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suppo\Downloads\"/>
    </mc:Choice>
  </mc:AlternateContent>
  <xr:revisionPtr revIDLastSave="0" documentId="8_{277F8E6B-6E97-42E3-8306-B91530DDDBDE}" xr6:coauthVersionLast="47" xr6:coauthVersionMax="47" xr10:uidLastSave="{00000000-0000-0000-0000-000000000000}"/>
  <bookViews>
    <workbookView xWindow="28680" yWindow="-120" windowWidth="20730" windowHeight="11040" xr2:uid="{5CAA9F07-9A03-4B0C-A7C7-28F69F3AD0E7}"/>
  </bookViews>
  <sheets>
    <sheet name="sdrascd7-IENOMKE130047"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040" i="1" l="1"/>
  <c r="E4040" i="1"/>
  <c r="P4039" i="1"/>
  <c r="E4039" i="1"/>
  <c r="P4038" i="1"/>
  <c r="E4038" i="1"/>
  <c r="P4037" i="1"/>
  <c r="E4037" i="1"/>
  <c r="P4036" i="1"/>
  <c r="E4036" i="1"/>
  <c r="P4035" i="1"/>
  <c r="E4035" i="1"/>
  <c r="P4034" i="1"/>
  <c r="E4034" i="1"/>
  <c r="P4033" i="1"/>
  <c r="E4033" i="1"/>
  <c r="P4032" i="1"/>
  <c r="E4032" i="1"/>
  <c r="P4031" i="1"/>
  <c r="E4031" i="1"/>
  <c r="P4030" i="1"/>
  <c r="E4030" i="1"/>
  <c r="P4029" i="1"/>
  <c r="E4029" i="1"/>
  <c r="P4028" i="1"/>
  <c r="E4028" i="1"/>
  <c r="P4027" i="1"/>
  <c r="E4027" i="1"/>
  <c r="P4026" i="1"/>
  <c r="E4026" i="1"/>
  <c r="P4025" i="1"/>
  <c r="E4025" i="1"/>
  <c r="P4024" i="1"/>
  <c r="E4024" i="1"/>
  <c r="P4023" i="1"/>
  <c r="E4023" i="1"/>
  <c r="P4022" i="1"/>
  <c r="E4022" i="1"/>
  <c r="P4021" i="1"/>
  <c r="E4021" i="1"/>
  <c r="P4020" i="1"/>
  <c r="E4020" i="1"/>
  <c r="P4019" i="1"/>
  <c r="E4019" i="1"/>
  <c r="P4018" i="1"/>
  <c r="E4018" i="1"/>
  <c r="P4017" i="1"/>
  <c r="E4017" i="1"/>
  <c r="P4016" i="1"/>
  <c r="E4016" i="1"/>
  <c r="P4015" i="1"/>
  <c r="E4015" i="1"/>
  <c r="P4014" i="1"/>
  <c r="E4014" i="1"/>
  <c r="P4013" i="1"/>
  <c r="E4013" i="1"/>
  <c r="P4012" i="1"/>
  <c r="E4012" i="1"/>
  <c r="P4011" i="1"/>
  <c r="E4011" i="1"/>
  <c r="P4010" i="1"/>
  <c r="E4010" i="1"/>
  <c r="P4009" i="1"/>
  <c r="E4009" i="1"/>
  <c r="P4008" i="1"/>
  <c r="E4008" i="1"/>
  <c r="P4007" i="1"/>
  <c r="E4007" i="1"/>
  <c r="P4006" i="1"/>
  <c r="E4006" i="1"/>
  <c r="P4005" i="1"/>
  <c r="E4005" i="1"/>
  <c r="P4004" i="1"/>
  <c r="E4004" i="1"/>
  <c r="P4003" i="1"/>
  <c r="E4003" i="1"/>
  <c r="P4002" i="1"/>
  <c r="E4002" i="1"/>
  <c r="P4001" i="1"/>
  <c r="E4001" i="1"/>
  <c r="P4000" i="1"/>
  <c r="E4000" i="1"/>
  <c r="P3999" i="1"/>
  <c r="E3999" i="1"/>
  <c r="P3998" i="1"/>
  <c r="E3998" i="1"/>
  <c r="P3997" i="1"/>
  <c r="E3997" i="1"/>
  <c r="P3996" i="1"/>
  <c r="E3996" i="1"/>
  <c r="P3995" i="1"/>
  <c r="E3995" i="1"/>
  <c r="P3994" i="1"/>
  <c r="E3994" i="1"/>
  <c r="P3993" i="1"/>
  <c r="E3993" i="1"/>
  <c r="P3992" i="1"/>
  <c r="E3992" i="1"/>
  <c r="P3991" i="1"/>
  <c r="E3991" i="1"/>
  <c r="P3990" i="1"/>
  <c r="E3990" i="1"/>
  <c r="P3989" i="1"/>
  <c r="E3989" i="1"/>
  <c r="P3988" i="1"/>
  <c r="E3988" i="1"/>
  <c r="P3987" i="1"/>
  <c r="E3987" i="1"/>
  <c r="P3986" i="1"/>
  <c r="E3986" i="1"/>
  <c r="P3985" i="1"/>
  <c r="E3985" i="1"/>
  <c r="P3984" i="1"/>
  <c r="E3984" i="1"/>
  <c r="P3983" i="1"/>
  <c r="E3983" i="1"/>
  <c r="P3982" i="1"/>
  <c r="E3982" i="1"/>
  <c r="P3981" i="1"/>
  <c r="E3981" i="1"/>
  <c r="P3980" i="1"/>
  <c r="E3980" i="1"/>
  <c r="P3979" i="1"/>
  <c r="E3979" i="1"/>
  <c r="P3978" i="1"/>
  <c r="E3978" i="1"/>
  <c r="P3977" i="1"/>
  <c r="E3977" i="1"/>
  <c r="P3976" i="1"/>
  <c r="E3976" i="1"/>
  <c r="P3975" i="1"/>
  <c r="E3975" i="1"/>
  <c r="P3974" i="1"/>
  <c r="E3974" i="1"/>
  <c r="P3973" i="1"/>
  <c r="E3973" i="1"/>
  <c r="P3972" i="1"/>
  <c r="E3972" i="1"/>
  <c r="P3971" i="1"/>
  <c r="E3971" i="1"/>
  <c r="P3970" i="1"/>
  <c r="E3970" i="1"/>
  <c r="P3969" i="1"/>
  <c r="E3969" i="1"/>
  <c r="P3968" i="1"/>
  <c r="E3968" i="1"/>
  <c r="P3967" i="1"/>
  <c r="E3967" i="1"/>
  <c r="P3966" i="1"/>
  <c r="E3966" i="1"/>
  <c r="P3965" i="1"/>
  <c r="E3965" i="1"/>
  <c r="P3964" i="1"/>
  <c r="E3964" i="1"/>
  <c r="P3963" i="1"/>
  <c r="E3963" i="1"/>
  <c r="P3962" i="1"/>
  <c r="E3962" i="1"/>
  <c r="P3961" i="1"/>
  <c r="E3961" i="1"/>
  <c r="P3960" i="1"/>
  <c r="E3960" i="1"/>
  <c r="P3959" i="1"/>
  <c r="E3959" i="1"/>
  <c r="P3958" i="1"/>
  <c r="E3958" i="1"/>
  <c r="P3957" i="1"/>
  <c r="E3957" i="1"/>
  <c r="P3956" i="1"/>
  <c r="E3956" i="1"/>
  <c r="P3955" i="1"/>
  <c r="E3955" i="1"/>
  <c r="P3954" i="1"/>
  <c r="E3954" i="1"/>
  <c r="P3953" i="1"/>
  <c r="E3953" i="1"/>
  <c r="P3952" i="1"/>
  <c r="E3952" i="1"/>
  <c r="P3951" i="1"/>
  <c r="E3951" i="1"/>
  <c r="P3950" i="1"/>
  <c r="E3950" i="1"/>
  <c r="P3949" i="1"/>
  <c r="E3949" i="1"/>
  <c r="P3948" i="1"/>
  <c r="E3948" i="1"/>
  <c r="P3947" i="1"/>
  <c r="E3947" i="1"/>
  <c r="P3946" i="1"/>
  <c r="E3946" i="1"/>
  <c r="P3945" i="1"/>
  <c r="E3945" i="1"/>
  <c r="P3944" i="1"/>
  <c r="E3944" i="1"/>
  <c r="P3943" i="1"/>
  <c r="E3943" i="1"/>
  <c r="P3942" i="1"/>
  <c r="E3942" i="1"/>
  <c r="P3941" i="1"/>
  <c r="E3941" i="1"/>
  <c r="P3940" i="1"/>
  <c r="E3940" i="1"/>
  <c r="P3939" i="1"/>
  <c r="E3939" i="1"/>
  <c r="P3938" i="1"/>
  <c r="E3938" i="1"/>
  <c r="P3937" i="1"/>
  <c r="E3937" i="1"/>
  <c r="P3936" i="1"/>
  <c r="E3936" i="1"/>
  <c r="P3935" i="1"/>
  <c r="E3935" i="1"/>
  <c r="P3934" i="1"/>
  <c r="E3934" i="1"/>
  <c r="P3933" i="1"/>
  <c r="E3933" i="1"/>
  <c r="P3932" i="1"/>
  <c r="E3932" i="1"/>
  <c r="P3931" i="1"/>
  <c r="E3931" i="1"/>
  <c r="P3930" i="1"/>
  <c r="E3930" i="1"/>
  <c r="P3929" i="1"/>
  <c r="E3929" i="1"/>
  <c r="P3928" i="1"/>
  <c r="E3928" i="1"/>
  <c r="P3927" i="1"/>
  <c r="E3927" i="1"/>
  <c r="P3926" i="1"/>
  <c r="E3926" i="1"/>
  <c r="P3925" i="1"/>
  <c r="E3925" i="1"/>
  <c r="P3924" i="1"/>
  <c r="E3924" i="1"/>
  <c r="P3923" i="1"/>
  <c r="E3923" i="1"/>
  <c r="P3922" i="1"/>
  <c r="E3922" i="1"/>
  <c r="P3921" i="1"/>
  <c r="E3921" i="1"/>
  <c r="P3920" i="1"/>
  <c r="E3920" i="1"/>
  <c r="P3919" i="1"/>
  <c r="E3919" i="1"/>
  <c r="P3918" i="1"/>
  <c r="E3918" i="1"/>
  <c r="P3917" i="1"/>
  <c r="E3917" i="1"/>
  <c r="P3916" i="1"/>
  <c r="E3916" i="1"/>
  <c r="P3915" i="1"/>
  <c r="E3915" i="1"/>
  <c r="P3914" i="1"/>
  <c r="E3914" i="1"/>
  <c r="P3913" i="1"/>
  <c r="E3913" i="1"/>
  <c r="P3912" i="1"/>
  <c r="E3912" i="1"/>
  <c r="P3911" i="1"/>
  <c r="E3911" i="1"/>
  <c r="P3910" i="1"/>
  <c r="E3910" i="1"/>
  <c r="P3909" i="1"/>
  <c r="E3909" i="1"/>
  <c r="P3908" i="1"/>
  <c r="E3908" i="1"/>
  <c r="P3907" i="1"/>
  <c r="E3907" i="1"/>
  <c r="P3906" i="1"/>
  <c r="E3906" i="1"/>
  <c r="P3905" i="1"/>
  <c r="E3905" i="1"/>
  <c r="P3904" i="1"/>
  <c r="E3904" i="1"/>
  <c r="P3903" i="1"/>
  <c r="E3903" i="1"/>
  <c r="P3902" i="1"/>
  <c r="E3902" i="1"/>
  <c r="P3901" i="1"/>
  <c r="E3901" i="1"/>
  <c r="P3900" i="1"/>
  <c r="E3900" i="1"/>
  <c r="P3899" i="1"/>
  <c r="E3899" i="1"/>
  <c r="P3898" i="1"/>
  <c r="E3898" i="1"/>
  <c r="P3897" i="1"/>
  <c r="E3897" i="1"/>
  <c r="P3896" i="1"/>
  <c r="E3896" i="1"/>
  <c r="P3895" i="1"/>
  <c r="E3895" i="1"/>
  <c r="P3894" i="1"/>
  <c r="E3894" i="1"/>
  <c r="P3893" i="1"/>
  <c r="E3893" i="1"/>
  <c r="P3892" i="1"/>
  <c r="E3892" i="1"/>
  <c r="P3891" i="1"/>
  <c r="E3891" i="1"/>
  <c r="P3890" i="1"/>
  <c r="E3890" i="1"/>
  <c r="P3889" i="1"/>
  <c r="E3889" i="1"/>
  <c r="P3888" i="1"/>
  <c r="E3888" i="1"/>
  <c r="P3887" i="1"/>
  <c r="E3887" i="1"/>
  <c r="P3886" i="1"/>
  <c r="E3886" i="1"/>
  <c r="P3885" i="1"/>
  <c r="E3885" i="1"/>
  <c r="P3884" i="1"/>
  <c r="E3884" i="1"/>
  <c r="P3883" i="1"/>
  <c r="E3883" i="1"/>
  <c r="P3882" i="1"/>
  <c r="E3882" i="1"/>
  <c r="P3881" i="1"/>
  <c r="E3881" i="1"/>
  <c r="P3880" i="1"/>
  <c r="E3880" i="1"/>
  <c r="P3879" i="1"/>
  <c r="E3879" i="1"/>
  <c r="P3878" i="1"/>
  <c r="E3878" i="1"/>
  <c r="P3877" i="1"/>
  <c r="E3877" i="1"/>
  <c r="P3876" i="1"/>
  <c r="E3876" i="1"/>
  <c r="P3875" i="1"/>
  <c r="E3875" i="1"/>
  <c r="P3874" i="1"/>
  <c r="E3874" i="1"/>
  <c r="P3873" i="1"/>
  <c r="E3873" i="1"/>
  <c r="P3872" i="1"/>
  <c r="E3872" i="1"/>
  <c r="P3871" i="1"/>
  <c r="E3871" i="1"/>
  <c r="P3870" i="1"/>
  <c r="E3870" i="1"/>
  <c r="P3869" i="1"/>
  <c r="E3869" i="1"/>
  <c r="P3868" i="1"/>
  <c r="E3868" i="1"/>
  <c r="P3867" i="1"/>
  <c r="E3867" i="1"/>
  <c r="P3866" i="1"/>
  <c r="E3866" i="1"/>
  <c r="P3865" i="1"/>
  <c r="E3865" i="1"/>
  <c r="P3864" i="1"/>
  <c r="E3864" i="1"/>
  <c r="P3863" i="1"/>
  <c r="E3863" i="1"/>
  <c r="P3862" i="1"/>
  <c r="E3862" i="1"/>
  <c r="P3861" i="1"/>
  <c r="E3861" i="1"/>
  <c r="P3860" i="1"/>
  <c r="E3860" i="1"/>
  <c r="P3859" i="1"/>
  <c r="E3859" i="1"/>
  <c r="P3858" i="1"/>
  <c r="E3858" i="1"/>
  <c r="P3857" i="1"/>
  <c r="E3857" i="1"/>
  <c r="P3856" i="1"/>
  <c r="E3856" i="1"/>
  <c r="P3855" i="1"/>
  <c r="E3855" i="1"/>
  <c r="P3854" i="1"/>
  <c r="E3854" i="1"/>
  <c r="P3853" i="1"/>
  <c r="E3853" i="1"/>
  <c r="P3852" i="1"/>
  <c r="E3852" i="1"/>
  <c r="P3851" i="1"/>
  <c r="E3851" i="1"/>
  <c r="P3850" i="1"/>
  <c r="E3850" i="1"/>
  <c r="P3849" i="1"/>
  <c r="E3849" i="1"/>
  <c r="P3848" i="1"/>
  <c r="E3848" i="1"/>
  <c r="P3847" i="1"/>
  <c r="E3847" i="1"/>
  <c r="P3846" i="1"/>
  <c r="E3846" i="1"/>
  <c r="P3845" i="1"/>
  <c r="E3845" i="1"/>
  <c r="P3844" i="1"/>
  <c r="E3844" i="1"/>
  <c r="P3843" i="1"/>
  <c r="E3843" i="1"/>
  <c r="P3842" i="1"/>
  <c r="E3842" i="1"/>
  <c r="P3841" i="1"/>
  <c r="E3841" i="1"/>
  <c r="P3840" i="1"/>
  <c r="E3840" i="1"/>
  <c r="P3839" i="1"/>
  <c r="E3839" i="1"/>
  <c r="P3838" i="1"/>
  <c r="E3838" i="1"/>
  <c r="P3837" i="1"/>
  <c r="E3837" i="1"/>
  <c r="P3836" i="1"/>
  <c r="E3836" i="1"/>
  <c r="P3835" i="1"/>
  <c r="E3835" i="1"/>
  <c r="P3834" i="1"/>
  <c r="E3834" i="1"/>
  <c r="P3833" i="1"/>
  <c r="E3833" i="1"/>
  <c r="P3832" i="1"/>
  <c r="E3832" i="1"/>
  <c r="P3831" i="1"/>
  <c r="E3831" i="1"/>
  <c r="P3830" i="1"/>
  <c r="E3830" i="1"/>
  <c r="P3829" i="1"/>
  <c r="E3829" i="1"/>
  <c r="P3828" i="1"/>
  <c r="E3828" i="1"/>
  <c r="P3827" i="1"/>
  <c r="E3827" i="1"/>
  <c r="P3826" i="1"/>
  <c r="E3826" i="1"/>
  <c r="P3825" i="1"/>
  <c r="E3825" i="1"/>
  <c r="P3824" i="1"/>
  <c r="E3824" i="1"/>
  <c r="P3823" i="1"/>
  <c r="E3823" i="1"/>
  <c r="P3822" i="1"/>
  <c r="E3822" i="1"/>
  <c r="P3821" i="1"/>
  <c r="E3821" i="1"/>
  <c r="P3820" i="1"/>
  <c r="E3820" i="1"/>
  <c r="P3819" i="1"/>
  <c r="E3819" i="1"/>
  <c r="P3818" i="1"/>
  <c r="E3818" i="1"/>
  <c r="P3817" i="1"/>
  <c r="E3817" i="1"/>
  <c r="P3816" i="1"/>
  <c r="E3816" i="1"/>
  <c r="P3815" i="1"/>
  <c r="E3815" i="1"/>
  <c r="P3814" i="1"/>
  <c r="E3814" i="1"/>
  <c r="P3813" i="1"/>
  <c r="E3813" i="1"/>
  <c r="P3812" i="1"/>
  <c r="E3812" i="1"/>
  <c r="P3811" i="1"/>
  <c r="E3811" i="1"/>
  <c r="P3810" i="1"/>
  <c r="E3810" i="1"/>
  <c r="P3809" i="1"/>
  <c r="E3809" i="1"/>
  <c r="P3808" i="1"/>
  <c r="E3808" i="1"/>
  <c r="P3807" i="1"/>
  <c r="E3807" i="1"/>
  <c r="P3806" i="1"/>
  <c r="E3806" i="1"/>
  <c r="P3805" i="1"/>
  <c r="E3805" i="1"/>
  <c r="P3804" i="1"/>
  <c r="E3804" i="1"/>
  <c r="P3803" i="1"/>
  <c r="E3803" i="1"/>
  <c r="P3802" i="1"/>
  <c r="E3802" i="1"/>
  <c r="P3801" i="1"/>
  <c r="E3801" i="1"/>
  <c r="P3800" i="1"/>
  <c r="E3800" i="1"/>
  <c r="P3799" i="1"/>
  <c r="E3799" i="1"/>
  <c r="P3798" i="1"/>
  <c r="E3798" i="1"/>
  <c r="P3797" i="1"/>
  <c r="E3797" i="1"/>
  <c r="P3796" i="1"/>
  <c r="E3796" i="1"/>
  <c r="P3795" i="1"/>
  <c r="E3795" i="1"/>
  <c r="P3794" i="1"/>
  <c r="E3794" i="1"/>
  <c r="P3793" i="1"/>
  <c r="E3793" i="1"/>
  <c r="P3792" i="1"/>
  <c r="E3792" i="1"/>
  <c r="P3791" i="1"/>
  <c r="E3791" i="1"/>
  <c r="P3790" i="1"/>
  <c r="E3790" i="1"/>
  <c r="P3789" i="1"/>
  <c r="E3789" i="1"/>
  <c r="P3788" i="1"/>
  <c r="E3788" i="1"/>
  <c r="P3787" i="1"/>
  <c r="E3787" i="1"/>
  <c r="P3786" i="1"/>
  <c r="E3786" i="1"/>
  <c r="P3785" i="1"/>
  <c r="E3785" i="1"/>
  <c r="P3784" i="1"/>
  <c r="E3784" i="1"/>
  <c r="P3783" i="1"/>
  <c r="E3783" i="1"/>
  <c r="P3782" i="1"/>
  <c r="E3782" i="1"/>
  <c r="P3781" i="1"/>
  <c r="E3781" i="1"/>
  <c r="P3780" i="1"/>
  <c r="E3780" i="1"/>
  <c r="P3779" i="1"/>
  <c r="E3779" i="1"/>
  <c r="P3778" i="1"/>
  <c r="E3778" i="1"/>
  <c r="P3777" i="1"/>
  <c r="E3777" i="1"/>
  <c r="P3776" i="1"/>
  <c r="E3776" i="1"/>
  <c r="P3775" i="1"/>
  <c r="E3775" i="1"/>
  <c r="P3774" i="1"/>
  <c r="E3774" i="1"/>
  <c r="P3773" i="1"/>
  <c r="E3773" i="1"/>
  <c r="P3772" i="1"/>
  <c r="E3772" i="1"/>
  <c r="P3771" i="1"/>
  <c r="E3771" i="1"/>
  <c r="P3770" i="1"/>
  <c r="E3770" i="1"/>
  <c r="P3769" i="1"/>
  <c r="E3769" i="1"/>
  <c r="P3768" i="1"/>
  <c r="E3768" i="1"/>
  <c r="P3767" i="1"/>
  <c r="E3767" i="1"/>
  <c r="P3766" i="1"/>
  <c r="E3766" i="1"/>
  <c r="P3765" i="1"/>
  <c r="E3765" i="1"/>
  <c r="P3764" i="1"/>
  <c r="E3764" i="1"/>
  <c r="P3763" i="1"/>
  <c r="E3763" i="1"/>
  <c r="P3762" i="1"/>
  <c r="E3762" i="1"/>
  <c r="P3761" i="1"/>
  <c r="E3761" i="1"/>
  <c r="P3760" i="1"/>
  <c r="E3760" i="1"/>
  <c r="P3759" i="1"/>
  <c r="E3759" i="1"/>
  <c r="P3758" i="1"/>
  <c r="E3758" i="1"/>
  <c r="P3757" i="1"/>
  <c r="E3757" i="1"/>
  <c r="P3756" i="1"/>
  <c r="E3756" i="1"/>
  <c r="P3755" i="1"/>
  <c r="E3755" i="1"/>
  <c r="P3754" i="1"/>
  <c r="E3754" i="1"/>
  <c r="P3753" i="1"/>
  <c r="E3753" i="1"/>
  <c r="P3752" i="1"/>
  <c r="E3752" i="1"/>
  <c r="P3751" i="1"/>
  <c r="E3751" i="1"/>
  <c r="P3750" i="1"/>
  <c r="E3750" i="1"/>
  <c r="P3749" i="1"/>
  <c r="E3749" i="1"/>
  <c r="P3748" i="1"/>
  <c r="E3748" i="1"/>
  <c r="P3747" i="1"/>
  <c r="E3747" i="1"/>
  <c r="P3746" i="1"/>
  <c r="E3746" i="1"/>
  <c r="P3745" i="1"/>
  <c r="E3745" i="1"/>
  <c r="P3744" i="1"/>
  <c r="E3744" i="1"/>
  <c r="P3743" i="1"/>
  <c r="E3743" i="1"/>
  <c r="P3742" i="1"/>
  <c r="E3742" i="1"/>
  <c r="P3741" i="1"/>
  <c r="E3741" i="1"/>
  <c r="P3740" i="1"/>
  <c r="E3740" i="1"/>
  <c r="P3739" i="1"/>
  <c r="E3739" i="1"/>
  <c r="P3738" i="1"/>
  <c r="E3738" i="1"/>
  <c r="P3737" i="1"/>
  <c r="E3737" i="1"/>
  <c r="P3736" i="1"/>
  <c r="E3736" i="1"/>
  <c r="P3735" i="1"/>
  <c r="E3735" i="1"/>
  <c r="P3734" i="1"/>
  <c r="E3734" i="1"/>
  <c r="P3733" i="1"/>
  <c r="E3733" i="1"/>
  <c r="P3732" i="1"/>
  <c r="E3732" i="1"/>
  <c r="P3731" i="1"/>
  <c r="E3731" i="1"/>
  <c r="P3730" i="1"/>
  <c r="E3730" i="1"/>
  <c r="P3729" i="1"/>
  <c r="E3729" i="1"/>
  <c r="P3728" i="1"/>
  <c r="E3728" i="1"/>
  <c r="P3727" i="1"/>
  <c r="E3727" i="1"/>
  <c r="P3726" i="1"/>
  <c r="E3726" i="1"/>
  <c r="P3725" i="1"/>
  <c r="E3725" i="1"/>
  <c r="P3724" i="1"/>
  <c r="E3724" i="1"/>
  <c r="P3723" i="1"/>
  <c r="E3723" i="1"/>
  <c r="P3722" i="1"/>
  <c r="E3722" i="1"/>
  <c r="P3721" i="1"/>
  <c r="E3721" i="1"/>
  <c r="P3720" i="1"/>
  <c r="E3720" i="1"/>
  <c r="P3719" i="1"/>
  <c r="E3719" i="1"/>
  <c r="P3718" i="1"/>
  <c r="E3718" i="1"/>
  <c r="P3717" i="1"/>
  <c r="E3717" i="1"/>
  <c r="P3716" i="1"/>
  <c r="E3716" i="1"/>
  <c r="P3715" i="1"/>
  <c r="E3715" i="1"/>
  <c r="P3714" i="1"/>
  <c r="E3714" i="1"/>
  <c r="P3713" i="1"/>
  <c r="E3713" i="1"/>
  <c r="P3712" i="1"/>
  <c r="E3712" i="1"/>
  <c r="P3711" i="1"/>
  <c r="E3711" i="1"/>
  <c r="P3710" i="1"/>
  <c r="E3710" i="1"/>
  <c r="P3709" i="1"/>
  <c r="E3709" i="1"/>
  <c r="P3708" i="1"/>
  <c r="E3708" i="1"/>
  <c r="P3707" i="1"/>
  <c r="E3707" i="1"/>
  <c r="P3706" i="1"/>
  <c r="E3706" i="1"/>
  <c r="P3705" i="1"/>
  <c r="E3705" i="1"/>
  <c r="P3704" i="1"/>
  <c r="E3704" i="1"/>
  <c r="P3703" i="1"/>
  <c r="E3703" i="1"/>
  <c r="P3702" i="1"/>
  <c r="E3702" i="1"/>
  <c r="P3701" i="1"/>
  <c r="E3701" i="1"/>
  <c r="P3700" i="1"/>
  <c r="E3700" i="1"/>
  <c r="P3699" i="1"/>
  <c r="E3699" i="1"/>
  <c r="P3698" i="1"/>
  <c r="E3698" i="1"/>
  <c r="P3697" i="1"/>
  <c r="E3697" i="1"/>
  <c r="P3696" i="1"/>
  <c r="E3696" i="1"/>
  <c r="P3695" i="1"/>
  <c r="E3695" i="1"/>
  <c r="P3694" i="1"/>
  <c r="E3694" i="1"/>
  <c r="P3693" i="1"/>
  <c r="E3693" i="1"/>
  <c r="P3692" i="1"/>
  <c r="E3692" i="1"/>
  <c r="P3691" i="1"/>
  <c r="E3691" i="1"/>
  <c r="P3690" i="1"/>
  <c r="E3690" i="1"/>
  <c r="P3689" i="1"/>
  <c r="E3689" i="1"/>
  <c r="P3688" i="1"/>
  <c r="E3688" i="1"/>
  <c r="P3687" i="1"/>
  <c r="E3687" i="1"/>
  <c r="P3686" i="1"/>
  <c r="E3686" i="1"/>
  <c r="P3685" i="1"/>
  <c r="E3685" i="1"/>
  <c r="P3684" i="1"/>
  <c r="E3684" i="1"/>
  <c r="P3683" i="1"/>
  <c r="E3683" i="1"/>
  <c r="P3682" i="1"/>
  <c r="E3682" i="1"/>
  <c r="P3681" i="1"/>
  <c r="E3681" i="1"/>
  <c r="P3680" i="1"/>
  <c r="E3680" i="1"/>
  <c r="P3679" i="1"/>
  <c r="E3679" i="1"/>
  <c r="P3678" i="1"/>
  <c r="E3678" i="1"/>
  <c r="P3677" i="1"/>
  <c r="E3677" i="1"/>
  <c r="P3676" i="1"/>
  <c r="E3676" i="1"/>
  <c r="P3675" i="1"/>
  <c r="E3675" i="1"/>
  <c r="P3674" i="1"/>
  <c r="E3674" i="1"/>
  <c r="P3673" i="1"/>
  <c r="E3673" i="1"/>
  <c r="P3672" i="1"/>
  <c r="E3672" i="1"/>
  <c r="P3671" i="1"/>
  <c r="E3671" i="1"/>
  <c r="P3670" i="1"/>
  <c r="E3670" i="1"/>
  <c r="P3669" i="1"/>
  <c r="E3669" i="1"/>
  <c r="P3668" i="1"/>
  <c r="E3668" i="1"/>
  <c r="P3667" i="1"/>
  <c r="E3667" i="1"/>
  <c r="P3666" i="1"/>
  <c r="E3666" i="1"/>
  <c r="P3665" i="1"/>
  <c r="E3665" i="1"/>
  <c r="P3664" i="1"/>
  <c r="E3664" i="1"/>
  <c r="P3663" i="1"/>
  <c r="E3663" i="1"/>
  <c r="P3662" i="1"/>
  <c r="E3662" i="1"/>
  <c r="P3661" i="1"/>
  <c r="E3661" i="1"/>
  <c r="P3660" i="1"/>
  <c r="E3660" i="1"/>
  <c r="P3659" i="1"/>
  <c r="E3659" i="1"/>
  <c r="P3658" i="1"/>
  <c r="E3658" i="1"/>
  <c r="P3657" i="1"/>
  <c r="E3657" i="1"/>
  <c r="P3656" i="1"/>
  <c r="E3656" i="1"/>
  <c r="P3655" i="1"/>
  <c r="E3655" i="1"/>
  <c r="P3654" i="1"/>
  <c r="E3654" i="1"/>
  <c r="P3653" i="1"/>
  <c r="E3653" i="1"/>
  <c r="P3652" i="1"/>
  <c r="E3652" i="1"/>
  <c r="P3651" i="1"/>
  <c r="E3651" i="1"/>
  <c r="P3650" i="1"/>
  <c r="E3650" i="1"/>
  <c r="P3649" i="1"/>
  <c r="E3649" i="1"/>
  <c r="P3648" i="1"/>
  <c r="E3648" i="1"/>
  <c r="P3647" i="1"/>
  <c r="E3647" i="1"/>
  <c r="P3646" i="1"/>
  <c r="E3646" i="1"/>
  <c r="P3645" i="1"/>
  <c r="E3645" i="1"/>
  <c r="P3644" i="1"/>
  <c r="E3644" i="1"/>
  <c r="P3643" i="1"/>
  <c r="E3643" i="1"/>
  <c r="P3642" i="1"/>
  <c r="E3642" i="1"/>
  <c r="P3641" i="1"/>
  <c r="E3641" i="1"/>
  <c r="P3640" i="1"/>
  <c r="E3640" i="1"/>
  <c r="P3639" i="1"/>
  <c r="E3639" i="1"/>
  <c r="P3638" i="1"/>
  <c r="E3638" i="1"/>
  <c r="P3637" i="1"/>
  <c r="E3637" i="1"/>
  <c r="P3636" i="1"/>
  <c r="E3636" i="1"/>
  <c r="P3635" i="1"/>
  <c r="E3635" i="1"/>
  <c r="P3634" i="1"/>
  <c r="E3634" i="1"/>
  <c r="P3633" i="1"/>
  <c r="E3633" i="1"/>
  <c r="P3632" i="1"/>
  <c r="E3632" i="1"/>
  <c r="P3631" i="1"/>
  <c r="E3631" i="1"/>
  <c r="P3630" i="1"/>
  <c r="E3630" i="1"/>
  <c r="P3629" i="1"/>
  <c r="E3629" i="1"/>
  <c r="P3628" i="1"/>
  <c r="E3628" i="1"/>
  <c r="P3627" i="1"/>
  <c r="E3627" i="1"/>
  <c r="P3626" i="1"/>
  <c r="E3626" i="1"/>
  <c r="P3625" i="1"/>
  <c r="E3625" i="1"/>
  <c r="P3624" i="1"/>
  <c r="E3624" i="1"/>
  <c r="P3623" i="1"/>
  <c r="E3623" i="1"/>
  <c r="P3622" i="1"/>
  <c r="E3622" i="1"/>
  <c r="P3621" i="1"/>
  <c r="E3621" i="1"/>
  <c r="P3620" i="1"/>
  <c r="E3620" i="1"/>
  <c r="P3619" i="1"/>
  <c r="E3619" i="1"/>
  <c r="P3618" i="1"/>
  <c r="E3618" i="1"/>
  <c r="P3617" i="1"/>
  <c r="E3617" i="1"/>
  <c r="P3616" i="1"/>
  <c r="E3616" i="1"/>
  <c r="P3615" i="1"/>
  <c r="E3615" i="1"/>
  <c r="P3614" i="1"/>
  <c r="E3614" i="1"/>
  <c r="P3613" i="1"/>
  <c r="E3613" i="1"/>
  <c r="P3612" i="1"/>
  <c r="E3612" i="1"/>
  <c r="P3611" i="1"/>
  <c r="E3611" i="1"/>
  <c r="P3610" i="1"/>
  <c r="E3610" i="1"/>
  <c r="P3609" i="1"/>
  <c r="E3609" i="1"/>
  <c r="P3608" i="1"/>
  <c r="E3608" i="1"/>
  <c r="P3607" i="1"/>
  <c r="E3607" i="1"/>
  <c r="P3606" i="1"/>
  <c r="E3606" i="1"/>
  <c r="P3605" i="1"/>
  <c r="E3605" i="1"/>
  <c r="P3604" i="1"/>
  <c r="E3604" i="1"/>
  <c r="P3603" i="1"/>
  <c r="E3603" i="1"/>
  <c r="P3602" i="1"/>
  <c r="E3602" i="1"/>
  <c r="P3601" i="1"/>
  <c r="E3601" i="1"/>
  <c r="P3600" i="1"/>
  <c r="E3600" i="1"/>
  <c r="P3599" i="1"/>
  <c r="E3599" i="1"/>
  <c r="P3598" i="1"/>
  <c r="E3598" i="1"/>
  <c r="P3597" i="1"/>
  <c r="E3597" i="1"/>
  <c r="P3596" i="1"/>
  <c r="E3596" i="1"/>
  <c r="P3595" i="1"/>
  <c r="E3595" i="1"/>
  <c r="P3594" i="1"/>
  <c r="E3594" i="1"/>
  <c r="P3593" i="1"/>
  <c r="E3593" i="1"/>
  <c r="P3592" i="1"/>
  <c r="E3592" i="1"/>
  <c r="P3591" i="1"/>
  <c r="E3591" i="1"/>
  <c r="P3590" i="1"/>
  <c r="E3590" i="1"/>
  <c r="P3589" i="1"/>
  <c r="E3589" i="1"/>
  <c r="P3588" i="1"/>
  <c r="E3588" i="1"/>
  <c r="P3587" i="1"/>
  <c r="E3587" i="1"/>
  <c r="P3586" i="1"/>
  <c r="E3586" i="1"/>
  <c r="P3585" i="1"/>
  <c r="E3585" i="1"/>
  <c r="P3584" i="1"/>
  <c r="E3584" i="1"/>
  <c r="P3583" i="1"/>
  <c r="E3583" i="1"/>
  <c r="P3582" i="1"/>
  <c r="E3582" i="1"/>
  <c r="P3581" i="1"/>
  <c r="E3581" i="1"/>
  <c r="P3580" i="1"/>
  <c r="E3580" i="1"/>
  <c r="P3579" i="1"/>
  <c r="E3579" i="1"/>
  <c r="P3578" i="1"/>
  <c r="E3578" i="1"/>
  <c r="P3577" i="1"/>
  <c r="E3577" i="1"/>
  <c r="P3576" i="1"/>
  <c r="E3576" i="1"/>
  <c r="P3575" i="1"/>
  <c r="E3575" i="1"/>
  <c r="P3574" i="1"/>
  <c r="E3574" i="1"/>
  <c r="P3573" i="1"/>
  <c r="E3573" i="1"/>
  <c r="P3572" i="1"/>
  <c r="E3572" i="1"/>
  <c r="P3571" i="1"/>
  <c r="E3571" i="1"/>
  <c r="P3570" i="1"/>
  <c r="E3570" i="1"/>
  <c r="P3569" i="1"/>
  <c r="E3569" i="1"/>
  <c r="P3568" i="1"/>
  <c r="E3568" i="1"/>
  <c r="P3567" i="1"/>
  <c r="E3567" i="1"/>
  <c r="P3566" i="1"/>
  <c r="E3566" i="1"/>
  <c r="P3565" i="1"/>
  <c r="E3565" i="1"/>
  <c r="P3564" i="1"/>
  <c r="E3564" i="1"/>
  <c r="P3563" i="1"/>
  <c r="E3563" i="1"/>
  <c r="P3562" i="1"/>
  <c r="E3562" i="1"/>
  <c r="P3561" i="1"/>
  <c r="E3561" i="1"/>
  <c r="P3560" i="1"/>
  <c r="E3560" i="1"/>
  <c r="P3559" i="1"/>
  <c r="E3559" i="1"/>
  <c r="P3558" i="1"/>
  <c r="E3558" i="1"/>
  <c r="P3557" i="1"/>
  <c r="E3557" i="1"/>
  <c r="P3556" i="1"/>
  <c r="E3556" i="1"/>
  <c r="P3555" i="1"/>
  <c r="E3555" i="1"/>
  <c r="P3554" i="1"/>
  <c r="E3554" i="1"/>
  <c r="P3553" i="1"/>
  <c r="E3553" i="1"/>
  <c r="P3552" i="1"/>
  <c r="E3552" i="1"/>
  <c r="P3551" i="1"/>
  <c r="E3551" i="1"/>
  <c r="P3550" i="1"/>
  <c r="E3550" i="1"/>
  <c r="P3549" i="1"/>
  <c r="E3549" i="1"/>
  <c r="P3548" i="1"/>
  <c r="E3548" i="1"/>
  <c r="P3547" i="1"/>
  <c r="E3547" i="1"/>
  <c r="P3546" i="1"/>
  <c r="E3546" i="1"/>
  <c r="P3545" i="1"/>
  <c r="E3545" i="1"/>
  <c r="P3544" i="1"/>
  <c r="E3544" i="1"/>
  <c r="P3543" i="1"/>
  <c r="E3543" i="1"/>
  <c r="P3542" i="1"/>
  <c r="E3542" i="1"/>
  <c r="P3541" i="1"/>
  <c r="E3541" i="1"/>
  <c r="P3540" i="1"/>
  <c r="E3540" i="1"/>
  <c r="P3539" i="1"/>
  <c r="E3539" i="1"/>
  <c r="P3538" i="1"/>
  <c r="E3538" i="1"/>
  <c r="P3537" i="1"/>
  <c r="E3537" i="1"/>
  <c r="P3536" i="1"/>
  <c r="E3536" i="1"/>
  <c r="P3535" i="1"/>
  <c r="E3535" i="1"/>
  <c r="P3534" i="1"/>
  <c r="E3534" i="1"/>
  <c r="P3533" i="1"/>
  <c r="E3533" i="1"/>
  <c r="P3532" i="1"/>
  <c r="E3532" i="1"/>
  <c r="P3531" i="1"/>
  <c r="E3531" i="1"/>
  <c r="P3530" i="1"/>
  <c r="E3530" i="1"/>
  <c r="P3529" i="1"/>
  <c r="E3529" i="1"/>
  <c r="P3528" i="1"/>
  <c r="E3528" i="1"/>
  <c r="P3527" i="1"/>
  <c r="E3527" i="1"/>
  <c r="P3526" i="1"/>
  <c r="E3526" i="1"/>
  <c r="P3525" i="1"/>
  <c r="E3525" i="1"/>
  <c r="P3524" i="1"/>
  <c r="E3524" i="1"/>
  <c r="P3523" i="1"/>
  <c r="E3523" i="1"/>
  <c r="P3522" i="1"/>
  <c r="E3522" i="1"/>
  <c r="P3521" i="1"/>
  <c r="E3521" i="1"/>
  <c r="P3520" i="1"/>
  <c r="E3520" i="1"/>
  <c r="P3519" i="1"/>
  <c r="E3519" i="1"/>
  <c r="P3518" i="1"/>
  <c r="E3518" i="1"/>
  <c r="P3517" i="1"/>
  <c r="E3517" i="1"/>
  <c r="P3516" i="1"/>
  <c r="E3516" i="1"/>
  <c r="P3515" i="1"/>
  <c r="E3515" i="1"/>
  <c r="P3514" i="1"/>
  <c r="E3514" i="1"/>
  <c r="P3513" i="1"/>
  <c r="E3513" i="1"/>
  <c r="P3512" i="1"/>
  <c r="E3512" i="1"/>
  <c r="P3511" i="1"/>
  <c r="E3511" i="1"/>
  <c r="P3510" i="1"/>
  <c r="E3510" i="1"/>
  <c r="P3509" i="1"/>
  <c r="E3509" i="1"/>
  <c r="P3508" i="1"/>
  <c r="E3508" i="1"/>
  <c r="P3507" i="1"/>
  <c r="E3507" i="1"/>
  <c r="P3506" i="1"/>
  <c r="E3506" i="1"/>
  <c r="P3505" i="1"/>
  <c r="E3505" i="1"/>
  <c r="P3504" i="1"/>
  <c r="E3504" i="1"/>
  <c r="P3503" i="1"/>
  <c r="E3503" i="1"/>
  <c r="P3502" i="1"/>
  <c r="E3502" i="1"/>
  <c r="P3501" i="1"/>
  <c r="E3501" i="1"/>
  <c r="P3500" i="1"/>
  <c r="E3500" i="1"/>
  <c r="P3499" i="1"/>
  <c r="E3499" i="1"/>
  <c r="P3498" i="1"/>
  <c r="E3498" i="1"/>
  <c r="P3497" i="1"/>
  <c r="E3497" i="1"/>
  <c r="P3496" i="1"/>
  <c r="E3496" i="1"/>
  <c r="P3495" i="1"/>
  <c r="E3495" i="1"/>
  <c r="P3494" i="1"/>
  <c r="E3494" i="1"/>
  <c r="P3493" i="1"/>
  <c r="E3493" i="1"/>
  <c r="P3492" i="1"/>
  <c r="E3492" i="1"/>
  <c r="P3491" i="1"/>
  <c r="E3491" i="1"/>
  <c r="P3490" i="1"/>
  <c r="E3490" i="1"/>
  <c r="P3489" i="1"/>
  <c r="E3489" i="1"/>
  <c r="P3488" i="1"/>
  <c r="E3488" i="1"/>
  <c r="P3487" i="1"/>
  <c r="E3487" i="1"/>
  <c r="P3486" i="1"/>
  <c r="E3486" i="1"/>
  <c r="P3485" i="1"/>
  <c r="E3485" i="1"/>
  <c r="P3484" i="1"/>
  <c r="E3484" i="1"/>
  <c r="P3483" i="1"/>
  <c r="E3483" i="1"/>
  <c r="P3482" i="1"/>
  <c r="E3482" i="1"/>
  <c r="P3481" i="1"/>
  <c r="E3481" i="1"/>
  <c r="P3480" i="1"/>
  <c r="E3480" i="1"/>
  <c r="P3479" i="1"/>
  <c r="E3479" i="1"/>
  <c r="P3478" i="1"/>
  <c r="E3478" i="1"/>
  <c r="P3477" i="1"/>
  <c r="E3477" i="1"/>
  <c r="P3476" i="1"/>
  <c r="E3476" i="1"/>
  <c r="P3475" i="1"/>
  <c r="E3475" i="1"/>
  <c r="P3474" i="1"/>
  <c r="E3474" i="1"/>
  <c r="P3473" i="1"/>
  <c r="E3473" i="1"/>
  <c r="P3472" i="1"/>
  <c r="E3472" i="1"/>
  <c r="P3471" i="1"/>
  <c r="E3471" i="1"/>
  <c r="P3470" i="1"/>
  <c r="E3470" i="1"/>
  <c r="P3469" i="1"/>
  <c r="E3469" i="1"/>
  <c r="P3468" i="1"/>
  <c r="E3468" i="1"/>
  <c r="P3467" i="1"/>
  <c r="E3467" i="1"/>
  <c r="P3466" i="1"/>
  <c r="E3466" i="1"/>
  <c r="P3465" i="1"/>
  <c r="E3465" i="1"/>
  <c r="P3464" i="1"/>
  <c r="E3464" i="1"/>
  <c r="P3463" i="1"/>
  <c r="E3463" i="1"/>
  <c r="P3462" i="1"/>
  <c r="E3462" i="1"/>
  <c r="P3461" i="1"/>
  <c r="E3461" i="1"/>
  <c r="P3460" i="1"/>
  <c r="E3460" i="1"/>
  <c r="P3459" i="1"/>
  <c r="E3459" i="1"/>
  <c r="P3458" i="1"/>
  <c r="E3458" i="1"/>
  <c r="P3457" i="1"/>
  <c r="E3457" i="1"/>
  <c r="P3456" i="1"/>
  <c r="E3456" i="1"/>
  <c r="P3455" i="1"/>
  <c r="E3455" i="1"/>
  <c r="P3454" i="1"/>
  <c r="E3454" i="1"/>
  <c r="P3453" i="1"/>
  <c r="E3453" i="1"/>
  <c r="P3452" i="1"/>
  <c r="E3452" i="1"/>
  <c r="P3451" i="1"/>
  <c r="E3451" i="1"/>
  <c r="P3450" i="1"/>
  <c r="E3450" i="1"/>
  <c r="P3449" i="1"/>
  <c r="E3449" i="1"/>
  <c r="P3448" i="1"/>
  <c r="E3448" i="1"/>
  <c r="P3447" i="1"/>
  <c r="E3447" i="1"/>
  <c r="P3446" i="1"/>
  <c r="E3446" i="1"/>
  <c r="P3445" i="1"/>
  <c r="E3445" i="1"/>
  <c r="P3444" i="1"/>
  <c r="E3444" i="1"/>
  <c r="P3443" i="1"/>
  <c r="E3443" i="1"/>
  <c r="P3442" i="1"/>
  <c r="E3442" i="1"/>
  <c r="P3441" i="1"/>
  <c r="E3441" i="1"/>
  <c r="P3440" i="1"/>
  <c r="E3440" i="1"/>
  <c r="P3439" i="1"/>
  <c r="E3439" i="1"/>
  <c r="P3438" i="1"/>
  <c r="E3438" i="1"/>
  <c r="P3437" i="1"/>
  <c r="E3437" i="1"/>
  <c r="P3436" i="1"/>
  <c r="E3436" i="1"/>
  <c r="P3435" i="1"/>
  <c r="E3435" i="1"/>
  <c r="P3434" i="1"/>
  <c r="E3434" i="1"/>
  <c r="P3433" i="1"/>
  <c r="E3433" i="1"/>
  <c r="P3432" i="1"/>
  <c r="E3432" i="1"/>
  <c r="P3431" i="1"/>
  <c r="E3431" i="1"/>
  <c r="P3430" i="1"/>
  <c r="E3430" i="1"/>
  <c r="P3429" i="1"/>
  <c r="E3429" i="1"/>
  <c r="P3428" i="1"/>
  <c r="E3428" i="1"/>
  <c r="P3427" i="1"/>
  <c r="E3427" i="1"/>
  <c r="P3426" i="1"/>
  <c r="E3426" i="1"/>
  <c r="P3425" i="1"/>
  <c r="E3425" i="1"/>
  <c r="P3424" i="1"/>
  <c r="E3424" i="1"/>
  <c r="P3423" i="1"/>
  <c r="E3423" i="1"/>
  <c r="P3422" i="1"/>
  <c r="E3422" i="1"/>
  <c r="P3421" i="1"/>
  <c r="E3421" i="1"/>
  <c r="P3420" i="1"/>
  <c r="E3420" i="1"/>
  <c r="P3419" i="1"/>
  <c r="E3419" i="1"/>
  <c r="P3418" i="1"/>
  <c r="E3418" i="1"/>
  <c r="P3417" i="1"/>
  <c r="E3417" i="1"/>
  <c r="P3416" i="1"/>
  <c r="E3416" i="1"/>
  <c r="P3415" i="1"/>
  <c r="E3415" i="1"/>
  <c r="P3414" i="1"/>
  <c r="E3414" i="1"/>
  <c r="P3413" i="1"/>
  <c r="E3413" i="1"/>
  <c r="P3412" i="1"/>
  <c r="E3412" i="1"/>
  <c r="P3411" i="1"/>
  <c r="E3411" i="1"/>
  <c r="P3410" i="1"/>
  <c r="E3410" i="1"/>
  <c r="P3409" i="1"/>
  <c r="E3409" i="1"/>
  <c r="P3408" i="1"/>
  <c r="E3408" i="1"/>
  <c r="P3407" i="1"/>
  <c r="E3407" i="1"/>
  <c r="P3406" i="1"/>
  <c r="E3406" i="1"/>
  <c r="P3405" i="1"/>
  <c r="E3405" i="1"/>
  <c r="P3404" i="1"/>
  <c r="E3404" i="1"/>
  <c r="P3403" i="1"/>
  <c r="E3403" i="1"/>
  <c r="P3402" i="1"/>
  <c r="E3402" i="1"/>
  <c r="P3401" i="1"/>
  <c r="E3401" i="1"/>
  <c r="P3400" i="1"/>
  <c r="E3400" i="1"/>
  <c r="P3399" i="1"/>
  <c r="E3399" i="1"/>
  <c r="P3398" i="1"/>
  <c r="E3398" i="1"/>
  <c r="P3397" i="1"/>
  <c r="E3397" i="1"/>
  <c r="P3396" i="1"/>
  <c r="E3396" i="1"/>
  <c r="P3395" i="1"/>
  <c r="E3395" i="1"/>
  <c r="P3394" i="1"/>
  <c r="E3394" i="1"/>
  <c r="P3393" i="1"/>
  <c r="E3393" i="1"/>
  <c r="P3392" i="1"/>
  <c r="E3392" i="1"/>
  <c r="P3391" i="1"/>
  <c r="E3391" i="1"/>
  <c r="P3390" i="1"/>
  <c r="E3390" i="1"/>
  <c r="P3389" i="1"/>
  <c r="E3389" i="1"/>
  <c r="P3388" i="1"/>
  <c r="E3388" i="1"/>
  <c r="P3387" i="1"/>
  <c r="E3387" i="1"/>
  <c r="P3386" i="1"/>
  <c r="E3386" i="1"/>
  <c r="P3385" i="1"/>
  <c r="E3385" i="1"/>
  <c r="P3384" i="1"/>
  <c r="E3384" i="1"/>
  <c r="P3383" i="1"/>
  <c r="E3383" i="1"/>
  <c r="P3382" i="1"/>
  <c r="E3382" i="1"/>
  <c r="P3381" i="1"/>
  <c r="E3381" i="1"/>
  <c r="P3380" i="1"/>
  <c r="E3380" i="1"/>
  <c r="P3379" i="1"/>
  <c r="E3379" i="1"/>
  <c r="P3378" i="1"/>
  <c r="E3378" i="1"/>
  <c r="P3377" i="1"/>
  <c r="E3377" i="1"/>
  <c r="P3376" i="1"/>
  <c r="E3376" i="1"/>
  <c r="P3375" i="1"/>
  <c r="E3375" i="1"/>
  <c r="P3374" i="1"/>
  <c r="E3374" i="1"/>
  <c r="P3373" i="1"/>
  <c r="E3373" i="1"/>
  <c r="P3372" i="1"/>
  <c r="E3372" i="1"/>
  <c r="P3371" i="1"/>
  <c r="E3371" i="1"/>
  <c r="P3370" i="1"/>
  <c r="E3370" i="1"/>
  <c r="P3369" i="1"/>
  <c r="E3369" i="1"/>
  <c r="P3368" i="1"/>
  <c r="E3368" i="1"/>
  <c r="P3367" i="1"/>
  <c r="E3367" i="1"/>
  <c r="P3366" i="1"/>
  <c r="E3366" i="1"/>
  <c r="P3365" i="1"/>
  <c r="E3365" i="1"/>
  <c r="P3364" i="1"/>
  <c r="E3364" i="1"/>
  <c r="P3363" i="1"/>
  <c r="E3363" i="1"/>
  <c r="P3362" i="1"/>
  <c r="E3362" i="1"/>
  <c r="P3361" i="1"/>
  <c r="E3361" i="1"/>
  <c r="P3360" i="1"/>
  <c r="E3360" i="1"/>
  <c r="P3359" i="1"/>
  <c r="E3359" i="1"/>
  <c r="P3358" i="1"/>
  <c r="E3358" i="1"/>
  <c r="P3357" i="1"/>
  <c r="E3357" i="1"/>
  <c r="P3356" i="1"/>
  <c r="E3356" i="1"/>
  <c r="P3355" i="1"/>
  <c r="E3355" i="1"/>
  <c r="P3354" i="1"/>
  <c r="E3354" i="1"/>
  <c r="P3353" i="1"/>
  <c r="E3353" i="1"/>
  <c r="P3352" i="1"/>
  <c r="E3352" i="1"/>
  <c r="P3351" i="1"/>
  <c r="E3351" i="1"/>
  <c r="P3350" i="1"/>
  <c r="E3350" i="1"/>
  <c r="P3349" i="1"/>
  <c r="E3349" i="1"/>
  <c r="P3348" i="1"/>
  <c r="E3348" i="1"/>
  <c r="P3347" i="1"/>
  <c r="E3347" i="1"/>
  <c r="P3346" i="1"/>
  <c r="E3346" i="1"/>
  <c r="P3345" i="1"/>
  <c r="E3345" i="1"/>
  <c r="P3344" i="1"/>
  <c r="E3344" i="1"/>
  <c r="P3343" i="1"/>
  <c r="E3343" i="1"/>
  <c r="P3342" i="1"/>
  <c r="E3342" i="1"/>
  <c r="P3341" i="1"/>
  <c r="E3341" i="1"/>
  <c r="P3340" i="1"/>
  <c r="E3340" i="1"/>
  <c r="P3339" i="1"/>
  <c r="E3339" i="1"/>
  <c r="P3338" i="1"/>
  <c r="E3338" i="1"/>
  <c r="P3337" i="1"/>
  <c r="E3337" i="1"/>
  <c r="P3336" i="1"/>
  <c r="E3336" i="1"/>
  <c r="P3335" i="1"/>
  <c r="E3335" i="1"/>
  <c r="P3334" i="1"/>
  <c r="E3334" i="1"/>
  <c r="P3333" i="1"/>
  <c r="E3333" i="1"/>
  <c r="P3332" i="1"/>
  <c r="E3332" i="1"/>
  <c r="P3331" i="1"/>
  <c r="E3331" i="1"/>
  <c r="P3330" i="1"/>
  <c r="E3330" i="1"/>
  <c r="P3329" i="1"/>
  <c r="E3329" i="1"/>
  <c r="P3328" i="1"/>
  <c r="E3328" i="1"/>
  <c r="P3327" i="1"/>
  <c r="E3327" i="1"/>
  <c r="P3326" i="1"/>
  <c r="E3326" i="1"/>
  <c r="P3325" i="1"/>
  <c r="E3325" i="1"/>
  <c r="P3324" i="1"/>
  <c r="E3324" i="1"/>
  <c r="P3323" i="1"/>
  <c r="E3323" i="1"/>
  <c r="P3322" i="1"/>
  <c r="E3322" i="1"/>
  <c r="P3321" i="1"/>
  <c r="E3321" i="1"/>
  <c r="P3320" i="1"/>
  <c r="E3320" i="1"/>
  <c r="P3319" i="1"/>
  <c r="E3319" i="1"/>
  <c r="P3318" i="1"/>
  <c r="E3318" i="1"/>
  <c r="P3317" i="1"/>
  <c r="E3317" i="1"/>
  <c r="P3316" i="1"/>
  <c r="E3316" i="1"/>
  <c r="P3315" i="1"/>
  <c r="E3315" i="1"/>
  <c r="P3314" i="1"/>
  <c r="E3314" i="1"/>
  <c r="P3313" i="1"/>
  <c r="E3313" i="1"/>
  <c r="P3312" i="1"/>
  <c r="E3312" i="1"/>
  <c r="P3311" i="1"/>
  <c r="E3311" i="1"/>
  <c r="P3310" i="1"/>
  <c r="E3310" i="1"/>
  <c r="P3309" i="1"/>
  <c r="E3309" i="1"/>
  <c r="P3308" i="1"/>
  <c r="E3308" i="1"/>
  <c r="P3307" i="1"/>
  <c r="E3307" i="1"/>
  <c r="P3306" i="1"/>
  <c r="E3306" i="1"/>
  <c r="P3305" i="1"/>
  <c r="E3305" i="1"/>
  <c r="P3304" i="1"/>
  <c r="E3304" i="1"/>
  <c r="P3303" i="1"/>
  <c r="E3303" i="1"/>
  <c r="P3302" i="1"/>
  <c r="E3302" i="1"/>
  <c r="P3301" i="1"/>
  <c r="E3301" i="1"/>
  <c r="P3300" i="1"/>
  <c r="E3300" i="1"/>
  <c r="P3299" i="1"/>
  <c r="E3299" i="1"/>
  <c r="P3298" i="1"/>
  <c r="E3298" i="1"/>
  <c r="P3297" i="1"/>
  <c r="E3297" i="1"/>
  <c r="P3296" i="1"/>
  <c r="E3296" i="1"/>
  <c r="P3295" i="1"/>
  <c r="E3295" i="1"/>
  <c r="P3294" i="1"/>
  <c r="E3294" i="1"/>
  <c r="P3293" i="1"/>
  <c r="E3293" i="1"/>
  <c r="P3292" i="1"/>
  <c r="E3292" i="1"/>
  <c r="P3291" i="1"/>
  <c r="E3291" i="1"/>
  <c r="P3290" i="1"/>
  <c r="E3290" i="1"/>
  <c r="P3289" i="1"/>
  <c r="E3289" i="1"/>
  <c r="P3288" i="1"/>
  <c r="E3288" i="1"/>
  <c r="P3287" i="1"/>
  <c r="E3287" i="1"/>
  <c r="P3286" i="1"/>
  <c r="E3286" i="1"/>
  <c r="P3285" i="1"/>
  <c r="E3285" i="1"/>
  <c r="P3284" i="1"/>
  <c r="E3284" i="1"/>
  <c r="P3283" i="1"/>
  <c r="E3283" i="1"/>
  <c r="P3282" i="1"/>
  <c r="E3282" i="1"/>
  <c r="P3281" i="1"/>
  <c r="E3281" i="1"/>
  <c r="P3280" i="1"/>
  <c r="E3280" i="1"/>
  <c r="P3279" i="1"/>
  <c r="E3279" i="1"/>
  <c r="P3278" i="1"/>
  <c r="E3278" i="1"/>
  <c r="P3277" i="1"/>
  <c r="E3277" i="1"/>
  <c r="P3276" i="1"/>
  <c r="E3276" i="1"/>
  <c r="P3275" i="1"/>
  <c r="E3275" i="1"/>
  <c r="P3274" i="1"/>
  <c r="E3274" i="1"/>
  <c r="P3273" i="1"/>
  <c r="E3273" i="1"/>
  <c r="P3272" i="1"/>
  <c r="E3272" i="1"/>
  <c r="P3271" i="1"/>
  <c r="E3271" i="1"/>
  <c r="P3270" i="1"/>
  <c r="E3270" i="1"/>
  <c r="P3269" i="1"/>
  <c r="E3269" i="1"/>
  <c r="P3268" i="1"/>
  <c r="E3268" i="1"/>
  <c r="P3267" i="1"/>
  <c r="E3267" i="1"/>
  <c r="P3266" i="1"/>
  <c r="E3266" i="1"/>
  <c r="P3265" i="1"/>
  <c r="E3265" i="1"/>
  <c r="P3264" i="1"/>
  <c r="E3264" i="1"/>
  <c r="P3263" i="1"/>
  <c r="E3263" i="1"/>
  <c r="P3262" i="1"/>
  <c r="E3262" i="1"/>
  <c r="P3261" i="1"/>
  <c r="E3261" i="1"/>
  <c r="P3260" i="1"/>
  <c r="E3260" i="1"/>
  <c r="P3259" i="1"/>
  <c r="E3259" i="1"/>
  <c r="P3258" i="1"/>
  <c r="E3258" i="1"/>
  <c r="P3257" i="1"/>
  <c r="E3257" i="1"/>
  <c r="P3256" i="1"/>
  <c r="E3256" i="1"/>
  <c r="P3255" i="1"/>
  <c r="E3255" i="1"/>
  <c r="P3254" i="1"/>
  <c r="E3254" i="1"/>
  <c r="P3253" i="1"/>
  <c r="E3253" i="1"/>
  <c r="P3252" i="1"/>
  <c r="E3252" i="1"/>
  <c r="P3251" i="1"/>
  <c r="E3251" i="1"/>
  <c r="P3250" i="1"/>
  <c r="E3250" i="1"/>
  <c r="P3249" i="1"/>
  <c r="E3249" i="1"/>
  <c r="P3248" i="1"/>
  <c r="E3248" i="1"/>
  <c r="P3247" i="1"/>
  <c r="E3247" i="1"/>
  <c r="P3246" i="1"/>
  <c r="E3246" i="1"/>
  <c r="P3245" i="1"/>
  <c r="E3245" i="1"/>
  <c r="P3244" i="1"/>
  <c r="E3244" i="1"/>
  <c r="P3243" i="1"/>
  <c r="E3243" i="1"/>
  <c r="P3242" i="1"/>
  <c r="E3242" i="1"/>
  <c r="P3241" i="1"/>
  <c r="E3241" i="1"/>
  <c r="P3240" i="1"/>
  <c r="E3240" i="1"/>
  <c r="P3239" i="1"/>
  <c r="E3239" i="1"/>
  <c r="P3238" i="1"/>
  <c r="E3238" i="1"/>
  <c r="P3237" i="1"/>
  <c r="E3237" i="1"/>
  <c r="P3236" i="1"/>
  <c r="E3236" i="1"/>
  <c r="P3235" i="1"/>
  <c r="E3235" i="1"/>
  <c r="P3234" i="1"/>
  <c r="E3234" i="1"/>
  <c r="P3233" i="1"/>
  <c r="E3233" i="1"/>
  <c r="P3232" i="1"/>
  <c r="E3232" i="1"/>
  <c r="P3231" i="1"/>
  <c r="E3231" i="1"/>
  <c r="P3230" i="1"/>
  <c r="E3230" i="1"/>
  <c r="P3229" i="1"/>
  <c r="E3229" i="1"/>
  <c r="P3228" i="1"/>
  <c r="E3228" i="1"/>
  <c r="P3227" i="1"/>
  <c r="E3227" i="1"/>
  <c r="P3226" i="1"/>
  <c r="E3226" i="1"/>
  <c r="P3225" i="1"/>
  <c r="E3225" i="1"/>
  <c r="P3224" i="1"/>
  <c r="E3224" i="1"/>
  <c r="P3223" i="1"/>
  <c r="E3223" i="1"/>
  <c r="P3222" i="1"/>
  <c r="E3222" i="1"/>
  <c r="P3221" i="1"/>
  <c r="E3221" i="1"/>
  <c r="P3220" i="1"/>
  <c r="E3220" i="1"/>
  <c r="P3219" i="1"/>
  <c r="E3219" i="1"/>
  <c r="P3218" i="1"/>
  <c r="E3218" i="1"/>
  <c r="P3217" i="1"/>
  <c r="E3217" i="1"/>
  <c r="P3216" i="1"/>
  <c r="E3216" i="1"/>
  <c r="P3215" i="1"/>
  <c r="E3215" i="1"/>
  <c r="P3214" i="1"/>
  <c r="E3214" i="1"/>
  <c r="P3213" i="1"/>
  <c r="E3213" i="1"/>
  <c r="P3212" i="1"/>
  <c r="E3212" i="1"/>
  <c r="P3211" i="1"/>
  <c r="E3211" i="1"/>
  <c r="P3210" i="1"/>
  <c r="E3210" i="1"/>
  <c r="P3209" i="1"/>
  <c r="E3209" i="1"/>
  <c r="P3208" i="1"/>
  <c r="E3208" i="1"/>
  <c r="P3207" i="1"/>
  <c r="E3207" i="1"/>
  <c r="P3206" i="1"/>
  <c r="E3206" i="1"/>
  <c r="P3205" i="1"/>
  <c r="E3205" i="1"/>
  <c r="P3204" i="1"/>
  <c r="E3204" i="1"/>
  <c r="P3203" i="1"/>
  <c r="E3203" i="1"/>
  <c r="P3202" i="1"/>
  <c r="E3202" i="1"/>
  <c r="P3201" i="1"/>
  <c r="E3201" i="1"/>
  <c r="P3200" i="1"/>
  <c r="E3200" i="1"/>
  <c r="P3199" i="1"/>
  <c r="E3199" i="1"/>
  <c r="P3198" i="1"/>
  <c r="E3198" i="1"/>
  <c r="P3197" i="1"/>
  <c r="E3197" i="1"/>
  <c r="P3196" i="1"/>
  <c r="E3196" i="1"/>
  <c r="P3195" i="1"/>
  <c r="E3195" i="1"/>
  <c r="P3194" i="1"/>
  <c r="E3194" i="1"/>
  <c r="P3193" i="1"/>
  <c r="E3193" i="1"/>
  <c r="P3192" i="1"/>
  <c r="E3192" i="1"/>
  <c r="P3191" i="1"/>
  <c r="E3191" i="1"/>
  <c r="P3190" i="1"/>
  <c r="E3190" i="1"/>
  <c r="P3189" i="1"/>
  <c r="E3189" i="1"/>
  <c r="P3188" i="1"/>
  <c r="E3188" i="1"/>
  <c r="P3187" i="1"/>
  <c r="E3187" i="1"/>
  <c r="P3186" i="1"/>
  <c r="E3186" i="1"/>
  <c r="P3185" i="1"/>
  <c r="E3185" i="1"/>
  <c r="P3184" i="1"/>
  <c r="E3184" i="1"/>
  <c r="P3183" i="1"/>
  <c r="E3183" i="1"/>
  <c r="P3182" i="1"/>
  <c r="E3182" i="1"/>
  <c r="P3181" i="1"/>
  <c r="E3181" i="1"/>
  <c r="P3180" i="1"/>
  <c r="E3180" i="1"/>
  <c r="P3179" i="1"/>
  <c r="E3179" i="1"/>
  <c r="P3178" i="1"/>
  <c r="E3178" i="1"/>
  <c r="P3177" i="1"/>
  <c r="E3177" i="1"/>
  <c r="P3176" i="1"/>
  <c r="E3176" i="1"/>
  <c r="P3175" i="1"/>
  <c r="E3175" i="1"/>
  <c r="P3174" i="1"/>
  <c r="E3174" i="1"/>
  <c r="P3173" i="1"/>
  <c r="E3173" i="1"/>
  <c r="P3172" i="1"/>
  <c r="E3172" i="1"/>
  <c r="P3171" i="1"/>
  <c r="E3171" i="1"/>
  <c r="P3170" i="1"/>
  <c r="E3170" i="1"/>
  <c r="P3169" i="1"/>
  <c r="E3169" i="1"/>
  <c r="P3168" i="1"/>
  <c r="E3168" i="1"/>
  <c r="P3167" i="1"/>
  <c r="E3167" i="1"/>
  <c r="P3166" i="1"/>
  <c r="E3166" i="1"/>
  <c r="P3165" i="1"/>
  <c r="E3165" i="1"/>
  <c r="P3164" i="1"/>
  <c r="E3164" i="1"/>
  <c r="P3163" i="1"/>
  <c r="E3163" i="1"/>
  <c r="P3162" i="1"/>
  <c r="E3162" i="1"/>
  <c r="P3161" i="1"/>
  <c r="E3161" i="1"/>
  <c r="P3160" i="1"/>
  <c r="E3160" i="1"/>
  <c r="P3159" i="1"/>
  <c r="E3159" i="1"/>
  <c r="P3158" i="1"/>
  <c r="E3158" i="1"/>
  <c r="P3157" i="1"/>
  <c r="E3157" i="1"/>
  <c r="P3156" i="1"/>
  <c r="E3156" i="1"/>
  <c r="P3155" i="1"/>
  <c r="E3155" i="1"/>
  <c r="P3154" i="1"/>
  <c r="E3154" i="1"/>
  <c r="P3153" i="1"/>
  <c r="E3153" i="1"/>
  <c r="P3152" i="1"/>
  <c r="E3152" i="1"/>
  <c r="P3151" i="1"/>
  <c r="E3151" i="1"/>
  <c r="P3150" i="1"/>
  <c r="E3150" i="1"/>
  <c r="P3149" i="1"/>
  <c r="E3149" i="1"/>
  <c r="P3148" i="1"/>
  <c r="E3148" i="1"/>
  <c r="P3147" i="1"/>
  <c r="E3147" i="1"/>
  <c r="P3146" i="1"/>
  <c r="E3146" i="1"/>
  <c r="P3145" i="1"/>
  <c r="E3145" i="1"/>
  <c r="P3144" i="1"/>
  <c r="E3144" i="1"/>
  <c r="P3143" i="1"/>
  <c r="E3143" i="1"/>
  <c r="P3142" i="1"/>
  <c r="E3142" i="1"/>
  <c r="P3141" i="1"/>
  <c r="E3141" i="1"/>
  <c r="P3140" i="1"/>
  <c r="E3140" i="1"/>
  <c r="P3139" i="1"/>
  <c r="E3139" i="1"/>
  <c r="P3138" i="1"/>
  <c r="E3138" i="1"/>
  <c r="P3137" i="1"/>
  <c r="E3137" i="1"/>
  <c r="P3136" i="1"/>
  <c r="E3136" i="1"/>
  <c r="P3135" i="1"/>
  <c r="E3135" i="1"/>
  <c r="P3134" i="1"/>
  <c r="E3134" i="1"/>
  <c r="P3133" i="1"/>
  <c r="E3133" i="1"/>
  <c r="P3132" i="1"/>
  <c r="E3132" i="1"/>
  <c r="P3131" i="1"/>
  <c r="E3131" i="1"/>
  <c r="P3130" i="1"/>
  <c r="E3130" i="1"/>
  <c r="P3129" i="1"/>
  <c r="E3129" i="1"/>
  <c r="P3128" i="1"/>
  <c r="E3128" i="1"/>
  <c r="P3127" i="1"/>
  <c r="E3127" i="1"/>
  <c r="P3126" i="1"/>
  <c r="E3126" i="1"/>
  <c r="P3125" i="1"/>
  <c r="E3125" i="1"/>
  <c r="P3124" i="1"/>
  <c r="E3124" i="1"/>
  <c r="P3123" i="1"/>
  <c r="E3123" i="1"/>
  <c r="P3122" i="1"/>
  <c r="E3122" i="1"/>
  <c r="P3121" i="1"/>
  <c r="E3121" i="1"/>
  <c r="P3120" i="1"/>
  <c r="E3120" i="1"/>
  <c r="P3119" i="1"/>
  <c r="E3119" i="1"/>
  <c r="P3118" i="1"/>
  <c r="E3118" i="1"/>
  <c r="P3117" i="1"/>
  <c r="E3117" i="1"/>
  <c r="P3116" i="1"/>
  <c r="E3116" i="1"/>
  <c r="P3115" i="1"/>
  <c r="E3115" i="1"/>
  <c r="P3114" i="1"/>
  <c r="E3114" i="1"/>
  <c r="P3113" i="1"/>
  <c r="E3113" i="1"/>
  <c r="P3112" i="1"/>
  <c r="E3112" i="1"/>
  <c r="P3111" i="1"/>
  <c r="E3111" i="1"/>
  <c r="P3110" i="1"/>
  <c r="E3110" i="1"/>
  <c r="P3109" i="1"/>
  <c r="E3109" i="1"/>
  <c r="P3108" i="1"/>
  <c r="E3108" i="1"/>
  <c r="P3107" i="1"/>
  <c r="E3107" i="1"/>
  <c r="P3106" i="1"/>
  <c r="E3106" i="1"/>
  <c r="P3105" i="1"/>
  <c r="E3105" i="1"/>
  <c r="P3104" i="1"/>
  <c r="E3104" i="1"/>
  <c r="P3103" i="1"/>
  <c r="E3103" i="1"/>
  <c r="P3102" i="1"/>
  <c r="E3102" i="1"/>
  <c r="P3101" i="1"/>
  <c r="E3101" i="1"/>
  <c r="P3100" i="1"/>
  <c r="E3100" i="1"/>
  <c r="P3099" i="1"/>
  <c r="E3099" i="1"/>
  <c r="P3098" i="1"/>
  <c r="E3098" i="1"/>
  <c r="P3097" i="1"/>
  <c r="E3097" i="1"/>
  <c r="P3096" i="1"/>
  <c r="E3096" i="1"/>
  <c r="P3095" i="1"/>
  <c r="E3095" i="1"/>
  <c r="P3094" i="1"/>
  <c r="E3094" i="1"/>
  <c r="P3093" i="1"/>
  <c r="E3093" i="1"/>
  <c r="P3092" i="1"/>
  <c r="E3092" i="1"/>
  <c r="P3091" i="1"/>
  <c r="E3091" i="1"/>
  <c r="P3090" i="1"/>
  <c r="E3090" i="1"/>
  <c r="P3089" i="1"/>
  <c r="E3089" i="1"/>
  <c r="P3088" i="1"/>
  <c r="E3088" i="1"/>
  <c r="P3087" i="1"/>
  <c r="E3087" i="1"/>
  <c r="P3086" i="1"/>
  <c r="E3086" i="1"/>
  <c r="P3085" i="1"/>
  <c r="E3085" i="1"/>
  <c r="P3084" i="1"/>
  <c r="E3084" i="1"/>
  <c r="P3083" i="1"/>
  <c r="E3083" i="1"/>
  <c r="P3082" i="1"/>
  <c r="E3082" i="1"/>
  <c r="P3081" i="1"/>
  <c r="E3081" i="1"/>
  <c r="P3080" i="1"/>
  <c r="E3080" i="1"/>
  <c r="P3079" i="1"/>
  <c r="E3079" i="1"/>
  <c r="P3078" i="1"/>
  <c r="E3078" i="1"/>
  <c r="P3077" i="1"/>
  <c r="E3077" i="1"/>
  <c r="P3076" i="1"/>
  <c r="E3076" i="1"/>
  <c r="P3075" i="1"/>
  <c r="E3075" i="1"/>
  <c r="P3074" i="1"/>
  <c r="E3074" i="1"/>
  <c r="P3073" i="1"/>
  <c r="E3073" i="1"/>
  <c r="P3072" i="1"/>
  <c r="E3072" i="1"/>
  <c r="P3071" i="1"/>
  <c r="E3071" i="1"/>
  <c r="P3070" i="1"/>
  <c r="E3070" i="1"/>
  <c r="P3069" i="1"/>
  <c r="E3069" i="1"/>
  <c r="P3068" i="1"/>
  <c r="E3068" i="1"/>
  <c r="P3067" i="1"/>
  <c r="E3067" i="1"/>
  <c r="P3066" i="1"/>
  <c r="E3066" i="1"/>
  <c r="P3065" i="1"/>
  <c r="E3065" i="1"/>
  <c r="P3064" i="1"/>
  <c r="E3064" i="1"/>
  <c r="P3063" i="1"/>
  <c r="E3063" i="1"/>
  <c r="P3062" i="1"/>
  <c r="E3062" i="1"/>
  <c r="P3061" i="1"/>
  <c r="E3061" i="1"/>
  <c r="P3060" i="1"/>
  <c r="E3060" i="1"/>
  <c r="P3059" i="1"/>
  <c r="E3059" i="1"/>
  <c r="P3058" i="1"/>
  <c r="E3058" i="1"/>
  <c r="P3057" i="1"/>
  <c r="E3057" i="1"/>
  <c r="P3056" i="1"/>
  <c r="E3056" i="1"/>
  <c r="P3055" i="1"/>
  <c r="E3055" i="1"/>
  <c r="P3054" i="1"/>
  <c r="E3054" i="1"/>
  <c r="P3053" i="1"/>
  <c r="E3053" i="1"/>
  <c r="P3052" i="1"/>
  <c r="E3052" i="1"/>
  <c r="P3051" i="1"/>
  <c r="E3051" i="1"/>
  <c r="P3050" i="1"/>
  <c r="E3050" i="1"/>
  <c r="P3049" i="1"/>
  <c r="E3049" i="1"/>
  <c r="P3048" i="1"/>
  <c r="E3048" i="1"/>
  <c r="P3047" i="1"/>
  <c r="E3047" i="1"/>
  <c r="P3046" i="1"/>
  <c r="E3046" i="1"/>
  <c r="P3045" i="1"/>
  <c r="E3045" i="1"/>
  <c r="P3044" i="1"/>
  <c r="E3044" i="1"/>
  <c r="P3043" i="1"/>
  <c r="E3043" i="1"/>
  <c r="P3042" i="1"/>
  <c r="E3042" i="1"/>
  <c r="P3041" i="1"/>
  <c r="E3041" i="1"/>
  <c r="P3040" i="1"/>
  <c r="E3040" i="1"/>
  <c r="P3039" i="1"/>
  <c r="E3039" i="1"/>
  <c r="P3038" i="1"/>
  <c r="E3038" i="1"/>
  <c r="P3037" i="1"/>
  <c r="E3037" i="1"/>
  <c r="P3036" i="1"/>
  <c r="E3036" i="1"/>
  <c r="P3035" i="1"/>
  <c r="E3035" i="1"/>
  <c r="P3034" i="1"/>
  <c r="E3034" i="1"/>
  <c r="P3033" i="1"/>
  <c r="E3033" i="1"/>
  <c r="P3032" i="1"/>
  <c r="E3032" i="1"/>
  <c r="P3031" i="1"/>
  <c r="E3031" i="1"/>
  <c r="P3030" i="1"/>
  <c r="E3030" i="1"/>
  <c r="P3029" i="1"/>
  <c r="E3029" i="1"/>
  <c r="P3028" i="1"/>
  <c r="E3028" i="1"/>
  <c r="P3027" i="1"/>
  <c r="E3027" i="1"/>
  <c r="P3026" i="1"/>
  <c r="E3026" i="1"/>
  <c r="P3025" i="1"/>
  <c r="E3025" i="1"/>
  <c r="P3024" i="1"/>
  <c r="E3024" i="1"/>
  <c r="P3023" i="1"/>
  <c r="E3023" i="1"/>
  <c r="P3022" i="1"/>
  <c r="E3022" i="1"/>
  <c r="P3021" i="1"/>
  <c r="E3021" i="1"/>
  <c r="P3020" i="1"/>
  <c r="E3020" i="1"/>
  <c r="P3019" i="1"/>
  <c r="E3019" i="1"/>
  <c r="P3018" i="1"/>
  <c r="E3018" i="1"/>
  <c r="P3017" i="1"/>
  <c r="E3017" i="1"/>
  <c r="P3016" i="1"/>
  <c r="E3016" i="1"/>
  <c r="P3015" i="1"/>
  <c r="E3015" i="1"/>
  <c r="P3014" i="1"/>
  <c r="E3014" i="1"/>
  <c r="P3013" i="1"/>
  <c r="E3013" i="1"/>
  <c r="P3012" i="1"/>
  <c r="E3012" i="1"/>
  <c r="P3011" i="1"/>
  <c r="E3011" i="1"/>
  <c r="P3010" i="1"/>
  <c r="E3010" i="1"/>
  <c r="P3009" i="1"/>
  <c r="E3009" i="1"/>
  <c r="P3008" i="1"/>
  <c r="E3008" i="1"/>
  <c r="P3007" i="1"/>
  <c r="E3007" i="1"/>
  <c r="P3006" i="1"/>
  <c r="E3006" i="1"/>
  <c r="P3005" i="1"/>
  <c r="E3005" i="1"/>
  <c r="P3004" i="1"/>
  <c r="E3004" i="1"/>
  <c r="P3003" i="1"/>
  <c r="E3003" i="1"/>
  <c r="P3002" i="1"/>
  <c r="E3002" i="1"/>
  <c r="P3001" i="1"/>
  <c r="E3001" i="1"/>
  <c r="P3000" i="1"/>
  <c r="E3000" i="1"/>
  <c r="P2999" i="1"/>
  <c r="E2999" i="1"/>
  <c r="P2998" i="1"/>
  <c r="E2998" i="1"/>
  <c r="P2997" i="1"/>
  <c r="E2997" i="1"/>
  <c r="P2996" i="1"/>
  <c r="E2996" i="1"/>
  <c r="P2995" i="1"/>
  <c r="E2995" i="1"/>
  <c r="P2994" i="1"/>
  <c r="E2994" i="1"/>
  <c r="P2993" i="1"/>
  <c r="E2993" i="1"/>
  <c r="P2992" i="1"/>
  <c r="E2992" i="1"/>
  <c r="P2991" i="1"/>
  <c r="E2991" i="1"/>
  <c r="P2990" i="1"/>
  <c r="E2990" i="1"/>
  <c r="P2989" i="1"/>
  <c r="E2989" i="1"/>
  <c r="P2988" i="1"/>
  <c r="E2988" i="1"/>
  <c r="P2987" i="1"/>
  <c r="E2987" i="1"/>
  <c r="P2986" i="1"/>
  <c r="E2986" i="1"/>
  <c r="P2985" i="1"/>
  <c r="E2985" i="1"/>
  <c r="P2984" i="1"/>
  <c r="E2984" i="1"/>
  <c r="P2983" i="1"/>
  <c r="E2983" i="1"/>
  <c r="P2982" i="1"/>
  <c r="E2982" i="1"/>
  <c r="P2981" i="1"/>
  <c r="E2981" i="1"/>
  <c r="P2980" i="1"/>
  <c r="E2980" i="1"/>
  <c r="P2979" i="1"/>
  <c r="E2979" i="1"/>
  <c r="P2978" i="1"/>
  <c r="E2978" i="1"/>
  <c r="P2977" i="1"/>
  <c r="E2977" i="1"/>
  <c r="P2976" i="1"/>
  <c r="E2976" i="1"/>
  <c r="P2975" i="1"/>
  <c r="E2975" i="1"/>
  <c r="P2974" i="1"/>
  <c r="E2974" i="1"/>
  <c r="P2973" i="1"/>
  <c r="E2973" i="1"/>
  <c r="P2972" i="1"/>
  <c r="E2972" i="1"/>
  <c r="P2971" i="1"/>
  <c r="E2971" i="1"/>
  <c r="P2970" i="1"/>
  <c r="E2970" i="1"/>
  <c r="P2969" i="1"/>
  <c r="E2969" i="1"/>
  <c r="P2968" i="1"/>
  <c r="E2968" i="1"/>
  <c r="P2967" i="1"/>
  <c r="E2967" i="1"/>
  <c r="P2966" i="1"/>
  <c r="E2966" i="1"/>
  <c r="P2965" i="1"/>
  <c r="E2965" i="1"/>
  <c r="P2964" i="1"/>
  <c r="E2964" i="1"/>
  <c r="P2963" i="1"/>
  <c r="E2963" i="1"/>
  <c r="P2962" i="1"/>
  <c r="E2962" i="1"/>
  <c r="P2961" i="1"/>
  <c r="E2961" i="1"/>
  <c r="P2960" i="1"/>
  <c r="E2960" i="1"/>
  <c r="P2959" i="1"/>
  <c r="E2959" i="1"/>
  <c r="P2958" i="1"/>
  <c r="E2958" i="1"/>
  <c r="P2957" i="1"/>
  <c r="E2957" i="1"/>
  <c r="P2956" i="1"/>
  <c r="E2956" i="1"/>
  <c r="P2955" i="1"/>
  <c r="E2955" i="1"/>
  <c r="P2954" i="1"/>
  <c r="E2954" i="1"/>
  <c r="P2953" i="1"/>
  <c r="E2953" i="1"/>
  <c r="P2952" i="1"/>
  <c r="E2952" i="1"/>
  <c r="P2951" i="1"/>
  <c r="E2951" i="1"/>
  <c r="P2950" i="1"/>
  <c r="E2950" i="1"/>
  <c r="P2949" i="1"/>
  <c r="E2949" i="1"/>
  <c r="P2948" i="1"/>
  <c r="E2948" i="1"/>
  <c r="P2947" i="1"/>
  <c r="E2947" i="1"/>
  <c r="P2946" i="1"/>
  <c r="E2946" i="1"/>
  <c r="P2945" i="1"/>
  <c r="E2945" i="1"/>
  <c r="P2944" i="1"/>
  <c r="E2944" i="1"/>
  <c r="P2943" i="1"/>
  <c r="E2943" i="1"/>
  <c r="P2942" i="1"/>
  <c r="E2942" i="1"/>
  <c r="P2941" i="1"/>
  <c r="E2941" i="1"/>
  <c r="P2940" i="1"/>
  <c r="E2940" i="1"/>
  <c r="P2939" i="1"/>
  <c r="E2939" i="1"/>
  <c r="P2938" i="1"/>
  <c r="E2938" i="1"/>
  <c r="P2937" i="1"/>
  <c r="E2937" i="1"/>
  <c r="P2936" i="1"/>
  <c r="E2936" i="1"/>
  <c r="P2935" i="1"/>
  <c r="E2935" i="1"/>
  <c r="P2934" i="1"/>
  <c r="E2934" i="1"/>
  <c r="P2933" i="1"/>
  <c r="E2933" i="1"/>
  <c r="P2932" i="1"/>
  <c r="E2932" i="1"/>
  <c r="P2931" i="1"/>
  <c r="E2931" i="1"/>
  <c r="P2930" i="1"/>
  <c r="E2930" i="1"/>
  <c r="P2929" i="1"/>
  <c r="E2929" i="1"/>
  <c r="P2928" i="1"/>
  <c r="E2928" i="1"/>
  <c r="P2927" i="1"/>
  <c r="E2927" i="1"/>
  <c r="P2926" i="1"/>
  <c r="E2926" i="1"/>
  <c r="P2925" i="1"/>
  <c r="E2925" i="1"/>
  <c r="P2924" i="1"/>
  <c r="E2924" i="1"/>
  <c r="P2923" i="1"/>
  <c r="E2923" i="1"/>
  <c r="P2922" i="1"/>
  <c r="E2922" i="1"/>
  <c r="P2921" i="1"/>
  <c r="E2921" i="1"/>
  <c r="P2920" i="1"/>
  <c r="E2920" i="1"/>
  <c r="P2919" i="1"/>
  <c r="E2919" i="1"/>
  <c r="P2918" i="1"/>
  <c r="E2918" i="1"/>
  <c r="P2917" i="1"/>
  <c r="E2917" i="1"/>
  <c r="P2916" i="1"/>
  <c r="E2916" i="1"/>
  <c r="P2915" i="1"/>
  <c r="E2915" i="1"/>
  <c r="P2914" i="1"/>
  <c r="E2914" i="1"/>
  <c r="P2913" i="1"/>
  <c r="E2913" i="1"/>
  <c r="P2912" i="1"/>
  <c r="E2912" i="1"/>
  <c r="P2911" i="1"/>
  <c r="E2911" i="1"/>
  <c r="P2910" i="1"/>
  <c r="E2910" i="1"/>
  <c r="P2909" i="1"/>
  <c r="E2909" i="1"/>
  <c r="P2908" i="1"/>
  <c r="E2908" i="1"/>
  <c r="P2907" i="1"/>
  <c r="E2907" i="1"/>
  <c r="P2906" i="1"/>
  <c r="E2906" i="1"/>
  <c r="P2905" i="1"/>
  <c r="E2905" i="1"/>
  <c r="P2904" i="1"/>
  <c r="E2904" i="1"/>
  <c r="P2903" i="1"/>
  <c r="E2903" i="1"/>
  <c r="P2902" i="1"/>
  <c r="E2902" i="1"/>
  <c r="P2901" i="1"/>
  <c r="E2901" i="1"/>
  <c r="P2900" i="1"/>
  <c r="E2900" i="1"/>
  <c r="P2899" i="1"/>
  <c r="E2899" i="1"/>
  <c r="P2898" i="1"/>
  <c r="E2898" i="1"/>
  <c r="P2897" i="1"/>
  <c r="E2897" i="1"/>
  <c r="P2896" i="1"/>
  <c r="E2896" i="1"/>
  <c r="P2895" i="1"/>
  <c r="E2895" i="1"/>
  <c r="P2894" i="1"/>
  <c r="E2894" i="1"/>
  <c r="P2893" i="1"/>
  <c r="E2893" i="1"/>
  <c r="P2892" i="1"/>
  <c r="E2892" i="1"/>
  <c r="P2891" i="1"/>
  <c r="E2891" i="1"/>
  <c r="P2890" i="1"/>
  <c r="E2890" i="1"/>
  <c r="P2889" i="1"/>
  <c r="E2889" i="1"/>
  <c r="P2888" i="1"/>
  <c r="E2888" i="1"/>
  <c r="P2887" i="1"/>
  <c r="E2887" i="1"/>
  <c r="P2886" i="1"/>
  <c r="E2886" i="1"/>
  <c r="P2885" i="1"/>
  <c r="E2885" i="1"/>
  <c r="P2884" i="1"/>
  <c r="E2884" i="1"/>
  <c r="P2883" i="1"/>
  <c r="E2883" i="1"/>
  <c r="P2882" i="1"/>
  <c r="E2882" i="1"/>
  <c r="P2881" i="1"/>
  <c r="E2881" i="1"/>
  <c r="P2880" i="1"/>
  <c r="E2880" i="1"/>
  <c r="P2879" i="1"/>
  <c r="E2879" i="1"/>
  <c r="P2878" i="1"/>
  <c r="E2878" i="1"/>
  <c r="P2877" i="1"/>
  <c r="E2877" i="1"/>
  <c r="P2876" i="1"/>
  <c r="E2876" i="1"/>
  <c r="P2875" i="1"/>
  <c r="E2875" i="1"/>
  <c r="P2874" i="1"/>
  <c r="E2874" i="1"/>
  <c r="P2873" i="1"/>
  <c r="E2873" i="1"/>
  <c r="P2872" i="1"/>
  <c r="E2872" i="1"/>
  <c r="P2871" i="1"/>
  <c r="E2871" i="1"/>
  <c r="P2870" i="1"/>
  <c r="E2870" i="1"/>
  <c r="P2869" i="1"/>
  <c r="E2869" i="1"/>
  <c r="P2868" i="1"/>
  <c r="E2868" i="1"/>
  <c r="P2867" i="1"/>
  <c r="E2867" i="1"/>
  <c r="P2866" i="1"/>
  <c r="E2866" i="1"/>
  <c r="P2865" i="1"/>
  <c r="E2865" i="1"/>
  <c r="P2864" i="1"/>
  <c r="E2864" i="1"/>
  <c r="P2863" i="1"/>
  <c r="E2863" i="1"/>
  <c r="P2862" i="1"/>
  <c r="E2862" i="1"/>
  <c r="P2861" i="1"/>
  <c r="E2861" i="1"/>
  <c r="P2860" i="1"/>
  <c r="E2860" i="1"/>
  <c r="P2859" i="1"/>
  <c r="E2859" i="1"/>
  <c r="P2858" i="1"/>
  <c r="E2858" i="1"/>
  <c r="P2857" i="1"/>
  <c r="E2857" i="1"/>
  <c r="P2856" i="1"/>
  <c r="E2856" i="1"/>
  <c r="P2855" i="1"/>
  <c r="E2855" i="1"/>
  <c r="P2854" i="1"/>
  <c r="E2854" i="1"/>
  <c r="P2853" i="1"/>
  <c r="E2853" i="1"/>
  <c r="P2852" i="1"/>
  <c r="E2852" i="1"/>
  <c r="P2851" i="1"/>
  <c r="E2851" i="1"/>
  <c r="P2850" i="1"/>
  <c r="E2850" i="1"/>
  <c r="P2849" i="1"/>
  <c r="E2849" i="1"/>
  <c r="P2848" i="1"/>
  <c r="E2848" i="1"/>
  <c r="P2847" i="1"/>
  <c r="E2847" i="1"/>
  <c r="P2846" i="1"/>
  <c r="E2846" i="1"/>
  <c r="P2845" i="1"/>
  <c r="E2845" i="1"/>
  <c r="P2844" i="1"/>
  <c r="E2844" i="1"/>
  <c r="P2843" i="1"/>
  <c r="E2843" i="1"/>
  <c r="P2842" i="1"/>
  <c r="E2842" i="1"/>
  <c r="P2841" i="1"/>
  <c r="E2841" i="1"/>
  <c r="P2840" i="1"/>
  <c r="E2840" i="1"/>
  <c r="P2839" i="1"/>
  <c r="E2839" i="1"/>
  <c r="P2838" i="1"/>
  <c r="E2838" i="1"/>
  <c r="P2837" i="1"/>
  <c r="E2837" i="1"/>
  <c r="P2836" i="1"/>
  <c r="E2836" i="1"/>
  <c r="P2835" i="1"/>
  <c r="E2835" i="1"/>
  <c r="P2834" i="1"/>
  <c r="E2834" i="1"/>
  <c r="P2833" i="1"/>
  <c r="E2833" i="1"/>
  <c r="P2832" i="1"/>
  <c r="E2832" i="1"/>
  <c r="P2831" i="1"/>
  <c r="E2831" i="1"/>
  <c r="P2830" i="1"/>
  <c r="E2830" i="1"/>
  <c r="P2829" i="1"/>
  <c r="E2829" i="1"/>
  <c r="P2828" i="1"/>
  <c r="E2828" i="1"/>
  <c r="P2827" i="1"/>
  <c r="E2827" i="1"/>
  <c r="P2826" i="1"/>
  <c r="E2826" i="1"/>
  <c r="P2825" i="1"/>
  <c r="E2825" i="1"/>
  <c r="P2824" i="1"/>
  <c r="E2824" i="1"/>
  <c r="P2823" i="1"/>
  <c r="E2823" i="1"/>
  <c r="P2822" i="1"/>
  <c r="E2822" i="1"/>
  <c r="P2821" i="1"/>
  <c r="E2821" i="1"/>
  <c r="P2820" i="1"/>
  <c r="E2820" i="1"/>
  <c r="P2819" i="1"/>
  <c r="E2819" i="1"/>
  <c r="P2818" i="1"/>
  <c r="E2818" i="1"/>
  <c r="P2817" i="1"/>
  <c r="E2817" i="1"/>
  <c r="P2816" i="1"/>
  <c r="E2816" i="1"/>
  <c r="P2815" i="1"/>
  <c r="E2815" i="1"/>
  <c r="P2814" i="1"/>
  <c r="E2814" i="1"/>
  <c r="P2813" i="1"/>
  <c r="E2813" i="1"/>
  <c r="P2812" i="1"/>
  <c r="E2812" i="1"/>
  <c r="P2811" i="1"/>
  <c r="E2811" i="1"/>
  <c r="P2810" i="1"/>
  <c r="E2810" i="1"/>
  <c r="P2809" i="1"/>
  <c r="E2809" i="1"/>
  <c r="P2808" i="1"/>
  <c r="E2808" i="1"/>
  <c r="P2807" i="1"/>
  <c r="E2807" i="1"/>
  <c r="P2806" i="1"/>
  <c r="E2806" i="1"/>
  <c r="P2805" i="1"/>
  <c r="E2805" i="1"/>
  <c r="P2804" i="1"/>
  <c r="E2804" i="1"/>
  <c r="P2803" i="1"/>
  <c r="E2803" i="1"/>
  <c r="P2802" i="1"/>
  <c r="E2802" i="1"/>
  <c r="P2801" i="1"/>
  <c r="E2801" i="1"/>
  <c r="P2800" i="1"/>
  <c r="E2800" i="1"/>
  <c r="P2799" i="1"/>
  <c r="E2799" i="1"/>
  <c r="P2798" i="1"/>
  <c r="E2798" i="1"/>
  <c r="P2797" i="1"/>
  <c r="E2797" i="1"/>
  <c r="P2796" i="1"/>
  <c r="E2796" i="1"/>
  <c r="P2795" i="1"/>
  <c r="E2795" i="1"/>
  <c r="P2794" i="1"/>
  <c r="E2794" i="1"/>
  <c r="P2793" i="1"/>
  <c r="E2793" i="1"/>
  <c r="P2792" i="1"/>
  <c r="E2792" i="1"/>
  <c r="P2791" i="1"/>
  <c r="E2791" i="1"/>
  <c r="P2790" i="1"/>
  <c r="E2790" i="1"/>
  <c r="P2789" i="1"/>
  <c r="E2789" i="1"/>
  <c r="P2788" i="1"/>
  <c r="E2788" i="1"/>
  <c r="P2787" i="1"/>
  <c r="E2787" i="1"/>
  <c r="P2786" i="1"/>
  <c r="E2786" i="1"/>
  <c r="P2785" i="1"/>
  <c r="E2785" i="1"/>
  <c r="P2784" i="1"/>
  <c r="E2784" i="1"/>
  <c r="P2783" i="1"/>
  <c r="E2783" i="1"/>
  <c r="P2782" i="1"/>
  <c r="E2782" i="1"/>
  <c r="P2781" i="1"/>
  <c r="E2781" i="1"/>
  <c r="P2780" i="1"/>
  <c r="E2780" i="1"/>
  <c r="P2779" i="1"/>
  <c r="E2779" i="1"/>
  <c r="P2778" i="1"/>
  <c r="E2778" i="1"/>
  <c r="P2777" i="1"/>
  <c r="E2777" i="1"/>
  <c r="P2776" i="1"/>
  <c r="E2776" i="1"/>
  <c r="P2775" i="1"/>
  <c r="E2775" i="1"/>
  <c r="P2774" i="1"/>
  <c r="E2774" i="1"/>
  <c r="P2773" i="1"/>
  <c r="E2773" i="1"/>
  <c r="P2772" i="1"/>
  <c r="E2772" i="1"/>
  <c r="P2771" i="1"/>
  <c r="E2771" i="1"/>
  <c r="P2770" i="1"/>
  <c r="E2770" i="1"/>
  <c r="P2769" i="1"/>
  <c r="E2769" i="1"/>
  <c r="P2768" i="1"/>
  <c r="E2768" i="1"/>
  <c r="P2767" i="1"/>
  <c r="E2767" i="1"/>
  <c r="P2766" i="1"/>
  <c r="E2766" i="1"/>
  <c r="P2765" i="1"/>
  <c r="E2765" i="1"/>
  <c r="P2764" i="1"/>
  <c r="E2764" i="1"/>
  <c r="P2763" i="1"/>
  <c r="E2763" i="1"/>
  <c r="P2762" i="1"/>
  <c r="E2762" i="1"/>
  <c r="P2761" i="1"/>
  <c r="E2761" i="1"/>
  <c r="P2760" i="1"/>
  <c r="E2760" i="1"/>
  <c r="P2759" i="1"/>
  <c r="E2759" i="1"/>
  <c r="P2758" i="1"/>
  <c r="E2758" i="1"/>
  <c r="P2757" i="1"/>
  <c r="E2757" i="1"/>
  <c r="P2756" i="1"/>
  <c r="E2756" i="1"/>
  <c r="P2755" i="1"/>
  <c r="E2755" i="1"/>
  <c r="P2754" i="1"/>
  <c r="E2754" i="1"/>
  <c r="P2753" i="1"/>
  <c r="E2753" i="1"/>
  <c r="P2752" i="1"/>
  <c r="E2752" i="1"/>
  <c r="P2751" i="1"/>
  <c r="E2751" i="1"/>
  <c r="P2750" i="1"/>
  <c r="E2750" i="1"/>
  <c r="P2749" i="1"/>
  <c r="E2749" i="1"/>
  <c r="P2748" i="1"/>
  <c r="E2748" i="1"/>
  <c r="P2747" i="1"/>
  <c r="E2747" i="1"/>
  <c r="P2746" i="1"/>
  <c r="E2746" i="1"/>
  <c r="P2745" i="1"/>
  <c r="E2745" i="1"/>
  <c r="P2744" i="1"/>
  <c r="E2744" i="1"/>
  <c r="P2743" i="1"/>
  <c r="E2743" i="1"/>
  <c r="P2742" i="1"/>
  <c r="E2742" i="1"/>
  <c r="P2741" i="1"/>
  <c r="E2741" i="1"/>
  <c r="P2740" i="1"/>
  <c r="E2740" i="1"/>
  <c r="P2739" i="1"/>
  <c r="E2739" i="1"/>
  <c r="P2738" i="1"/>
  <c r="E2738" i="1"/>
  <c r="P2737" i="1"/>
  <c r="E2737" i="1"/>
  <c r="P2736" i="1"/>
  <c r="E2736" i="1"/>
  <c r="P2735" i="1"/>
  <c r="E2735" i="1"/>
  <c r="P2734" i="1"/>
  <c r="E2734" i="1"/>
  <c r="P2733" i="1"/>
  <c r="E2733" i="1"/>
  <c r="P2732" i="1"/>
  <c r="E2732" i="1"/>
  <c r="P2731" i="1"/>
  <c r="E2731" i="1"/>
  <c r="P2730" i="1"/>
  <c r="E2730" i="1"/>
  <c r="P2729" i="1"/>
  <c r="E2729" i="1"/>
  <c r="P2728" i="1"/>
  <c r="E2728" i="1"/>
  <c r="P2727" i="1"/>
  <c r="E2727" i="1"/>
  <c r="P2726" i="1"/>
  <c r="E2726" i="1"/>
  <c r="P2725" i="1"/>
  <c r="E2725" i="1"/>
  <c r="P2724" i="1"/>
  <c r="E2724" i="1"/>
  <c r="P2723" i="1"/>
  <c r="E2723" i="1"/>
  <c r="P2722" i="1"/>
  <c r="E2722" i="1"/>
  <c r="P2721" i="1"/>
  <c r="E2721" i="1"/>
  <c r="P2720" i="1"/>
  <c r="E2720" i="1"/>
  <c r="P2719" i="1"/>
  <c r="E2719" i="1"/>
  <c r="P2718" i="1"/>
  <c r="E2718" i="1"/>
  <c r="P2717" i="1"/>
  <c r="E2717" i="1"/>
  <c r="P2716" i="1"/>
  <c r="E2716" i="1"/>
  <c r="P2715" i="1"/>
  <c r="E2715" i="1"/>
  <c r="P2714" i="1"/>
  <c r="E2714" i="1"/>
  <c r="P2713" i="1"/>
  <c r="E2713" i="1"/>
  <c r="P2712" i="1"/>
  <c r="E2712" i="1"/>
  <c r="P2711" i="1"/>
  <c r="E2711" i="1"/>
  <c r="P2710" i="1"/>
  <c r="E2710" i="1"/>
  <c r="P2709" i="1"/>
  <c r="E2709" i="1"/>
  <c r="P2708" i="1"/>
  <c r="E2708" i="1"/>
  <c r="P2707" i="1"/>
  <c r="E2707" i="1"/>
  <c r="P2706" i="1"/>
  <c r="E2706" i="1"/>
  <c r="P2705" i="1"/>
  <c r="E2705" i="1"/>
  <c r="P2704" i="1"/>
  <c r="E2704" i="1"/>
  <c r="P2703" i="1"/>
  <c r="E2703" i="1"/>
  <c r="P2702" i="1"/>
  <c r="E2702" i="1"/>
  <c r="P2701" i="1"/>
  <c r="E2701" i="1"/>
  <c r="P2700" i="1"/>
  <c r="E2700" i="1"/>
  <c r="P2699" i="1"/>
  <c r="E2699" i="1"/>
  <c r="P2698" i="1"/>
  <c r="E2698" i="1"/>
  <c r="P2697" i="1"/>
  <c r="E2697" i="1"/>
  <c r="P2696" i="1"/>
  <c r="E2696" i="1"/>
  <c r="P2695" i="1"/>
  <c r="E2695" i="1"/>
  <c r="P2694" i="1"/>
  <c r="E2694" i="1"/>
  <c r="P2693" i="1"/>
  <c r="E2693" i="1"/>
  <c r="P2692" i="1"/>
  <c r="E2692" i="1"/>
  <c r="P2691" i="1"/>
  <c r="E2691" i="1"/>
  <c r="P2690" i="1"/>
  <c r="E2690" i="1"/>
  <c r="P2689" i="1"/>
  <c r="E2689" i="1"/>
  <c r="P2688" i="1"/>
  <c r="E2688" i="1"/>
  <c r="P2687" i="1"/>
  <c r="E2687" i="1"/>
  <c r="P2686" i="1"/>
  <c r="E2686" i="1"/>
  <c r="P2685" i="1"/>
  <c r="E2685" i="1"/>
  <c r="P2684" i="1"/>
  <c r="E2684" i="1"/>
  <c r="P2683" i="1"/>
  <c r="E2683" i="1"/>
  <c r="P2682" i="1"/>
  <c r="E2682" i="1"/>
  <c r="P2681" i="1"/>
  <c r="E2681" i="1"/>
  <c r="P2680" i="1"/>
  <c r="E2680" i="1"/>
  <c r="P2679" i="1"/>
  <c r="E2679" i="1"/>
  <c r="P2678" i="1"/>
  <c r="E2678" i="1"/>
  <c r="P2677" i="1"/>
  <c r="E2677" i="1"/>
  <c r="P2676" i="1"/>
  <c r="E2676" i="1"/>
  <c r="P2675" i="1"/>
  <c r="E2675" i="1"/>
  <c r="P2674" i="1"/>
  <c r="E2674" i="1"/>
  <c r="P2673" i="1"/>
  <c r="E2673" i="1"/>
  <c r="P2672" i="1"/>
  <c r="E2672" i="1"/>
  <c r="P2671" i="1"/>
  <c r="E2671" i="1"/>
  <c r="P2670" i="1"/>
  <c r="E2670" i="1"/>
  <c r="P2669" i="1"/>
  <c r="E2669" i="1"/>
  <c r="P2668" i="1"/>
  <c r="E2668" i="1"/>
  <c r="P2667" i="1"/>
  <c r="E2667" i="1"/>
  <c r="P2666" i="1"/>
  <c r="E2666" i="1"/>
  <c r="P2665" i="1"/>
  <c r="E2665" i="1"/>
  <c r="P2664" i="1"/>
  <c r="E2664" i="1"/>
  <c r="P2663" i="1"/>
  <c r="E2663" i="1"/>
  <c r="P2662" i="1"/>
  <c r="E2662" i="1"/>
  <c r="P2661" i="1"/>
  <c r="E2661" i="1"/>
  <c r="P2660" i="1"/>
  <c r="E2660" i="1"/>
  <c r="P2659" i="1"/>
  <c r="E2659" i="1"/>
  <c r="P2658" i="1"/>
  <c r="E2658" i="1"/>
  <c r="P2657" i="1"/>
  <c r="E2657" i="1"/>
  <c r="P2656" i="1"/>
  <c r="E2656" i="1"/>
  <c r="P2655" i="1"/>
  <c r="E2655" i="1"/>
  <c r="P2654" i="1"/>
  <c r="E2654" i="1"/>
  <c r="P2653" i="1"/>
  <c r="E2653" i="1"/>
  <c r="P2652" i="1"/>
  <c r="E2652" i="1"/>
  <c r="P2651" i="1"/>
  <c r="E2651" i="1"/>
  <c r="P2650" i="1"/>
  <c r="E2650" i="1"/>
  <c r="P2649" i="1"/>
  <c r="E2649" i="1"/>
  <c r="P2648" i="1"/>
  <c r="E2648" i="1"/>
  <c r="P2647" i="1"/>
  <c r="E2647" i="1"/>
  <c r="P2646" i="1"/>
  <c r="E2646" i="1"/>
  <c r="P2645" i="1"/>
  <c r="E2645" i="1"/>
  <c r="P2644" i="1"/>
  <c r="E2644" i="1"/>
  <c r="P2643" i="1"/>
  <c r="E2643" i="1"/>
  <c r="P2642" i="1"/>
  <c r="E2642" i="1"/>
  <c r="P2641" i="1"/>
  <c r="E2641" i="1"/>
  <c r="P2640" i="1"/>
  <c r="E2640" i="1"/>
  <c r="P2639" i="1"/>
  <c r="E2639" i="1"/>
  <c r="P2638" i="1"/>
  <c r="E2638" i="1"/>
  <c r="P2637" i="1"/>
  <c r="E2637" i="1"/>
  <c r="P2636" i="1"/>
  <c r="E2636" i="1"/>
  <c r="P2635" i="1"/>
  <c r="E2635" i="1"/>
  <c r="P2634" i="1"/>
  <c r="E2634" i="1"/>
  <c r="P2633" i="1"/>
  <c r="E2633" i="1"/>
  <c r="P2632" i="1"/>
  <c r="E2632" i="1"/>
  <c r="P2631" i="1"/>
  <c r="E2631" i="1"/>
  <c r="P2630" i="1"/>
  <c r="E2630" i="1"/>
  <c r="P2629" i="1"/>
  <c r="E2629" i="1"/>
  <c r="P2628" i="1"/>
  <c r="E2628" i="1"/>
  <c r="P2627" i="1"/>
  <c r="E2627" i="1"/>
  <c r="P2626" i="1"/>
  <c r="E2626" i="1"/>
  <c r="P2625" i="1"/>
  <c r="E2625" i="1"/>
  <c r="P2624" i="1"/>
  <c r="E2624" i="1"/>
  <c r="P2623" i="1"/>
  <c r="E2623" i="1"/>
  <c r="P2622" i="1"/>
  <c r="E2622" i="1"/>
  <c r="P2621" i="1"/>
  <c r="E2621" i="1"/>
  <c r="P2620" i="1"/>
  <c r="E2620" i="1"/>
  <c r="P2619" i="1"/>
  <c r="E2619" i="1"/>
  <c r="P2618" i="1"/>
  <c r="E2618" i="1"/>
  <c r="P2617" i="1"/>
  <c r="E2617" i="1"/>
  <c r="P2616" i="1"/>
  <c r="E2616" i="1"/>
  <c r="P2615" i="1"/>
  <c r="E2615" i="1"/>
  <c r="P2614" i="1"/>
  <c r="E2614" i="1"/>
  <c r="P2613" i="1"/>
  <c r="E2613" i="1"/>
  <c r="P2612" i="1"/>
  <c r="E2612" i="1"/>
  <c r="P2611" i="1"/>
  <c r="E2611" i="1"/>
  <c r="P2610" i="1"/>
  <c r="E2610" i="1"/>
  <c r="P2609" i="1"/>
  <c r="E2609" i="1"/>
  <c r="P2608" i="1"/>
  <c r="E2608" i="1"/>
  <c r="P2607" i="1"/>
  <c r="E2607" i="1"/>
  <c r="P2606" i="1"/>
  <c r="E2606" i="1"/>
  <c r="P2605" i="1"/>
  <c r="E2605" i="1"/>
  <c r="P2604" i="1"/>
  <c r="E2604" i="1"/>
  <c r="P2603" i="1"/>
  <c r="E2603" i="1"/>
  <c r="P2602" i="1"/>
  <c r="E2602" i="1"/>
  <c r="P2601" i="1"/>
  <c r="E2601" i="1"/>
  <c r="P2600" i="1"/>
  <c r="E2600" i="1"/>
  <c r="P2599" i="1"/>
  <c r="E2599" i="1"/>
  <c r="P2598" i="1"/>
  <c r="E2598" i="1"/>
  <c r="P2597" i="1"/>
  <c r="E2597" i="1"/>
  <c r="P2596" i="1"/>
  <c r="E2596" i="1"/>
  <c r="P2595" i="1"/>
  <c r="E2595" i="1"/>
  <c r="P2594" i="1"/>
  <c r="E2594" i="1"/>
  <c r="P2593" i="1"/>
  <c r="E2593" i="1"/>
  <c r="P2592" i="1"/>
  <c r="E2592" i="1"/>
  <c r="P2591" i="1"/>
  <c r="E2591" i="1"/>
  <c r="P2590" i="1"/>
  <c r="E2590" i="1"/>
  <c r="P2589" i="1"/>
  <c r="E2589" i="1"/>
  <c r="P2588" i="1"/>
  <c r="E2588" i="1"/>
  <c r="P2587" i="1"/>
  <c r="E2587" i="1"/>
  <c r="P2586" i="1"/>
  <c r="E2586" i="1"/>
  <c r="P2585" i="1"/>
  <c r="E2585" i="1"/>
  <c r="P2584" i="1"/>
  <c r="E2584" i="1"/>
  <c r="P2583" i="1"/>
  <c r="E2583" i="1"/>
  <c r="P2582" i="1"/>
  <c r="E2582" i="1"/>
  <c r="P2581" i="1"/>
  <c r="E2581" i="1"/>
  <c r="P2580" i="1"/>
  <c r="E2580" i="1"/>
  <c r="P2579" i="1"/>
  <c r="E2579" i="1"/>
  <c r="P2578" i="1"/>
  <c r="E2578" i="1"/>
  <c r="P2577" i="1"/>
  <c r="E2577" i="1"/>
  <c r="P2576" i="1"/>
  <c r="E2576" i="1"/>
  <c r="P2575" i="1"/>
  <c r="E2575" i="1"/>
  <c r="P2574" i="1"/>
  <c r="E2574" i="1"/>
  <c r="P2573" i="1"/>
  <c r="E2573" i="1"/>
  <c r="P2572" i="1"/>
  <c r="E2572" i="1"/>
  <c r="P2571" i="1"/>
  <c r="E2571" i="1"/>
  <c r="P2570" i="1"/>
  <c r="E2570" i="1"/>
  <c r="P2569" i="1"/>
  <c r="E2569" i="1"/>
  <c r="P2568" i="1"/>
  <c r="E2568" i="1"/>
  <c r="P2567" i="1"/>
  <c r="E2567" i="1"/>
  <c r="P2566" i="1"/>
  <c r="E2566" i="1"/>
  <c r="P2565" i="1"/>
  <c r="E2565" i="1"/>
  <c r="P2564" i="1"/>
  <c r="E2564" i="1"/>
  <c r="P2563" i="1"/>
  <c r="E2563" i="1"/>
  <c r="P2562" i="1"/>
  <c r="E2562" i="1"/>
  <c r="P2561" i="1"/>
  <c r="E2561" i="1"/>
  <c r="P2560" i="1"/>
  <c r="E2560" i="1"/>
  <c r="P2559" i="1"/>
  <c r="E2559" i="1"/>
  <c r="P2558" i="1"/>
  <c r="E2558" i="1"/>
  <c r="P2557" i="1"/>
  <c r="E2557" i="1"/>
  <c r="P2556" i="1"/>
  <c r="E2556" i="1"/>
  <c r="P2555" i="1"/>
  <c r="E2555" i="1"/>
  <c r="P2554" i="1"/>
  <c r="E2554" i="1"/>
  <c r="P2553" i="1"/>
  <c r="E2553" i="1"/>
  <c r="P2552" i="1"/>
  <c r="E2552" i="1"/>
  <c r="P2551" i="1"/>
  <c r="E2551" i="1"/>
  <c r="P2550" i="1"/>
  <c r="E2550" i="1"/>
  <c r="P2549" i="1"/>
  <c r="E2549" i="1"/>
  <c r="P2548" i="1"/>
  <c r="E2548" i="1"/>
  <c r="P2547" i="1"/>
  <c r="E2547" i="1"/>
  <c r="P2546" i="1"/>
  <c r="E2546" i="1"/>
  <c r="P2545" i="1"/>
  <c r="E2545" i="1"/>
  <c r="P2544" i="1"/>
  <c r="E2544" i="1"/>
  <c r="P2543" i="1"/>
  <c r="E2543" i="1"/>
  <c r="P2542" i="1"/>
  <c r="E2542" i="1"/>
  <c r="P2541" i="1"/>
  <c r="E2541" i="1"/>
  <c r="P2540" i="1"/>
  <c r="E2540" i="1"/>
  <c r="P2539" i="1"/>
  <c r="E2539" i="1"/>
  <c r="P2538" i="1"/>
  <c r="E2538" i="1"/>
  <c r="P2537" i="1"/>
  <c r="E2537" i="1"/>
  <c r="P2536" i="1"/>
  <c r="E2536" i="1"/>
  <c r="P2535" i="1"/>
  <c r="E2535" i="1"/>
  <c r="P2534" i="1"/>
  <c r="E2534" i="1"/>
  <c r="P2533" i="1"/>
  <c r="E2533" i="1"/>
  <c r="P2532" i="1"/>
  <c r="E2532" i="1"/>
  <c r="P2531" i="1"/>
  <c r="E2531" i="1"/>
  <c r="P2530" i="1"/>
  <c r="E2530" i="1"/>
  <c r="P2529" i="1"/>
  <c r="E2529" i="1"/>
  <c r="P2528" i="1"/>
  <c r="E2528" i="1"/>
  <c r="P2527" i="1"/>
  <c r="E2527" i="1"/>
  <c r="P2526" i="1"/>
  <c r="E2526" i="1"/>
  <c r="P2525" i="1"/>
  <c r="E2525" i="1"/>
  <c r="P2524" i="1"/>
  <c r="E2524" i="1"/>
  <c r="P2523" i="1"/>
  <c r="E2523" i="1"/>
  <c r="P2522" i="1"/>
  <c r="E2522" i="1"/>
  <c r="P2521" i="1"/>
  <c r="E2521" i="1"/>
  <c r="P2520" i="1"/>
  <c r="E2520" i="1"/>
  <c r="P2519" i="1"/>
  <c r="E2519" i="1"/>
  <c r="P2518" i="1"/>
  <c r="E2518" i="1"/>
  <c r="P2517" i="1"/>
  <c r="E2517" i="1"/>
  <c r="P2516" i="1"/>
  <c r="E2516" i="1"/>
  <c r="P2515" i="1"/>
  <c r="E2515" i="1"/>
  <c r="P2514" i="1"/>
  <c r="E2514" i="1"/>
  <c r="P2513" i="1"/>
  <c r="E2513" i="1"/>
  <c r="P2512" i="1"/>
  <c r="E2512" i="1"/>
  <c r="P2511" i="1"/>
  <c r="E2511" i="1"/>
  <c r="P2510" i="1"/>
  <c r="E2510" i="1"/>
  <c r="P2509" i="1"/>
  <c r="E2509" i="1"/>
  <c r="P2508" i="1"/>
  <c r="E2508" i="1"/>
  <c r="P2507" i="1"/>
  <c r="E2507" i="1"/>
  <c r="P2506" i="1"/>
  <c r="E2506" i="1"/>
  <c r="P2505" i="1"/>
  <c r="E2505" i="1"/>
  <c r="P2504" i="1"/>
  <c r="E2504" i="1"/>
  <c r="P2503" i="1"/>
  <c r="E2503" i="1"/>
  <c r="P2502" i="1"/>
  <c r="E2502" i="1"/>
  <c r="P2501" i="1"/>
  <c r="E2501" i="1"/>
  <c r="P2500" i="1"/>
  <c r="E2500" i="1"/>
  <c r="P2499" i="1"/>
  <c r="E2499" i="1"/>
  <c r="P2498" i="1"/>
  <c r="E2498" i="1"/>
  <c r="P2497" i="1"/>
  <c r="E2497" i="1"/>
  <c r="P2496" i="1"/>
  <c r="E2496" i="1"/>
  <c r="P2495" i="1"/>
  <c r="E2495" i="1"/>
  <c r="P2494" i="1"/>
  <c r="E2494" i="1"/>
  <c r="P2493" i="1"/>
  <c r="E2493" i="1"/>
  <c r="P2492" i="1"/>
  <c r="E2492" i="1"/>
  <c r="P2491" i="1"/>
  <c r="E2491" i="1"/>
  <c r="P2490" i="1"/>
  <c r="E2490" i="1"/>
  <c r="P2489" i="1"/>
  <c r="E2489" i="1"/>
  <c r="P2488" i="1"/>
  <c r="E2488" i="1"/>
  <c r="P2487" i="1"/>
  <c r="E2487" i="1"/>
  <c r="P2486" i="1"/>
  <c r="E2486" i="1"/>
  <c r="P2485" i="1"/>
  <c r="E2485" i="1"/>
  <c r="P2484" i="1"/>
  <c r="E2484" i="1"/>
  <c r="P2483" i="1"/>
  <c r="E2483" i="1"/>
  <c r="P2482" i="1"/>
  <c r="E2482" i="1"/>
  <c r="P2481" i="1"/>
  <c r="E2481" i="1"/>
  <c r="P2480" i="1"/>
  <c r="E2480" i="1"/>
  <c r="P2479" i="1"/>
  <c r="E2479" i="1"/>
  <c r="P2478" i="1"/>
  <c r="E2478" i="1"/>
  <c r="P2477" i="1"/>
  <c r="E2477" i="1"/>
  <c r="P2476" i="1"/>
  <c r="E2476" i="1"/>
  <c r="P2475" i="1"/>
  <c r="E2475" i="1"/>
  <c r="P2474" i="1"/>
  <c r="E2474" i="1"/>
  <c r="P2473" i="1"/>
  <c r="E2473" i="1"/>
  <c r="P2472" i="1"/>
  <c r="E2472" i="1"/>
  <c r="P2471" i="1"/>
  <c r="E2471" i="1"/>
  <c r="P2470" i="1"/>
  <c r="E2470" i="1"/>
  <c r="P2469" i="1"/>
  <c r="E2469" i="1"/>
  <c r="P2468" i="1"/>
  <c r="E2468" i="1"/>
  <c r="P2467" i="1"/>
  <c r="E2467" i="1"/>
  <c r="P2466" i="1"/>
  <c r="E2466" i="1"/>
  <c r="P2465" i="1"/>
  <c r="E2465" i="1"/>
  <c r="P2464" i="1"/>
  <c r="E2464" i="1"/>
  <c r="P2463" i="1"/>
  <c r="E2463" i="1"/>
  <c r="P2462" i="1"/>
  <c r="E2462" i="1"/>
  <c r="P2461" i="1"/>
  <c r="E2461" i="1"/>
  <c r="P2460" i="1"/>
  <c r="E2460" i="1"/>
  <c r="P2459" i="1"/>
  <c r="E2459" i="1"/>
  <c r="P2458" i="1"/>
  <c r="E2458" i="1"/>
  <c r="P2457" i="1"/>
  <c r="E2457" i="1"/>
  <c r="P2456" i="1"/>
  <c r="E2456" i="1"/>
  <c r="P2455" i="1"/>
  <c r="E2455" i="1"/>
  <c r="P2454" i="1"/>
  <c r="E2454" i="1"/>
  <c r="P2453" i="1"/>
  <c r="E2453" i="1"/>
  <c r="P2452" i="1"/>
  <c r="E2452" i="1"/>
  <c r="P2451" i="1"/>
  <c r="E2451" i="1"/>
  <c r="P2450" i="1"/>
  <c r="E2450" i="1"/>
  <c r="P2449" i="1"/>
  <c r="E2449" i="1"/>
  <c r="P2448" i="1"/>
  <c r="E2448" i="1"/>
  <c r="P2447" i="1"/>
  <c r="E2447" i="1"/>
  <c r="P2446" i="1"/>
  <c r="E2446" i="1"/>
  <c r="P2445" i="1"/>
  <c r="E2445" i="1"/>
  <c r="P2444" i="1"/>
  <c r="E2444" i="1"/>
  <c r="P2443" i="1"/>
  <c r="E2443" i="1"/>
  <c r="P2442" i="1"/>
  <c r="E2442" i="1"/>
  <c r="P2441" i="1"/>
  <c r="E2441" i="1"/>
  <c r="P2440" i="1"/>
  <c r="E2440" i="1"/>
  <c r="P2439" i="1"/>
  <c r="E2439" i="1"/>
  <c r="P2438" i="1"/>
  <c r="E2438" i="1"/>
  <c r="P2437" i="1"/>
  <c r="E2437" i="1"/>
  <c r="P2436" i="1"/>
  <c r="E2436" i="1"/>
  <c r="P2435" i="1"/>
  <c r="E2435" i="1"/>
  <c r="P2434" i="1"/>
  <c r="E2434" i="1"/>
  <c r="P2433" i="1"/>
  <c r="E2433" i="1"/>
  <c r="P2432" i="1"/>
  <c r="E2432" i="1"/>
  <c r="P2431" i="1"/>
  <c r="E2431" i="1"/>
  <c r="P2430" i="1"/>
  <c r="E2430" i="1"/>
  <c r="P2429" i="1"/>
  <c r="E2429" i="1"/>
  <c r="P2428" i="1"/>
  <c r="E2428" i="1"/>
  <c r="P2427" i="1"/>
  <c r="E2427" i="1"/>
  <c r="P2426" i="1"/>
  <c r="E2426" i="1"/>
  <c r="P2425" i="1"/>
  <c r="E2425" i="1"/>
  <c r="P2424" i="1"/>
  <c r="E2424" i="1"/>
  <c r="P2423" i="1"/>
  <c r="E2423" i="1"/>
  <c r="P2422" i="1"/>
  <c r="E2422" i="1"/>
  <c r="P2421" i="1"/>
  <c r="E2421" i="1"/>
  <c r="P2420" i="1"/>
  <c r="E2420" i="1"/>
  <c r="P2419" i="1"/>
  <c r="E2419" i="1"/>
  <c r="P2418" i="1"/>
  <c r="E2418" i="1"/>
  <c r="P2417" i="1"/>
  <c r="E2417" i="1"/>
  <c r="P2416" i="1"/>
  <c r="E2416" i="1"/>
  <c r="P2415" i="1"/>
  <c r="E2415" i="1"/>
  <c r="P2414" i="1"/>
  <c r="E2414" i="1"/>
  <c r="P2413" i="1"/>
  <c r="E2413" i="1"/>
  <c r="P2412" i="1"/>
  <c r="E2412" i="1"/>
  <c r="P2411" i="1"/>
  <c r="E2411" i="1"/>
  <c r="P2410" i="1"/>
  <c r="E2410" i="1"/>
  <c r="P2409" i="1"/>
  <c r="E2409" i="1"/>
  <c r="P2408" i="1"/>
  <c r="E2408" i="1"/>
  <c r="P2407" i="1"/>
  <c r="E2407" i="1"/>
  <c r="P2406" i="1"/>
  <c r="E2406" i="1"/>
  <c r="P2405" i="1"/>
  <c r="E2405" i="1"/>
  <c r="P2404" i="1"/>
  <c r="E2404" i="1"/>
  <c r="P2403" i="1"/>
  <c r="E2403" i="1"/>
  <c r="P2402" i="1"/>
  <c r="E2402" i="1"/>
  <c r="P2401" i="1"/>
  <c r="E2401" i="1"/>
  <c r="P2400" i="1"/>
  <c r="E2400" i="1"/>
  <c r="P2399" i="1"/>
  <c r="E2399" i="1"/>
  <c r="P2398" i="1"/>
  <c r="E2398" i="1"/>
  <c r="P2397" i="1"/>
  <c r="E2397" i="1"/>
  <c r="P2396" i="1"/>
  <c r="E2396" i="1"/>
  <c r="P2395" i="1"/>
  <c r="E2395" i="1"/>
  <c r="P2394" i="1"/>
  <c r="E2394" i="1"/>
  <c r="P2393" i="1"/>
  <c r="E2393" i="1"/>
  <c r="P2392" i="1"/>
  <c r="E2392" i="1"/>
  <c r="P2391" i="1"/>
  <c r="E2391" i="1"/>
  <c r="P2390" i="1"/>
  <c r="E2390" i="1"/>
  <c r="P2389" i="1"/>
  <c r="E2389" i="1"/>
  <c r="P2388" i="1"/>
  <c r="E2388" i="1"/>
  <c r="P2387" i="1"/>
  <c r="E2387" i="1"/>
  <c r="P2386" i="1"/>
  <c r="E2386" i="1"/>
  <c r="P2385" i="1"/>
  <c r="E2385" i="1"/>
  <c r="P2384" i="1"/>
  <c r="E2384" i="1"/>
  <c r="P2383" i="1"/>
  <c r="E2383" i="1"/>
  <c r="P2382" i="1"/>
  <c r="E2382" i="1"/>
  <c r="P2381" i="1"/>
  <c r="E2381" i="1"/>
  <c r="P2380" i="1"/>
  <c r="E2380" i="1"/>
  <c r="P2379" i="1"/>
  <c r="E2379" i="1"/>
  <c r="P2378" i="1"/>
  <c r="E2378" i="1"/>
  <c r="P2377" i="1"/>
  <c r="E2377" i="1"/>
  <c r="P2376" i="1"/>
  <c r="E2376" i="1"/>
  <c r="P2375" i="1"/>
  <c r="E2375" i="1"/>
  <c r="P2374" i="1"/>
  <c r="E2374" i="1"/>
  <c r="P2373" i="1"/>
  <c r="E2373" i="1"/>
  <c r="P2372" i="1"/>
  <c r="E2372" i="1"/>
  <c r="P2371" i="1"/>
  <c r="E2371" i="1"/>
  <c r="P2370" i="1"/>
  <c r="E2370" i="1"/>
  <c r="P2369" i="1"/>
  <c r="E2369" i="1"/>
  <c r="P2368" i="1"/>
  <c r="E2368" i="1"/>
  <c r="P2367" i="1"/>
  <c r="E2367" i="1"/>
  <c r="P2366" i="1"/>
  <c r="E2366" i="1"/>
  <c r="P2365" i="1"/>
  <c r="E2365" i="1"/>
  <c r="P2364" i="1"/>
  <c r="E2364" i="1"/>
  <c r="P2363" i="1"/>
  <c r="E2363" i="1"/>
  <c r="P2362" i="1"/>
  <c r="E2362" i="1"/>
  <c r="P2361" i="1"/>
  <c r="E2361" i="1"/>
  <c r="P2360" i="1"/>
  <c r="E2360" i="1"/>
  <c r="P2359" i="1"/>
  <c r="E2359" i="1"/>
  <c r="P2358" i="1"/>
  <c r="E2358" i="1"/>
  <c r="P2357" i="1"/>
  <c r="E2357" i="1"/>
  <c r="P2356" i="1"/>
  <c r="E2356" i="1"/>
  <c r="P2355" i="1"/>
  <c r="E2355" i="1"/>
  <c r="P2354" i="1"/>
  <c r="E2354" i="1"/>
  <c r="P2353" i="1"/>
  <c r="E2353" i="1"/>
  <c r="P2352" i="1"/>
  <c r="E2352" i="1"/>
  <c r="P2351" i="1"/>
  <c r="E2351" i="1"/>
  <c r="P2350" i="1"/>
  <c r="E2350" i="1"/>
  <c r="P2349" i="1"/>
  <c r="E2349" i="1"/>
  <c r="P2348" i="1"/>
  <c r="E2348" i="1"/>
  <c r="P2347" i="1"/>
  <c r="E2347" i="1"/>
  <c r="P2346" i="1"/>
  <c r="E2346" i="1"/>
  <c r="P2345" i="1"/>
  <c r="E2345" i="1"/>
  <c r="P2344" i="1"/>
  <c r="E2344" i="1"/>
  <c r="P2343" i="1"/>
  <c r="E2343" i="1"/>
  <c r="P2342" i="1"/>
  <c r="E2342" i="1"/>
  <c r="P2341" i="1"/>
  <c r="E2341" i="1"/>
  <c r="P2340" i="1"/>
  <c r="E2340" i="1"/>
  <c r="P2339" i="1"/>
  <c r="E2339" i="1"/>
  <c r="P2338" i="1"/>
  <c r="E2338" i="1"/>
  <c r="P2337" i="1"/>
  <c r="E2337" i="1"/>
  <c r="P2336" i="1"/>
  <c r="E2336" i="1"/>
  <c r="P2335" i="1"/>
  <c r="E2335" i="1"/>
  <c r="P2334" i="1"/>
  <c r="E2334" i="1"/>
  <c r="P2333" i="1"/>
  <c r="E2333" i="1"/>
  <c r="P2332" i="1"/>
  <c r="E2332" i="1"/>
  <c r="P2331" i="1"/>
  <c r="E2331" i="1"/>
  <c r="P2330" i="1"/>
  <c r="E2330" i="1"/>
  <c r="P2329" i="1"/>
  <c r="E2329" i="1"/>
  <c r="P2328" i="1"/>
  <c r="E2328" i="1"/>
  <c r="P2327" i="1"/>
  <c r="E2327" i="1"/>
  <c r="P2326" i="1"/>
  <c r="E2326" i="1"/>
  <c r="P2325" i="1"/>
  <c r="E2325" i="1"/>
  <c r="P2324" i="1"/>
  <c r="E2324" i="1"/>
  <c r="P2323" i="1"/>
  <c r="E2323" i="1"/>
  <c r="P2322" i="1"/>
  <c r="E2322" i="1"/>
  <c r="P2321" i="1"/>
  <c r="E2321" i="1"/>
  <c r="P2320" i="1"/>
  <c r="E2320" i="1"/>
  <c r="P2319" i="1"/>
  <c r="E2319" i="1"/>
  <c r="P2318" i="1"/>
  <c r="E2318" i="1"/>
  <c r="P2317" i="1"/>
  <c r="E2317" i="1"/>
  <c r="P2316" i="1"/>
  <c r="E2316" i="1"/>
  <c r="P2315" i="1"/>
  <c r="E2315" i="1"/>
  <c r="P2314" i="1"/>
  <c r="E2314" i="1"/>
  <c r="P2313" i="1"/>
  <c r="E2313" i="1"/>
  <c r="P2312" i="1"/>
  <c r="E2312" i="1"/>
  <c r="P2311" i="1"/>
  <c r="E2311" i="1"/>
  <c r="P2310" i="1"/>
  <c r="E2310" i="1"/>
  <c r="P2309" i="1"/>
  <c r="E2309" i="1"/>
  <c r="P2308" i="1"/>
  <c r="E2308" i="1"/>
  <c r="P2307" i="1"/>
  <c r="E2307" i="1"/>
  <c r="P2306" i="1"/>
  <c r="E2306" i="1"/>
  <c r="P2305" i="1"/>
  <c r="E2305" i="1"/>
  <c r="P2304" i="1"/>
  <c r="E2304" i="1"/>
  <c r="P2303" i="1"/>
  <c r="E2303" i="1"/>
  <c r="P2302" i="1"/>
  <c r="E2302" i="1"/>
  <c r="P2301" i="1"/>
  <c r="E2301" i="1"/>
  <c r="P2300" i="1"/>
  <c r="E2300" i="1"/>
  <c r="P2299" i="1"/>
  <c r="E2299" i="1"/>
  <c r="P2298" i="1"/>
  <c r="E2298" i="1"/>
  <c r="P2297" i="1"/>
  <c r="E2297" i="1"/>
  <c r="P2296" i="1"/>
  <c r="E2296" i="1"/>
  <c r="P2295" i="1"/>
  <c r="E2295" i="1"/>
  <c r="P2294" i="1"/>
  <c r="E2294" i="1"/>
  <c r="P2293" i="1"/>
  <c r="E2293" i="1"/>
  <c r="P2292" i="1"/>
  <c r="E2292" i="1"/>
  <c r="P2291" i="1"/>
  <c r="E2291" i="1"/>
  <c r="P2290" i="1"/>
  <c r="E2290" i="1"/>
  <c r="P2289" i="1"/>
  <c r="E2289" i="1"/>
  <c r="P2288" i="1"/>
  <c r="E2288" i="1"/>
  <c r="P2287" i="1"/>
  <c r="E2287" i="1"/>
  <c r="P2286" i="1"/>
  <c r="E2286" i="1"/>
  <c r="P2285" i="1"/>
  <c r="E2285" i="1"/>
  <c r="P2284" i="1"/>
  <c r="E2284" i="1"/>
  <c r="P2283" i="1"/>
  <c r="E2283" i="1"/>
  <c r="P2282" i="1"/>
  <c r="E2282" i="1"/>
  <c r="P2281" i="1"/>
  <c r="E2281" i="1"/>
  <c r="P2280" i="1"/>
  <c r="E2280" i="1"/>
  <c r="P2279" i="1"/>
  <c r="E2279" i="1"/>
  <c r="P2278" i="1"/>
  <c r="E2278" i="1"/>
  <c r="P2277" i="1"/>
  <c r="E2277" i="1"/>
  <c r="P2276" i="1"/>
  <c r="E2276" i="1"/>
  <c r="P2275" i="1"/>
  <c r="E2275" i="1"/>
  <c r="P2274" i="1"/>
  <c r="E2274" i="1"/>
  <c r="P2273" i="1"/>
  <c r="E2273" i="1"/>
  <c r="P2272" i="1"/>
  <c r="E2272" i="1"/>
  <c r="P2271" i="1"/>
  <c r="E2271" i="1"/>
  <c r="P2270" i="1"/>
  <c r="E2270" i="1"/>
  <c r="P2269" i="1"/>
  <c r="E2269" i="1"/>
  <c r="P2268" i="1"/>
  <c r="E2268" i="1"/>
  <c r="P2267" i="1"/>
  <c r="E2267" i="1"/>
  <c r="P2266" i="1"/>
  <c r="E2266" i="1"/>
  <c r="P2265" i="1"/>
  <c r="E2265" i="1"/>
  <c r="P2264" i="1"/>
  <c r="E2264" i="1"/>
  <c r="P2263" i="1"/>
  <c r="E2263" i="1"/>
  <c r="P2262" i="1"/>
  <c r="E2262" i="1"/>
  <c r="P2261" i="1"/>
  <c r="E2261" i="1"/>
  <c r="P2260" i="1"/>
  <c r="E2260" i="1"/>
  <c r="P2259" i="1"/>
  <c r="E2259" i="1"/>
  <c r="P2258" i="1"/>
  <c r="E2258" i="1"/>
  <c r="P2257" i="1"/>
  <c r="E2257" i="1"/>
  <c r="P2256" i="1"/>
  <c r="E2256" i="1"/>
  <c r="P2255" i="1"/>
  <c r="E2255" i="1"/>
  <c r="P2254" i="1"/>
  <c r="E2254" i="1"/>
  <c r="P2253" i="1"/>
  <c r="E2253" i="1"/>
  <c r="P2252" i="1"/>
  <c r="E2252" i="1"/>
  <c r="P2251" i="1"/>
  <c r="E2251" i="1"/>
  <c r="P2250" i="1"/>
  <c r="E2250" i="1"/>
  <c r="P2249" i="1"/>
  <c r="E2249" i="1"/>
  <c r="P2248" i="1"/>
  <c r="E2248" i="1"/>
  <c r="P2247" i="1"/>
  <c r="E2247" i="1"/>
  <c r="P2246" i="1"/>
  <c r="E2246" i="1"/>
  <c r="P2245" i="1"/>
  <c r="E2245" i="1"/>
  <c r="P2244" i="1"/>
  <c r="E2244" i="1"/>
  <c r="P2243" i="1"/>
  <c r="E2243" i="1"/>
  <c r="P2242" i="1"/>
  <c r="E2242" i="1"/>
  <c r="P2241" i="1"/>
  <c r="E2241" i="1"/>
  <c r="P2240" i="1"/>
  <c r="E2240" i="1"/>
  <c r="P2239" i="1"/>
  <c r="E2239" i="1"/>
  <c r="P2238" i="1"/>
  <c r="E2238" i="1"/>
  <c r="P2237" i="1"/>
  <c r="E2237" i="1"/>
  <c r="P2236" i="1"/>
  <c r="E2236" i="1"/>
  <c r="P2235" i="1"/>
  <c r="E2235" i="1"/>
  <c r="P2234" i="1"/>
  <c r="E2234" i="1"/>
  <c r="P2233" i="1"/>
  <c r="E2233" i="1"/>
  <c r="P2232" i="1"/>
  <c r="E2232" i="1"/>
  <c r="P2231" i="1"/>
  <c r="E2231" i="1"/>
  <c r="P2230" i="1"/>
  <c r="E2230" i="1"/>
  <c r="P2229" i="1"/>
  <c r="E2229" i="1"/>
  <c r="P2228" i="1"/>
  <c r="E2228" i="1"/>
  <c r="P2227" i="1"/>
  <c r="E2227" i="1"/>
  <c r="P2226" i="1"/>
  <c r="E2226" i="1"/>
  <c r="P2225" i="1"/>
  <c r="E2225" i="1"/>
  <c r="P2224" i="1"/>
  <c r="E2224" i="1"/>
  <c r="P2223" i="1"/>
  <c r="E2223" i="1"/>
  <c r="P2222" i="1"/>
  <c r="E2222" i="1"/>
  <c r="P2221" i="1"/>
  <c r="E2221" i="1"/>
  <c r="P2220" i="1"/>
  <c r="E2220" i="1"/>
  <c r="P2219" i="1"/>
  <c r="E2219" i="1"/>
  <c r="P2218" i="1"/>
  <c r="E2218" i="1"/>
  <c r="P2217" i="1"/>
  <c r="E2217" i="1"/>
  <c r="P2216" i="1"/>
  <c r="E2216" i="1"/>
  <c r="P2215" i="1"/>
  <c r="E2215" i="1"/>
  <c r="P2214" i="1"/>
  <c r="E2214" i="1"/>
  <c r="P2213" i="1"/>
  <c r="E2213" i="1"/>
  <c r="P2212" i="1"/>
  <c r="E2212" i="1"/>
  <c r="P2211" i="1"/>
  <c r="E2211" i="1"/>
  <c r="P2210" i="1"/>
  <c r="E2210" i="1"/>
  <c r="P2209" i="1"/>
  <c r="E2209" i="1"/>
  <c r="P2208" i="1"/>
  <c r="E2208" i="1"/>
  <c r="P2207" i="1"/>
  <c r="E2207" i="1"/>
  <c r="P2206" i="1"/>
  <c r="E2206" i="1"/>
  <c r="P2205" i="1"/>
  <c r="E2205" i="1"/>
  <c r="P2204" i="1"/>
  <c r="E2204" i="1"/>
  <c r="P2203" i="1"/>
  <c r="E2203" i="1"/>
  <c r="P2202" i="1"/>
  <c r="E2202" i="1"/>
  <c r="P2201" i="1"/>
  <c r="E2201" i="1"/>
  <c r="P2200" i="1"/>
  <c r="E2200" i="1"/>
  <c r="P2199" i="1"/>
  <c r="E2199" i="1"/>
  <c r="P2198" i="1"/>
  <c r="E2198" i="1"/>
  <c r="P2197" i="1"/>
  <c r="E2197" i="1"/>
  <c r="P2196" i="1"/>
  <c r="E2196" i="1"/>
  <c r="P2195" i="1"/>
  <c r="E2195" i="1"/>
  <c r="P2194" i="1"/>
  <c r="E2194" i="1"/>
  <c r="P2193" i="1"/>
  <c r="E2193" i="1"/>
  <c r="P2192" i="1"/>
  <c r="E2192" i="1"/>
  <c r="P2191" i="1"/>
  <c r="E2191" i="1"/>
  <c r="P2190" i="1"/>
  <c r="E2190" i="1"/>
  <c r="P2189" i="1"/>
  <c r="E2189" i="1"/>
  <c r="P2188" i="1"/>
  <c r="E2188" i="1"/>
  <c r="P2187" i="1"/>
  <c r="E2187" i="1"/>
  <c r="P2186" i="1"/>
  <c r="E2186" i="1"/>
  <c r="P2185" i="1"/>
  <c r="E2185" i="1"/>
  <c r="P2184" i="1"/>
  <c r="E2184" i="1"/>
  <c r="P2183" i="1"/>
  <c r="E2183" i="1"/>
  <c r="P2182" i="1"/>
  <c r="E2182" i="1"/>
  <c r="P2181" i="1"/>
  <c r="E2181" i="1"/>
  <c r="P2180" i="1"/>
  <c r="E2180" i="1"/>
  <c r="P2179" i="1"/>
  <c r="E2179" i="1"/>
  <c r="P2178" i="1"/>
  <c r="E2178" i="1"/>
  <c r="P2177" i="1"/>
  <c r="E2177" i="1"/>
  <c r="P2176" i="1"/>
  <c r="E2176" i="1"/>
  <c r="P2175" i="1"/>
  <c r="E2175" i="1"/>
  <c r="P2174" i="1"/>
  <c r="E2174" i="1"/>
  <c r="P2173" i="1"/>
  <c r="E2173" i="1"/>
  <c r="P2172" i="1"/>
  <c r="E2172" i="1"/>
  <c r="P2171" i="1"/>
  <c r="E2171" i="1"/>
  <c r="P2170" i="1"/>
  <c r="E2170" i="1"/>
  <c r="P2169" i="1"/>
  <c r="E2169" i="1"/>
  <c r="P2168" i="1"/>
  <c r="E2168" i="1"/>
  <c r="P2167" i="1"/>
  <c r="E2167" i="1"/>
  <c r="P2166" i="1"/>
  <c r="E2166" i="1"/>
  <c r="P2165" i="1"/>
  <c r="E2165" i="1"/>
  <c r="P2164" i="1"/>
  <c r="E2164" i="1"/>
  <c r="P2163" i="1"/>
  <c r="E2163" i="1"/>
  <c r="P2162" i="1"/>
  <c r="E2162" i="1"/>
  <c r="P2161" i="1"/>
  <c r="E2161" i="1"/>
  <c r="P2160" i="1"/>
  <c r="E2160" i="1"/>
  <c r="P2159" i="1"/>
  <c r="E2159" i="1"/>
  <c r="P2158" i="1"/>
  <c r="E2158" i="1"/>
  <c r="P2157" i="1"/>
  <c r="E2157" i="1"/>
  <c r="P2156" i="1"/>
  <c r="E2156" i="1"/>
  <c r="P2155" i="1"/>
  <c r="E2155" i="1"/>
  <c r="P2154" i="1"/>
  <c r="E2154" i="1"/>
  <c r="P2153" i="1"/>
  <c r="E2153" i="1"/>
  <c r="P2152" i="1"/>
  <c r="E2152" i="1"/>
  <c r="P2151" i="1"/>
  <c r="E2151" i="1"/>
  <c r="P2150" i="1"/>
  <c r="E2150" i="1"/>
  <c r="P2149" i="1"/>
  <c r="E2149" i="1"/>
  <c r="P2148" i="1"/>
  <c r="E2148" i="1"/>
  <c r="P2147" i="1"/>
  <c r="E2147" i="1"/>
  <c r="P2146" i="1"/>
  <c r="E2146" i="1"/>
  <c r="P2145" i="1"/>
  <c r="E2145" i="1"/>
  <c r="P2144" i="1"/>
  <c r="E2144" i="1"/>
  <c r="P2143" i="1"/>
  <c r="E2143" i="1"/>
  <c r="P2142" i="1"/>
  <c r="E2142" i="1"/>
  <c r="P2141" i="1"/>
  <c r="E2141" i="1"/>
  <c r="P2140" i="1"/>
  <c r="E2140" i="1"/>
  <c r="P2139" i="1"/>
  <c r="E2139" i="1"/>
  <c r="P2138" i="1"/>
  <c r="E2138" i="1"/>
  <c r="P2137" i="1"/>
  <c r="E2137" i="1"/>
  <c r="P2136" i="1"/>
  <c r="E2136" i="1"/>
  <c r="P2135" i="1"/>
  <c r="E2135" i="1"/>
  <c r="P2134" i="1"/>
  <c r="E2134" i="1"/>
  <c r="P2133" i="1"/>
  <c r="E2133" i="1"/>
  <c r="P2132" i="1"/>
  <c r="E2132" i="1"/>
  <c r="P2131" i="1"/>
  <c r="E2131" i="1"/>
  <c r="P2130" i="1"/>
  <c r="E2130" i="1"/>
  <c r="P2129" i="1"/>
  <c r="E2129" i="1"/>
  <c r="P2128" i="1"/>
  <c r="E2128" i="1"/>
  <c r="P2127" i="1"/>
  <c r="E2127" i="1"/>
  <c r="P2126" i="1"/>
  <c r="E2126" i="1"/>
  <c r="P2125" i="1"/>
  <c r="E2125" i="1"/>
  <c r="P2124" i="1"/>
  <c r="E2124" i="1"/>
  <c r="P2123" i="1"/>
  <c r="E2123" i="1"/>
  <c r="P2122" i="1"/>
  <c r="E2122" i="1"/>
  <c r="P2121" i="1"/>
  <c r="E2121" i="1"/>
  <c r="P2120" i="1"/>
  <c r="E2120" i="1"/>
  <c r="P2119" i="1"/>
  <c r="E2119" i="1"/>
  <c r="P2118" i="1"/>
  <c r="E2118" i="1"/>
  <c r="P2117" i="1"/>
  <c r="E2117" i="1"/>
  <c r="P2116" i="1"/>
  <c r="E2116" i="1"/>
  <c r="P2115" i="1"/>
  <c r="E2115" i="1"/>
  <c r="P2114" i="1"/>
  <c r="E2114" i="1"/>
  <c r="P2113" i="1"/>
  <c r="E2113" i="1"/>
  <c r="P2112" i="1"/>
  <c r="E2112" i="1"/>
  <c r="P2111" i="1"/>
  <c r="E2111" i="1"/>
  <c r="P2110" i="1"/>
  <c r="E2110" i="1"/>
  <c r="P2109" i="1"/>
  <c r="E2109" i="1"/>
  <c r="P2108" i="1"/>
  <c r="E2108" i="1"/>
  <c r="P2107" i="1"/>
  <c r="E2107" i="1"/>
  <c r="P2106" i="1"/>
  <c r="E2106" i="1"/>
  <c r="P2105" i="1"/>
  <c r="E2105" i="1"/>
  <c r="P2104" i="1"/>
  <c r="E2104" i="1"/>
  <c r="P2103" i="1"/>
  <c r="E2103" i="1"/>
  <c r="P2102" i="1"/>
  <c r="E2102" i="1"/>
  <c r="P2101" i="1"/>
  <c r="E2101" i="1"/>
  <c r="P2100" i="1"/>
  <c r="E2100" i="1"/>
  <c r="P2099" i="1"/>
  <c r="E2099" i="1"/>
  <c r="P2098" i="1"/>
  <c r="E2098" i="1"/>
  <c r="P2097" i="1"/>
  <c r="E2097" i="1"/>
  <c r="P2096" i="1"/>
  <c r="E2096" i="1"/>
  <c r="P2095" i="1"/>
  <c r="E2095" i="1"/>
  <c r="P2094" i="1"/>
  <c r="E2094" i="1"/>
  <c r="P2093" i="1"/>
  <c r="E2093" i="1"/>
  <c r="P2092" i="1"/>
  <c r="E2092" i="1"/>
  <c r="P2091" i="1"/>
  <c r="E2091" i="1"/>
  <c r="P2090" i="1"/>
  <c r="E2090" i="1"/>
  <c r="P2089" i="1"/>
  <c r="E2089" i="1"/>
  <c r="P2088" i="1"/>
  <c r="E2088" i="1"/>
  <c r="P2087" i="1"/>
  <c r="E2087" i="1"/>
  <c r="P2086" i="1"/>
  <c r="E2086" i="1"/>
  <c r="P2085" i="1"/>
  <c r="E2085" i="1"/>
  <c r="P2084" i="1"/>
  <c r="E2084" i="1"/>
  <c r="P2083" i="1"/>
  <c r="E2083" i="1"/>
  <c r="P2082" i="1"/>
  <c r="E2082" i="1"/>
  <c r="P2081" i="1"/>
  <c r="E2081" i="1"/>
  <c r="P2080" i="1"/>
  <c r="E2080" i="1"/>
  <c r="P2079" i="1"/>
  <c r="E2079" i="1"/>
  <c r="P2078" i="1"/>
  <c r="E2078" i="1"/>
  <c r="P2077" i="1"/>
  <c r="E2077" i="1"/>
  <c r="P2076" i="1"/>
  <c r="E2076" i="1"/>
  <c r="P2075" i="1"/>
  <c r="E2075" i="1"/>
  <c r="P2074" i="1"/>
  <c r="E2074" i="1"/>
  <c r="P2073" i="1"/>
  <c r="E2073" i="1"/>
  <c r="P2072" i="1"/>
  <c r="E2072" i="1"/>
  <c r="P2071" i="1"/>
  <c r="E2071" i="1"/>
  <c r="P2070" i="1"/>
  <c r="E2070" i="1"/>
  <c r="P2069" i="1"/>
  <c r="E2069" i="1"/>
  <c r="P2068" i="1"/>
  <c r="E2068" i="1"/>
  <c r="P2067" i="1"/>
  <c r="E2067" i="1"/>
  <c r="P2066" i="1"/>
  <c r="E2066" i="1"/>
  <c r="P2065" i="1"/>
  <c r="E2065" i="1"/>
  <c r="P2064" i="1"/>
  <c r="E2064" i="1"/>
  <c r="P2063" i="1"/>
  <c r="E2063" i="1"/>
  <c r="P2062" i="1"/>
  <c r="E2062" i="1"/>
  <c r="P2061" i="1"/>
  <c r="E2061" i="1"/>
  <c r="P2060" i="1"/>
  <c r="E2060" i="1"/>
  <c r="P2059" i="1"/>
  <c r="E2059" i="1"/>
  <c r="P2058" i="1"/>
  <c r="E2058" i="1"/>
  <c r="P2057" i="1"/>
  <c r="E2057" i="1"/>
  <c r="P2056" i="1"/>
  <c r="E2056" i="1"/>
  <c r="P2055" i="1"/>
  <c r="E2055" i="1"/>
  <c r="P2054" i="1"/>
  <c r="E2054" i="1"/>
  <c r="P2053" i="1"/>
  <c r="E2053" i="1"/>
  <c r="P2052" i="1"/>
  <c r="E2052" i="1"/>
  <c r="P2051" i="1"/>
  <c r="E2051" i="1"/>
  <c r="P2050" i="1"/>
  <c r="E2050" i="1"/>
  <c r="P2049" i="1"/>
  <c r="E2049" i="1"/>
  <c r="P2048" i="1"/>
  <c r="E2048" i="1"/>
  <c r="P2047" i="1"/>
  <c r="E2047" i="1"/>
  <c r="P2046" i="1"/>
  <c r="E2046" i="1"/>
  <c r="P2045" i="1"/>
  <c r="E2045" i="1"/>
  <c r="P2044" i="1"/>
  <c r="E2044" i="1"/>
  <c r="P2043" i="1"/>
  <c r="E2043" i="1"/>
  <c r="P2042" i="1"/>
  <c r="E2042" i="1"/>
  <c r="P2041" i="1"/>
  <c r="E2041" i="1"/>
  <c r="P2040" i="1"/>
  <c r="E2040" i="1"/>
  <c r="P2039" i="1"/>
  <c r="E2039" i="1"/>
  <c r="P2038" i="1"/>
  <c r="E2038" i="1"/>
  <c r="P2037" i="1"/>
  <c r="E2037" i="1"/>
  <c r="P2036" i="1"/>
  <c r="E2036" i="1"/>
  <c r="P2035" i="1"/>
  <c r="E2035" i="1"/>
  <c r="P2034" i="1"/>
  <c r="E2034" i="1"/>
  <c r="P2033" i="1"/>
  <c r="E2033" i="1"/>
  <c r="P2032" i="1"/>
  <c r="E2032" i="1"/>
  <c r="P2031" i="1"/>
  <c r="E2031" i="1"/>
  <c r="P2030" i="1"/>
  <c r="E2030" i="1"/>
  <c r="P2029" i="1"/>
  <c r="E2029" i="1"/>
  <c r="P2028" i="1"/>
  <c r="E2028" i="1"/>
  <c r="P2027" i="1"/>
  <c r="E2027" i="1"/>
  <c r="P2026" i="1"/>
  <c r="E2026" i="1"/>
  <c r="P2025" i="1"/>
  <c r="E2025" i="1"/>
  <c r="P2024" i="1"/>
  <c r="E2024" i="1"/>
  <c r="P2023" i="1"/>
  <c r="E2023" i="1"/>
  <c r="P2022" i="1"/>
  <c r="E2022" i="1"/>
  <c r="P2021" i="1"/>
  <c r="E2021" i="1"/>
  <c r="P2020" i="1"/>
  <c r="E2020" i="1"/>
  <c r="P2019" i="1"/>
  <c r="E2019" i="1"/>
  <c r="P2018" i="1"/>
  <c r="E2018" i="1"/>
  <c r="P2017" i="1"/>
  <c r="E2017" i="1"/>
  <c r="P2016" i="1"/>
  <c r="E2016" i="1"/>
  <c r="P2015" i="1"/>
  <c r="E2015" i="1"/>
  <c r="P2014" i="1"/>
  <c r="E2014" i="1"/>
  <c r="P2013" i="1"/>
  <c r="E2013" i="1"/>
  <c r="P2012" i="1"/>
  <c r="E2012" i="1"/>
  <c r="P2011" i="1"/>
  <c r="E2011" i="1"/>
  <c r="P2010" i="1"/>
  <c r="E2010" i="1"/>
  <c r="P2009" i="1"/>
  <c r="E2009" i="1"/>
  <c r="P2008" i="1"/>
  <c r="E2008" i="1"/>
  <c r="P2007" i="1"/>
  <c r="E2007" i="1"/>
  <c r="P2006" i="1"/>
  <c r="E2006" i="1"/>
  <c r="P2005" i="1"/>
  <c r="E2005" i="1"/>
  <c r="P2004" i="1"/>
  <c r="E2004" i="1"/>
  <c r="P2003" i="1"/>
  <c r="E2003" i="1"/>
  <c r="P2002" i="1"/>
  <c r="E2002" i="1"/>
  <c r="P2001" i="1"/>
  <c r="E2001" i="1"/>
  <c r="P2000" i="1"/>
  <c r="E2000" i="1"/>
  <c r="P1999" i="1"/>
  <c r="E1999" i="1"/>
  <c r="P1998" i="1"/>
  <c r="E1998" i="1"/>
  <c r="P1997" i="1"/>
  <c r="E1997" i="1"/>
  <c r="P1996" i="1"/>
  <c r="E1996" i="1"/>
  <c r="P1995" i="1"/>
  <c r="E1995" i="1"/>
  <c r="P1994" i="1"/>
  <c r="E1994" i="1"/>
  <c r="P1993" i="1"/>
  <c r="E1993" i="1"/>
  <c r="P1992" i="1"/>
  <c r="E1992" i="1"/>
  <c r="P1991" i="1"/>
  <c r="E1991" i="1"/>
  <c r="P1990" i="1"/>
  <c r="E1990" i="1"/>
  <c r="P1989" i="1"/>
  <c r="E1989" i="1"/>
  <c r="P1988" i="1"/>
  <c r="E1988" i="1"/>
  <c r="P1987" i="1"/>
  <c r="E1987" i="1"/>
  <c r="P1986" i="1"/>
  <c r="E1986" i="1"/>
  <c r="P1985" i="1"/>
  <c r="E1985" i="1"/>
  <c r="P1984" i="1"/>
  <c r="E1984" i="1"/>
  <c r="P1983" i="1"/>
  <c r="E1983" i="1"/>
  <c r="P1982" i="1"/>
  <c r="E1982" i="1"/>
  <c r="P1981" i="1"/>
  <c r="E1981" i="1"/>
  <c r="P1980" i="1"/>
  <c r="E1980" i="1"/>
  <c r="P1979" i="1"/>
  <c r="E1979" i="1"/>
  <c r="P1978" i="1"/>
  <c r="E1978" i="1"/>
  <c r="P1977" i="1"/>
  <c r="E1977" i="1"/>
  <c r="P1976" i="1"/>
  <c r="E1976" i="1"/>
  <c r="P1975" i="1"/>
  <c r="E1975" i="1"/>
  <c r="P1974" i="1"/>
  <c r="E1974" i="1"/>
  <c r="P1973" i="1"/>
  <c r="E1973" i="1"/>
  <c r="P1972" i="1"/>
  <c r="E1972" i="1"/>
  <c r="P1971" i="1"/>
  <c r="E1971" i="1"/>
  <c r="P1970" i="1"/>
  <c r="E1970" i="1"/>
  <c r="P1969" i="1"/>
  <c r="E1969" i="1"/>
  <c r="P1968" i="1"/>
  <c r="E1968" i="1"/>
  <c r="P1967" i="1"/>
  <c r="E1967" i="1"/>
  <c r="P1966" i="1"/>
  <c r="E1966" i="1"/>
  <c r="P1965" i="1"/>
  <c r="E1965" i="1"/>
  <c r="P1964" i="1"/>
  <c r="E1964" i="1"/>
  <c r="P1963" i="1"/>
  <c r="E1963" i="1"/>
  <c r="P1962" i="1"/>
  <c r="E1962" i="1"/>
  <c r="P1961" i="1"/>
  <c r="E1961" i="1"/>
  <c r="P1960" i="1"/>
  <c r="E1960" i="1"/>
  <c r="P1959" i="1"/>
  <c r="E1959" i="1"/>
  <c r="P1958" i="1"/>
  <c r="E1958" i="1"/>
  <c r="P1957" i="1"/>
  <c r="E1957" i="1"/>
  <c r="P1956" i="1"/>
  <c r="E1956" i="1"/>
  <c r="P1955" i="1"/>
  <c r="E1955" i="1"/>
  <c r="P1954" i="1"/>
  <c r="E1954" i="1"/>
  <c r="P1953" i="1"/>
  <c r="E1953" i="1"/>
  <c r="P1952" i="1"/>
  <c r="E1952" i="1"/>
  <c r="P1951" i="1"/>
  <c r="E1951" i="1"/>
  <c r="P1950" i="1"/>
  <c r="E1950" i="1"/>
  <c r="P1949" i="1"/>
  <c r="E1949" i="1"/>
  <c r="P1948" i="1"/>
  <c r="E1948" i="1"/>
  <c r="P1947" i="1"/>
  <c r="E1947" i="1"/>
  <c r="P1946" i="1"/>
  <c r="E1946" i="1"/>
  <c r="P1945" i="1"/>
  <c r="E1945" i="1"/>
  <c r="P1944" i="1"/>
  <c r="E1944" i="1"/>
  <c r="P1943" i="1"/>
  <c r="E1943" i="1"/>
  <c r="P1942" i="1"/>
  <c r="E1942" i="1"/>
  <c r="P1941" i="1"/>
  <c r="E1941" i="1"/>
  <c r="P1940" i="1"/>
  <c r="E1940" i="1"/>
  <c r="P1939" i="1"/>
  <c r="E1939" i="1"/>
  <c r="P1938" i="1"/>
  <c r="E1938" i="1"/>
  <c r="P1937" i="1"/>
  <c r="E1937" i="1"/>
  <c r="P1936" i="1"/>
  <c r="E1936" i="1"/>
  <c r="P1935" i="1"/>
  <c r="E1935" i="1"/>
  <c r="P1934" i="1"/>
  <c r="E1934" i="1"/>
  <c r="P1933" i="1"/>
  <c r="E1933" i="1"/>
  <c r="P1932" i="1"/>
  <c r="E1932" i="1"/>
  <c r="P1931" i="1"/>
  <c r="E1931" i="1"/>
  <c r="P1930" i="1"/>
  <c r="E1930" i="1"/>
  <c r="P1929" i="1"/>
  <c r="E1929" i="1"/>
  <c r="P1928" i="1"/>
  <c r="E1928" i="1"/>
  <c r="P1927" i="1"/>
  <c r="E1927" i="1"/>
  <c r="P1926" i="1"/>
  <c r="E1926" i="1"/>
  <c r="P1925" i="1"/>
  <c r="E1925" i="1"/>
  <c r="P1924" i="1"/>
  <c r="E1924" i="1"/>
  <c r="P1923" i="1"/>
  <c r="E1923" i="1"/>
  <c r="P1922" i="1"/>
  <c r="E1922" i="1"/>
  <c r="P1921" i="1"/>
  <c r="E1921" i="1"/>
  <c r="P1920" i="1"/>
  <c r="E1920" i="1"/>
  <c r="P1919" i="1"/>
  <c r="E1919" i="1"/>
  <c r="P1918" i="1"/>
  <c r="E1918" i="1"/>
  <c r="P1917" i="1"/>
  <c r="E1917" i="1"/>
  <c r="P1916" i="1"/>
  <c r="E1916" i="1"/>
  <c r="P1915" i="1"/>
  <c r="E1915" i="1"/>
  <c r="P1914" i="1"/>
  <c r="E1914" i="1"/>
  <c r="P1913" i="1"/>
  <c r="E1913" i="1"/>
  <c r="P1912" i="1"/>
  <c r="E1912" i="1"/>
  <c r="P1911" i="1"/>
  <c r="E1911" i="1"/>
  <c r="P1910" i="1"/>
  <c r="E1910" i="1"/>
  <c r="P1909" i="1"/>
  <c r="E1909" i="1"/>
  <c r="P1908" i="1"/>
  <c r="E1908" i="1"/>
  <c r="P1907" i="1"/>
  <c r="E1907" i="1"/>
  <c r="P1906" i="1"/>
  <c r="E1906" i="1"/>
  <c r="P1905" i="1"/>
  <c r="E1905" i="1"/>
  <c r="P1904" i="1"/>
  <c r="E1904" i="1"/>
  <c r="P1903" i="1"/>
  <c r="E1903" i="1"/>
  <c r="P1902" i="1"/>
  <c r="E1902" i="1"/>
  <c r="P1901" i="1"/>
  <c r="E1901" i="1"/>
  <c r="P1900" i="1"/>
  <c r="E1900" i="1"/>
  <c r="P1899" i="1"/>
  <c r="E1899" i="1"/>
  <c r="P1898" i="1"/>
  <c r="E1898" i="1"/>
  <c r="P1897" i="1"/>
  <c r="E1897" i="1"/>
  <c r="P1896" i="1"/>
  <c r="E1896" i="1"/>
  <c r="P1895" i="1"/>
  <c r="E1895" i="1"/>
  <c r="P1894" i="1"/>
  <c r="E1894" i="1"/>
  <c r="P1893" i="1"/>
  <c r="E1893" i="1"/>
  <c r="P1892" i="1"/>
  <c r="E1892" i="1"/>
  <c r="P1891" i="1"/>
  <c r="E1891" i="1"/>
  <c r="P1890" i="1"/>
  <c r="E1890" i="1"/>
  <c r="P1889" i="1"/>
  <c r="E1889" i="1"/>
  <c r="P1888" i="1"/>
  <c r="E1888" i="1"/>
  <c r="P1887" i="1"/>
  <c r="E1887" i="1"/>
  <c r="P1886" i="1"/>
  <c r="E1886" i="1"/>
  <c r="P1885" i="1"/>
  <c r="E1885" i="1"/>
  <c r="P1884" i="1"/>
  <c r="E1884" i="1"/>
  <c r="P1883" i="1"/>
  <c r="E1883" i="1"/>
  <c r="P1882" i="1"/>
  <c r="E1882" i="1"/>
  <c r="P1881" i="1"/>
  <c r="E1881" i="1"/>
  <c r="P1880" i="1"/>
  <c r="E1880" i="1"/>
  <c r="P1879" i="1"/>
  <c r="E1879" i="1"/>
  <c r="P1878" i="1"/>
  <c r="E1878" i="1"/>
  <c r="P1877" i="1"/>
  <c r="E1877" i="1"/>
  <c r="P1876" i="1"/>
  <c r="E1876" i="1"/>
  <c r="P1875" i="1"/>
  <c r="E1875" i="1"/>
  <c r="P1874" i="1"/>
  <c r="E1874" i="1"/>
  <c r="P1873" i="1"/>
  <c r="E1873" i="1"/>
  <c r="P1872" i="1"/>
  <c r="E1872" i="1"/>
  <c r="P1871" i="1"/>
  <c r="E1871" i="1"/>
  <c r="P1870" i="1"/>
  <c r="E1870" i="1"/>
  <c r="P1869" i="1"/>
  <c r="E1869" i="1"/>
  <c r="P1868" i="1"/>
  <c r="E1868" i="1"/>
  <c r="P1867" i="1"/>
  <c r="E1867" i="1"/>
  <c r="P1866" i="1"/>
  <c r="E1866" i="1"/>
  <c r="P1865" i="1"/>
  <c r="E1865" i="1"/>
  <c r="P1864" i="1"/>
  <c r="E1864" i="1"/>
  <c r="P1863" i="1"/>
  <c r="E1863" i="1"/>
  <c r="P1862" i="1"/>
  <c r="E1862" i="1"/>
  <c r="P1861" i="1"/>
  <c r="E1861" i="1"/>
  <c r="P1860" i="1"/>
  <c r="E1860" i="1"/>
  <c r="P1859" i="1"/>
  <c r="E1859" i="1"/>
  <c r="P1858" i="1"/>
  <c r="E1858" i="1"/>
  <c r="P1857" i="1"/>
  <c r="E1857" i="1"/>
  <c r="P1856" i="1"/>
  <c r="E1856" i="1"/>
  <c r="P1855" i="1"/>
  <c r="E1855" i="1"/>
  <c r="P1854" i="1"/>
  <c r="E1854" i="1"/>
  <c r="P1853" i="1"/>
  <c r="E1853" i="1"/>
  <c r="P1852" i="1"/>
  <c r="E1852" i="1"/>
  <c r="P1851" i="1"/>
  <c r="E1851" i="1"/>
  <c r="P1850" i="1"/>
  <c r="E1850" i="1"/>
  <c r="P1849" i="1"/>
  <c r="E1849" i="1"/>
  <c r="P1848" i="1"/>
  <c r="E1848" i="1"/>
  <c r="P1847" i="1"/>
  <c r="E1847" i="1"/>
  <c r="P1846" i="1"/>
  <c r="E1846" i="1"/>
  <c r="P1845" i="1"/>
  <c r="E1845" i="1"/>
  <c r="P1844" i="1"/>
  <c r="E1844" i="1"/>
  <c r="P1843" i="1"/>
  <c r="E1843" i="1"/>
  <c r="P1842" i="1"/>
  <c r="E1842" i="1"/>
  <c r="P1841" i="1"/>
  <c r="E1841" i="1"/>
  <c r="P1840" i="1"/>
  <c r="E1840" i="1"/>
  <c r="P1839" i="1"/>
  <c r="E1839" i="1"/>
  <c r="P1838" i="1"/>
  <c r="E1838" i="1"/>
  <c r="P1837" i="1"/>
  <c r="E1837" i="1"/>
  <c r="P1836" i="1"/>
  <c r="E1836" i="1"/>
  <c r="P1835" i="1"/>
  <c r="E1835" i="1"/>
  <c r="P1834" i="1"/>
  <c r="E1834" i="1"/>
  <c r="P1833" i="1"/>
  <c r="E1833" i="1"/>
  <c r="P1832" i="1"/>
  <c r="E1832" i="1"/>
  <c r="P1831" i="1"/>
  <c r="E1831" i="1"/>
  <c r="P1830" i="1"/>
  <c r="E1830" i="1"/>
  <c r="P1829" i="1"/>
  <c r="E1829" i="1"/>
  <c r="P1828" i="1"/>
  <c r="E1828" i="1"/>
  <c r="P1827" i="1"/>
  <c r="E1827" i="1"/>
  <c r="P1826" i="1"/>
  <c r="E1826" i="1"/>
  <c r="P1825" i="1"/>
  <c r="E1825" i="1"/>
  <c r="P1824" i="1"/>
  <c r="E1824" i="1"/>
  <c r="P1823" i="1"/>
  <c r="E1823" i="1"/>
  <c r="P1822" i="1"/>
  <c r="E1822" i="1"/>
  <c r="P1821" i="1"/>
  <c r="E1821" i="1"/>
  <c r="P1820" i="1"/>
  <c r="E1820" i="1"/>
  <c r="P1819" i="1"/>
  <c r="E1819" i="1"/>
  <c r="P1818" i="1"/>
  <c r="E1818" i="1"/>
  <c r="P1817" i="1"/>
  <c r="E1817" i="1"/>
  <c r="P1816" i="1"/>
  <c r="E1816" i="1"/>
  <c r="P1815" i="1"/>
  <c r="E1815" i="1"/>
  <c r="P1814" i="1"/>
  <c r="E1814" i="1"/>
  <c r="P1813" i="1"/>
  <c r="E1813" i="1"/>
  <c r="P1812" i="1"/>
  <c r="E1812" i="1"/>
  <c r="P1811" i="1"/>
  <c r="E1811" i="1"/>
  <c r="P1810" i="1"/>
  <c r="E1810" i="1"/>
  <c r="P1809" i="1"/>
  <c r="E1809" i="1"/>
  <c r="P1808" i="1"/>
  <c r="E1808" i="1"/>
  <c r="P1807" i="1"/>
  <c r="E1807" i="1"/>
  <c r="P1806" i="1"/>
  <c r="E1806" i="1"/>
  <c r="P1805" i="1"/>
  <c r="E1805" i="1"/>
  <c r="P1804" i="1"/>
  <c r="E1804" i="1"/>
  <c r="P1803" i="1"/>
  <c r="E1803" i="1"/>
  <c r="P1802" i="1"/>
  <c r="E1802" i="1"/>
  <c r="P1801" i="1"/>
  <c r="E1801" i="1"/>
  <c r="P1800" i="1"/>
  <c r="E1800" i="1"/>
  <c r="P1799" i="1"/>
  <c r="E1799" i="1"/>
  <c r="P1798" i="1"/>
  <c r="E1798" i="1"/>
  <c r="P1797" i="1"/>
  <c r="E1797" i="1"/>
  <c r="P1796" i="1"/>
  <c r="E1796" i="1"/>
  <c r="P1795" i="1"/>
  <c r="E1795" i="1"/>
  <c r="P1794" i="1"/>
  <c r="E1794" i="1"/>
  <c r="P1793" i="1"/>
  <c r="E1793" i="1"/>
  <c r="P1792" i="1"/>
  <c r="E1792" i="1"/>
  <c r="P1791" i="1"/>
  <c r="E1791" i="1"/>
  <c r="P1790" i="1"/>
  <c r="E1790" i="1"/>
  <c r="P1789" i="1"/>
  <c r="E1789" i="1"/>
  <c r="P1788" i="1"/>
  <c r="E1788" i="1"/>
  <c r="P1787" i="1"/>
  <c r="E1787" i="1"/>
  <c r="P1786" i="1"/>
  <c r="E1786" i="1"/>
  <c r="P1785" i="1"/>
  <c r="E1785" i="1"/>
  <c r="P1784" i="1"/>
  <c r="E1784" i="1"/>
  <c r="P1783" i="1"/>
  <c r="E1783" i="1"/>
  <c r="P1782" i="1"/>
  <c r="E1782" i="1"/>
  <c r="P1781" i="1"/>
  <c r="E1781" i="1"/>
  <c r="P1780" i="1"/>
  <c r="E1780" i="1"/>
  <c r="P1779" i="1"/>
  <c r="E1779" i="1"/>
  <c r="P1778" i="1"/>
  <c r="E1778" i="1"/>
  <c r="P1777" i="1"/>
  <c r="E1777" i="1"/>
  <c r="P1776" i="1"/>
  <c r="E1776" i="1"/>
  <c r="P1775" i="1"/>
  <c r="E1775" i="1"/>
  <c r="P1774" i="1"/>
  <c r="E1774" i="1"/>
  <c r="P1773" i="1"/>
  <c r="E1773" i="1"/>
  <c r="P1772" i="1"/>
  <c r="E1772" i="1"/>
  <c r="P1771" i="1"/>
  <c r="E1771" i="1"/>
  <c r="P1770" i="1"/>
  <c r="E1770" i="1"/>
  <c r="P1769" i="1"/>
  <c r="E1769" i="1"/>
  <c r="P1768" i="1"/>
  <c r="E1768" i="1"/>
  <c r="P1767" i="1"/>
  <c r="E1767" i="1"/>
  <c r="P1766" i="1"/>
  <c r="E1766" i="1"/>
  <c r="P1765" i="1"/>
  <c r="E1765" i="1"/>
  <c r="P1764" i="1"/>
  <c r="E1764" i="1"/>
  <c r="P1763" i="1"/>
  <c r="E1763" i="1"/>
  <c r="P1762" i="1"/>
  <c r="E1762" i="1"/>
  <c r="P1761" i="1"/>
  <c r="E1761" i="1"/>
  <c r="P1760" i="1"/>
  <c r="E1760" i="1"/>
  <c r="P1759" i="1"/>
  <c r="E1759" i="1"/>
  <c r="P1758" i="1"/>
  <c r="E1758" i="1"/>
  <c r="P1757" i="1"/>
  <c r="E1757" i="1"/>
  <c r="P1756" i="1"/>
  <c r="E1756" i="1"/>
  <c r="P1755" i="1"/>
  <c r="E1755" i="1"/>
  <c r="P1754" i="1"/>
  <c r="E1754" i="1"/>
  <c r="P1753" i="1"/>
  <c r="E1753" i="1"/>
  <c r="P1752" i="1"/>
  <c r="E1752" i="1"/>
  <c r="P1751" i="1"/>
  <c r="E1751" i="1"/>
  <c r="P1750" i="1"/>
  <c r="E1750" i="1"/>
  <c r="P1749" i="1"/>
  <c r="E1749" i="1"/>
  <c r="P1748" i="1"/>
  <c r="E1748" i="1"/>
  <c r="P1747" i="1"/>
  <c r="E1747" i="1"/>
  <c r="P1746" i="1"/>
  <c r="E1746" i="1"/>
  <c r="P1745" i="1"/>
  <c r="E1745" i="1"/>
  <c r="P1744" i="1"/>
  <c r="E1744" i="1"/>
  <c r="P1743" i="1"/>
  <c r="E1743" i="1"/>
  <c r="P1742" i="1"/>
  <c r="E1742" i="1"/>
  <c r="P1741" i="1"/>
  <c r="E1741" i="1"/>
  <c r="P1740" i="1"/>
  <c r="E1740" i="1"/>
  <c r="P1739" i="1"/>
  <c r="E1739" i="1"/>
  <c r="P1738" i="1"/>
  <c r="E1738" i="1"/>
  <c r="P1737" i="1"/>
  <c r="E1737" i="1"/>
  <c r="P1736" i="1"/>
  <c r="E1736" i="1"/>
  <c r="P1735" i="1"/>
  <c r="E1735" i="1"/>
  <c r="P1734" i="1"/>
  <c r="E1734" i="1"/>
  <c r="P1733" i="1"/>
  <c r="E1733" i="1"/>
  <c r="P1732" i="1"/>
  <c r="E1732" i="1"/>
  <c r="P1731" i="1"/>
  <c r="E1731" i="1"/>
  <c r="P1730" i="1"/>
  <c r="E1730" i="1"/>
  <c r="P1729" i="1"/>
  <c r="E1729" i="1"/>
  <c r="P1728" i="1"/>
  <c r="E1728" i="1"/>
  <c r="P1727" i="1"/>
  <c r="E1727" i="1"/>
  <c r="P1726" i="1"/>
  <c r="E1726" i="1"/>
  <c r="P1725" i="1"/>
  <c r="E1725" i="1"/>
  <c r="P1724" i="1"/>
  <c r="E1724" i="1"/>
  <c r="P1723" i="1"/>
  <c r="E1723" i="1"/>
  <c r="P1722" i="1"/>
  <c r="E1722" i="1"/>
  <c r="P1721" i="1"/>
  <c r="E1721" i="1"/>
  <c r="P1720" i="1"/>
  <c r="E1720" i="1"/>
  <c r="P1719" i="1"/>
  <c r="E1719" i="1"/>
  <c r="P1718" i="1"/>
  <c r="E1718" i="1"/>
  <c r="P1717" i="1"/>
  <c r="E1717" i="1"/>
  <c r="P1716" i="1"/>
  <c r="E1716" i="1"/>
  <c r="P1715" i="1"/>
  <c r="E1715" i="1"/>
  <c r="P1714" i="1"/>
  <c r="E1714" i="1"/>
  <c r="P1713" i="1"/>
  <c r="E1713" i="1"/>
  <c r="P1712" i="1"/>
  <c r="E1712" i="1"/>
  <c r="P1711" i="1"/>
  <c r="E1711" i="1"/>
  <c r="P1710" i="1"/>
  <c r="E1710" i="1"/>
  <c r="P1709" i="1"/>
  <c r="E1709" i="1"/>
  <c r="P1708" i="1"/>
  <c r="E1708" i="1"/>
  <c r="P1707" i="1"/>
  <c r="E1707" i="1"/>
  <c r="P1706" i="1"/>
  <c r="E1706" i="1"/>
  <c r="P1705" i="1"/>
  <c r="E1705" i="1"/>
  <c r="P1704" i="1"/>
  <c r="E1704" i="1"/>
  <c r="P1703" i="1"/>
  <c r="E1703" i="1"/>
  <c r="P1702" i="1"/>
  <c r="E1702" i="1"/>
  <c r="P1701" i="1"/>
  <c r="E1701" i="1"/>
  <c r="P1700" i="1"/>
  <c r="E1700" i="1"/>
  <c r="P1699" i="1"/>
  <c r="E1699" i="1"/>
  <c r="P1698" i="1"/>
  <c r="E1698" i="1"/>
  <c r="P1697" i="1"/>
  <c r="E1697" i="1"/>
  <c r="P1696" i="1"/>
  <c r="E1696" i="1"/>
  <c r="P1695" i="1"/>
  <c r="E1695" i="1"/>
  <c r="P1694" i="1"/>
  <c r="E1694" i="1"/>
  <c r="P1693" i="1"/>
  <c r="E1693" i="1"/>
  <c r="P1692" i="1"/>
  <c r="E1692" i="1"/>
  <c r="P1691" i="1"/>
  <c r="E1691" i="1"/>
  <c r="P1690" i="1"/>
  <c r="E1690" i="1"/>
  <c r="P1689" i="1"/>
  <c r="E1689" i="1"/>
  <c r="P1688" i="1"/>
  <c r="E1688" i="1"/>
  <c r="P1687" i="1"/>
  <c r="E1687" i="1"/>
  <c r="P1686" i="1"/>
  <c r="E1686" i="1"/>
  <c r="P1685" i="1"/>
  <c r="E1685" i="1"/>
  <c r="P1684" i="1"/>
  <c r="E1684" i="1"/>
  <c r="P1683" i="1"/>
  <c r="E1683" i="1"/>
  <c r="P1682" i="1"/>
  <c r="E1682" i="1"/>
  <c r="P1681" i="1"/>
  <c r="E1681" i="1"/>
  <c r="P1680" i="1"/>
  <c r="E1680" i="1"/>
  <c r="P1679" i="1"/>
  <c r="E1679" i="1"/>
  <c r="P1678" i="1"/>
  <c r="E1678" i="1"/>
  <c r="P1677" i="1"/>
  <c r="E1677" i="1"/>
  <c r="P1676" i="1"/>
  <c r="E1676" i="1"/>
  <c r="P1675" i="1"/>
  <c r="E1675" i="1"/>
  <c r="P1674" i="1"/>
  <c r="E1674" i="1"/>
  <c r="P1673" i="1"/>
  <c r="E1673" i="1"/>
  <c r="P1672" i="1"/>
  <c r="E1672" i="1"/>
  <c r="P1671" i="1"/>
  <c r="E1671" i="1"/>
  <c r="P1670" i="1"/>
  <c r="E1670" i="1"/>
  <c r="P1669" i="1"/>
  <c r="E1669" i="1"/>
  <c r="P1668" i="1"/>
  <c r="E1668" i="1"/>
  <c r="P1667" i="1"/>
  <c r="E1667" i="1"/>
  <c r="P1666" i="1"/>
  <c r="E1666" i="1"/>
  <c r="P1665" i="1"/>
  <c r="E1665" i="1"/>
  <c r="P1664" i="1"/>
  <c r="E1664" i="1"/>
  <c r="P1663" i="1"/>
  <c r="E1663" i="1"/>
  <c r="P1662" i="1"/>
  <c r="E1662" i="1"/>
  <c r="P1661" i="1"/>
  <c r="E1661" i="1"/>
  <c r="P1660" i="1"/>
  <c r="E1660" i="1"/>
  <c r="P1659" i="1"/>
  <c r="E1659" i="1"/>
  <c r="P1658" i="1"/>
  <c r="E1658" i="1"/>
  <c r="P1657" i="1"/>
  <c r="E1657" i="1"/>
  <c r="P1656" i="1"/>
  <c r="E1656" i="1"/>
  <c r="P1655" i="1"/>
  <c r="E1655" i="1"/>
  <c r="P1654" i="1"/>
  <c r="E1654" i="1"/>
  <c r="P1653" i="1"/>
  <c r="E1653" i="1"/>
  <c r="P1652" i="1"/>
  <c r="E1652" i="1"/>
  <c r="P1651" i="1"/>
  <c r="E1651" i="1"/>
  <c r="P1650" i="1"/>
  <c r="E1650" i="1"/>
  <c r="P1649" i="1"/>
  <c r="E1649" i="1"/>
  <c r="P1648" i="1"/>
  <c r="E1648" i="1"/>
  <c r="P1647" i="1"/>
  <c r="E1647" i="1"/>
  <c r="P1646" i="1"/>
  <c r="E1646" i="1"/>
  <c r="P1645" i="1"/>
  <c r="E1645" i="1"/>
  <c r="P1644" i="1"/>
  <c r="E1644" i="1"/>
  <c r="P1643" i="1"/>
  <c r="E1643" i="1"/>
  <c r="P1642" i="1"/>
  <c r="E1642" i="1"/>
  <c r="P1641" i="1"/>
  <c r="E1641" i="1"/>
  <c r="P1640" i="1"/>
  <c r="E1640" i="1"/>
  <c r="P1639" i="1"/>
  <c r="E1639" i="1"/>
  <c r="P1638" i="1"/>
  <c r="E1638" i="1"/>
  <c r="P1637" i="1"/>
  <c r="E1637" i="1"/>
  <c r="P1636" i="1"/>
  <c r="E1636" i="1"/>
  <c r="P1635" i="1"/>
  <c r="E1635" i="1"/>
  <c r="P1634" i="1"/>
  <c r="E1634" i="1"/>
  <c r="P1633" i="1"/>
  <c r="E1633" i="1"/>
  <c r="P1632" i="1"/>
  <c r="E1632" i="1"/>
  <c r="P1631" i="1"/>
  <c r="E1631" i="1"/>
  <c r="P1630" i="1"/>
  <c r="E1630" i="1"/>
  <c r="P1629" i="1"/>
  <c r="E1629" i="1"/>
  <c r="P1628" i="1"/>
  <c r="E1628" i="1"/>
  <c r="P1627" i="1"/>
  <c r="E1627" i="1"/>
  <c r="P1626" i="1"/>
  <c r="E1626" i="1"/>
  <c r="P1625" i="1"/>
  <c r="E1625" i="1"/>
  <c r="P1624" i="1"/>
  <c r="E1624" i="1"/>
  <c r="P1623" i="1"/>
  <c r="E1623" i="1"/>
  <c r="P1622" i="1"/>
  <c r="E1622" i="1"/>
  <c r="P1621" i="1"/>
  <c r="E1621" i="1"/>
  <c r="P1620" i="1"/>
  <c r="E1620" i="1"/>
  <c r="P1619" i="1"/>
  <c r="E1619" i="1"/>
  <c r="P1618" i="1"/>
  <c r="E1618" i="1"/>
  <c r="P1617" i="1"/>
  <c r="E1617" i="1"/>
  <c r="P1616" i="1"/>
  <c r="E1616" i="1"/>
  <c r="P1615" i="1"/>
  <c r="E1615" i="1"/>
  <c r="P1614" i="1"/>
  <c r="E1614" i="1"/>
  <c r="P1613" i="1"/>
  <c r="E1613" i="1"/>
  <c r="P1612" i="1"/>
  <c r="E1612" i="1"/>
  <c r="P1611" i="1"/>
  <c r="E1611" i="1"/>
  <c r="P1610" i="1"/>
  <c r="E1610" i="1"/>
  <c r="P1609" i="1"/>
  <c r="E1609" i="1"/>
  <c r="P1608" i="1"/>
  <c r="E1608" i="1"/>
  <c r="P1607" i="1"/>
  <c r="E1607" i="1"/>
  <c r="P1606" i="1"/>
  <c r="E1606" i="1"/>
  <c r="P1605" i="1"/>
  <c r="E1605" i="1"/>
  <c r="P1604" i="1"/>
  <c r="E1604" i="1"/>
  <c r="P1603" i="1"/>
  <c r="E1603" i="1"/>
  <c r="P1602" i="1"/>
  <c r="E1602" i="1"/>
  <c r="P1601" i="1"/>
  <c r="E1601" i="1"/>
  <c r="P1600" i="1"/>
  <c r="E1600" i="1"/>
  <c r="P1599" i="1"/>
  <c r="E1599" i="1"/>
  <c r="P1598" i="1"/>
  <c r="E1598" i="1"/>
  <c r="P1597" i="1"/>
  <c r="E1597" i="1"/>
  <c r="P1596" i="1"/>
  <c r="E1596" i="1"/>
  <c r="P1595" i="1"/>
  <c r="E1595" i="1"/>
  <c r="P1594" i="1"/>
  <c r="E1594" i="1"/>
  <c r="P1593" i="1"/>
  <c r="E1593" i="1"/>
  <c r="P1592" i="1"/>
  <c r="E1592" i="1"/>
  <c r="P1591" i="1"/>
  <c r="E1591" i="1"/>
  <c r="P1590" i="1"/>
  <c r="E1590" i="1"/>
  <c r="P1589" i="1"/>
  <c r="E1589" i="1"/>
  <c r="P1588" i="1"/>
  <c r="E1588" i="1"/>
  <c r="P1587" i="1"/>
  <c r="E1587" i="1"/>
  <c r="P1586" i="1"/>
  <c r="E1586" i="1"/>
  <c r="P1585" i="1"/>
  <c r="E1585" i="1"/>
  <c r="P1584" i="1"/>
  <c r="E1584" i="1"/>
  <c r="P1583" i="1"/>
  <c r="E1583" i="1"/>
  <c r="P1582" i="1"/>
  <c r="E1582" i="1"/>
  <c r="P1581" i="1"/>
  <c r="E1581" i="1"/>
  <c r="P1580" i="1"/>
  <c r="E1580" i="1"/>
  <c r="P1579" i="1"/>
  <c r="E1579" i="1"/>
  <c r="P1578" i="1"/>
  <c r="E1578" i="1"/>
  <c r="P1577" i="1"/>
  <c r="E1577" i="1"/>
  <c r="P1576" i="1"/>
  <c r="E1576" i="1"/>
  <c r="P1575" i="1"/>
  <c r="E1575" i="1"/>
  <c r="P1574" i="1"/>
  <c r="E1574" i="1"/>
  <c r="P1573" i="1"/>
  <c r="E1573" i="1"/>
  <c r="P1572" i="1"/>
  <c r="E1572" i="1"/>
  <c r="P1571" i="1"/>
  <c r="E1571" i="1"/>
  <c r="P1570" i="1"/>
  <c r="E1570" i="1"/>
  <c r="P1569" i="1"/>
  <c r="E1569" i="1"/>
  <c r="P1568" i="1"/>
  <c r="E1568" i="1"/>
  <c r="P1567" i="1"/>
  <c r="E1567" i="1"/>
  <c r="P1566" i="1"/>
  <c r="E1566" i="1"/>
  <c r="P1565" i="1"/>
  <c r="E1565" i="1"/>
  <c r="P1564" i="1"/>
  <c r="E1564" i="1"/>
  <c r="P1563" i="1"/>
  <c r="E1563" i="1"/>
  <c r="P1562" i="1"/>
  <c r="E1562" i="1"/>
  <c r="P1561" i="1"/>
  <c r="E1561" i="1"/>
  <c r="P1560" i="1"/>
  <c r="E1560" i="1"/>
  <c r="P1559" i="1"/>
  <c r="E1559" i="1"/>
  <c r="P1558" i="1"/>
  <c r="E1558" i="1"/>
  <c r="P1557" i="1"/>
  <c r="E1557" i="1"/>
  <c r="P1556" i="1"/>
  <c r="E1556" i="1"/>
  <c r="P1555" i="1"/>
  <c r="E1555" i="1"/>
  <c r="P1554" i="1"/>
  <c r="E1554" i="1"/>
  <c r="P1553" i="1"/>
  <c r="E1553" i="1"/>
  <c r="P1552" i="1"/>
  <c r="E1552" i="1"/>
  <c r="P1551" i="1"/>
  <c r="E1551" i="1"/>
  <c r="P1550" i="1"/>
  <c r="E1550" i="1"/>
  <c r="P1549" i="1"/>
  <c r="E1549" i="1"/>
  <c r="P1548" i="1"/>
  <c r="E1548" i="1"/>
  <c r="P1547" i="1"/>
  <c r="E1547" i="1"/>
  <c r="P1546" i="1"/>
  <c r="E1546" i="1"/>
  <c r="P1545" i="1"/>
  <c r="E1545" i="1"/>
  <c r="P1544" i="1"/>
  <c r="E1544" i="1"/>
  <c r="P1543" i="1"/>
  <c r="E1543" i="1"/>
  <c r="P1542" i="1"/>
  <c r="E1542" i="1"/>
  <c r="P1541" i="1"/>
  <c r="E1541" i="1"/>
  <c r="P1540" i="1"/>
  <c r="E1540" i="1"/>
  <c r="P1539" i="1"/>
  <c r="E1539" i="1"/>
  <c r="P1538" i="1"/>
  <c r="E1538" i="1"/>
  <c r="P1537" i="1"/>
  <c r="E1537" i="1"/>
  <c r="P1536" i="1"/>
  <c r="E1536" i="1"/>
  <c r="P1535" i="1"/>
  <c r="E1535" i="1"/>
  <c r="P1534" i="1"/>
  <c r="E1534" i="1"/>
  <c r="P1533" i="1"/>
  <c r="E1533" i="1"/>
  <c r="P1532" i="1"/>
  <c r="E1532" i="1"/>
  <c r="P1531" i="1"/>
  <c r="E1531" i="1"/>
  <c r="P1530" i="1"/>
  <c r="E1530" i="1"/>
  <c r="P1529" i="1"/>
  <c r="E1529" i="1"/>
  <c r="P1528" i="1"/>
  <c r="E1528" i="1"/>
  <c r="P1527" i="1"/>
  <c r="E1527" i="1"/>
  <c r="P1526" i="1"/>
  <c r="E1526" i="1"/>
  <c r="P1525" i="1"/>
  <c r="E1525" i="1"/>
  <c r="P1524" i="1"/>
  <c r="E1524" i="1"/>
  <c r="P1523" i="1"/>
  <c r="E1523" i="1"/>
  <c r="P1522" i="1"/>
  <c r="E1522" i="1"/>
  <c r="P1521" i="1"/>
  <c r="E1521" i="1"/>
  <c r="P1520" i="1"/>
  <c r="E1520" i="1"/>
  <c r="P1519" i="1"/>
  <c r="E1519" i="1"/>
  <c r="P1518" i="1"/>
  <c r="E1518" i="1"/>
  <c r="P1517" i="1"/>
  <c r="E1517" i="1"/>
  <c r="P1516" i="1"/>
  <c r="E1516" i="1"/>
  <c r="P1515" i="1"/>
  <c r="E1515" i="1"/>
  <c r="P1514" i="1"/>
  <c r="E1514" i="1"/>
  <c r="P1513" i="1"/>
  <c r="E1513" i="1"/>
  <c r="P1512" i="1"/>
  <c r="E1512" i="1"/>
  <c r="P1511" i="1"/>
  <c r="E1511" i="1"/>
  <c r="P1510" i="1"/>
  <c r="E1510" i="1"/>
  <c r="P1509" i="1"/>
  <c r="E1509" i="1"/>
  <c r="P1508" i="1"/>
  <c r="E1508" i="1"/>
  <c r="P1507" i="1"/>
  <c r="E1507" i="1"/>
  <c r="P1506" i="1"/>
  <c r="E1506" i="1"/>
  <c r="P1505" i="1"/>
  <c r="E1505" i="1"/>
  <c r="P1504" i="1"/>
  <c r="E1504" i="1"/>
  <c r="P1503" i="1"/>
  <c r="E1503" i="1"/>
  <c r="P1502" i="1"/>
  <c r="E1502" i="1"/>
  <c r="P1501" i="1"/>
  <c r="E1501" i="1"/>
  <c r="P1500" i="1"/>
  <c r="E1500" i="1"/>
  <c r="P1499" i="1"/>
  <c r="E1499" i="1"/>
  <c r="P1498" i="1"/>
  <c r="E1498" i="1"/>
  <c r="P1497" i="1"/>
  <c r="E1497" i="1"/>
  <c r="P1496" i="1"/>
  <c r="E1496" i="1"/>
  <c r="P1495" i="1"/>
  <c r="E1495" i="1"/>
  <c r="P1494" i="1"/>
  <c r="E1494" i="1"/>
  <c r="P1493" i="1"/>
  <c r="E1493" i="1"/>
  <c r="P1492" i="1"/>
  <c r="E1492" i="1"/>
  <c r="P1491" i="1"/>
  <c r="E1491" i="1"/>
  <c r="P1490" i="1"/>
  <c r="E1490" i="1"/>
  <c r="P1489" i="1"/>
  <c r="E1489" i="1"/>
  <c r="P1488" i="1"/>
  <c r="E1488" i="1"/>
  <c r="P1487" i="1"/>
  <c r="E1487" i="1"/>
  <c r="P1486" i="1"/>
  <c r="E1486" i="1"/>
  <c r="P1485" i="1"/>
  <c r="E1485" i="1"/>
  <c r="P1484" i="1"/>
  <c r="E1484" i="1"/>
  <c r="P1483" i="1"/>
  <c r="E1483" i="1"/>
  <c r="P1482" i="1"/>
  <c r="E1482" i="1"/>
  <c r="P1481" i="1"/>
  <c r="E1481" i="1"/>
  <c r="P1480" i="1"/>
  <c r="E1480" i="1"/>
  <c r="P1479" i="1"/>
  <c r="E1479" i="1"/>
  <c r="P1478" i="1"/>
  <c r="E1478" i="1"/>
  <c r="P1477" i="1"/>
  <c r="E1477" i="1"/>
  <c r="P1476" i="1"/>
  <c r="E1476" i="1"/>
  <c r="P1475" i="1"/>
  <c r="E1475" i="1"/>
  <c r="P1474" i="1"/>
  <c r="E1474" i="1"/>
  <c r="P1473" i="1"/>
  <c r="E1473" i="1"/>
  <c r="P1472" i="1"/>
  <c r="E1472" i="1"/>
  <c r="P1471" i="1"/>
  <c r="E1471" i="1"/>
  <c r="P1470" i="1"/>
  <c r="E1470" i="1"/>
  <c r="P1469" i="1"/>
  <c r="E1469" i="1"/>
  <c r="P1468" i="1"/>
  <c r="E1468" i="1"/>
  <c r="P1467" i="1"/>
  <c r="E1467" i="1"/>
  <c r="P1466" i="1"/>
  <c r="E1466" i="1"/>
  <c r="P1465" i="1"/>
  <c r="E1465" i="1"/>
  <c r="P1464" i="1"/>
  <c r="E1464" i="1"/>
  <c r="P1463" i="1"/>
  <c r="E1463" i="1"/>
  <c r="P1462" i="1"/>
  <c r="E1462" i="1"/>
  <c r="P1461" i="1"/>
  <c r="E1461" i="1"/>
  <c r="P1460" i="1"/>
  <c r="E1460" i="1"/>
  <c r="P1459" i="1"/>
  <c r="E1459" i="1"/>
  <c r="P1458" i="1"/>
  <c r="E1458" i="1"/>
  <c r="P1457" i="1"/>
  <c r="E1457" i="1"/>
  <c r="P1456" i="1"/>
  <c r="E1456" i="1"/>
  <c r="P1455" i="1"/>
  <c r="E1455" i="1"/>
  <c r="P1454" i="1"/>
  <c r="E1454" i="1"/>
  <c r="P1453" i="1"/>
  <c r="E1453" i="1"/>
  <c r="P1452" i="1"/>
  <c r="E1452" i="1"/>
  <c r="P1451" i="1"/>
  <c r="E1451" i="1"/>
  <c r="P1450" i="1"/>
  <c r="E1450" i="1"/>
  <c r="P1449" i="1"/>
  <c r="E1449" i="1"/>
  <c r="P1448" i="1"/>
  <c r="E1448" i="1"/>
  <c r="P1447" i="1"/>
  <c r="E1447" i="1"/>
  <c r="P1446" i="1"/>
  <c r="E1446" i="1"/>
  <c r="P1445" i="1"/>
  <c r="E1445" i="1"/>
  <c r="P1444" i="1"/>
  <c r="E1444" i="1"/>
  <c r="P1443" i="1"/>
  <c r="E1443" i="1"/>
  <c r="P1442" i="1"/>
  <c r="E1442" i="1"/>
  <c r="P1441" i="1"/>
  <c r="E1441" i="1"/>
  <c r="P1440" i="1"/>
  <c r="E1440" i="1"/>
  <c r="P1439" i="1"/>
  <c r="E1439" i="1"/>
  <c r="P1438" i="1"/>
  <c r="E1438" i="1"/>
  <c r="P1437" i="1"/>
  <c r="E1437" i="1"/>
  <c r="P1436" i="1"/>
  <c r="E1436" i="1"/>
  <c r="P1435" i="1"/>
  <c r="E1435" i="1"/>
  <c r="P1434" i="1"/>
  <c r="E1434" i="1"/>
  <c r="P1433" i="1"/>
  <c r="E1433" i="1"/>
  <c r="P1432" i="1"/>
  <c r="E1432" i="1"/>
  <c r="P1431" i="1"/>
  <c r="E1431" i="1"/>
  <c r="P1430" i="1"/>
  <c r="E1430" i="1"/>
  <c r="P1429" i="1"/>
  <c r="E1429" i="1"/>
  <c r="P1428" i="1"/>
  <c r="E1428" i="1"/>
  <c r="P1427" i="1"/>
  <c r="E1427" i="1"/>
  <c r="P1426" i="1"/>
  <c r="E1426" i="1"/>
  <c r="P1425" i="1"/>
  <c r="E1425" i="1"/>
  <c r="P1424" i="1"/>
  <c r="E1424" i="1"/>
  <c r="P1423" i="1"/>
  <c r="E1423" i="1"/>
  <c r="P1422" i="1"/>
  <c r="E1422" i="1"/>
  <c r="P1421" i="1"/>
  <c r="E1421" i="1"/>
  <c r="P1420" i="1"/>
  <c r="E1420" i="1"/>
  <c r="P1419" i="1"/>
  <c r="E1419" i="1"/>
  <c r="P1418" i="1"/>
  <c r="E1418" i="1"/>
  <c r="P1417" i="1"/>
  <c r="E1417" i="1"/>
  <c r="P1416" i="1"/>
  <c r="E1416" i="1"/>
  <c r="P1415" i="1"/>
  <c r="E1415" i="1"/>
  <c r="P1414" i="1"/>
  <c r="E1414" i="1"/>
  <c r="P1413" i="1"/>
  <c r="E1413" i="1"/>
  <c r="P1412" i="1"/>
  <c r="E1412" i="1"/>
  <c r="P1411" i="1"/>
  <c r="E1411" i="1"/>
  <c r="P1410" i="1"/>
  <c r="E1410" i="1"/>
  <c r="P1409" i="1"/>
  <c r="E1409" i="1"/>
  <c r="P1408" i="1"/>
  <c r="E1408" i="1"/>
  <c r="P1407" i="1"/>
  <c r="E1407" i="1"/>
  <c r="P1406" i="1"/>
  <c r="E1406" i="1"/>
  <c r="P1405" i="1"/>
  <c r="E1405" i="1"/>
  <c r="P1404" i="1"/>
  <c r="E1404" i="1"/>
  <c r="P1403" i="1"/>
  <c r="E1403" i="1"/>
  <c r="P1402" i="1"/>
  <c r="E1402" i="1"/>
  <c r="P1401" i="1"/>
  <c r="E1401" i="1"/>
  <c r="P1400" i="1"/>
  <c r="E1400" i="1"/>
  <c r="P1399" i="1"/>
  <c r="E1399" i="1"/>
  <c r="P1398" i="1"/>
  <c r="E1398" i="1"/>
  <c r="P1397" i="1"/>
  <c r="E1397" i="1"/>
  <c r="P1396" i="1"/>
  <c r="E1396" i="1"/>
  <c r="P1395" i="1"/>
  <c r="E1395" i="1"/>
  <c r="P1394" i="1"/>
  <c r="E1394" i="1"/>
  <c r="P1393" i="1"/>
  <c r="E1393" i="1"/>
  <c r="P1392" i="1"/>
  <c r="E1392" i="1"/>
  <c r="P1391" i="1"/>
  <c r="E1391" i="1"/>
  <c r="P1390" i="1"/>
  <c r="E1390" i="1"/>
  <c r="P1389" i="1"/>
  <c r="E1389" i="1"/>
  <c r="P1388" i="1"/>
  <c r="E1388" i="1"/>
  <c r="P1387" i="1"/>
  <c r="E1387" i="1"/>
  <c r="P1386" i="1"/>
  <c r="E1386" i="1"/>
  <c r="P1385" i="1"/>
  <c r="E1385" i="1"/>
  <c r="P1384" i="1"/>
  <c r="E1384" i="1"/>
  <c r="P1383" i="1"/>
  <c r="E1383" i="1"/>
  <c r="P1382" i="1"/>
  <c r="E1382" i="1"/>
  <c r="P1381" i="1"/>
  <c r="E1381" i="1"/>
  <c r="P1380" i="1"/>
  <c r="E1380" i="1"/>
  <c r="P1379" i="1"/>
  <c r="E1379" i="1"/>
  <c r="P1378" i="1"/>
  <c r="E1378" i="1"/>
  <c r="P1377" i="1"/>
  <c r="E1377" i="1"/>
  <c r="P1376" i="1"/>
  <c r="E1376" i="1"/>
  <c r="P1375" i="1"/>
  <c r="E1375" i="1"/>
  <c r="P1374" i="1"/>
  <c r="E1374" i="1"/>
  <c r="P1373" i="1"/>
  <c r="E1373" i="1"/>
  <c r="P1372" i="1"/>
  <c r="E1372" i="1"/>
  <c r="P1371" i="1"/>
  <c r="E1371" i="1"/>
  <c r="P1370" i="1"/>
  <c r="E1370" i="1"/>
  <c r="P1369" i="1"/>
  <c r="E1369" i="1"/>
  <c r="P1368" i="1"/>
  <c r="E1368" i="1"/>
  <c r="P1367" i="1"/>
  <c r="E1367" i="1"/>
  <c r="P1366" i="1"/>
  <c r="E1366" i="1"/>
  <c r="P1365" i="1"/>
  <c r="E1365" i="1"/>
  <c r="P1364" i="1"/>
  <c r="E1364" i="1"/>
  <c r="P1363" i="1"/>
  <c r="E1363" i="1"/>
  <c r="P1362" i="1"/>
  <c r="E1362" i="1"/>
  <c r="P1361" i="1"/>
  <c r="E1361" i="1"/>
  <c r="P1360" i="1"/>
  <c r="E1360" i="1"/>
  <c r="P1359" i="1"/>
  <c r="E1359" i="1"/>
  <c r="P1358" i="1"/>
  <c r="E1358" i="1"/>
  <c r="P1357" i="1"/>
  <c r="E1357" i="1"/>
  <c r="P1356" i="1"/>
  <c r="E1356" i="1"/>
  <c r="P1355" i="1"/>
  <c r="E1355" i="1"/>
  <c r="P1354" i="1"/>
  <c r="E1354" i="1"/>
  <c r="P1353" i="1"/>
  <c r="E1353" i="1"/>
  <c r="P1352" i="1"/>
  <c r="E1352" i="1"/>
  <c r="P1351" i="1"/>
  <c r="E1351" i="1"/>
  <c r="P1350" i="1"/>
  <c r="E1350" i="1"/>
  <c r="P1349" i="1"/>
  <c r="E1349" i="1"/>
  <c r="P1348" i="1"/>
  <c r="E1348" i="1"/>
  <c r="P1347" i="1"/>
  <c r="E1347" i="1"/>
  <c r="P1346" i="1"/>
  <c r="E1346" i="1"/>
  <c r="P1345" i="1"/>
  <c r="E1345" i="1"/>
  <c r="P1344" i="1"/>
  <c r="E1344" i="1"/>
  <c r="P1343" i="1"/>
  <c r="E1343" i="1"/>
  <c r="P1342" i="1"/>
  <c r="E1342" i="1"/>
  <c r="P1341" i="1"/>
  <c r="E1341" i="1"/>
  <c r="P1340" i="1"/>
  <c r="E1340" i="1"/>
  <c r="P1339" i="1"/>
  <c r="E1339" i="1"/>
  <c r="P1338" i="1"/>
  <c r="E1338" i="1"/>
  <c r="P1337" i="1"/>
  <c r="E1337" i="1"/>
  <c r="P1336" i="1"/>
  <c r="E1336" i="1"/>
  <c r="P1335" i="1"/>
  <c r="E1335" i="1"/>
  <c r="P1334" i="1"/>
  <c r="E1334" i="1"/>
  <c r="P1333" i="1"/>
  <c r="E1333" i="1"/>
  <c r="P1332" i="1"/>
  <c r="E1332" i="1"/>
  <c r="P1331" i="1"/>
  <c r="E1331" i="1"/>
  <c r="P1330" i="1"/>
  <c r="E1330" i="1"/>
  <c r="P1329" i="1"/>
  <c r="E1329" i="1"/>
  <c r="P1328" i="1"/>
  <c r="E1328" i="1"/>
  <c r="P1327" i="1"/>
  <c r="E1327" i="1"/>
  <c r="P1326" i="1"/>
  <c r="E1326" i="1"/>
  <c r="P1325" i="1"/>
  <c r="E1325" i="1"/>
  <c r="P1324" i="1"/>
  <c r="E1324" i="1"/>
  <c r="P1323" i="1"/>
  <c r="E1323" i="1"/>
  <c r="P1322" i="1"/>
  <c r="E1322" i="1"/>
  <c r="P1321" i="1"/>
  <c r="E1321" i="1"/>
  <c r="P1320" i="1"/>
  <c r="E1320" i="1"/>
  <c r="P1319" i="1"/>
  <c r="E1319" i="1"/>
  <c r="P1318" i="1"/>
  <c r="E1318" i="1"/>
  <c r="P1317" i="1"/>
  <c r="E1317" i="1"/>
  <c r="P1316" i="1"/>
  <c r="E1316" i="1"/>
  <c r="P1315" i="1"/>
  <c r="E1315" i="1"/>
  <c r="P1314" i="1"/>
  <c r="E1314" i="1"/>
  <c r="P1313" i="1"/>
  <c r="E1313" i="1"/>
  <c r="P1312" i="1"/>
  <c r="E1312" i="1"/>
  <c r="P1311" i="1"/>
  <c r="E1311" i="1"/>
  <c r="P1310" i="1"/>
  <c r="E1310" i="1"/>
  <c r="P1309" i="1"/>
  <c r="E1309" i="1"/>
  <c r="P1308" i="1"/>
  <c r="E1308" i="1"/>
  <c r="P1307" i="1"/>
  <c r="E1307" i="1"/>
  <c r="P1306" i="1"/>
  <c r="E1306" i="1"/>
  <c r="P1305" i="1"/>
  <c r="E1305" i="1"/>
  <c r="P1304" i="1"/>
  <c r="E1304" i="1"/>
  <c r="P1303" i="1"/>
  <c r="E1303" i="1"/>
  <c r="P1302" i="1"/>
  <c r="E1302" i="1"/>
  <c r="P1301" i="1"/>
  <c r="E1301" i="1"/>
  <c r="P1300" i="1"/>
  <c r="E1300" i="1"/>
  <c r="P1299" i="1"/>
  <c r="E1299" i="1"/>
  <c r="P1298" i="1"/>
  <c r="E1298" i="1"/>
  <c r="P1297" i="1"/>
  <c r="E1297" i="1"/>
  <c r="P1296" i="1"/>
  <c r="E1296" i="1"/>
  <c r="P1295" i="1"/>
  <c r="E1295" i="1"/>
  <c r="P1294" i="1"/>
  <c r="E1294" i="1"/>
  <c r="P1293" i="1"/>
  <c r="E1293" i="1"/>
  <c r="P1292" i="1"/>
  <c r="E1292" i="1"/>
  <c r="P1291" i="1"/>
  <c r="E1291" i="1"/>
  <c r="P1290" i="1"/>
  <c r="E1290" i="1"/>
  <c r="P1289" i="1"/>
  <c r="E1289" i="1"/>
  <c r="P1288" i="1"/>
  <c r="E1288" i="1"/>
  <c r="P1287" i="1"/>
  <c r="E1287" i="1"/>
  <c r="P1286" i="1"/>
  <c r="E1286" i="1"/>
  <c r="P1285" i="1"/>
  <c r="E1285" i="1"/>
  <c r="P1284" i="1"/>
  <c r="E1284" i="1"/>
  <c r="P1283" i="1"/>
  <c r="E1283" i="1"/>
  <c r="P1282" i="1"/>
  <c r="E1282" i="1"/>
  <c r="P1281" i="1"/>
  <c r="E1281" i="1"/>
  <c r="P1280" i="1"/>
  <c r="E1280" i="1"/>
  <c r="P1279" i="1"/>
  <c r="E1279" i="1"/>
  <c r="P1278" i="1"/>
  <c r="E1278" i="1"/>
  <c r="P1277" i="1"/>
  <c r="E1277" i="1"/>
  <c r="P1276" i="1"/>
  <c r="E1276" i="1"/>
  <c r="P1275" i="1"/>
  <c r="E1275" i="1"/>
  <c r="P1274" i="1"/>
  <c r="E1274" i="1"/>
  <c r="P1273" i="1"/>
  <c r="E1273" i="1"/>
  <c r="P1272" i="1"/>
  <c r="E1272" i="1"/>
  <c r="P1271" i="1"/>
  <c r="E1271" i="1"/>
  <c r="P1270" i="1"/>
  <c r="E1270" i="1"/>
  <c r="P1269" i="1"/>
  <c r="E1269" i="1"/>
  <c r="P1268" i="1"/>
  <c r="E1268" i="1"/>
  <c r="P1267" i="1"/>
  <c r="E1267" i="1"/>
  <c r="P1266" i="1"/>
  <c r="E1266" i="1"/>
  <c r="P1265" i="1"/>
  <c r="E1265" i="1"/>
  <c r="P1264" i="1"/>
  <c r="E1264" i="1"/>
  <c r="P1263" i="1"/>
  <c r="E1263" i="1"/>
  <c r="P1262" i="1"/>
  <c r="E1262" i="1"/>
  <c r="P1261" i="1"/>
  <c r="E1261" i="1"/>
  <c r="P1260" i="1"/>
  <c r="E1260" i="1"/>
  <c r="P1259" i="1"/>
  <c r="E1259" i="1"/>
  <c r="P1258" i="1"/>
  <c r="E1258" i="1"/>
  <c r="P1257" i="1"/>
  <c r="E1257" i="1"/>
  <c r="P1256" i="1"/>
  <c r="E1256" i="1"/>
  <c r="P1255" i="1"/>
  <c r="E1255" i="1"/>
  <c r="P1254" i="1"/>
  <c r="E1254" i="1"/>
  <c r="P1253" i="1"/>
  <c r="E1253" i="1"/>
  <c r="P1252" i="1"/>
  <c r="E1252" i="1"/>
  <c r="P1251" i="1"/>
  <c r="E1251" i="1"/>
  <c r="P1250" i="1"/>
  <c r="E1250" i="1"/>
  <c r="P1249" i="1"/>
  <c r="E1249" i="1"/>
  <c r="P1248" i="1"/>
  <c r="E1248" i="1"/>
  <c r="P1247" i="1"/>
  <c r="E1247" i="1"/>
  <c r="P1246" i="1"/>
  <c r="E1246" i="1"/>
  <c r="P1245" i="1"/>
  <c r="E1245" i="1"/>
  <c r="P1244" i="1"/>
  <c r="E1244" i="1"/>
  <c r="P1243" i="1"/>
  <c r="E1243" i="1"/>
  <c r="P1242" i="1"/>
  <c r="E1242" i="1"/>
  <c r="P1241" i="1"/>
  <c r="E1241" i="1"/>
  <c r="P1240" i="1"/>
  <c r="E1240" i="1"/>
  <c r="P1239" i="1"/>
  <c r="E1239" i="1"/>
  <c r="P1238" i="1"/>
  <c r="E1238" i="1"/>
  <c r="P1237" i="1"/>
  <c r="E1237" i="1"/>
  <c r="P1236" i="1"/>
  <c r="E1236" i="1"/>
  <c r="P1235" i="1"/>
  <c r="E1235" i="1"/>
  <c r="P1234" i="1"/>
  <c r="E1234" i="1"/>
  <c r="P1233" i="1"/>
  <c r="E1233" i="1"/>
  <c r="P1232" i="1"/>
  <c r="E1232" i="1"/>
  <c r="P1231" i="1"/>
  <c r="E1231" i="1"/>
  <c r="P1230" i="1"/>
  <c r="E1230" i="1"/>
  <c r="P1229" i="1"/>
  <c r="E1229" i="1"/>
  <c r="P1228" i="1"/>
  <c r="E1228" i="1"/>
  <c r="P1227" i="1"/>
  <c r="E1227" i="1"/>
  <c r="P1226" i="1"/>
  <c r="E1226" i="1"/>
  <c r="P1225" i="1"/>
  <c r="E1225" i="1"/>
  <c r="P1224" i="1"/>
  <c r="E1224" i="1"/>
  <c r="P1223" i="1"/>
  <c r="E1223" i="1"/>
  <c r="P1222" i="1"/>
  <c r="E1222" i="1"/>
  <c r="P1221" i="1"/>
  <c r="E1221" i="1"/>
  <c r="P1220" i="1"/>
  <c r="E1220" i="1"/>
  <c r="P1219" i="1"/>
  <c r="E1219" i="1"/>
  <c r="P1218" i="1"/>
  <c r="E1218" i="1"/>
  <c r="P1217" i="1"/>
  <c r="E1217" i="1"/>
  <c r="P1216" i="1"/>
  <c r="E1216" i="1"/>
  <c r="P1215" i="1"/>
  <c r="E1215" i="1"/>
  <c r="P1214" i="1"/>
  <c r="E1214" i="1"/>
  <c r="P1213" i="1"/>
  <c r="E1213" i="1"/>
  <c r="P1212" i="1"/>
  <c r="E1212" i="1"/>
  <c r="P1211" i="1"/>
  <c r="E1211" i="1"/>
  <c r="P1210" i="1"/>
  <c r="E1210" i="1"/>
  <c r="P1209" i="1"/>
  <c r="E1209" i="1"/>
  <c r="P1208" i="1"/>
  <c r="E1208" i="1"/>
  <c r="P1207" i="1"/>
  <c r="E1207" i="1"/>
  <c r="P1206" i="1"/>
  <c r="E1206" i="1"/>
  <c r="P1205" i="1"/>
  <c r="E1205" i="1"/>
  <c r="P1204" i="1"/>
  <c r="E1204" i="1"/>
  <c r="P1203" i="1"/>
  <c r="E1203" i="1"/>
  <c r="P1202" i="1"/>
  <c r="E1202" i="1"/>
  <c r="P1201" i="1"/>
  <c r="E1201" i="1"/>
  <c r="P1200" i="1"/>
  <c r="E1200" i="1"/>
  <c r="P1199" i="1"/>
  <c r="E1199" i="1"/>
  <c r="P1198" i="1"/>
  <c r="E1198" i="1"/>
  <c r="P1197" i="1"/>
  <c r="E1197" i="1"/>
  <c r="P1196" i="1"/>
  <c r="E1196" i="1"/>
  <c r="P1195" i="1"/>
  <c r="E1195" i="1"/>
  <c r="P1194" i="1"/>
  <c r="E1194" i="1"/>
  <c r="P1193" i="1"/>
  <c r="E1193" i="1"/>
  <c r="P1192" i="1"/>
  <c r="E1192" i="1"/>
  <c r="P1191" i="1"/>
  <c r="E1191" i="1"/>
  <c r="P1190" i="1"/>
  <c r="E1190" i="1"/>
  <c r="P1189" i="1"/>
  <c r="E1189" i="1"/>
  <c r="P1188" i="1"/>
  <c r="E1188" i="1"/>
  <c r="P1187" i="1"/>
  <c r="E1187" i="1"/>
  <c r="P1186" i="1"/>
  <c r="E1186" i="1"/>
  <c r="P1185" i="1"/>
  <c r="E1185" i="1"/>
  <c r="P1184" i="1"/>
  <c r="E1184" i="1"/>
  <c r="P1183" i="1"/>
  <c r="E1183" i="1"/>
  <c r="P1182" i="1"/>
  <c r="E1182" i="1"/>
  <c r="P1181" i="1"/>
  <c r="E1181" i="1"/>
  <c r="P1180" i="1"/>
  <c r="E1180" i="1"/>
  <c r="P1179" i="1"/>
  <c r="E1179" i="1"/>
  <c r="P1178" i="1"/>
  <c r="E1178" i="1"/>
  <c r="P1177" i="1"/>
  <c r="E1177" i="1"/>
  <c r="P1176" i="1"/>
  <c r="E1176" i="1"/>
  <c r="P1175" i="1"/>
  <c r="E1175" i="1"/>
  <c r="P1174" i="1"/>
  <c r="E1174" i="1"/>
  <c r="P1173" i="1"/>
  <c r="E1173" i="1"/>
  <c r="P1172" i="1"/>
  <c r="E1172" i="1"/>
  <c r="P1171" i="1"/>
  <c r="E1171" i="1"/>
  <c r="P1170" i="1"/>
  <c r="E1170" i="1"/>
  <c r="P1169" i="1"/>
  <c r="E1169" i="1"/>
  <c r="P1168" i="1"/>
  <c r="E1168" i="1"/>
  <c r="P1167" i="1"/>
  <c r="E1167" i="1"/>
  <c r="P1166" i="1"/>
  <c r="E1166" i="1"/>
  <c r="P1165" i="1"/>
  <c r="E1165" i="1"/>
  <c r="P1164" i="1"/>
  <c r="E1164" i="1"/>
  <c r="P1163" i="1"/>
  <c r="E1163" i="1"/>
  <c r="P1162" i="1"/>
  <c r="E1162" i="1"/>
  <c r="P1161" i="1"/>
  <c r="E1161" i="1"/>
  <c r="P1160" i="1"/>
  <c r="E1160" i="1"/>
  <c r="P1159" i="1"/>
  <c r="E1159" i="1"/>
  <c r="P1158" i="1"/>
  <c r="E1158" i="1"/>
  <c r="P1157" i="1"/>
  <c r="E1157" i="1"/>
  <c r="P1156" i="1"/>
  <c r="E1156" i="1"/>
  <c r="P1155" i="1"/>
  <c r="E1155" i="1"/>
  <c r="P1154" i="1"/>
  <c r="E1154" i="1"/>
  <c r="P1153" i="1"/>
  <c r="E1153" i="1"/>
  <c r="P1152" i="1"/>
  <c r="E1152" i="1"/>
  <c r="P1151" i="1"/>
  <c r="E1151" i="1"/>
  <c r="P1150" i="1"/>
  <c r="E1150" i="1"/>
  <c r="P1149" i="1"/>
  <c r="E1149" i="1"/>
  <c r="P1148" i="1"/>
  <c r="E1148" i="1"/>
  <c r="P1147" i="1"/>
  <c r="E1147" i="1"/>
  <c r="P1146" i="1"/>
  <c r="E1146" i="1"/>
  <c r="P1145" i="1"/>
  <c r="E1145" i="1"/>
  <c r="P1144" i="1"/>
  <c r="E1144" i="1"/>
  <c r="P1143" i="1"/>
  <c r="E1143" i="1"/>
  <c r="P1142" i="1"/>
  <c r="E1142" i="1"/>
  <c r="P1141" i="1"/>
  <c r="E1141" i="1"/>
  <c r="P1140" i="1"/>
  <c r="E1140" i="1"/>
  <c r="P1139" i="1"/>
  <c r="E1139" i="1"/>
  <c r="P1138" i="1"/>
  <c r="E1138" i="1"/>
  <c r="P1137" i="1"/>
  <c r="E1137" i="1"/>
  <c r="P1136" i="1"/>
  <c r="E1136" i="1"/>
  <c r="P1135" i="1"/>
  <c r="E1135" i="1"/>
  <c r="P1134" i="1"/>
  <c r="E1134" i="1"/>
  <c r="P1133" i="1"/>
  <c r="E1133" i="1"/>
  <c r="P1132" i="1"/>
  <c r="E1132" i="1"/>
  <c r="P1131" i="1"/>
  <c r="E1131" i="1"/>
  <c r="P1130" i="1"/>
  <c r="E1130" i="1"/>
  <c r="P1129" i="1"/>
  <c r="E1129" i="1"/>
  <c r="P1128" i="1"/>
  <c r="E1128" i="1"/>
  <c r="P1127" i="1"/>
  <c r="E1127" i="1"/>
  <c r="P1126" i="1"/>
  <c r="E1126" i="1"/>
  <c r="P1125" i="1"/>
  <c r="E1125" i="1"/>
  <c r="P1124" i="1"/>
  <c r="E1124" i="1"/>
  <c r="P1123" i="1"/>
  <c r="E1123" i="1"/>
  <c r="P1122" i="1"/>
  <c r="E1122" i="1"/>
  <c r="P1121" i="1"/>
  <c r="E1121" i="1"/>
  <c r="P1120" i="1"/>
  <c r="E1120" i="1"/>
  <c r="P1119" i="1"/>
  <c r="E1119" i="1"/>
  <c r="P1118" i="1"/>
  <c r="E1118" i="1"/>
  <c r="P1117" i="1"/>
  <c r="E1117" i="1"/>
  <c r="P1116" i="1"/>
  <c r="E1116" i="1"/>
  <c r="P1115" i="1"/>
  <c r="E1115" i="1"/>
  <c r="P1114" i="1"/>
  <c r="E1114" i="1"/>
  <c r="P1113" i="1"/>
  <c r="E1113" i="1"/>
  <c r="P1112" i="1"/>
  <c r="E1112" i="1"/>
  <c r="P1111" i="1"/>
  <c r="E1111" i="1"/>
  <c r="P1110" i="1"/>
  <c r="E1110" i="1"/>
  <c r="P1109" i="1"/>
  <c r="E1109" i="1"/>
  <c r="P1108" i="1"/>
  <c r="E1108" i="1"/>
  <c r="P1107" i="1"/>
  <c r="E1107" i="1"/>
  <c r="P1106" i="1"/>
  <c r="E1106" i="1"/>
  <c r="P1105" i="1"/>
  <c r="E1105" i="1"/>
  <c r="P1104" i="1"/>
  <c r="E1104" i="1"/>
  <c r="P1103" i="1"/>
  <c r="E1103" i="1"/>
  <c r="P1102" i="1"/>
  <c r="E1102" i="1"/>
  <c r="P1101" i="1"/>
  <c r="E1101" i="1"/>
  <c r="P1100" i="1"/>
  <c r="E1100" i="1"/>
  <c r="P1099" i="1"/>
  <c r="E1099" i="1"/>
  <c r="P1098" i="1"/>
  <c r="E1098" i="1"/>
  <c r="P1097" i="1"/>
  <c r="E1097" i="1"/>
  <c r="P1096" i="1"/>
  <c r="E1096" i="1"/>
  <c r="P1095" i="1"/>
  <c r="E1095" i="1"/>
  <c r="P1094" i="1"/>
  <c r="E1094" i="1"/>
  <c r="P1093" i="1"/>
  <c r="E1093" i="1"/>
  <c r="P1092" i="1"/>
  <c r="E1092" i="1"/>
  <c r="P1091" i="1"/>
  <c r="E1091" i="1"/>
  <c r="P1090" i="1"/>
  <c r="E1090" i="1"/>
  <c r="P1089" i="1"/>
  <c r="E1089" i="1"/>
  <c r="P1088" i="1"/>
  <c r="E1088" i="1"/>
  <c r="P1087" i="1"/>
  <c r="E1087" i="1"/>
  <c r="P1086" i="1"/>
  <c r="E1086" i="1"/>
  <c r="P1085" i="1"/>
  <c r="E1085" i="1"/>
  <c r="P1084" i="1"/>
  <c r="E1084" i="1"/>
  <c r="P1083" i="1"/>
  <c r="E1083" i="1"/>
  <c r="P1082" i="1"/>
  <c r="E1082" i="1"/>
  <c r="P1081" i="1"/>
  <c r="E1081" i="1"/>
  <c r="P1080" i="1"/>
  <c r="E1080" i="1"/>
  <c r="P1079" i="1"/>
  <c r="E1079" i="1"/>
  <c r="P1078" i="1"/>
  <c r="E1078" i="1"/>
  <c r="P1077" i="1"/>
  <c r="E1077" i="1"/>
  <c r="P1076" i="1"/>
  <c r="E1076" i="1"/>
  <c r="P1075" i="1"/>
  <c r="E1075" i="1"/>
  <c r="P1074" i="1"/>
  <c r="E1074" i="1"/>
  <c r="P1073" i="1"/>
  <c r="E1073" i="1"/>
  <c r="P1072" i="1"/>
  <c r="E1072" i="1"/>
  <c r="P1071" i="1"/>
  <c r="E1071" i="1"/>
  <c r="P1070" i="1"/>
  <c r="E1070" i="1"/>
  <c r="P1069" i="1"/>
  <c r="E1069" i="1"/>
  <c r="P1068" i="1"/>
  <c r="E1068" i="1"/>
  <c r="P1067" i="1"/>
  <c r="E1067" i="1"/>
  <c r="P1066" i="1"/>
  <c r="E1066" i="1"/>
  <c r="P1065" i="1"/>
  <c r="E1065" i="1"/>
  <c r="P1064" i="1"/>
  <c r="E1064" i="1"/>
  <c r="P1063" i="1"/>
  <c r="E1063" i="1"/>
  <c r="P1062" i="1"/>
  <c r="E1062" i="1"/>
  <c r="P1061" i="1"/>
  <c r="E1061" i="1"/>
  <c r="P1060" i="1"/>
  <c r="E1060" i="1"/>
  <c r="P1059" i="1"/>
  <c r="E1059" i="1"/>
  <c r="P1058" i="1"/>
  <c r="E1058" i="1"/>
  <c r="P1057" i="1"/>
  <c r="E1057" i="1"/>
  <c r="P1056" i="1"/>
  <c r="E1056" i="1"/>
  <c r="P1055" i="1"/>
  <c r="E1055" i="1"/>
  <c r="P1054" i="1"/>
  <c r="E1054" i="1"/>
  <c r="P1053" i="1"/>
  <c r="E1053" i="1"/>
  <c r="P1052" i="1"/>
  <c r="E1052" i="1"/>
  <c r="P1051" i="1"/>
  <c r="E1051" i="1"/>
  <c r="P1050" i="1"/>
  <c r="E1050" i="1"/>
  <c r="P1049" i="1"/>
  <c r="E1049" i="1"/>
  <c r="P1048" i="1"/>
  <c r="E1048" i="1"/>
  <c r="P1047" i="1"/>
  <c r="E1047" i="1"/>
  <c r="P1046" i="1"/>
  <c r="E1046" i="1"/>
  <c r="P1045" i="1"/>
  <c r="E1045" i="1"/>
  <c r="P1044" i="1"/>
  <c r="E1044" i="1"/>
  <c r="P1043" i="1"/>
  <c r="E1043" i="1"/>
  <c r="P1042" i="1"/>
  <c r="E1042" i="1"/>
  <c r="P1041" i="1"/>
  <c r="E1041" i="1"/>
  <c r="P1040" i="1"/>
  <c r="E1040" i="1"/>
  <c r="P1039" i="1"/>
  <c r="E1039" i="1"/>
  <c r="P1038" i="1"/>
  <c r="E1038" i="1"/>
  <c r="P1037" i="1"/>
  <c r="E1037" i="1"/>
  <c r="P1036" i="1"/>
  <c r="E1036" i="1"/>
  <c r="P1035" i="1"/>
  <c r="E1035" i="1"/>
  <c r="P1034" i="1"/>
  <c r="E1034" i="1"/>
  <c r="P1033" i="1"/>
  <c r="E1033" i="1"/>
  <c r="P1032" i="1"/>
  <c r="E1032" i="1"/>
  <c r="P1031" i="1"/>
  <c r="E1031" i="1"/>
  <c r="P1030" i="1"/>
  <c r="E1030" i="1"/>
  <c r="P1029" i="1"/>
  <c r="E1029" i="1"/>
  <c r="P1028" i="1"/>
  <c r="E1028" i="1"/>
  <c r="P1027" i="1"/>
  <c r="E1027" i="1"/>
  <c r="P1026" i="1"/>
  <c r="E1026" i="1"/>
  <c r="P1025" i="1"/>
  <c r="E1025" i="1"/>
  <c r="P1024" i="1"/>
  <c r="E1024" i="1"/>
  <c r="P1023" i="1"/>
  <c r="E1023" i="1"/>
  <c r="P1022" i="1"/>
  <c r="E1022" i="1"/>
  <c r="P1021" i="1"/>
  <c r="E1021" i="1"/>
  <c r="P1020" i="1"/>
  <c r="E1020" i="1"/>
  <c r="P1019" i="1"/>
  <c r="E1019" i="1"/>
  <c r="P1018" i="1"/>
  <c r="E1018" i="1"/>
  <c r="P1017" i="1"/>
  <c r="E1017" i="1"/>
  <c r="P1016" i="1"/>
  <c r="E1016" i="1"/>
  <c r="P1015" i="1"/>
  <c r="E1015" i="1"/>
  <c r="P1014" i="1"/>
  <c r="E1014" i="1"/>
  <c r="P1013" i="1"/>
  <c r="E1013" i="1"/>
  <c r="P1012" i="1"/>
  <c r="E1012" i="1"/>
  <c r="P1011" i="1"/>
  <c r="E1011" i="1"/>
  <c r="P1010" i="1"/>
  <c r="E1010" i="1"/>
  <c r="P1009" i="1"/>
  <c r="E1009" i="1"/>
  <c r="P1008" i="1"/>
  <c r="E1008" i="1"/>
  <c r="P1007" i="1"/>
  <c r="E1007" i="1"/>
  <c r="P1006" i="1"/>
  <c r="E1006" i="1"/>
  <c r="P1005" i="1"/>
  <c r="E1005" i="1"/>
  <c r="P1004" i="1"/>
  <c r="E1004" i="1"/>
  <c r="P1003" i="1"/>
  <c r="E1003" i="1"/>
  <c r="P1002" i="1"/>
  <c r="E1002" i="1"/>
  <c r="P1001" i="1"/>
  <c r="E1001" i="1"/>
  <c r="P1000" i="1"/>
  <c r="E1000" i="1"/>
  <c r="P999" i="1"/>
  <c r="E999" i="1"/>
  <c r="P998" i="1"/>
  <c r="E998" i="1"/>
  <c r="P997" i="1"/>
  <c r="E997" i="1"/>
  <c r="P996" i="1"/>
  <c r="E996" i="1"/>
  <c r="P995" i="1"/>
  <c r="E995" i="1"/>
  <c r="P994" i="1"/>
  <c r="E994" i="1"/>
  <c r="P993" i="1"/>
  <c r="E993" i="1"/>
  <c r="P992" i="1"/>
  <c r="E992" i="1"/>
  <c r="P991" i="1"/>
  <c r="E991" i="1"/>
  <c r="P990" i="1"/>
  <c r="E990" i="1"/>
  <c r="P989" i="1"/>
  <c r="E989" i="1"/>
  <c r="P988" i="1"/>
  <c r="E988" i="1"/>
  <c r="P987" i="1"/>
  <c r="E987" i="1"/>
  <c r="P986" i="1"/>
  <c r="E986" i="1"/>
  <c r="P985" i="1"/>
  <c r="E985" i="1"/>
  <c r="P984" i="1"/>
  <c r="E984" i="1"/>
  <c r="P983" i="1"/>
  <c r="E983" i="1"/>
  <c r="P982" i="1"/>
  <c r="E982" i="1"/>
  <c r="P981" i="1"/>
  <c r="E981" i="1"/>
  <c r="P980" i="1"/>
  <c r="E980" i="1"/>
  <c r="P979" i="1"/>
  <c r="E979" i="1"/>
  <c r="P978" i="1"/>
  <c r="E978" i="1"/>
  <c r="P977" i="1"/>
  <c r="E977" i="1"/>
  <c r="P976" i="1"/>
  <c r="E976" i="1"/>
  <c r="P975" i="1"/>
  <c r="E975" i="1"/>
  <c r="P974" i="1"/>
  <c r="E974" i="1"/>
  <c r="P973" i="1"/>
  <c r="E973" i="1"/>
  <c r="P972" i="1"/>
  <c r="E972" i="1"/>
  <c r="P971" i="1"/>
  <c r="E971" i="1"/>
  <c r="P970" i="1"/>
  <c r="E970" i="1"/>
  <c r="P969" i="1"/>
  <c r="E969" i="1"/>
  <c r="P968" i="1"/>
  <c r="E968" i="1"/>
  <c r="P967" i="1"/>
  <c r="E967" i="1"/>
  <c r="P966" i="1"/>
  <c r="E966" i="1"/>
  <c r="P965" i="1"/>
  <c r="E965" i="1"/>
  <c r="P964" i="1"/>
  <c r="E964" i="1"/>
  <c r="P963" i="1"/>
  <c r="E963" i="1"/>
  <c r="P962" i="1"/>
  <c r="E962" i="1"/>
  <c r="P961" i="1"/>
  <c r="E961" i="1"/>
  <c r="P960" i="1"/>
  <c r="E960" i="1"/>
  <c r="P959" i="1"/>
  <c r="E959" i="1"/>
  <c r="P958" i="1"/>
  <c r="E958" i="1"/>
  <c r="P957" i="1"/>
  <c r="E957" i="1"/>
  <c r="P956" i="1"/>
  <c r="E956" i="1"/>
  <c r="P955" i="1"/>
  <c r="E955" i="1"/>
  <c r="P954" i="1"/>
  <c r="E954" i="1"/>
  <c r="P953" i="1"/>
  <c r="E953" i="1"/>
  <c r="P952" i="1"/>
  <c r="E952" i="1"/>
  <c r="P951" i="1"/>
  <c r="E951" i="1"/>
  <c r="P950" i="1"/>
  <c r="E950" i="1"/>
  <c r="P949" i="1"/>
  <c r="E949" i="1"/>
  <c r="P948" i="1"/>
  <c r="E948" i="1"/>
  <c r="P947" i="1"/>
  <c r="E947" i="1"/>
  <c r="P946" i="1"/>
  <c r="E946" i="1"/>
  <c r="P945" i="1"/>
  <c r="E945" i="1"/>
  <c r="P944" i="1"/>
  <c r="E944" i="1"/>
  <c r="P943" i="1"/>
  <c r="E943" i="1"/>
  <c r="P942" i="1"/>
  <c r="E942" i="1"/>
  <c r="P941" i="1"/>
  <c r="E941" i="1"/>
  <c r="P940" i="1"/>
  <c r="E940" i="1"/>
  <c r="P939" i="1"/>
  <c r="E939" i="1"/>
  <c r="P938" i="1"/>
  <c r="E938" i="1"/>
  <c r="P937" i="1"/>
  <c r="E937" i="1"/>
  <c r="P936" i="1"/>
  <c r="E936" i="1"/>
  <c r="P935" i="1"/>
  <c r="E935" i="1"/>
  <c r="P934" i="1"/>
  <c r="E934" i="1"/>
  <c r="P933" i="1"/>
  <c r="E933" i="1"/>
  <c r="P932" i="1"/>
  <c r="E932" i="1"/>
  <c r="P931" i="1"/>
  <c r="E931" i="1"/>
  <c r="P930" i="1"/>
  <c r="E930" i="1"/>
  <c r="P929" i="1"/>
  <c r="E929" i="1"/>
  <c r="P928" i="1"/>
  <c r="E928" i="1"/>
  <c r="P927" i="1"/>
  <c r="E927" i="1"/>
  <c r="P926" i="1"/>
  <c r="E926" i="1"/>
  <c r="P925" i="1"/>
  <c r="E925" i="1"/>
  <c r="P924" i="1"/>
  <c r="E924" i="1"/>
  <c r="P923" i="1"/>
  <c r="E923" i="1"/>
  <c r="P922" i="1"/>
  <c r="E922" i="1"/>
  <c r="P921" i="1"/>
  <c r="E921" i="1"/>
  <c r="P920" i="1"/>
  <c r="E920" i="1"/>
  <c r="P919" i="1"/>
  <c r="E919" i="1"/>
  <c r="P918" i="1"/>
  <c r="E918" i="1"/>
  <c r="P917" i="1"/>
  <c r="E917" i="1"/>
  <c r="P916" i="1"/>
  <c r="E916" i="1"/>
  <c r="P915" i="1"/>
  <c r="E915" i="1"/>
  <c r="P914" i="1"/>
  <c r="E914" i="1"/>
  <c r="P913" i="1"/>
  <c r="E913" i="1"/>
  <c r="P912" i="1"/>
  <c r="E912" i="1"/>
  <c r="P911" i="1"/>
  <c r="E911" i="1"/>
  <c r="P910" i="1"/>
  <c r="E910" i="1"/>
  <c r="P909" i="1"/>
  <c r="E909" i="1"/>
  <c r="P908" i="1"/>
  <c r="E908" i="1"/>
  <c r="P907" i="1"/>
  <c r="E907" i="1"/>
  <c r="P906" i="1"/>
  <c r="E906" i="1"/>
  <c r="P905" i="1"/>
  <c r="E905" i="1"/>
  <c r="P904" i="1"/>
  <c r="E904" i="1"/>
  <c r="P903" i="1"/>
  <c r="E903" i="1"/>
  <c r="P902" i="1"/>
  <c r="E902" i="1"/>
  <c r="P901" i="1"/>
  <c r="E901" i="1"/>
  <c r="P900" i="1"/>
  <c r="E900" i="1"/>
  <c r="P899" i="1"/>
  <c r="E899" i="1"/>
  <c r="P898" i="1"/>
  <c r="E898" i="1"/>
  <c r="P897" i="1"/>
  <c r="E897" i="1"/>
  <c r="P896" i="1"/>
  <c r="E896" i="1"/>
  <c r="P895" i="1"/>
  <c r="E895" i="1"/>
  <c r="P894" i="1"/>
  <c r="E894" i="1"/>
  <c r="P893" i="1"/>
  <c r="E893" i="1"/>
  <c r="P892" i="1"/>
  <c r="E892" i="1"/>
  <c r="P891" i="1"/>
  <c r="E891" i="1"/>
  <c r="P890" i="1"/>
  <c r="E890" i="1"/>
  <c r="P889" i="1"/>
  <c r="E889" i="1"/>
  <c r="P888" i="1"/>
  <c r="E888" i="1"/>
  <c r="P887" i="1"/>
  <c r="E887" i="1"/>
  <c r="P886" i="1"/>
  <c r="E886" i="1"/>
  <c r="P885" i="1"/>
  <c r="E885" i="1"/>
  <c r="P884" i="1"/>
  <c r="E884" i="1"/>
  <c r="P883" i="1"/>
  <c r="E883" i="1"/>
  <c r="P882" i="1"/>
  <c r="E882" i="1"/>
  <c r="P881" i="1"/>
  <c r="E881" i="1"/>
  <c r="P880" i="1"/>
  <c r="E880" i="1"/>
  <c r="P879" i="1"/>
  <c r="E879" i="1"/>
  <c r="P878" i="1"/>
  <c r="E878" i="1"/>
  <c r="P877" i="1"/>
  <c r="E877" i="1"/>
  <c r="P876" i="1"/>
  <c r="E876" i="1"/>
  <c r="P875" i="1"/>
  <c r="E875" i="1"/>
  <c r="P874" i="1"/>
  <c r="E874" i="1"/>
  <c r="P873" i="1"/>
  <c r="E873" i="1"/>
  <c r="P872" i="1"/>
  <c r="E872" i="1"/>
  <c r="P871" i="1"/>
  <c r="E871" i="1"/>
  <c r="P870" i="1"/>
  <c r="E870" i="1"/>
  <c r="P869" i="1"/>
  <c r="E869" i="1"/>
  <c r="P868" i="1"/>
  <c r="E868" i="1"/>
  <c r="P867" i="1"/>
  <c r="E867" i="1"/>
  <c r="P866" i="1"/>
  <c r="E866" i="1"/>
  <c r="P865" i="1"/>
  <c r="E865" i="1"/>
  <c r="P864" i="1"/>
  <c r="E864" i="1"/>
  <c r="P863" i="1"/>
  <c r="E863" i="1"/>
  <c r="P862" i="1"/>
  <c r="E862" i="1"/>
  <c r="P861" i="1"/>
  <c r="E861" i="1"/>
  <c r="P860" i="1"/>
  <c r="E860" i="1"/>
  <c r="P859" i="1"/>
  <c r="E859" i="1"/>
  <c r="P858" i="1"/>
  <c r="E858" i="1"/>
  <c r="P857" i="1"/>
  <c r="E857" i="1"/>
  <c r="P856" i="1"/>
  <c r="E856" i="1"/>
  <c r="P855" i="1"/>
  <c r="E855" i="1"/>
  <c r="P854" i="1"/>
  <c r="E854" i="1"/>
  <c r="P853" i="1"/>
  <c r="E853" i="1"/>
  <c r="P852" i="1"/>
  <c r="E852" i="1"/>
  <c r="P851" i="1"/>
  <c r="E851" i="1"/>
  <c r="P850" i="1"/>
  <c r="E850" i="1"/>
  <c r="P849" i="1"/>
  <c r="E849" i="1"/>
  <c r="P848" i="1"/>
  <c r="E848" i="1"/>
  <c r="P847" i="1"/>
  <c r="E847" i="1"/>
  <c r="P846" i="1"/>
  <c r="E846" i="1"/>
  <c r="P845" i="1"/>
  <c r="E845" i="1"/>
  <c r="P844" i="1"/>
  <c r="E844" i="1"/>
  <c r="P843" i="1"/>
  <c r="E843" i="1"/>
  <c r="P842" i="1"/>
  <c r="E842" i="1"/>
  <c r="P841" i="1"/>
  <c r="E841" i="1"/>
  <c r="P840" i="1"/>
  <c r="E840" i="1"/>
  <c r="P839" i="1"/>
  <c r="E839" i="1"/>
  <c r="P838" i="1"/>
  <c r="E838" i="1"/>
  <c r="P837" i="1"/>
  <c r="E837" i="1"/>
  <c r="P836" i="1"/>
  <c r="E836" i="1"/>
  <c r="P835" i="1"/>
  <c r="E835" i="1"/>
  <c r="P834" i="1"/>
  <c r="E834" i="1"/>
  <c r="P833" i="1"/>
  <c r="E833" i="1"/>
  <c r="P832" i="1"/>
  <c r="E832" i="1"/>
  <c r="P831" i="1"/>
  <c r="E831" i="1"/>
  <c r="P830" i="1"/>
  <c r="E830" i="1"/>
  <c r="P829" i="1"/>
  <c r="E829" i="1"/>
  <c r="P828" i="1"/>
  <c r="E828" i="1"/>
  <c r="P827" i="1"/>
  <c r="E827" i="1"/>
  <c r="P826" i="1"/>
  <c r="E826" i="1"/>
  <c r="P825" i="1"/>
  <c r="E825" i="1"/>
  <c r="P824" i="1"/>
  <c r="E824" i="1"/>
  <c r="P823" i="1"/>
  <c r="E823" i="1"/>
  <c r="P822" i="1"/>
  <c r="E822" i="1"/>
  <c r="P821" i="1"/>
  <c r="E821" i="1"/>
  <c r="P820" i="1"/>
  <c r="E820" i="1"/>
  <c r="P819" i="1"/>
  <c r="E819" i="1"/>
  <c r="P818" i="1"/>
  <c r="E818" i="1"/>
  <c r="P817" i="1"/>
  <c r="E817" i="1"/>
  <c r="P816" i="1"/>
  <c r="E816" i="1"/>
  <c r="P815" i="1"/>
  <c r="E815" i="1"/>
  <c r="P814" i="1"/>
  <c r="E814" i="1"/>
  <c r="P813" i="1"/>
  <c r="E813" i="1"/>
  <c r="P812" i="1"/>
  <c r="E812" i="1"/>
  <c r="P811" i="1"/>
  <c r="E811" i="1"/>
  <c r="P810" i="1"/>
  <c r="E810" i="1"/>
  <c r="P809" i="1"/>
  <c r="E809" i="1"/>
  <c r="P808" i="1"/>
  <c r="E808" i="1"/>
  <c r="P807" i="1"/>
  <c r="E807" i="1"/>
  <c r="P806" i="1"/>
  <c r="E806" i="1"/>
  <c r="P805" i="1"/>
  <c r="E805" i="1"/>
  <c r="P804" i="1"/>
  <c r="E804" i="1"/>
  <c r="P803" i="1"/>
  <c r="E803" i="1"/>
  <c r="P802" i="1"/>
  <c r="E802" i="1"/>
  <c r="P801" i="1"/>
  <c r="E801" i="1"/>
  <c r="P800" i="1"/>
  <c r="E800" i="1"/>
  <c r="P799" i="1"/>
  <c r="E799" i="1"/>
  <c r="P798" i="1"/>
  <c r="E798" i="1"/>
  <c r="P797" i="1"/>
  <c r="E797" i="1"/>
  <c r="P796" i="1"/>
  <c r="E796" i="1"/>
  <c r="P795" i="1"/>
  <c r="E795" i="1"/>
  <c r="P794" i="1"/>
  <c r="E794" i="1"/>
  <c r="P793" i="1"/>
  <c r="E793" i="1"/>
  <c r="P792" i="1"/>
  <c r="E792" i="1"/>
  <c r="P791" i="1"/>
  <c r="E791" i="1"/>
  <c r="P790" i="1"/>
  <c r="E790" i="1"/>
  <c r="P789" i="1"/>
  <c r="E789" i="1"/>
  <c r="P788" i="1"/>
  <c r="E788" i="1"/>
  <c r="P787" i="1"/>
  <c r="E787" i="1"/>
  <c r="P786" i="1"/>
  <c r="E786" i="1"/>
  <c r="P785" i="1"/>
  <c r="E785" i="1"/>
  <c r="P784" i="1"/>
  <c r="E784" i="1"/>
  <c r="P783" i="1"/>
  <c r="E783" i="1"/>
  <c r="P782" i="1"/>
  <c r="E782" i="1"/>
  <c r="P781" i="1"/>
  <c r="E781" i="1"/>
  <c r="P780" i="1"/>
  <c r="E780" i="1"/>
  <c r="P779" i="1"/>
  <c r="E779" i="1"/>
  <c r="P778" i="1"/>
  <c r="E778" i="1"/>
  <c r="P777" i="1"/>
  <c r="E777" i="1"/>
  <c r="P776" i="1"/>
  <c r="E776" i="1"/>
  <c r="P775" i="1"/>
  <c r="E775" i="1"/>
  <c r="P774" i="1"/>
  <c r="E774" i="1"/>
  <c r="P773" i="1"/>
  <c r="E773" i="1"/>
  <c r="P772" i="1"/>
  <c r="E772" i="1"/>
  <c r="P771" i="1"/>
  <c r="E771" i="1"/>
  <c r="P770" i="1"/>
  <c r="E770" i="1"/>
  <c r="P769" i="1"/>
  <c r="E769" i="1"/>
  <c r="P768" i="1"/>
  <c r="E768" i="1"/>
  <c r="P767" i="1"/>
  <c r="E767" i="1"/>
  <c r="P766" i="1"/>
  <c r="E766" i="1"/>
  <c r="P765" i="1"/>
  <c r="E765" i="1"/>
  <c r="P764" i="1"/>
  <c r="E764" i="1"/>
  <c r="P763" i="1"/>
  <c r="E763" i="1"/>
  <c r="P762" i="1"/>
  <c r="E762" i="1"/>
  <c r="P761" i="1"/>
  <c r="E761" i="1"/>
  <c r="P760" i="1"/>
  <c r="E760" i="1"/>
  <c r="P759" i="1"/>
  <c r="E759" i="1"/>
  <c r="P758" i="1"/>
  <c r="E758" i="1"/>
  <c r="P757" i="1"/>
  <c r="E757" i="1"/>
  <c r="P756" i="1"/>
  <c r="E756" i="1"/>
  <c r="P755" i="1"/>
  <c r="E755" i="1"/>
  <c r="P754" i="1"/>
  <c r="E754" i="1"/>
  <c r="P753" i="1"/>
  <c r="E753" i="1"/>
  <c r="P752" i="1"/>
  <c r="E752" i="1"/>
  <c r="P751" i="1"/>
  <c r="E751" i="1"/>
  <c r="P750" i="1"/>
  <c r="E750" i="1"/>
  <c r="P749" i="1"/>
  <c r="E749" i="1"/>
  <c r="P748" i="1"/>
  <c r="E748" i="1"/>
  <c r="P747" i="1"/>
  <c r="E747" i="1"/>
  <c r="P746" i="1"/>
  <c r="E746" i="1"/>
  <c r="P745" i="1"/>
  <c r="E745" i="1"/>
  <c r="P744" i="1"/>
  <c r="E744" i="1"/>
  <c r="P743" i="1"/>
  <c r="E743" i="1"/>
  <c r="P742" i="1"/>
  <c r="E742" i="1"/>
  <c r="P741" i="1"/>
  <c r="E741" i="1"/>
  <c r="P740" i="1"/>
  <c r="E740" i="1"/>
  <c r="P739" i="1"/>
  <c r="E739" i="1"/>
  <c r="P738" i="1"/>
  <c r="E738" i="1"/>
  <c r="P737" i="1"/>
  <c r="E737" i="1"/>
  <c r="P736" i="1"/>
  <c r="E736" i="1"/>
  <c r="P735" i="1"/>
  <c r="E735" i="1"/>
  <c r="P734" i="1"/>
  <c r="E734" i="1"/>
  <c r="P733" i="1"/>
  <c r="E733" i="1"/>
  <c r="P732" i="1"/>
  <c r="E732" i="1"/>
  <c r="P731" i="1"/>
  <c r="E731" i="1"/>
  <c r="P730" i="1"/>
  <c r="E730" i="1"/>
  <c r="P729" i="1"/>
  <c r="E729" i="1"/>
  <c r="P728" i="1"/>
  <c r="E728" i="1"/>
  <c r="P727" i="1"/>
  <c r="E727" i="1"/>
  <c r="P726" i="1"/>
  <c r="E726" i="1"/>
  <c r="P725" i="1"/>
  <c r="E725" i="1"/>
  <c r="P724" i="1"/>
  <c r="E724" i="1"/>
  <c r="P723" i="1"/>
  <c r="E723" i="1"/>
  <c r="P722" i="1"/>
  <c r="E722" i="1"/>
  <c r="P721" i="1"/>
  <c r="E721" i="1"/>
  <c r="P720" i="1"/>
  <c r="E720" i="1"/>
  <c r="P719" i="1"/>
  <c r="E719" i="1"/>
  <c r="P718" i="1"/>
  <c r="E718" i="1"/>
  <c r="P717" i="1"/>
  <c r="E717" i="1"/>
  <c r="P716" i="1"/>
  <c r="E716" i="1"/>
  <c r="P715" i="1"/>
  <c r="E715" i="1"/>
  <c r="P714" i="1"/>
  <c r="E714" i="1"/>
  <c r="P713" i="1"/>
  <c r="E713" i="1"/>
  <c r="P712" i="1"/>
  <c r="E712" i="1"/>
  <c r="P711" i="1"/>
  <c r="E711" i="1"/>
  <c r="P710" i="1"/>
  <c r="E710" i="1"/>
  <c r="P709" i="1"/>
  <c r="E709" i="1"/>
  <c r="P708" i="1"/>
  <c r="E708" i="1"/>
  <c r="P707" i="1"/>
  <c r="E707" i="1"/>
  <c r="P706" i="1"/>
  <c r="E706" i="1"/>
  <c r="P705" i="1"/>
  <c r="E705" i="1"/>
  <c r="P704" i="1"/>
  <c r="E704" i="1"/>
  <c r="P703" i="1"/>
  <c r="E703" i="1"/>
  <c r="P702" i="1"/>
  <c r="E702" i="1"/>
  <c r="P701" i="1"/>
  <c r="E701" i="1"/>
  <c r="P700" i="1"/>
  <c r="E700" i="1"/>
  <c r="P699" i="1"/>
  <c r="E699" i="1"/>
  <c r="P698" i="1"/>
  <c r="E698" i="1"/>
  <c r="P697" i="1"/>
  <c r="E697" i="1"/>
  <c r="P696" i="1"/>
  <c r="E696" i="1"/>
  <c r="P695" i="1"/>
  <c r="E695" i="1"/>
  <c r="P694" i="1"/>
  <c r="E694" i="1"/>
  <c r="P693" i="1"/>
  <c r="E693" i="1"/>
  <c r="P692" i="1"/>
  <c r="E692" i="1"/>
  <c r="P691" i="1"/>
  <c r="E691" i="1"/>
  <c r="P690" i="1"/>
  <c r="E690" i="1"/>
  <c r="P689" i="1"/>
  <c r="E689" i="1"/>
  <c r="P688" i="1"/>
  <c r="E688" i="1"/>
  <c r="P687" i="1"/>
  <c r="E687" i="1"/>
  <c r="P686" i="1"/>
  <c r="E686" i="1"/>
  <c r="P685" i="1"/>
  <c r="E685" i="1"/>
  <c r="P684" i="1"/>
  <c r="E684" i="1"/>
  <c r="P683" i="1"/>
  <c r="E683" i="1"/>
  <c r="P682" i="1"/>
  <c r="E682" i="1"/>
  <c r="P681" i="1"/>
  <c r="E681" i="1"/>
  <c r="P680" i="1"/>
  <c r="E680" i="1"/>
  <c r="P679" i="1"/>
  <c r="E679" i="1"/>
  <c r="P678" i="1"/>
  <c r="E678" i="1"/>
  <c r="P677" i="1"/>
  <c r="E677" i="1"/>
  <c r="P676" i="1"/>
  <c r="E676" i="1"/>
  <c r="P675" i="1"/>
  <c r="E675" i="1"/>
  <c r="P674" i="1"/>
  <c r="E674" i="1"/>
  <c r="P673" i="1"/>
  <c r="E673" i="1"/>
  <c r="P672" i="1"/>
  <c r="E672" i="1"/>
  <c r="P671" i="1"/>
  <c r="E671" i="1"/>
  <c r="P670" i="1"/>
  <c r="E670" i="1"/>
  <c r="P669" i="1"/>
  <c r="E669" i="1"/>
  <c r="P668" i="1"/>
  <c r="E668" i="1"/>
  <c r="P667" i="1"/>
  <c r="E667" i="1"/>
  <c r="P666" i="1"/>
  <c r="E666" i="1"/>
  <c r="P665" i="1"/>
  <c r="E665" i="1"/>
  <c r="P664" i="1"/>
  <c r="E664" i="1"/>
  <c r="P663" i="1"/>
  <c r="E663" i="1"/>
  <c r="P662" i="1"/>
  <c r="E662" i="1"/>
  <c r="P661" i="1"/>
  <c r="E661" i="1"/>
  <c r="P660" i="1"/>
  <c r="E660" i="1"/>
  <c r="P659" i="1"/>
  <c r="E659" i="1"/>
  <c r="P658" i="1"/>
  <c r="E658" i="1"/>
  <c r="P657" i="1"/>
  <c r="E657" i="1"/>
  <c r="P656" i="1"/>
  <c r="E656" i="1"/>
  <c r="P655" i="1"/>
  <c r="E655" i="1"/>
  <c r="P654" i="1"/>
  <c r="E654" i="1"/>
  <c r="P653" i="1"/>
  <c r="E653" i="1"/>
  <c r="P652" i="1"/>
  <c r="E652" i="1"/>
  <c r="P651" i="1"/>
  <c r="E651" i="1"/>
  <c r="P650" i="1"/>
  <c r="E650" i="1"/>
  <c r="P649" i="1"/>
  <c r="E649" i="1"/>
  <c r="P648" i="1"/>
  <c r="E648" i="1"/>
  <c r="P647" i="1"/>
  <c r="E647" i="1"/>
  <c r="P646" i="1"/>
  <c r="E646" i="1"/>
  <c r="P645" i="1"/>
  <c r="E645" i="1"/>
  <c r="P644" i="1"/>
  <c r="E644" i="1"/>
  <c r="P643" i="1"/>
  <c r="E643" i="1"/>
  <c r="P642" i="1"/>
  <c r="E642" i="1"/>
  <c r="P641" i="1"/>
  <c r="E641" i="1"/>
  <c r="P640" i="1"/>
  <c r="E640" i="1"/>
  <c r="P639" i="1"/>
  <c r="E639" i="1"/>
  <c r="P638" i="1"/>
  <c r="E638" i="1"/>
  <c r="P637" i="1"/>
  <c r="E637" i="1"/>
  <c r="P636" i="1"/>
  <c r="E636" i="1"/>
  <c r="P635" i="1"/>
  <c r="E635" i="1"/>
  <c r="P634" i="1"/>
  <c r="E634" i="1"/>
  <c r="P633" i="1"/>
  <c r="E633" i="1"/>
  <c r="P632" i="1"/>
  <c r="E632" i="1"/>
  <c r="P631" i="1"/>
  <c r="E631" i="1"/>
  <c r="P630" i="1"/>
  <c r="E630" i="1"/>
  <c r="P629" i="1"/>
  <c r="E629" i="1"/>
  <c r="P628" i="1"/>
  <c r="E628" i="1"/>
  <c r="P627" i="1"/>
  <c r="E627" i="1"/>
  <c r="P626" i="1"/>
  <c r="E626" i="1"/>
  <c r="P625" i="1"/>
  <c r="E625" i="1"/>
  <c r="P624" i="1"/>
  <c r="E624" i="1"/>
  <c r="P623" i="1"/>
  <c r="E623" i="1"/>
  <c r="P622" i="1"/>
  <c r="E622" i="1"/>
  <c r="P621" i="1"/>
  <c r="E621" i="1"/>
  <c r="P620" i="1"/>
  <c r="E620" i="1"/>
  <c r="P619" i="1"/>
  <c r="E619" i="1"/>
  <c r="P618" i="1"/>
  <c r="E618" i="1"/>
  <c r="P617" i="1"/>
  <c r="E617" i="1"/>
  <c r="P616" i="1"/>
  <c r="E616" i="1"/>
  <c r="P615" i="1"/>
  <c r="E615" i="1"/>
  <c r="P614" i="1"/>
  <c r="E614" i="1"/>
  <c r="P613" i="1"/>
  <c r="E613" i="1"/>
  <c r="P612" i="1"/>
  <c r="E612" i="1"/>
  <c r="P611" i="1"/>
  <c r="E611" i="1"/>
  <c r="P610" i="1"/>
  <c r="E610" i="1"/>
  <c r="P609" i="1"/>
  <c r="E609" i="1"/>
  <c r="P608" i="1"/>
  <c r="E608" i="1"/>
  <c r="P607" i="1"/>
  <c r="E607" i="1"/>
  <c r="P606" i="1"/>
  <c r="E606" i="1"/>
  <c r="P605" i="1"/>
  <c r="E605" i="1"/>
  <c r="P604" i="1"/>
  <c r="E604" i="1"/>
  <c r="P603" i="1"/>
  <c r="E603" i="1"/>
  <c r="P602" i="1"/>
  <c r="E602" i="1"/>
  <c r="P601" i="1"/>
  <c r="E601" i="1"/>
  <c r="P600" i="1"/>
  <c r="E600" i="1"/>
  <c r="P599" i="1"/>
  <c r="E599" i="1"/>
  <c r="P598" i="1"/>
  <c r="E598" i="1"/>
  <c r="P597" i="1"/>
  <c r="E597" i="1"/>
  <c r="P596" i="1"/>
  <c r="E596" i="1"/>
  <c r="P595" i="1"/>
  <c r="E595" i="1"/>
  <c r="P594" i="1"/>
  <c r="E594" i="1"/>
  <c r="P593" i="1"/>
  <c r="E593" i="1"/>
  <c r="P592" i="1"/>
  <c r="E592" i="1"/>
  <c r="P591" i="1"/>
  <c r="E591" i="1"/>
  <c r="P590" i="1"/>
  <c r="E590" i="1"/>
  <c r="P589" i="1"/>
  <c r="E589" i="1"/>
  <c r="P588" i="1"/>
  <c r="E588" i="1"/>
  <c r="P587" i="1"/>
  <c r="E587" i="1"/>
  <c r="P586" i="1"/>
  <c r="E586" i="1"/>
  <c r="P585" i="1"/>
  <c r="E585" i="1"/>
  <c r="P584" i="1"/>
  <c r="E584" i="1"/>
  <c r="P583" i="1"/>
  <c r="E583" i="1"/>
  <c r="P582" i="1"/>
  <c r="E582" i="1"/>
  <c r="P581" i="1"/>
  <c r="E581" i="1"/>
  <c r="P580" i="1"/>
  <c r="E580" i="1"/>
  <c r="P579" i="1"/>
  <c r="E579" i="1"/>
  <c r="P578" i="1"/>
  <c r="E578" i="1"/>
  <c r="P577" i="1"/>
  <c r="E577" i="1"/>
  <c r="P576" i="1"/>
  <c r="E576" i="1"/>
  <c r="P575" i="1"/>
  <c r="E575" i="1"/>
  <c r="P574" i="1"/>
  <c r="E574" i="1"/>
  <c r="P573" i="1"/>
  <c r="E573" i="1"/>
  <c r="P572" i="1"/>
  <c r="E572" i="1"/>
  <c r="P571" i="1"/>
  <c r="E571" i="1"/>
  <c r="P570" i="1"/>
  <c r="E570" i="1"/>
  <c r="P569" i="1"/>
  <c r="E569" i="1"/>
  <c r="P568" i="1"/>
  <c r="E568" i="1"/>
  <c r="P567" i="1"/>
  <c r="E567" i="1"/>
  <c r="P566" i="1"/>
  <c r="E566" i="1"/>
  <c r="P565" i="1"/>
  <c r="E565" i="1"/>
  <c r="P564" i="1"/>
  <c r="E564" i="1"/>
  <c r="P563" i="1"/>
  <c r="E563" i="1"/>
  <c r="P562" i="1"/>
  <c r="E562" i="1"/>
  <c r="P561" i="1"/>
  <c r="E561" i="1"/>
  <c r="P560" i="1"/>
  <c r="E560" i="1"/>
  <c r="P559" i="1"/>
  <c r="E559" i="1"/>
  <c r="P558" i="1"/>
  <c r="E558" i="1"/>
  <c r="P557" i="1"/>
  <c r="E557" i="1"/>
  <c r="P556" i="1"/>
  <c r="E556" i="1"/>
  <c r="P555" i="1"/>
  <c r="E555" i="1"/>
  <c r="P554" i="1"/>
  <c r="E554" i="1"/>
  <c r="P553" i="1"/>
  <c r="E553" i="1"/>
  <c r="P552" i="1"/>
  <c r="E552" i="1"/>
  <c r="P551" i="1"/>
  <c r="E551" i="1"/>
  <c r="P550" i="1"/>
  <c r="E550" i="1"/>
  <c r="P549" i="1"/>
  <c r="E549" i="1"/>
  <c r="P548" i="1"/>
  <c r="E548" i="1"/>
  <c r="P547" i="1"/>
  <c r="E547" i="1"/>
  <c r="P546" i="1"/>
  <c r="E546" i="1"/>
  <c r="P545" i="1"/>
  <c r="E545" i="1"/>
  <c r="P544" i="1"/>
  <c r="E544" i="1"/>
  <c r="P543" i="1"/>
  <c r="E543" i="1"/>
  <c r="P542" i="1"/>
  <c r="E542" i="1"/>
  <c r="P541" i="1"/>
  <c r="E541" i="1"/>
  <c r="P540" i="1"/>
  <c r="E540" i="1"/>
  <c r="P539" i="1"/>
  <c r="E539" i="1"/>
  <c r="P538" i="1"/>
  <c r="E538" i="1"/>
  <c r="P537" i="1"/>
  <c r="E537" i="1"/>
  <c r="P536" i="1"/>
  <c r="E536" i="1"/>
  <c r="P535" i="1"/>
  <c r="E535" i="1"/>
  <c r="P534" i="1"/>
  <c r="E534" i="1"/>
  <c r="P533" i="1"/>
  <c r="E533" i="1"/>
  <c r="P532" i="1"/>
  <c r="E532" i="1"/>
  <c r="P531" i="1"/>
  <c r="E531" i="1"/>
  <c r="P530" i="1"/>
  <c r="E530" i="1"/>
  <c r="P529" i="1"/>
  <c r="E529" i="1"/>
  <c r="P528" i="1"/>
  <c r="E528" i="1"/>
  <c r="P527" i="1"/>
  <c r="E527" i="1"/>
  <c r="P526" i="1"/>
  <c r="E526" i="1"/>
  <c r="P525" i="1"/>
  <c r="E525" i="1"/>
  <c r="P524" i="1"/>
  <c r="E524" i="1"/>
  <c r="P523" i="1"/>
  <c r="E523" i="1"/>
  <c r="P522" i="1"/>
  <c r="E522" i="1"/>
  <c r="P521" i="1"/>
  <c r="E521" i="1"/>
  <c r="P520" i="1"/>
  <c r="E520" i="1"/>
  <c r="P519" i="1"/>
  <c r="E519" i="1"/>
  <c r="P518" i="1"/>
  <c r="E518" i="1"/>
  <c r="P517" i="1"/>
  <c r="E517" i="1"/>
  <c r="P516" i="1"/>
  <c r="E516" i="1"/>
  <c r="P515" i="1"/>
  <c r="E515" i="1"/>
  <c r="P514" i="1"/>
  <c r="E514" i="1"/>
  <c r="P513" i="1"/>
  <c r="E513" i="1"/>
  <c r="P512" i="1"/>
  <c r="E512" i="1"/>
  <c r="P511" i="1"/>
  <c r="E511" i="1"/>
  <c r="P510" i="1"/>
  <c r="E510" i="1"/>
  <c r="P509" i="1"/>
  <c r="E509" i="1"/>
  <c r="P508" i="1"/>
  <c r="E508" i="1"/>
  <c r="P507" i="1"/>
  <c r="E507" i="1"/>
  <c r="P506" i="1"/>
  <c r="E506" i="1"/>
  <c r="P505" i="1"/>
  <c r="E505" i="1"/>
  <c r="P504" i="1"/>
  <c r="E504" i="1"/>
  <c r="P503" i="1"/>
  <c r="E503" i="1"/>
  <c r="P502" i="1"/>
  <c r="E502" i="1"/>
  <c r="P501" i="1"/>
  <c r="E501" i="1"/>
  <c r="P500" i="1"/>
  <c r="E500" i="1"/>
  <c r="P499" i="1"/>
  <c r="E499" i="1"/>
  <c r="P498" i="1"/>
  <c r="E498" i="1"/>
  <c r="P497" i="1"/>
  <c r="E497" i="1"/>
  <c r="P496" i="1"/>
  <c r="E496" i="1"/>
  <c r="P495" i="1"/>
  <c r="E495" i="1"/>
  <c r="P494" i="1"/>
  <c r="E494" i="1"/>
  <c r="P493" i="1"/>
  <c r="E493" i="1"/>
  <c r="P492" i="1"/>
  <c r="E492" i="1"/>
  <c r="P491" i="1"/>
  <c r="E491" i="1"/>
  <c r="P490" i="1"/>
  <c r="E490" i="1"/>
  <c r="P489" i="1"/>
  <c r="E489" i="1"/>
  <c r="P488" i="1"/>
  <c r="E488" i="1"/>
  <c r="P487" i="1"/>
  <c r="E487" i="1"/>
  <c r="P486" i="1"/>
  <c r="E486" i="1"/>
  <c r="P485" i="1"/>
  <c r="E485" i="1"/>
  <c r="P484" i="1"/>
  <c r="E484" i="1"/>
  <c r="P483" i="1"/>
  <c r="E483" i="1"/>
  <c r="P482" i="1"/>
  <c r="E482" i="1"/>
  <c r="P481" i="1"/>
  <c r="E481" i="1"/>
  <c r="P480" i="1"/>
  <c r="E480" i="1"/>
  <c r="P479" i="1"/>
  <c r="E479" i="1"/>
  <c r="P478" i="1"/>
  <c r="E478" i="1"/>
  <c r="P477" i="1"/>
  <c r="E477" i="1"/>
  <c r="P476" i="1"/>
  <c r="E476" i="1"/>
  <c r="P475" i="1"/>
  <c r="E475" i="1"/>
  <c r="P474" i="1"/>
  <c r="E474" i="1"/>
  <c r="P473" i="1"/>
  <c r="E473" i="1"/>
  <c r="P472" i="1"/>
  <c r="E472" i="1"/>
  <c r="P471" i="1"/>
  <c r="E471" i="1"/>
  <c r="P470" i="1"/>
  <c r="E470" i="1"/>
  <c r="P469" i="1"/>
  <c r="E469" i="1"/>
  <c r="P468" i="1"/>
  <c r="E468" i="1"/>
  <c r="P467" i="1"/>
  <c r="E467" i="1"/>
  <c r="P466" i="1"/>
  <c r="E466" i="1"/>
  <c r="P465" i="1"/>
  <c r="E465" i="1"/>
  <c r="P464" i="1"/>
  <c r="E464" i="1"/>
  <c r="P463" i="1"/>
  <c r="E463" i="1"/>
  <c r="P462" i="1"/>
  <c r="E462" i="1"/>
  <c r="P461" i="1"/>
  <c r="E461" i="1"/>
  <c r="P460" i="1"/>
  <c r="E460" i="1"/>
  <c r="P459" i="1"/>
  <c r="E459" i="1"/>
  <c r="P458" i="1"/>
  <c r="E458" i="1"/>
  <c r="P457" i="1"/>
  <c r="E457" i="1"/>
  <c r="P456" i="1"/>
  <c r="E456" i="1"/>
  <c r="P455" i="1"/>
  <c r="E455" i="1"/>
  <c r="P454" i="1"/>
  <c r="E454" i="1"/>
  <c r="P453" i="1"/>
  <c r="E453" i="1"/>
  <c r="P452" i="1"/>
  <c r="E452" i="1"/>
  <c r="P451" i="1"/>
  <c r="E451" i="1"/>
  <c r="P450" i="1"/>
  <c r="E450" i="1"/>
  <c r="P449" i="1"/>
  <c r="E449" i="1"/>
  <c r="P448" i="1"/>
  <c r="E448" i="1"/>
  <c r="P447" i="1"/>
  <c r="E447" i="1"/>
  <c r="P446" i="1"/>
  <c r="E446" i="1"/>
  <c r="P445" i="1"/>
  <c r="E445" i="1"/>
  <c r="P444" i="1"/>
  <c r="E444" i="1"/>
  <c r="P443" i="1"/>
  <c r="E443" i="1"/>
  <c r="P442" i="1"/>
  <c r="E442" i="1"/>
  <c r="P441" i="1"/>
  <c r="E441" i="1"/>
  <c r="P440" i="1"/>
  <c r="E440" i="1"/>
  <c r="P439" i="1"/>
  <c r="E439" i="1"/>
  <c r="P438" i="1"/>
  <c r="E438" i="1"/>
  <c r="P437" i="1"/>
  <c r="E437" i="1"/>
  <c r="P436" i="1"/>
  <c r="E436" i="1"/>
  <c r="P435" i="1"/>
  <c r="E435" i="1"/>
  <c r="P434" i="1"/>
  <c r="E434" i="1"/>
  <c r="P433" i="1"/>
  <c r="E433" i="1"/>
  <c r="P432" i="1"/>
  <c r="E432" i="1"/>
  <c r="P431" i="1"/>
  <c r="E431" i="1"/>
  <c r="P430" i="1"/>
  <c r="E430" i="1"/>
  <c r="P429" i="1"/>
  <c r="E429" i="1"/>
  <c r="P428" i="1"/>
  <c r="E428" i="1"/>
  <c r="P427" i="1"/>
  <c r="E427" i="1"/>
  <c r="P426" i="1"/>
  <c r="E426" i="1"/>
  <c r="P425" i="1"/>
  <c r="E425" i="1"/>
  <c r="P424" i="1"/>
  <c r="E424" i="1"/>
  <c r="P423" i="1"/>
  <c r="E423" i="1"/>
  <c r="P422" i="1"/>
  <c r="E422" i="1"/>
  <c r="P421" i="1"/>
  <c r="E421" i="1"/>
  <c r="P420" i="1"/>
  <c r="E420" i="1"/>
  <c r="P419" i="1"/>
  <c r="E419" i="1"/>
  <c r="P418" i="1"/>
  <c r="E418" i="1"/>
  <c r="P417" i="1"/>
  <c r="E417" i="1"/>
  <c r="P416" i="1"/>
  <c r="E416" i="1"/>
  <c r="P415" i="1"/>
  <c r="E415" i="1"/>
  <c r="P414" i="1"/>
  <c r="E414" i="1"/>
  <c r="P413" i="1"/>
  <c r="E413" i="1"/>
  <c r="P412" i="1"/>
  <c r="E412" i="1"/>
  <c r="P411" i="1"/>
  <c r="E411" i="1"/>
  <c r="P410" i="1"/>
  <c r="E410" i="1"/>
  <c r="P409" i="1"/>
  <c r="E409" i="1"/>
  <c r="P408" i="1"/>
  <c r="E408" i="1"/>
  <c r="P407" i="1"/>
  <c r="E407" i="1"/>
  <c r="P406" i="1"/>
  <c r="E406" i="1"/>
  <c r="P405" i="1"/>
  <c r="E405" i="1"/>
  <c r="P404" i="1"/>
  <c r="E404" i="1"/>
  <c r="P403" i="1"/>
  <c r="E403" i="1"/>
  <c r="P402" i="1"/>
  <c r="E402" i="1"/>
  <c r="P401" i="1"/>
  <c r="E401" i="1"/>
  <c r="P400" i="1"/>
  <c r="E400" i="1"/>
  <c r="P399" i="1"/>
  <c r="E399" i="1"/>
  <c r="P398" i="1"/>
  <c r="E398" i="1"/>
  <c r="P397" i="1"/>
  <c r="E397" i="1"/>
  <c r="P396" i="1"/>
  <c r="E396" i="1"/>
  <c r="P395" i="1"/>
  <c r="E395" i="1"/>
  <c r="P394" i="1"/>
  <c r="E394" i="1"/>
  <c r="P393" i="1"/>
  <c r="E393" i="1"/>
  <c r="P392" i="1"/>
  <c r="E392" i="1"/>
  <c r="P391" i="1"/>
  <c r="E391" i="1"/>
  <c r="P390" i="1"/>
  <c r="E390" i="1"/>
  <c r="P389" i="1"/>
  <c r="E389" i="1"/>
  <c r="P388" i="1"/>
  <c r="E388" i="1"/>
  <c r="P387" i="1"/>
  <c r="E387" i="1"/>
  <c r="P386" i="1"/>
  <c r="E386" i="1"/>
  <c r="P385" i="1"/>
  <c r="E385" i="1"/>
  <c r="P384" i="1"/>
  <c r="E384" i="1"/>
  <c r="P383" i="1"/>
  <c r="E383" i="1"/>
  <c r="P382" i="1"/>
  <c r="E382" i="1"/>
  <c r="P381" i="1"/>
  <c r="E381" i="1"/>
  <c r="P380" i="1"/>
  <c r="E380" i="1"/>
  <c r="P379" i="1"/>
  <c r="E379" i="1"/>
  <c r="P378" i="1"/>
  <c r="E378" i="1"/>
  <c r="P377" i="1"/>
  <c r="E377" i="1"/>
  <c r="P376" i="1"/>
  <c r="E376" i="1"/>
  <c r="P375" i="1"/>
  <c r="E375" i="1"/>
  <c r="P374" i="1"/>
  <c r="E374" i="1"/>
  <c r="P373" i="1"/>
  <c r="E373" i="1"/>
  <c r="P372" i="1"/>
  <c r="E372" i="1"/>
  <c r="P371" i="1"/>
  <c r="E371" i="1"/>
  <c r="P370" i="1"/>
  <c r="E370" i="1"/>
  <c r="P369" i="1"/>
  <c r="E369" i="1"/>
  <c r="P368" i="1"/>
  <c r="E368" i="1"/>
  <c r="P367" i="1"/>
  <c r="E367" i="1"/>
  <c r="P366" i="1"/>
  <c r="E366" i="1"/>
  <c r="P365" i="1"/>
  <c r="E365" i="1"/>
  <c r="P364" i="1"/>
  <c r="E364" i="1"/>
  <c r="P363" i="1"/>
  <c r="E363" i="1"/>
  <c r="P362" i="1"/>
  <c r="E362" i="1"/>
  <c r="P361" i="1"/>
  <c r="E361" i="1"/>
  <c r="P360" i="1"/>
  <c r="E360" i="1"/>
  <c r="P359" i="1"/>
  <c r="E359" i="1"/>
  <c r="P358" i="1"/>
  <c r="E358" i="1"/>
  <c r="P357" i="1"/>
  <c r="E357" i="1"/>
  <c r="P356" i="1"/>
  <c r="E356" i="1"/>
  <c r="P355" i="1"/>
  <c r="E355" i="1"/>
  <c r="P354" i="1"/>
  <c r="E354" i="1"/>
  <c r="P353" i="1"/>
  <c r="E353" i="1"/>
  <c r="P352" i="1"/>
  <c r="E352" i="1"/>
  <c r="P351" i="1"/>
  <c r="E351" i="1"/>
  <c r="P350" i="1"/>
  <c r="E350" i="1"/>
  <c r="P349" i="1"/>
  <c r="E349" i="1"/>
  <c r="P348" i="1"/>
  <c r="E348" i="1"/>
  <c r="P347" i="1"/>
  <c r="E347" i="1"/>
  <c r="P346" i="1"/>
  <c r="E346" i="1"/>
  <c r="P345" i="1"/>
  <c r="E345" i="1"/>
  <c r="P344" i="1"/>
  <c r="E344" i="1"/>
  <c r="P343" i="1"/>
  <c r="E343" i="1"/>
  <c r="P342" i="1"/>
  <c r="E342" i="1"/>
  <c r="P341" i="1"/>
  <c r="E341" i="1"/>
  <c r="P340" i="1"/>
  <c r="E340" i="1"/>
  <c r="P339" i="1"/>
  <c r="E339" i="1"/>
  <c r="P338" i="1"/>
  <c r="E338" i="1"/>
  <c r="P337" i="1"/>
  <c r="E337" i="1"/>
  <c r="P336" i="1"/>
  <c r="E336" i="1"/>
  <c r="P335" i="1"/>
  <c r="E335" i="1"/>
  <c r="P334" i="1"/>
  <c r="E334" i="1"/>
  <c r="P333" i="1"/>
  <c r="E333" i="1"/>
  <c r="P332" i="1"/>
  <c r="E332" i="1"/>
  <c r="P331" i="1"/>
  <c r="E331" i="1"/>
  <c r="P330" i="1"/>
  <c r="E330" i="1"/>
  <c r="P329" i="1"/>
  <c r="E329" i="1"/>
  <c r="P328" i="1"/>
  <c r="E328" i="1"/>
  <c r="P327" i="1"/>
  <c r="E327" i="1"/>
  <c r="P326" i="1"/>
  <c r="E326" i="1"/>
  <c r="P325" i="1"/>
  <c r="E325" i="1"/>
  <c r="P324" i="1"/>
  <c r="E324" i="1"/>
  <c r="P323" i="1"/>
  <c r="E323" i="1"/>
  <c r="P322" i="1"/>
  <c r="E322" i="1"/>
  <c r="P321" i="1"/>
  <c r="E321" i="1"/>
  <c r="P320" i="1"/>
  <c r="E320" i="1"/>
  <c r="P319" i="1"/>
  <c r="E319" i="1"/>
  <c r="P318" i="1"/>
  <c r="E318" i="1"/>
  <c r="P317" i="1"/>
  <c r="E317" i="1"/>
  <c r="P316" i="1"/>
  <c r="E316" i="1"/>
  <c r="P315" i="1"/>
  <c r="E315" i="1"/>
  <c r="P314" i="1"/>
  <c r="E314" i="1"/>
  <c r="P313" i="1"/>
  <c r="E313" i="1"/>
  <c r="P312" i="1"/>
  <c r="E312" i="1"/>
  <c r="P311" i="1"/>
  <c r="E311" i="1"/>
  <c r="P310" i="1"/>
  <c r="E310" i="1"/>
  <c r="P309" i="1"/>
  <c r="E309" i="1"/>
  <c r="P308" i="1"/>
  <c r="E308" i="1"/>
  <c r="P307" i="1"/>
  <c r="E307" i="1"/>
  <c r="P306" i="1"/>
  <c r="E306" i="1"/>
  <c r="P305" i="1"/>
  <c r="E305" i="1"/>
  <c r="P304" i="1"/>
  <c r="E304" i="1"/>
  <c r="P303" i="1"/>
  <c r="E303" i="1"/>
  <c r="P302" i="1"/>
  <c r="E302" i="1"/>
  <c r="P301" i="1"/>
  <c r="E301" i="1"/>
  <c r="P300" i="1"/>
  <c r="E300" i="1"/>
  <c r="P299" i="1"/>
  <c r="E299" i="1"/>
  <c r="P298" i="1"/>
  <c r="E298" i="1"/>
  <c r="P297" i="1"/>
  <c r="E297" i="1"/>
  <c r="P296" i="1"/>
  <c r="E296" i="1"/>
  <c r="P295" i="1"/>
  <c r="E295" i="1"/>
  <c r="P294" i="1"/>
  <c r="E294" i="1"/>
  <c r="P293" i="1"/>
  <c r="E293" i="1"/>
  <c r="P292" i="1"/>
  <c r="E292" i="1"/>
  <c r="P291" i="1"/>
  <c r="E291" i="1"/>
  <c r="P290" i="1"/>
  <c r="E290" i="1"/>
  <c r="P289" i="1"/>
  <c r="E289" i="1"/>
  <c r="P288" i="1"/>
  <c r="E288" i="1"/>
  <c r="P287" i="1"/>
  <c r="E287" i="1"/>
  <c r="P286" i="1"/>
  <c r="E286" i="1"/>
  <c r="P285" i="1"/>
  <c r="E285" i="1"/>
  <c r="P284" i="1"/>
  <c r="E284" i="1"/>
  <c r="P283" i="1"/>
  <c r="E283" i="1"/>
  <c r="P282" i="1"/>
  <c r="E282" i="1"/>
  <c r="P281" i="1"/>
  <c r="E281" i="1"/>
  <c r="P280" i="1"/>
  <c r="E280" i="1"/>
  <c r="P279" i="1"/>
  <c r="E279" i="1"/>
  <c r="P278" i="1"/>
  <c r="E278" i="1"/>
  <c r="P277" i="1"/>
  <c r="E277" i="1"/>
  <c r="P276" i="1"/>
  <c r="E276" i="1"/>
  <c r="P275" i="1"/>
  <c r="E275" i="1"/>
  <c r="P274" i="1"/>
  <c r="E274" i="1"/>
  <c r="P273" i="1"/>
  <c r="E273" i="1"/>
  <c r="P272" i="1"/>
  <c r="E272" i="1"/>
  <c r="P271" i="1"/>
  <c r="E271" i="1"/>
  <c r="P270" i="1"/>
  <c r="E270" i="1"/>
  <c r="P269" i="1"/>
  <c r="E269" i="1"/>
  <c r="P268" i="1"/>
  <c r="E268" i="1"/>
  <c r="P267" i="1"/>
  <c r="E267" i="1"/>
  <c r="P266" i="1"/>
  <c r="E266" i="1"/>
  <c r="P265" i="1"/>
  <c r="E265" i="1"/>
  <c r="P264" i="1"/>
  <c r="E264" i="1"/>
  <c r="P263" i="1"/>
  <c r="E263" i="1"/>
  <c r="P262" i="1"/>
  <c r="E262" i="1"/>
  <c r="P261" i="1"/>
  <c r="E261" i="1"/>
  <c r="P260" i="1"/>
  <c r="E260" i="1"/>
  <c r="P259" i="1"/>
  <c r="E259" i="1"/>
  <c r="P258" i="1"/>
  <c r="E258" i="1"/>
  <c r="P257" i="1"/>
  <c r="E257" i="1"/>
  <c r="P256" i="1"/>
  <c r="E256" i="1"/>
  <c r="P255" i="1"/>
  <c r="E255" i="1"/>
  <c r="P254" i="1"/>
  <c r="E254" i="1"/>
  <c r="P253" i="1"/>
  <c r="E253" i="1"/>
  <c r="P252" i="1"/>
  <c r="E252" i="1"/>
  <c r="P251" i="1"/>
  <c r="E251" i="1"/>
  <c r="P250" i="1"/>
  <c r="E250" i="1"/>
  <c r="P249" i="1"/>
  <c r="E249" i="1"/>
  <c r="P248" i="1"/>
  <c r="E248" i="1"/>
  <c r="P247" i="1"/>
  <c r="E247" i="1"/>
  <c r="P246" i="1"/>
  <c r="E246" i="1"/>
  <c r="P245" i="1"/>
  <c r="E245" i="1"/>
  <c r="P244" i="1"/>
  <c r="E244" i="1"/>
  <c r="P243" i="1"/>
  <c r="E243" i="1"/>
  <c r="P242" i="1"/>
  <c r="E242" i="1"/>
  <c r="P241" i="1"/>
  <c r="E241" i="1"/>
  <c r="P240" i="1"/>
  <c r="E240" i="1"/>
  <c r="P239" i="1"/>
  <c r="E239" i="1"/>
  <c r="P238" i="1"/>
  <c r="E238" i="1"/>
  <c r="P237" i="1"/>
  <c r="E237" i="1"/>
  <c r="P236" i="1"/>
  <c r="E236" i="1"/>
  <c r="P235" i="1"/>
  <c r="E235" i="1"/>
  <c r="P234" i="1"/>
  <c r="E234" i="1"/>
  <c r="P233" i="1"/>
  <c r="E233" i="1"/>
  <c r="P232" i="1"/>
  <c r="E232" i="1"/>
  <c r="P231" i="1"/>
  <c r="E231" i="1"/>
  <c r="P230" i="1"/>
  <c r="E230" i="1"/>
  <c r="P229" i="1"/>
  <c r="E229" i="1"/>
  <c r="P228" i="1"/>
  <c r="E228" i="1"/>
  <c r="P227" i="1"/>
  <c r="E227" i="1"/>
  <c r="P226" i="1"/>
  <c r="E226" i="1"/>
  <c r="P225" i="1"/>
  <c r="E225" i="1"/>
  <c r="P224" i="1"/>
  <c r="E224" i="1"/>
  <c r="P223" i="1"/>
  <c r="E223" i="1"/>
  <c r="P222" i="1"/>
  <c r="E222" i="1"/>
  <c r="P221" i="1"/>
  <c r="E221" i="1"/>
  <c r="P220" i="1"/>
  <c r="E220" i="1"/>
  <c r="P219" i="1"/>
  <c r="E219" i="1"/>
  <c r="P218" i="1"/>
  <c r="E218" i="1"/>
  <c r="P217" i="1"/>
  <c r="E217" i="1"/>
  <c r="P216" i="1"/>
  <c r="E216" i="1"/>
  <c r="P215" i="1"/>
  <c r="E215" i="1"/>
  <c r="P214" i="1"/>
  <c r="E214" i="1"/>
  <c r="P213" i="1"/>
  <c r="E213" i="1"/>
  <c r="P212" i="1"/>
  <c r="E212" i="1"/>
  <c r="P211" i="1"/>
  <c r="E211" i="1"/>
  <c r="P210" i="1"/>
  <c r="E210" i="1"/>
  <c r="P209" i="1"/>
  <c r="E209" i="1"/>
  <c r="P208" i="1"/>
  <c r="E208" i="1"/>
  <c r="P207" i="1"/>
  <c r="E207" i="1"/>
  <c r="P206" i="1"/>
  <c r="E206" i="1"/>
  <c r="P205" i="1"/>
  <c r="E205" i="1"/>
  <c r="P204" i="1"/>
  <c r="E204" i="1"/>
  <c r="P203" i="1"/>
  <c r="E203" i="1"/>
  <c r="P202" i="1"/>
  <c r="E202" i="1"/>
  <c r="P201" i="1"/>
  <c r="E201" i="1"/>
  <c r="P200" i="1"/>
  <c r="E200" i="1"/>
  <c r="P199" i="1"/>
  <c r="E199" i="1"/>
  <c r="P198" i="1"/>
  <c r="E198" i="1"/>
  <c r="P197" i="1"/>
  <c r="E197" i="1"/>
  <c r="P196" i="1"/>
  <c r="E196" i="1"/>
  <c r="P195" i="1"/>
  <c r="E195" i="1"/>
  <c r="P194" i="1"/>
  <c r="E194" i="1"/>
  <c r="P193" i="1"/>
  <c r="E193" i="1"/>
  <c r="P192" i="1"/>
  <c r="E192" i="1"/>
  <c r="P191" i="1"/>
  <c r="E191" i="1"/>
  <c r="P190" i="1"/>
  <c r="E190" i="1"/>
  <c r="P189" i="1"/>
  <c r="E189" i="1"/>
  <c r="P188" i="1"/>
  <c r="E188" i="1"/>
  <c r="P187" i="1"/>
  <c r="E187" i="1"/>
  <c r="P186" i="1"/>
  <c r="E186" i="1"/>
  <c r="P185" i="1"/>
  <c r="E185" i="1"/>
  <c r="P184" i="1"/>
  <c r="E184" i="1"/>
  <c r="P183" i="1"/>
  <c r="E183" i="1"/>
  <c r="P182" i="1"/>
  <c r="E182" i="1"/>
  <c r="P181" i="1"/>
  <c r="E181" i="1"/>
  <c r="P180" i="1"/>
  <c r="E180" i="1"/>
  <c r="P179" i="1"/>
  <c r="E179" i="1"/>
  <c r="P178" i="1"/>
  <c r="E178" i="1"/>
  <c r="P177" i="1"/>
  <c r="E177" i="1"/>
  <c r="P176" i="1"/>
  <c r="E176" i="1"/>
  <c r="P175" i="1"/>
  <c r="E175" i="1"/>
  <c r="P174" i="1"/>
  <c r="E174" i="1"/>
  <c r="P173" i="1"/>
  <c r="E173" i="1"/>
  <c r="P172" i="1"/>
  <c r="E172" i="1"/>
  <c r="P171" i="1"/>
  <c r="E171" i="1"/>
  <c r="P170" i="1"/>
  <c r="E170" i="1"/>
  <c r="P169" i="1"/>
  <c r="E169" i="1"/>
  <c r="P168" i="1"/>
  <c r="E168" i="1"/>
  <c r="P167" i="1"/>
  <c r="E167" i="1"/>
  <c r="P166" i="1"/>
  <c r="E166" i="1"/>
  <c r="P165" i="1"/>
  <c r="E165" i="1"/>
  <c r="P164" i="1"/>
  <c r="E164" i="1"/>
  <c r="P163" i="1"/>
  <c r="E163" i="1"/>
  <c r="P162" i="1"/>
  <c r="E162" i="1"/>
  <c r="P161" i="1"/>
  <c r="E161" i="1"/>
  <c r="P160" i="1"/>
  <c r="E160" i="1"/>
  <c r="P159" i="1"/>
  <c r="E159" i="1"/>
  <c r="P158" i="1"/>
  <c r="E158" i="1"/>
  <c r="P157" i="1"/>
  <c r="E157" i="1"/>
  <c r="P156" i="1"/>
  <c r="E156" i="1"/>
  <c r="P155" i="1"/>
  <c r="E155" i="1"/>
  <c r="P154" i="1"/>
  <c r="E154" i="1"/>
  <c r="P153" i="1"/>
  <c r="E153" i="1"/>
  <c r="P152" i="1"/>
  <c r="E152" i="1"/>
  <c r="P151" i="1"/>
  <c r="E151" i="1"/>
  <c r="P150" i="1"/>
  <c r="E150" i="1"/>
  <c r="P149" i="1"/>
  <c r="E149" i="1"/>
  <c r="P148" i="1"/>
  <c r="E148" i="1"/>
  <c r="P147" i="1"/>
  <c r="E147" i="1"/>
  <c r="P146" i="1"/>
  <c r="E146" i="1"/>
  <c r="P145" i="1"/>
  <c r="E145" i="1"/>
  <c r="P144" i="1"/>
  <c r="E144" i="1"/>
  <c r="P143" i="1"/>
  <c r="E143" i="1"/>
  <c r="P142" i="1"/>
  <c r="E142" i="1"/>
  <c r="P141" i="1"/>
  <c r="E141" i="1"/>
  <c r="P140" i="1"/>
  <c r="E140" i="1"/>
  <c r="P139" i="1"/>
  <c r="E139" i="1"/>
  <c r="P138" i="1"/>
  <c r="E138" i="1"/>
  <c r="P137" i="1"/>
  <c r="E137" i="1"/>
  <c r="P136" i="1"/>
  <c r="E136" i="1"/>
  <c r="P135" i="1"/>
  <c r="E135" i="1"/>
  <c r="P134" i="1"/>
  <c r="E134" i="1"/>
  <c r="P133" i="1"/>
  <c r="E133" i="1"/>
  <c r="P132" i="1"/>
  <c r="E132" i="1"/>
  <c r="P131" i="1"/>
  <c r="E131" i="1"/>
  <c r="P130" i="1"/>
  <c r="E130" i="1"/>
  <c r="P129" i="1"/>
  <c r="E129" i="1"/>
  <c r="P128" i="1"/>
  <c r="E128" i="1"/>
  <c r="P127" i="1"/>
  <c r="E127" i="1"/>
  <c r="P126" i="1"/>
  <c r="E126" i="1"/>
  <c r="P125" i="1"/>
  <c r="E125" i="1"/>
  <c r="P124" i="1"/>
  <c r="E124" i="1"/>
  <c r="P123" i="1"/>
  <c r="E123" i="1"/>
  <c r="P122" i="1"/>
  <c r="E122" i="1"/>
  <c r="P121" i="1"/>
  <c r="E121" i="1"/>
  <c r="P120" i="1"/>
  <c r="E120" i="1"/>
  <c r="P119" i="1"/>
  <c r="E119" i="1"/>
  <c r="P118" i="1"/>
  <c r="E118" i="1"/>
  <c r="P117" i="1"/>
  <c r="E117" i="1"/>
  <c r="P116" i="1"/>
  <c r="E116" i="1"/>
  <c r="P115" i="1"/>
  <c r="E115" i="1"/>
  <c r="P114" i="1"/>
  <c r="E114" i="1"/>
  <c r="P113" i="1"/>
  <c r="E113" i="1"/>
  <c r="P112" i="1"/>
  <c r="E112" i="1"/>
  <c r="P111" i="1"/>
  <c r="E111" i="1"/>
  <c r="P110" i="1"/>
  <c r="E110" i="1"/>
  <c r="P109" i="1"/>
  <c r="E109" i="1"/>
  <c r="P108" i="1"/>
  <c r="E108" i="1"/>
  <c r="P107" i="1"/>
  <c r="E107" i="1"/>
  <c r="P106" i="1"/>
  <c r="E106" i="1"/>
  <c r="P105" i="1"/>
  <c r="E105" i="1"/>
  <c r="P104" i="1"/>
  <c r="E104" i="1"/>
  <c r="P103" i="1"/>
  <c r="E103" i="1"/>
  <c r="P102" i="1"/>
  <c r="E102" i="1"/>
  <c r="P101" i="1"/>
  <c r="E101" i="1"/>
  <c r="P100" i="1"/>
  <c r="E100" i="1"/>
  <c r="P99" i="1"/>
  <c r="E99" i="1"/>
  <c r="P98" i="1"/>
  <c r="E98" i="1"/>
  <c r="P97" i="1"/>
  <c r="E97" i="1"/>
  <c r="P96" i="1"/>
  <c r="E96" i="1"/>
  <c r="P95" i="1"/>
  <c r="E95" i="1"/>
  <c r="P94" i="1"/>
  <c r="E94" i="1"/>
  <c r="P93" i="1"/>
  <c r="E93" i="1"/>
  <c r="P92" i="1"/>
  <c r="E92" i="1"/>
  <c r="P91" i="1"/>
  <c r="E91" i="1"/>
  <c r="P90" i="1"/>
  <c r="E90" i="1"/>
  <c r="P89" i="1"/>
  <c r="E89" i="1"/>
  <c r="P88" i="1"/>
  <c r="E88" i="1"/>
  <c r="P87" i="1"/>
  <c r="E87" i="1"/>
  <c r="P86" i="1"/>
  <c r="E86" i="1"/>
  <c r="P85" i="1"/>
  <c r="E85" i="1"/>
  <c r="P84" i="1"/>
  <c r="E84" i="1"/>
  <c r="P83" i="1"/>
  <c r="E83" i="1"/>
  <c r="P82" i="1"/>
  <c r="E82" i="1"/>
  <c r="P81" i="1"/>
  <c r="E81" i="1"/>
  <c r="P80" i="1"/>
  <c r="E80" i="1"/>
  <c r="P79" i="1"/>
  <c r="E79" i="1"/>
  <c r="P78" i="1"/>
  <c r="E78" i="1"/>
  <c r="P77" i="1"/>
  <c r="E77" i="1"/>
  <c r="P76" i="1"/>
  <c r="E76" i="1"/>
  <c r="P75" i="1"/>
  <c r="E75" i="1"/>
  <c r="P74" i="1"/>
  <c r="E74" i="1"/>
  <c r="P73" i="1"/>
  <c r="E73" i="1"/>
  <c r="P72" i="1"/>
  <c r="E72" i="1"/>
  <c r="P71" i="1"/>
  <c r="E71" i="1"/>
  <c r="P70" i="1"/>
  <c r="E70" i="1"/>
  <c r="P69" i="1"/>
  <c r="E69" i="1"/>
  <c r="P68" i="1"/>
  <c r="E68" i="1"/>
  <c r="P67" i="1"/>
  <c r="E67" i="1"/>
  <c r="P66" i="1"/>
  <c r="E66" i="1"/>
  <c r="P65" i="1"/>
  <c r="E65" i="1"/>
  <c r="P64" i="1"/>
  <c r="E64" i="1"/>
  <c r="P63" i="1"/>
  <c r="E63" i="1"/>
  <c r="P62" i="1"/>
  <c r="E62" i="1"/>
  <c r="P61" i="1"/>
  <c r="E61" i="1"/>
  <c r="P60" i="1"/>
  <c r="E60" i="1"/>
  <c r="P59" i="1"/>
  <c r="E59" i="1"/>
  <c r="P58" i="1"/>
  <c r="E58" i="1"/>
  <c r="P57" i="1"/>
  <c r="E57" i="1"/>
  <c r="P56" i="1"/>
  <c r="E56" i="1"/>
  <c r="P55" i="1"/>
  <c r="E55" i="1"/>
  <c r="P54" i="1"/>
  <c r="E54" i="1"/>
  <c r="P53" i="1"/>
  <c r="E53" i="1"/>
  <c r="P52" i="1"/>
  <c r="E52" i="1"/>
  <c r="P51" i="1"/>
  <c r="E51" i="1"/>
  <c r="P50" i="1"/>
  <c r="E50" i="1"/>
  <c r="P49" i="1"/>
  <c r="E49" i="1"/>
  <c r="P48" i="1"/>
  <c r="E48" i="1"/>
  <c r="P47" i="1"/>
  <c r="E47" i="1"/>
  <c r="P46" i="1"/>
  <c r="E46" i="1"/>
  <c r="P45" i="1"/>
  <c r="E45" i="1"/>
  <c r="P44" i="1"/>
  <c r="E44" i="1"/>
  <c r="P43" i="1"/>
  <c r="E43" i="1"/>
  <c r="P42" i="1"/>
  <c r="E42" i="1"/>
  <c r="P41" i="1"/>
  <c r="E41" i="1"/>
  <c r="P40" i="1"/>
  <c r="E40" i="1"/>
  <c r="P39" i="1"/>
  <c r="E39" i="1"/>
  <c r="P38" i="1"/>
  <c r="E38" i="1"/>
  <c r="P37" i="1"/>
  <c r="E37" i="1"/>
  <c r="P36" i="1"/>
  <c r="E36" i="1"/>
  <c r="P35" i="1"/>
  <c r="E35" i="1"/>
  <c r="P34" i="1"/>
  <c r="E34" i="1"/>
  <c r="P33" i="1"/>
  <c r="E33" i="1"/>
  <c r="P32" i="1"/>
  <c r="E32" i="1"/>
  <c r="P31" i="1"/>
  <c r="E31" i="1"/>
  <c r="P30" i="1"/>
  <c r="E30" i="1"/>
  <c r="P29" i="1"/>
  <c r="E29" i="1"/>
  <c r="P28" i="1"/>
  <c r="E28" i="1"/>
  <c r="P27" i="1"/>
  <c r="E27" i="1"/>
  <c r="P26" i="1"/>
  <c r="E26" i="1"/>
  <c r="P25" i="1"/>
  <c r="E25" i="1"/>
  <c r="P24" i="1"/>
  <c r="E24" i="1"/>
  <c r="P23" i="1"/>
  <c r="E23" i="1"/>
  <c r="P22" i="1"/>
  <c r="E22" i="1"/>
  <c r="P21" i="1"/>
  <c r="E21" i="1"/>
  <c r="P20" i="1"/>
  <c r="E20" i="1"/>
  <c r="P19" i="1"/>
  <c r="E19" i="1"/>
  <c r="P18" i="1"/>
  <c r="E18" i="1"/>
  <c r="P17" i="1"/>
  <c r="E17" i="1"/>
  <c r="P16" i="1"/>
  <c r="E16" i="1"/>
  <c r="P15" i="1"/>
  <c r="E15" i="1"/>
  <c r="P14" i="1"/>
  <c r="E14" i="1"/>
  <c r="P13" i="1"/>
  <c r="E13" i="1"/>
  <c r="P12" i="1"/>
  <c r="E12" i="1"/>
  <c r="P11" i="1"/>
  <c r="E11" i="1"/>
  <c r="P10" i="1"/>
  <c r="E10" i="1"/>
  <c r="P9" i="1"/>
  <c r="E9" i="1"/>
  <c r="P8" i="1"/>
  <c r="E8" i="1"/>
  <c r="P7" i="1"/>
  <c r="E7" i="1"/>
  <c r="P6" i="1"/>
  <c r="E6" i="1"/>
  <c r="P5" i="1"/>
  <c r="E5" i="1"/>
  <c r="P4" i="1"/>
  <c r="E4" i="1"/>
  <c r="P3" i="1"/>
  <c r="E3" i="1"/>
  <c r="P2" i="1"/>
  <c r="E2" i="1"/>
</calcChain>
</file>

<file path=xl/sharedStrings.xml><?xml version="1.0" encoding="utf-8"?>
<sst xmlns="http://schemas.openxmlformats.org/spreadsheetml/2006/main" count="77874" uniqueCount="3487">
  <si>
    <t>Acc No</t>
  </si>
  <si>
    <t>Client</t>
  </si>
  <si>
    <t>Type</t>
  </si>
  <si>
    <t>Invoice no</t>
  </si>
  <si>
    <t>Wb No</t>
  </si>
  <si>
    <t>Date</t>
  </si>
  <si>
    <t>Period</t>
  </si>
  <si>
    <t>Start</t>
  </si>
  <si>
    <t>Start Town</t>
  </si>
  <si>
    <t>Sender</t>
  </si>
  <si>
    <t>Carrier</t>
  </si>
  <si>
    <t>Dest</t>
  </si>
  <si>
    <t>Destination Town</t>
  </si>
  <si>
    <t>Receiver</t>
  </si>
  <si>
    <t>Srv</t>
  </si>
  <si>
    <t>Client Ref</t>
  </si>
  <si>
    <t>AFT</t>
  </si>
  <si>
    <t>Disc</t>
  </si>
  <si>
    <t>AMB</t>
  </si>
  <si>
    <t>BDR</t>
  </si>
  <si>
    <t>BPS</t>
  </si>
  <si>
    <t>CSH</t>
  </si>
  <si>
    <t>CTL</t>
  </si>
  <si>
    <t>DS1</t>
  </si>
  <si>
    <t>DSD</t>
  </si>
  <si>
    <t>EAR</t>
  </si>
  <si>
    <t>EMB</t>
  </si>
  <si>
    <t>FUE</t>
  </si>
  <si>
    <t>FUX</t>
  </si>
  <si>
    <t>HAZ</t>
  </si>
  <si>
    <t>HND</t>
  </si>
  <si>
    <t>IFL</t>
  </si>
  <si>
    <t>INH</t>
  </si>
  <si>
    <t>INS</t>
  </si>
  <si>
    <t>LTE</t>
  </si>
  <si>
    <t>NDC</t>
  </si>
  <si>
    <t>OUT</t>
  </si>
  <si>
    <t>RTL</t>
  </si>
  <si>
    <t>Other Charges</t>
  </si>
  <si>
    <t>Prcls</t>
  </si>
  <si>
    <t>Tot KG</t>
  </si>
  <si>
    <t>Tot Vol</t>
  </si>
  <si>
    <t>Mass</t>
  </si>
  <si>
    <t>Amount</t>
  </si>
  <si>
    <t>Vat</t>
  </si>
  <si>
    <t>Total</t>
  </si>
  <si>
    <t>Outstand</t>
  </si>
  <si>
    <t>Special Instructions</t>
  </si>
  <si>
    <t>Consignee Contact</t>
  </si>
  <si>
    <t>Sender Contact</t>
  </si>
  <si>
    <t>POD Date</t>
  </si>
  <si>
    <t>POD Time</t>
  </si>
  <si>
    <t>POD Name</t>
  </si>
  <si>
    <t>STD POD</t>
  </si>
  <si>
    <t>Reason</t>
  </si>
  <si>
    <t>Reason Captured</t>
  </si>
  <si>
    <t>Total Vol Mass</t>
  </si>
  <si>
    <t>Options</t>
  </si>
  <si>
    <t>POD Comments</t>
  </si>
  <si>
    <t>X-Option</t>
  </si>
  <si>
    <t>Dest Town</t>
  </si>
  <si>
    <t>Dest Postal Code</t>
  </si>
  <si>
    <t>Description of Contents</t>
  </si>
  <si>
    <t>POD Scan Date</t>
  </si>
  <si>
    <t>Status</t>
  </si>
  <si>
    <t>MF Comments</t>
  </si>
  <si>
    <t>Actual Days</t>
  </si>
  <si>
    <t>Agreed Days</t>
  </si>
  <si>
    <t>Rate</t>
  </si>
  <si>
    <t>Early Delivery</t>
  </si>
  <si>
    <t>Early Delivery Time</t>
  </si>
  <si>
    <t>MA Info</t>
  </si>
  <si>
    <t>C17924</t>
  </si>
  <si>
    <t>MOVE ANALYTICS CC (FESTO DIRECT DEL</t>
  </si>
  <si>
    <t>WAY</t>
  </si>
  <si>
    <t>KEMPT</t>
  </si>
  <si>
    <t>KEMPTON PARK</t>
  </si>
  <si>
    <t xml:space="preserve">FESTO (Move Analytics)             </t>
  </si>
  <si>
    <t xml:space="preserve">                                   </t>
  </si>
  <si>
    <t>PINET</t>
  </si>
  <si>
    <t>PINETOWN</t>
  </si>
  <si>
    <t xml:space="preserve">FEDERAL MOGUL VALVES (PTY) LTD     </t>
  </si>
  <si>
    <t>ON1</t>
  </si>
  <si>
    <t>FEDERAL MOGUL VALVES  PTY  LTD</t>
  </si>
  <si>
    <t>Gift Masinga</t>
  </si>
  <si>
    <t>makayla</t>
  </si>
  <si>
    <t>yes</t>
  </si>
  <si>
    <t>POD received from cell 0780771530 M</t>
  </si>
  <si>
    <t xml:space="preserve">FLYER                         </t>
  </si>
  <si>
    <t>no</t>
  </si>
  <si>
    <t>PORT3</t>
  </si>
  <si>
    <t>PORT ELIZABETH</t>
  </si>
  <si>
    <t xml:space="preserve">JENDAMARK AUTOMATION PTY LTD P     </t>
  </si>
  <si>
    <t>JENDAMARK AUTOMATION PTY LTD P</t>
  </si>
  <si>
    <t>shaakir</t>
  </si>
  <si>
    <t>POD received from cell 0608702785 M</t>
  </si>
  <si>
    <t xml:space="preserve">BOX                           </t>
  </si>
  <si>
    <t>BOKSB</t>
  </si>
  <si>
    <t>BOKSBURG</t>
  </si>
  <si>
    <t xml:space="preserve">RAPID INDUSTRIAL SUPPLIES PTY      </t>
  </si>
  <si>
    <t>RAPID INDUSTRIAL</t>
  </si>
  <si>
    <t xml:space="preserve">JAPIE                         </t>
  </si>
  <si>
    <t xml:space="preserve">POD received from cell 0839573774 M     </t>
  </si>
  <si>
    <t>PIET1</t>
  </si>
  <si>
    <t>PIETERMARITZBURG</t>
  </si>
  <si>
    <t xml:space="preserve">CLIFFORD MACHINES   TECHNOLOGY     </t>
  </si>
  <si>
    <t>CLIFFORD MACHINES   TECHNOLOGY</t>
  </si>
  <si>
    <t>Spha</t>
  </si>
  <si>
    <t>POD received from cell 0625489709 M</t>
  </si>
  <si>
    <t xml:space="preserve">SAR ELECTRONIC SA (PTY) LTD NO     </t>
  </si>
  <si>
    <t>SAR ELECTRONIC SA  PTY  LTD NO</t>
  </si>
  <si>
    <t>luke</t>
  </si>
  <si>
    <t xml:space="preserve">UNILEVER S.A. (PTY) LTD LORDS      </t>
  </si>
  <si>
    <t>UNILEVER S.A.  PTY  LTD LORDS</t>
  </si>
  <si>
    <t>Cynthea</t>
  </si>
  <si>
    <t>POD received from cell 0837323487 M</t>
  </si>
  <si>
    <t xml:space="preserve">SML BOX                       </t>
  </si>
  <si>
    <t>JOHAN</t>
  </si>
  <si>
    <t>JOHANNESBURG</t>
  </si>
  <si>
    <t xml:space="preserve">POLAR ICE CREAM CO PTY LTD         </t>
  </si>
  <si>
    <t>POLAR ICE CREAM CO PTY LTD</t>
  </si>
  <si>
    <t>Phezintla</t>
  </si>
  <si>
    <t>POD received from cell 0730378747 M</t>
  </si>
  <si>
    <t>PAARL</t>
  </si>
  <si>
    <t xml:space="preserve">DIVFOOD A DIV OF NAMPAK PRODUC     </t>
  </si>
  <si>
    <t>DIVFOOD A DIV OF NAMPAK PRODUC</t>
  </si>
  <si>
    <t>R Coetzee</t>
  </si>
  <si>
    <t>FUE / DOC</t>
  </si>
  <si>
    <t>POD received from cell 0671392487 M</t>
  </si>
  <si>
    <t>FLYER</t>
  </si>
  <si>
    <t>CAPET</t>
  </si>
  <si>
    <t>CAPE TOWN</t>
  </si>
  <si>
    <t xml:space="preserve">GARNET ENGINEERING                 </t>
  </si>
  <si>
    <t>GARNET ENGINEERING</t>
  </si>
  <si>
    <t>LIEZEL</t>
  </si>
  <si>
    <t>POD received from cell 0763378994 M</t>
  </si>
  <si>
    <t>PRETO</t>
  </si>
  <si>
    <t>PRETORIA</t>
  </si>
  <si>
    <t xml:space="preserve">LION MATCH PRODUCTS (PTY) LTD      </t>
  </si>
  <si>
    <t>LION MATCH PRODUCTS  PTY  LTD</t>
  </si>
  <si>
    <t>molatelo</t>
  </si>
  <si>
    <t>POD received from cell 0674000125 M</t>
  </si>
  <si>
    <t>0200</t>
  </si>
  <si>
    <t>GERMI</t>
  </si>
  <si>
    <t>GERMISTON</t>
  </si>
  <si>
    <t xml:space="preserve">CIRCUIT BREAKER INDUSTRIES (PT     </t>
  </si>
  <si>
    <t>CIRCUIT BREAKER INDUSTRIES  PT</t>
  </si>
  <si>
    <t>priscilla</t>
  </si>
  <si>
    <t>Consignee not available)</t>
  </si>
  <si>
    <t>BSN</t>
  </si>
  <si>
    <t>POD received from cell 0767760303 M</t>
  </si>
  <si>
    <t>VANDE</t>
  </si>
  <si>
    <t>VANDERBIJLPARK</t>
  </si>
  <si>
    <t xml:space="preserve">CONSOLIDATED WIRE INDUSTRIES (     </t>
  </si>
  <si>
    <t>CONSOLIDATED WIRE INDUSTRIES</t>
  </si>
  <si>
    <t>Mpho</t>
  </si>
  <si>
    <t>POD received from cell 0729061309 M</t>
  </si>
  <si>
    <t xml:space="preserve">PAILPAC (PTY) LTD                  </t>
  </si>
  <si>
    <t>PAILPAC  PTY  LTD</t>
  </si>
  <si>
    <t>lamie</t>
  </si>
  <si>
    <t>POD received from cell 0832797874 M</t>
  </si>
  <si>
    <t xml:space="preserve">FORD MOTORING CO OF S A            </t>
  </si>
  <si>
    <t>FORD MOTORING</t>
  </si>
  <si>
    <t>Queen</t>
  </si>
  <si>
    <t>POD received from cell 0795621051 M</t>
  </si>
  <si>
    <t>0184</t>
  </si>
  <si>
    <t>POSTM</t>
  </si>
  <si>
    <t>POSTMASBURG</t>
  </si>
  <si>
    <t xml:space="preserve">SISHEN IRON ORE COMPANY (PTY)      </t>
  </si>
  <si>
    <t>SISHEN IRON ORE COMPANY  PTY</t>
  </si>
  <si>
    <t>dwayn</t>
  </si>
  <si>
    <t>grr</t>
  </si>
  <si>
    <t xml:space="preserve">BRANDLINE PACKAGING (PTY) LTD      </t>
  </si>
  <si>
    <t>BRANDLINE PACKAGING  PTY  LTD</t>
  </si>
  <si>
    <t>doctor</t>
  </si>
  <si>
    <t>POD received from cell 0837842726 M</t>
  </si>
  <si>
    <t>PARCEL</t>
  </si>
  <si>
    <t>UITEN</t>
  </si>
  <si>
    <t>UITENHAGE</t>
  </si>
  <si>
    <t xml:space="preserve">SPICER AXLE PTY LTD                </t>
  </si>
  <si>
    <t>SPICER AXLE PTY LTD</t>
  </si>
  <si>
    <t>marelize</t>
  </si>
  <si>
    <t>POD received from cell 0793062989 M</t>
  </si>
  <si>
    <t xml:space="preserve">AUTO INDUSTRIAL MACHINING A DI     </t>
  </si>
  <si>
    <t>AUTO INDUSTRIAL MACHINING A DI</t>
  </si>
  <si>
    <t>Simon</t>
  </si>
  <si>
    <t>AMANZ</t>
  </si>
  <si>
    <t>AMANZIMTOTI</t>
  </si>
  <si>
    <t xml:space="preserve">DES GROUP PTY LTD                  </t>
  </si>
  <si>
    <t>DESGROUP PTY LTD</t>
  </si>
  <si>
    <t>Michael</t>
  </si>
  <si>
    <t>POD received from cell 0671711975 M</t>
  </si>
  <si>
    <t xml:space="preserve">COCA-COLA BEVERAGES SOUTH AFRI     </t>
  </si>
  <si>
    <t>COCA-COLA BEVERAGES SOUTH AFRI</t>
  </si>
  <si>
    <t>KEITUMETSE</t>
  </si>
  <si>
    <t>ppm</t>
  </si>
  <si>
    <t>0082</t>
  </si>
  <si>
    <t>k a moloto</t>
  </si>
  <si>
    <t>PIM</t>
  </si>
  <si>
    <t>POD received from cell 0844936893 M</t>
  </si>
  <si>
    <t xml:space="preserve">UNILEVER SOUTH AFRICA (PTY) LT     </t>
  </si>
  <si>
    <t>UNILEVER SOUTH AFRICA  PTY  LT</t>
  </si>
  <si>
    <t>Audrey</t>
  </si>
  <si>
    <t>mmd</t>
  </si>
  <si>
    <t>POD received from cell 0680067827 M</t>
  </si>
  <si>
    <t>reece</t>
  </si>
  <si>
    <t>PHALA</t>
  </si>
  <si>
    <t>PHALABORWA</t>
  </si>
  <si>
    <t xml:space="preserve">PALABORA COPPER (PTY) TD           </t>
  </si>
  <si>
    <t>PALABORA COPPER  PTY  TD</t>
  </si>
  <si>
    <t>nkosinathi</t>
  </si>
  <si>
    <t>POD received from cell 0785331999 M</t>
  </si>
  <si>
    <t xml:space="preserve">GOODYEAR SOUTH AFRICA              </t>
  </si>
  <si>
    <t>GOODYEAR SOUTH AFRICA</t>
  </si>
  <si>
    <t>karen</t>
  </si>
  <si>
    <t>STANG</t>
  </si>
  <si>
    <t>STANGER</t>
  </si>
  <si>
    <t xml:space="preserve">SAPPI SOUTHERN AFRICA              </t>
  </si>
  <si>
    <t>SAPPI SOUTHERN AFRICA</t>
  </si>
  <si>
    <t>d pillay</t>
  </si>
  <si>
    <t>POD received from cell 0820534942 M</t>
  </si>
  <si>
    <t xml:space="preserve">PARCEL                        </t>
  </si>
  <si>
    <t>KRUGE</t>
  </si>
  <si>
    <t>KRUGERSDORP</t>
  </si>
  <si>
    <t xml:space="preserve">AUTOLIV S.A                        </t>
  </si>
  <si>
    <t>AUTOLIV S.A</t>
  </si>
  <si>
    <t>veon</t>
  </si>
  <si>
    <t>POD received from cell 0671820041 M</t>
  </si>
  <si>
    <t xml:space="preserve">RCL FOODS CONSUMER (PTY) LTD F     </t>
  </si>
  <si>
    <t>RCL FOODS CONSUMER  PTY  LTD F</t>
  </si>
  <si>
    <t xml:space="preserve">michel                        </t>
  </si>
  <si>
    <t xml:space="preserve">                                        </t>
  </si>
  <si>
    <t>VERWO</t>
  </si>
  <si>
    <t>CENTURION</t>
  </si>
  <si>
    <t xml:space="preserve">MAVTECH TECHNOLOGIES (PTY) LTD     </t>
  </si>
  <si>
    <t>MAVTECH TECHNOLOGIES  PTY  LTD</t>
  </si>
  <si>
    <t>Suwellen</t>
  </si>
  <si>
    <t>POD received from cell 0698970078 M</t>
  </si>
  <si>
    <t>0157</t>
  </si>
  <si>
    <t xml:space="preserve">CIM AUTOMATION PTY LTD MONTAGU     </t>
  </si>
  <si>
    <t>CIM AUTOMATION PTY LTD MONTAGU</t>
  </si>
  <si>
    <t>kim</t>
  </si>
  <si>
    <t>POD received from cell 0738058187 M</t>
  </si>
  <si>
    <t xml:space="preserve">DEVCOTECH JHB - LE ROUX AVE        </t>
  </si>
  <si>
    <t>DEVCOTECH JHB - LE ROUX AVE</t>
  </si>
  <si>
    <t>negvern</t>
  </si>
  <si>
    <t>POD received from cell  27 84 825 6515 M</t>
  </si>
  <si>
    <t xml:space="preserve">INNOVATIVE WATER CARE SA HOLDI     </t>
  </si>
  <si>
    <t>INNOVATIVE WATER CARE SA HOLDI</t>
  </si>
  <si>
    <t>Sizwe</t>
  </si>
  <si>
    <t xml:space="preserve">1310 MAIN STREET PYT LTD T A T     </t>
  </si>
  <si>
    <t>1310 MAIN STREET PYT LTD T A T</t>
  </si>
  <si>
    <t>Mary</t>
  </si>
  <si>
    <t>POD received from cell 0817092867 M</t>
  </si>
  <si>
    <t>0117</t>
  </si>
  <si>
    <t xml:space="preserve">NNOVATIVE AUTOMATION PTY LTD       </t>
  </si>
  <si>
    <t>NNOVATIVE AUTOMATION</t>
  </si>
  <si>
    <t>chante</t>
  </si>
  <si>
    <t>POD received from cell 0826975382 M</t>
  </si>
  <si>
    <t>HAMMA</t>
  </si>
  <si>
    <t>HAMMANSKRAAL</t>
  </si>
  <si>
    <t xml:space="preserve">NESTLE SOUTH AFRICA (PTY) LTD      </t>
  </si>
  <si>
    <t>NESTLE SOUTH AFRICA  PTY  LTD</t>
  </si>
  <si>
    <t>Selby</t>
  </si>
  <si>
    <t>POD received from cell 0723083847 M</t>
  </si>
  <si>
    <t>0400</t>
  </si>
  <si>
    <t>DESPA</t>
  </si>
  <si>
    <t>DESPATCH</t>
  </si>
  <si>
    <t xml:space="preserve">CLOVER SA PTY LTD                  </t>
  </si>
  <si>
    <t>CLOVER SA PTY LTD</t>
  </si>
  <si>
    <t>abegail</t>
  </si>
  <si>
    <t>POD received from cell 0711146140 M</t>
  </si>
  <si>
    <t xml:space="preserve">ADCOCK INGRAM CRITICAL CARE PT     </t>
  </si>
  <si>
    <t>ADCOCK INGRAM CRITICAL CARE PT</t>
  </si>
  <si>
    <t>Thabang</t>
  </si>
  <si>
    <t>POD received from cell 0834177790 M</t>
  </si>
  <si>
    <t xml:space="preserve">HENDLER   HART BOKSBURG EAST       </t>
  </si>
  <si>
    <t>HENDLER   HART BOKSBURG EAST</t>
  </si>
  <si>
    <t>Salphina</t>
  </si>
  <si>
    <t>POD received from cell 0839573774 M</t>
  </si>
  <si>
    <t xml:space="preserve">SCHAEFFLER SOUTH AFRICA (PTY)      </t>
  </si>
  <si>
    <t>SCHAEFFLER SOUTH AFRICA  PTY</t>
  </si>
  <si>
    <t>ayanda</t>
  </si>
  <si>
    <t>POD received from cell 0644881838 M</t>
  </si>
  <si>
    <t xml:space="preserve">PG BISON (PTY) LTD  ORDER NUMB     </t>
  </si>
  <si>
    <t>PG BISON  PTY  LTD  ORDER NUMB</t>
  </si>
  <si>
    <t>TSHEPO</t>
  </si>
  <si>
    <t>ASHTO</t>
  </si>
  <si>
    <t>ASHTON</t>
  </si>
  <si>
    <t xml:space="preserve">CSM BEARINGS   PNEUMATICS ASHT     </t>
  </si>
  <si>
    <t>CSM BEARINGS   PNEUMATICS ASHT</t>
  </si>
  <si>
    <t>A Steffans</t>
  </si>
  <si>
    <t>POD received from cell 0608104719 M</t>
  </si>
  <si>
    <t xml:space="preserve">FELTEX TRIM P.E                    </t>
  </si>
  <si>
    <t>FELTEX TRIM P.E</t>
  </si>
  <si>
    <t>Nandpha</t>
  </si>
  <si>
    <t>Late Linehaul Delayed Beyond Skynet Control</t>
  </si>
  <si>
    <t>naw</t>
  </si>
  <si>
    <t>POD received from cell 0814739791 M</t>
  </si>
  <si>
    <t xml:space="preserve">FOODCORP (PTY) LTD                 </t>
  </si>
  <si>
    <t>DBC</t>
  </si>
  <si>
    <t>FOODCORP</t>
  </si>
  <si>
    <t>Thabo</t>
  </si>
  <si>
    <t>FUE / doc</t>
  </si>
  <si>
    <t xml:space="preserve">CONTINENTAL BISCUITS PTY LTD       </t>
  </si>
  <si>
    <t>CONTINENTAL BISCUITS PTY LTD</t>
  </si>
  <si>
    <t>nomandza</t>
  </si>
  <si>
    <t xml:space="preserve">LEVINO CONSULTING AND CONSTRUC     </t>
  </si>
  <si>
    <t>LEVINO CONSULTING AND CONSTRUC</t>
  </si>
  <si>
    <t>tetelo</t>
  </si>
  <si>
    <t>POD received from cell 0606555504 M</t>
  </si>
  <si>
    <t>BENON</t>
  </si>
  <si>
    <t>BENONI</t>
  </si>
  <si>
    <t xml:space="preserve">BELSIZE PRINTING WORKS (PTY) A     </t>
  </si>
  <si>
    <t>BELSIZE PRINTING WORKS  PTY  A</t>
  </si>
  <si>
    <t>Lerato</t>
  </si>
  <si>
    <t>POD received from cell 0817257646 M</t>
  </si>
  <si>
    <t xml:space="preserve">FILMATIC PACKAGING SYSTEMS (PT     </t>
  </si>
  <si>
    <t>FILMATIC PACKAGING SYSTEMS  PT</t>
  </si>
  <si>
    <t>Gary</t>
  </si>
  <si>
    <t>ISIPI</t>
  </si>
  <si>
    <t>ISIPINGO</t>
  </si>
  <si>
    <t xml:space="preserve">G.U.D HOLDINGS (PTY) LTD PROSP     </t>
  </si>
  <si>
    <t>G.U.D HOLDINGS  PTY  LTD PROSP</t>
  </si>
  <si>
    <t>michael</t>
  </si>
  <si>
    <t>ntm</t>
  </si>
  <si>
    <t>POD received from cell 0844020000 M</t>
  </si>
  <si>
    <t xml:space="preserve">KIMBERLY-CLARK S.A VENDOR: 100     </t>
  </si>
  <si>
    <t>KIMBERLY-CLARK S.A VENDOR  100</t>
  </si>
  <si>
    <t>Patrick</t>
  </si>
  <si>
    <t>POD received from cell 0659386993 M</t>
  </si>
  <si>
    <t>ALBE2</t>
  </si>
  <si>
    <t>ALBERTON</t>
  </si>
  <si>
    <t xml:space="preserve">MAXION WHEELS SOUTH AFRICA PTY     </t>
  </si>
  <si>
    <t>MAXION WHEELS SOUTH AFRICA PTY</t>
  </si>
  <si>
    <t>NTOKOZO</t>
  </si>
  <si>
    <t>POD received from cell 0647581272 M</t>
  </si>
  <si>
    <t xml:space="preserve">BOWLER PLASTICS (PTY) LTD          </t>
  </si>
  <si>
    <t>BOWLER PLASTICS  PTY  LTD</t>
  </si>
  <si>
    <t>david</t>
  </si>
  <si>
    <t>Missed cutoff</t>
  </si>
  <si>
    <t>JLC</t>
  </si>
  <si>
    <t>POD received from cell 0617207568 M</t>
  </si>
  <si>
    <t xml:space="preserve">VICTORY ELECTRICAL CC              </t>
  </si>
  <si>
    <t>VICTORY ELECTRICAL CC</t>
  </si>
  <si>
    <t>sibusio</t>
  </si>
  <si>
    <t xml:space="preserve">ANG INDUSTRIAL SOLUTIONS PTY       </t>
  </si>
  <si>
    <t>ANG INDUSTRIAL SOLUTIONS</t>
  </si>
  <si>
    <t>Lucky</t>
  </si>
  <si>
    <t>POD received from cell 0791069864 M</t>
  </si>
  <si>
    <t>DURBA</t>
  </si>
  <si>
    <t>DURBAN</t>
  </si>
  <si>
    <t xml:space="preserve">BMG PINETOWN                       </t>
  </si>
  <si>
    <t>BMG PINETOWN</t>
  </si>
  <si>
    <t>vincent</t>
  </si>
  <si>
    <t>molatela</t>
  </si>
  <si>
    <t xml:space="preserve">BOX:CONT                      </t>
  </si>
  <si>
    <t xml:space="preserve">NATIONAL PACKAGING SYSTEMS         </t>
  </si>
  <si>
    <t>NATIONAL PACKAGING SYSTEMS</t>
  </si>
  <si>
    <t>bheki</t>
  </si>
  <si>
    <t>MALME</t>
  </si>
  <si>
    <t>MALMESBURY</t>
  </si>
  <si>
    <t xml:space="preserve">HYDROMATIC T A HEADLINE TRADIN     </t>
  </si>
  <si>
    <t>HYDROMATIC</t>
  </si>
  <si>
    <t>LOUIS</t>
  </si>
  <si>
    <t>POD received from cell 0714250117 M</t>
  </si>
  <si>
    <t>HEID2</t>
  </si>
  <si>
    <t>HEIDELBERG (TVL)</t>
  </si>
  <si>
    <t xml:space="preserve">BRITISH AMERICAN TOBACCO SA        </t>
  </si>
  <si>
    <t>BRITISH AMERICAN TOBACCO SA</t>
  </si>
  <si>
    <t xml:space="preserve">kedibone                      </t>
  </si>
  <si>
    <t xml:space="preserve">CLURE PROJECTS CC                  </t>
  </si>
  <si>
    <t>CLURE PROJECTS CC</t>
  </si>
  <si>
    <t>Nathan</t>
  </si>
  <si>
    <t>SOME2</t>
  </si>
  <si>
    <t>SOMERSET WEST</t>
  </si>
  <si>
    <t xml:space="preserve">GOSSAMER STRUCTURES LTD            </t>
  </si>
  <si>
    <t>GOSSAMER STRUCTURES LTD</t>
  </si>
  <si>
    <t>janine</t>
  </si>
  <si>
    <t>POD received from cell 0622930487 M</t>
  </si>
  <si>
    <t xml:space="preserve">ASTRATEK PROJECTS (PTY) LTD DU     </t>
  </si>
  <si>
    <t>ASTRATEK PROJECTS  PTY  LTD DU</t>
  </si>
  <si>
    <t>lerato</t>
  </si>
  <si>
    <t>POD received from cell 0665274072 M</t>
  </si>
  <si>
    <t xml:space="preserve">FLYTER                        </t>
  </si>
  <si>
    <t xml:space="preserve">EXCEL TOOLING                      </t>
  </si>
  <si>
    <t>EXCEL TOOLING</t>
  </si>
  <si>
    <t>gwen</t>
  </si>
  <si>
    <t>Kim</t>
  </si>
  <si>
    <t>POD received from cell 0612301350 M</t>
  </si>
  <si>
    <t xml:space="preserve">BMG ISANDO 0165                    </t>
  </si>
  <si>
    <t>BMG ISANDO</t>
  </si>
  <si>
    <t>Emmanuel</t>
  </si>
  <si>
    <t xml:space="preserve">BENTELER SOUTH AFRICA              </t>
  </si>
  <si>
    <t>BENTELER SOUTH AFRICA</t>
  </si>
  <si>
    <t>belloana</t>
  </si>
  <si>
    <t xml:space="preserve">RCL FOODS CONSUMER                 </t>
  </si>
  <si>
    <t>RCL FOODS CONSUMER</t>
  </si>
  <si>
    <t>sithe</t>
  </si>
  <si>
    <t xml:space="preserve">T   V HYDRAU-PNEUMATIC SOLUTIO     </t>
  </si>
  <si>
    <t>T   V HYDRAU-PNEUMATIC SOLUTIO</t>
  </si>
  <si>
    <t>justin</t>
  </si>
  <si>
    <t>UAT</t>
  </si>
  <si>
    <t>POD received from cell 0659756866 M</t>
  </si>
  <si>
    <t xml:space="preserve">MONDI SOUTH AFRICA PROPRIETARY     </t>
  </si>
  <si>
    <t>MONDI SOUTH AFRICA PROPRIETARY</t>
  </si>
  <si>
    <t>kwaxi</t>
  </si>
  <si>
    <t>Samuel</t>
  </si>
  <si>
    <t>SML BOX</t>
  </si>
  <si>
    <t>WORCE</t>
  </si>
  <si>
    <t>WORCESTER</t>
  </si>
  <si>
    <t xml:space="preserve">GRW ENGINEERING (PTY) LTD          </t>
  </si>
  <si>
    <t>GRW ENGINEERING  PTY  LTD</t>
  </si>
  <si>
    <t>Wendy</t>
  </si>
  <si>
    <t>POD received from cell 0786786237 M</t>
  </si>
  <si>
    <t xml:space="preserve">BAGTECH INTERNATIONAL PTY LTD      </t>
  </si>
  <si>
    <t>BAGTECH INTERNATIONAL</t>
  </si>
  <si>
    <t xml:space="preserve">wiseman                       </t>
  </si>
  <si>
    <t xml:space="preserve">POD received from cell 0780771530 M     </t>
  </si>
  <si>
    <t>BOX</t>
  </si>
  <si>
    <t>HOWIC</t>
  </si>
  <si>
    <t>HOWICK</t>
  </si>
  <si>
    <t xml:space="preserve">SPRING MEADOW DAIRY FARM (PTY)     </t>
  </si>
  <si>
    <t>SPRING MEADOW DAIRY FARM  PTY</t>
  </si>
  <si>
    <t>thobile</t>
  </si>
  <si>
    <t>POD received from cell 0791669409 M</t>
  </si>
  <si>
    <t xml:space="preserve">WASSERTEC OZONE SYSTEMS            </t>
  </si>
  <si>
    <t>WASSERTEC OZONE SYSTEMS</t>
  </si>
  <si>
    <t>maryin</t>
  </si>
  <si>
    <t>POD received from cell 0727759089 M</t>
  </si>
  <si>
    <t>Reshen</t>
  </si>
  <si>
    <t xml:space="preserve">TIGER BRANDS ( CHOCOLATE UNIT      </t>
  </si>
  <si>
    <t>TIGER BRANDS   CHOCOLATE UNIT</t>
  </si>
  <si>
    <t>kreola</t>
  </si>
  <si>
    <t>Late linehaul</t>
  </si>
  <si>
    <t>lev</t>
  </si>
  <si>
    <t>POD received from cell 0672223699 M</t>
  </si>
  <si>
    <t xml:space="preserve">TRUDA FOODS (PTY) LTD              </t>
  </si>
  <si>
    <t>TRUDA FOODS  PTY  LTD</t>
  </si>
  <si>
    <t>Chedza</t>
  </si>
  <si>
    <t>POD received from cell 0848417301 M</t>
  </si>
  <si>
    <t xml:space="preserve">DALEIN AGRI PLAN (PTY) LTD         </t>
  </si>
  <si>
    <t>DALEIN AGRI PLAN  PTY  LTD</t>
  </si>
  <si>
    <t>Niklas</t>
  </si>
  <si>
    <t>0186</t>
  </si>
  <si>
    <t>TONGA</t>
  </si>
  <si>
    <t>TONGAAT</t>
  </si>
  <si>
    <t xml:space="preserve">TONGAAT HULETT SUGAR FELIXTON      </t>
  </si>
  <si>
    <t>TONGAAT HULETT SUGAR FELIXTON</t>
  </si>
  <si>
    <t>msizi</t>
  </si>
  <si>
    <t>NTM</t>
  </si>
  <si>
    <t>POD received from cell 0661903076 M</t>
  </si>
  <si>
    <t xml:space="preserve">GENERAL  PNEUMATICS KZN            </t>
  </si>
  <si>
    <t>GENERAL PNEUMATICS</t>
  </si>
  <si>
    <t>ntokozo</t>
  </si>
  <si>
    <t xml:space="preserve">BOWLER PLASTICS (PTY) LTD PHIL     </t>
  </si>
  <si>
    <t>BOWLER PLASTICS  PTY  LTD PHIL</t>
  </si>
  <si>
    <t>Amanda</t>
  </si>
  <si>
    <t>POD received from cell 0679520811 M</t>
  </si>
  <si>
    <t xml:space="preserve">COMPRESSED AIR EQUIPMENT           </t>
  </si>
  <si>
    <t>COMPRESSED AIR EQUIPMENT</t>
  </si>
  <si>
    <t>deez</t>
  </si>
  <si>
    <t>POD received from cell 0658550146 M</t>
  </si>
  <si>
    <t>EAST</t>
  </si>
  <si>
    <t>EAST LONDON</t>
  </si>
  <si>
    <t xml:space="preserve">LINDE AND WIEMANN (PTY) LTD        </t>
  </si>
  <si>
    <t>LINDE AND WIEMANN  PTY  LTD</t>
  </si>
  <si>
    <t>Rebecca</t>
  </si>
  <si>
    <t>POD received from cell 0788915943 M</t>
  </si>
  <si>
    <t xml:space="preserve">DURR AFRICA PTY LTD CORPORATE      </t>
  </si>
  <si>
    <t>DURR AFRICA</t>
  </si>
  <si>
    <t>kerwin</t>
  </si>
  <si>
    <t xml:space="preserve">PSA TECHNOLOGY GROUP PTY LTD E     </t>
  </si>
  <si>
    <t>PSA TECHNOLOGY GROUP PTY LTD E</t>
  </si>
  <si>
    <t>Richard</t>
  </si>
  <si>
    <t>POD received from cell 0621494126 M</t>
  </si>
  <si>
    <t xml:space="preserve">BLACK SHEEP INDUSTRIES PTY LTD     </t>
  </si>
  <si>
    <t>BLACK SHEEP INDUSTRIES</t>
  </si>
  <si>
    <t>Will</t>
  </si>
  <si>
    <t>RANDB</t>
  </si>
  <si>
    <t>RANDBURG</t>
  </si>
  <si>
    <t xml:space="preserve">SASOL CHEMICALS A DIVISION OF      </t>
  </si>
  <si>
    <t>SASOL CHEMICALS A DIVISION OF</t>
  </si>
  <si>
    <t>kavenesu</t>
  </si>
  <si>
    <t>POD received from cell 0774119086 M</t>
  </si>
  <si>
    <t xml:space="preserve">PAARL PNEUMATICS CC                </t>
  </si>
  <si>
    <t>PAARL PNEUMATICS CC</t>
  </si>
  <si>
    <t>Clinton</t>
  </si>
  <si>
    <t>POD received from cell 0737996477 M</t>
  </si>
  <si>
    <t>LICHT</t>
  </si>
  <si>
    <t>LICHTENBURG</t>
  </si>
  <si>
    <t xml:space="preserve">JAPIE GODFREY    VESCOTECH         </t>
  </si>
  <si>
    <t>JAPIE GODFREY    VESCOTECH</t>
  </si>
  <si>
    <t>JAPIE</t>
  </si>
  <si>
    <t>POD received from cell 0637157213 M</t>
  </si>
  <si>
    <t>Ntokozo</t>
  </si>
  <si>
    <t xml:space="preserve">ACEPAK PACKAGING SYSTEMS UNIT      </t>
  </si>
  <si>
    <t>ACEPAK PACKAGING SYSTEMS UNIT</t>
  </si>
  <si>
    <t>KEAGAN</t>
  </si>
  <si>
    <t xml:space="preserve">THE SOUTH AFRICAN BREWERIES LT     </t>
  </si>
  <si>
    <t>THE SOUTH AFRICAN BREWERIES LT</t>
  </si>
  <si>
    <t>Cody</t>
  </si>
  <si>
    <t>LADYS</t>
  </si>
  <si>
    <t>LADYSMITH (NTL)</t>
  </si>
  <si>
    <t xml:space="preserve">LADYSMITH TRADING CC               </t>
  </si>
  <si>
    <t>LADYSMITH TRADING CC</t>
  </si>
  <si>
    <t>thulani</t>
  </si>
  <si>
    <t>POD received from cell 0662487527 M</t>
  </si>
  <si>
    <t xml:space="preserve">TONGAAT HULLETTS GROUP LTD T A     </t>
  </si>
  <si>
    <t>TONGAAT HULLETTS GROUP LTD T A</t>
  </si>
  <si>
    <t>nokusolo</t>
  </si>
  <si>
    <t xml:space="preserve">BULK TUB                      </t>
  </si>
  <si>
    <t xml:space="preserve">RCL FOODS CONSUMER (PTY) LTD M     </t>
  </si>
  <si>
    <t>RCL FOODS CONSUMER  PTY  LTD M</t>
  </si>
  <si>
    <t>David</t>
  </si>
  <si>
    <t xml:space="preserve">SHATTERPRUFE TRADING AS A DIV      </t>
  </si>
  <si>
    <t>SHATTERPRUFE TRADING AS A DIV</t>
  </si>
  <si>
    <t>yolanda</t>
  </si>
  <si>
    <t>aaron</t>
  </si>
  <si>
    <t xml:space="preserve">J.J PRECISION PLASTICS (PTY) L     </t>
  </si>
  <si>
    <t>J.J PRECISION PLASTICS  PTY  L</t>
  </si>
  <si>
    <t>siye</t>
  </si>
  <si>
    <t xml:space="preserve">ESKORT MEAT HEIDELBERG             </t>
  </si>
  <si>
    <t>ESKORT MEAT HEIDELBERG</t>
  </si>
  <si>
    <t xml:space="preserve">jester                        </t>
  </si>
  <si>
    <t xml:space="preserve">POD received from cell 0794504670 M     </t>
  </si>
  <si>
    <t>RANDF</t>
  </si>
  <si>
    <t>RANDFONTEIN</t>
  </si>
  <si>
    <t xml:space="preserve">TIGER CONSUMER BRANDS LTD          </t>
  </si>
  <si>
    <t>TIGER CONSUMER BRANDS LTD</t>
  </si>
  <si>
    <t xml:space="preserve">j jooste                      </t>
  </si>
  <si>
    <t xml:space="preserve">POD received from cell 0679017498 M     </t>
  </si>
  <si>
    <t xml:space="preserve">BEARING MAN GROUP PTY LTD          </t>
  </si>
  <si>
    <t>BEARING MAN GROUP</t>
  </si>
  <si>
    <t>jabu</t>
  </si>
  <si>
    <t>POD received from cell 0767738416 M</t>
  </si>
  <si>
    <t xml:space="preserve">CAVALETTO 98 (PTY) LTD T A PRO     </t>
  </si>
  <si>
    <t>CAVALETTO 98  PTY  LTD T A PRO</t>
  </si>
  <si>
    <t>saloshnee</t>
  </si>
  <si>
    <t>Remile</t>
  </si>
  <si>
    <t xml:space="preserve">ISANDO FOODS (PTY) LTD             </t>
  </si>
  <si>
    <t>ISANDO FOODS  PTY  LTD</t>
  </si>
  <si>
    <t>lucky</t>
  </si>
  <si>
    <t xml:space="preserve">CONTINENTAL TYRE SA                </t>
  </si>
  <si>
    <t>CONTINENTAL TYRE</t>
  </si>
  <si>
    <t>eric</t>
  </si>
  <si>
    <t xml:space="preserve">PALLET                        </t>
  </si>
  <si>
    <t xml:space="preserve">PATERSON HUGHES ENGINEERING        </t>
  </si>
  <si>
    <t>PATERSON HUGHES ENGINEERING</t>
  </si>
  <si>
    <t>POD received from cell 0761439478 M</t>
  </si>
  <si>
    <t xml:space="preserve">CYLINDER                      </t>
  </si>
  <si>
    <t>Nella</t>
  </si>
  <si>
    <t>miusen</t>
  </si>
  <si>
    <t>POD received from cell 0738745632 M</t>
  </si>
  <si>
    <t xml:space="preserve">FACTORY AUTOMATION AND ENGINEE     </t>
  </si>
  <si>
    <t>FACTORY AUTOMATION AND ENGINEE</t>
  </si>
  <si>
    <t>renelda</t>
  </si>
  <si>
    <t>POD received from cell 0765529777 M</t>
  </si>
  <si>
    <t>0017</t>
  </si>
  <si>
    <t xml:space="preserve">RA VERSPREIDERS - VESCOTECH        </t>
  </si>
  <si>
    <t>RA VERSPREIDERS - VESCOTECH</t>
  </si>
  <si>
    <t>Eugene</t>
  </si>
  <si>
    <t>POD received from cell 0649482691 M</t>
  </si>
  <si>
    <t xml:space="preserve">S4 INTEGRATION PTY LTD             </t>
  </si>
  <si>
    <t>S4 INTEGRATION PTY LTD</t>
  </si>
  <si>
    <t>Rico</t>
  </si>
  <si>
    <t>POD received from cell 0684745132 M</t>
  </si>
  <si>
    <t>BRIT1</t>
  </si>
  <si>
    <t>BRITS</t>
  </si>
  <si>
    <t xml:space="preserve">PLASTIC OMNIUM AUTO INERGY         </t>
  </si>
  <si>
    <t>PLASTIC OMNIUM AUTO INERGY</t>
  </si>
  <si>
    <t>Mohamed</t>
  </si>
  <si>
    <t>POD received from cell 0790934153 M</t>
  </si>
  <si>
    <t>0250</t>
  </si>
  <si>
    <t>Rubin</t>
  </si>
  <si>
    <t>POD received from cell 0842081067 M</t>
  </si>
  <si>
    <t xml:space="preserve">PARCELS                       </t>
  </si>
  <si>
    <t>isaacs</t>
  </si>
  <si>
    <t>JUH</t>
  </si>
  <si>
    <t>MIDD2</t>
  </si>
  <si>
    <t>MIDDELBURG (Mpumalanga)</t>
  </si>
  <si>
    <t xml:space="preserve">SUPPLYTECH (PTY) LTD               </t>
  </si>
  <si>
    <t>SUPPLYTECH  PTY  LTD</t>
  </si>
  <si>
    <t>KAYLA</t>
  </si>
  <si>
    <t>kwazi</t>
  </si>
  <si>
    <t xml:space="preserve">HACKMACK ENTERPRISES T A TECHN     </t>
  </si>
  <si>
    <t>HACKMACK ENTERPRISES</t>
  </si>
  <si>
    <t>jonathan</t>
  </si>
  <si>
    <t>POD received from cell 0780568122 M</t>
  </si>
  <si>
    <t xml:space="preserve">SCHULLPAK GAUTENG (PTY) LTD        </t>
  </si>
  <si>
    <t>SCHULLPAK GAUTENG  PTY  LTD</t>
  </si>
  <si>
    <t>Evans</t>
  </si>
  <si>
    <t>POD received from cell 0644108519 M</t>
  </si>
  <si>
    <t xml:space="preserve">ACK SOLUTIONS PTY LTD              </t>
  </si>
  <si>
    <t>ACK SOLUTIONS PTY LTD</t>
  </si>
  <si>
    <t>R Lodewyk</t>
  </si>
  <si>
    <t>jam</t>
  </si>
  <si>
    <t>ALVIN</t>
  </si>
  <si>
    <t xml:space="preserve">UMICORE CATALYST SA (PTY( LTD      </t>
  </si>
  <si>
    <t>UMICORE CATALYST SA  PTY  LTD</t>
  </si>
  <si>
    <t>PETER</t>
  </si>
  <si>
    <t xml:space="preserve">AECI MINING LTD                    </t>
  </si>
  <si>
    <t>ON2</t>
  </si>
  <si>
    <t>AECI MINING LTD    STEFANIE GR</t>
  </si>
  <si>
    <t>francina</t>
  </si>
  <si>
    <t>POD received from cell 0766412100 M</t>
  </si>
  <si>
    <t xml:space="preserve">LIQUI BOX PTY LTD                  </t>
  </si>
  <si>
    <t>LIQUI BOX PTY LTD</t>
  </si>
  <si>
    <t>Rafiek</t>
  </si>
  <si>
    <t>Ronaldo</t>
  </si>
  <si>
    <t>ATLAN</t>
  </si>
  <si>
    <t>ATLANTIS</t>
  </si>
  <si>
    <t xml:space="preserve">ZF PASSIVE SAFETY SOUTH AFRICA     </t>
  </si>
  <si>
    <t>ZF PASSIVE SAFETY SOUTH AFRICA</t>
  </si>
  <si>
    <t>JORYS</t>
  </si>
  <si>
    <t xml:space="preserve">INDIGO BRANDS (PTY) LTD            </t>
  </si>
  <si>
    <t>INDIGO BRANDS  PTY  LTD</t>
  </si>
  <si>
    <t>Matokazo</t>
  </si>
  <si>
    <t>jlc</t>
  </si>
  <si>
    <t xml:space="preserve">DELLTRA SOLUTIONS (PTY) LTD        </t>
  </si>
  <si>
    <t>DELLTRA SOLUTIONS  PTY  LTD</t>
  </si>
  <si>
    <t>RUBEN</t>
  </si>
  <si>
    <t>POD received from cell 0797790141 M</t>
  </si>
  <si>
    <t>themba</t>
  </si>
  <si>
    <t>SASOL</t>
  </si>
  <si>
    <t>SASOLBURG</t>
  </si>
  <si>
    <t xml:space="preserve">COREL INSTRUMENTATION   CONTRO     </t>
  </si>
  <si>
    <t>COREL INSTRUMENTATION   CONTRO</t>
  </si>
  <si>
    <t>benita</t>
  </si>
  <si>
    <t>POD received from cell 0781810800 M</t>
  </si>
  <si>
    <t>THE SOUTH AFRICAN BREWERIES</t>
  </si>
  <si>
    <t xml:space="preserve">Nadine                        </t>
  </si>
  <si>
    <t xml:space="preserve">POD received from cell 0711146140 M     </t>
  </si>
  <si>
    <t xml:space="preserve">EGLI PRECISION ENGINEERING PTY     </t>
  </si>
  <si>
    <t>EGLI PRECISION ENGINEERING PTY</t>
  </si>
  <si>
    <t>Mchaela</t>
  </si>
  <si>
    <t xml:space="preserve">YANFENG INTERNATIONAL AUTOMOTI     </t>
  </si>
  <si>
    <t>YANFENG INTERNATIONAL AUTOMATI</t>
  </si>
  <si>
    <t>wayne</t>
  </si>
  <si>
    <t xml:space="preserve">FORD MOTOR CO. SA MANUFACTURIN     </t>
  </si>
  <si>
    <t>FORD MOTOR CO. SA MANUFACTURIN</t>
  </si>
  <si>
    <t xml:space="preserve">Kurt                          </t>
  </si>
  <si>
    <t>GREYT</t>
  </si>
  <si>
    <t>GREYTOWN</t>
  </si>
  <si>
    <t xml:space="preserve">UCL COMPANY (PTY) LTD ATTN: MR     </t>
  </si>
  <si>
    <t>UCL COMPANY  PTY  LTD ATTN  MR</t>
  </si>
  <si>
    <t>dashen</t>
  </si>
  <si>
    <t>POD received from cell 0712723510 M</t>
  </si>
  <si>
    <t>SPRI3</t>
  </si>
  <si>
    <t>SPRINGS</t>
  </si>
  <si>
    <t xml:space="preserve">PFG BUILDING GLASS                 </t>
  </si>
  <si>
    <t>PFG BUILDING GLASS</t>
  </si>
  <si>
    <t>aleddies</t>
  </si>
  <si>
    <t>POD received from cell 0682194514 M</t>
  </si>
  <si>
    <t xml:space="preserve">BOX CRAT                      </t>
  </si>
  <si>
    <t>hazel</t>
  </si>
  <si>
    <t>Driver late</t>
  </si>
  <si>
    <t>jhb</t>
  </si>
  <si>
    <t xml:space="preserve">MCC LABEL PAARL SOUTH AFRICA P     </t>
  </si>
  <si>
    <t>MCC LABEL PAARL SOUTH AFRICA P</t>
  </si>
  <si>
    <t>Luzanne</t>
  </si>
  <si>
    <t xml:space="preserve">COMPRESSED AIR EQUIPMENT  JHB      </t>
  </si>
  <si>
    <t>lorenzo</t>
  </si>
  <si>
    <t xml:space="preserve">THE SOUTH AFRICA BREWERIES LTD     </t>
  </si>
  <si>
    <t>THE SOUTH AFRICA BREWERIES LTD</t>
  </si>
  <si>
    <t xml:space="preserve">PRO PROJECT MACHINERY PTY LTD      </t>
  </si>
  <si>
    <t>PRO PROJECT MACHINERY PTY LTD</t>
  </si>
  <si>
    <t xml:space="preserve">Juan                          </t>
  </si>
  <si>
    <t xml:space="preserve">POD received from cell 0612301350 M     </t>
  </si>
  <si>
    <t xml:space="preserve">ABF SUGAR (PTY) LTD- NCHALO ME     </t>
  </si>
  <si>
    <t>ABF SUGAR  PTY  LTD- NCHALO ME</t>
  </si>
  <si>
    <t>patrick</t>
  </si>
  <si>
    <t>POTCH</t>
  </si>
  <si>
    <t>POTCHEFSTROOM</t>
  </si>
  <si>
    <t xml:space="preserve">VESCOTECH                          </t>
  </si>
  <si>
    <t>VESCOTECH</t>
  </si>
  <si>
    <t>Trymore</t>
  </si>
  <si>
    <t>POD received from cell 0733833839 M</t>
  </si>
  <si>
    <t xml:space="preserve">AMSN INDUSTRIAL SUPPLIES (PTY)     </t>
  </si>
  <si>
    <t>AMSN INDUSTRIAL SUPPLIES  PTY</t>
  </si>
  <si>
    <t>lolitha</t>
  </si>
  <si>
    <t xml:space="preserve">POLYOAK PACKAGING (PTY) LTD DI     </t>
  </si>
  <si>
    <t>POLYOAK PACKAGING  PTY  LTD DI</t>
  </si>
  <si>
    <t>Tamaryn</t>
  </si>
  <si>
    <t>POD received from cell 0792230061 M</t>
  </si>
  <si>
    <t>pesty</t>
  </si>
  <si>
    <t xml:space="preserve">DIYA VALVES INTERNATIONAL CC       </t>
  </si>
  <si>
    <t>DIYA VALVES INTERNATIONAL CC</t>
  </si>
  <si>
    <t xml:space="preserve">  Tim                         </t>
  </si>
  <si>
    <t xml:space="preserve">POD received from cell 0782274968 M     </t>
  </si>
  <si>
    <t>KINGW</t>
  </si>
  <si>
    <t>KINGWILLIAMSTOWN</t>
  </si>
  <si>
    <t xml:space="preserve">MA AUTOMOTIVE BERLIN (PTY) LTD     </t>
  </si>
  <si>
    <t>MA AUTOMOTIVE BERLIN  PTY  LTD</t>
  </si>
  <si>
    <t>khanyiso</t>
  </si>
  <si>
    <t xml:space="preserve">HUHTAMAKI DIV FLEXIBLE             </t>
  </si>
  <si>
    <t>HUHTAMAKI DIV FLEXIBLE</t>
  </si>
  <si>
    <t>Thulani</t>
  </si>
  <si>
    <t>POD received from cell 0715155602 M</t>
  </si>
  <si>
    <t xml:space="preserve">CONRO PRECISION                    </t>
  </si>
  <si>
    <t>CONRO PRECISION</t>
  </si>
  <si>
    <t>Kevin</t>
  </si>
  <si>
    <t>Johnny</t>
  </si>
  <si>
    <t xml:space="preserve">ULTRA FOOD INNOVATIONS PTY LTD     </t>
  </si>
  <si>
    <t>ULTRA FOOD INNOVATIONS PTY LTD</t>
  </si>
  <si>
    <t>alex</t>
  </si>
  <si>
    <t>POD received from cell 0810518321 M</t>
  </si>
  <si>
    <t xml:space="preserve">will                          </t>
  </si>
  <si>
    <t xml:space="preserve">POD received from cell 0814739791 M     </t>
  </si>
  <si>
    <t xml:space="preserve">BMG BELLVILLE (PTY) LTD 0120       </t>
  </si>
  <si>
    <t>BMG BELLVILLE  PTY  LTD 0120</t>
  </si>
  <si>
    <t>ntembeko</t>
  </si>
  <si>
    <t>POD received from cell 0746644640 M</t>
  </si>
  <si>
    <t>HUMAN</t>
  </si>
  <si>
    <t>HUMANSDORP</t>
  </si>
  <si>
    <t xml:space="preserve">WOODLANDS DAIRY PTY LTD            </t>
  </si>
  <si>
    <t>WOODLANDS DAIRY</t>
  </si>
  <si>
    <t>Amor</t>
  </si>
  <si>
    <t>POD received from cell 0694933966 M</t>
  </si>
  <si>
    <t xml:space="preserve">LEVEL PRODUCTS CC RUSTIVIA         </t>
  </si>
  <si>
    <t>LEVEL PRODUCTS CC RUSTIVIA</t>
  </si>
  <si>
    <t>T davis</t>
  </si>
  <si>
    <t xml:space="preserve">SNEAKER SNACKS CC                  </t>
  </si>
  <si>
    <t>SNEAKER SNACKS CC</t>
  </si>
  <si>
    <t>Llewellyn</t>
  </si>
  <si>
    <t>PIET</t>
  </si>
  <si>
    <t>PIET RETIEF</t>
  </si>
  <si>
    <t xml:space="preserve">HCH ELECTRIC CC                    </t>
  </si>
  <si>
    <t>HCH ELECTRIC CC</t>
  </si>
  <si>
    <t>r  c  lsaacs</t>
  </si>
  <si>
    <t>POD received from cell 0832048163 M</t>
  </si>
  <si>
    <t xml:space="preserve">CAPE GATE (PTY) LTD                </t>
  </si>
  <si>
    <t>CAPE GATE  PTY  LTD</t>
  </si>
  <si>
    <t>T J Keelet</t>
  </si>
  <si>
    <t>peter</t>
  </si>
  <si>
    <t xml:space="preserve">CSM BEARING   PNEUMATIC SUP (P     </t>
  </si>
  <si>
    <t>CSM BEARING   PNEUMATIC SUP  P</t>
  </si>
  <si>
    <t>Marcel</t>
  </si>
  <si>
    <t>0002</t>
  </si>
  <si>
    <t>Marcell</t>
  </si>
  <si>
    <t xml:space="preserve">STAR HYDRAULICS   PNEUMATICS C     </t>
  </si>
  <si>
    <t>STAR HYDRAULICS   PNEUMATICS C</t>
  </si>
  <si>
    <t>Godfrey</t>
  </si>
  <si>
    <t>POD received from cell 0658000098 M</t>
  </si>
  <si>
    <t xml:space="preserve">BMG EAST LONDON                    </t>
  </si>
  <si>
    <t>BMG EAST LONDON</t>
  </si>
  <si>
    <t>sipho</t>
  </si>
  <si>
    <t>Gwen</t>
  </si>
  <si>
    <t xml:space="preserve">FESTO PORT ELIZABETH               </t>
  </si>
  <si>
    <t>JANSE VAN RENSBURG</t>
  </si>
  <si>
    <t xml:space="preserve">larietta                      </t>
  </si>
  <si>
    <t xml:space="preserve">FESTO CAPE TOWN OFFICE             </t>
  </si>
  <si>
    <t>FESTO CAPE TOWN OFFICE</t>
  </si>
  <si>
    <t>Hugo</t>
  </si>
  <si>
    <t>POD received from cell 0761265903 M</t>
  </si>
  <si>
    <t>MIDRA</t>
  </si>
  <si>
    <t>MIDRAND</t>
  </si>
  <si>
    <t xml:space="preserve">LÓREAL MANUFACTURING PTY LTD       </t>
  </si>
  <si>
    <t>LÓREAL MANUFACTURING</t>
  </si>
  <si>
    <t>Nthabiseng</t>
  </si>
  <si>
    <t>ATH</t>
  </si>
  <si>
    <t>POD received from cell 0658308170 M</t>
  </si>
  <si>
    <t xml:space="preserve">HEINEKEN BEVERAGES SA (PTY) LT     </t>
  </si>
  <si>
    <t>HEINEKEN BEVERAGES SA  PTY  LT</t>
  </si>
  <si>
    <t>Cecilia</t>
  </si>
  <si>
    <t>POD received from cell 0606746779 M</t>
  </si>
  <si>
    <t xml:space="preserve">H.G MOLENAAR (PTY) LTD             </t>
  </si>
  <si>
    <t>H.G MOLENAAR  PTY  LTD</t>
  </si>
  <si>
    <t>Gavin</t>
  </si>
  <si>
    <t xml:space="preserve">FESTO DURBAN  SUITE 107A           </t>
  </si>
  <si>
    <t>FESTO DURBAN  SUITE 107A</t>
  </si>
  <si>
    <t xml:space="preserve">Lawrence                      </t>
  </si>
  <si>
    <t xml:space="preserve">POD received from cell 0747980518 M     </t>
  </si>
  <si>
    <t xml:space="preserve">MA AUTOMOTIVE TOOL   DIE  (PTY     </t>
  </si>
  <si>
    <t>MA AUTOMOTIVE TOOL   DIE   PTY</t>
  </si>
  <si>
    <t>Floyd</t>
  </si>
  <si>
    <t xml:space="preserve">LAMBDA AUTOMATION (PTY) LTD        </t>
  </si>
  <si>
    <t>LAMBDA AUTOMATION  PTY  LTD</t>
  </si>
  <si>
    <t>Sammy</t>
  </si>
  <si>
    <t>POD received from cell 0751320604 M</t>
  </si>
  <si>
    <t>Azola</t>
  </si>
  <si>
    <t xml:space="preserve">ADP MARINE   MODULAR (PTY) LTD     </t>
  </si>
  <si>
    <t>ADP MARINE   MODULAR  PTY  LTD</t>
  </si>
  <si>
    <t>Ruth</t>
  </si>
  <si>
    <t>POD received from cell 0720194745 M</t>
  </si>
  <si>
    <t xml:space="preserve">EPIROC DRILLING TOOLS NUFFIELD     </t>
  </si>
  <si>
    <t>EPIROC DRILLING TOOLS NUFFIELD</t>
  </si>
  <si>
    <t>Connie</t>
  </si>
  <si>
    <t>lucul</t>
  </si>
  <si>
    <t>japie</t>
  </si>
  <si>
    <t xml:space="preserve">SYSTEMS AUTOMATION MANAGEMENT      </t>
  </si>
  <si>
    <t>SYSTEMS AUTOMATION MANAGEMENT</t>
  </si>
  <si>
    <t>shantel</t>
  </si>
  <si>
    <t xml:space="preserve">ACCUTECH WEIGHING SERVICES PTY     </t>
  </si>
  <si>
    <t>ACCUTECH WEIGHING SERVICES PTY</t>
  </si>
  <si>
    <t>Sandra</t>
  </si>
  <si>
    <t>POD received from cell 0720457394 M</t>
  </si>
  <si>
    <t xml:space="preserve">FEDERAL MOGUL ENGINE BEARINGS      </t>
  </si>
  <si>
    <t>FEDERAL MOGUL ENGINE BEARINGS</t>
  </si>
  <si>
    <t>emmanuel</t>
  </si>
  <si>
    <t>CASSIUM</t>
  </si>
  <si>
    <t xml:space="preserve">noma                          </t>
  </si>
  <si>
    <t xml:space="preserve">POD received from cell 0658550146 M     </t>
  </si>
  <si>
    <t xml:space="preserve">GENERAL  PNEUMATICS                </t>
  </si>
  <si>
    <t>GENERAL  PNEUMATICS</t>
  </si>
  <si>
    <t xml:space="preserve">lion                          </t>
  </si>
  <si>
    <t xml:space="preserve">POD received from cell 0774119086 M     </t>
  </si>
  <si>
    <t xml:space="preserve">POLAR ICE CREAM EPPING INDUSTR     </t>
  </si>
  <si>
    <t>POLAR ICE CREAM EPPING INDUSTR</t>
  </si>
  <si>
    <t>Robin</t>
  </si>
  <si>
    <t>FAUR1</t>
  </si>
  <si>
    <t>FAURE</t>
  </si>
  <si>
    <t xml:space="preserve">INDECON CC FIRGROVE                </t>
  </si>
  <si>
    <t>INDECON CC FIRGROVE</t>
  </si>
  <si>
    <t>A  nel</t>
  </si>
  <si>
    <t>POD received from cell 0673277989 M</t>
  </si>
  <si>
    <t>STILF</t>
  </si>
  <si>
    <t>STILFONTEIN</t>
  </si>
  <si>
    <t xml:space="preserve">PRIME INSTRUMENTATION CC           </t>
  </si>
  <si>
    <t>PRIME INSTRUMENTATION CC</t>
  </si>
  <si>
    <t>Christiaan</t>
  </si>
  <si>
    <t>POD received from cell 0764112218 M</t>
  </si>
  <si>
    <t xml:space="preserve">ILLOVO SUGAR                       </t>
  </si>
  <si>
    <t>ILLOVO SUGAR</t>
  </si>
  <si>
    <t>POD received from cell 0658421544 M</t>
  </si>
  <si>
    <t>POD received from cell 0767196058 M</t>
  </si>
  <si>
    <t xml:space="preserve">RCL GROUP SERVICES PTY LTD         </t>
  </si>
  <si>
    <t>RCL GROUP SERVICES</t>
  </si>
  <si>
    <t>brain</t>
  </si>
  <si>
    <t>POD received from cell 0679017498 M</t>
  </si>
  <si>
    <t xml:space="preserve">MEXAN PRODUCTS (PTY) LTD           </t>
  </si>
  <si>
    <t>MEXAN PRODUCTS  PTY  LTD</t>
  </si>
  <si>
    <t>Diyar</t>
  </si>
  <si>
    <t>warrick</t>
  </si>
  <si>
    <t xml:space="preserve">CSM ENGINEERING CC                 </t>
  </si>
  <si>
    <t>CSM ENGINEERING CC</t>
  </si>
  <si>
    <t>udo</t>
  </si>
  <si>
    <t xml:space="preserve">KRUGER DUXBURY SOLUTION            </t>
  </si>
  <si>
    <t>KRUGER DUXBURY SOLUTION    T A</t>
  </si>
  <si>
    <t xml:space="preserve">zikhona                       </t>
  </si>
  <si>
    <t>Zithembiso</t>
  </si>
  <si>
    <t xml:space="preserve">BMG PORT ELIZABETH                 </t>
  </si>
  <si>
    <t>BMG PORT ELIZABETH</t>
  </si>
  <si>
    <t>Simphiwe</t>
  </si>
  <si>
    <t>STEL2</t>
  </si>
  <si>
    <t>STELLENBOSCH</t>
  </si>
  <si>
    <t xml:space="preserve">TF DESIGN PTY LTD                  </t>
  </si>
  <si>
    <t>TF DESIGN</t>
  </si>
  <si>
    <t>divaan</t>
  </si>
  <si>
    <t>POD received from cell 0678518887 M</t>
  </si>
  <si>
    <t xml:space="preserve">ARDAGH GLASS PACKAGING SOUTH A     </t>
  </si>
  <si>
    <t>ARDAGH GLASS PACKAGING SOUTH A</t>
  </si>
  <si>
    <t>sthabile</t>
  </si>
  <si>
    <t>POD received from cell 0833616148 M</t>
  </si>
  <si>
    <t xml:space="preserve">percy                         </t>
  </si>
  <si>
    <t xml:space="preserve">MULTIPHIX PTY LTD                  </t>
  </si>
  <si>
    <t>MULTIPHIX PTY LTD</t>
  </si>
  <si>
    <t>rejoke</t>
  </si>
  <si>
    <t>nch</t>
  </si>
  <si>
    <t>msomi</t>
  </si>
  <si>
    <t>POD received from cell 0764180934 M</t>
  </si>
  <si>
    <t>cebo</t>
  </si>
  <si>
    <t xml:space="preserve">SHIFT-ID (PTY) LTD FALCON PARK     </t>
  </si>
  <si>
    <t>SHIFT-ID  PTY  LTD FALCON PARK</t>
  </si>
  <si>
    <t>penny</t>
  </si>
  <si>
    <t xml:space="preserve">FAURECIA EMISIONS CONTROL TECH     </t>
  </si>
  <si>
    <t>FAURECIA EMISIONS CONTROL TECH</t>
  </si>
  <si>
    <t>shawn</t>
  </si>
  <si>
    <t xml:space="preserve">OX2AFRICA (PTY) LTD AIRPORT IN     </t>
  </si>
  <si>
    <t>OX2AFRICA  PTY  LTD AIRPORT IN</t>
  </si>
  <si>
    <t>POD received from cell 0652659465 M</t>
  </si>
  <si>
    <t>SECUN</t>
  </si>
  <si>
    <t>SECUNDA</t>
  </si>
  <si>
    <t xml:space="preserve">SASOL SYNFUELS VAT REG: 438010     </t>
  </si>
  <si>
    <t>SASOL SYNFUELS VAT REG  438010</t>
  </si>
  <si>
    <t>MANANA</t>
  </si>
  <si>
    <t xml:space="preserve">UNILEVER SOUTH AFRICA PTY NLTD     </t>
  </si>
  <si>
    <t>UNILEVER SOUTH AFRICA</t>
  </si>
  <si>
    <t>PHINDA</t>
  </si>
  <si>
    <t>POD received from cell 0661437222 M</t>
  </si>
  <si>
    <t xml:space="preserve">MAHLE BEHR SOUTH AFRICA PTY LT     </t>
  </si>
  <si>
    <t>MAHLE BEHR S.A</t>
  </si>
  <si>
    <t>nokuthula</t>
  </si>
  <si>
    <t xml:space="preserve">NESTLE SOUTH AFRICA PTY LTD        </t>
  </si>
  <si>
    <t>NESTLE SOUTH AFRICA PTY LTD</t>
  </si>
  <si>
    <t>YANGA</t>
  </si>
  <si>
    <t xml:space="preserve">MDW PNEUMATIC TRADING PTY LTD      </t>
  </si>
  <si>
    <t>MDW PNEUMATIC TRADING PTY LTD</t>
  </si>
  <si>
    <t>gilto</t>
  </si>
  <si>
    <t>POD received from cell 0661618209 M</t>
  </si>
  <si>
    <t>SBONGISENI</t>
  </si>
  <si>
    <t>Llewlly</t>
  </si>
  <si>
    <t xml:space="preserve">FOODCORP (PTY) LTD  CHARLOTTE      </t>
  </si>
  <si>
    <t>FOODCORP  PTY  LTD  CHARLOTTE</t>
  </si>
  <si>
    <t>Botes</t>
  </si>
  <si>
    <t>0183</t>
  </si>
  <si>
    <t>kyne</t>
  </si>
  <si>
    <t xml:space="preserve">CHW DESIGN CC DURBANVILLE          </t>
  </si>
  <si>
    <t>CHW DESIGN CC DURBANVILLE</t>
  </si>
  <si>
    <t>shida</t>
  </si>
  <si>
    <t>jon</t>
  </si>
  <si>
    <t>POD received from cell 0842084217 M</t>
  </si>
  <si>
    <t>BRONK</t>
  </si>
  <si>
    <t>BRONKHORSTSPRUIT</t>
  </si>
  <si>
    <t xml:space="preserve">SASOL DYNO NOBEL (PTY) LTD         </t>
  </si>
  <si>
    <t>SASOL DYNO NOBEL  PTY  LTD</t>
  </si>
  <si>
    <t>Leacky</t>
  </si>
  <si>
    <t>POD received from cell 0635405678 M</t>
  </si>
  <si>
    <t>ezise</t>
  </si>
  <si>
    <t xml:space="preserve">DEVCOTECH ELECTRICAL ENGINEERI     </t>
  </si>
  <si>
    <t>DEVCOTECH ELECTRICAL ENGINEERI</t>
  </si>
  <si>
    <t>Alister</t>
  </si>
  <si>
    <t>JAPIE GODFREY</t>
  </si>
  <si>
    <t>POD received from cell 0827630425 M</t>
  </si>
  <si>
    <t xml:space="preserve">GRANROTH (PTY) LTD                 </t>
  </si>
  <si>
    <t>GRANROTH  PTY  LTD</t>
  </si>
  <si>
    <t>brad</t>
  </si>
  <si>
    <t xml:space="preserve">MICROMATH TRADING 168 T A PROT     </t>
  </si>
  <si>
    <t>MICROMATH TRADING 168 T A PROT</t>
  </si>
  <si>
    <t>Max</t>
  </si>
  <si>
    <t>kurt</t>
  </si>
  <si>
    <t xml:space="preserve">RICH PRODUCTS CORP OF SOUTH AF     </t>
  </si>
  <si>
    <t>RICH PRODUCTS CORP OF SOUTH AF</t>
  </si>
  <si>
    <t>golden</t>
  </si>
  <si>
    <t>POD received from cell 0825419099 M</t>
  </si>
  <si>
    <t xml:space="preserve">BMW SOUTH AFRICA                   </t>
  </si>
  <si>
    <t>BMW</t>
  </si>
  <si>
    <t>Themba</t>
  </si>
  <si>
    <t xml:space="preserve">DC MEAT WHOLESALERS CC             </t>
  </si>
  <si>
    <t>DC MEAT WHOLESALERS CC</t>
  </si>
  <si>
    <t>Natasha</t>
  </si>
  <si>
    <t xml:space="preserve">REBUS INDUSTRIAL CONTROLS          </t>
  </si>
  <si>
    <t>REBUS INDUSTRIAL CONTROLS</t>
  </si>
  <si>
    <t>Dave</t>
  </si>
  <si>
    <t xml:space="preserve">HYDRAULIC AND PNEUMATIC HUB        </t>
  </si>
  <si>
    <t>HYDRAULIC AND PNEUMATIC HUB</t>
  </si>
  <si>
    <t>signature</t>
  </si>
  <si>
    <t>POD received from cell 0657463931 M</t>
  </si>
  <si>
    <t>struan</t>
  </si>
  <si>
    <t xml:space="preserve">AVION EAST RAND (PTY) LTD          </t>
  </si>
  <si>
    <t>AVION EAST RAND</t>
  </si>
  <si>
    <t xml:space="preserve">Rubim                         </t>
  </si>
  <si>
    <t xml:space="preserve">POD received from cell 0817257646 M     </t>
  </si>
  <si>
    <t>POD received from cell 0692632913 M</t>
  </si>
  <si>
    <t>micheal</t>
  </si>
  <si>
    <t>POD received from cell 0814478692 M</t>
  </si>
  <si>
    <t>ISITH</t>
  </si>
  <si>
    <t>ISITHEBE</t>
  </si>
  <si>
    <t xml:space="preserve">KIC SA PTY LTD                     </t>
  </si>
  <si>
    <t>KIC SA PTY LTD</t>
  </si>
  <si>
    <t>Eric</t>
  </si>
  <si>
    <t>POD received from cell 0762223642 M</t>
  </si>
  <si>
    <t xml:space="preserve">HULAMIN OPERATIONS (PTY) LTD       </t>
  </si>
  <si>
    <t>HULAMIN OPERATIONS  PTY  LTD</t>
  </si>
  <si>
    <t>Chris</t>
  </si>
  <si>
    <t xml:space="preserve">QUALIPAK (PTY) LTD                 </t>
  </si>
  <si>
    <t>QUALIPAK  PTY  LTD</t>
  </si>
  <si>
    <t>Jamie</t>
  </si>
  <si>
    <t xml:space="preserve">POLYOAK PACKAGING (PTY) LTD KZ     </t>
  </si>
  <si>
    <t>POLYOAK PACKAGING  PTY  LTD KZ</t>
  </si>
  <si>
    <t>dolly</t>
  </si>
  <si>
    <t xml:space="preserve">ACEPAK PACKAGING SYSTEMS           </t>
  </si>
  <si>
    <t>ACEPAK PACKAGING SYSTEMS</t>
  </si>
  <si>
    <t xml:space="preserve">NECSA ECO-INDUSTRIAL PARK          </t>
  </si>
  <si>
    <t>NECSA PELINDABA</t>
  </si>
  <si>
    <t>Cyril</t>
  </si>
  <si>
    <t>POD received from cell 0848635799 M</t>
  </si>
  <si>
    <t>NIGEL</t>
  </si>
  <si>
    <t xml:space="preserve">M   C BEARINGS AND TRANSMISSIO     </t>
  </si>
  <si>
    <t>M   C BEARINGS AND TRANSMISSIO</t>
  </si>
  <si>
    <t>Priscilla</t>
  </si>
  <si>
    <t>POD received from cell 0794504670 M</t>
  </si>
  <si>
    <t>ROODE</t>
  </si>
  <si>
    <t>ROODEPOORT</t>
  </si>
  <si>
    <t xml:space="preserve">I AM AUTOMATION                    </t>
  </si>
  <si>
    <t>I AM AUTOMATION</t>
  </si>
  <si>
    <t xml:space="preserve">Eimarie                       </t>
  </si>
  <si>
    <t xml:space="preserve">POD received from cell 0649972585 M     </t>
  </si>
  <si>
    <t xml:space="preserve">UNIVERSAL AUTOMATED SYSTEMS (P     </t>
  </si>
  <si>
    <t>UNIVERSAL AUTOMATED SYSTEMS  P</t>
  </si>
  <si>
    <t xml:space="preserve">kobu                          </t>
  </si>
  <si>
    <t xml:space="preserve">POD received from cell 0785995125 M     </t>
  </si>
  <si>
    <t xml:space="preserve">A Steffans                    </t>
  </si>
  <si>
    <t xml:space="preserve">POD received from cell 0608104719 M     </t>
  </si>
  <si>
    <t xml:space="preserve">RFG FOODS (PTY) LTD                </t>
  </si>
  <si>
    <t>RFG FOODS  PTY  LTD</t>
  </si>
  <si>
    <t>LUFUNO</t>
  </si>
  <si>
    <t>Busiswa</t>
  </si>
  <si>
    <t xml:space="preserve">BIZ AFRIKA 925 (PTY) LTD           </t>
  </si>
  <si>
    <t>BIZ AFRIKA 925  PTY  LTD</t>
  </si>
  <si>
    <t>Julian</t>
  </si>
  <si>
    <t>POD received from cell 0721074601 M</t>
  </si>
  <si>
    <t xml:space="preserve">NATIONAL BRANDS LIMITED  ROSSL     </t>
  </si>
  <si>
    <t>NATIONAL BRANDS LIMITED ROSSLY</t>
  </si>
  <si>
    <t>Daniel</t>
  </si>
  <si>
    <t>larietta</t>
  </si>
  <si>
    <t xml:space="preserve">NON FERROUS METAL WORKS S.A        </t>
  </si>
  <si>
    <t>NON FERROUS METAL WORKS S.A</t>
  </si>
  <si>
    <t>thqbani</t>
  </si>
  <si>
    <t xml:space="preserve">FLSMIDTH SOUTH AFRICA PTY LTD      </t>
  </si>
  <si>
    <t>FLSMIDTH SOUTH AFRICA PTY LTD</t>
  </si>
  <si>
    <t>Goodman</t>
  </si>
  <si>
    <t>GONUB</t>
  </si>
  <si>
    <t>GONUBIE</t>
  </si>
  <si>
    <t xml:space="preserve">TITUS CONSULTING CC                </t>
  </si>
  <si>
    <t>TITUS CONSULTING CC</t>
  </si>
  <si>
    <t>KURT</t>
  </si>
  <si>
    <t>POD received from cell 0645575004 M</t>
  </si>
  <si>
    <t>mary</t>
  </si>
  <si>
    <t xml:space="preserve">ROCBOLT TECHNOLOGIES PTY LTD       </t>
  </si>
  <si>
    <t>ROCBOLT TECHNOLOGIES</t>
  </si>
  <si>
    <t xml:space="preserve">oorloa                        </t>
  </si>
  <si>
    <t xml:space="preserve">POD received from cell 0767760303 M     </t>
  </si>
  <si>
    <t>RCL GROUP SERVICES PTY LTD</t>
  </si>
  <si>
    <t>MPHO</t>
  </si>
  <si>
    <t>POD received from cell 0715414711 M</t>
  </si>
  <si>
    <t>SIYABONGA</t>
  </si>
  <si>
    <t>SAB</t>
  </si>
  <si>
    <t>jomo</t>
  </si>
  <si>
    <t xml:space="preserve">POLYOAK PACKAGING PTY LTD AERO     </t>
  </si>
  <si>
    <t>POLYOAK PACKAGING PTY LTD AERO</t>
  </si>
  <si>
    <t>Bytel</t>
  </si>
  <si>
    <t xml:space="preserve">A.P.L CARTONS                      </t>
  </si>
  <si>
    <t>A.P.L CARTONS</t>
  </si>
  <si>
    <t>Stacie</t>
  </si>
  <si>
    <t>STORE MANAGER</t>
  </si>
  <si>
    <t>Jonny</t>
  </si>
  <si>
    <t>kameshan</t>
  </si>
  <si>
    <t>Japie</t>
  </si>
  <si>
    <t>Sphamandla</t>
  </si>
  <si>
    <t xml:space="preserve">TEC SOUTH AND CENTRAL AFRICA       </t>
  </si>
  <si>
    <t>TEC SOUTH AND CENTRAL AFRICA</t>
  </si>
  <si>
    <t>Teballo</t>
  </si>
  <si>
    <t>Tarryn</t>
  </si>
  <si>
    <t xml:space="preserve">Hackmack Enterprises               </t>
  </si>
  <si>
    <t xml:space="preserve">FESTO                              </t>
  </si>
  <si>
    <t>Please take a flyer</t>
  </si>
  <si>
    <t>GIFT</t>
  </si>
  <si>
    <t>Theo Venter</t>
  </si>
  <si>
    <t>Robby</t>
  </si>
  <si>
    <t>Solenoid Valve</t>
  </si>
  <si>
    <t xml:space="preserve">PE HYDRAULICS   PNEUMATICS         </t>
  </si>
  <si>
    <t>PE HYDRAULICS   PNEUMATICS</t>
  </si>
  <si>
    <t>s  yosun</t>
  </si>
  <si>
    <t xml:space="preserve">UNIVERSAL AUTOMATION SYSTEMS P     </t>
  </si>
  <si>
    <t xml:space="preserve">karen                         </t>
  </si>
  <si>
    <t>POD received from cell 0767994841 M</t>
  </si>
  <si>
    <t xml:space="preserve">SML BOX:                      </t>
  </si>
  <si>
    <t>s wright</t>
  </si>
  <si>
    <t>POD received from cell 0794447355 M</t>
  </si>
  <si>
    <t>NTENSEVO</t>
  </si>
  <si>
    <t>Juan</t>
  </si>
  <si>
    <t xml:space="preserve">UV+IR ENGINEERING (PTY) LTD        </t>
  </si>
  <si>
    <t>UVIR ENGINEERING  PTY  LTD</t>
  </si>
  <si>
    <t>Tyler</t>
  </si>
  <si>
    <t xml:space="preserve">EAST RAND HYDRAULIC                </t>
  </si>
  <si>
    <t>EAST RAND HYDRAULIC</t>
  </si>
  <si>
    <t>MANNY</t>
  </si>
  <si>
    <t>ILLEG</t>
  </si>
  <si>
    <t>Tshepo</t>
  </si>
  <si>
    <t>Vusi</t>
  </si>
  <si>
    <t xml:space="preserve">DANONE SOUTHERN AFRICA PTY LTD     </t>
  </si>
  <si>
    <t>DANONE SOUTHERN AFRICA PTY LTD</t>
  </si>
  <si>
    <t>Philippines</t>
  </si>
  <si>
    <t>amt</t>
  </si>
  <si>
    <t>POD received from cell 0660630212 M</t>
  </si>
  <si>
    <t xml:space="preserve">ROBOTIC HANDLING SYSTEMS CC        </t>
  </si>
  <si>
    <t>ROBOTIC HANDLING SYSTEMS CC</t>
  </si>
  <si>
    <t>Alfred</t>
  </si>
  <si>
    <t xml:space="preserve">NNOVATIVE AUTOMATION PTY LTD R     </t>
  </si>
  <si>
    <t>NNOVATIVE AUTOMATION PTY LTD R</t>
  </si>
  <si>
    <t>lwazi</t>
  </si>
  <si>
    <t xml:space="preserve">VOLKSWAGEN OF SA (PTY) LTD         </t>
  </si>
  <si>
    <t>TRUCK COLLECTION FOR POWER PACK DAMAGED</t>
  </si>
  <si>
    <t>Christopher Houlie</t>
  </si>
  <si>
    <t>RABBY</t>
  </si>
  <si>
    <t>BRAKP</t>
  </si>
  <si>
    <t>BRAKPAN</t>
  </si>
  <si>
    <t xml:space="preserve">JACO BRITS(CONTRACTS ADMIN)        </t>
  </si>
  <si>
    <t>0824691070 0117421003 EXT1663</t>
  </si>
  <si>
    <t>JACO BRITS</t>
  </si>
  <si>
    <t>POD received from cell 0712942173 M</t>
  </si>
  <si>
    <t xml:space="preserve">OPTIMECH ENGINEERING SOLUTIONS     </t>
  </si>
  <si>
    <t>OPTIMECH ENGINEERING SOLUTIONS</t>
  </si>
  <si>
    <t>ROLLIN</t>
  </si>
  <si>
    <t>POD received from cell 0716311909 M</t>
  </si>
  <si>
    <t>Kala</t>
  </si>
  <si>
    <t>joell</t>
  </si>
  <si>
    <t>POD received from cell 0813352451 M</t>
  </si>
  <si>
    <t>Sachin</t>
  </si>
  <si>
    <t xml:space="preserve">ROBOTIC INNOVATIONS (PTY) LTD      </t>
  </si>
  <si>
    <t>ROBOTIC INNOVATIONS  PTY  LTD</t>
  </si>
  <si>
    <t>Chantelle</t>
  </si>
  <si>
    <t>POD received from cell 0726316905 M</t>
  </si>
  <si>
    <t>L Jovana</t>
  </si>
  <si>
    <t>Shaheed</t>
  </si>
  <si>
    <t xml:space="preserve">FLUID CONTROL SERVICES CC          </t>
  </si>
  <si>
    <t>FLUID CONTROL SERVICES CC</t>
  </si>
  <si>
    <t>POD received from cell 0763140324 M</t>
  </si>
  <si>
    <t>RUSTE</t>
  </si>
  <si>
    <t>RUSTENBURG</t>
  </si>
  <si>
    <t xml:space="preserve">FOODCORP (PTY) LTD T A SUNBAKE     </t>
  </si>
  <si>
    <t>FOODCORP  PTY  LTD T A SUNBAKE</t>
  </si>
  <si>
    <t>Signed</t>
  </si>
  <si>
    <t>POD received from cell 0676671788 M</t>
  </si>
  <si>
    <t>0300</t>
  </si>
  <si>
    <t>cecil</t>
  </si>
  <si>
    <t>bredan</t>
  </si>
  <si>
    <t xml:space="preserve">PRODUCTIVE SYSTEMS CC              </t>
  </si>
  <si>
    <t>PRODUCTIVE SYSTEMS CC</t>
  </si>
  <si>
    <t>Braam</t>
  </si>
  <si>
    <t xml:space="preserve">SMITHS MANUFACTURING (PTY) LTD     </t>
  </si>
  <si>
    <t>SMITHS MANUFACTURING  PTY  LTD</t>
  </si>
  <si>
    <t>lindiwe</t>
  </si>
  <si>
    <t xml:space="preserve">PIONEER FOODS GROCERIES PTY LT     </t>
  </si>
  <si>
    <t>T A PEPSICO   ATTN  MAINTENANC</t>
  </si>
  <si>
    <t>dollas</t>
  </si>
  <si>
    <t>ASANDA</t>
  </si>
  <si>
    <t xml:space="preserve">ARDAGH GLASS PACKAGING  SA PTY     </t>
  </si>
  <si>
    <t>ARDAGH GLASS PACKAGING  SA PTY</t>
  </si>
  <si>
    <t>nthabeleng</t>
  </si>
  <si>
    <t>noma</t>
  </si>
  <si>
    <t>phinda</t>
  </si>
  <si>
    <t xml:space="preserve">MOVE ANALYTICS CC (FESTO DIREC     </t>
  </si>
  <si>
    <t>RECEPTION</t>
  </si>
  <si>
    <t>Strydom</t>
  </si>
  <si>
    <t>POD received from cell 0649972585 M</t>
  </si>
  <si>
    <t xml:space="preserve">CHET CHEMICALS A DIV OF LIBSTA     </t>
  </si>
  <si>
    <t>CHET CHEMICALS A DIV OF LIBSTA</t>
  </si>
  <si>
    <t>selesta</t>
  </si>
  <si>
    <t>bsn</t>
  </si>
  <si>
    <t>desmond</t>
  </si>
  <si>
    <t>TZANE</t>
  </si>
  <si>
    <t>TZANEEN</t>
  </si>
  <si>
    <t xml:space="preserve">MERENSKY TIMBER PTY LTD T A NO     </t>
  </si>
  <si>
    <t>MERENSKY</t>
  </si>
  <si>
    <t>doris</t>
  </si>
  <si>
    <t>POD received from cell 0795637015 M</t>
  </si>
  <si>
    <t>0850</t>
  </si>
  <si>
    <t xml:space="preserve">ZF LEMFOERDER S.A (PTY( LTD        </t>
  </si>
  <si>
    <t>ZF LEMFOERDER S.A  PTY  LTD</t>
  </si>
  <si>
    <t>reneilwe</t>
  </si>
  <si>
    <t>SANDRA</t>
  </si>
  <si>
    <t>NCH</t>
  </si>
  <si>
    <t xml:space="preserve">KNORR-BREMSE (S.A) (PTY) LTD       </t>
  </si>
  <si>
    <t>KNORR-BREMSE  S.A   PTY  LTD</t>
  </si>
  <si>
    <t>Hamilton</t>
  </si>
  <si>
    <t xml:space="preserve">S.A. MINT (PTY) LTD                </t>
  </si>
  <si>
    <t>S.A. MINT  PTY  LTD</t>
  </si>
  <si>
    <t>paul</t>
  </si>
  <si>
    <t>POD received from cell 0790678352 M</t>
  </si>
  <si>
    <t>chris</t>
  </si>
  <si>
    <t>wiseman</t>
  </si>
  <si>
    <t xml:space="preserve">ACTUM INDUSTRIAL (PTY) LTD         </t>
  </si>
  <si>
    <t>ACTUM INDUSTRIAL  PTY  LTD</t>
  </si>
  <si>
    <t>siphelele</t>
  </si>
  <si>
    <t>CREATED AS PER SCAN IMAGE</t>
  </si>
  <si>
    <t xml:space="preserve">LACTALIS SOUTH AFRICA (PTY) LT     </t>
  </si>
  <si>
    <t>LACTALIS SOUTH AFRICA  PTY  LT</t>
  </si>
  <si>
    <t>Pumlani</t>
  </si>
  <si>
    <t xml:space="preserve">QUALITEC ENGINEERING CC            </t>
  </si>
  <si>
    <t>QUALITEC ENGINEERING CC</t>
  </si>
  <si>
    <t>Gilbert</t>
  </si>
  <si>
    <t>PATEN</t>
  </si>
  <si>
    <t>PATENSIE</t>
  </si>
  <si>
    <t xml:space="preserve">GN PUMPS AND MOTORS (PTY) LTD      </t>
  </si>
  <si>
    <t>GN PUMPS AND MOTORS  PTY  LTD</t>
  </si>
  <si>
    <t>ilzaan</t>
  </si>
  <si>
    <t>Noelin</t>
  </si>
  <si>
    <t>POD received from cell 0782274968 M</t>
  </si>
  <si>
    <t>medwin</t>
  </si>
  <si>
    <t xml:space="preserve">HENDOK DISTRIBUTION PTY LTD        </t>
  </si>
  <si>
    <t>HENDOK DISTRIBUTION</t>
  </si>
  <si>
    <t>presin</t>
  </si>
  <si>
    <t>POD received from cell 0747692124 M</t>
  </si>
  <si>
    <t xml:space="preserve">HALLSPEED (PTY) LTD BARBEQUE D     </t>
  </si>
  <si>
    <t>HALLSPEED  PTY  LTD BARBEQUE D</t>
  </si>
  <si>
    <t>saashin</t>
  </si>
  <si>
    <t>POD received from cell 0605335750 M</t>
  </si>
  <si>
    <t>POD received from cell 0735329796 M</t>
  </si>
  <si>
    <t>spha</t>
  </si>
  <si>
    <t xml:space="preserve">SIGNAL INSTRUMENTATION CC          </t>
  </si>
  <si>
    <t>SIGNAL INSTRUMENTATION CC</t>
  </si>
  <si>
    <t>Jaco</t>
  </si>
  <si>
    <t xml:space="preserve">SAPPI SOUTHERN AFRICA LIMITED      </t>
  </si>
  <si>
    <t>sello</t>
  </si>
  <si>
    <t xml:space="preserve">PREMIER FMCG (PTY) LTD MILL        </t>
  </si>
  <si>
    <t>PREMIER FMCG  PTY  LTD MILL</t>
  </si>
  <si>
    <t>ZIZILE</t>
  </si>
  <si>
    <t xml:space="preserve">TM ENGINEERING                     </t>
  </si>
  <si>
    <t>TM ENGINEERING</t>
  </si>
  <si>
    <t>Taznyn</t>
  </si>
  <si>
    <t>POD received from cell 0767510913 M</t>
  </si>
  <si>
    <t xml:space="preserve">1FLYER                        </t>
  </si>
  <si>
    <t xml:space="preserve">THE SIMBA GROUP LTD                </t>
  </si>
  <si>
    <t>THE SIMBA GROUP</t>
  </si>
  <si>
    <t>r mithhels</t>
  </si>
  <si>
    <t>Thapello</t>
  </si>
  <si>
    <t>FESTO P.E JANSE VAN RENSBURG</t>
  </si>
  <si>
    <t>Carl</t>
  </si>
  <si>
    <t>POD received from cell 0699631211 M</t>
  </si>
  <si>
    <t>Geven</t>
  </si>
  <si>
    <t>Demetri</t>
  </si>
  <si>
    <t>MOSSE</t>
  </si>
  <si>
    <t>MOSSEL BAY</t>
  </si>
  <si>
    <t xml:space="preserve">CSM BEARINGS   PNEUMATICS MOSS     </t>
  </si>
  <si>
    <t>CSM BEARINGS   PNEUMATICS MOSS</t>
  </si>
  <si>
    <t>santie</t>
  </si>
  <si>
    <t>POD received from cell 0781804576 M</t>
  </si>
  <si>
    <t>A Steffens</t>
  </si>
  <si>
    <t>Tim</t>
  </si>
  <si>
    <t xml:space="preserve">PUREM PORT ELIZABETH               </t>
  </si>
  <si>
    <t>PUREM PORT ELIZABETH</t>
  </si>
  <si>
    <t>bukelwa</t>
  </si>
  <si>
    <t>UMHLA</t>
  </si>
  <si>
    <t>UMHLANGA ROCKS</t>
  </si>
  <si>
    <t xml:space="preserve">FILTEC AUTOMATION CC               </t>
  </si>
  <si>
    <t>FILTEC AUTOMATION CC</t>
  </si>
  <si>
    <t>athanas</t>
  </si>
  <si>
    <t>POD received from cell 0843672221 M</t>
  </si>
  <si>
    <t xml:space="preserve">SA MACHINE DESIGN (PTY) LTD BA     </t>
  </si>
  <si>
    <t>SA MACHINE DESIGN  PTY  LTD BA</t>
  </si>
  <si>
    <t>Courtney</t>
  </si>
  <si>
    <t>POD received from cell 0631661453 M</t>
  </si>
  <si>
    <t>juh</t>
  </si>
  <si>
    <t xml:space="preserve">HULAMIN OPERATIONS (PTY) LTD B     </t>
  </si>
  <si>
    <t>HULAMIN OPERATIONS  PTY  LTD B</t>
  </si>
  <si>
    <t>Thami</t>
  </si>
  <si>
    <t xml:space="preserve">PIONEER FOODS (PTY) LTD T A SA     </t>
  </si>
  <si>
    <t>PIONEER FOODS  PTY  LTD T A SA</t>
  </si>
  <si>
    <t>Joseph</t>
  </si>
  <si>
    <t>tenishca</t>
  </si>
  <si>
    <t xml:space="preserve">FAURECIA INTERIOR SYSTEMS SA P     </t>
  </si>
  <si>
    <t>FAURECIA INTERIOR SYSTEMS SA P</t>
  </si>
  <si>
    <t>shareka</t>
  </si>
  <si>
    <t xml:space="preserve">PROMAX SIVEX DISTRUBUTORS CC T     </t>
  </si>
  <si>
    <t>PROMAX SIVEX DISTRUBUTORS CC T</t>
  </si>
  <si>
    <t>Yvonne</t>
  </si>
  <si>
    <t>POD received from cell 0727824353 M</t>
  </si>
  <si>
    <t>0083</t>
  </si>
  <si>
    <t>johnson</t>
  </si>
  <si>
    <t>VEREE</t>
  </si>
  <si>
    <t>VEREENIGING</t>
  </si>
  <si>
    <t xml:space="preserve">HEINEKEN SOUTH AFRICA (PTY) LT     </t>
  </si>
  <si>
    <t>HEINEKEN SOUTH AFRICA  PTY  LT</t>
  </si>
  <si>
    <t>SIGNED</t>
  </si>
  <si>
    <t>MARY</t>
  </si>
  <si>
    <t xml:space="preserve">HYDRAULIC AND PNEUMATIC HUB GR     </t>
  </si>
  <si>
    <t>HYDRAULIC AND PNEUMATIC HUB GR</t>
  </si>
  <si>
    <t>Bernice</t>
  </si>
  <si>
    <t>RICH2</t>
  </si>
  <si>
    <t>RICHMOND (NATAL)</t>
  </si>
  <si>
    <t xml:space="preserve">NORMANDIEN FARMS PTY LTD           </t>
  </si>
  <si>
    <t>NORMANDIEN</t>
  </si>
  <si>
    <t>Wayne</t>
  </si>
  <si>
    <t>POD received from cell 0793296651 M</t>
  </si>
  <si>
    <t xml:space="preserve">TECHNOGRAIN                        </t>
  </si>
  <si>
    <t>TECHNOGRAIN</t>
  </si>
  <si>
    <t>pizzicaro</t>
  </si>
  <si>
    <t>POD received from cell 0609545808 M</t>
  </si>
  <si>
    <t xml:space="preserve">BLAIZEPOINT TRADING 274 CC T A     </t>
  </si>
  <si>
    <t>BLAIZEPOINT TRADING 274 CC T A</t>
  </si>
  <si>
    <t>KENT</t>
  </si>
  <si>
    <t xml:space="preserve">SEALED AIR AFRICA (PTY) LTD        </t>
  </si>
  <si>
    <t>SEALED AIR AFRICA  PTY  LTD</t>
  </si>
  <si>
    <t>netfa</t>
  </si>
  <si>
    <t>tenischa</t>
  </si>
  <si>
    <t xml:space="preserve">JAPIE GODFREY                 </t>
  </si>
  <si>
    <t xml:space="preserve">POD received from cell 0827630425 M     </t>
  </si>
  <si>
    <t xml:space="preserve">SMOKEHOUSE MASTERS PTY LTD         </t>
  </si>
  <si>
    <t>SMOKEHOUSE MASTERS PTY LTD</t>
  </si>
  <si>
    <t>MILLICENT</t>
  </si>
  <si>
    <t>Mark</t>
  </si>
  <si>
    <t>LYDEN</t>
  </si>
  <si>
    <t>LYDENBURG</t>
  </si>
  <si>
    <t xml:space="preserve">SIBAMBENE MINING SUPPLIES CC       </t>
  </si>
  <si>
    <t>SIBAMBENE MINING SUPPLIES CC</t>
  </si>
  <si>
    <t>Melissa</t>
  </si>
  <si>
    <t>y</t>
  </si>
  <si>
    <t>cuan</t>
  </si>
  <si>
    <t xml:space="preserve">02AFRICA PTY LTD                   </t>
  </si>
  <si>
    <t>02AFRICA PTY LTD</t>
  </si>
  <si>
    <t>LUKE</t>
  </si>
  <si>
    <t>lwaszi</t>
  </si>
  <si>
    <t xml:space="preserve">GRW COMMERCIALS (PTY) LTD T A      </t>
  </si>
  <si>
    <t>GRW COMMERCIALS  PTY  LTD T A</t>
  </si>
  <si>
    <t>William</t>
  </si>
  <si>
    <t xml:space="preserve">RCL FOODS CONSUMER (PTY) LTD       </t>
  </si>
  <si>
    <t>RCL FOODS CONSUMER  PTY  LTD</t>
  </si>
  <si>
    <t>lemogang</t>
  </si>
  <si>
    <t>ora</t>
  </si>
  <si>
    <t>0299</t>
  </si>
  <si>
    <t xml:space="preserve">JMS GROUP ENIGEERING PHALABORW     </t>
  </si>
  <si>
    <t>JMS GROUP ENIGEERING PHALABORW</t>
  </si>
  <si>
    <t>butment</t>
  </si>
  <si>
    <t>POD received from cell 0731782301 M</t>
  </si>
  <si>
    <t xml:space="preserve">PLASTIC                       </t>
  </si>
  <si>
    <t xml:space="preserve">TRUDA FOODS                        </t>
  </si>
  <si>
    <t>TRUDA FOODS</t>
  </si>
  <si>
    <t>kelebogile</t>
  </si>
  <si>
    <t>Theo</t>
  </si>
  <si>
    <t>saloshnie</t>
  </si>
  <si>
    <t>Peter</t>
  </si>
  <si>
    <t xml:space="preserve">SOUTHERN SERVICES CC               </t>
  </si>
  <si>
    <t>SOUTHERN SERVICES CC</t>
  </si>
  <si>
    <t>Dudley</t>
  </si>
  <si>
    <t>POD received from cell 0608652455 M</t>
  </si>
  <si>
    <t xml:space="preserve">ATC INNOVATION (PTY) LTD AUTOM     </t>
  </si>
  <si>
    <t>ATC INNOVATION  PTY  LTD AUTOM</t>
  </si>
  <si>
    <t>Heidi</t>
  </si>
  <si>
    <t>Mahlatse</t>
  </si>
  <si>
    <t>aubort</t>
  </si>
  <si>
    <t xml:space="preserve">ANDREW MENTIS (PTY) LTD            </t>
  </si>
  <si>
    <t>ANDREW MENTIS  PTY  LTD</t>
  </si>
  <si>
    <t>dereK</t>
  </si>
  <si>
    <t>NGF</t>
  </si>
  <si>
    <t>sbusiso</t>
  </si>
  <si>
    <t xml:space="preserve">ME ELECMETAL PRIMA MANUFACTURI     </t>
  </si>
  <si>
    <t>ME ELECMETAL PRIMA MANUFACTURI</t>
  </si>
  <si>
    <t>meagan</t>
  </si>
  <si>
    <t>POD received from cell 0680504436 M</t>
  </si>
  <si>
    <t xml:space="preserve">MESCHTEC SERVICES (PTY) LTD        </t>
  </si>
  <si>
    <t>MESCHTEC SERVICES  PTY  LTD</t>
  </si>
  <si>
    <t>Jenny</t>
  </si>
  <si>
    <t>Sous</t>
  </si>
  <si>
    <t xml:space="preserve">TI GROUP AUTOMOTIVE SYSTEMS (P     </t>
  </si>
  <si>
    <t>TI GROUP AUTOMOTIVE SYSTEMS  P</t>
  </si>
  <si>
    <t>mapara</t>
  </si>
  <si>
    <t>DELMA</t>
  </si>
  <si>
    <t>DELMAS</t>
  </si>
  <si>
    <t xml:space="preserve">MCCAIN FOODS SOUTH AFRICA PTY      </t>
  </si>
  <si>
    <t>MCCAIN FOODS SOUTH AFRICA PTY</t>
  </si>
  <si>
    <t>POD received from cell 0659646054 M</t>
  </si>
  <si>
    <t xml:space="preserve">ENTYCE BEVERAGES  DIVISION OF      </t>
  </si>
  <si>
    <t>ENTYCE BEVERAGES  DIVISION OF</t>
  </si>
  <si>
    <t>vukani</t>
  </si>
  <si>
    <t>POD received from cell 0682690407 M</t>
  </si>
  <si>
    <t>k  a  moloto</t>
  </si>
  <si>
    <t>Tracy</t>
  </si>
  <si>
    <t>NOMA</t>
  </si>
  <si>
    <t xml:space="preserve">HMF TECHNOLOGIES (PTY) LTD         </t>
  </si>
  <si>
    <t>HMF TECHNOLOGIES  PTY  LTD</t>
  </si>
  <si>
    <t>Letisia</t>
  </si>
  <si>
    <t>POD received from cell 0603223659 M</t>
  </si>
  <si>
    <t xml:space="preserve">IDEAL ELECTRICAL   MINING SUPP     </t>
  </si>
  <si>
    <t>IDEAL ELECTRICAL   MINING SUPP</t>
  </si>
  <si>
    <t>musa</t>
  </si>
  <si>
    <t xml:space="preserve">LEDA ENGINEERING SERVICES CC       </t>
  </si>
  <si>
    <t>LEDA ENGINEERING SERVICES CC</t>
  </si>
  <si>
    <t>Tess</t>
  </si>
  <si>
    <t>POD received from cell 0736418208 M</t>
  </si>
  <si>
    <t>Stanley</t>
  </si>
  <si>
    <t xml:space="preserve">ULMO WATER FIRGROVE INDUSTRIAL     </t>
  </si>
  <si>
    <t>ULMO WATER FIRGROVE INDUSTRIAL</t>
  </si>
  <si>
    <t>NEVILLE</t>
  </si>
  <si>
    <t>BALF2</t>
  </si>
  <si>
    <t>BALFOUR (TVL)</t>
  </si>
  <si>
    <t xml:space="preserve">KARAN BEEF PTY LTD ORDER NUMBE     </t>
  </si>
  <si>
    <t>KARAN BEEF PTY LTD ORDER NUMBE</t>
  </si>
  <si>
    <t>Hein</t>
  </si>
  <si>
    <t>POD received from cell 0606968550 M</t>
  </si>
  <si>
    <t>katlego</t>
  </si>
  <si>
    <t>simphiwe</t>
  </si>
  <si>
    <t>POD received from cell 0685621776 M</t>
  </si>
  <si>
    <t>MHLENGI</t>
  </si>
  <si>
    <t>col</t>
  </si>
  <si>
    <t xml:space="preserve">Tamaryn                       </t>
  </si>
  <si>
    <t>TAJ</t>
  </si>
  <si>
    <t xml:space="preserve">POD received from cell 0792230061 M     </t>
  </si>
  <si>
    <t xml:space="preserve">KRONES SOUTH AFRICA PTY LTD LA     </t>
  </si>
  <si>
    <t>KRONES SOUTH AFRICA PTY LTD LA</t>
  </si>
  <si>
    <t>Ben</t>
  </si>
  <si>
    <t xml:space="preserve">WILLOWTON OIL   CAKE MILLS         </t>
  </si>
  <si>
    <t>WILLOWTON OIL   CAKE MILLS</t>
  </si>
  <si>
    <t>felicia</t>
  </si>
  <si>
    <t>POD received from cell 0685390657 M</t>
  </si>
  <si>
    <t>m  mojapelo</t>
  </si>
  <si>
    <t>sindiswa</t>
  </si>
  <si>
    <t>Rubim</t>
  </si>
  <si>
    <t xml:space="preserve">DIEMASTER INDUSTRIES CC            </t>
  </si>
  <si>
    <t>DIEMASTER INDUSTRIES CC</t>
  </si>
  <si>
    <t>CHARMAINE</t>
  </si>
  <si>
    <t>mdm</t>
  </si>
  <si>
    <t xml:space="preserve">TIGER BRAND (CHOCOLATE UNIT)       </t>
  </si>
  <si>
    <t>TIGER BRAND  CHOCOLATE UNIT</t>
  </si>
  <si>
    <t>KARABO</t>
  </si>
  <si>
    <t>PPM</t>
  </si>
  <si>
    <t>anelisa</t>
  </si>
  <si>
    <t>igsaan</t>
  </si>
  <si>
    <t xml:space="preserve">RUBICON EASTERN CAPE ELECTRICA     </t>
  </si>
  <si>
    <t>RUBICON EASTERN CAPE ELECTRICA</t>
  </si>
  <si>
    <t>JARRYD</t>
  </si>
  <si>
    <t>Incorrect route allocation</t>
  </si>
  <si>
    <t>SYSTEM</t>
  </si>
  <si>
    <t xml:space="preserve">CARNILINX PTY LTD                  </t>
  </si>
  <si>
    <t>CARNILINX PTY LTD</t>
  </si>
  <si>
    <t>Mimi</t>
  </si>
  <si>
    <t>POD received from cell 0723831473 M</t>
  </si>
  <si>
    <t xml:space="preserve">SRF FLEXIPAK PTY LTD               </t>
  </si>
  <si>
    <t>SRF FLEXIPAK</t>
  </si>
  <si>
    <t>Phelele</t>
  </si>
  <si>
    <t xml:space="preserve">DIRECTECH (PTY) LTD                </t>
  </si>
  <si>
    <t>DIRECTECH  PTY  LTD</t>
  </si>
  <si>
    <t>Thabiso</t>
  </si>
  <si>
    <t xml:space="preserve">NATIONAL BRANDS BIS SNK DIV BI     </t>
  </si>
  <si>
    <t>NATIONAL BRANDS BIS SNK DIV</t>
  </si>
  <si>
    <t xml:space="preserve">GRIPPER   CO PTY LTD               </t>
  </si>
  <si>
    <t>GRIPPER   CO</t>
  </si>
  <si>
    <t>CARMEN</t>
  </si>
  <si>
    <t>UNILEVER SOUTH AFRICA PTY NLTD</t>
  </si>
  <si>
    <t>POD received from cell 0747980518 M</t>
  </si>
  <si>
    <t xml:space="preserve">BASF SOUTH AFRICA PTY LTD          </t>
  </si>
  <si>
    <t>BASF SOUTH AFRICA</t>
  </si>
  <si>
    <t>Xolani</t>
  </si>
  <si>
    <t>R V nzama</t>
  </si>
  <si>
    <t>KARRIEMA</t>
  </si>
  <si>
    <t>POD received from cell 0764958693 M</t>
  </si>
  <si>
    <t xml:space="preserve">TONGAAT HULLETTS GROUP T A REF     </t>
  </si>
  <si>
    <t>TONGAAT HULLETTS GROUP T A REF</t>
  </si>
  <si>
    <t xml:space="preserve">sherandy                      </t>
  </si>
  <si>
    <t xml:space="preserve">POD received from cell 0672223699 M     </t>
  </si>
  <si>
    <t xml:space="preserve">DALE AUTOMATION PTY LTD            </t>
  </si>
  <si>
    <t>DALE AUTOMATION PTY LTD</t>
  </si>
  <si>
    <t>Marno</t>
  </si>
  <si>
    <t>POD received from cell 0628474552 M</t>
  </si>
  <si>
    <t xml:space="preserve">Selby                         </t>
  </si>
  <si>
    <t xml:space="preserve">POD received from cell 0723083847 M     </t>
  </si>
  <si>
    <t>SIBUSISO</t>
  </si>
  <si>
    <t>SIYABONANA</t>
  </si>
  <si>
    <t>Shane</t>
  </si>
  <si>
    <t xml:space="preserve">CONTROL SYSTEMS RUSTENBURG         </t>
  </si>
  <si>
    <t>CONTROL SYSTEMS RUSTENBURG</t>
  </si>
  <si>
    <t>luthen</t>
  </si>
  <si>
    <t>GODFREY</t>
  </si>
  <si>
    <t xml:space="preserve">MINI PAL                      </t>
  </si>
  <si>
    <t>Kurt</t>
  </si>
  <si>
    <t xml:space="preserve">PRODUCTIVE ENGINEERING CC          </t>
  </si>
  <si>
    <t>PRODUCTIVE ENGINEERING CC</t>
  </si>
  <si>
    <t>nicci</t>
  </si>
  <si>
    <t xml:space="preserve">VOLKSWAGEN OF SA VC3055            </t>
  </si>
  <si>
    <t>VOLKSWAGEN OF SA VC3055</t>
  </si>
  <si>
    <t>ashwin</t>
  </si>
  <si>
    <t>Ali</t>
  </si>
  <si>
    <t>POD received from cell 0785988729 M</t>
  </si>
  <si>
    <t xml:space="preserve">Theo                          </t>
  </si>
  <si>
    <t xml:space="preserve">KHAN CHEMICAL INDUSTRY C.C         </t>
  </si>
  <si>
    <t>KHAN CHEMICAL INDUSTRY C.C</t>
  </si>
  <si>
    <t>Kashiefa</t>
  </si>
  <si>
    <t>POD received from cell 0827336813 M</t>
  </si>
  <si>
    <t>vusi</t>
  </si>
  <si>
    <t>POD received from cell 0799684820 M</t>
  </si>
  <si>
    <t>caiphus</t>
  </si>
  <si>
    <t>Udo</t>
  </si>
  <si>
    <t xml:space="preserve">COLUMBIT PTY LTD                   </t>
  </si>
  <si>
    <t>COLUMBIT</t>
  </si>
  <si>
    <t>thami</t>
  </si>
  <si>
    <t>GEORG</t>
  </si>
  <si>
    <t>GEORGE</t>
  </si>
  <si>
    <t xml:space="preserve">SANMIK AGENCIES CC                 </t>
  </si>
  <si>
    <t>SANMIK AGENCIES CC</t>
  </si>
  <si>
    <t>clive</t>
  </si>
  <si>
    <t>POD received from cell 0621494136 M</t>
  </si>
  <si>
    <t xml:space="preserve">KAYTAR VALVES (PTY) LTD LANGEB     </t>
  </si>
  <si>
    <t>KAYTAR VALVES  PTY  LTD LANGEB</t>
  </si>
  <si>
    <t>michelle</t>
  </si>
  <si>
    <t>sinead</t>
  </si>
  <si>
    <t>Kameshan</t>
  </si>
  <si>
    <t>ashley</t>
  </si>
  <si>
    <t>POD received from cell 0735736630 M</t>
  </si>
  <si>
    <t>FRANCINA</t>
  </si>
  <si>
    <t xml:space="preserve">CTP PRINTERS CAPE TOWN             </t>
  </si>
  <si>
    <t>CTP PRINTERS CAPE TOWN</t>
  </si>
  <si>
    <t>dawn</t>
  </si>
  <si>
    <t>cancelled as per client</t>
  </si>
  <si>
    <t>rag</t>
  </si>
  <si>
    <t xml:space="preserve">JM FREE   ASSOCIATES CC            </t>
  </si>
  <si>
    <t>JM FREE   ASSOCIATES CC</t>
  </si>
  <si>
    <t>sizwe</t>
  </si>
  <si>
    <t xml:space="preserve">lorenzo                       </t>
  </si>
  <si>
    <t>alvin</t>
  </si>
  <si>
    <t>SAMMY</t>
  </si>
  <si>
    <t xml:space="preserve">FOXOLUTION SYSTEMS ENGINEERING     </t>
  </si>
  <si>
    <t>FOXOLUTION SYSTEMS ENGINEERING</t>
  </si>
  <si>
    <t>Arno</t>
  </si>
  <si>
    <t>POD received from cell 0735647467 M</t>
  </si>
  <si>
    <t>Sabelo</t>
  </si>
  <si>
    <t>venter</t>
  </si>
  <si>
    <t>ANDILE</t>
  </si>
  <si>
    <t xml:space="preserve">TRUDA FOODS WILLEM CRUYWAGEN L     </t>
  </si>
  <si>
    <t>TRUDA FOODS WILLEM CRUYWAGEN L</t>
  </si>
  <si>
    <t>0182</t>
  </si>
  <si>
    <t xml:space="preserve">FUSE-A-TRON SA (PTY) LTD           </t>
  </si>
  <si>
    <t>FUSE-A-TRON SA  PTY  LTD</t>
  </si>
  <si>
    <t xml:space="preserve">Rickey                        </t>
  </si>
  <si>
    <t xml:space="preserve">BOXES                         </t>
  </si>
  <si>
    <t>Sherwin</t>
  </si>
  <si>
    <t>ARBy</t>
  </si>
  <si>
    <t xml:space="preserve">THOROUGHTEC SIMULATION (PTY) L     </t>
  </si>
  <si>
    <t>THOROUGHTEC SIMULATION  PTY  L</t>
  </si>
  <si>
    <t>leon</t>
  </si>
  <si>
    <t>POD received from cell 0619346567 M</t>
  </si>
  <si>
    <t xml:space="preserve">SML BVOX                      </t>
  </si>
  <si>
    <t>bradley</t>
  </si>
  <si>
    <t>VERUL</t>
  </si>
  <si>
    <t>VERULAM</t>
  </si>
  <si>
    <t xml:space="preserve">AFROPULSE 46 PTY LTD T A POWER     </t>
  </si>
  <si>
    <t>AFROPULSE 46 PTY LTD T A POWER</t>
  </si>
  <si>
    <t>cassie</t>
  </si>
  <si>
    <t>hans</t>
  </si>
  <si>
    <t xml:space="preserve">POD received from cell 0780568122 M     </t>
  </si>
  <si>
    <t xml:space="preserve">APPLIED FILTRATION SERVICES (P     </t>
  </si>
  <si>
    <t>APPLIED FILTRATION SERVICES  P</t>
  </si>
  <si>
    <t>Lucas</t>
  </si>
  <si>
    <t>charity</t>
  </si>
  <si>
    <t xml:space="preserve">TI GROUP AUTOMOTIVE SYSTEMS        </t>
  </si>
  <si>
    <t>TI GROUP AUTOMOTIVE SYSTEMS</t>
  </si>
  <si>
    <t>katia</t>
  </si>
  <si>
    <t>eshaam</t>
  </si>
  <si>
    <t xml:space="preserve">Samuel                        </t>
  </si>
  <si>
    <t xml:space="preserve">POD received from cell 0791069864 M     </t>
  </si>
  <si>
    <t xml:space="preserve">PMD PACKAGING SYSTEMS              </t>
  </si>
  <si>
    <t>PMD PACKAGING SYSTEMS</t>
  </si>
  <si>
    <t>shando</t>
  </si>
  <si>
    <t xml:space="preserve">CLOVER SA (PTY) LTD NCD SENTRA     </t>
  </si>
  <si>
    <t>CLOVER SA  PTY  LTD NCD SENTRA</t>
  </si>
  <si>
    <t>tracey</t>
  </si>
  <si>
    <t>POD received from cell 0607577465 M</t>
  </si>
  <si>
    <t>Aliston</t>
  </si>
  <si>
    <t>Alex</t>
  </si>
  <si>
    <t xml:space="preserve">FIRST NATIONAL BATTERY             </t>
  </si>
  <si>
    <t>FIRST NATIONAL BATTERY</t>
  </si>
  <si>
    <t>siphelo</t>
  </si>
  <si>
    <t xml:space="preserve">patrick                       </t>
  </si>
  <si>
    <t xml:space="preserve">DE BEERS GROUP SERVICES (PTY)      </t>
  </si>
  <si>
    <t>DE BEERS GROUP SERVICES  PTY</t>
  </si>
  <si>
    <t>Siya</t>
  </si>
  <si>
    <t>kwamusani</t>
  </si>
  <si>
    <t>PNIEL</t>
  </si>
  <si>
    <t xml:space="preserve">TETRA PAK SA PNIEL CAPE TOWN       </t>
  </si>
  <si>
    <t>TETRA PAK SA PNIEL CAPE TOWN</t>
  </si>
  <si>
    <t>?</t>
  </si>
  <si>
    <t>POD received from cell 0616566496 M</t>
  </si>
  <si>
    <t>ROSHEEN</t>
  </si>
  <si>
    <t xml:space="preserve">LACTALIS SOUTH AFRICA              </t>
  </si>
  <si>
    <t>LACTALIS SOUTH AFRICA</t>
  </si>
  <si>
    <t>Lion</t>
  </si>
  <si>
    <t xml:space="preserve">ASPEN SA OPERATIONS ( PTY ) LT     </t>
  </si>
  <si>
    <t>ASPEN SA OPERATIONS   PTY   LT</t>
  </si>
  <si>
    <t xml:space="preserve">t  davis                      </t>
  </si>
  <si>
    <t xml:space="preserve">KIMBERLY-CLARK VENDOR NUMBER:      </t>
  </si>
  <si>
    <t>KIMBERLY-CLARK VENDOR NUMBER</t>
  </si>
  <si>
    <t xml:space="preserve">Sibusiso                      </t>
  </si>
  <si>
    <t xml:space="preserve">POD received from cell 0609039667 M     </t>
  </si>
  <si>
    <t>PIET2</t>
  </si>
  <si>
    <t>PIETERSBURG</t>
  </si>
  <si>
    <t xml:space="preserve">CAPRICORN TVET COLLEGE POLOKWA     </t>
  </si>
  <si>
    <t>CAPRICORN TVET COLLEGE POLOKWA</t>
  </si>
  <si>
    <t>maredi dt</t>
  </si>
  <si>
    <t>POD received from cell 0813693772 M</t>
  </si>
  <si>
    <t>0699</t>
  </si>
  <si>
    <t xml:space="preserve">RG BROSE AUTOMOTIVE COMPONENTS     </t>
  </si>
  <si>
    <t>RG BROSE AUTOMOTIVE COMPONENTS</t>
  </si>
  <si>
    <t>Letlhogonolo</t>
  </si>
  <si>
    <t>080065274668</t>
  </si>
  <si>
    <t xml:space="preserve">BEARINGS ON CC                     </t>
  </si>
  <si>
    <t>BEARINGS ON CC</t>
  </si>
  <si>
    <t xml:space="preserve">Ben                           </t>
  </si>
  <si>
    <t xml:space="preserve">POD received from cell 0825419099 M     </t>
  </si>
  <si>
    <t>keanen</t>
  </si>
  <si>
    <t>Maecell</t>
  </si>
  <si>
    <t xml:space="preserve">DEFY APPLIANCES (PTY) LTD : AT     </t>
  </si>
  <si>
    <t>DEFY APPLIANCES  PTY  LTD   AT</t>
  </si>
  <si>
    <t>Simon radebe</t>
  </si>
  <si>
    <t>POD received from cell 0776087767 M</t>
  </si>
  <si>
    <t xml:space="preserve">BME PACKAGING CC                   </t>
  </si>
  <si>
    <t>BME PACKAGING CC</t>
  </si>
  <si>
    <t>Sarah</t>
  </si>
  <si>
    <t xml:space="preserve">shawn                         </t>
  </si>
  <si>
    <t xml:space="preserve">POD received from cell 0781804576 M     </t>
  </si>
  <si>
    <t>lorenz0</t>
  </si>
  <si>
    <t xml:space="preserve">VANNPAX (PTY) LTD MAITLAND         </t>
  </si>
  <si>
    <t>VANNPAX  PTY  LTD MAITLAND</t>
  </si>
  <si>
    <t>L Khan</t>
  </si>
  <si>
    <t>xona</t>
  </si>
  <si>
    <t xml:space="preserve">Percy                         </t>
  </si>
  <si>
    <t xml:space="preserve">POD received from cell 0694933966 M     </t>
  </si>
  <si>
    <t xml:space="preserve">AUTO X PTY LTD                     </t>
  </si>
  <si>
    <t>AUTO X PTY LTD</t>
  </si>
  <si>
    <t>mhlengi</t>
  </si>
  <si>
    <t>Romano</t>
  </si>
  <si>
    <t xml:space="preserve">BRIDGESTONE FIRESTONE              </t>
  </si>
  <si>
    <t>BRIDGESTONE FIRESTONE</t>
  </si>
  <si>
    <t>ESTHER</t>
  </si>
  <si>
    <t>phumelele</t>
  </si>
  <si>
    <t xml:space="preserve">AC CONTROLS CC                     </t>
  </si>
  <si>
    <t>AC CONTROLS CC</t>
  </si>
  <si>
    <t>POD received from cell 0817753249 M</t>
  </si>
  <si>
    <t>Charmaine</t>
  </si>
  <si>
    <t>cassim</t>
  </si>
  <si>
    <t xml:space="preserve">ELECTROSALES ELECTRICAL            </t>
  </si>
  <si>
    <t>ELECTROSALES ELECTRICAL</t>
  </si>
  <si>
    <t>cameron</t>
  </si>
  <si>
    <t>NDANDO</t>
  </si>
  <si>
    <t>VUKANI</t>
  </si>
  <si>
    <t>Danie</t>
  </si>
  <si>
    <t>karabo</t>
  </si>
  <si>
    <t>POD received from cell 0647909777 M</t>
  </si>
  <si>
    <t xml:space="preserve">TOYOTA SA MOTORS (PTY) LTD PRO     </t>
  </si>
  <si>
    <t>TOYOTA SA MOTORS  PTY  LTD PRO</t>
  </si>
  <si>
    <t>craig</t>
  </si>
  <si>
    <t>SAN</t>
  </si>
  <si>
    <t>MLU</t>
  </si>
  <si>
    <t>stamton</t>
  </si>
  <si>
    <t>POD received from cell 0647274657 M</t>
  </si>
  <si>
    <t xml:space="preserve">KERRY INGREDIENTS                  </t>
  </si>
  <si>
    <t>KERRY INGREDIENTS</t>
  </si>
  <si>
    <t>phindile</t>
  </si>
  <si>
    <t xml:space="preserve">Simphiwe                      </t>
  </si>
  <si>
    <t xml:space="preserve">POD received from cell 0658421544 M     </t>
  </si>
  <si>
    <t xml:space="preserve">ASTRATEK PROJECTS (PTY) LTD MA     </t>
  </si>
  <si>
    <t>ASTRATEK PROJECTS  PTY  LTD MA</t>
  </si>
  <si>
    <t xml:space="preserve">Azola                         </t>
  </si>
  <si>
    <t xml:space="preserve">POD received from cell 0684745132 M     </t>
  </si>
  <si>
    <t xml:space="preserve">TIGER CONSUMER BRANDS LTD T A      </t>
  </si>
  <si>
    <t>TIGER CONSUMER BRANDS LTD T A</t>
  </si>
  <si>
    <t>suren</t>
  </si>
  <si>
    <t>illeg</t>
  </si>
  <si>
    <t>Greg</t>
  </si>
  <si>
    <t>QUEEN</t>
  </si>
  <si>
    <t>QUEENSTOWN</t>
  </si>
  <si>
    <t xml:space="preserve">TRUDA FOODS (PTY) LTD QUEENSTO     </t>
  </si>
  <si>
    <t>TRUDA FOODS  PTY  LTD QUEENSTO</t>
  </si>
  <si>
    <t>Suzanne</t>
  </si>
  <si>
    <t xml:space="preserve">sibusio                       </t>
  </si>
  <si>
    <t xml:space="preserve">POD received from cell 0738058187 M     </t>
  </si>
  <si>
    <t xml:space="preserve">EFAMATIC MACHINE TOOLS             </t>
  </si>
  <si>
    <t>EFAMATIC MACHINE TOOLS</t>
  </si>
  <si>
    <t>zain</t>
  </si>
  <si>
    <t xml:space="preserve">EIGER ENGINEERING (PTY) LTD        </t>
  </si>
  <si>
    <t>EIGER ENGINEERING  PTY  LTD</t>
  </si>
  <si>
    <t>Lawrence</t>
  </si>
  <si>
    <t>POD received from cell 069914459 M</t>
  </si>
  <si>
    <t>Redirect waybill on waybill nu</t>
  </si>
  <si>
    <t>Redirect waybill on waybill number R0800</t>
  </si>
  <si>
    <t>candice</t>
  </si>
  <si>
    <t>lwezi</t>
  </si>
  <si>
    <t>Kia Moloto</t>
  </si>
  <si>
    <t>M van der nest</t>
  </si>
  <si>
    <t>POD received from cell 0817078010 M</t>
  </si>
  <si>
    <t xml:space="preserve">CTP FLEXIBLES                      </t>
  </si>
  <si>
    <t>CTP FLEXIBLES</t>
  </si>
  <si>
    <t>Charlene</t>
  </si>
  <si>
    <t>berdus</t>
  </si>
  <si>
    <t>Jaun</t>
  </si>
  <si>
    <t>Andre</t>
  </si>
  <si>
    <t xml:space="preserve">lPercy                        </t>
  </si>
  <si>
    <t xml:space="preserve">EMENEM INDUSTRIAL CC               </t>
  </si>
  <si>
    <t>EMENEM INDUSTRIAL CC</t>
  </si>
  <si>
    <t>Leroy</t>
  </si>
  <si>
    <t xml:space="preserve">Nolusindiso                   </t>
  </si>
  <si>
    <t>Gert</t>
  </si>
  <si>
    <t>muzi</t>
  </si>
  <si>
    <t>POD received from cell 0655428752 M</t>
  </si>
  <si>
    <t>SHIFT MANAGER</t>
  </si>
  <si>
    <t>DOC / DOC / FUE / INS</t>
  </si>
  <si>
    <t>FES CUST 20250512 51 - BACK TO CUSTOMER</t>
  </si>
  <si>
    <t>Johnson</t>
  </si>
  <si>
    <t>ANNALISE</t>
  </si>
  <si>
    <t>mpumelelo</t>
  </si>
  <si>
    <t>d jacobs</t>
  </si>
  <si>
    <t xml:space="preserve">UNILEC SA PTY LTD                  </t>
  </si>
  <si>
    <t>UNILEC SA PTY LTD</t>
  </si>
  <si>
    <t>Kgan Kepadisa</t>
  </si>
  <si>
    <t xml:space="preserve">mpumelelo                     </t>
  </si>
  <si>
    <t>BENITA</t>
  </si>
  <si>
    <t>Trevor</t>
  </si>
  <si>
    <t xml:space="preserve">BOX (CON                      </t>
  </si>
  <si>
    <t>RICARDO</t>
  </si>
  <si>
    <t>beytel</t>
  </si>
  <si>
    <t xml:space="preserve">GUTH SOUTH AFRICA (PTY) LTD NE     </t>
  </si>
  <si>
    <t>GUTH SOUTH AFRICA  PTY  LTD NE</t>
  </si>
  <si>
    <t xml:space="preserve">avinasl                       </t>
  </si>
  <si>
    <t xml:space="preserve">RCL FOODS CONSUMER (PTY) LTD S     </t>
  </si>
  <si>
    <t>RCL FOODS CONSUMER  PTY  LTD S</t>
  </si>
  <si>
    <t>M LOUW</t>
  </si>
  <si>
    <t>godfrey</t>
  </si>
  <si>
    <t xml:space="preserve">AUTOPAC MACHINERY CORPORATION      </t>
  </si>
  <si>
    <t>AUTOPAC MACHINERY CORPORATION</t>
  </si>
  <si>
    <t>Melanie</t>
  </si>
  <si>
    <t>Henry</t>
  </si>
  <si>
    <t xml:space="preserve">ISIPINGO PURCHASES ISIPINGO        </t>
  </si>
  <si>
    <t>ISIPINGO PURCHASES ISIPINGO</t>
  </si>
  <si>
    <t>maraia</t>
  </si>
  <si>
    <t>Sinalo</t>
  </si>
  <si>
    <t>BETHL</t>
  </si>
  <si>
    <t>BETHLEHEM</t>
  </si>
  <si>
    <t xml:space="preserve">BUILD IT                           </t>
  </si>
  <si>
    <t>BUILD IT</t>
  </si>
  <si>
    <t>POD received from cell 0633539650 M</t>
  </si>
  <si>
    <t>Mia</t>
  </si>
  <si>
    <t xml:space="preserve">FILMATIC PACKAGING SYSTEMS PTY     </t>
  </si>
  <si>
    <t>FILMATIC PACKAGING SYSTEMS</t>
  </si>
  <si>
    <t xml:space="preserve">NAMPAK PRODUCTS LTD T A BEVCAN     </t>
  </si>
  <si>
    <t>NAMPAK PRODUCTS</t>
  </si>
  <si>
    <t>Bongani</t>
  </si>
  <si>
    <t xml:space="preserve">CULINARY  A DIVISION OF TIGER      </t>
  </si>
  <si>
    <t>CULINARY  A DIVISION OF TIGER</t>
  </si>
  <si>
    <t>Dakalo</t>
  </si>
  <si>
    <t>noluthando</t>
  </si>
  <si>
    <t>S WRIGHT</t>
  </si>
  <si>
    <t>Sibusiso</t>
  </si>
  <si>
    <t>Eltina</t>
  </si>
  <si>
    <t>reevce</t>
  </si>
  <si>
    <t>nandipha</t>
  </si>
  <si>
    <t>POD received from cell 0793098518 M</t>
  </si>
  <si>
    <t xml:space="preserve">RFG FOODS (PTY) LTD WELLINGTON     </t>
  </si>
  <si>
    <t>RFG FOODS  PTY  LTD WELLINGTON</t>
  </si>
  <si>
    <t>A Jacobs</t>
  </si>
  <si>
    <t>POD received from cell 0774430717 M</t>
  </si>
  <si>
    <t>Chantell</t>
  </si>
  <si>
    <t xml:space="preserve">SKYNET DEPOT EAST LONDON           </t>
  </si>
  <si>
    <t>SHAUN PUCHERT</t>
  </si>
  <si>
    <t>SHAUN</t>
  </si>
  <si>
    <t>Hold for Collection</t>
  </si>
  <si>
    <t>NNS</t>
  </si>
  <si>
    <t>JARELLE</t>
  </si>
  <si>
    <t xml:space="preserve">JOHN BEAN TECHNOLOGIES (PTY) L     </t>
  </si>
  <si>
    <t>JOHN BEAN TECHNOLOGIES  PTY  L</t>
  </si>
  <si>
    <t>shane</t>
  </si>
  <si>
    <t xml:space="preserve">PREMIER INDUSTRIAL DISTRIBUTOR     </t>
  </si>
  <si>
    <t>PREMIER INDUSTRIAL DISTRIBUTOR</t>
  </si>
  <si>
    <t xml:space="preserve">flyer                         </t>
  </si>
  <si>
    <t>Jaques</t>
  </si>
  <si>
    <t>pfarelo</t>
  </si>
  <si>
    <t xml:space="preserve">SMITHS MANUFACTURING               </t>
  </si>
  <si>
    <t>SMITHS MANUFACTURING</t>
  </si>
  <si>
    <t>yajnn</t>
  </si>
  <si>
    <t>HARRI</t>
  </si>
  <si>
    <t>HARRISMITH</t>
  </si>
  <si>
    <t>Ntombi</t>
  </si>
  <si>
    <t>POD received from cell 0638379238 M</t>
  </si>
  <si>
    <t>Webster</t>
  </si>
  <si>
    <t xml:space="preserve">Hugo                          </t>
  </si>
  <si>
    <t xml:space="preserve">POD received from cell 0761265903 M     </t>
  </si>
  <si>
    <t xml:space="preserve">REPMA ENGINEERING (PTY) LTD        </t>
  </si>
  <si>
    <t>REPMA ENGINEERING  PTY  LTD</t>
  </si>
  <si>
    <t>arby</t>
  </si>
  <si>
    <t>danny</t>
  </si>
  <si>
    <t>POD received from cell 0670405005 M</t>
  </si>
  <si>
    <t>Aakif</t>
  </si>
  <si>
    <t xml:space="preserve">DKT   PARTNERS PTY LTD             </t>
  </si>
  <si>
    <t>DKT   PARTNERS PTY LTD</t>
  </si>
  <si>
    <t>priest</t>
  </si>
  <si>
    <t>Logan</t>
  </si>
  <si>
    <t>Oupa</t>
  </si>
  <si>
    <t>ayabulola</t>
  </si>
  <si>
    <t>Gheon</t>
  </si>
  <si>
    <t xml:space="preserve">INHLE NEW OPCO PROPRIETARY LIM     </t>
  </si>
  <si>
    <t>INHLE NEW OPCO PROPRIETARY LIM</t>
  </si>
  <si>
    <t>petro</t>
  </si>
  <si>
    <t>nkosikona</t>
  </si>
  <si>
    <t xml:space="preserve">LUVANIZE (PTY) LTD PORT ELIZAB     </t>
  </si>
  <si>
    <t>LUVANIZE  PTY  LTD PORT ELIZAB</t>
  </si>
  <si>
    <t>Heather</t>
  </si>
  <si>
    <t>richard</t>
  </si>
  <si>
    <t>F Roux</t>
  </si>
  <si>
    <t>ref 080065377273</t>
  </si>
  <si>
    <t>Mtondwana</t>
  </si>
  <si>
    <t>Athembile</t>
  </si>
  <si>
    <t>ANGELO</t>
  </si>
  <si>
    <t xml:space="preserve">PLASTIC OMNIUM AUTO INERGY SOU     </t>
  </si>
  <si>
    <t>PLASTIC OMNIUM AUTO INERGY SOU</t>
  </si>
  <si>
    <t>ONICA</t>
  </si>
  <si>
    <t>NAMPAK PRODUCTS LTD T A BEVCAN</t>
  </si>
  <si>
    <t>sandiso</t>
  </si>
  <si>
    <t xml:space="preserve">sipho                         </t>
  </si>
  <si>
    <t xml:space="preserve">ADCOCK INGRAM HEALTHCARE (PTY)     </t>
  </si>
  <si>
    <t>ADCOCK INGRAM HEALTHCARE  PTY</t>
  </si>
  <si>
    <t>foster</t>
  </si>
  <si>
    <t xml:space="preserve">MED-ENGINEERING (PTY) LTD          </t>
  </si>
  <si>
    <t>MED-ENGINEERING  PTY  LTD</t>
  </si>
  <si>
    <t>deo</t>
  </si>
  <si>
    <t>Jason</t>
  </si>
  <si>
    <t xml:space="preserve">FAURECIA INTERIOR SYSTEMS PRET     </t>
  </si>
  <si>
    <t>FAURECIA INTERIOR SYSTEMS PRET</t>
  </si>
  <si>
    <t>Vanessa</t>
  </si>
  <si>
    <t>0001</t>
  </si>
  <si>
    <t xml:space="preserve">FESTO CAPE TOWN                    </t>
  </si>
  <si>
    <t xml:space="preserve">FESTO DURBAN                       </t>
  </si>
  <si>
    <t>LAWRENCE REDDY</t>
  </si>
  <si>
    <t>LAWRENCE</t>
  </si>
  <si>
    <t xml:space="preserve">FESTO (MOVE ANALYTICS)             </t>
  </si>
  <si>
    <t>EGLI PRECISION ENGINEERIN</t>
  </si>
  <si>
    <t>GIFT MASINGA</t>
  </si>
  <si>
    <t>Kamesan</t>
  </si>
  <si>
    <t>DOC / FUE</t>
  </si>
  <si>
    <t>POD received from cell 0662448264 M</t>
  </si>
  <si>
    <t>siyalo</t>
  </si>
  <si>
    <t>sgi</t>
  </si>
  <si>
    <t xml:space="preserve">STAND BA                      </t>
  </si>
  <si>
    <t>breke</t>
  </si>
  <si>
    <t>POD received from cell 0718195095 M</t>
  </si>
  <si>
    <t xml:space="preserve">DUNLOP INDUSTRIAL PRODUCTS T A     </t>
  </si>
  <si>
    <t>DUNLOP INDUSTRIAL PRODUCTS T A</t>
  </si>
  <si>
    <t xml:space="preserve">lous                          </t>
  </si>
  <si>
    <t xml:space="preserve">POD received from cell 0633530723 M     </t>
  </si>
  <si>
    <t>talita</t>
  </si>
  <si>
    <t xml:space="preserve">HEINEKEN BEVERAGES SA PTY LTD      </t>
  </si>
  <si>
    <t>HEINEKEN BEVERAGES SA PTY LTD</t>
  </si>
  <si>
    <t>keith</t>
  </si>
  <si>
    <t>n ricardo</t>
  </si>
  <si>
    <t xml:space="preserve">TIGER BRANDS SNACKS  TREAT   B     </t>
  </si>
  <si>
    <t>TIGER BRANDS SNACKS  TREAT   B</t>
  </si>
  <si>
    <t>azwi</t>
  </si>
  <si>
    <t>POD received from cell 0717795710 M</t>
  </si>
  <si>
    <t xml:space="preserve">ANDERSON ENGINEERING FOOD AND      </t>
  </si>
  <si>
    <t>ANDERSON ENGINEERING FOOD AND</t>
  </si>
  <si>
    <t>luis</t>
  </si>
  <si>
    <t xml:space="preserve">PARROT PRODUCTS CLEVELAND          </t>
  </si>
  <si>
    <t>PARROT PRODUCTS CLEVELAND</t>
  </si>
  <si>
    <t>Victor</t>
  </si>
  <si>
    <t>athembile</t>
  </si>
  <si>
    <t>Bruce</t>
  </si>
  <si>
    <t xml:space="preserve">ASPEN SA OPERATIONS (PTY) LTD      </t>
  </si>
  <si>
    <t>ASPEN SA OPERATIONS  PTY  LTD</t>
  </si>
  <si>
    <t>MARISKA</t>
  </si>
  <si>
    <t>joshua</t>
  </si>
  <si>
    <t>Nomathemba</t>
  </si>
  <si>
    <t>amon</t>
  </si>
  <si>
    <t>LEV</t>
  </si>
  <si>
    <t xml:space="preserve">PROGETTO INTERNATIONAL             </t>
  </si>
  <si>
    <t>PROGETTO INTERNATIONAL</t>
  </si>
  <si>
    <t>R Stene</t>
  </si>
  <si>
    <t>EMI G</t>
  </si>
  <si>
    <t>POD received from cell 0719539417 M</t>
  </si>
  <si>
    <t xml:space="preserve">PRAGA TECHNICAL PTY LTD PLZ        </t>
  </si>
  <si>
    <t>PRAGA TECHNICAL PTY LTD PLZ</t>
  </si>
  <si>
    <t>Bronwyn</t>
  </si>
  <si>
    <t xml:space="preserve">DIVFOOD A DIV OF NAMPAK            </t>
  </si>
  <si>
    <t>DIVFOOD A DIV OF NAMPAK</t>
  </si>
  <si>
    <t>ramesh</t>
  </si>
  <si>
    <t xml:space="preserve">ACDC DYNAMICS CC                   </t>
  </si>
  <si>
    <t>ACDC DYNAMICS CC</t>
  </si>
  <si>
    <t>innocent</t>
  </si>
  <si>
    <t>JERRY</t>
  </si>
  <si>
    <t xml:space="preserve">KELLOGGS CO OF SA PTY LTD VEND     </t>
  </si>
  <si>
    <t>KELLOGGS CO OF SA PTY LTD VEND</t>
  </si>
  <si>
    <t>jeany</t>
  </si>
  <si>
    <t>jma</t>
  </si>
  <si>
    <t>Ntsako</t>
  </si>
  <si>
    <t>TALITA</t>
  </si>
  <si>
    <t xml:space="preserve">CONCORD FOOD   DRUG DISTRIBUTO     </t>
  </si>
  <si>
    <t>CONCORD FOOD   DRUG DISTRIBUTO</t>
  </si>
  <si>
    <t>John</t>
  </si>
  <si>
    <t xml:space="preserve">REHAU POLYMER PTY LTD              </t>
  </si>
  <si>
    <t>REHAU POLYMER</t>
  </si>
  <si>
    <t>lukhanyo</t>
  </si>
  <si>
    <t>japate4</t>
  </si>
  <si>
    <t>Terence</t>
  </si>
  <si>
    <t xml:space="preserve">REEF CONSTRUCTION MACHINERY (P     </t>
  </si>
  <si>
    <t>REEF CONSTRUCTION MACHINERY  P</t>
  </si>
  <si>
    <t xml:space="preserve">andre                         </t>
  </si>
  <si>
    <t xml:space="preserve">POD received from cell 0837842726 M     </t>
  </si>
  <si>
    <t>Chledza</t>
  </si>
  <si>
    <t>UPING</t>
  </si>
  <si>
    <t>UPINGTON</t>
  </si>
  <si>
    <t xml:space="preserve">REFERRO SYSTEMS UPINGTON           </t>
  </si>
  <si>
    <t>REFERRO SYSTEMS UPINGTON</t>
  </si>
  <si>
    <t>DAWID</t>
  </si>
  <si>
    <t>cib</t>
  </si>
  <si>
    <t>M Naidoo</t>
  </si>
  <si>
    <t>Avans</t>
  </si>
  <si>
    <t>Leo</t>
  </si>
  <si>
    <t>kavin</t>
  </si>
  <si>
    <t xml:space="preserve">TIGER CONSUMER BRANDS              </t>
  </si>
  <si>
    <t>TIGER CONSUMER BRANDS</t>
  </si>
  <si>
    <t>Merle</t>
  </si>
  <si>
    <t xml:space="preserve">HYDRAQUIP BERGRIVIER HIDROLIES     </t>
  </si>
  <si>
    <t>HYDRAQUIP BERGRIVIER HIDROLIES</t>
  </si>
  <si>
    <t>L Le Riche</t>
  </si>
  <si>
    <t>CERWIN ADAMS</t>
  </si>
  <si>
    <t xml:space="preserve">LNG WOOD                      </t>
  </si>
  <si>
    <t>llewlleyn</t>
  </si>
  <si>
    <t>lutha</t>
  </si>
  <si>
    <t>sandra</t>
  </si>
  <si>
    <t>ESTCO</t>
  </si>
  <si>
    <t>ESTCOURT</t>
  </si>
  <si>
    <t xml:space="preserve">NESTLE SOUTH AFRICA                </t>
  </si>
  <si>
    <t>NESTLE SOUTH AFRICA</t>
  </si>
  <si>
    <t>sibulile</t>
  </si>
  <si>
    <t xml:space="preserve">MARY                          </t>
  </si>
  <si>
    <t xml:space="preserve">POD received from cell 0714250117 M     </t>
  </si>
  <si>
    <t xml:space="preserve">NAMPAK CLOSURES EPPING 2 CAPE      </t>
  </si>
  <si>
    <t>NAMPAK CLOSURES EPPING 2 CAPE</t>
  </si>
  <si>
    <t>T Meyer</t>
  </si>
  <si>
    <t>thapelo</t>
  </si>
  <si>
    <t xml:space="preserve">WEST COAST COLLEGE                 </t>
  </si>
  <si>
    <t>Please book TRUCK and take TROLLEY JACK for collection Driver to contact Festo Rep PJ 0833272019 for collectioin between 12 and 1.00pm  PJ will be on site to asssist Skynet driver.  Please phone beforehand and keep in coms with PJ</t>
  </si>
  <si>
    <t>PJ ODENDAAL</t>
  </si>
  <si>
    <t>robby</t>
  </si>
  <si>
    <t>POD received from cell 0719533928 M</t>
  </si>
  <si>
    <t>CRATE</t>
  </si>
  <si>
    <t xml:space="preserve">Divfood Nampak                     </t>
  </si>
  <si>
    <t>Yannis Christodoulou</t>
  </si>
  <si>
    <t>Box</t>
  </si>
  <si>
    <t>Outlying delivery location</t>
  </si>
  <si>
    <t>LIV</t>
  </si>
  <si>
    <t xml:space="preserve">ROBERT BOSCH PTY LTD               </t>
  </si>
  <si>
    <t>ROBERT BOSCH PTY LTD</t>
  </si>
  <si>
    <t>NUO</t>
  </si>
  <si>
    <t xml:space="preserve">ENGCON SUPPLIES (PTY) LTD          </t>
  </si>
  <si>
    <t>ENGCON SUPPLIES  PTY  LTD</t>
  </si>
  <si>
    <t>mark</t>
  </si>
  <si>
    <t>michele</t>
  </si>
  <si>
    <t xml:space="preserve">FAIRFIELD DAIRY PTY LTD            </t>
  </si>
  <si>
    <t>FAIRFIELD DAIRY PTY LTD</t>
  </si>
  <si>
    <t>thulile</t>
  </si>
  <si>
    <t>POD received from cell 0633530723 M</t>
  </si>
  <si>
    <t>rebecca</t>
  </si>
  <si>
    <t>Julius</t>
  </si>
  <si>
    <t>Xoliswa</t>
  </si>
  <si>
    <t>kEvin</t>
  </si>
  <si>
    <t>oria</t>
  </si>
  <si>
    <t>riaz</t>
  </si>
  <si>
    <t>kanyan</t>
  </si>
  <si>
    <t>Edith</t>
  </si>
  <si>
    <t>Bradley</t>
  </si>
  <si>
    <t xml:space="preserve">GRAVETT ENGINEERING                </t>
  </si>
  <si>
    <t>GRAVETT ENGINEERING</t>
  </si>
  <si>
    <t>Kimmmm</t>
  </si>
  <si>
    <t>POD received from cell 0744850238 M</t>
  </si>
  <si>
    <t>j van Der nest</t>
  </si>
  <si>
    <t>Vinodh</t>
  </si>
  <si>
    <t>w jawker</t>
  </si>
  <si>
    <t>Joyce</t>
  </si>
  <si>
    <t>zamomza</t>
  </si>
  <si>
    <t>tebogo</t>
  </si>
  <si>
    <t xml:space="preserve">YASKAWA SOUTHERN AFRICA            </t>
  </si>
  <si>
    <t>YASKAWA SOUTHERN AFRICA</t>
  </si>
  <si>
    <t>Aaron</t>
  </si>
  <si>
    <t>Katlego</t>
  </si>
  <si>
    <t xml:space="preserve">ROCKTREES ELECTRIC   INDUSTRIA     </t>
  </si>
  <si>
    <t>ROCKTREES ELECTRIC   INDUSTRIA</t>
  </si>
  <si>
    <t>Kaitlyn</t>
  </si>
  <si>
    <t>Mhlongo</t>
  </si>
  <si>
    <t>khanyo</t>
  </si>
  <si>
    <t xml:space="preserve">Danie                         </t>
  </si>
  <si>
    <t xml:space="preserve">POD received from cell 0727824353 M     </t>
  </si>
  <si>
    <t>nkosikhona</t>
  </si>
  <si>
    <t>sandirs</t>
  </si>
  <si>
    <t>mBona</t>
  </si>
  <si>
    <t xml:space="preserve">TIGER BRANDS SNACKS   TREATS       </t>
  </si>
  <si>
    <t>TIGER BRANDS SNACKS   TREATS</t>
  </si>
  <si>
    <t xml:space="preserve">MASTER PNEUMATIC AFRICA            </t>
  </si>
  <si>
    <t>MASTER PNEUMATIC AFRICA</t>
  </si>
  <si>
    <t xml:space="preserve">ERA STENE (PTY) LTD OLIFANTSFO     </t>
  </si>
  <si>
    <t>ERA STENE  PTY  LTD OLIFANTSFO</t>
  </si>
  <si>
    <t>gert</t>
  </si>
  <si>
    <t>POD received from cell 0814028850 M</t>
  </si>
  <si>
    <t>tshiamo</t>
  </si>
  <si>
    <t>mike</t>
  </si>
  <si>
    <t xml:space="preserve">VOLKSWAGEN OF SA (PTY) LTD PLN     </t>
  </si>
  <si>
    <t>VOLKSWAGEN OF SA  PTY  LTD PLN</t>
  </si>
  <si>
    <t xml:space="preserve">SPIRAX SARCO SA PTY LTD            </t>
  </si>
  <si>
    <t>SPIRAX SARCO</t>
  </si>
  <si>
    <t xml:space="preserve">ISANTI GLASS 1 (PTY) LTD           </t>
  </si>
  <si>
    <t>ISANTI GLASS 1  PTY  LTD</t>
  </si>
  <si>
    <t xml:space="preserve">NEWCO INSTRUMENTS CC               </t>
  </si>
  <si>
    <t>NEWCO INSTRUMENTS CC</t>
  </si>
  <si>
    <t xml:space="preserve">ELECTROWARE INDUSTRIAL SUPPLIE     </t>
  </si>
  <si>
    <t>ELECTROWARE INDUSTRIAL SU</t>
  </si>
  <si>
    <t>siya</t>
  </si>
  <si>
    <t>UNILEVER S.A.  PTY  LTD L</t>
  </si>
  <si>
    <t xml:space="preserve">GIFT MASINGA                       </t>
  </si>
  <si>
    <t xml:space="preserve">KHOSIWE MASILELA                   </t>
  </si>
  <si>
    <t>081 016 5483</t>
  </si>
  <si>
    <t>khethiwe</t>
  </si>
  <si>
    <t>POD received from cell 0773729880 M</t>
  </si>
  <si>
    <t>DALEIN AGRI PLAN  PTY  LT</t>
  </si>
  <si>
    <t xml:space="preserve">MARLEY PIPE SYSTEMS SA (PTY) L     </t>
  </si>
  <si>
    <t>MARLEY PIPE SYSTEMS SA  P</t>
  </si>
  <si>
    <t>shanka</t>
  </si>
  <si>
    <t>PLASTIC</t>
  </si>
  <si>
    <t xml:space="preserve">KARAN BEEF FARMING PTY LTD         </t>
  </si>
  <si>
    <t>KARAN BEEF FARMING PTY LT</t>
  </si>
  <si>
    <t>petros</t>
  </si>
  <si>
    <t>TI GROUP AUTOMOTIVE SYSTE</t>
  </si>
  <si>
    <t>xoliswe</t>
  </si>
  <si>
    <t>SCHULLPAK GAUTENG  PTY  L</t>
  </si>
  <si>
    <t>THE SOUTH AFRICAN BREWERI</t>
  </si>
  <si>
    <t xml:space="preserve">BMI COVERLAND (PTY) LTD BRITS      </t>
  </si>
  <si>
    <t>BMI COVERLAND  PTY  LTD B</t>
  </si>
  <si>
    <t>Christopher</t>
  </si>
  <si>
    <t>HEINEKEN SOUTH AFRICA  PT</t>
  </si>
  <si>
    <t>GOODMAN</t>
  </si>
  <si>
    <t>COREL INSTRUMENTATION   C</t>
  </si>
  <si>
    <t xml:space="preserve">PRIME PRODUCTS MANUFACTURING N     </t>
  </si>
  <si>
    <t>PRIME PRODUCTS FRED 08280</t>
  </si>
  <si>
    <t>loraine</t>
  </si>
  <si>
    <t>0216</t>
  </si>
  <si>
    <t xml:space="preserve">AFRICA CONTROL   INSTRUMENTATI     </t>
  </si>
  <si>
    <t>AFRICA CONTROL   INSTRUME</t>
  </si>
  <si>
    <t>Nicolene</t>
  </si>
  <si>
    <t>POD received from cell 0750461130 M</t>
  </si>
  <si>
    <t>Esther</t>
  </si>
  <si>
    <t>julia</t>
  </si>
  <si>
    <t>COCA-COLA BEVERAGES SOUTH</t>
  </si>
  <si>
    <t>nomathamsanqa</t>
  </si>
  <si>
    <t>Masilo</t>
  </si>
  <si>
    <t>BURG1</t>
  </si>
  <si>
    <t>BURGERSFORT</t>
  </si>
  <si>
    <t xml:space="preserve">GLENCORE OPERATIONS SA (PTY) L     </t>
  </si>
  <si>
    <t>GLENCORE OPERATIONS SA  PTY  L</t>
  </si>
  <si>
    <t>elijah</t>
  </si>
  <si>
    <t xml:space="preserve">Esther                        </t>
  </si>
  <si>
    <t xml:space="preserve">POD received from cell 0790934153 M     </t>
  </si>
  <si>
    <t xml:space="preserve">NJC MANUFACTURING (PTY) LTD        </t>
  </si>
  <si>
    <t>NJC MANUFACTURING  PTY  LTD</t>
  </si>
  <si>
    <t>R Swanepoel</t>
  </si>
  <si>
    <t>Mz welmans</t>
  </si>
  <si>
    <t>BMO</t>
  </si>
  <si>
    <t>thanho</t>
  </si>
  <si>
    <t>lonwabo</t>
  </si>
  <si>
    <t>babalwa</t>
  </si>
  <si>
    <t>Athea</t>
  </si>
  <si>
    <t>Makayla</t>
  </si>
  <si>
    <t xml:space="preserve">BUYHUB (PTY) LTD                   </t>
  </si>
  <si>
    <t>BUYHUB  PTY  LTD</t>
  </si>
  <si>
    <t>greg</t>
  </si>
  <si>
    <t>POD received from cell 0660673653 M</t>
  </si>
  <si>
    <t xml:space="preserve">MAIN STREET 1310(PTY) LTD T A      </t>
  </si>
  <si>
    <t>MAIN STREET 1310 PTY  LTD T A</t>
  </si>
  <si>
    <t>NOMATHEMBA</t>
  </si>
  <si>
    <t>jane</t>
  </si>
  <si>
    <t>jaohiter</t>
  </si>
  <si>
    <t xml:space="preserve">FLYETR                        </t>
  </si>
  <si>
    <t xml:space="preserve">ELECTRO - MECH SERVICES CC         </t>
  </si>
  <si>
    <t>ELECTRO - MECH SERVICES CC</t>
  </si>
  <si>
    <t>POD received from cell 0682118246 M</t>
  </si>
  <si>
    <t>Florence</t>
  </si>
  <si>
    <t>camroodien</t>
  </si>
  <si>
    <t>POD received from cell 0677323396 M</t>
  </si>
  <si>
    <t>NECSA   ATTN  RECEIVING DEPOT</t>
  </si>
  <si>
    <t>Cyriel</t>
  </si>
  <si>
    <t>POD received from cell 0844433687 M</t>
  </si>
  <si>
    <t>Arthur</t>
  </si>
  <si>
    <t xml:space="preserve">CSIR PRETORIA  - BUILDING 11       </t>
  </si>
  <si>
    <t>CSIR PRETORIA - BUILDING 11</t>
  </si>
  <si>
    <t>SOME1</t>
  </si>
  <si>
    <t>SOMERSET EAST</t>
  </si>
  <si>
    <t xml:space="preserve">P.J. ENGINEERING                   </t>
  </si>
  <si>
    <t>P.J. ENGINEERING</t>
  </si>
  <si>
    <t>AJ WITBOOI</t>
  </si>
  <si>
    <t>m van Der nest</t>
  </si>
  <si>
    <t>Zanele</t>
  </si>
  <si>
    <t>POD received from cell 0609039667 M</t>
  </si>
  <si>
    <t xml:space="preserve">SIQALO FOODS PTY LTD               </t>
  </si>
  <si>
    <t>SIQALO FOODS PTY LTD</t>
  </si>
  <si>
    <t>NANDIPHA</t>
  </si>
  <si>
    <t>uat</t>
  </si>
  <si>
    <t>Mbondwana</t>
  </si>
  <si>
    <t xml:space="preserve">Philippine                    </t>
  </si>
  <si>
    <t xml:space="preserve">POD received from cell 0680504436 M     </t>
  </si>
  <si>
    <t>ndumiso</t>
  </si>
  <si>
    <t xml:space="preserve">POLYOAK PACKAGING (PTY) LTD E      </t>
  </si>
  <si>
    <t>POLYOAK PACKAGING  PTY  LTD E</t>
  </si>
  <si>
    <t>boitumelo</t>
  </si>
  <si>
    <t xml:space="preserve">PRESSURE DIE CASTINGS (PTY) LT     </t>
  </si>
  <si>
    <t>PRESSURE DIE CASTINGS  PTY  LT</t>
  </si>
  <si>
    <t>delino</t>
  </si>
  <si>
    <t>bhaitmat</t>
  </si>
  <si>
    <t>Mfundo</t>
  </si>
  <si>
    <t>zweli</t>
  </si>
  <si>
    <t>anele</t>
  </si>
  <si>
    <t xml:space="preserve">BIC SA (PTY) LTD                   </t>
  </si>
  <si>
    <t>BIC SA PTY LTD</t>
  </si>
  <si>
    <t>Tishani</t>
  </si>
  <si>
    <t>Riaan</t>
  </si>
  <si>
    <t>Moloto</t>
  </si>
  <si>
    <t>super</t>
  </si>
  <si>
    <t>POD received from cell 0606520943 M</t>
  </si>
  <si>
    <t>Anele</t>
  </si>
  <si>
    <t>Fanie</t>
  </si>
  <si>
    <t>Jomo</t>
  </si>
  <si>
    <t>Chrisna</t>
  </si>
  <si>
    <t>POD received from cell 0739169605 M</t>
  </si>
  <si>
    <t xml:space="preserve">ENAEX AFRICA (PTY) LTD             </t>
  </si>
  <si>
    <t>ENAEX AFRICA  PTY  LTD</t>
  </si>
  <si>
    <t>steret</t>
  </si>
  <si>
    <t>POD received from cell 0673302997 M</t>
  </si>
  <si>
    <t xml:space="preserve">DIYA VALVES INTERNATIONAL CC C     </t>
  </si>
  <si>
    <t>DIYA VALVES INTERNATIONAL CC C</t>
  </si>
  <si>
    <t>yashver</t>
  </si>
  <si>
    <t>POD received from cell 0698085401 M</t>
  </si>
  <si>
    <t>randal</t>
  </si>
  <si>
    <t>m van dernest</t>
  </si>
  <si>
    <t xml:space="preserve">RCL FOODS RAINBOW CHICKENS         </t>
  </si>
  <si>
    <t>ENOCK   ROBBY</t>
  </si>
  <si>
    <t>REMILE BOOYSEN</t>
  </si>
  <si>
    <t xml:space="preserve">Benteler SA                        </t>
  </si>
  <si>
    <t>COLLECT FROM MRO STORE</t>
  </si>
  <si>
    <t>Karen Du Plessis</t>
  </si>
  <si>
    <t>Debbie</t>
  </si>
  <si>
    <t>thaleo</t>
  </si>
  <si>
    <t>jephig</t>
  </si>
  <si>
    <t xml:space="preserve">Andreas                       </t>
  </si>
  <si>
    <t>Noluthando</t>
  </si>
  <si>
    <t>POD received from cell 0740914769 M</t>
  </si>
  <si>
    <t>Jorge</t>
  </si>
  <si>
    <t xml:space="preserve">PREMIER FMCG PTY LTD               </t>
  </si>
  <si>
    <t>PREMIER FMCG</t>
  </si>
  <si>
    <t>AYANDA</t>
  </si>
  <si>
    <t>joseph</t>
  </si>
  <si>
    <t xml:space="preserve">STEELCORE HEAVY EQUIPMENT PTY      </t>
  </si>
  <si>
    <t>STEELCORE HEAVY EQUIPMENT PTY</t>
  </si>
  <si>
    <t>SIBONGISENI</t>
  </si>
  <si>
    <t xml:space="preserve">DURR AFRICA PTY LTD                </t>
  </si>
  <si>
    <t>zamosa</t>
  </si>
  <si>
    <t>Robert</t>
  </si>
  <si>
    <t>t obaray</t>
  </si>
  <si>
    <t>ricardo</t>
  </si>
  <si>
    <t xml:space="preserve">martin                        </t>
  </si>
  <si>
    <t xml:space="preserve">POD received from cell 0727759089 M     </t>
  </si>
  <si>
    <t>Anelisa</t>
  </si>
  <si>
    <t>t obaroiuy</t>
  </si>
  <si>
    <t>Nefta</t>
  </si>
  <si>
    <t>Joe</t>
  </si>
  <si>
    <t xml:space="preserve">RAND REFINERY (KYD 0114189258)     </t>
  </si>
  <si>
    <t>RAND REFINERY  JONATHAN KYD011</t>
  </si>
  <si>
    <t>eligibled</t>
  </si>
  <si>
    <t xml:space="preserve">SOUTHERN PULP MACHINERY PTY LT     </t>
  </si>
  <si>
    <t>SOUTHERN PULP MACHINERY</t>
  </si>
  <si>
    <t>orfie</t>
  </si>
  <si>
    <t>SWELL</t>
  </si>
  <si>
    <t>SWELLENDAM</t>
  </si>
  <si>
    <t xml:space="preserve">AUTOMATION WORKS CAPE PTY LTD      </t>
  </si>
  <si>
    <t>AUTOMATION WORKS CAPE PTY LTD</t>
  </si>
  <si>
    <t>NADINE</t>
  </si>
  <si>
    <t xml:space="preserve">TENNECO EMISSION CONTROL (PTY)     </t>
  </si>
  <si>
    <t>TENNECO EMISSION CONTROL  PTY</t>
  </si>
  <si>
    <t>colette</t>
  </si>
  <si>
    <t>andries</t>
  </si>
  <si>
    <t>POD received from cell 0832318543 M</t>
  </si>
  <si>
    <t xml:space="preserve">SML BOIX                      </t>
  </si>
  <si>
    <t xml:space="preserve">COCA COLA BEVERAGE SOUTH AFRIC     </t>
  </si>
  <si>
    <t>COCA COLA BEVERAGE SOUTH AFRIC</t>
  </si>
  <si>
    <t>sfiso</t>
  </si>
  <si>
    <t xml:space="preserve">ACTIVE ENTERPRISES CC              </t>
  </si>
  <si>
    <t>ACTIVE ENTERPRISES CC</t>
  </si>
  <si>
    <t>Sam</t>
  </si>
  <si>
    <t xml:space="preserve">NASA ENGINEERING SA                </t>
  </si>
  <si>
    <t>NASA ENGINEERING SA</t>
  </si>
  <si>
    <t>Nena</t>
  </si>
  <si>
    <t>le riche</t>
  </si>
  <si>
    <t xml:space="preserve">BBF SAFETY FROUP (PTY) LTD         </t>
  </si>
  <si>
    <t>BBF SAFETY FROUP  PTY  LTD</t>
  </si>
  <si>
    <t>sadha</t>
  </si>
  <si>
    <t>Philip</t>
  </si>
  <si>
    <t xml:space="preserve">BLISS BRANDS (PTY) LTD             </t>
  </si>
  <si>
    <t>BLISS BRANDS</t>
  </si>
  <si>
    <t>young</t>
  </si>
  <si>
    <t xml:space="preserve">CLAYVILLE NUTRITIONALS (PTY) L     </t>
  </si>
  <si>
    <t>CLAYVILLE NUTRITIONALS  PTY  L</t>
  </si>
  <si>
    <t>jilian</t>
  </si>
  <si>
    <t xml:space="preserve">TENNECO RIDE CONTROL SA (PTY)      </t>
  </si>
  <si>
    <t>TENNECO RIDE CONTROL</t>
  </si>
  <si>
    <t>lifa</t>
  </si>
  <si>
    <t>evans</t>
  </si>
  <si>
    <t>Tomson</t>
  </si>
  <si>
    <t xml:space="preserve">YNF ENGINEERING CC PRETORIA        </t>
  </si>
  <si>
    <t>YNF ENGINEERING CC PRETORIA</t>
  </si>
  <si>
    <t>Jerry</t>
  </si>
  <si>
    <t xml:space="preserve">TOTAL MINING CC                    </t>
  </si>
  <si>
    <t>TOTAL MINING CC</t>
  </si>
  <si>
    <t>Bernard</t>
  </si>
  <si>
    <t>SUPER</t>
  </si>
  <si>
    <t>Latasha</t>
  </si>
  <si>
    <t xml:space="preserve">WOOL TESTING BUREAU S.A            </t>
  </si>
  <si>
    <t>WOOL TESTING BUREAU S.A</t>
  </si>
  <si>
    <t>J Francis</t>
  </si>
  <si>
    <t>POD received from cell 0634843728 M</t>
  </si>
  <si>
    <t xml:space="preserve">MECHANICAL CONCEPTS CC             </t>
  </si>
  <si>
    <t>MECHANICAL CONCEPTS CC</t>
  </si>
  <si>
    <t>Bad address</t>
  </si>
  <si>
    <t>LUCKY</t>
  </si>
  <si>
    <t>andre</t>
  </si>
  <si>
    <t>12FLYER</t>
  </si>
  <si>
    <t>POD received from cell 0664755228 M</t>
  </si>
  <si>
    <t xml:space="preserve">ISEGEN S.A (PTY) LTD               </t>
  </si>
  <si>
    <t>ISEGEN S.A  PTY  LTD</t>
  </si>
  <si>
    <t>keegan</t>
  </si>
  <si>
    <t>FANIE</t>
  </si>
  <si>
    <t>Zikhona</t>
  </si>
  <si>
    <t xml:space="preserve">SA SUGAR ASSOCIATION               </t>
  </si>
  <si>
    <t>SA SUGAR ASSOCIATION</t>
  </si>
  <si>
    <t>sulay</t>
  </si>
  <si>
    <t>MMATHAPELO</t>
  </si>
  <si>
    <t>0127</t>
  </si>
  <si>
    <t xml:space="preserve">JOHN BEAN TECHNOLOGIES PTY LTD     </t>
  </si>
  <si>
    <t>JOHN BEAN TECHNOLOGIES PTY LTD</t>
  </si>
  <si>
    <t>CYLINDER</t>
  </si>
  <si>
    <t>LION MATCH PRODUCTS  PTY</t>
  </si>
  <si>
    <t>Jeayt</t>
  </si>
  <si>
    <t>AUTO INDUSTRIAL MACHINING</t>
  </si>
  <si>
    <t xml:space="preserve">TRUDA FOODS (PTY) LTD EPPING I     </t>
  </si>
  <si>
    <t>TRUDA FOODS  PTY  LTD EPP</t>
  </si>
  <si>
    <t>Kainyi</t>
  </si>
  <si>
    <t xml:space="preserve">ANALOG   DIGITAL POWER ELECTRO     </t>
  </si>
  <si>
    <t>ANALOG   DIGITAL POWER EL</t>
  </si>
  <si>
    <t>MONDI SOUTH AFRICA PROPRI</t>
  </si>
  <si>
    <t>myron</t>
  </si>
  <si>
    <t>POD received from cell 0732386258 M</t>
  </si>
  <si>
    <t>Silayi</t>
  </si>
  <si>
    <t>AMON</t>
  </si>
  <si>
    <t>Jeff</t>
  </si>
  <si>
    <t>JEG</t>
  </si>
  <si>
    <t xml:space="preserve">FOSKOR (PTY) LTD PHALABORWA        </t>
  </si>
  <si>
    <t>FOSKOR  PTY  LTD PHALABORWA</t>
  </si>
  <si>
    <t>elizabch</t>
  </si>
  <si>
    <t>alan</t>
  </si>
  <si>
    <t xml:space="preserve">Novan                         </t>
  </si>
  <si>
    <t xml:space="preserve">POD received from cell 0786786237 M     </t>
  </si>
  <si>
    <t xml:space="preserve">CROWN CHICKENS (PTY) LTD T A S     </t>
  </si>
  <si>
    <t>CROWN CHICKENS  PTY  LTD T A S</t>
  </si>
  <si>
    <t>sinetemba</t>
  </si>
  <si>
    <t>barend</t>
  </si>
  <si>
    <t xml:space="preserve">QUALITECHS                         </t>
  </si>
  <si>
    <t>QUALITECHS</t>
  </si>
  <si>
    <t>Renny</t>
  </si>
  <si>
    <t>Michaela</t>
  </si>
  <si>
    <t>POD received from cell 0736687669 M</t>
  </si>
  <si>
    <t>RAMESH</t>
  </si>
  <si>
    <t>Thobile</t>
  </si>
  <si>
    <t>yanga</t>
  </si>
  <si>
    <t>POD received from cell 0736924422 M</t>
  </si>
  <si>
    <t>kedibone</t>
  </si>
  <si>
    <t>Janine</t>
  </si>
  <si>
    <t>Zandile</t>
  </si>
  <si>
    <t>Monique</t>
  </si>
  <si>
    <t>thabiso</t>
  </si>
  <si>
    <t xml:space="preserve">Themba                        </t>
  </si>
  <si>
    <t xml:space="preserve">POD received from cell 0844020000 M     </t>
  </si>
  <si>
    <t xml:space="preserve">UNILEVER SOUTH AFRICA PTY LTD      </t>
  </si>
  <si>
    <t>UNILEVER SOUTH AFRICA PTY LTD</t>
  </si>
  <si>
    <t>Kanyane</t>
  </si>
  <si>
    <t>Leshoro</t>
  </si>
  <si>
    <t>zakes</t>
  </si>
  <si>
    <t>POD received from cell 0603508199 M</t>
  </si>
  <si>
    <t>Cecil</t>
  </si>
  <si>
    <t xml:space="preserve">M AND T BEARING AND BELTING SU     </t>
  </si>
  <si>
    <t>M AND T BEARING AND BELTING SU</t>
  </si>
  <si>
    <t>sbonelo</t>
  </si>
  <si>
    <t>Suzan</t>
  </si>
  <si>
    <t xml:space="preserve">CROWN CHICKENS T A SOVEREIGNFO     </t>
  </si>
  <si>
    <t>CROWN CHICKENS T A SOVEREIGNFO</t>
  </si>
  <si>
    <t>Harrison</t>
  </si>
  <si>
    <t>POD received from cell 0711790907 M</t>
  </si>
  <si>
    <t>RUAN</t>
  </si>
  <si>
    <t>ansel</t>
  </si>
  <si>
    <t xml:space="preserve">TRU-GAGE MACHINES (PTY) LTD        </t>
  </si>
  <si>
    <t>TRU-GAGE MACHINES  PTY  LTD</t>
  </si>
  <si>
    <t>TEBOGO</t>
  </si>
  <si>
    <t xml:space="preserve">S4 INTEGRATION PTYLTD              </t>
  </si>
  <si>
    <t>S4 INTEGRATION PTYLTD</t>
  </si>
  <si>
    <t>Annah</t>
  </si>
  <si>
    <t>POD received from cell 0711059733 M</t>
  </si>
  <si>
    <t>lbr</t>
  </si>
  <si>
    <t xml:space="preserve">CAXTON WORKS                       </t>
  </si>
  <si>
    <t>CAXTON WORKS</t>
  </si>
  <si>
    <t>Cathy</t>
  </si>
  <si>
    <t xml:space="preserve">CSM Engineering                    </t>
  </si>
  <si>
    <t>Wickus</t>
  </si>
  <si>
    <t>tlou</t>
  </si>
  <si>
    <t>POD received from cell 0614061714 M</t>
  </si>
  <si>
    <t>Jeanet</t>
  </si>
  <si>
    <t>stanley</t>
  </si>
  <si>
    <t>Lindah</t>
  </si>
  <si>
    <t>0700</t>
  </si>
  <si>
    <t>JACO1</t>
  </si>
  <si>
    <t>JACOBS</t>
  </si>
  <si>
    <t xml:space="preserve">TIGER BRANDS SNACKS  TREATS PH     </t>
  </si>
  <si>
    <t>TIGER BRANDS SNACKS  TREATS PH</t>
  </si>
  <si>
    <t xml:space="preserve">MOY                           </t>
  </si>
  <si>
    <t>chase</t>
  </si>
  <si>
    <t xml:space="preserve">SFC SOLUTIONS CLIMATE SOUTH AF     </t>
  </si>
  <si>
    <t>SFC SOLUTIONS CLIMATE SOUTH AF</t>
  </si>
  <si>
    <t>liyema</t>
  </si>
  <si>
    <t>jeg</t>
  </si>
  <si>
    <t>Cameron</t>
  </si>
  <si>
    <t>elnier</t>
  </si>
  <si>
    <t>tps</t>
  </si>
  <si>
    <t>TRUDA FOODS  PTY  LTD EPPING I</t>
  </si>
  <si>
    <t>Kamva</t>
  </si>
  <si>
    <t xml:space="preserve">HANON SYSTEMS SOUTH AFRICA PTY     </t>
  </si>
  <si>
    <t>HANON SYSTEMS SOUTH AFRICA PTY</t>
  </si>
  <si>
    <t>glosia</t>
  </si>
  <si>
    <t>colin</t>
  </si>
  <si>
    <t>jeff</t>
  </si>
  <si>
    <t xml:space="preserve">THEMBA                        </t>
  </si>
  <si>
    <t xml:space="preserve">POLIMATRIX S.A                     </t>
  </si>
  <si>
    <t>POLIMATRIX S.A</t>
  </si>
  <si>
    <t>Victor Security</t>
  </si>
  <si>
    <t>LOLLITA</t>
  </si>
  <si>
    <t>nicki</t>
  </si>
  <si>
    <t>yolisa</t>
  </si>
  <si>
    <t xml:space="preserve">themba                        </t>
  </si>
  <si>
    <t>Sheriff</t>
  </si>
  <si>
    <t>j steyn</t>
  </si>
  <si>
    <t xml:space="preserve">ARDAGH GLASS PACKAGING             </t>
  </si>
  <si>
    <t>ARDAGH GLASS PACKAGING</t>
  </si>
  <si>
    <t>CIDNEY</t>
  </si>
  <si>
    <t>POD received from cell 0684446086 M</t>
  </si>
  <si>
    <t>WISEMAN</t>
  </si>
  <si>
    <t>tarryn</t>
  </si>
  <si>
    <t>Jarred</t>
  </si>
  <si>
    <t>delivered by 10h10</t>
  </si>
  <si>
    <t>chandre</t>
  </si>
  <si>
    <t xml:space="preserve">IL VAUGHAN INDUSTRIAL CC           </t>
  </si>
  <si>
    <t>IL VAUGHAN INDUSTRIAL CC</t>
  </si>
  <si>
    <t>ivan</t>
  </si>
  <si>
    <t>POD received from cell 0794524703 M</t>
  </si>
  <si>
    <t>sapha</t>
  </si>
  <si>
    <t>Ryno</t>
  </si>
  <si>
    <t>yandi</t>
  </si>
  <si>
    <t>POD received from cell 0635052911 M</t>
  </si>
  <si>
    <t xml:space="preserve">COLGATE PALMOLIVE LTD              </t>
  </si>
  <si>
    <t>COLGATE PALMOLIVE LTD</t>
  </si>
  <si>
    <t>Joshua</t>
  </si>
  <si>
    <t>Franklin</t>
  </si>
  <si>
    <t xml:space="preserve">FLYERT                        </t>
  </si>
  <si>
    <t xml:space="preserve">FAMOUS BRANDS MANAGEMENT           </t>
  </si>
  <si>
    <t>FAMOUS BRANDS MANAGEMENT</t>
  </si>
  <si>
    <t>gift</t>
  </si>
  <si>
    <t>sabwiso</t>
  </si>
  <si>
    <t>POD received from cell 0657458658 M</t>
  </si>
  <si>
    <t>BMI COVERLAND  PTY  LTD BRITS</t>
  </si>
  <si>
    <t>mbulelwa</t>
  </si>
  <si>
    <t>webster</t>
  </si>
  <si>
    <t>VINODH</t>
  </si>
  <si>
    <t>frans</t>
  </si>
  <si>
    <t xml:space="preserve">TILODI ENGINEERING PTY LTD         </t>
  </si>
  <si>
    <t>TILODI ENGINEERING PTY LT</t>
  </si>
  <si>
    <t>Neil</t>
  </si>
  <si>
    <t>POD received from cell 0711711010 M</t>
  </si>
  <si>
    <t>POD received from cell 0662043149 M</t>
  </si>
  <si>
    <t>aphelele</t>
  </si>
  <si>
    <t>kiven</t>
  </si>
  <si>
    <t>MUSA</t>
  </si>
  <si>
    <t xml:space="preserve">APEX AUTOMATION (PTY) LTD BRAS     </t>
  </si>
  <si>
    <t>APEX AUTOMATION  PTY  LTD BRAS</t>
  </si>
  <si>
    <t>barto</t>
  </si>
  <si>
    <t xml:space="preserve">LIQUID CARTONS INDUSTRIA           </t>
  </si>
  <si>
    <t>LIQUID CARTONS INDUSTRIA</t>
  </si>
  <si>
    <t>mxolis</t>
  </si>
  <si>
    <t>Francina</t>
  </si>
  <si>
    <t>LLH</t>
  </si>
  <si>
    <t xml:space="preserve">STRAIT ACCESS TECHNOLOGIES         </t>
  </si>
  <si>
    <t>STRAIT ACCESS TECHNOLOGIES</t>
  </si>
  <si>
    <t>POD received from cell 0633442020 M</t>
  </si>
  <si>
    <t xml:space="preserve">Jafta                         </t>
  </si>
  <si>
    <t xml:space="preserve">POD received from cell 0837323487 M     </t>
  </si>
  <si>
    <t>sphamandla</t>
  </si>
  <si>
    <t>LATASHA</t>
  </si>
  <si>
    <t>judy</t>
  </si>
  <si>
    <t>Samantha</t>
  </si>
  <si>
    <t>venessa</t>
  </si>
  <si>
    <t xml:space="preserve">Mchaela                       </t>
  </si>
  <si>
    <t xml:space="preserve">POD received from cell 0848417301 M     </t>
  </si>
  <si>
    <t>Mr ben</t>
  </si>
  <si>
    <t>POD received from cell 0761993462 M</t>
  </si>
  <si>
    <t xml:space="preserve">windy                         </t>
  </si>
  <si>
    <t xml:space="preserve">COCHRANE STEEL SPARTAN             </t>
  </si>
  <si>
    <t>COCHRANE STEEL SPARTAN</t>
  </si>
  <si>
    <t xml:space="preserve">Andile                        </t>
  </si>
  <si>
    <t xml:space="preserve">TROPIC PLASTIC   PACKAGING LTD     </t>
  </si>
  <si>
    <t>TROPIC PLASTIC   PACKAGING LTD</t>
  </si>
  <si>
    <t>abbas</t>
  </si>
  <si>
    <t>bakelwa</t>
  </si>
  <si>
    <t xml:space="preserve">JLINC T A TASAMA TRADING 213C      </t>
  </si>
  <si>
    <t>JLINC T A TASAMA TRADING 213C</t>
  </si>
  <si>
    <t xml:space="preserve">Lutzeler                      </t>
  </si>
  <si>
    <t xml:space="preserve">POD received from cell 0671392487 M     </t>
  </si>
  <si>
    <t xml:space="preserve">RCL FOODS CONSUMER PTY LTD         </t>
  </si>
  <si>
    <t>RCL FOODS CONSUMER PTY LTD</t>
  </si>
  <si>
    <t>DISEMELO</t>
  </si>
  <si>
    <t>POD received from cell 0836935442 M</t>
  </si>
  <si>
    <t xml:space="preserve">elmien                        </t>
  </si>
  <si>
    <t xml:space="preserve">POD received from cell 0606520943 M     </t>
  </si>
  <si>
    <t>Jemina</t>
  </si>
  <si>
    <t xml:space="preserve">ETHICAL PRODUCTS CC                </t>
  </si>
  <si>
    <t>ETHICAL PRODUCTS CC</t>
  </si>
  <si>
    <t>Riad</t>
  </si>
  <si>
    <t>shay</t>
  </si>
  <si>
    <t xml:space="preserve">FIRST QUANTUM MINERALS SA (PTY     </t>
  </si>
  <si>
    <t>FIRST QUANTUM MINERALS SA  PTY</t>
  </si>
  <si>
    <t>Ayanda</t>
  </si>
  <si>
    <t xml:space="preserve">FLYERE                        </t>
  </si>
  <si>
    <t>tyla</t>
  </si>
  <si>
    <t>kubashni</t>
  </si>
  <si>
    <t>SELLO</t>
  </si>
  <si>
    <t xml:space="preserve">R Lodewyk                     </t>
  </si>
  <si>
    <t xml:space="preserve">Gavin                         </t>
  </si>
  <si>
    <t>gulto</t>
  </si>
  <si>
    <t>carmen</t>
  </si>
  <si>
    <t xml:space="preserve">phayal                        </t>
  </si>
  <si>
    <t xml:space="preserve">POD received from cell 0843672221 M     </t>
  </si>
  <si>
    <t xml:space="preserve">Symon                         </t>
  </si>
  <si>
    <t xml:space="preserve">POD received from cell 0715155602 M     </t>
  </si>
  <si>
    <t xml:space="preserve">PLASTIC OMNIUM AUTO INERGY SA      </t>
  </si>
  <si>
    <t>PLASTIC OMNIUM AUTO INERGY SA</t>
  </si>
  <si>
    <t>noram</t>
  </si>
  <si>
    <t xml:space="preserve">UNILEVER SOUTH AFRICA              </t>
  </si>
  <si>
    <t xml:space="preserve">L Le Riche                    </t>
  </si>
  <si>
    <t xml:space="preserve">Chledza                       </t>
  </si>
  <si>
    <t>Byron</t>
  </si>
  <si>
    <t>emi</t>
  </si>
  <si>
    <t xml:space="preserve">JOHN THOMPSON A DIV OF ACTOM P     </t>
  </si>
  <si>
    <t>JOHN THOMPSON A DIV OF ACTOM P</t>
  </si>
  <si>
    <t>Elton</t>
  </si>
  <si>
    <t>S E KHUZWAYO</t>
  </si>
  <si>
    <t>gary</t>
  </si>
  <si>
    <t>Alwano</t>
  </si>
  <si>
    <t xml:space="preserve">Collen                        </t>
  </si>
  <si>
    <t>remile</t>
  </si>
  <si>
    <t>Myron</t>
  </si>
  <si>
    <t xml:space="preserve">LIZ CATANHO                        </t>
  </si>
  <si>
    <t>0118534560</t>
  </si>
  <si>
    <t xml:space="preserve">liz                           </t>
  </si>
  <si>
    <t xml:space="preserve">POD received from cell 0826614802 M     </t>
  </si>
  <si>
    <t>UMBOG</t>
  </si>
  <si>
    <t>UMBOGINTWINI</t>
  </si>
  <si>
    <t xml:space="preserve">RYMCO PTY LTD T A ANCHOR YEAST     </t>
  </si>
  <si>
    <t>RYMCO</t>
  </si>
  <si>
    <t>Jaya</t>
  </si>
  <si>
    <t xml:space="preserve">COLLABORATIVE PACKING SOLUTION     </t>
  </si>
  <si>
    <t>COLLABORATIVE PACKING SOLUTION</t>
  </si>
  <si>
    <t>Manuel</t>
  </si>
  <si>
    <t>preleen</t>
  </si>
  <si>
    <t>Rethabile</t>
  </si>
  <si>
    <t xml:space="preserve">udo                           </t>
  </si>
  <si>
    <t xml:space="preserve">POD received from cell 0826975382 M     </t>
  </si>
  <si>
    <t>nathan</t>
  </si>
  <si>
    <t xml:space="preserve">CSIR PRETORIA EMMARENTIA JOHAN     </t>
  </si>
  <si>
    <t>CSIR PRETORIA EMMARENTIA JOHAN</t>
  </si>
  <si>
    <t xml:space="preserve">LEONARD DINGLER ( PTY) LTD PRO     </t>
  </si>
  <si>
    <t>LEONARD DINGLER   PTY  LTD PRO</t>
  </si>
  <si>
    <t>Samukelisiwe</t>
  </si>
  <si>
    <t>POD received from cell 0688496941 M</t>
  </si>
  <si>
    <t>kathy</t>
  </si>
  <si>
    <t>DILTON</t>
  </si>
  <si>
    <t>Sylvester</t>
  </si>
  <si>
    <t>nosicelo</t>
  </si>
  <si>
    <t>Masiviwe</t>
  </si>
  <si>
    <t xml:space="preserve">VISTA 24 (PTY) LTD HAMMANSKRAA     </t>
  </si>
  <si>
    <t>VISTA 24  PTY  LTD HAMMANSKRAA</t>
  </si>
  <si>
    <t>VUSUMUZ</t>
  </si>
  <si>
    <t>0407</t>
  </si>
  <si>
    <t xml:space="preserve">CIM Automation                     </t>
  </si>
  <si>
    <t>Janelle</t>
  </si>
  <si>
    <t xml:space="preserve">MDW Pneumatic                      </t>
  </si>
  <si>
    <t>Dalton</t>
  </si>
  <si>
    <t xml:space="preserve">CATER CHAIN FOOD SERVICES          </t>
  </si>
  <si>
    <t>CATER CHAIN FOOD SERVICES</t>
  </si>
  <si>
    <t>ncebakazi</t>
  </si>
  <si>
    <t xml:space="preserve">Mvhaela                       </t>
  </si>
  <si>
    <t>Mbona</t>
  </si>
  <si>
    <t>taj</t>
  </si>
  <si>
    <t>andreas</t>
  </si>
  <si>
    <t xml:space="preserve">SYNC SYSTEMS                       </t>
  </si>
  <si>
    <t>SYNC SYSTEMS</t>
  </si>
  <si>
    <t>momelezi</t>
  </si>
  <si>
    <t>JB</t>
  </si>
  <si>
    <t xml:space="preserve">TI AUTOMOTIVE FUEL SYSTEMS SOU     </t>
  </si>
  <si>
    <t>TI AUTOMOTIVE FUEL SYSTEMS SOU</t>
  </si>
  <si>
    <t>henry</t>
  </si>
  <si>
    <t xml:space="preserve">Marcell                       </t>
  </si>
  <si>
    <t xml:space="preserve">ALVEO WATER (PTY) LTD CAPE TOW     </t>
  </si>
  <si>
    <t>ALVEO WATER  PTY  LTD CAPE TOW</t>
  </si>
  <si>
    <t>Alveo</t>
  </si>
  <si>
    <t xml:space="preserve">ARB ELECTRICAL WHOLESALERS PTY     </t>
  </si>
  <si>
    <t>ARB ELECTRICAL WHOLESALERS PTY</t>
  </si>
  <si>
    <t>koketso</t>
  </si>
  <si>
    <t xml:space="preserve">GREIF S.A PTY LTD                  </t>
  </si>
  <si>
    <t>GREIF S.A PTY LTD</t>
  </si>
  <si>
    <t>KHANYISILE</t>
  </si>
  <si>
    <t>RICHA</t>
  </si>
  <si>
    <t>RICHARDS BAY</t>
  </si>
  <si>
    <t xml:space="preserve">PHILCO SYSTEMS (PTY) LTD ALTON     </t>
  </si>
  <si>
    <t>PHILCO SYSTEMS  PTY  LTD ALTON</t>
  </si>
  <si>
    <t>PRINCESS</t>
  </si>
  <si>
    <t>POD received from cell 0714373844 M</t>
  </si>
  <si>
    <t>PALLET</t>
  </si>
  <si>
    <t>Cohin</t>
  </si>
  <si>
    <t>FES CUST 20250516 51 - BACK TO CUSTOMER</t>
  </si>
  <si>
    <t>BOXES</t>
  </si>
  <si>
    <t>TREVOR</t>
  </si>
  <si>
    <t>geya</t>
  </si>
  <si>
    <t>asanda</t>
  </si>
  <si>
    <t>lucy</t>
  </si>
  <si>
    <t xml:space="preserve">priest                        </t>
  </si>
  <si>
    <t>faro</t>
  </si>
  <si>
    <t>grace</t>
  </si>
  <si>
    <t>judith</t>
  </si>
  <si>
    <t xml:space="preserve">lonwabo                       </t>
  </si>
  <si>
    <t>singliwe</t>
  </si>
  <si>
    <t xml:space="preserve">SML; BOX                      </t>
  </si>
  <si>
    <t xml:space="preserve">SOUTHERN OIL LTD T A SOILL         </t>
  </si>
  <si>
    <t>SOUTHERN OIL LTD T A SOILL</t>
  </si>
  <si>
    <t>MARIANA</t>
  </si>
  <si>
    <t xml:space="preserve">MR CARRIERS                        </t>
  </si>
  <si>
    <t>MR CARRIERS</t>
  </si>
  <si>
    <t xml:space="preserve">Sasol dyno nobel pty ltd           </t>
  </si>
  <si>
    <t xml:space="preserve">Vilakazi                           </t>
  </si>
  <si>
    <t>0608321627</t>
  </si>
  <si>
    <t>Sasol dyno nobel pty ltd</t>
  </si>
  <si>
    <t>NDC / FUE / doc</t>
  </si>
  <si>
    <t xml:space="preserve">QUICK VOLT ELECTRICAL CC SPART     </t>
  </si>
  <si>
    <t>QUICK VOLT ELECTRICAL CC SPART</t>
  </si>
  <si>
    <t>Louise</t>
  </si>
  <si>
    <t>juandre</t>
  </si>
  <si>
    <t>LESTER</t>
  </si>
  <si>
    <t xml:space="preserve">CORRUSEAL CORRUGATED GAUTENG P     </t>
  </si>
  <si>
    <t>Hlungwane</t>
  </si>
  <si>
    <t xml:space="preserve">ANDRITZ DELKOR (PTY) LTD           </t>
  </si>
  <si>
    <t>ANDRITZ DELKOR  PTY  LTD</t>
  </si>
  <si>
    <t xml:space="preserve">Toni                          </t>
  </si>
  <si>
    <t xml:space="preserve">POD received from cell 0741433512 M     </t>
  </si>
  <si>
    <t xml:space="preserve">MARLEY SA PTY LTD                  </t>
  </si>
  <si>
    <t>MARLEY SA PTY LTD</t>
  </si>
  <si>
    <t>Simon Sibiya</t>
  </si>
  <si>
    <t>Danielle</t>
  </si>
  <si>
    <t>Africa</t>
  </si>
  <si>
    <t>ntombi</t>
  </si>
  <si>
    <t xml:space="preserve">COIN DE MIRE EXPORTS CC            </t>
  </si>
  <si>
    <t>COIN DE MIRE EXPORTS CC</t>
  </si>
  <si>
    <t>sbu</t>
  </si>
  <si>
    <t xml:space="preserve">HP HOSE   FITTING SPECIALIST C     </t>
  </si>
  <si>
    <t>HP HOSE   FITTING SPECIALIST C</t>
  </si>
  <si>
    <t>POD received from cell 0847863055 M</t>
  </si>
  <si>
    <t>Nondumiso</t>
  </si>
  <si>
    <t>Andrew</t>
  </si>
  <si>
    <t xml:space="preserve">kim                           </t>
  </si>
  <si>
    <t xml:space="preserve">Lucky                         </t>
  </si>
  <si>
    <t xml:space="preserve">POD received from cell 0767738416 M     </t>
  </si>
  <si>
    <t>bongiwe</t>
  </si>
  <si>
    <t>lariette</t>
  </si>
  <si>
    <t xml:space="preserve">FELTEX AUTOMOTIVE DIVISION- GR     </t>
  </si>
  <si>
    <t>FELTEX AUTOMOTIVE DIVISION- GR</t>
  </si>
  <si>
    <t>vishaal</t>
  </si>
  <si>
    <t>Dick</t>
  </si>
  <si>
    <t>J Lutzeler</t>
  </si>
  <si>
    <t>W Smith</t>
  </si>
  <si>
    <t>Nelson</t>
  </si>
  <si>
    <t>Jafta</t>
  </si>
  <si>
    <t xml:space="preserve">ERGO MINING PTY LTD                </t>
  </si>
  <si>
    <t>ERGO MINING PTY LTD</t>
  </si>
  <si>
    <t>jacob</t>
  </si>
  <si>
    <t>Bussiwa</t>
  </si>
  <si>
    <t>marlin</t>
  </si>
  <si>
    <t>Jay jay</t>
  </si>
  <si>
    <t>Andile</t>
  </si>
  <si>
    <t>JOHANNES</t>
  </si>
  <si>
    <t xml:space="preserve">PAMODZI UNIQUE ENGINEERING (PT     </t>
  </si>
  <si>
    <t>PAMODZI UNIQUE ENGINEERING  PT</t>
  </si>
  <si>
    <t>Lordwick</t>
  </si>
  <si>
    <t>maruschka</t>
  </si>
  <si>
    <t>Jude</t>
  </si>
  <si>
    <t xml:space="preserve">CSIR PRETORIA - BUILDING 11        </t>
  </si>
  <si>
    <t>LIZ</t>
  </si>
  <si>
    <t>POD received from cell 0826614802 M</t>
  </si>
  <si>
    <t>zinase</t>
  </si>
  <si>
    <t>mdu</t>
  </si>
  <si>
    <t xml:space="preserve">bruce                         </t>
  </si>
  <si>
    <t xml:space="preserve">HIGH TECH PROCESSING PTY LTD       </t>
  </si>
  <si>
    <t>HIGH TECH PROCESSING PTY LTD</t>
  </si>
  <si>
    <t>Adri</t>
  </si>
  <si>
    <t>A  niel</t>
  </si>
  <si>
    <t>bongani</t>
  </si>
  <si>
    <t>hilwar</t>
  </si>
  <si>
    <t>byron</t>
  </si>
  <si>
    <t>D JACOBS</t>
  </si>
  <si>
    <t>phayal</t>
  </si>
  <si>
    <t>Cebo</t>
  </si>
  <si>
    <t>akesha</t>
  </si>
  <si>
    <t>kimona</t>
  </si>
  <si>
    <t>POD received from cell 0747406106 M</t>
  </si>
  <si>
    <t>Jawn</t>
  </si>
  <si>
    <t>Boikie</t>
  </si>
  <si>
    <t>Ashwin</t>
  </si>
  <si>
    <t>080065444613</t>
  </si>
  <si>
    <t xml:space="preserve">LIPTON TEAS AND INFUSION MANUF     </t>
  </si>
  <si>
    <t>LIPTON TEAS AND INFUSION MANUF</t>
  </si>
  <si>
    <t>George</t>
  </si>
  <si>
    <t>sibu</t>
  </si>
  <si>
    <t xml:space="preserve">shida                         </t>
  </si>
  <si>
    <t xml:space="preserve">POD received from cell 0842084217 M     </t>
  </si>
  <si>
    <t>igsham</t>
  </si>
  <si>
    <t xml:space="preserve">MMS TECHNOLOGY (PTY) LTD LYTTE     </t>
  </si>
  <si>
    <t>MMS TECHNOLOGY  PTY  LTD LYTTE</t>
  </si>
  <si>
    <t>sj roos</t>
  </si>
  <si>
    <t>POD received from cell 0684441096 M</t>
  </si>
  <si>
    <t>BenBen</t>
  </si>
  <si>
    <t>Mogomotsi</t>
  </si>
  <si>
    <t xml:space="preserve">ALBANY BAKERIES A DIVISION OF      </t>
  </si>
  <si>
    <t>ALBANY BAKERIES A DIVISIO</t>
  </si>
  <si>
    <t xml:space="preserve">Gloria                        </t>
  </si>
  <si>
    <t xml:space="preserve">POD received from cell 0842081067 M     </t>
  </si>
  <si>
    <t>j jooste</t>
  </si>
  <si>
    <t>Leana</t>
  </si>
  <si>
    <t>letisia</t>
  </si>
  <si>
    <t xml:space="preserve">CONTROL SYSTEMS STEELPOORT CC      </t>
  </si>
  <si>
    <t>CONTROL SYSTEMS STEELPOORT CC</t>
  </si>
  <si>
    <t>Brenda tese</t>
  </si>
  <si>
    <t>liv</t>
  </si>
  <si>
    <t>DOC / NDC / FUE</t>
  </si>
  <si>
    <t>POD received from cell 0765752559 M</t>
  </si>
  <si>
    <t xml:space="preserve">TETRA PAK SA                       </t>
  </si>
  <si>
    <t>TETRA PAK SA</t>
  </si>
  <si>
    <t>Lee anne</t>
  </si>
  <si>
    <t xml:space="preserve">Tetra Pak                          </t>
  </si>
  <si>
    <t>Tetra Pak</t>
  </si>
  <si>
    <t>exprian</t>
  </si>
  <si>
    <t>stu</t>
  </si>
  <si>
    <t>ANALOG   DIGITAL POWER ELECTRO</t>
  </si>
  <si>
    <t>rhyno</t>
  </si>
  <si>
    <t>BOTRI</t>
  </si>
  <si>
    <t>BOTRIVIER</t>
  </si>
  <si>
    <t xml:space="preserve">NLO INFORMATION SYSTEMS (PTY)      </t>
  </si>
  <si>
    <t>NLO INFORMATION SYSTEMS  PTY</t>
  </si>
  <si>
    <t>n oosthuizen</t>
  </si>
  <si>
    <t>POD received from cell 0834059114 M</t>
  </si>
  <si>
    <t>alwano</t>
  </si>
  <si>
    <t>reabetswe</t>
  </si>
  <si>
    <t>lethu</t>
  </si>
  <si>
    <t>keletso</t>
  </si>
  <si>
    <t>ineyart</t>
  </si>
  <si>
    <t>Jennie lee</t>
  </si>
  <si>
    <t>Bertha</t>
  </si>
  <si>
    <t>Medwin</t>
  </si>
  <si>
    <t>Yolisa</t>
  </si>
  <si>
    <t>NELL</t>
  </si>
  <si>
    <t>PENNY</t>
  </si>
  <si>
    <t>Gery</t>
  </si>
  <si>
    <t>moses</t>
  </si>
  <si>
    <t xml:space="preserve">lucul                         </t>
  </si>
  <si>
    <t xml:space="preserve">HIGHVELD FILTERS (PTY) LTD ALT     </t>
  </si>
  <si>
    <t>HIGHVELD FILTERS  PTY  LTD ALT</t>
  </si>
  <si>
    <t>SNETHEMBA</t>
  </si>
  <si>
    <t xml:space="preserve">LOLLITA                       </t>
  </si>
  <si>
    <t xml:space="preserve">POD received from cell 0661437222 M     </t>
  </si>
  <si>
    <t xml:space="preserve">CLOVER SA (PTY) LTD                </t>
  </si>
  <si>
    <t>CLOVER SA  PTY  LTD</t>
  </si>
  <si>
    <t>Zimba</t>
  </si>
  <si>
    <t>Alvin</t>
  </si>
  <si>
    <t>t davis</t>
  </si>
  <si>
    <t>POD received from cell 0610435650 M</t>
  </si>
  <si>
    <t>MALAN</t>
  </si>
  <si>
    <t xml:space="preserve">MERPAK ENVELOPES (PTY) LTD         </t>
  </si>
  <si>
    <t>MERPAK ENVELOPES  PTY  LTD</t>
  </si>
  <si>
    <t>POD received from cell 0713821350 M</t>
  </si>
  <si>
    <t xml:space="preserve">Hein                          </t>
  </si>
  <si>
    <t xml:space="preserve">POD received from cell 0606968550 M     </t>
  </si>
  <si>
    <t xml:space="preserve">NAMPAK LIQUID PACKAGING            </t>
  </si>
  <si>
    <t>NAMPAK LIQUID PACKAGING</t>
  </si>
  <si>
    <t xml:space="preserve">MERCEDES BENZ SOUTH AFRICA         </t>
  </si>
  <si>
    <t>MERCEDES BENZ S.A</t>
  </si>
  <si>
    <t>Malubekho</t>
  </si>
  <si>
    <t>A Lutzeler</t>
  </si>
  <si>
    <t>ALBANY BAKERIES A DIVISION OF</t>
  </si>
  <si>
    <t>dorah</t>
  </si>
  <si>
    <t>Keletso</t>
  </si>
  <si>
    <t>POD received from cell 0766983980 M</t>
  </si>
  <si>
    <t>CAMERA</t>
  </si>
  <si>
    <t xml:space="preserve">SP AUTOMOTIVE PROFILE SCALING      </t>
  </si>
  <si>
    <t>SP AUTOMOTIVE PROFILE SCALING</t>
  </si>
  <si>
    <t>ROOKAYA</t>
  </si>
  <si>
    <t>Kristen</t>
  </si>
  <si>
    <t>leuraudo</t>
  </si>
  <si>
    <t>JARRELLE</t>
  </si>
  <si>
    <t xml:space="preserve">AFRISAM SOUTH AFRICA PTY LTD       </t>
  </si>
  <si>
    <t>AFRISAM SOUTH AFRICA PTY LTD</t>
  </si>
  <si>
    <t>zizipho</t>
  </si>
  <si>
    <t>Tyrone</t>
  </si>
  <si>
    <t>ntembeko  ILLEG</t>
  </si>
  <si>
    <t>victor</t>
  </si>
  <si>
    <t>deon</t>
  </si>
  <si>
    <t xml:space="preserve">SURTEES RAILWAY SUPPL PTYLTD       </t>
  </si>
  <si>
    <t>SURTEES RAILWAY SUPPL PTYLTD</t>
  </si>
  <si>
    <t>Keshni</t>
  </si>
  <si>
    <t xml:space="preserve">Danielle                      </t>
  </si>
  <si>
    <t>seth</t>
  </si>
  <si>
    <t>Buselwa</t>
  </si>
  <si>
    <t xml:space="preserve">deez                          </t>
  </si>
  <si>
    <t>POD received from cell 0799381939 M</t>
  </si>
  <si>
    <t>GAMERA</t>
  </si>
  <si>
    <t>lordwick</t>
  </si>
  <si>
    <t xml:space="preserve">NATIONAL BRANDS LTD- BECKETTS      </t>
  </si>
  <si>
    <t>NATIONAL BRANDS LTD- BECKETTS</t>
  </si>
  <si>
    <t xml:space="preserve">NIKESH                        </t>
  </si>
  <si>
    <t>ndumo</t>
  </si>
  <si>
    <t xml:space="preserve">SAR ELECTRONIC SA (PTY) LTD        </t>
  </si>
  <si>
    <t>SAR ELECTRONIC SA  PTY  LTD</t>
  </si>
  <si>
    <t>kevin</t>
  </si>
  <si>
    <t>POD received from cell 0823615061 M</t>
  </si>
  <si>
    <t>MOHAMMED</t>
  </si>
  <si>
    <t xml:space="preserve">TALITA                        </t>
  </si>
  <si>
    <t xml:space="preserve">sadha                         </t>
  </si>
  <si>
    <t xml:space="preserve">CONSUPAQ (PTY) LTD BRIARDENE I     </t>
  </si>
  <si>
    <t>CONSUPAQ  PTY  LTD BRIARDENE I</t>
  </si>
  <si>
    <t xml:space="preserve">lungi                         </t>
  </si>
  <si>
    <t xml:space="preserve">NATIONAL BRANDS BISCUITS   SNA     </t>
  </si>
  <si>
    <t>NATIONAL BRANDS BISCUITS   SNA</t>
  </si>
  <si>
    <t xml:space="preserve">siren                         </t>
  </si>
  <si>
    <t xml:space="preserve">C   M HYDRAULIC SERVICES           </t>
  </si>
  <si>
    <t>C   M HYDRAULIC SERVICES</t>
  </si>
  <si>
    <t>johannes</t>
  </si>
  <si>
    <t>bennie</t>
  </si>
  <si>
    <t>LINDIWE</t>
  </si>
  <si>
    <t>PORT4</t>
  </si>
  <si>
    <t>PORT SHEPSTONE</t>
  </si>
  <si>
    <t xml:space="preserve">HYDROMATIC ENTERPRISES PTY LTD     </t>
  </si>
  <si>
    <t>HYDROMATIC ENTERPRISES</t>
  </si>
  <si>
    <t xml:space="preserve">rajeshree                     </t>
  </si>
  <si>
    <t xml:space="preserve">POD received from cell 0625469307 M     </t>
  </si>
  <si>
    <t xml:space="preserve">RUMI ENTERPRISES (PTY) LTD PIN     </t>
  </si>
  <si>
    <t>RUMI ENTERPRISES  PTY  LTD PIN</t>
  </si>
  <si>
    <t>Tahir</t>
  </si>
  <si>
    <t>KESHNI</t>
  </si>
  <si>
    <t>nthombi</t>
  </si>
  <si>
    <t xml:space="preserve">POD received from cell 0670405005 M     </t>
  </si>
  <si>
    <t xml:space="preserve">Renae                         </t>
  </si>
  <si>
    <t xml:space="preserve">POD received from cell 0682118246 M     </t>
  </si>
  <si>
    <t>POD received from cell 0677793530 M</t>
  </si>
  <si>
    <t>Eimarie</t>
  </si>
  <si>
    <t xml:space="preserve">THRIFT ENGINEERING (PTY) LTD       </t>
  </si>
  <si>
    <t>THRIFT ENGINEERING  PTY  LTD</t>
  </si>
  <si>
    <t>faith</t>
  </si>
  <si>
    <t xml:space="preserve">WINTERTIDE TRADING 69 T A P AN     </t>
  </si>
  <si>
    <t>WINTERTIDE TRADING 69 T A P AN</t>
  </si>
  <si>
    <t>jamie</t>
  </si>
  <si>
    <t xml:space="preserve">DG IMPEX CC T A AERIAL CONCEPT     </t>
  </si>
  <si>
    <t>DG IMPEX CC</t>
  </si>
  <si>
    <t>D Rex</t>
  </si>
  <si>
    <t>POD received from cell 0607128693 M</t>
  </si>
  <si>
    <t>Noleen</t>
  </si>
  <si>
    <t xml:space="preserve">JADEC STEEL PROJECTS CC            </t>
  </si>
  <si>
    <t>JADEC STEEL PROJECTS CC</t>
  </si>
  <si>
    <t>CSM BEARINGS   PNEUMATICS</t>
  </si>
  <si>
    <t>Santie</t>
  </si>
  <si>
    <t>PRIME PRODUCTS FRED 0828086395</t>
  </si>
  <si>
    <t>Sipho</t>
  </si>
  <si>
    <t>HOTAZ</t>
  </si>
  <si>
    <t>HOTAZEL</t>
  </si>
  <si>
    <t>RANDON</t>
  </si>
  <si>
    <t>POD received from cell 0730443352 M</t>
  </si>
  <si>
    <t xml:space="preserve">FOCUS OPTICAL                      </t>
  </si>
  <si>
    <t>FOCUS OPTICAL</t>
  </si>
  <si>
    <t>G Jonus</t>
  </si>
  <si>
    <t>FES CUST 20250520 52 - BACK TO CUSTOMER</t>
  </si>
  <si>
    <t>UMKOM</t>
  </si>
  <si>
    <t>UMKOMAAS</t>
  </si>
  <si>
    <t xml:space="preserve">SAPPI GLOBAL BUSINESS SERVICES     </t>
  </si>
  <si>
    <t>SAPPI GLOBAL BUSINESS SERVICES</t>
  </si>
  <si>
    <t>JAMES</t>
  </si>
  <si>
    <t xml:space="preserve">KLM EXPRESS                        </t>
  </si>
  <si>
    <t>SUNSHINE</t>
  </si>
  <si>
    <t>nadeem</t>
  </si>
  <si>
    <t xml:space="preserve">FRAGILE                       </t>
  </si>
  <si>
    <t>Adrian</t>
  </si>
  <si>
    <t xml:space="preserve">HYDAC TECHNOLOGY PTY LTD           </t>
  </si>
  <si>
    <t>HYDAC TECHNOLOGY PTY LTD</t>
  </si>
  <si>
    <t>nelivhuso</t>
  </si>
  <si>
    <t>sam</t>
  </si>
  <si>
    <t xml:space="preserve">annie                         </t>
  </si>
  <si>
    <t xml:space="preserve">POD received from cell 0721205889 M     </t>
  </si>
  <si>
    <t xml:space="preserve">S.A. LITHO PRINTING   PACK. (S     </t>
  </si>
  <si>
    <t>S.A. LITHO PRINTING   PACK.  S</t>
  </si>
  <si>
    <t>L Elliot</t>
  </si>
  <si>
    <t>bart</t>
  </si>
  <si>
    <t xml:space="preserve">SUNNY PACKS MANUFACTURING (PTY     </t>
  </si>
  <si>
    <t>SUNNY PACKS MANUFACTURING  PTY</t>
  </si>
  <si>
    <t>virgie</t>
  </si>
  <si>
    <t xml:space="preserve">CONLOG (PTY) LTD                   </t>
  </si>
  <si>
    <t>CONLOG  PTY  LTD</t>
  </si>
  <si>
    <t>sibusiso</t>
  </si>
  <si>
    <t>POD received from cell 0814411638 M</t>
  </si>
  <si>
    <t>thomas</t>
  </si>
  <si>
    <t>theo</t>
  </si>
  <si>
    <t xml:space="preserve">AUTO TRIM ROSSLYN                  </t>
  </si>
  <si>
    <t>AUTO TRIM ROSSLYN</t>
  </si>
  <si>
    <t>Nomsa</t>
  </si>
  <si>
    <t>RICHARD</t>
  </si>
  <si>
    <t>D jacobs</t>
  </si>
  <si>
    <t>Tazryn</t>
  </si>
  <si>
    <t>carel</t>
  </si>
  <si>
    <t>Nadine</t>
  </si>
  <si>
    <t xml:space="preserve">FRESENIUS KABI MANUFACTURING       </t>
  </si>
  <si>
    <t>FRESENIUS KABI MANUFACTURING</t>
  </si>
  <si>
    <t>keanon</t>
  </si>
  <si>
    <t xml:space="preserve">maruschka                     </t>
  </si>
  <si>
    <t xml:space="preserve">POD received from cell 0661618209 M     </t>
  </si>
  <si>
    <t xml:space="preserve">Freddie                       </t>
  </si>
  <si>
    <t>Elijah</t>
  </si>
  <si>
    <t xml:space="preserve">DEFY APPLIANCES (PTY) LTD LADY     </t>
  </si>
  <si>
    <t>DEFY APPLIANCES  PTY  LTD LADY</t>
  </si>
  <si>
    <t xml:space="preserve">WISE CRACKS TRUST                  </t>
  </si>
  <si>
    <t>WISE CRACKS TRUST</t>
  </si>
  <si>
    <t>Claire</t>
  </si>
  <si>
    <t xml:space="preserve">AFRISAM SOUTH AFRICA (PTY) LTD     </t>
  </si>
  <si>
    <t>AFRISAM SOUTH AFRICA  PTY  LTD</t>
  </si>
  <si>
    <t>zingi</t>
  </si>
  <si>
    <t xml:space="preserve">MARTIN   MARTIN PTY LTD            </t>
  </si>
  <si>
    <t>MARTIN   MARTIN</t>
  </si>
  <si>
    <t>Pamela</t>
  </si>
  <si>
    <t>DAVID</t>
  </si>
  <si>
    <t xml:space="preserve">JESSOP   ASSOCIATES (PTY) LTD      </t>
  </si>
  <si>
    <t>JESSOP   ASSOCIATES  PTY  LTD</t>
  </si>
  <si>
    <t>Ruan</t>
  </si>
  <si>
    <t>pim</t>
  </si>
  <si>
    <t>m mbinna</t>
  </si>
  <si>
    <t>oral</t>
  </si>
  <si>
    <t>martin</t>
  </si>
  <si>
    <t>sibuso</t>
  </si>
  <si>
    <t>Hubert</t>
  </si>
  <si>
    <t>elize</t>
  </si>
  <si>
    <t>RUDY</t>
  </si>
  <si>
    <t xml:space="preserve">keanen                        </t>
  </si>
  <si>
    <t xml:space="preserve">Katlego                       </t>
  </si>
  <si>
    <t xml:space="preserve">POD received from cell 0614061714 M     </t>
  </si>
  <si>
    <t xml:space="preserve">SHIFT-ID (PTY) LTD NEW GERMANY     </t>
  </si>
  <si>
    <t>SHIFT-ID  PTY  LTD PARK NEW GE</t>
  </si>
  <si>
    <t>mxolisi</t>
  </si>
  <si>
    <t>Emily</t>
  </si>
  <si>
    <t xml:space="preserve">CSM BEARINGS   PNEUMATIC SUPPL     </t>
  </si>
  <si>
    <t>CSM BEARINGS   PNEUMATIC SUPPL</t>
  </si>
  <si>
    <t>POD received from cell 0636621831 M</t>
  </si>
  <si>
    <t>Quinton</t>
  </si>
  <si>
    <t xml:space="preserve">BMI COVERLAND (PTY) LTD INDUST     </t>
  </si>
  <si>
    <t>BMI COVERLAND  PTY  LTD INDUST</t>
  </si>
  <si>
    <t>edson</t>
  </si>
  <si>
    <t>bew</t>
  </si>
  <si>
    <t xml:space="preserve">TIGER CONSUMER BRANDS T A TAST     </t>
  </si>
  <si>
    <t>TIGER CONSUMER BRANDS T A TAST</t>
  </si>
  <si>
    <t>mnguni</t>
  </si>
  <si>
    <t>MLABA</t>
  </si>
  <si>
    <t xml:space="preserve">WATCH TOWER SOCIETY                </t>
  </si>
  <si>
    <t>WATCH TOWER SOCIETY</t>
  </si>
  <si>
    <t>Thurela</t>
  </si>
  <si>
    <t>POD received from cell 0721029438 M</t>
  </si>
  <si>
    <t>wendy</t>
  </si>
  <si>
    <t>carl</t>
  </si>
  <si>
    <t>Alpheus</t>
  </si>
  <si>
    <t xml:space="preserve">FOODCORP (PTY) LTD BENONI          </t>
  </si>
  <si>
    <t>FOODCORP  PTY  LTD BENONI</t>
  </si>
  <si>
    <t>Raashid</t>
  </si>
  <si>
    <t>justus</t>
  </si>
  <si>
    <t>JMA</t>
  </si>
  <si>
    <t>BEN</t>
  </si>
  <si>
    <t>zaniswa</t>
  </si>
  <si>
    <t>renal</t>
  </si>
  <si>
    <t xml:space="preserve">THOBTECH- DES GROUP - PE           </t>
  </si>
  <si>
    <t>THOBTECH- DES GROUP - PE</t>
  </si>
  <si>
    <t>POD received from cell 0766680985 M</t>
  </si>
  <si>
    <t>chantal</t>
  </si>
  <si>
    <t>sudith</t>
  </si>
  <si>
    <t xml:space="preserve">isaac                         </t>
  </si>
  <si>
    <t>THABANG</t>
  </si>
  <si>
    <t>Jacob</t>
  </si>
  <si>
    <t>mohammed</t>
  </si>
  <si>
    <t xml:space="preserve">TUBING R                      </t>
  </si>
  <si>
    <t xml:space="preserve">ELINEM ENGINEERING                 </t>
  </si>
  <si>
    <t>ELINEM ENGINEERING</t>
  </si>
  <si>
    <t>Millicent</t>
  </si>
  <si>
    <t>KHETHIWE SHEZI</t>
  </si>
  <si>
    <t xml:space="preserve">PANDROL SA (PTY) LTD ISANDO        </t>
  </si>
  <si>
    <t>PANDROL SA  PTY  LTD ISANDO</t>
  </si>
  <si>
    <t xml:space="preserve">Priscilla                     </t>
  </si>
  <si>
    <t>Solomon</t>
  </si>
  <si>
    <t>leticha</t>
  </si>
  <si>
    <t xml:space="preserve">THE SIMBA GROUP LTD MAIN AIRPO     </t>
  </si>
  <si>
    <t>THE SIMBA GROUP LTD MAIN AIRPO</t>
  </si>
  <si>
    <t>Tebogo</t>
  </si>
  <si>
    <t>keint</t>
  </si>
  <si>
    <t xml:space="preserve">MECHATRONICS SOUTH AFRICA          </t>
  </si>
  <si>
    <t>MECHATRONICS SOUTH AFRICA 0765</t>
  </si>
  <si>
    <t xml:space="preserve">IVAN                          </t>
  </si>
  <si>
    <t xml:space="preserve">DURASET STRATA CONTROL (PTY) L     </t>
  </si>
  <si>
    <t>DURASET STRATA CONTROL  PTY  L</t>
  </si>
  <si>
    <t>ATT:THOMAS HOHLS-0838094211</t>
  </si>
  <si>
    <t>THOMAS HOHLS</t>
  </si>
  <si>
    <t>ADRIAN BESTER</t>
  </si>
  <si>
    <t xml:space="preserve">SASOL DYNO NOBEL PTY LTD           </t>
  </si>
  <si>
    <t>SASOL DYNO NOBEL PTY LTD</t>
  </si>
  <si>
    <t>Redirect waybill on waybill number RR080</t>
  </si>
  <si>
    <t>Soso</t>
  </si>
  <si>
    <t>POD received from cell 0768079810 M</t>
  </si>
  <si>
    <t>POD received from cell 0628022017 M</t>
  </si>
  <si>
    <t>j breedt</t>
  </si>
  <si>
    <t>POD received from cell 0615374864 M</t>
  </si>
  <si>
    <t>Portia</t>
  </si>
  <si>
    <t xml:space="preserve">Sous                          </t>
  </si>
  <si>
    <t xml:space="preserve">POD received from cell 0733833839 M     </t>
  </si>
  <si>
    <t xml:space="preserve">HYDRABERG HYDRAULICS CC            </t>
  </si>
  <si>
    <t>HYDRABERG HYDRAULICS CC</t>
  </si>
  <si>
    <t>Quinique</t>
  </si>
  <si>
    <t>Reggie</t>
  </si>
  <si>
    <t>Ivan</t>
  </si>
  <si>
    <t>POD received from cell 0715578102 M</t>
  </si>
  <si>
    <t>moloto</t>
  </si>
  <si>
    <t>f roux</t>
  </si>
  <si>
    <t>Leigh</t>
  </si>
  <si>
    <t>Makgatho Paul</t>
  </si>
  <si>
    <t>Abraham</t>
  </si>
  <si>
    <t>Morne</t>
  </si>
  <si>
    <t>Dylan</t>
  </si>
  <si>
    <t>Marco</t>
  </si>
  <si>
    <t xml:space="preserve">THUTHUKA PACKAGING (PTY) LTD       </t>
  </si>
  <si>
    <t>THUTHUKA PACKAGING  PTY  LTD</t>
  </si>
  <si>
    <t>OWEN</t>
  </si>
  <si>
    <t xml:space="preserve">NEOPAK                             </t>
  </si>
  <si>
    <t>NEOPAK</t>
  </si>
  <si>
    <t>Willem</t>
  </si>
  <si>
    <t xml:space="preserve">Wynand                        </t>
  </si>
  <si>
    <t xml:space="preserve">POD received from cell 0720457394 M     </t>
  </si>
  <si>
    <t xml:space="preserve">ADCOCK INGRAM CRITICAL CARE        </t>
  </si>
  <si>
    <t>ADCOCK INGRAM CRITICAL CARE</t>
  </si>
  <si>
    <t xml:space="preserve">RHODES FOOD GROUP (PTY) LTD        </t>
  </si>
  <si>
    <t>RHODES FOOD GROUP  PTY  LTD</t>
  </si>
  <si>
    <t xml:space="preserve">spha                          </t>
  </si>
  <si>
    <t xml:space="preserve">POD received from cell 0766412100 M     </t>
  </si>
  <si>
    <t>emi g</t>
  </si>
  <si>
    <t>Susan</t>
  </si>
  <si>
    <t>Emi g</t>
  </si>
  <si>
    <t>deret</t>
  </si>
  <si>
    <t>Meagan</t>
  </si>
  <si>
    <t>Audre</t>
  </si>
  <si>
    <t xml:space="preserve">RCL GROUP SERVICES (PTY) LTD P     </t>
  </si>
  <si>
    <t>RCL GROUP SERVICES  PTY  LTD P</t>
  </si>
  <si>
    <t>DLAMINI</t>
  </si>
  <si>
    <t xml:space="preserve">PEDDLE INDUSTRIES                  </t>
  </si>
  <si>
    <t>PEDDLE INDUSTRIES</t>
  </si>
  <si>
    <t>Martie</t>
  </si>
  <si>
    <t xml:space="preserve">GLENCORE ALLOYS THORNCLIFFE        </t>
  </si>
  <si>
    <t>GLENCORE ALLOYS THORNCLIFFE</t>
  </si>
  <si>
    <t>Isaac</t>
  </si>
  <si>
    <t>ELLIS</t>
  </si>
  <si>
    <t>ELLISRAS</t>
  </si>
  <si>
    <t xml:space="preserve">BOLT   ENG.DIST (MAFOLE0788034     </t>
  </si>
  <si>
    <t>BOLT   ENG.DIST  MAFOLE0788034</t>
  </si>
  <si>
    <t>POD received from cell 0648934187 M</t>
  </si>
  <si>
    <t>0555</t>
  </si>
  <si>
    <t xml:space="preserve">Rapid Industrial                   </t>
  </si>
  <si>
    <t>Nita</t>
  </si>
  <si>
    <t>Boxes</t>
  </si>
  <si>
    <t xml:space="preserve">Durr Africa                        </t>
  </si>
  <si>
    <t>Zanomzi Sefali</t>
  </si>
  <si>
    <t>Komle</t>
  </si>
  <si>
    <t xml:space="preserve">POD received from cell 0793062989 M     </t>
  </si>
  <si>
    <t xml:space="preserve">S.C JOHNSON   SON SA PTY LTD       </t>
  </si>
  <si>
    <t>S.C JOHNSON   SON SA PTY LTD</t>
  </si>
  <si>
    <t>G   Scrriber</t>
  </si>
  <si>
    <t>Gwen puren</t>
  </si>
  <si>
    <t>Douglas</t>
  </si>
  <si>
    <t>samson</t>
  </si>
  <si>
    <t>kaylen</t>
  </si>
  <si>
    <t>Abram</t>
  </si>
  <si>
    <t>POD received from cell 0723623160 M</t>
  </si>
  <si>
    <t>Cerwin Adonis</t>
  </si>
  <si>
    <t>u van rooyen</t>
  </si>
  <si>
    <t>keenan</t>
  </si>
  <si>
    <t xml:space="preserve">CHANTAL                       </t>
  </si>
  <si>
    <t xml:space="preserve">POD received from cell 0763378994 M     </t>
  </si>
  <si>
    <t>MARIZELL</t>
  </si>
  <si>
    <t>Sim</t>
  </si>
  <si>
    <t>ayabulelo</t>
  </si>
  <si>
    <t>RFG FOODS  PTY  LTD  ATTN  RIV</t>
  </si>
  <si>
    <t>Alice</t>
  </si>
  <si>
    <t>MARIZELLE</t>
  </si>
  <si>
    <t>NIRESH</t>
  </si>
  <si>
    <t>tracy</t>
  </si>
  <si>
    <t xml:space="preserve">GMC AUTOMATION                     </t>
  </si>
  <si>
    <t>GMC AUTOMATION</t>
  </si>
  <si>
    <t>C Mil</t>
  </si>
  <si>
    <t>NEEGAN</t>
  </si>
  <si>
    <t>Tanya Wentzel</t>
  </si>
  <si>
    <t>akeisha</t>
  </si>
  <si>
    <t xml:space="preserve">Nthabiseng                    </t>
  </si>
  <si>
    <t xml:space="preserve">POD received from cell 0658308170 M     </t>
  </si>
  <si>
    <t xml:space="preserve">ricardo                       </t>
  </si>
  <si>
    <t>amanda</t>
  </si>
  <si>
    <t>POD received from cell 0761733055 M</t>
  </si>
  <si>
    <t>Rickey</t>
  </si>
  <si>
    <t xml:space="preserve">CUBIX SUPPLY CHAIN SOLUTIONS D     </t>
  </si>
  <si>
    <t>CUBIX SUPPLY CHAIN SOLUTIONS D</t>
  </si>
  <si>
    <t>Cheri</t>
  </si>
  <si>
    <t xml:space="preserve">garth                         </t>
  </si>
  <si>
    <t>zamamzi</t>
  </si>
  <si>
    <t>Split shipment</t>
  </si>
  <si>
    <t>ANDRE</t>
  </si>
  <si>
    <t>Ryan</t>
  </si>
  <si>
    <t>Jennien</t>
  </si>
  <si>
    <t xml:space="preserve">WARSHAY INVESTMENTS (PTY) LTD      </t>
  </si>
  <si>
    <t>WARSHAY INVESTMENTS  PTY  LTD</t>
  </si>
  <si>
    <t xml:space="preserve">francina                      </t>
  </si>
  <si>
    <t xml:space="preserve">SPERO SENSORS   INSTRUMENTS (P     </t>
  </si>
  <si>
    <t>SPERO SENSORS   INSTRUMENTS  P</t>
  </si>
  <si>
    <t>nico</t>
  </si>
  <si>
    <t>0154</t>
  </si>
  <si>
    <t>rsmesh</t>
  </si>
  <si>
    <t>Lutzeler</t>
  </si>
  <si>
    <t>Msizi</t>
  </si>
  <si>
    <t>p scheepers</t>
  </si>
  <si>
    <t>rykie</t>
  </si>
  <si>
    <t>LWAZI</t>
  </si>
  <si>
    <t>t oboray</t>
  </si>
  <si>
    <t>RC ISAACS</t>
  </si>
  <si>
    <t xml:space="preserve">SML BIOX                      </t>
  </si>
  <si>
    <t>NTOMBI</t>
  </si>
  <si>
    <t>MAR</t>
  </si>
  <si>
    <t>NUNU</t>
  </si>
  <si>
    <t xml:space="preserve">prince                        </t>
  </si>
  <si>
    <t xml:space="preserve">COMPUSCAN UITENHAGE                </t>
  </si>
  <si>
    <t>COMPUSCAN UITENHAGE</t>
  </si>
  <si>
    <t>esna</t>
  </si>
  <si>
    <t xml:space="preserve">FRONERI SOUTH AFRICA (PTY) LTD     </t>
  </si>
  <si>
    <t>FRONERI SOUTH AFRICA  PTY  LTD</t>
  </si>
  <si>
    <t>Lufuno</t>
  </si>
  <si>
    <t xml:space="preserve">KW BREAD PACKAGING SYSTEMS CC      </t>
  </si>
  <si>
    <t>KW BREAD PACKAGING SYSTEMS CC</t>
  </si>
  <si>
    <t>Leanne</t>
  </si>
  <si>
    <t>Mr udo</t>
  </si>
  <si>
    <t>refilwe</t>
  </si>
  <si>
    <t xml:space="preserve">TSHEPO                        </t>
  </si>
  <si>
    <t>hennie</t>
  </si>
  <si>
    <t xml:space="preserve">UNILEVER SA PHOENIX AEROSOL        </t>
  </si>
  <si>
    <t>UNILEVER SA PHOENIX AEROSOL</t>
  </si>
  <si>
    <t>cebisile</t>
  </si>
  <si>
    <t>Teboho</t>
  </si>
  <si>
    <t xml:space="preserve">UNIVERSAL PAPER   PLASTIC (BOP     </t>
  </si>
  <si>
    <t>UNIVERSAL PAPER   PLASTIC  BOP</t>
  </si>
  <si>
    <t>kutlwano</t>
  </si>
  <si>
    <t>POD received from cell 0762590272 M</t>
  </si>
  <si>
    <t>0208</t>
  </si>
  <si>
    <t>Natalie</t>
  </si>
  <si>
    <t>NDC / FUE / DOC</t>
  </si>
  <si>
    <t xml:space="preserve">SUPPLYRITE CC                      </t>
  </si>
  <si>
    <t>SUPPLYRITE CC</t>
  </si>
  <si>
    <t xml:space="preserve">TUMELO                        </t>
  </si>
  <si>
    <t xml:space="preserve">POD received from cell 0736687669 M     </t>
  </si>
  <si>
    <t>imayat patel</t>
  </si>
  <si>
    <t>PIONEER FOODS</t>
  </si>
  <si>
    <t>B MOODLEY</t>
  </si>
  <si>
    <t>POD received from cell 0769518219 M</t>
  </si>
  <si>
    <t>v posthuinus</t>
  </si>
  <si>
    <t xml:space="preserve">IRVIN   JOHNSON LTD                </t>
  </si>
  <si>
    <t>IRVIN   JOHNSON LTD</t>
  </si>
  <si>
    <t>Carelle</t>
  </si>
  <si>
    <t xml:space="preserve">SALT FOUNDATION PTY LTD T A SO     </t>
  </si>
  <si>
    <t>SALT FOUNDATION PTY LTD T A SO</t>
  </si>
  <si>
    <t>VEEH</t>
  </si>
  <si>
    <t>Cheldza</t>
  </si>
  <si>
    <t>POD received from cell 0642924915 M</t>
  </si>
  <si>
    <t>nosibulelo</t>
  </si>
  <si>
    <t>POD received from cell 0624348011 M</t>
  </si>
  <si>
    <t>nolan</t>
  </si>
  <si>
    <t>hank</t>
  </si>
  <si>
    <t xml:space="preserve">HEAT AND CONTROL PTY LTD           </t>
  </si>
  <si>
    <t>HEAT AND CONTROL PTY LTD</t>
  </si>
  <si>
    <t>shevlein</t>
  </si>
  <si>
    <t xml:space="preserve">clive                         </t>
  </si>
  <si>
    <t xml:space="preserve">POD received from cell 0621494136 M     </t>
  </si>
  <si>
    <t>Nontokozo</t>
  </si>
  <si>
    <t>COL</t>
  </si>
  <si>
    <t xml:space="preserve">Kumeshan                      </t>
  </si>
  <si>
    <t>Tyla</t>
  </si>
  <si>
    <t xml:space="preserve">Emily                         </t>
  </si>
  <si>
    <t>thuli</t>
  </si>
  <si>
    <t xml:space="preserve">TRIDENT STEEL AFRICA (PTY) LTD     </t>
  </si>
  <si>
    <t>TRIDENT STEEL AFRICA  PTY  LTD</t>
  </si>
  <si>
    <t xml:space="preserve">lindo                         </t>
  </si>
  <si>
    <t xml:space="preserve">POD received from cell 0767196058 M     </t>
  </si>
  <si>
    <t xml:space="preserve">REFERRO- NORTHERN CAPE ATTN: M     </t>
  </si>
  <si>
    <t>REFERRO- NORTHERN CAPE ATTN  M</t>
  </si>
  <si>
    <t>C VAN VUUREN</t>
  </si>
  <si>
    <t>POD received from cell 0768613858 M</t>
  </si>
  <si>
    <t>Craig</t>
  </si>
  <si>
    <t>POD received from cell 0639727870 M</t>
  </si>
  <si>
    <t>NEROSHA</t>
  </si>
  <si>
    <t>JOHNNY</t>
  </si>
  <si>
    <t>matototo</t>
  </si>
  <si>
    <t>VELO</t>
  </si>
  <si>
    <t xml:space="preserve">ANGELO                        </t>
  </si>
  <si>
    <t>mpho</t>
  </si>
  <si>
    <t xml:space="preserve">ADIENT SOUTH AFRICA (PTY) LTD      </t>
  </si>
  <si>
    <t>ADIENT SOUTH AFRICA  PTY  LTD</t>
  </si>
  <si>
    <t>manganye</t>
  </si>
  <si>
    <t>Windy</t>
  </si>
  <si>
    <t xml:space="preserve">AZ ARMATUREN VALVES SOUTH AFRI     </t>
  </si>
  <si>
    <t>AZ ARMATUREN VALVES SOUTH AFRI</t>
  </si>
  <si>
    <t>Brandon</t>
  </si>
  <si>
    <t>portia</t>
  </si>
  <si>
    <t>Rosheen</t>
  </si>
  <si>
    <t>mdu mdu</t>
  </si>
  <si>
    <t>bronwyn</t>
  </si>
  <si>
    <t xml:space="preserve">MPACT OPERATIONS (PTY) LTD VEN     </t>
  </si>
  <si>
    <t>MPACT OPERATIONS  PTY  LTD VEN</t>
  </si>
  <si>
    <t>masinga</t>
  </si>
  <si>
    <t>Shakir</t>
  </si>
  <si>
    <t>callen</t>
  </si>
  <si>
    <t>Johnavon</t>
  </si>
  <si>
    <t xml:space="preserve">NAMPAK PRODUCTS LIMITED            </t>
  </si>
  <si>
    <t>N A</t>
  </si>
  <si>
    <t>Pangio</t>
  </si>
  <si>
    <t xml:space="preserve">RHOVAN POOLING   SHARING VENTU     </t>
  </si>
  <si>
    <t>RHOVAN POOLING   SHARING VENTU</t>
  </si>
  <si>
    <t>signed</t>
  </si>
  <si>
    <t>HND / FUE / doc</t>
  </si>
  <si>
    <t>0270</t>
  </si>
  <si>
    <t>RCL GROUP SERVICES PTY LT</t>
  </si>
  <si>
    <t>shareeka</t>
  </si>
  <si>
    <t>andiswa</t>
  </si>
  <si>
    <t>B Roos</t>
  </si>
  <si>
    <t xml:space="preserve">BORBET SA PTY LTD                  </t>
  </si>
  <si>
    <t>BORBET SA PTY LTD</t>
  </si>
  <si>
    <t>Asanda</t>
  </si>
  <si>
    <t>Kobus</t>
  </si>
  <si>
    <t>Jonson</t>
  </si>
  <si>
    <t xml:space="preserve">Mervin                        </t>
  </si>
  <si>
    <t>VEMALY</t>
  </si>
  <si>
    <t xml:space="preserve">G.U.D. HOLDINGS                    </t>
  </si>
  <si>
    <t>G.U.D. HOLDINGS</t>
  </si>
  <si>
    <t>amitha</t>
  </si>
  <si>
    <t>monique</t>
  </si>
  <si>
    <t>Gregory</t>
  </si>
  <si>
    <t>lebohang</t>
  </si>
  <si>
    <t xml:space="preserve">YOKOGAWA SA (PTY) LTD              </t>
  </si>
  <si>
    <t>YOKOGAWA SA  PTY  LTD</t>
  </si>
  <si>
    <t>Wilfred</t>
  </si>
  <si>
    <t>POD received from cell 0735871460 M</t>
  </si>
  <si>
    <t xml:space="preserve">IMPACT DISTRIBUTORS (PTY) LTD      </t>
  </si>
  <si>
    <t>IMPACT DISTRIBUTORS  PTY  LTDD</t>
  </si>
  <si>
    <t>ellen</t>
  </si>
  <si>
    <t>Shevlin</t>
  </si>
  <si>
    <t xml:space="preserve">HUHTAMAKI FLEXIBLE PACKAGING S     </t>
  </si>
  <si>
    <t>HUHTAMAKI FLEXIBLE PACKAGING S</t>
  </si>
  <si>
    <t>Tyran</t>
  </si>
  <si>
    <t>Ronica</t>
  </si>
  <si>
    <t>mogomotsi</t>
  </si>
  <si>
    <t>Lule</t>
  </si>
  <si>
    <t>POD received from cell 0749910746 M</t>
  </si>
  <si>
    <t>Moses</t>
  </si>
  <si>
    <t>kiki</t>
  </si>
  <si>
    <t>nico fourie</t>
  </si>
  <si>
    <t>Ravi</t>
  </si>
  <si>
    <t>Kelvin</t>
  </si>
  <si>
    <t>Lester</t>
  </si>
  <si>
    <t>POD received from cell 0829486869 M</t>
  </si>
  <si>
    <t>Kelwin</t>
  </si>
  <si>
    <t>HILTON</t>
  </si>
  <si>
    <t>botes</t>
  </si>
  <si>
    <t>Moses Moses</t>
  </si>
  <si>
    <t>junaid</t>
  </si>
  <si>
    <t>POD received from cell 0627047424 M</t>
  </si>
  <si>
    <t>Nathalie</t>
  </si>
  <si>
    <t>jade Charlie</t>
  </si>
  <si>
    <t xml:space="preserve">HALL LONGMORE HOLDINGS (PTY) L     </t>
  </si>
  <si>
    <t>HALL LONGMORE HOLDINGS  PTY  L</t>
  </si>
  <si>
    <t>P MARX</t>
  </si>
  <si>
    <t>Vincent</t>
  </si>
  <si>
    <t>MANZELK</t>
  </si>
  <si>
    <t>Tiaan</t>
  </si>
  <si>
    <t xml:space="preserve">PRIME INSTRUMENTATION CC RUSTE     </t>
  </si>
  <si>
    <t>PRIME INSTRUMENTATION CC RUSTE</t>
  </si>
  <si>
    <t>albert</t>
  </si>
  <si>
    <t xml:space="preserve">FAIR CAPE DAIRIES (PTY) LTD        </t>
  </si>
  <si>
    <t>FAIR CAPE DAIRIES  PTY  LTD</t>
  </si>
  <si>
    <t>Obie Nautin</t>
  </si>
  <si>
    <t xml:space="preserve">AE MANUFACTURING DEAL PARTY PO     </t>
  </si>
  <si>
    <t>AE MANUFACTURING DEAL PARTY PO</t>
  </si>
  <si>
    <t>enrico</t>
  </si>
  <si>
    <t>Jethro</t>
  </si>
  <si>
    <t>Nduduzo</t>
  </si>
  <si>
    <t>Keenan</t>
  </si>
  <si>
    <t>lucky Baloyi</t>
  </si>
  <si>
    <t>Verona</t>
  </si>
  <si>
    <t>will</t>
  </si>
  <si>
    <t>mahommed</t>
  </si>
  <si>
    <t>Siyabonga</t>
  </si>
  <si>
    <t>HOPE</t>
  </si>
  <si>
    <t>STORE MANAGE</t>
  </si>
  <si>
    <t xml:space="preserve">F Roux                        </t>
  </si>
  <si>
    <t>Innocentia</t>
  </si>
  <si>
    <t>FESTO JANSE VAN RENSBURG</t>
  </si>
  <si>
    <t>POD received from cell 0810363753 M</t>
  </si>
  <si>
    <t>Henno</t>
  </si>
  <si>
    <t xml:space="preserve">GREEN ENGINEERING                  </t>
  </si>
  <si>
    <t>GREEN ENGINEERING</t>
  </si>
  <si>
    <t>clayton</t>
  </si>
  <si>
    <t xml:space="preserve">PNEUMATIC AID                      </t>
  </si>
  <si>
    <t>PNEUMATIC AID</t>
  </si>
  <si>
    <t>Moya</t>
  </si>
  <si>
    <t xml:space="preserve">Technical Learning Academy         </t>
  </si>
  <si>
    <t>Kagiso Maanioa</t>
  </si>
  <si>
    <t>kavanesh</t>
  </si>
  <si>
    <t xml:space="preserve">ANG INDUSTRIAL SOLUTION            </t>
  </si>
  <si>
    <t>NA</t>
  </si>
  <si>
    <t>t oboroy</t>
  </si>
  <si>
    <t>NDONDO</t>
  </si>
  <si>
    <t xml:space="preserve">ALL SUPPLIES                       </t>
  </si>
  <si>
    <t>ALL SUPPLIES</t>
  </si>
  <si>
    <t>Kayla</t>
  </si>
  <si>
    <t xml:space="preserve">PUREM PORT ELIZABETH (PTY) LTD     </t>
  </si>
  <si>
    <t>PUREM PORT ELIZABETH  PTY  LTD</t>
  </si>
  <si>
    <t>maluxolo</t>
  </si>
  <si>
    <t>lubabalo</t>
  </si>
  <si>
    <t xml:space="preserve">POLYOAK CLOVER DAIRIES             </t>
  </si>
  <si>
    <t>POLYOAK CLOVER DAIRIES</t>
  </si>
  <si>
    <t>akash</t>
  </si>
  <si>
    <t>POD received from cell 0607577468 M</t>
  </si>
  <si>
    <t xml:space="preserve">VOESTALPINE AUTOMOTIVE COMPONE     </t>
  </si>
  <si>
    <t>VOESTALPINE AUTOMOTIVE COMPONE</t>
  </si>
  <si>
    <t>Aqecl</t>
  </si>
  <si>
    <t xml:space="preserve">POD received from cell 0606746779 M     </t>
  </si>
  <si>
    <t xml:space="preserve">REBUFF PTY LTD                     </t>
  </si>
  <si>
    <t>REBUFF PTY LTD</t>
  </si>
  <si>
    <t xml:space="preserve">Suzan                         </t>
  </si>
  <si>
    <t xml:space="preserve">DE BEERS CONSOLIDATED MINES LT     </t>
  </si>
  <si>
    <t>DE BEERS CONSOLIDATED MINES LT</t>
  </si>
  <si>
    <t>KATHLEEN</t>
  </si>
  <si>
    <t>sindiwe</t>
  </si>
  <si>
    <t>DU PLESSIS</t>
  </si>
  <si>
    <t xml:space="preserve">INGRAIN SA (PTY) LTD               </t>
  </si>
  <si>
    <t>INGRAIN SA  PTY  LTD</t>
  </si>
  <si>
    <t>NDUMISO</t>
  </si>
  <si>
    <t xml:space="preserve">DOUGLASDALE DAIRY PTY LTD          </t>
  </si>
  <si>
    <t>DOUGLASDALE DAIRY</t>
  </si>
  <si>
    <t xml:space="preserve">Rodney                        </t>
  </si>
  <si>
    <t xml:space="preserve">POD received from cell 0607128693 M     </t>
  </si>
  <si>
    <t xml:space="preserve">MAGNACORP 397 CC T A CONCEPT P     </t>
  </si>
  <si>
    <t>MAGNACORP 397 CC T A CONCEPT P</t>
  </si>
  <si>
    <t xml:space="preserve">Connor                        </t>
  </si>
  <si>
    <t xml:space="preserve">ELEMENT SIX (PRODUCTION)           </t>
  </si>
  <si>
    <t>ELEMENT SIX</t>
  </si>
  <si>
    <t>paulos</t>
  </si>
  <si>
    <t>Igshaan</t>
  </si>
  <si>
    <t xml:space="preserve">madillo                       </t>
  </si>
  <si>
    <t xml:space="preserve">POD received from cell 0833616148 M     </t>
  </si>
  <si>
    <t xml:space="preserve">athembile                     </t>
  </si>
  <si>
    <t xml:space="preserve">michelle                      </t>
  </si>
  <si>
    <t xml:space="preserve">POD received from cell 0788915943 M     </t>
  </si>
  <si>
    <t>RYMCO PTY LTD T A ANCHOR YEAST</t>
  </si>
  <si>
    <t>Galo</t>
  </si>
  <si>
    <t xml:space="preserve">TOPLINE TOOLING (PTY) LTD          </t>
  </si>
  <si>
    <t xml:space="preserve">ranol                         </t>
  </si>
  <si>
    <t xml:space="preserve">POD received from cell 0767994841 M     </t>
  </si>
  <si>
    <t>JELLY</t>
  </si>
  <si>
    <t>POD received from cell 0670288918 M</t>
  </si>
  <si>
    <t xml:space="preserve">ERNEST LOWE A DIVISION OF HUDA     </t>
  </si>
  <si>
    <t>ERNEST LOWE A DIVISION OF HUDA</t>
  </si>
  <si>
    <t>huda</t>
  </si>
  <si>
    <t>igshaan</t>
  </si>
  <si>
    <t xml:space="preserve">jenine                        </t>
  </si>
  <si>
    <t>sibangoni</t>
  </si>
  <si>
    <t xml:space="preserve">Michaela                      </t>
  </si>
  <si>
    <t xml:space="preserve">ABF Sugar                          </t>
  </si>
  <si>
    <t>COLLECT FROM PATRICK IN RECEIVING</t>
  </si>
  <si>
    <t xml:space="preserve">Robby                         </t>
  </si>
  <si>
    <t xml:space="preserve">Black Sheep Industrial             </t>
  </si>
  <si>
    <t>Chandre Farao</t>
  </si>
  <si>
    <t xml:space="preserve">Qualitec Engineering               </t>
  </si>
  <si>
    <t>Angelique Pretorius</t>
  </si>
  <si>
    <t xml:space="preserve">Proxa Water                        </t>
  </si>
  <si>
    <t>Collect from Reception PLEASE ASK THE DRIVER TO TAKE A FLYER BAG</t>
  </si>
  <si>
    <t>Omeshan Naidoo</t>
  </si>
  <si>
    <t>Flyer</t>
  </si>
  <si>
    <t>IVA</t>
  </si>
  <si>
    <t xml:space="preserve">YNF ENGINEERING CC ISANDO          </t>
  </si>
  <si>
    <t>YNF ENGINEERING CC  CLAUD</t>
  </si>
  <si>
    <t>ponantshego</t>
  </si>
  <si>
    <t>A s Madutlela</t>
  </si>
  <si>
    <t>Werner</t>
  </si>
  <si>
    <t>Johannes</t>
  </si>
  <si>
    <t xml:space="preserve">mhlanga                       </t>
  </si>
  <si>
    <t xml:space="preserve">Sadha                         </t>
  </si>
  <si>
    <t xml:space="preserve">DR OETKER SOUTH AFRICA             </t>
  </si>
  <si>
    <t>DR OETKER SOUTH AFRICA</t>
  </si>
  <si>
    <t>matildah</t>
  </si>
  <si>
    <t xml:space="preserve">WEIR MINERALS ISANDO               </t>
  </si>
  <si>
    <t>WEIR MINERALS ISANDO</t>
  </si>
  <si>
    <t>Olivia</t>
  </si>
  <si>
    <t>XOLEWA SINXEKE</t>
  </si>
  <si>
    <t>POD received from cell 0782833197 M</t>
  </si>
  <si>
    <t>Palesa</t>
  </si>
  <si>
    <t>mitchelson</t>
  </si>
  <si>
    <t xml:space="preserve">INNOVATIVE PROCESSING SOLUTION     </t>
  </si>
  <si>
    <t>INNOVATIVE PROCESSING SOLUTION</t>
  </si>
  <si>
    <t>mamphole</t>
  </si>
  <si>
    <t xml:space="preserve">hazel                         </t>
  </si>
  <si>
    <t xml:space="preserve">POD received from cell 0683975754 M     </t>
  </si>
  <si>
    <t>vusumuzi</t>
  </si>
  <si>
    <t>POD received from cell 0726543055 M</t>
  </si>
  <si>
    <t>Reuben</t>
  </si>
  <si>
    <t xml:space="preserve">LOUIS                         </t>
  </si>
  <si>
    <t xml:space="preserve">PNEUSTREAM                         </t>
  </si>
  <si>
    <t>PNEUSTREAM</t>
  </si>
  <si>
    <t>annah</t>
  </si>
  <si>
    <t>POD received from cell 0799328349 M</t>
  </si>
  <si>
    <t xml:space="preserve">Felicia                       </t>
  </si>
  <si>
    <t>CORRUSEAL CORRUGATED GAUTENG P</t>
  </si>
  <si>
    <t>Huzailah</t>
  </si>
  <si>
    <t xml:space="preserve">Arno                          </t>
  </si>
  <si>
    <t xml:space="preserve">POD received from cell 0735647467 M     </t>
  </si>
  <si>
    <t xml:space="preserve">FAURECIA FIS PRETORIA AUTOMOTI     </t>
  </si>
  <si>
    <t>FAURECIA FIS PRETORIA AUTOMOTI</t>
  </si>
  <si>
    <t>h du Plessis</t>
  </si>
  <si>
    <t xml:space="preserve">wizeman                       </t>
  </si>
  <si>
    <t xml:space="preserve">POD received from cell 0607577468 M     </t>
  </si>
  <si>
    <t>Sydney</t>
  </si>
  <si>
    <t xml:space="preserve">BRIDGE PROCUREMENT A DIV OF C.     </t>
  </si>
  <si>
    <t>BRIDGE PROCUREMENT A DIV OF C.</t>
  </si>
  <si>
    <t>Dudu</t>
  </si>
  <si>
    <t>tshegofatso</t>
  </si>
  <si>
    <t xml:space="preserve">NAMPAK PRODUCTS LTD VANDERBIJL     </t>
  </si>
  <si>
    <t>NAMPAK PRODUCTS LTD VANDERBIJL</t>
  </si>
  <si>
    <t xml:space="preserve">Makayla                       </t>
  </si>
  <si>
    <t>adrian</t>
  </si>
  <si>
    <t>POD received from cell 0678197388 M</t>
  </si>
  <si>
    <t>C RITTEN</t>
  </si>
  <si>
    <t xml:space="preserve">cebo                          </t>
  </si>
  <si>
    <t>THULANI</t>
  </si>
  <si>
    <t>POD received from cell 0733056816 M</t>
  </si>
  <si>
    <t>rico</t>
  </si>
  <si>
    <t>kishen</t>
  </si>
  <si>
    <t xml:space="preserve">motlatsi                      </t>
  </si>
  <si>
    <t>Lee ann</t>
  </si>
  <si>
    <t xml:space="preserve">SHIFT MANAGER                 </t>
  </si>
  <si>
    <t>DOC / DOC / DOC / FUE / INS</t>
  </si>
  <si>
    <t xml:space="preserve">FES CUST 20250526 51 - BACK TO CUSTOMER </t>
  </si>
  <si>
    <t>RECEIVING</t>
  </si>
  <si>
    <t>Lee Anne Taylor</t>
  </si>
  <si>
    <t>A pizzocaro</t>
  </si>
  <si>
    <t>AAMANDA</t>
  </si>
  <si>
    <t>Schreiber</t>
  </si>
  <si>
    <t>Belinda</t>
  </si>
  <si>
    <t>Kelven</t>
  </si>
  <si>
    <t>NIKESH</t>
  </si>
  <si>
    <t>Erick</t>
  </si>
  <si>
    <t>RANDALL</t>
  </si>
  <si>
    <t>amita</t>
  </si>
  <si>
    <t>karlien</t>
  </si>
  <si>
    <t xml:space="preserve">PROCONTROL INSTRUMENTATION CC      </t>
  </si>
  <si>
    <t>PROCONTROL INSTRUMENTATION CC</t>
  </si>
  <si>
    <t>Irene</t>
  </si>
  <si>
    <t>merryck</t>
  </si>
  <si>
    <t>dawik</t>
  </si>
  <si>
    <t>Kamedhan</t>
  </si>
  <si>
    <t>POD received from cell 0683975754 M</t>
  </si>
  <si>
    <t>obaray</t>
  </si>
  <si>
    <t>anton</t>
  </si>
  <si>
    <t>POD received from cell 0659987607 M</t>
  </si>
  <si>
    <t xml:space="preserve">LINDE AND WIEMANN (PTY) LTD SU     </t>
  </si>
  <si>
    <t>LINDE AND WIEMANN  PTY  LTD SU</t>
  </si>
  <si>
    <t>NCEBAKAZI</t>
  </si>
  <si>
    <t>Sadha</t>
  </si>
  <si>
    <t xml:space="preserve">RADEL OLIVEDALE                    </t>
  </si>
  <si>
    <t>RADEL OLIVEDALE</t>
  </si>
  <si>
    <t>busi</t>
  </si>
  <si>
    <t>kemeshan</t>
  </si>
  <si>
    <t xml:space="preserve">gulto                         </t>
  </si>
  <si>
    <t>Vuyo</t>
  </si>
  <si>
    <t>alen</t>
  </si>
  <si>
    <t>manager</t>
  </si>
  <si>
    <t>nomsa</t>
  </si>
  <si>
    <t>kegan</t>
  </si>
  <si>
    <t xml:space="preserve">MACSTEEL COIL PROCESSING           </t>
  </si>
  <si>
    <t>MACSTEEL COIL PROCESSING</t>
  </si>
  <si>
    <t>P sololo</t>
  </si>
  <si>
    <t>SHANE</t>
  </si>
  <si>
    <t xml:space="preserve">japie                         </t>
  </si>
  <si>
    <t>h jonker</t>
  </si>
  <si>
    <t xml:space="preserve">NC HYDRAULICS CC                   </t>
  </si>
  <si>
    <t>NC HYDRAULICS CC</t>
  </si>
  <si>
    <t>aston</t>
  </si>
  <si>
    <t xml:space="preserve">VICENZA ENGINEERING WORKS          </t>
  </si>
  <si>
    <t>VICENZA ENGINEERING WORKS</t>
  </si>
  <si>
    <t>walter</t>
  </si>
  <si>
    <t>Valencia</t>
  </si>
  <si>
    <t>POD received from cell 0603475995 M</t>
  </si>
  <si>
    <t>mashaha</t>
  </si>
  <si>
    <t>Graig</t>
  </si>
  <si>
    <t>LINDELANI</t>
  </si>
  <si>
    <t>Leah</t>
  </si>
  <si>
    <t xml:space="preserve">CBZ SOLUTIONS (PTY) LTD            </t>
  </si>
  <si>
    <t>CBZ SOLUTIONS  PTY  LTD</t>
  </si>
  <si>
    <t>A Mphahlele</t>
  </si>
  <si>
    <t>THOHO</t>
  </si>
  <si>
    <t>THOHOYANDOU</t>
  </si>
  <si>
    <t xml:space="preserve">VHEMBE FET COLLEGE THOHOYANDOU     </t>
  </si>
  <si>
    <t>VHEMBE FET COLLEGE THOHOYANDOU</t>
  </si>
  <si>
    <t>0950</t>
  </si>
  <si>
    <t>Rendani</t>
  </si>
  <si>
    <t xml:space="preserve">AMKA PRODUCTS MANUFACTURERS        </t>
  </si>
  <si>
    <t>AMKA PRODUCTS MANUFACTURERS</t>
  </si>
  <si>
    <t>shan</t>
  </si>
  <si>
    <t>POD received from cell 0813853853 M</t>
  </si>
  <si>
    <t>Warren</t>
  </si>
  <si>
    <t>Ndumiso</t>
  </si>
  <si>
    <t>Felicia</t>
  </si>
  <si>
    <t>Lank</t>
  </si>
  <si>
    <t>DANELLE</t>
  </si>
  <si>
    <t xml:space="preserve">tamaryn                       </t>
  </si>
  <si>
    <t>Laurie</t>
  </si>
  <si>
    <t>olivia</t>
  </si>
  <si>
    <t>ASHLEY</t>
  </si>
  <si>
    <t xml:space="preserve">1FLYERT                       </t>
  </si>
  <si>
    <t>Larry</t>
  </si>
  <si>
    <t>Mfundi</t>
  </si>
  <si>
    <t xml:space="preserve">CIBA PACKAGING                     </t>
  </si>
  <si>
    <t>CIBA PACKAGING</t>
  </si>
  <si>
    <t>Barry</t>
  </si>
  <si>
    <t xml:space="preserve">vired                         </t>
  </si>
  <si>
    <t xml:space="preserve">POD received from cell 0685390657 M     </t>
  </si>
  <si>
    <t xml:space="preserve">CSIR PRETORIA- BUILDING 46F PH     </t>
  </si>
  <si>
    <t>CSIR PRETORIA- BUILDING 46F PH</t>
  </si>
  <si>
    <t>Vukani</t>
  </si>
  <si>
    <t xml:space="preserve">CROWN CHICKENS T A SOVEREIGHFO     </t>
  </si>
  <si>
    <t>CROWN CHICKENS</t>
  </si>
  <si>
    <t>harrison</t>
  </si>
  <si>
    <t>POD received from cell 0683083544 M</t>
  </si>
  <si>
    <t xml:space="preserve">RICE   PASTA A DIVISION OF TIG     </t>
  </si>
  <si>
    <t>RICE   PASTA A DIVISION OF TIG</t>
  </si>
  <si>
    <t xml:space="preserve">POWER BREEZE                       </t>
  </si>
  <si>
    <t>POWER BREEZE</t>
  </si>
  <si>
    <t xml:space="preserve">BOWLER PLASTICS PTY LTD            </t>
  </si>
  <si>
    <t>BOWLER PLASTICS PTY LTD</t>
  </si>
  <si>
    <t>Donald</t>
  </si>
  <si>
    <t xml:space="preserve">PRIME PRODUCT MANUFACTURING (P     </t>
  </si>
  <si>
    <t>PRIME PRODUCT MANUFACTURING  P</t>
  </si>
  <si>
    <t xml:space="preserve">TOYOTA SA MOTORS PTY LTD           </t>
  </si>
  <si>
    <t>TOYOTA SA MOTORS PTY LTD STAMP</t>
  </si>
  <si>
    <t xml:space="preserve">AUTO X PTY LTD CYPRIAN NENE.       </t>
  </si>
  <si>
    <t>SDX</t>
  </si>
  <si>
    <t>AUTO X PTY LTD CYPRIAN NE</t>
  </si>
  <si>
    <t>DOC / FUE / DSD</t>
  </si>
  <si>
    <t xml:space="preserve">LESAVERT (PTY) LTD NUFFIELD SP     </t>
  </si>
  <si>
    <t>LESAVERT  PTY  LTD NUFFIELD SP</t>
  </si>
  <si>
    <t xml:space="preserve">FILTAQUIP (PTY) LTD                </t>
  </si>
  <si>
    <t>FILTAQUIP  PTY  LTD</t>
  </si>
  <si>
    <t xml:space="preserve">M   C BEARING AND TRANSMISSION     </t>
  </si>
  <si>
    <t>M   C BEARING AND TRANSMISSION</t>
  </si>
  <si>
    <t>Paris</t>
  </si>
  <si>
    <t xml:space="preserve">HYDRASERVE HYDRAULICS (PTY) LT     </t>
  </si>
  <si>
    <t>HYDRASERVE HYDRAULICS  PTY  LT</t>
  </si>
  <si>
    <t xml:space="preserve">J MEYER ENGINEERING CC             </t>
  </si>
  <si>
    <t>J MEYER ENGINEERING CC</t>
  </si>
  <si>
    <t xml:space="preserve">Mark                          </t>
  </si>
  <si>
    <t xml:space="preserve">POD received from cell 0746644640 M     </t>
  </si>
  <si>
    <t xml:space="preserve">TIGER CONSUMER BRANDS LTD RAND     </t>
  </si>
  <si>
    <t>TIGER CONSUMER BRANDS LTD RAND</t>
  </si>
  <si>
    <t>BETHA</t>
  </si>
  <si>
    <t>BETHAL</t>
  </si>
  <si>
    <t xml:space="preserve">QRS INDUSTRIAL GROUP BETHAL        </t>
  </si>
  <si>
    <t>QRS INDUSTRIAL GROUP BETHAL</t>
  </si>
  <si>
    <t xml:space="preserve">POD received from cell 0635405678 M     </t>
  </si>
  <si>
    <t xml:space="preserve">MINOVA                             </t>
  </si>
  <si>
    <t>MINOVA</t>
  </si>
  <si>
    <t xml:space="preserve">Adcock Ingram                      </t>
  </si>
  <si>
    <t>Tebogo Mokgale</t>
  </si>
  <si>
    <t xml:space="preserve">Dale Automation                    </t>
  </si>
  <si>
    <t>Marno Nel</t>
  </si>
  <si>
    <t>CSH / FUE / DOC</t>
  </si>
  <si>
    <t xml:space="preserve">ADP Marine   Modular               </t>
  </si>
  <si>
    <t xml:space="preserve">ADP Warehouse                      </t>
  </si>
  <si>
    <t>COLLECT FROM RECEPTION</t>
  </si>
  <si>
    <t>Johan Smit</t>
  </si>
  <si>
    <t>WELKO</t>
  </si>
  <si>
    <t>WELKOM</t>
  </si>
  <si>
    <t xml:space="preserve">ERNEST LOWE A DIV OF HUDACO TR     </t>
  </si>
  <si>
    <t>ERNEST LOWE A DIV OF HUDACO TR</t>
  </si>
  <si>
    <t xml:space="preserve">DUELTRON (PTY) LTD T A DUELTRO     </t>
  </si>
  <si>
    <t>DUELTRON  PTY  LTD T A DUELTRO</t>
  </si>
  <si>
    <t xml:space="preserve">CEMPACK TREVOC MANAGEMENT SERV     </t>
  </si>
  <si>
    <t>CEMPACK TREVOC MANAGEMENT SERV</t>
  </si>
  <si>
    <t xml:space="preserve">ONVLEE ENGINEERING PTY LTD POR     </t>
  </si>
  <si>
    <t>ONVLEE ENGINEERING PTY LTD POR</t>
  </si>
  <si>
    <t xml:space="preserve">OVER AFRICA INDUSTRIAL SUPPLIE     </t>
  </si>
  <si>
    <t>OVER AFRICA INDUSTRIAL SUPPLIE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</si>
</sst>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b/>
      <sz val="5"/>
      <color rgb="FF333333"/>
      <name val="Arial"/>
      <family val="2"/>
    </font>
  </fonts>
  <fills count="3">
    <fill>
      <patternFill patternType="none"/>
    </fill>
    <fill>
      <patternFill patternType="gray125"/>
    </fill>
    <fill>
      <patternFill patternType="solid">
        <fgColor rgb="FFFFFFFF"/>
        <bgColor indexed="64"/>
      </patternFill>
    </fill>
  </fills>
  <borders count="3">
    <border>
      <left/>
      <right/>
      <top/>
      <bottom/>
      <diagonal/>
    </border>
    <border>
      <left style="medium">
        <color rgb="FFDDDDDD"/>
      </left>
      <right/>
      <top style="medium">
        <color rgb="FFDDDDDD"/>
      </top>
      <bottom style="medium">
        <color rgb="FFDDDDDD"/>
      </bottom>
      <diagonal/>
    </border>
    <border>
      <left style="medium">
        <color rgb="FFDDDDDD"/>
      </left>
      <right style="medium">
        <color rgb="FFDDDDDD"/>
      </right>
      <top style="medium">
        <color rgb="FFDDDDDD"/>
      </top>
      <bottom style="medium">
        <color rgb="FFDDDDDD"/>
      </bottom>
      <diagonal/>
    </border>
  </borders>
  <cellStyleXfs count="1">
    <xf numFmtId="0" fontId="0" fillId="0" borderId="0"/>
  </cellStyleXfs>
  <cellXfs count="6">
    <xf numFmtId="0" fontId="0" fillId="0" borderId="0" xfId="0"/>
    <xf numFmtId="0" fontId="1" fillId="2" borderId="1" xfId="0" applyFont="1" applyFill="1" applyBorder="1" applyAlignment="1">
      <alignment horizontal="left" vertical="top" wrapText="1"/>
    </xf>
    <xf numFmtId="0" fontId="1" fillId="2" borderId="2" xfId="0" applyFont="1" applyFill="1" applyBorder="1" applyAlignment="1">
      <alignment horizontal="left" vertical="top" wrapText="1"/>
    </xf>
    <xf numFmtId="14" fontId="0" fillId="0" borderId="0" xfId="0" applyNumberFormat="1"/>
    <xf numFmtId="20" fontId="0" fillId="0" borderId="0" xfId="0" applyNumberFormat="1"/>
    <xf numFmtId="0" fontId="0" fillId="0" borderId="0" xfId="0" quotePrefix="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A1EB3-150D-4F8C-8E9F-0C767FB8C7F7}">
  <dimension ref="A1:CN4040"/>
  <sheetViews>
    <sheetView tabSelected="1" topLeftCell="A4030" workbookViewId="0">
      <selection activeCell="A4041" sqref="A4041:XFD5153"/>
    </sheetView>
  </sheetViews>
  <sheetFormatPr defaultRowHeight="14.4" x14ac:dyDescent="0.3"/>
  <cols>
    <col min="5" max="5" width="13.33203125" customWidth="1"/>
    <col min="6" max="6" width="12.109375" customWidth="1"/>
  </cols>
  <sheetData>
    <row r="1" spans="1:92" ht="15" thickBot="1"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17</v>
      </c>
      <c r="U1" s="1" t="s">
        <v>19</v>
      </c>
      <c r="V1" s="1" t="s">
        <v>17</v>
      </c>
      <c r="W1" s="1" t="s">
        <v>20</v>
      </c>
      <c r="X1" s="1" t="s">
        <v>17</v>
      </c>
      <c r="Y1" s="1" t="s">
        <v>21</v>
      </c>
      <c r="Z1" s="1" t="s">
        <v>17</v>
      </c>
      <c r="AA1" s="1" t="s">
        <v>22</v>
      </c>
      <c r="AB1" s="1" t="s">
        <v>17</v>
      </c>
      <c r="AC1" s="1" t="s">
        <v>23</v>
      </c>
      <c r="AD1" s="1" t="s">
        <v>17</v>
      </c>
      <c r="AE1" s="1" t="s">
        <v>24</v>
      </c>
      <c r="AF1" s="1" t="s">
        <v>17</v>
      </c>
      <c r="AG1" s="1" t="s">
        <v>25</v>
      </c>
      <c r="AH1" s="1" t="s">
        <v>17</v>
      </c>
      <c r="AI1" s="1" t="s">
        <v>26</v>
      </c>
      <c r="AJ1" s="1" t="s">
        <v>17</v>
      </c>
      <c r="AK1" s="1" t="s">
        <v>27</v>
      </c>
      <c r="AL1" s="1" t="s">
        <v>17</v>
      </c>
      <c r="AM1" s="1" t="s">
        <v>28</v>
      </c>
      <c r="AN1" s="1" t="s">
        <v>17</v>
      </c>
      <c r="AO1" s="1" t="s">
        <v>29</v>
      </c>
      <c r="AP1" s="1" t="s">
        <v>17</v>
      </c>
      <c r="AQ1" s="1" t="s">
        <v>30</v>
      </c>
      <c r="AR1" s="1" t="s">
        <v>17</v>
      </c>
      <c r="AS1" s="1" t="s">
        <v>31</v>
      </c>
      <c r="AT1" s="1" t="s">
        <v>17</v>
      </c>
      <c r="AU1" s="1" t="s">
        <v>32</v>
      </c>
      <c r="AV1" s="1" t="s">
        <v>17</v>
      </c>
      <c r="AW1" s="1" t="s">
        <v>33</v>
      </c>
      <c r="AX1" s="1" t="s">
        <v>17</v>
      </c>
      <c r="AY1" s="1" t="s">
        <v>34</v>
      </c>
      <c r="AZ1" s="1" t="s">
        <v>17</v>
      </c>
      <c r="BA1" s="1" t="s">
        <v>35</v>
      </c>
      <c r="BB1" s="1" t="s">
        <v>17</v>
      </c>
      <c r="BC1" s="1" t="s">
        <v>36</v>
      </c>
      <c r="BD1" s="1" t="s">
        <v>17</v>
      </c>
      <c r="BE1" s="1" t="s">
        <v>37</v>
      </c>
      <c r="BF1" s="1" t="s">
        <v>17</v>
      </c>
      <c r="BG1" s="1" t="s">
        <v>38</v>
      </c>
      <c r="BH1" s="1" t="s">
        <v>39</v>
      </c>
      <c r="BI1" s="1" t="s">
        <v>40</v>
      </c>
      <c r="BJ1" s="1" t="s">
        <v>41</v>
      </c>
      <c r="BK1" s="1" t="s">
        <v>42</v>
      </c>
      <c r="BL1" s="1" t="s">
        <v>43</v>
      </c>
      <c r="BM1" s="1" t="s">
        <v>44</v>
      </c>
      <c r="BN1" s="1" t="s">
        <v>45</v>
      </c>
      <c r="BO1" s="1" t="s">
        <v>46</v>
      </c>
      <c r="BP1" s="1" t="s">
        <v>47</v>
      </c>
      <c r="BQ1" s="1" t="s">
        <v>48</v>
      </c>
      <c r="BR1" s="1" t="s">
        <v>49</v>
      </c>
      <c r="BS1" s="1" t="s">
        <v>50</v>
      </c>
      <c r="BT1" s="1" t="s">
        <v>51</v>
      </c>
      <c r="BU1" s="1" t="s">
        <v>52</v>
      </c>
      <c r="BV1" s="1" t="s">
        <v>53</v>
      </c>
      <c r="BW1" s="1" t="s">
        <v>54</v>
      </c>
      <c r="BX1" s="1" t="s">
        <v>55</v>
      </c>
      <c r="BY1" s="1" t="s">
        <v>56</v>
      </c>
      <c r="BZ1" s="1" t="s">
        <v>57</v>
      </c>
      <c r="CA1" s="1" t="s">
        <v>58</v>
      </c>
      <c r="CB1" s="1" t="s">
        <v>59</v>
      </c>
      <c r="CC1" s="1" t="s">
        <v>60</v>
      </c>
      <c r="CD1" s="1" t="s">
        <v>61</v>
      </c>
      <c r="CE1" s="1" t="s">
        <v>62</v>
      </c>
      <c r="CF1" s="1" t="s">
        <v>63</v>
      </c>
      <c r="CG1" s="1" t="s">
        <v>64</v>
      </c>
      <c r="CH1" s="1" t="s">
        <v>65</v>
      </c>
      <c r="CI1" s="1" t="s">
        <v>66</v>
      </c>
      <c r="CJ1" s="1" t="s">
        <v>67</v>
      </c>
      <c r="CK1" s="1" t="s">
        <v>68</v>
      </c>
      <c r="CL1" s="1" t="s">
        <v>69</v>
      </c>
      <c r="CM1" s="1" t="s">
        <v>70</v>
      </c>
      <c r="CN1" s="2" t="s">
        <v>71</v>
      </c>
    </row>
    <row r="2" spans="1:92" x14ac:dyDescent="0.3">
      <c r="A2" t="s">
        <v>72</v>
      </c>
      <c r="B2" t="s">
        <v>73</v>
      </c>
      <c r="C2" t="s">
        <v>74</v>
      </c>
      <c r="E2" t="str">
        <f>"080065170137"</f>
        <v>080065170137</v>
      </c>
      <c r="F2" s="3">
        <v>45782</v>
      </c>
      <c r="G2">
        <v>202602</v>
      </c>
      <c r="H2" t="s">
        <v>75</v>
      </c>
      <c r="I2" t="s">
        <v>76</v>
      </c>
      <c r="J2" t="s">
        <v>77</v>
      </c>
      <c r="K2" t="s">
        <v>78</v>
      </c>
      <c r="L2" t="s">
        <v>79</v>
      </c>
      <c r="M2" t="s">
        <v>80</v>
      </c>
      <c r="N2" t="s">
        <v>81</v>
      </c>
      <c r="O2" t="s">
        <v>82</v>
      </c>
      <c r="P2" t="str">
        <f>"4170036925                    "</f>
        <v xml:space="preserve">4170036925                    </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22.11</v>
      </c>
      <c r="AR2">
        <v>0</v>
      </c>
      <c r="AS2">
        <v>0</v>
      </c>
      <c r="AT2">
        <v>0</v>
      </c>
      <c r="AU2">
        <v>0</v>
      </c>
      <c r="AV2">
        <v>0</v>
      </c>
      <c r="AW2">
        <v>0</v>
      </c>
      <c r="AX2">
        <v>0</v>
      </c>
      <c r="AY2">
        <v>0</v>
      </c>
      <c r="AZ2">
        <v>0</v>
      </c>
      <c r="BA2">
        <v>0</v>
      </c>
      <c r="BB2">
        <v>0</v>
      </c>
      <c r="BC2">
        <v>0</v>
      </c>
      <c r="BD2">
        <v>0</v>
      </c>
      <c r="BE2">
        <v>0</v>
      </c>
      <c r="BF2">
        <v>0</v>
      </c>
      <c r="BG2">
        <v>0</v>
      </c>
      <c r="BH2">
        <v>1</v>
      </c>
      <c r="BI2">
        <v>1</v>
      </c>
      <c r="BJ2">
        <v>0.2</v>
      </c>
      <c r="BK2">
        <v>1</v>
      </c>
      <c r="BL2">
        <v>70.709999999999994</v>
      </c>
      <c r="BM2">
        <v>10.61</v>
      </c>
      <c r="BN2">
        <v>81.319999999999993</v>
      </c>
      <c r="BO2">
        <v>81.319999999999993</v>
      </c>
      <c r="BQ2" t="s">
        <v>83</v>
      </c>
      <c r="BR2" t="s">
        <v>84</v>
      </c>
      <c r="BS2" s="3">
        <v>45783</v>
      </c>
      <c r="BT2" s="4">
        <v>0.43472222222222223</v>
      </c>
      <c r="BU2" t="s">
        <v>85</v>
      </c>
      <c r="BV2" t="s">
        <v>86</v>
      </c>
      <c r="BY2">
        <v>1200</v>
      </c>
      <c r="CA2" t="s">
        <v>87</v>
      </c>
      <c r="CC2" t="s">
        <v>80</v>
      </c>
      <c r="CD2">
        <v>3610</v>
      </c>
      <c r="CE2" t="s">
        <v>88</v>
      </c>
      <c r="CF2" s="3">
        <v>45784</v>
      </c>
      <c r="CI2">
        <v>1</v>
      </c>
      <c r="CJ2">
        <v>1</v>
      </c>
      <c r="CK2">
        <v>21</v>
      </c>
      <c r="CL2" t="s">
        <v>89</v>
      </c>
    </row>
    <row r="3" spans="1:92" x14ac:dyDescent="0.3">
      <c r="A3" t="s">
        <v>72</v>
      </c>
      <c r="B3" t="s">
        <v>73</v>
      </c>
      <c r="C3" t="s">
        <v>74</v>
      </c>
      <c r="E3" t="str">
        <f>"080065170162"</f>
        <v>080065170162</v>
      </c>
      <c r="F3" s="3">
        <v>45782</v>
      </c>
      <c r="G3">
        <v>202602</v>
      </c>
      <c r="H3" t="s">
        <v>75</v>
      </c>
      <c r="I3" t="s">
        <v>76</v>
      </c>
      <c r="J3" t="s">
        <v>77</v>
      </c>
      <c r="K3" t="s">
        <v>78</v>
      </c>
      <c r="L3" t="s">
        <v>90</v>
      </c>
      <c r="M3" t="s">
        <v>91</v>
      </c>
      <c r="N3" t="s">
        <v>92</v>
      </c>
      <c r="O3" t="s">
        <v>82</v>
      </c>
      <c r="P3" t="str">
        <f>"4170036904                    "</f>
        <v xml:space="preserve">4170036904                    </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22.11</v>
      </c>
      <c r="AR3">
        <v>0</v>
      </c>
      <c r="AS3">
        <v>0</v>
      </c>
      <c r="AT3">
        <v>0</v>
      </c>
      <c r="AU3">
        <v>0</v>
      </c>
      <c r="AV3">
        <v>0</v>
      </c>
      <c r="AW3">
        <v>0</v>
      </c>
      <c r="AX3">
        <v>0</v>
      </c>
      <c r="AY3">
        <v>0</v>
      </c>
      <c r="AZ3">
        <v>0</v>
      </c>
      <c r="BA3">
        <v>0</v>
      </c>
      <c r="BB3">
        <v>0</v>
      </c>
      <c r="BC3">
        <v>0</v>
      </c>
      <c r="BD3">
        <v>0</v>
      </c>
      <c r="BE3">
        <v>0</v>
      </c>
      <c r="BF3">
        <v>0</v>
      </c>
      <c r="BG3">
        <v>0</v>
      </c>
      <c r="BH3">
        <v>1</v>
      </c>
      <c r="BI3">
        <v>1</v>
      </c>
      <c r="BJ3">
        <v>1.1000000000000001</v>
      </c>
      <c r="BK3">
        <v>1.5</v>
      </c>
      <c r="BL3">
        <v>70.709999999999994</v>
      </c>
      <c r="BM3">
        <v>10.61</v>
      </c>
      <c r="BN3">
        <v>81.319999999999993</v>
      </c>
      <c r="BO3">
        <v>81.319999999999993</v>
      </c>
      <c r="BQ3" t="s">
        <v>93</v>
      </c>
      <c r="BR3" t="s">
        <v>84</v>
      </c>
      <c r="BS3" s="3">
        <v>45783</v>
      </c>
      <c r="BT3" s="4">
        <v>0.35138888888888886</v>
      </c>
      <c r="BU3" t="s">
        <v>94</v>
      </c>
      <c r="BV3" t="s">
        <v>86</v>
      </c>
      <c r="BY3">
        <v>5320</v>
      </c>
      <c r="CA3" t="s">
        <v>95</v>
      </c>
      <c r="CC3" t="s">
        <v>91</v>
      </c>
      <c r="CD3">
        <v>6001</v>
      </c>
      <c r="CE3" t="s">
        <v>96</v>
      </c>
      <c r="CF3" s="3">
        <v>45783</v>
      </c>
      <c r="CI3">
        <v>1</v>
      </c>
      <c r="CJ3">
        <v>1</v>
      </c>
      <c r="CK3">
        <v>21</v>
      </c>
      <c r="CL3" t="s">
        <v>89</v>
      </c>
    </row>
    <row r="4" spans="1:92" x14ac:dyDescent="0.3">
      <c r="A4" t="s">
        <v>72</v>
      </c>
      <c r="B4" t="s">
        <v>73</v>
      </c>
      <c r="C4" t="s">
        <v>74</v>
      </c>
      <c r="E4" t="str">
        <f>"080065281082"</f>
        <v>080065281082</v>
      </c>
      <c r="F4" s="3">
        <v>45786</v>
      </c>
      <c r="G4">
        <v>202602</v>
      </c>
      <c r="H4" t="s">
        <v>75</v>
      </c>
      <c r="I4" t="s">
        <v>76</v>
      </c>
      <c r="J4" t="s">
        <v>77</v>
      </c>
      <c r="K4" t="s">
        <v>78</v>
      </c>
      <c r="L4" t="s">
        <v>97</v>
      </c>
      <c r="M4" t="s">
        <v>98</v>
      </c>
      <c r="N4" t="s">
        <v>99</v>
      </c>
      <c r="O4" t="s">
        <v>82</v>
      </c>
      <c r="P4" t="str">
        <f>"4170037609                    "</f>
        <v xml:space="preserve">4170037609                    </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16.7</v>
      </c>
      <c r="AR4">
        <v>0</v>
      </c>
      <c r="AS4">
        <v>0</v>
      </c>
      <c r="AT4">
        <v>0</v>
      </c>
      <c r="AU4">
        <v>0</v>
      </c>
      <c r="AV4">
        <v>0</v>
      </c>
      <c r="AW4">
        <v>0</v>
      </c>
      <c r="AX4">
        <v>0</v>
      </c>
      <c r="AY4">
        <v>0</v>
      </c>
      <c r="AZ4">
        <v>0</v>
      </c>
      <c r="BA4">
        <v>0</v>
      </c>
      <c r="BB4">
        <v>0</v>
      </c>
      <c r="BC4">
        <v>0</v>
      </c>
      <c r="BD4">
        <v>0</v>
      </c>
      <c r="BE4">
        <v>0</v>
      </c>
      <c r="BF4">
        <v>0</v>
      </c>
      <c r="BG4">
        <v>0</v>
      </c>
      <c r="BH4">
        <v>1</v>
      </c>
      <c r="BI4">
        <v>1</v>
      </c>
      <c r="BJ4">
        <v>0.2</v>
      </c>
      <c r="BK4">
        <v>1</v>
      </c>
      <c r="BL4">
        <v>54.66</v>
      </c>
      <c r="BM4">
        <v>8.1999999999999993</v>
      </c>
      <c r="BN4">
        <v>62.86</v>
      </c>
      <c r="BO4">
        <v>62.86</v>
      </c>
      <c r="BQ4" t="s">
        <v>100</v>
      </c>
      <c r="BR4" t="s">
        <v>84</v>
      </c>
      <c r="BS4" s="3">
        <v>45789</v>
      </c>
      <c r="BT4" s="4">
        <v>0.3527777777777778</v>
      </c>
      <c r="BU4" t="s">
        <v>101</v>
      </c>
      <c r="BV4" t="s">
        <v>86</v>
      </c>
      <c r="BY4">
        <v>1200</v>
      </c>
      <c r="CA4" t="s">
        <v>102</v>
      </c>
      <c r="CC4" t="s">
        <v>98</v>
      </c>
      <c r="CD4">
        <v>1459</v>
      </c>
      <c r="CE4" t="s">
        <v>88</v>
      </c>
      <c r="CF4" s="3">
        <v>45789</v>
      </c>
      <c r="CI4">
        <v>1</v>
      </c>
      <c r="CJ4">
        <v>1</v>
      </c>
      <c r="CK4">
        <v>22</v>
      </c>
      <c r="CL4" t="s">
        <v>89</v>
      </c>
    </row>
    <row r="5" spans="1:92" x14ac:dyDescent="0.3">
      <c r="A5" t="s">
        <v>72</v>
      </c>
      <c r="B5" t="s">
        <v>73</v>
      </c>
      <c r="C5" t="s">
        <v>74</v>
      </c>
      <c r="E5" t="str">
        <f>"080065321648"</f>
        <v>080065321648</v>
      </c>
      <c r="F5" s="3">
        <v>45789</v>
      </c>
      <c r="G5">
        <v>202602</v>
      </c>
      <c r="H5" t="s">
        <v>75</v>
      </c>
      <c r="I5" t="s">
        <v>76</v>
      </c>
      <c r="J5" t="s">
        <v>77</v>
      </c>
      <c r="K5" t="s">
        <v>78</v>
      </c>
      <c r="L5" t="s">
        <v>103</v>
      </c>
      <c r="M5" t="s">
        <v>104</v>
      </c>
      <c r="N5" t="s">
        <v>105</v>
      </c>
      <c r="O5" t="s">
        <v>82</v>
      </c>
      <c r="P5" t="str">
        <f>"4170037767                    "</f>
        <v xml:space="preserve">4170037767                    </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21.38</v>
      </c>
      <c r="AR5">
        <v>0</v>
      </c>
      <c r="AS5">
        <v>0</v>
      </c>
      <c r="AT5">
        <v>0</v>
      </c>
      <c r="AU5">
        <v>0</v>
      </c>
      <c r="AV5">
        <v>0</v>
      </c>
      <c r="AW5">
        <v>0</v>
      </c>
      <c r="AX5">
        <v>0</v>
      </c>
      <c r="AY5">
        <v>0</v>
      </c>
      <c r="AZ5">
        <v>0</v>
      </c>
      <c r="BA5">
        <v>0</v>
      </c>
      <c r="BB5">
        <v>0</v>
      </c>
      <c r="BC5">
        <v>0</v>
      </c>
      <c r="BD5">
        <v>0</v>
      </c>
      <c r="BE5">
        <v>0</v>
      </c>
      <c r="BF5">
        <v>0</v>
      </c>
      <c r="BG5">
        <v>0</v>
      </c>
      <c r="BH5">
        <v>1</v>
      </c>
      <c r="BI5">
        <v>1</v>
      </c>
      <c r="BJ5">
        <v>0.2</v>
      </c>
      <c r="BK5">
        <v>1</v>
      </c>
      <c r="BL5">
        <v>69.98</v>
      </c>
      <c r="BM5">
        <v>10.5</v>
      </c>
      <c r="BN5">
        <v>80.48</v>
      </c>
      <c r="BO5">
        <v>80.48</v>
      </c>
      <c r="BQ5" t="s">
        <v>106</v>
      </c>
      <c r="BR5" t="s">
        <v>84</v>
      </c>
      <c r="BS5" s="3">
        <v>45790</v>
      </c>
      <c r="BT5" s="4">
        <v>0.46180555555555558</v>
      </c>
      <c r="BU5" t="s">
        <v>107</v>
      </c>
      <c r="BV5" t="s">
        <v>86</v>
      </c>
      <c r="BY5">
        <v>1200</v>
      </c>
      <c r="CA5" t="s">
        <v>108</v>
      </c>
      <c r="CC5" t="s">
        <v>104</v>
      </c>
      <c r="CD5">
        <v>3201</v>
      </c>
      <c r="CE5" t="s">
        <v>88</v>
      </c>
      <c r="CF5" s="3">
        <v>45791</v>
      </c>
      <c r="CI5">
        <v>1</v>
      </c>
      <c r="CJ5">
        <v>1</v>
      </c>
      <c r="CK5">
        <v>21</v>
      </c>
      <c r="CL5" t="s">
        <v>89</v>
      </c>
    </row>
    <row r="6" spans="1:92" x14ac:dyDescent="0.3">
      <c r="A6" t="s">
        <v>72</v>
      </c>
      <c r="B6" t="s">
        <v>73</v>
      </c>
      <c r="C6" t="s">
        <v>74</v>
      </c>
      <c r="E6" t="str">
        <f>"080065321726"</f>
        <v>080065321726</v>
      </c>
      <c r="F6" s="3">
        <v>45789</v>
      </c>
      <c r="G6">
        <v>202602</v>
      </c>
      <c r="H6" t="s">
        <v>75</v>
      </c>
      <c r="I6" t="s">
        <v>76</v>
      </c>
      <c r="J6" t="s">
        <v>77</v>
      </c>
      <c r="K6" t="s">
        <v>78</v>
      </c>
      <c r="L6" t="s">
        <v>90</v>
      </c>
      <c r="M6" t="s">
        <v>91</v>
      </c>
      <c r="N6" t="s">
        <v>109</v>
      </c>
      <c r="O6" t="s">
        <v>82</v>
      </c>
      <c r="P6" t="str">
        <f>"4170037807                    "</f>
        <v xml:space="preserve">4170037807                    </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21.38</v>
      </c>
      <c r="AR6">
        <v>0</v>
      </c>
      <c r="AS6">
        <v>0</v>
      </c>
      <c r="AT6">
        <v>0</v>
      </c>
      <c r="AU6">
        <v>0</v>
      </c>
      <c r="AV6">
        <v>0</v>
      </c>
      <c r="AW6">
        <v>0</v>
      </c>
      <c r="AX6">
        <v>0</v>
      </c>
      <c r="AY6">
        <v>0</v>
      </c>
      <c r="AZ6">
        <v>0</v>
      </c>
      <c r="BA6">
        <v>0</v>
      </c>
      <c r="BB6">
        <v>0</v>
      </c>
      <c r="BC6">
        <v>0</v>
      </c>
      <c r="BD6">
        <v>0</v>
      </c>
      <c r="BE6">
        <v>0</v>
      </c>
      <c r="BF6">
        <v>0</v>
      </c>
      <c r="BG6">
        <v>0</v>
      </c>
      <c r="BH6">
        <v>1</v>
      </c>
      <c r="BI6">
        <v>1</v>
      </c>
      <c r="BJ6">
        <v>0.2</v>
      </c>
      <c r="BK6">
        <v>1</v>
      </c>
      <c r="BL6">
        <v>69.98</v>
      </c>
      <c r="BM6">
        <v>10.5</v>
      </c>
      <c r="BN6">
        <v>80.48</v>
      </c>
      <c r="BO6">
        <v>80.48</v>
      </c>
      <c r="BQ6" t="s">
        <v>110</v>
      </c>
      <c r="BR6" t="s">
        <v>84</v>
      </c>
      <c r="BS6" s="3">
        <v>45790</v>
      </c>
      <c r="BT6" s="4">
        <v>0.37638888888888888</v>
      </c>
      <c r="BU6" t="s">
        <v>111</v>
      </c>
      <c r="BV6" t="s">
        <v>86</v>
      </c>
      <c r="BY6">
        <v>1200</v>
      </c>
      <c r="CA6" t="s">
        <v>95</v>
      </c>
      <c r="CC6" t="s">
        <v>91</v>
      </c>
      <c r="CD6">
        <v>6001</v>
      </c>
      <c r="CE6" t="s">
        <v>88</v>
      </c>
      <c r="CF6" s="3">
        <v>45790</v>
      </c>
      <c r="CI6">
        <v>1</v>
      </c>
      <c r="CJ6">
        <v>1</v>
      </c>
      <c r="CK6">
        <v>21</v>
      </c>
      <c r="CL6" t="s">
        <v>89</v>
      </c>
    </row>
    <row r="7" spans="1:92" x14ac:dyDescent="0.3">
      <c r="A7" t="s">
        <v>72</v>
      </c>
      <c r="B7" t="s">
        <v>73</v>
      </c>
      <c r="C7" t="s">
        <v>74</v>
      </c>
      <c r="E7" t="str">
        <f>"080065321745"</f>
        <v>080065321745</v>
      </c>
      <c r="F7" s="3">
        <v>45789</v>
      </c>
      <c r="G7">
        <v>202602</v>
      </c>
      <c r="H7" t="s">
        <v>75</v>
      </c>
      <c r="I7" t="s">
        <v>76</v>
      </c>
      <c r="J7" t="s">
        <v>77</v>
      </c>
      <c r="K7" t="s">
        <v>78</v>
      </c>
      <c r="L7" t="s">
        <v>75</v>
      </c>
      <c r="M7" t="s">
        <v>76</v>
      </c>
      <c r="N7" t="s">
        <v>112</v>
      </c>
      <c r="O7" t="s">
        <v>82</v>
      </c>
      <c r="P7" t="str">
        <f>"4170037727                    "</f>
        <v xml:space="preserve">4170037727                    </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16.7</v>
      </c>
      <c r="AR7">
        <v>0</v>
      </c>
      <c r="AS7">
        <v>0</v>
      </c>
      <c r="AT7">
        <v>0</v>
      </c>
      <c r="AU7">
        <v>0</v>
      </c>
      <c r="AV7">
        <v>0</v>
      </c>
      <c r="AW7">
        <v>0</v>
      </c>
      <c r="AX7">
        <v>0</v>
      </c>
      <c r="AY7">
        <v>0</v>
      </c>
      <c r="AZ7">
        <v>0</v>
      </c>
      <c r="BA7">
        <v>0</v>
      </c>
      <c r="BB7">
        <v>0</v>
      </c>
      <c r="BC7">
        <v>0</v>
      </c>
      <c r="BD7">
        <v>0</v>
      </c>
      <c r="BE7">
        <v>0</v>
      </c>
      <c r="BF7">
        <v>0</v>
      </c>
      <c r="BG7">
        <v>0</v>
      </c>
      <c r="BH7">
        <v>1</v>
      </c>
      <c r="BI7">
        <v>1</v>
      </c>
      <c r="BJ7">
        <v>1.1000000000000001</v>
      </c>
      <c r="BK7">
        <v>2</v>
      </c>
      <c r="BL7">
        <v>54.66</v>
      </c>
      <c r="BM7">
        <v>8.1999999999999993</v>
      </c>
      <c r="BN7">
        <v>62.86</v>
      </c>
      <c r="BO7">
        <v>62.86</v>
      </c>
      <c r="BQ7" t="s">
        <v>113</v>
      </c>
      <c r="BR7" t="s">
        <v>84</v>
      </c>
      <c r="BS7" s="3">
        <v>45790</v>
      </c>
      <c r="BT7" s="4">
        <v>0.39791666666666664</v>
      </c>
      <c r="BU7" t="s">
        <v>114</v>
      </c>
      <c r="BV7" t="s">
        <v>86</v>
      </c>
      <c r="BY7">
        <v>5320</v>
      </c>
      <c r="CA7" t="s">
        <v>115</v>
      </c>
      <c r="CC7" t="s">
        <v>76</v>
      </c>
      <c r="CD7">
        <v>1624</v>
      </c>
      <c r="CE7" t="s">
        <v>116</v>
      </c>
      <c r="CF7" s="3">
        <v>45790</v>
      </c>
      <c r="CI7">
        <v>1</v>
      </c>
      <c r="CJ7">
        <v>1</v>
      </c>
      <c r="CK7">
        <v>22</v>
      </c>
      <c r="CL7" t="s">
        <v>89</v>
      </c>
    </row>
    <row r="8" spans="1:92" x14ac:dyDescent="0.3">
      <c r="A8" t="s">
        <v>72</v>
      </c>
      <c r="B8" t="s">
        <v>73</v>
      </c>
      <c r="C8" t="s">
        <v>74</v>
      </c>
      <c r="E8" t="str">
        <f>"080065129004"</f>
        <v>080065129004</v>
      </c>
      <c r="F8" s="3">
        <v>45779</v>
      </c>
      <c r="G8">
        <v>202602</v>
      </c>
      <c r="H8" t="s">
        <v>75</v>
      </c>
      <c r="I8" t="s">
        <v>76</v>
      </c>
      <c r="J8" t="s">
        <v>77</v>
      </c>
      <c r="K8" t="s">
        <v>78</v>
      </c>
      <c r="L8" t="s">
        <v>117</v>
      </c>
      <c r="M8" t="s">
        <v>118</v>
      </c>
      <c r="N8" t="s">
        <v>119</v>
      </c>
      <c r="O8" t="s">
        <v>82</v>
      </c>
      <c r="P8" t="str">
        <f>"4170036706                    "</f>
        <v xml:space="preserve">4170036706                    </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44.21</v>
      </c>
      <c r="AR8">
        <v>0</v>
      </c>
      <c r="AS8">
        <v>0</v>
      </c>
      <c r="AT8">
        <v>0</v>
      </c>
      <c r="AU8">
        <v>0</v>
      </c>
      <c r="AV8">
        <v>0</v>
      </c>
      <c r="AW8">
        <v>16.739999999999998</v>
      </c>
      <c r="AX8">
        <v>0</v>
      </c>
      <c r="AY8">
        <v>0</v>
      </c>
      <c r="AZ8">
        <v>0</v>
      </c>
      <c r="BA8">
        <v>0</v>
      </c>
      <c r="BB8">
        <v>0</v>
      </c>
      <c r="BC8">
        <v>0</v>
      </c>
      <c r="BD8">
        <v>0</v>
      </c>
      <c r="BE8">
        <v>0</v>
      </c>
      <c r="BF8">
        <v>0</v>
      </c>
      <c r="BG8">
        <v>0</v>
      </c>
      <c r="BH8">
        <v>1</v>
      </c>
      <c r="BI8">
        <v>4</v>
      </c>
      <c r="BJ8">
        <v>3.4</v>
      </c>
      <c r="BK8">
        <v>4</v>
      </c>
      <c r="BL8">
        <v>158.11000000000001</v>
      </c>
      <c r="BM8">
        <v>23.72</v>
      </c>
      <c r="BN8">
        <v>181.83</v>
      </c>
      <c r="BO8">
        <v>181.83</v>
      </c>
      <c r="BQ8" t="s">
        <v>120</v>
      </c>
      <c r="BR8" t="s">
        <v>84</v>
      </c>
      <c r="BS8" s="3">
        <v>45782</v>
      </c>
      <c r="BT8" s="4">
        <v>0.51527777777777772</v>
      </c>
      <c r="BU8" t="s">
        <v>121</v>
      </c>
      <c r="BV8" t="s">
        <v>86</v>
      </c>
      <c r="BY8">
        <v>16965</v>
      </c>
      <c r="BZ8" t="s">
        <v>30</v>
      </c>
      <c r="CA8" t="s">
        <v>122</v>
      </c>
      <c r="CC8" t="s">
        <v>118</v>
      </c>
      <c r="CD8">
        <v>1821</v>
      </c>
      <c r="CE8" t="s">
        <v>96</v>
      </c>
      <c r="CF8" s="3">
        <v>45783</v>
      </c>
      <c r="CI8">
        <v>0</v>
      </c>
      <c r="CJ8">
        <v>0</v>
      </c>
      <c r="CK8">
        <v>21</v>
      </c>
      <c r="CL8" t="s">
        <v>89</v>
      </c>
    </row>
    <row r="9" spans="1:92" x14ac:dyDescent="0.3">
      <c r="A9" t="s">
        <v>72</v>
      </c>
      <c r="B9" t="s">
        <v>73</v>
      </c>
      <c r="C9" t="s">
        <v>74</v>
      </c>
      <c r="E9" t="str">
        <f>"080065126628"</f>
        <v>080065126628</v>
      </c>
      <c r="F9" s="3">
        <v>45779</v>
      </c>
      <c r="G9">
        <v>202602</v>
      </c>
      <c r="H9" t="s">
        <v>75</v>
      </c>
      <c r="I9" t="s">
        <v>76</v>
      </c>
      <c r="J9" t="s">
        <v>77</v>
      </c>
      <c r="K9" t="s">
        <v>78</v>
      </c>
      <c r="L9" t="s">
        <v>123</v>
      </c>
      <c r="M9" t="s">
        <v>123</v>
      </c>
      <c r="N9" t="s">
        <v>124</v>
      </c>
      <c r="O9" t="s">
        <v>82</v>
      </c>
      <c r="P9" t="str">
        <f>"4170036688                    "</f>
        <v xml:space="preserve">4170036688                    </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42.84</v>
      </c>
      <c r="AR9">
        <v>0</v>
      </c>
      <c r="AS9">
        <v>0</v>
      </c>
      <c r="AT9">
        <v>0</v>
      </c>
      <c r="AU9">
        <v>0</v>
      </c>
      <c r="AV9">
        <v>0</v>
      </c>
      <c r="AW9">
        <v>0</v>
      </c>
      <c r="AX9">
        <v>0</v>
      </c>
      <c r="AY9">
        <v>0</v>
      </c>
      <c r="AZ9">
        <v>0</v>
      </c>
      <c r="BA9">
        <v>0</v>
      </c>
      <c r="BB9">
        <v>0</v>
      </c>
      <c r="BC9">
        <v>0</v>
      </c>
      <c r="BD9">
        <v>0</v>
      </c>
      <c r="BE9">
        <v>0</v>
      </c>
      <c r="BF9">
        <v>0</v>
      </c>
      <c r="BG9">
        <v>0</v>
      </c>
      <c r="BH9">
        <v>1</v>
      </c>
      <c r="BI9">
        <v>1</v>
      </c>
      <c r="BJ9">
        <v>0.2</v>
      </c>
      <c r="BK9">
        <v>1</v>
      </c>
      <c r="BL9">
        <v>137</v>
      </c>
      <c r="BM9">
        <v>20.55</v>
      </c>
      <c r="BN9">
        <v>157.55000000000001</v>
      </c>
      <c r="BO9">
        <v>157.55000000000001</v>
      </c>
      <c r="BQ9" t="s">
        <v>125</v>
      </c>
      <c r="BR9" t="s">
        <v>84</v>
      </c>
      <c r="BS9" s="3">
        <v>45782</v>
      </c>
      <c r="BT9" s="4">
        <v>0.48749999999999999</v>
      </c>
      <c r="BU9" t="s">
        <v>126</v>
      </c>
      <c r="BV9" t="s">
        <v>86</v>
      </c>
      <c r="BY9">
        <v>1200</v>
      </c>
      <c r="BZ9" t="s">
        <v>127</v>
      </c>
      <c r="CA9" t="s">
        <v>128</v>
      </c>
      <c r="CC9" t="s">
        <v>123</v>
      </c>
      <c r="CD9">
        <v>7646</v>
      </c>
      <c r="CE9" t="s">
        <v>129</v>
      </c>
      <c r="CF9" s="3">
        <v>45783</v>
      </c>
      <c r="CI9">
        <v>1</v>
      </c>
      <c r="CJ9">
        <v>1</v>
      </c>
      <c r="CK9">
        <v>23</v>
      </c>
      <c r="CL9" t="s">
        <v>89</v>
      </c>
    </row>
    <row r="10" spans="1:92" x14ac:dyDescent="0.3">
      <c r="A10" t="s">
        <v>72</v>
      </c>
      <c r="B10" t="s">
        <v>73</v>
      </c>
      <c r="C10" t="s">
        <v>74</v>
      </c>
      <c r="E10" t="str">
        <f>"080065127042"</f>
        <v>080065127042</v>
      </c>
      <c r="F10" s="3">
        <v>45779</v>
      </c>
      <c r="G10">
        <v>202602</v>
      </c>
      <c r="H10" t="s">
        <v>75</v>
      </c>
      <c r="I10" t="s">
        <v>76</v>
      </c>
      <c r="J10" t="s">
        <v>77</v>
      </c>
      <c r="K10" t="s">
        <v>78</v>
      </c>
      <c r="L10" t="s">
        <v>130</v>
      </c>
      <c r="M10" t="s">
        <v>131</v>
      </c>
      <c r="N10" t="s">
        <v>132</v>
      </c>
      <c r="O10" t="s">
        <v>82</v>
      </c>
      <c r="P10" t="str">
        <f>"4170036652                    "</f>
        <v xml:space="preserve">4170036652                    </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22.11</v>
      </c>
      <c r="AR10">
        <v>0</v>
      </c>
      <c r="AS10">
        <v>0</v>
      </c>
      <c r="AT10">
        <v>0</v>
      </c>
      <c r="AU10">
        <v>0</v>
      </c>
      <c r="AV10">
        <v>0</v>
      </c>
      <c r="AW10">
        <v>0</v>
      </c>
      <c r="AX10">
        <v>0</v>
      </c>
      <c r="AY10">
        <v>0</v>
      </c>
      <c r="AZ10">
        <v>0</v>
      </c>
      <c r="BA10">
        <v>0</v>
      </c>
      <c r="BB10">
        <v>0</v>
      </c>
      <c r="BC10">
        <v>0</v>
      </c>
      <c r="BD10">
        <v>0</v>
      </c>
      <c r="BE10">
        <v>0</v>
      </c>
      <c r="BF10">
        <v>0</v>
      </c>
      <c r="BG10">
        <v>0</v>
      </c>
      <c r="BH10">
        <v>1</v>
      </c>
      <c r="BI10">
        <v>1</v>
      </c>
      <c r="BJ10">
        <v>0.2</v>
      </c>
      <c r="BK10">
        <v>1</v>
      </c>
      <c r="BL10">
        <v>70.709999999999994</v>
      </c>
      <c r="BM10">
        <v>10.61</v>
      </c>
      <c r="BN10">
        <v>81.319999999999993</v>
      </c>
      <c r="BO10">
        <v>81.319999999999993</v>
      </c>
      <c r="BQ10" t="s">
        <v>133</v>
      </c>
      <c r="BR10" t="s">
        <v>84</v>
      </c>
      <c r="BS10" s="3">
        <v>45782</v>
      </c>
      <c r="BT10" s="4">
        <v>0.43402777777777779</v>
      </c>
      <c r="BU10" t="s">
        <v>134</v>
      </c>
      <c r="BV10" t="s">
        <v>86</v>
      </c>
      <c r="BY10">
        <v>1200</v>
      </c>
      <c r="CA10" t="s">
        <v>135</v>
      </c>
      <c r="CC10" t="s">
        <v>131</v>
      </c>
      <c r="CD10">
        <v>7490</v>
      </c>
      <c r="CE10" t="s">
        <v>88</v>
      </c>
      <c r="CF10" s="3">
        <v>45783</v>
      </c>
      <c r="CI10">
        <v>1</v>
      </c>
      <c r="CJ10">
        <v>1</v>
      </c>
      <c r="CK10">
        <v>21</v>
      </c>
      <c r="CL10" t="s">
        <v>89</v>
      </c>
    </row>
    <row r="11" spans="1:92" x14ac:dyDescent="0.3">
      <c r="A11" t="s">
        <v>72</v>
      </c>
      <c r="B11" t="s">
        <v>73</v>
      </c>
      <c r="C11" t="s">
        <v>74</v>
      </c>
      <c r="E11" t="str">
        <f>"080065127078"</f>
        <v>080065127078</v>
      </c>
      <c r="F11" s="3">
        <v>45779</v>
      </c>
      <c r="G11">
        <v>202602</v>
      </c>
      <c r="H11" t="s">
        <v>75</v>
      </c>
      <c r="I11" t="s">
        <v>76</v>
      </c>
      <c r="J11" t="s">
        <v>77</v>
      </c>
      <c r="K11" t="s">
        <v>78</v>
      </c>
      <c r="L11" t="s">
        <v>136</v>
      </c>
      <c r="M11" t="s">
        <v>137</v>
      </c>
      <c r="N11" t="s">
        <v>138</v>
      </c>
      <c r="O11" t="s">
        <v>82</v>
      </c>
      <c r="P11" t="str">
        <f>"4170036712                    "</f>
        <v xml:space="preserve">4170036712                    </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22.11</v>
      </c>
      <c r="AR11">
        <v>0</v>
      </c>
      <c r="AS11">
        <v>0</v>
      </c>
      <c r="AT11">
        <v>0</v>
      </c>
      <c r="AU11">
        <v>0</v>
      </c>
      <c r="AV11">
        <v>0</v>
      </c>
      <c r="AW11">
        <v>0</v>
      </c>
      <c r="AX11">
        <v>0</v>
      </c>
      <c r="AY11">
        <v>0</v>
      </c>
      <c r="AZ11">
        <v>0</v>
      </c>
      <c r="BA11">
        <v>0</v>
      </c>
      <c r="BB11">
        <v>0</v>
      </c>
      <c r="BC11">
        <v>0</v>
      </c>
      <c r="BD11">
        <v>0</v>
      </c>
      <c r="BE11">
        <v>0</v>
      </c>
      <c r="BF11">
        <v>0</v>
      </c>
      <c r="BG11">
        <v>0</v>
      </c>
      <c r="BH11">
        <v>1</v>
      </c>
      <c r="BI11">
        <v>1</v>
      </c>
      <c r="BJ11">
        <v>0.2</v>
      </c>
      <c r="BK11">
        <v>1</v>
      </c>
      <c r="BL11">
        <v>70.709999999999994</v>
      </c>
      <c r="BM11">
        <v>10.61</v>
      </c>
      <c r="BN11">
        <v>81.319999999999993</v>
      </c>
      <c r="BO11">
        <v>81.319999999999993</v>
      </c>
      <c r="BQ11" t="s">
        <v>139</v>
      </c>
      <c r="BR11" t="s">
        <v>84</v>
      </c>
      <c r="BS11" s="3">
        <v>45782</v>
      </c>
      <c r="BT11" s="4">
        <v>0.41666666666666669</v>
      </c>
      <c r="BU11" t="s">
        <v>140</v>
      </c>
      <c r="BV11" t="s">
        <v>86</v>
      </c>
      <c r="BY11">
        <v>1200</v>
      </c>
      <c r="CA11" t="s">
        <v>141</v>
      </c>
      <c r="CC11" t="s">
        <v>137</v>
      </c>
      <c r="CD11" s="5" t="s">
        <v>142</v>
      </c>
      <c r="CE11" t="s">
        <v>88</v>
      </c>
      <c r="CF11" s="3">
        <v>45782</v>
      </c>
      <c r="CI11">
        <v>1</v>
      </c>
      <c r="CJ11">
        <v>1</v>
      </c>
      <c r="CK11">
        <v>21</v>
      </c>
      <c r="CL11" t="s">
        <v>89</v>
      </c>
    </row>
    <row r="12" spans="1:92" x14ac:dyDescent="0.3">
      <c r="A12" t="s">
        <v>72</v>
      </c>
      <c r="B12" t="s">
        <v>73</v>
      </c>
      <c r="C12" t="s">
        <v>74</v>
      </c>
      <c r="E12" t="str">
        <f>"080065127102"</f>
        <v>080065127102</v>
      </c>
      <c r="F12" s="3">
        <v>45779</v>
      </c>
      <c r="G12">
        <v>202602</v>
      </c>
      <c r="H12" t="s">
        <v>75</v>
      </c>
      <c r="I12" t="s">
        <v>76</v>
      </c>
      <c r="J12" t="s">
        <v>77</v>
      </c>
      <c r="K12" t="s">
        <v>78</v>
      </c>
      <c r="L12" t="s">
        <v>143</v>
      </c>
      <c r="M12" t="s">
        <v>144</v>
      </c>
      <c r="N12" t="s">
        <v>145</v>
      </c>
      <c r="O12" t="s">
        <v>82</v>
      </c>
      <c r="P12" t="str">
        <f>"4170036697                    "</f>
        <v xml:space="preserve">4170036697                    </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17.27</v>
      </c>
      <c r="AR12">
        <v>0</v>
      </c>
      <c r="AS12">
        <v>0</v>
      </c>
      <c r="AT12">
        <v>0</v>
      </c>
      <c r="AU12">
        <v>0</v>
      </c>
      <c r="AV12">
        <v>0</v>
      </c>
      <c r="AW12">
        <v>0</v>
      </c>
      <c r="AX12">
        <v>0</v>
      </c>
      <c r="AY12">
        <v>0</v>
      </c>
      <c r="AZ12">
        <v>0</v>
      </c>
      <c r="BA12">
        <v>0</v>
      </c>
      <c r="BB12">
        <v>0</v>
      </c>
      <c r="BC12">
        <v>0</v>
      </c>
      <c r="BD12">
        <v>0</v>
      </c>
      <c r="BE12">
        <v>0</v>
      </c>
      <c r="BF12">
        <v>0</v>
      </c>
      <c r="BG12">
        <v>0</v>
      </c>
      <c r="BH12">
        <v>1</v>
      </c>
      <c r="BI12">
        <v>1</v>
      </c>
      <c r="BJ12">
        <v>0.2</v>
      </c>
      <c r="BK12">
        <v>1</v>
      </c>
      <c r="BL12">
        <v>55.23</v>
      </c>
      <c r="BM12">
        <v>8.2799999999999994</v>
      </c>
      <c r="BN12">
        <v>63.51</v>
      </c>
      <c r="BO12">
        <v>63.51</v>
      </c>
      <c r="BQ12" t="s">
        <v>146</v>
      </c>
      <c r="BR12" t="s">
        <v>84</v>
      </c>
      <c r="BS12" s="3">
        <v>45782</v>
      </c>
      <c r="BT12" s="4">
        <v>0.76111111111111107</v>
      </c>
      <c r="BU12" t="s">
        <v>147</v>
      </c>
      <c r="BV12" t="s">
        <v>89</v>
      </c>
      <c r="BW12" t="s">
        <v>148</v>
      </c>
      <c r="BX12" t="s">
        <v>149</v>
      </c>
      <c r="BY12">
        <v>1200</v>
      </c>
      <c r="CA12" t="s">
        <v>150</v>
      </c>
      <c r="CC12" t="s">
        <v>144</v>
      </c>
      <c r="CD12">
        <v>1406</v>
      </c>
      <c r="CE12" t="s">
        <v>88</v>
      </c>
      <c r="CF12" s="3">
        <v>45782</v>
      </c>
      <c r="CI12">
        <v>1</v>
      </c>
      <c r="CJ12">
        <v>1</v>
      </c>
      <c r="CK12">
        <v>22</v>
      </c>
      <c r="CL12" t="s">
        <v>89</v>
      </c>
    </row>
    <row r="13" spans="1:92" x14ac:dyDescent="0.3">
      <c r="A13" t="s">
        <v>72</v>
      </c>
      <c r="B13" t="s">
        <v>73</v>
      </c>
      <c r="C13" t="s">
        <v>74</v>
      </c>
      <c r="E13" t="str">
        <f>"080065127130"</f>
        <v>080065127130</v>
      </c>
      <c r="F13" s="3">
        <v>45779</v>
      </c>
      <c r="G13">
        <v>202602</v>
      </c>
      <c r="H13" t="s">
        <v>75</v>
      </c>
      <c r="I13" t="s">
        <v>76</v>
      </c>
      <c r="J13" t="s">
        <v>77</v>
      </c>
      <c r="K13" t="s">
        <v>78</v>
      </c>
      <c r="L13" t="s">
        <v>151</v>
      </c>
      <c r="M13" t="s">
        <v>152</v>
      </c>
      <c r="N13" t="s">
        <v>153</v>
      </c>
      <c r="O13" t="s">
        <v>82</v>
      </c>
      <c r="P13" t="str">
        <f>"4170036698                    "</f>
        <v xml:space="preserve">4170036698                    </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42.84</v>
      </c>
      <c r="AR13">
        <v>0</v>
      </c>
      <c r="AS13">
        <v>0</v>
      </c>
      <c r="AT13">
        <v>0</v>
      </c>
      <c r="AU13">
        <v>0</v>
      </c>
      <c r="AV13">
        <v>0</v>
      </c>
      <c r="AW13">
        <v>0</v>
      </c>
      <c r="AX13">
        <v>0</v>
      </c>
      <c r="AY13">
        <v>0</v>
      </c>
      <c r="AZ13">
        <v>0</v>
      </c>
      <c r="BA13">
        <v>0</v>
      </c>
      <c r="BB13">
        <v>0</v>
      </c>
      <c r="BC13">
        <v>0</v>
      </c>
      <c r="BD13">
        <v>0</v>
      </c>
      <c r="BE13">
        <v>0</v>
      </c>
      <c r="BF13">
        <v>0</v>
      </c>
      <c r="BG13">
        <v>0</v>
      </c>
      <c r="BH13">
        <v>1</v>
      </c>
      <c r="BI13">
        <v>1</v>
      </c>
      <c r="BJ13">
        <v>0.2</v>
      </c>
      <c r="BK13">
        <v>1</v>
      </c>
      <c r="BL13">
        <v>137</v>
      </c>
      <c r="BM13">
        <v>20.55</v>
      </c>
      <c r="BN13">
        <v>157.55000000000001</v>
      </c>
      <c r="BO13">
        <v>157.55000000000001</v>
      </c>
      <c r="BQ13" t="s">
        <v>154</v>
      </c>
      <c r="BR13" t="s">
        <v>84</v>
      </c>
      <c r="BS13" s="3">
        <v>45782</v>
      </c>
      <c r="BT13" s="4">
        <v>0.3659722222222222</v>
      </c>
      <c r="BU13" t="s">
        <v>155</v>
      </c>
      <c r="BV13" t="s">
        <v>86</v>
      </c>
      <c r="BY13">
        <v>1200</v>
      </c>
      <c r="CA13" t="s">
        <v>156</v>
      </c>
      <c r="CC13" t="s">
        <v>152</v>
      </c>
      <c r="CD13">
        <v>1911</v>
      </c>
      <c r="CE13" t="s">
        <v>88</v>
      </c>
      <c r="CF13" s="3">
        <v>45783</v>
      </c>
      <c r="CI13">
        <v>1</v>
      </c>
      <c r="CJ13">
        <v>1</v>
      </c>
      <c r="CK13">
        <v>23</v>
      </c>
      <c r="CL13" t="s">
        <v>89</v>
      </c>
    </row>
    <row r="14" spans="1:92" x14ac:dyDescent="0.3">
      <c r="A14" t="s">
        <v>72</v>
      </c>
      <c r="B14" t="s">
        <v>73</v>
      </c>
      <c r="C14" t="s">
        <v>74</v>
      </c>
      <c r="E14" t="str">
        <f>"080065127156"</f>
        <v>080065127156</v>
      </c>
      <c r="F14" s="3">
        <v>45779</v>
      </c>
      <c r="G14">
        <v>202602</v>
      </c>
      <c r="H14" t="s">
        <v>75</v>
      </c>
      <c r="I14" t="s">
        <v>76</v>
      </c>
      <c r="J14" t="s">
        <v>77</v>
      </c>
      <c r="K14" t="s">
        <v>78</v>
      </c>
      <c r="L14" t="s">
        <v>79</v>
      </c>
      <c r="M14" t="s">
        <v>80</v>
      </c>
      <c r="N14" t="s">
        <v>157</v>
      </c>
      <c r="O14" t="s">
        <v>82</v>
      </c>
      <c r="P14" t="str">
        <f>"4170036682                    "</f>
        <v xml:space="preserve">4170036682                    </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22.11</v>
      </c>
      <c r="AR14">
        <v>0</v>
      </c>
      <c r="AS14">
        <v>0</v>
      </c>
      <c r="AT14">
        <v>0</v>
      </c>
      <c r="AU14">
        <v>0</v>
      </c>
      <c r="AV14">
        <v>0</v>
      </c>
      <c r="AW14">
        <v>0</v>
      </c>
      <c r="AX14">
        <v>0</v>
      </c>
      <c r="AY14">
        <v>0</v>
      </c>
      <c r="AZ14">
        <v>0</v>
      </c>
      <c r="BA14">
        <v>0</v>
      </c>
      <c r="BB14">
        <v>0</v>
      </c>
      <c r="BC14">
        <v>0</v>
      </c>
      <c r="BD14">
        <v>0</v>
      </c>
      <c r="BE14">
        <v>0</v>
      </c>
      <c r="BF14">
        <v>0</v>
      </c>
      <c r="BG14">
        <v>0</v>
      </c>
      <c r="BH14">
        <v>1</v>
      </c>
      <c r="BI14">
        <v>1</v>
      </c>
      <c r="BJ14">
        <v>1.1000000000000001</v>
      </c>
      <c r="BK14">
        <v>1.5</v>
      </c>
      <c r="BL14">
        <v>70.709999999999994</v>
      </c>
      <c r="BM14">
        <v>10.61</v>
      </c>
      <c r="BN14">
        <v>81.319999999999993</v>
      </c>
      <c r="BO14">
        <v>81.319999999999993</v>
      </c>
      <c r="BQ14" t="s">
        <v>158</v>
      </c>
      <c r="BR14" t="s">
        <v>84</v>
      </c>
      <c r="BS14" s="3">
        <v>45782</v>
      </c>
      <c r="BT14" s="4">
        <v>0.36388888888888887</v>
      </c>
      <c r="BU14" t="s">
        <v>159</v>
      </c>
      <c r="BV14" t="s">
        <v>86</v>
      </c>
      <c r="BY14">
        <v>5320</v>
      </c>
      <c r="CA14" t="s">
        <v>160</v>
      </c>
      <c r="CC14" t="s">
        <v>80</v>
      </c>
      <c r="CD14">
        <v>3610</v>
      </c>
      <c r="CE14" t="s">
        <v>116</v>
      </c>
      <c r="CF14" s="3">
        <v>45783</v>
      </c>
      <c r="CI14">
        <v>1</v>
      </c>
      <c r="CJ14">
        <v>1</v>
      </c>
      <c r="CK14">
        <v>21</v>
      </c>
      <c r="CL14" t="s">
        <v>89</v>
      </c>
    </row>
    <row r="15" spans="1:92" x14ac:dyDescent="0.3">
      <c r="A15" t="s">
        <v>72</v>
      </c>
      <c r="B15" t="s">
        <v>73</v>
      </c>
      <c r="C15" t="s">
        <v>74</v>
      </c>
      <c r="E15" t="str">
        <f>"080065127189"</f>
        <v>080065127189</v>
      </c>
      <c r="F15" s="3">
        <v>45779</v>
      </c>
      <c r="G15">
        <v>202602</v>
      </c>
      <c r="H15" t="s">
        <v>75</v>
      </c>
      <c r="I15" t="s">
        <v>76</v>
      </c>
      <c r="J15" t="s">
        <v>77</v>
      </c>
      <c r="K15" t="s">
        <v>78</v>
      </c>
      <c r="L15" t="s">
        <v>136</v>
      </c>
      <c r="M15" t="s">
        <v>137</v>
      </c>
      <c r="N15" t="s">
        <v>161</v>
      </c>
      <c r="O15" t="s">
        <v>82</v>
      </c>
      <c r="P15" t="str">
        <f>"4170036733                    "</f>
        <v xml:space="preserve">4170036733                    </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22.11</v>
      </c>
      <c r="AR15">
        <v>0</v>
      </c>
      <c r="AS15">
        <v>0</v>
      </c>
      <c r="AT15">
        <v>0</v>
      </c>
      <c r="AU15">
        <v>0</v>
      </c>
      <c r="AV15">
        <v>0</v>
      </c>
      <c r="AW15">
        <v>0</v>
      </c>
      <c r="AX15">
        <v>0</v>
      </c>
      <c r="AY15">
        <v>0</v>
      </c>
      <c r="AZ15">
        <v>0</v>
      </c>
      <c r="BA15">
        <v>0</v>
      </c>
      <c r="BB15">
        <v>0</v>
      </c>
      <c r="BC15">
        <v>0</v>
      </c>
      <c r="BD15">
        <v>0</v>
      </c>
      <c r="BE15">
        <v>0</v>
      </c>
      <c r="BF15">
        <v>0</v>
      </c>
      <c r="BG15">
        <v>0</v>
      </c>
      <c r="BH15">
        <v>1</v>
      </c>
      <c r="BI15">
        <v>1</v>
      </c>
      <c r="BJ15">
        <v>1.1000000000000001</v>
      </c>
      <c r="BK15">
        <v>1.5</v>
      </c>
      <c r="BL15">
        <v>70.709999999999994</v>
      </c>
      <c r="BM15">
        <v>10.61</v>
      </c>
      <c r="BN15">
        <v>81.319999999999993</v>
      </c>
      <c r="BO15">
        <v>81.319999999999993</v>
      </c>
      <c r="BQ15" t="s">
        <v>162</v>
      </c>
      <c r="BR15" t="s">
        <v>84</v>
      </c>
      <c r="BS15" s="3">
        <v>45782</v>
      </c>
      <c r="BT15" s="4">
        <v>0.41041666666666665</v>
      </c>
      <c r="BU15" t="s">
        <v>163</v>
      </c>
      <c r="BV15" t="s">
        <v>86</v>
      </c>
      <c r="BY15">
        <v>5320</v>
      </c>
      <c r="CA15" t="s">
        <v>164</v>
      </c>
      <c r="CC15" t="s">
        <v>137</v>
      </c>
      <c r="CD15" s="5" t="s">
        <v>165</v>
      </c>
      <c r="CE15" t="s">
        <v>116</v>
      </c>
      <c r="CF15" s="3">
        <v>45782</v>
      </c>
      <c r="CI15">
        <v>1</v>
      </c>
      <c r="CJ15">
        <v>1</v>
      </c>
      <c r="CK15">
        <v>21</v>
      </c>
      <c r="CL15" t="s">
        <v>89</v>
      </c>
    </row>
    <row r="16" spans="1:92" x14ac:dyDescent="0.3">
      <c r="A16" t="s">
        <v>72</v>
      </c>
      <c r="B16" t="s">
        <v>73</v>
      </c>
      <c r="C16" t="s">
        <v>74</v>
      </c>
      <c r="E16" t="str">
        <f>"080065127206"</f>
        <v>080065127206</v>
      </c>
      <c r="F16" s="3">
        <v>45779</v>
      </c>
      <c r="G16">
        <v>202602</v>
      </c>
      <c r="H16" t="s">
        <v>75</v>
      </c>
      <c r="I16" t="s">
        <v>76</v>
      </c>
      <c r="J16" t="s">
        <v>77</v>
      </c>
      <c r="K16" t="s">
        <v>78</v>
      </c>
      <c r="L16" t="s">
        <v>166</v>
      </c>
      <c r="M16" t="s">
        <v>167</v>
      </c>
      <c r="N16" t="s">
        <v>168</v>
      </c>
      <c r="O16" t="s">
        <v>82</v>
      </c>
      <c r="P16" t="str">
        <f>"4170036731                    "</f>
        <v xml:space="preserve">4170036731                    </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42.84</v>
      </c>
      <c r="AR16">
        <v>0</v>
      </c>
      <c r="AS16">
        <v>0</v>
      </c>
      <c r="AT16">
        <v>0</v>
      </c>
      <c r="AU16">
        <v>0</v>
      </c>
      <c r="AV16">
        <v>0</v>
      </c>
      <c r="AW16">
        <v>16.739999999999998</v>
      </c>
      <c r="AX16">
        <v>0</v>
      </c>
      <c r="AY16">
        <v>0</v>
      </c>
      <c r="AZ16">
        <v>0</v>
      </c>
      <c r="BA16">
        <v>0</v>
      </c>
      <c r="BB16">
        <v>0</v>
      </c>
      <c r="BC16">
        <v>0</v>
      </c>
      <c r="BD16">
        <v>0</v>
      </c>
      <c r="BE16">
        <v>0</v>
      </c>
      <c r="BF16">
        <v>0</v>
      </c>
      <c r="BG16">
        <v>0</v>
      </c>
      <c r="BH16">
        <v>1</v>
      </c>
      <c r="BI16">
        <v>1</v>
      </c>
      <c r="BJ16">
        <v>1.1000000000000001</v>
      </c>
      <c r="BK16">
        <v>1.5</v>
      </c>
      <c r="BL16">
        <v>153.74</v>
      </c>
      <c r="BM16">
        <v>23.06</v>
      </c>
      <c r="BN16">
        <v>176.8</v>
      </c>
      <c r="BO16">
        <v>176.8</v>
      </c>
      <c r="BQ16" t="s">
        <v>169</v>
      </c>
      <c r="BR16" t="s">
        <v>84</v>
      </c>
      <c r="BS16" s="3">
        <v>45786</v>
      </c>
      <c r="BT16" s="4">
        <v>0.70833333333333337</v>
      </c>
      <c r="BU16" t="s">
        <v>170</v>
      </c>
      <c r="BV16" t="s">
        <v>89</v>
      </c>
      <c r="BW16" t="s">
        <v>148</v>
      </c>
      <c r="BX16" t="s">
        <v>171</v>
      </c>
      <c r="BY16">
        <v>5320</v>
      </c>
      <c r="BZ16" t="s">
        <v>30</v>
      </c>
      <c r="CC16" t="s">
        <v>167</v>
      </c>
      <c r="CD16">
        <v>8420</v>
      </c>
      <c r="CE16" t="s">
        <v>116</v>
      </c>
      <c r="CF16" s="3">
        <v>45789</v>
      </c>
      <c r="CI16">
        <v>1</v>
      </c>
      <c r="CJ16">
        <v>5</v>
      </c>
      <c r="CK16">
        <v>23</v>
      </c>
      <c r="CL16" t="s">
        <v>89</v>
      </c>
    </row>
    <row r="17" spans="1:90" x14ac:dyDescent="0.3">
      <c r="A17" t="s">
        <v>72</v>
      </c>
      <c r="B17" t="s">
        <v>73</v>
      </c>
      <c r="C17" t="s">
        <v>74</v>
      </c>
      <c r="E17" t="str">
        <f>"080065127416"</f>
        <v>080065127416</v>
      </c>
      <c r="F17" s="3">
        <v>45779</v>
      </c>
      <c r="G17">
        <v>202602</v>
      </c>
      <c r="H17" t="s">
        <v>75</v>
      </c>
      <c r="I17" t="s">
        <v>76</v>
      </c>
      <c r="J17" t="s">
        <v>77</v>
      </c>
      <c r="K17" t="s">
        <v>78</v>
      </c>
      <c r="L17" t="s">
        <v>97</v>
      </c>
      <c r="M17" t="s">
        <v>98</v>
      </c>
      <c r="N17" t="s">
        <v>172</v>
      </c>
      <c r="O17" t="s">
        <v>82</v>
      </c>
      <c r="P17" t="str">
        <f>"4170036683                    "</f>
        <v xml:space="preserve">4170036683                    </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17.27</v>
      </c>
      <c r="AR17">
        <v>0</v>
      </c>
      <c r="AS17">
        <v>0</v>
      </c>
      <c r="AT17">
        <v>0</v>
      </c>
      <c r="AU17">
        <v>0</v>
      </c>
      <c r="AV17">
        <v>0</v>
      </c>
      <c r="AW17">
        <v>0</v>
      </c>
      <c r="AX17">
        <v>0</v>
      </c>
      <c r="AY17">
        <v>0</v>
      </c>
      <c r="AZ17">
        <v>0</v>
      </c>
      <c r="BA17">
        <v>0</v>
      </c>
      <c r="BB17">
        <v>0</v>
      </c>
      <c r="BC17">
        <v>0</v>
      </c>
      <c r="BD17">
        <v>0</v>
      </c>
      <c r="BE17">
        <v>0</v>
      </c>
      <c r="BF17">
        <v>0</v>
      </c>
      <c r="BG17">
        <v>0</v>
      </c>
      <c r="BH17">
        <v>1</v>
      </c>
      <c r="BI17">
        <v>1</v>
      </c>
      <c r="BJ17">
        <v>0.2</v>
      </c>
      <c r="BK17">
        <v>1</v>
      </c>
      <c r="BL17">
        <v>55.23</v>
      </c>
      <c r="BM17">
        <v>8.2799999999999994</v>
      </c>
      <c r="BN17">
        <v>63.51</v>
      </c>
      <c r="BO17">
        <v>63.51</v>
      </c>
      <c r="BQ17" t="s">
        <v>173</v>
      </c>
      <c r="BR17" t="s">
        <v>84</v>
      </c>
      <c r="BS17" s="3">
        <v>45782</v>
      </c>
      <c r="BT17" s="4">
        <v>0.35069444444444442</v>
      </c>
      <c r="BU17" t="s">
        <v>174</v>
      </c>
      <c r="BV17" t="s">
        <v>86</v>
      </c>
      <c r="BY17">
        <v>1200</v>
      </c>
      <c r="CA17" t="s">
        <v>175</v>
      </c>
      <c r="CC17" t="s">
        <v>98</v>
      </c>
      <c r="CD17">
        <v>1459</v>
      </c>
      <c r="CE17" t="s">
        <v>176</v>
      </c>
      <c r="CF17" s="3">
        <v>45782</v>
      </c>
      <c r="CI17">
        <v>1</v>
      </c>
      <c r="CJ17">
        <v>1</v>
      </c>
      <c r="CK17">
        <v>22</v>
      </c>
      <c r="CL17" t="s">
        <v>89</v>
      </c>
    </row>
    <row r="18" spans="1:90" x14ac:dyDescent="0.3">
      <c r="A18" t="s">
        <v>72</v>
      </c>
      <c r="B18" t="s">
        <v>73</v>
      </c>
      <c r="C18" t="s">
        <v>74</v>
      </c>
      <c r="E18" t="str">
        <f>"080065127436"</f>
        <v>080065127436</v>
      </c>
      <c r="F18" s="3">
        <v>45779</v>
      </c>
      <c r="G18">
        <v>202602</v>
      </c>
      <c r="H18" t="s">
        <v>75</v>
      </c>
      <c r="I18" t="s">
        <v>76</v>
      </c>
      <c r="J18" t="s">
        <v>77</v>
      </c>
      <c r="K18" t="s">
        <v>78</v>
      </c>
      <c r="L18" t="s">
        <v>177</v>
      </c>
      <c r="M18" t="s">
        <v>178</v>
      </c>
      <c r="N18" t="s">
        <v>179</v>
      </c>
      <c r="O18" t="s">
        <v>82</v>
      </c>
      <c r="P18" t="str">
        <f>"4170036666                    "</f>
        <v xml:space="preserve">4170036666                    </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22.11</v>
      </c>
      <c r="AR18">
        <v>0</v>
      </c>
      <c r="AS18">
        <v>0</v>
      </c>
      <c r="AT18">
        <v>0</v>
      </c>
      <c r="AU18">
        <v>0</v>
      </c>
      <c r="AV18">
        <v>0</v>
      </c>
      <c r="AW18">
        <v>0</v>
      </c>
      <c r="AX18">
        <v>0</v>
      </c>
      <c r="AY18">
        <v>0</v>
      </c>
      <c r="AZ18">
        <v>0</v>
      </c>
      <c r="BA18">
        <v>0</v>
      </c>
      <c r="BB18">
        <v>0</v>
      </c>
      <c r="BC18">
        <v>0</v>
      </c>
      <c r="BD18">
        <v>0</v>
      </c>
      <c r="BE18">
        <v>0</v>
      </c>
      <c r="BF18">
        <v>0</v>
      </c>
      <c r="BG18">
        <v>0</v>
      </c>
      <c r="BH18">
        <v>1</v>
      </c>
      <c r="BI18">
        <v>1</v>
      </c>
      <c r="BJ18">
        <v>0.2</v>
      </c>
      <c r="BK18">
        <v>1</v>
      </c>
      <c r="BL18">
        <v>70.709999999999994</v>
      </c>
      <c r="BM18">
        <v>10.61</v>
      </c>
      <c r="BN18">
        <v>81.319999999999993</v>
      </c>
      <c r="BO18">
        <v>81.319999999999993</v>
      </c>
      <c r="BQ18" t="s">
        <v>180</v>
      </c>
      <c r="BR18" t="s">
        <v>84</v>
      </c>
      <c r="BS18" s="3">
        <v>45782</v>
      </c>
      <c r="BT18" s="4">
        <v>0.35694444444444445</v>
      </c>
      <c r="BU18" t="s">
        <v>181</v>
      </c>
      <c r="BV18" t="s">
        <v>86</v>
      </c>
      <c r="BY18">
        <v>1200</v>
      </c>
      <c r="BZ18" t="s">
        <v>127</v>
      </c>
      <c r="CA18" t="s">
        <v>182</v>
      </c>
      <c r="CC18" t="s">
        <v>178</v>
      </c>
      <c r="CD18">
        <v>6229</v>
      </c>
      <c r="CE18" t="s">
        <v>129</v>
      </c>
      <c r="CF18" s="3">
        <v>45782</v>
      </c>
      <c r="CI18">
        <v>1</v>
      </c>
      <c r="CJ18">
        <v>1</v>
      </c>
      <c r="CK18">
        <v>21</v>
      </c>
      <c r="CL18" t="s">
        <v>89</v>
      </c>
    </row>
    <row r="19" spans="1:90" x14ac:dyDescent="0.3">
      <c r="A19" t="s">
        <v>72</v>
      </c>
      <c r="B19" t="s">
        <v>73</v>
      </c>
      <c r="C19" t="s">
        <v>74</v>
      </c>
      <c r="E19" t="str">
        <f>"080065127461"</f>
        <v>080065127461</v>
      </c>
      <c r="F19" s="3">
        <v>45779</v>
      </c>
      <c r="G19">
        <v>202602</v>
      </c>
      <c r="H19" t="s">
        <v>75</v>
      </c>
      <c r="I19" t="s">
        <v>76</v>
      </c>
      <c r="J19" t="s">
        <v>77</v>
      </c>
      <c r="K19" t="s">
        <v>78</v>
      </c>
      <c r="L19" t="s">
        <v>75</v>
      </c>
      <c r="M19" t="s">
        <v>76</v>
      </c>
      <c r="N19" t="s">
        <v>183</v>
      </c>
      <c r="O19" t="s">
        <v>82</v>
      </c>
      <c r="P19" t="str">
        <f>"4170036680                    "</f>
        <v xml:space="preserve">4170036680                    </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17.27</v>
      </c>
      <c r="AR19">
        <v>0</v>
      </c>
      <c r="AS19">
        <v>0</v>
      </c>
      <c r="AT19">
        <v>0</v>
      </c>
      <c r="AU19">
        <v>0</v>
      </c>
      <c r="AV19">
        <v>0</v>
      </c>
      <c r="AW19">
        <v>0</v>
      </c>
      <c r="AX19">
        <v>0</v>
      </c>
      <c r="AY19">
        <v>0</v>
      </c>
      <c r="AZ19">
        <v>0</v>
      </c>
      <c r="BA19">
        <v>0</v>
      </c>
      <c r="BB19">
        <v>0</v>
      </c>
      <c r="BC19">
        <v>0</v>
      </c>
      <c r="BD19">
        <v>0</v>
      </c>
      <c r="BE19">
        <v>0</v>
      </c>
      <c r="BF19">
        <v>0</v>
      </c>
      <c r="BG19">
        <v>0</v>
      </c>
      <c r="BH19">
        <v>1</v>
      </c>
      <c r="BI19">
        <v>1</v>
      </c>
      <c r="BJ19">
        <v>0.2</v>
      </c>
      <c r="BK19">
        <v>1</v>
      </c>
      <c r="BL19">
        <v>55.23</v>
      </c>
      <c r="BM19">
        <v>8.2799999999999994</v>
      </c>
      <c r="BN19">
        <v>63.51</v>
      </c>
      <c r="BO19">
        <v>63.51</v>
      </c>
      <c r="BQ19" t="s">
        <v>184</v>
      </c>
      <c r="BR19" t="s">
        <v>84</v>
      </c>
      <c r="BS19" s="3">
        <v>45782</v>
      </c>
      <c r="BT19" s="4">
        <v>0.30555555555555558</v>
      </c>
      <c r="BU19" t="s">
        <v>185</v>
      </c>
      <c r="BV19" t="s">
        <v>86</v>
      </c>
      <c r="BY19">
        <v>1200</v>
      </c>
      <c r="BZ19" t="s">
        <v>127</v>
      </c>
      <c r="CA19" t="s">
        <v>115</v>
      </c>
      <c r="CC19" t="s">
        <v>76</v>
      </c>
      <c r="CD19">
        <v>1600</v>
      </c>
      <c r="CE19" t="s">
        <v>129</v>
      </c>
      <c r="CF19" s="3">
        <v>45783</v>
      </c>
      <c r="CI19">
        <v>1</v>
      </c>
      <c r="CJ19">
        <v>1</v>
      </c>
      <c r="CK19">
        <v>22</v>
      </c>
      <c r="CL19" t="s">
        <v>89</v>
      </c>
    </row>
    <row r="20" spans="1:90" x14ac:dyDescent="0.3">
      <c r="A20" t="s">
        <v>72</v>
      </c>
      <c r="B20" t="s">
        <v>73</v>
      </c>
      <c r="C20" t="s">
        <v>74</v>
      </c>
      <c r="E20" t="str">
        <f>"080065127524"</f>
        <v>080065127524</v>
      </c>
      <c r="F20" s="3">
        <v>45779</v>
      </c>
      <c r="G20">
        <v>202602</v>
      </c>
      <c r="H20" t="s">
        <v>75</v>
      </c>
      <c r="I20" t="s">
        <v>76</v>
      </c>
      <c r="J20" t="s">
        <v>77</v>
      </c>
      <c r="K20" t="s">
        <v>78</v>
      </c>
      <c r="L20" t="s">
        <v>186</v>
      </c>
      <c r="M20" t="s">
        <v>187</v>
      </c>
      <c r="N20" t="s">
        <v>188</v>
      </c>
      <c r="O20" t="s">
        <v>82</v>
      </c>
      <c r="P20" t="str">
        <f>"4170036699                    "</f>
        <v xml:space="preserve">4170036699                    </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22.11</v>
      </c>
      <c r="AR20">
        <v>0</v>
      </c>
      <c r="AS20">
        <v>0</v>
      </c>
      <c r="AT20">
        <v>0</v>
      </c>
      <c r="AU20">
        <v>0</v>
      </c>
      <c r="AV20">
        <v>0</v>
      </c>
      <c r="AW20">
        <v>0</v>
      </c>
      <c r="AX20">
        <v>0</v>
      </c>
      <c r="AY20">
        <v>0</v>
      </c>
      <c r="AZ20">
        <v>0</v>
      </c>
      <c r="BA20">
        <v>0</v>
      </c>
      <c r="BB20">
        <v>0</v>
      </c>
      <c r="BC20">
        <v>0</v>
      </c>
      <c r="BD20">
        <v>0</v>
      </c>
      <c r="BE20">
        <v>0</v>
      </c>
      <c r="BF20">
        <v>0</v>
      </c>
      <c r="BG20">
        <v>0</v>
      </c>
      <c r="BH20">
        <v>1</v>
      </c>
      <c r="BI20">
        <v>1</v>
      </c>
      <c r="BJ20">
        <v>0.2</v>
      </c>
      <c r="BK20">
        <v>1</v>
      </c>
      <c r="BL20">
        <v>70.709999999999994</v>
      </c>
      <c r="BM20">
        <v>10.61</v>
      </c>
      <c r="BN20">
        <v>81.319999999999993</v>
      </c>
      <c r="BO20">
        <v>81.319999999999993</v>
      </c>
      <c r="BQ20" t="s">
        <v>189</v>
      </c>
      <c r="BR20" t="s">
        <v>84</v>
      </c>
      <c r="BS20" s="3">
        <v>45782</v>
      </c>
      <c r="BT20" s="4">
        <v>0.43819444444444444</v>
      </c>
      <c r="BU20" t="s">
        <v>190</v>
      </c>
      <c r="BV20" t="s">
        <v>86</v>
      </c>
      <c r="BY20">
        <v>1200</v>
      </c>
      <c r="CA20" t="s">
        <v>191</v>
      </c>
      <c r="CC20" t="s">
        <v>187</v>
      </c>
      <c r="CD20">
        <v>4126</v>
      </c>
      <c r="CE20" t="s">
        <v>88</v>
      </c>
      <c r="CF20" s="3">
        <v>45783</v>
      </c>
      <c r="CI20">
        <v>1</v>
      </c>
      <c r="CJ20">
        <v>1</v>
      </c>
      <c r="CK20">
        <v>21</v>
      </c>
      <c r="CL20" t="s">
        <v>89</v>
      </c>
    </row>
    <row r="21" spans="1:90" x14ac:dyDescent="0.3">
      <c r="A21" t="s">
        <v>72</v>
      </c>
      <c r="B21" t="s">
        <v>73</v>
      </c>
      <c r="C21" t="s">
        <v>74</v>
      </c>
      <c r="E21" t="str">
        <f>"080065127583"</f>
        <v>080065127583</v>
      </c>
      <c r="F21" s="3">
        <v>45779</v>
      </c>
      <c r="G21">
        <v>202602</v>
      </c>
      <c r="H21" t="s">
        <v>75</v>
      </c>
      <c r="I21" t="s">
        <v>76</v>
      </c>
      <c r="J21" t="s">
        <v>77</v>
      </c>
      <c r="K21" t="s">
        <v>78</v>
      </c>
      <c r="L21" t="s">
        <v>136</v>
      </c>
      <c r="M21" t="s">
        <v>137</v>
      </c>
      <c r="N21" t="s">
        <v>192</v>
      </c>
      <c r="O21" t="s">
        <v>82</v>
      </c>
      <c r="P21" t="str">
        <f>"4170036725                    "</f>
        <v xml:space="preserve">4170036725                    </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22.11</v>
      </c>
      <c r="AR21">
        <v>0</v>
      </c>
      <c r="AS21">
        <v>0</v>
      </c>
      <c r="AT21">
        <v>0</v>
      </c>
      <c r="AU21">
        <v>0</v>
      </c>
      <c r="AV21">
        <v>0</v>
      </c>
      <c r="AW21">
        <v>0</v>
      </c>
      <c r="AX21">
        <v>0</v>
      </c>
      <c r="AY21">
        <v>0</v>
      </c>
      <c r="AZ21">
        <v>0</v>
      </c>
      <c r="BA21">
        <v>0</v>
      </c>
      <c r="BB21">
        <v>0</v>
      </c>
      <c r="BC21">
        <v>0</v>
      </c>
      <c r="BD21">
        <v>0</v>
      </c>
      <c r="BE21">
        <v>0</v>
      </c>
      <c r="BF21">
        <v>0</v>
      </c>
      <c r="BG21">
        <v>0</v>
      </c>
      <c r="BH21">
        <v>1</v>
      </c>
      <c r="BI21">
        <v>1</v>
      </c>
      <c r="BJ21">
        <v>0.2</v>
      </c>
      <c r="BK21">
        <v>1</v>
      </c>
      <c r="BL21">
        <v>70.709999999999994</v>
      </c>
      <c r="BM21">
        <v>10.61</v>
      </c>
      <c r="BN21">
        <v>81.319999999999993</v>
      </c>
      <c r="BO21">
        <v>81.319999999999993</v>
      </c>
      <c r="BQ21" t="s">
        <v>193</v>
      </c>
      <c r="BR21" t="s">
        <v>84</v>
      </c>
      <c r="BS21" s="3">
        <v>45784</v>
      </c>
      <c r="BT21" s="4">
        <v>0.41666666666666669</v>
      </c>
      <c r="BU21" t="s">
        <v>194</v>
      </c>
      <c r="BV21" t="s">
        <v>89</v>
      </c>
      <c r="BW21" t="s">
        <v>148</v>
      </c>
      <c r="BX21" t="s">
        <v>195</v>
      </c>
      <c r="BY21">
        <v>1200</v>
      </c>
      <c r="CC21" t="s">
        <v>137</v>
      </c>
      <c r="CD21" s="5" t="s">
        <v>196</v>
      </c>
      <c r="CE21" t="s">
        <v>88</v>
      </c>
      <c r="CF21" s="3">
        <v>45784</v>
      </c>
      <c r="CI21">
        <v>1</v>
      </c>
      <c r="CJ21">
        <v>3</v>
      </c>
      <c r="CK21">
        <v>21</v>
      </c>
      <c r="CL21" t="s">
        <v>89</v>
      </c>
    </row>
    <row r="22" spans="1:90" x14ac:dyDescent="0.3">
      <c r="A22" t="s">
        <v>72</v>
      </c>
      <c r="B22" t="s">
        <v>73</v>
      </c>
      <c r="C22" t="s">
        <v>74</v>
      </c>
      <c r="E22" t="str">
        <f>"080065127647"</f>
        <v>080065127647</v>
      </c>
      <c r="F22" s="3">
        <v>45779</v>
      </c>
      <c r="G22">
        <v>202602</v>
      </c>
      <c r="H22" t="s">
        <v>75</v>
      </c>
      <c r="I22" t="s">
        <v>76</v>
      </c>
      <c r="J22" t="s">
        <v>77</v>
      </c>
      <c r="K22" t="s">
        <v>78</v>
      </c>
      <c r="L22" t="s">
        <v>136</v>
      </c>
      <c r="M22" t="s">
        <v>137</v>
      </c>
      <c r="N22" t="s">
        <v>161</v>
      </c>
      <c r="O22" t="s">
        <v>82</v>
      </c>
      <c r="P22" t="str">
        <f>"4170036679                    "</f>
        <v xml:space="preserve">4170036679                    </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22.11</v>
      </c>
      <c r="AR22">
        <v>0</v>
      </c>
      <c r="AS22">
        <v>0</v>
      </c>
      <c r="AT22">
        <v>0</v>
      </c>
      <c r="AU22">
        <v>0</v>
      </c>
      <c r="AV22">
        <v>0</v>
      </c>
      <c r="AW22">
        <v>0</v>
      </c>
      <c r="AX22">
        <v>0</v>
      </c>
      <c r="AY22">
        <v>0</v>
      </c>
      <c r="AZ22">
        <v>0</v>
      </c>
      <c r="BA22">
        <v>0</v>
      </c>
      <c r="BB22">
        <v>0</v>
      </c>
      <c r="BC22">
        <v>0</v>
      </c>
      <c r="BD22">
        <v>0</v>
      </c>
      <c r="BE22">
        <v>0</v>
      </c>
      <c r="BF22">
        <v>0</v>
      </c>
      <c r="BG22">
        <v>0</v>
      </c>
      <c r="BH22">
        <v>1</v>
      </c>
      <c r="BI22">
        <v>1</v>
      </c>
      <c r="BJ22">
        <v>0.2</v>
      </c>
      <c r="BK22">
        <v>1</v>
      </c>
      <c r="BL22">
        <v>70.709999999999994</v>
      </c>
      <c r="BM22">
        <v>10.61</v>
      </c>
      <c r="BN22">
        <v>81.319999999999993</v>
      </c>
      <c r="BO22">
        <v>81.319999999999993</v>
      </c>
      <c r="BQ22" t="s">
        <v>162</v>
      </c>
      <c r="BR22" t="s">
        <v>84</v>
      </c>
      <c r="BS22" s="3">
        <v>45782</v>
      </c>
      <c r="BT22" s="4">
        <v>0.44166666666666665</v>
      </c>
      <c r="BU22" t="s">
        <v>197</v>
      </c>
      <c r="BV22" t="s">
        <v>89</v>
      </c>
      <c r="BW22" t="s">
        <v>148</v>
      </c>
      <c r="BX22" t="s">
        <v>198</v>
      </c>
      <c r="BY22">
        <v>1200</v>
      </c>
      <c r="CA22" t="s">
        <v>199</v>
      </c>
      <c r="CC22" t="s">
        <v>137</v>
      </c>
      <c r="CD22" s="5" t="s">
        <v>165</v>
      </c>
      <c r="CE22" t="s">
        <v>88</v>
      </c>
      <c r="CF22" s="3">
        <v>45782</v>
      </c>
      <c r="CI22">
        <v>1</v>
      </c>
      <c r="CJ22">
        <v>1</v>
      </c>
      <c r="CK22">
        <v>21</v>
      </c>
      <c r="CL22" t="s">
        <v>89</v>
      </c>
    </row>
    <row r="23" spans="1:90" x14ac:dyDescent="0.3">
      <c r="A23" t="s">
        <v>72</v>
      </c>
      <c r="B23" t="s">
        <v>73</v>
      </c>
      <c r="C23" t="s">
        <v>74</v>
      </c>
      <c r="E23" t="str">
        <f>"080065127676"</f>
        <v>080065127676</v>
      </c>
      <c r="F23" s="3">
        <v>45779</v>
      </c>
      <c r="G23">
        <v>202602</v>
      </c>
      <c r="H23" t="s">
        <v>75</v>
      </c>
      <c r="I23" t="s">
        <v>76</v>
      </c>
      <c r="J23" t="s">
        <v>77</v>
      </c>
      <c r="K23" t="s">
        <v>78</v>
      </c>
      <c r="L23" t="s">
        <v>97</v>
      </c>
      <c r="M23" t="s">
        <v>98</v>
      </c>
      <c r="N23" t="s">
        <v>200</v>
      </c>
      <c r="O23" t="s">
        <v>82</v>
      </c>
      <c r="P23" t="str">
        <f>"4170036684                    "</f>
        <v xml:space="preserve">4170036684                    </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17.27</v>
      </c>
      <c r="AR23">
        <v>0</v>
      </c>
      <c r="AS23">
        <v>0</v>
      </c>
      <c r="AT23">
        <v>0</v>
      </c>
      <c r="AU23">
        <v>0</v>
      </c>
      <c r="AV23">
        <v>0</v>
      </c>
      <c r="AW23">
        <v>0</v>
      </c>
      <c r="AX23">
        <v>0</v>
      </c>
      <c r="AY23">
        <v>0</v>
      </c>
      <c r="AZ23">
        <v>0</v>
      </c>
      <c r="BA23">
        <v>0</v>
      </c>
      <c r="BB23">
        <v>0</v>
      </c>
      <c r="BC23">
        <v>0</v>
      </c>
      <c r="BD23">
        <v>0</v>
      </c>
      <c r="BE23">
        <v>0</v>
      </c>
      <c r="BF23">
        <v>0</v>
      </c>
      <c r="BG23">
        <v>0</v>
      </c>
      <c r="BH23">
        <v>1</v>
      </c>
      <c r="BI23">
        <v>1</v>
      </c>
      <c r="BJ23">
        <v>0.2</v>
      </c>
      <c r="BK23">
        <v>1</v>
      </c>
      <c r="BL23">
        <v>55.23</v>
      </c>
      <c r="BM23">
        <v>8.2799999999999994</v>
      </c>
      <c r="BN23">
        <v>63.51</v>
      </c>
      <c r="BO23">
        <v>63.51</v>
      </c>
      <c r="BQ23" t="s">
        <v>201</v>
      </c>
      <c r="BR23" t="s">
        <v>84</v>
      </c>
      <c r="BS23" s="3">
        <v>45783</v>
      </c>
      <c r="BT23" s="4">
        <v>0.41041666666666665</v>
      </c>
      <c r="BU23" t="s">
        <v>202</v>
      </c>
      <c r="BV23" t="s">
        <v>89</v>
      </c>
      <c r="BW23" t="s">
        <v>148</v>
      </c>
      <c r="BX23" t="s">
        <v>203</v>
      </c>
      <c r="BY23">
        <v>1200</v>
      </c>
      <c r="CA23" t="s">
        <v>204</v>
      </c>
      <c r="CC23" t="s">
        <v>98</v>
      </c>
      <c r="CD23">
        <v>1459</v>
      </c>
      <c r="CE23" t="s">
        <v>88</v>
      </c>
      <c r="CF23" s="3">
        <v>45783</v>
      </c>
      <c r="CI23">
        <v>1</v>
      </c>
      <c r="CJ23">
        <v>2</v>
      </c>
      <c r="CK23">
        <v>22</v>
      </c>
      <c r="CL23" t="s">
        <v>89</v>
      </c>
    </row>
    <row r="24" spans="1:90" x14ac:dyDescent="0.3">
      <c r="A24" t="s">
        <v>72</v>
      </c>
      <c r="B24" t="s">
        <v>73</v>
      </c>
      <c r="C24" t="s">
        <v>74</v>
      </c>
      <c r="E24" t="str">
        <f>"080065127708"</f>
        <v>080065127708</v>
      </c>
      <c r="F24" s="3">
        <v>45779</v>
      </c>
      <c r="G24">
        <v>202602</v>
      </c>
      <c r="H24" t="s">
        <v>75</v>
      </c>
      <c r="I24" t="s">
        <v>76</v>
      </c>
      <c r="J24" t="s">
        <v>77</v>
      </c>
      <c r="K24" t="s">
        <v>78</v>
      </c>
      <c r="L24" t="s">
        <v>90</v>
      </c>
      <c r="M24" t="s">
        <v>91</v>
      </c>
      <c r="N24" t="s">
        <v>92</v>
      </c>
      <c r="O24" t="s">
        <v>82</v>
      </c>
      <c r="P24" t="str">
        <f>"4170036657                    "</f>
        <v xml:space="preserve">4170036657                    </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22.11</v>
      </c>
      <c r="AR24">
        <v>0</v>
      </c>
      <c r="AS24">
        <v>0</v>
      </c>
      <c r="AT24">
        <v>0</v>
      </c>
      <c r="AU24">
        <v>0</v>
      </c>
      <c r="AV24">
        <v>0</v>
      </c>
      <c r="AW24">
        <v>0</v>
      </c>
      <c r="AX24">
        <v>0</v>
      </c>
      <c r="AY24">
        <v>0</v>
      </c>
      <c r="AZ24">
        <v>0</v>
      </c>
      <c r="BA24">
        <v>0</v>
      </c>
      <c r="BB24">
        <v>0</v>
      </c>
      <c r="BC24">
        <v>0</v>
      </c>
      <c r="BD24">
        <v>0</v>
      </c>
      <c r="BE24">
        <v>0</v>
      </c>
      <c r="BF24">
        <v>0</v>
      </c>
      <c r="BG24">
        <v>0</v>
      </c>
      <c r="BH24">
        <v>1</v>
      </c>
      <c r="BI24">
        <v>1</v>
      </c>
      <c r="BJ24">
        <v>0.2</v>
      </c>
      <c r="BK24">
        <v>1</v>
      </c>
      <c r="BL24">
        <v>70.709999999999994</v>
      </c>
      <c r="BM24">
        <v>10.61</v>
      </c>
      <c r="BN24">
        <v>81.319999999999993</v>
      </c>
      <c r="BO24">
        <v>81.319999999999993</v>
      </c>
      <c r="BQ24" t="s">
        <v>93</v>
      </c>
      <c r="BR24" t="s">
        <v>84</v>
      </c>
      <c r="BS24" s="3">
        <v>45782</v>
      </c>
      <c r="BT24" s="4">
        <v>0.37083333333333335</v>
      </c>
      <c r="BU24" t="s">
        <v>205</v>
      </c>
      <c r="BV24" t="s">
        <v>86</v>
      </c>
      <c r="BY24">
        <v>1200</v>
      </c>
      <c r="CA24" t="s">
        <v>95</v>
      </c>
      <c r="CC24" t="s">
        <v>91</v>
      </c>
      <c r="CD24">
        <v>6001</v>
      </c>
      <c r="CE24" t="s">
        <v>88</v>
      </c>
      <c r="CF24" s="3">
        <v>45783</v>
      </c>
      <c r="CI24">
        <v>1</v>
      </c>
      <c r="CJ24">
        <v>1</v>
      </c>
      <c r="CK24">
        <v>21</v>
      </c>
      <c r="CL24" t="s">
        <v>89</v>
      </c>
    </row>
    <row r="25" spans="1:90" x14ac:dyDescent="0.3">
      <c r="A25" t="s">
        <v>72</v>
      </c>
      <c r="B25" t="s">
        <v>73</v>
      </c>
      <c r="C25" t="s">
        <v>74</v>
      </c>
      <c r="E25" t="str">
        <f>"080065127922"</f>
        <v>080065127922</v>
      </c>
      <c r="F25" s="3">
        <v>45779</v>
      </c>
      <c r="G25">
        <v>202602</v>
      </c>
      <c r="H25" t="s">
        <v>75</v>
      </c>
      <c r="I25" t="s">
        <v>76</v>
      </c>
      <c r="J25" t="s">
        <v>77</v>
      </c>
      <c r="K25" t="s">
        <v>78</v>
      </c>
      <c r="L25" t="s">
        <v>206</v>
      </c>
      <c r="M25" t="s">
        <v>207</v>
      </c>
      <c r="N25" t="s">
        <v>208</v>
      </c>
      <c r="O25" t="s">
        <v>82</v>
      </c>
      <c r="P25" t="str">
        <f>"4170036675                    "</f>
        <v xml:space="preserve">4170036675                    </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42.84</v>
      </c>
      <c r="AR25">
        <v>0</v>
      </c>
      <c r="AS25">
        <v>0</v>
      </c>
      <c r="AT25">
        <v>0</v>
      </c>
      <c r="AU25">
        <v>0</v>
      </c>
      <c r="AV25">
        <v>0</v>
      </c>
      <c r="AW25">
        <v>0</v>
      </c>
      <c r="AX25">
        <v>0</v>
      </c>
      <c r="AY25">
        <v>0</v>
      </c>
      <c r="AZ25">
        <v>0</v>
      </c>
      <c r="BA25">
        <v>0</v>
      </c>
      <c r="BB25">
        <v>0</v>
      </c>
      <c r="BC25">
        <v>0</v>
      </c>
      <c r="BD25">
        <v>0</v>
      </c>
      <c r="BE25">
        <v>0</v>
      </c>
      <c r="BF25">
        <v>0</v>
      </c>
      <c r="BG25">
        <v>0</v>
      </c>
      <c r="BH25">
        <v>1</v>
      </c>
      <c r="BI25">
        <v>1</v>
      </c>
      <c r="BJ25">
        <v>1.1000000000000001</v>
      </c>
      <c r="BK25">
        <v>1.5</v>
      </c>
      <c r="BL25">
        <v>137</v>
      </c>
      <c r="BM25">
        <v>20.55</v>
      </c>
      <c r="BN25">
        <v>157.55000000000001</v>
      </c>
      <c r="BO25">
        <v>157.55000000000001</v>
      </c>
      <c r="BQ25" t="s">
        <v>209</v>
      </c>
      <c r="BR25" t="s">
        <v>84</v>
      </c>
      <c r="BS25" s="3">
        <v>45782</v>
      </c>
      <c r="BT25" s="4">
        <v>0.64444444444444449</v>
      </c>
      <c r="BU25" t="s">
        <v>210</v>
      </c>
      <c r="BV25" t="s">
        <v>86</v>
      </c>
      <c r="BY25">
        <v>5320</v>
      </c>
      <c r="CA25" t="s">
        <v>211</v>
      </c>
      <c r="CC25" t="s">
        <v>207</v>
      </c>
      <c r="CD25">
        <v>1389</v>
      </c>
      <c r="CE25" t="s">
        <v>116</v>
      </c>
      <c r="CF25" s="3">
        <v>45782</v>
      </c>
      <c r="CI25">
        <v>1</v>
      </c>
      <c r="CJ25">
        <v>1</v>
      </c>
      <c r="CK25">
        <v>23</v>
      </c>
      <c r="CL25" t="s">
        <v>89</v>
      </c>
    </row>
    <row r="26" spans="1:90" x14ac:dyDescent="0.3">
      <c r="A26" t="s">
        <v>72</v>
      </c>
      <c r="B26" t="s">
        <v>73</v>
      </c>
      <c r="C26" t="s">
        <v>74</v>
      </c>
      <c r="E26" t="str">
        <f>"080065127942"</f>
        <v>080065127942</v>
      </c>
      <c r="F26" s="3">
        <v>45779</v>
      </c>
      <c r="G26">
        <v>202602</v>
      </c>
      <c r="H26" t="s">
        <v>75</v>
      </c>
      <c r="I26" t="s">
        <v>76</v>
      </c>
      <c r="J26" t="s">
        <v>77</v>
      </c>
      <c r="K26" t="s">
        <v>78</v>
      </c>
      <c r="L26" t="s">
        <v>177</v>
      </c>
      <c r="M26" t="s">
        <v>178</v>
      </c>
      <c r="N26" t="s">
        <v>212</v>
      </c>
      <c r="O26" t="s">
        <v>82</v>
      </c>
      <c r="P26" t="str">
        <f>"4170036734                    "</f>
        <v xml:space="preserve">4170036734                    </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22.11</v>
      </c>
      <c r="AR26">
        <v>0</v>
      </c>
      <c r="AS26">
        <v>0</v>
      </c>
      <c r="AT26">
        <v>0</v>
      </c>
      <c r="AU26">
        <v>0</v>
      </c>
      <c r="AV26">
        <v>0</v>
      </c>
      <c r="AW26">
        <v>0</v>
      </c>
      <c r="AX26">
        <v>0</v>
      </c>
      <c r="AY26">
        <v>0</v>
      </c>
      <c r="AZ26">
        <v>0</v>
      </c>
      <c r="BA26">
        <v>0</v>
      </c>
      <c r="BB26">
        <v>0</v>
      </c>
      <c r="BC26">
        <v>0</v>
      </c>
      <c r="BD26">
        <v>0</v>
      </c>
      <c r="BE26">
        <v>0</v>
      </c>
      <c r="BF26">
        <v>0</v>
      </c>
      <c r="BG26">
        <v>0</v>
      </c>
      <c r="BH26">
        <v>1</v>
      </c>
      <c r="BI26">
        <v>2</v>
      </c>
      <c r="BJ26">
        <v>1.1000000000000001</v>
      </c>
      <c r="BK26">
        <v>2</v>
      </c>
      <c r="BL26">
        <v>70.709999999999994</v>
      </c>
      <c r="BM26">
        <v>10.61</v>
      </c>
      <c r="BN26">
        <v>81.319999999999993</v>
      </c>
      <c r="BO26">
        <v>81.319999999999993</v>
      </c>
      <c r="BQ26" t="s">
        <v>213</v>
      </c>
      <c r="BR26" t="s">
        <v>84</v>
      </c>
      <c r="BS26" s="3">
        <v>45782</v>
      </c>
      <c r="BT26" s="4">
        <v>0.36458333333333331</v>
      </c>
      <c r="BU26" t="s">
        <v>214</v>
      </c>
      <c r="BV26" t="s">
        <v>86</v>
      </c>
      <c r="BY26">
        <v>5320</v>
      </c>
      <c r="CA26" t="s">
        <v>182</v>
      </c>
      <c r="CC26" t="s">
        <v>178</v>
      </c>
      <c r="CD26">
        <v>6229</v>
      </c>
      <c r="CE26" t="s">
        <v>116</v>
      </c>
      <c r="CF26" s="3">
        <v>45782</v>
      </c>
      <c r="CI26">
        <v>1</v>
      </c>
      <c r="CJ26">
        <v>1</v>
      </c>
      <c r="CK26">
        <v>21</v>
      </c>
      <c r="CL26" t="s">
        <v>89</v>
      </c>
    </row>
    <row r="27" spans="1:90" x14ac:dyDescent="0.3">
      <c r="A27" t="s">
        <v>72</v>
      </c>
      <c r="B27" t="s">
        <v>73</v>
      </c>
      <c r="C27" t="s">
        <v>74</v>
      </c>
      <c r="E27" t="str">
        <f>"080065127959"</f>
        <v>080065127959</v>
      </c>
      <c r="F27" s="3">
        <v>45779</v>
      </c>
      <c r="G27">
        <v>202602</v>
      </c>
      <c r="H27" t="s">
        <v>75</v>
      </c>
      <c r="I27" t="s">
        <v>76</v>
      </c>
      <c r="J27" t="s">
        <v>77</v>
      </c>
      <c r="K27" t="s">
        <v>78</v>
      </c>
      <c r="L27" t="s">
        <v>215</v>
      </c>
      <c r="M27" t="s">
        <v>216</v>
      </c>
      <c r="N27" t="s">
        <v>217</v>
      </c>
      <c r="O27" t="s">
        <v>82</v>
      </c>
      <c r="P27" t="str">
        <f>"4170036730                    "</f>
        <v xml:space="preserve">4170036730                    </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139.58000000000001</v>
      </c>
      <c r="AR27">
        <v>0</v>
      </c>
      <c r="AS27">
        <v>0</v>
      </c>
      <c r="AT27">
        <v>0</v>
      </c>
      <c r="AU27">
        <v>0</v>
      </c>
      <c r="AV27">
        <v>0</v>
      </c>
      <c r="AW27">
        <v>0</v>
      </c>
      <c r="AX27">
        <v>0</v>
      </c>
      <c r="AY27">
        <v>0</v>
      </c>
      <c r="AZ27">
        <v>0</v>
      </c>
      <c r="BA27">
        <v>0</v>
      </c>
      <c r="BB27">
        <v>0</v>
      </c>
      <c r="BC27">
        <v>0</v>
      </c>
      <c r="BD27">
        <v>0</v>
      </c>
      <c r="BE27">
        <v>0</v>
      </c>
      <c r="BF27">
        <v>0</v>
      </c>
      <c r="BG27">
        <v>0</v>
      </c>
      <c r="BH27">
        <v>1</v>
      </c>
      <c r="BI27">
        <v>3</v>
      </c>
      <c r="BJ27">
        <v>7</v>
      </c>
      <c r="BK27">
        <v>7</v>
      </c>
      <c r="BL27">
        <v>446.34</v>
      </c>
      <c r="BM27">
        <v>66.95</v>
      </c>
      <c r="BN27">
        <v>513.29</v>
      </c>
      <c r="BO27">
        <v>513.29</v>
      </c>
      <c r="BQ27" t="s">
        <v>218</v>
      </c>
      <c r="BR27" t="s">
        <v>84</v>
      </c>
      <c r="BS27" s="3">
        <v>45782</v>
      </c>
      <c r="BT27" s="4">
        <v>0.45069444444444445</v>
      </c>
      <c r="BU27" t="s">
        <v>219</v>
      </c>
      <c r="BV27" t="s">
        <v>86</v>
      </c>
      <c r="BY27">
        <v>35000</v>
      </c>
      <c r="CA27" t="s">
        <v>220</v>
      </c>
      <c r="CC27" t="s">
        <v>216</v>
      </c>
      <c r="CD27">
        <v>4449</v>
      </c>
      <c r="CE27" t="s">
        <v>221</v>
      </c>
      <c r="CF27" s="3">
        <v>45783</v>
      </c>
      <c r="CI27">
        <v>1</v>
      </c>
      <c r="CJ27">
        <v>1</v>
      </c>
      <c r="CK27">
        <v>23</v>
      </c>
      <c r="CL27" t="s">
        <v>89</v>
      </c>
    </row>
    <row r="28" spans="1:90" x14ac:dyDescent="0.3">
      <c r="A28" t="s">
        <v>72</v>
      </c>
      <c r="B28" t="s">
        <v>73</v>
      </c>
      <c r="C28" t="s">
        <v>74</v>
      </c>
      <c r="E28" t="str">
        <f>"080065128147"</f>
        <v>080065128147</v>
      </c>
      <c r="F28" s="3">
        <v>45779</v>
      </c>
      <c r="G28">
        <v>202602</v>
      </c>
      <c r="H28" t="s">
        <v>75</v>
      </c>
      <c r="I28" t="s">
        <v>76</v>
      </c>
      <c r="J28" t="s">
        <v>77</v>
      </c>
      <c r="K28" t="s">
        <v>78</v>
      </c>
      <c r="L28" t="s">
        <v>222</v>
      </c>
      <c r="M28" t="s">
        <v>223</v>
      </c>
      <c r="N28" t="s">
        <v>224</v>
      </c>
      <c r="O28" t="s">
        <v>82</v>
      </c>
      <c r="P28" t="str">
        <f>"4170036689                    "</f>
        <v xml:space="preserve">4170036689                    </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31.1</v>
      </c>
      <c r="AR28">
        <v>0</v>
      </c>
      <c r="AS28">
        <v>0</v>
      </c>
      <c r="AT28">
        <v>0</v>
      </c>
      <c r="AU28">
        <v>0</v>
      </c>
      <c r="AV28">
        <v>0</v>
      </c>
      <c r="AW28">
        <v>0</v>
      </c>
      <c r="AX28">
        <v>0</v>
      </c>
      <c r="AY28">
        <v>0</v>
      </c>
      <c r="AZ28">
        <v>0</v>
      </c>
      <c r="BA28">
        <v>0</v>
      </c>
      <c r="BB28">
        <v>0</v>
      </c>
      <c r="BC28">
        <v>0</v>
      </c>
      <c r="BD28">
        <v>0</v>
      </c>
      <c r="BE28">
        <v>0</v>
      </c>
      <c r="BF28">
        <v>0</v>
      </c>
      <c r="BG28">
        <v>0</v>
      </c>
      <c r="BH28">
        <v>1</v>
      </c>
      <c r="BI28">
        <v>1</v>
      </c>
      <c r="BJ28">
        <v>0.2</v>
      </c>
      <c r="BK28">
        <v>1</v>
      </c>
      <c r="BL28">
        <v>99.45</v>
      </c>
      <c r="BM28">
        <v>14.92</v>
      </c>
      <c r="BN28">
        <v>114.37</v>
      </c>
      <c r="BO28">
        <v>114.37</v>
      </c>
      <c r="BQ28" t="s">
        <v>225</v>
      </c>
      <c r="BR28" t="s">
        <v>84</v>
      </c>
      <c r="BS28" s="3">
        <v>45782</v>
      </c>
      <c r="BT28" s="4">
        <v>0.46736111111111112</v>
      </c>
      <c r="BU28" t="s">
        <v>226</v>
      </c>
      <c r="BV28" t="s">
        <v>86</v>
      </c>
      <c r="BY28">
        <v>1200</v>
      </c>
      <c r="CA28" t="s">
        <v>227</v>
      </c>
      <c r="CC28" t="s">
        <v>223</v>
      </c>
      <c r="CD28">
        <v>1754</v>
      </c>
      <c r="CE28" t="s">
        <v>176</v>
      </c>
      <c r="CF28" s="3">
        <v>45783</v>
      </c>
      <c r="CI28">
        <v>1</v>
      </c>
      <c r="CJ28">
        <v>1</v>
      </c>
      <c r="CK28">
        <v>24</v>
      </c>
      <c r="CL28" t="s">
        <v>89</v>
      </c>
    </row>
    <row r="29" spans="1:90" x14ac:dyDescent="0.3">
      <c r="A29" t="s">
        <v>72</v>
      </c>
      <c r="B29" t="s">
        <v>73</v>
      </c>
      <c r="C29" t="s">
        <v>74</v>
      </c>
      <c r="E29" t="str">
        <f>"080065128172"</f>
        <v>080065128172</v>
      </c>
      <c r="F29" s="3">
        <v>45779</v>
      </c>
      <c r="G29">
        <v>202602</v>
      </c>
      <c r="H29" t="s">
        <v>75</v>
      </c>
      <c r="I29" t="s">
        <v>76</v>
      </c>
      <c r="J29" t="s">
        <v>77</v>
      </c>
      <c r="K29" t="s">
        <v>78</v>
      </c>
      <c r="L29" t="s">
        <v>103</v>
      </c>
      <c r="M29" t="s">
        <v>104</v>
      </c>
      <c r="N29" t="s">
        <v>228</v>
      </c>
      <c r="O29" t="s">
        <v>82</v>
      </c>
      <c r="P29" t="str">
        <f>"4170036713                    "</f>
        <v xml:space="preserve">4170036713                    </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22.11</v>
      </c>
      <c r="AR29">
        <v>0</v>
      </c>
      <c r="AS29">
        <v>0</v>
      </c>
      <c r="AT29">
        <v>0</v>
      </c>
      <c r="AU29">
        <v>0</v>
      </c>
      <c r="AV29">
        <v>0</v>
      </c>
      <c r="AW29">
        <v>16.739999999999998</v>
      </c>
      <c r="AX29">
        <v>0</v>
      </c>
      <c r="AY29">
        <v>0</v>
      </c>
      <c r="AZ29">
        <v>0</v>
      </c>
      <c r="BA29">
        <v>0</v>
      </c>
      <c r="BB29">
        <v>0</v>
      </c>
      <c r="BC29">
        <v>0</v>
      </c>
      <c r="BD29">
        <v>0</v>
      </c>
      <c r="BE29">
        <v>0</v>
      </c>
      <c r="BF29">
        <v>0</v>
      </c>
      <c r="BG29">
        <v>0</v>
      </c>
      <c r="BH29">
        <v>1</v>
      </c>
      <c r="BI29">
        <v>1</v>
      </c>
      <c r="BJ29">
        <v>0.2</v>
      </c>
      <c r="BK29">
        <v>1</v>
      </c>
      <c r="BL29">
        <v>87.45</v>
      </c>
      <c r="BM29">
        <v>13.12</v>
      </c>
      <c r="BN29">
        <v>100.57</v>
      </c>
      <c r="BO29">
        <v>100.57</v>
      </c>
      <c r="BQ29" t="s">
        <v>229</v>
      </c>
      <c r="BR29" t="s">
        <v>84</v>
      </c>
      <c r="BS29" s="3">
        <v>45782</v>
      </c>
      <c r="BT29" s="4">
        <v>0.41666666666666669</v>
      </c>
      <c r="BU29" t="s">
        <v>230</v>
      </c>
      <c r="BV29" t="s">
        <v>86</v>
      </c>
      <c r="BY29">
        <v>1200</v>
      </c>
      <c r="BZ29" t="s">
        <v>30</v>
      </c>
      <c r="CA29" t="s">
        <v>231</v>
      </c>
      <c r="CC29" t="s">
        <v>104</v>
      </c>
      <c r="CD29">
        <v>3699</v>
      </c>
      <c r="CE29" t="s">
        <v>176</v>
      </c>
      <c r="CF29" s="3">
        <v>45783</v>
      </c>
      <c r="CI29">
        <v>1</v>
      </c>
      <c r="CJ29">
        <v>1</v>
      </c>
      <c r="CK29">
        <v>21</v>
      </c>
      <c r="CL29" t="s">
        <v>89</v>
      </c>
    </row>
    <row r="30" spans="1:90" x14ac:dyDescent="0.3">
      <c r="A30" t="s">
        <v>72</v>
      </c>
      <c r="B30" t="s">
        <v>73</v>
      </c>
      <c r="C30" t="s">
        <v>74</v>
      </c>
      <c r="E30" t="str">
        <f>"080065128203"</f>
        <v>080065128203</v>
      </c>
      <c r="F30" s="3">
        <v>45779</v>
      </c>
      <c r="G30">
        <v>202602</v>
      </c>
      <c r="H30" t="s">
        <v>75</v>
      </c>
      <c r="I30" t="s">
        <v>76</v>
      </c>
      <c r="J30" t="s">
        <v>77</v>
      </c>
      <c r="K30" t="s">
        <v>78</v>
      </c>
      <c r="L30" t="s">
        <v>232</v>
      </c>
      <c r="M30" t="s">
        <v>233</v>
      </c>
      <c r="N30" t="s">
        <v>234</v>
      </c>
      <c r="O30" t="s">
        <v>82</v>
      </c>
      <c r="P30" t="str">
        <f>"4170036677                    "</f>
        <v xml:space="preserve">4170036677                    </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22.11</v>
      </c>
      <c r="AR30">
        <v>0</v>
      </c>
      <c r="AS30">
        <v>0</v>
      </c>
      <c r="AT30">
        <v>0</v>
      </c>
      <c r="AU30">
        <v>0</v>
      </c>
      <c r="AV30">
        <v>0</v>
      </c>
      <c r="AW30">
        <v>0</v>
      </c>
      <c r="AX30">
        <v>0</v>
      </c>
      <c r="AY30">
        <v>0</v>
      </c>
      <c r="AZ30">
        <v>0</v>
      </c>
      <c r="BA30">
        <v>0</v>
      </c>
      <c r="BB30">
        <v>0</v>
      </c>
      <c r="BC30">
        <v>0</v>
      </c>
      <c r="BD30">
        <v>0</v>
      </c>
      <c r="BE30">
        <v>0</v>
      </c>
      <c r="BF30">
        <v>0</v>
      </c>
      <c r="BG30">
        <v>0</v>
      </c>
      <c r="BH30">
        <v>1</v>
      </c>
      <c r="BI30">
        <v>1</v>
      </c>
      <c r="BJ30">
        <v>0.2</v>
      </c>
      <c r="BK30">
        <v>1</v>
      </c>
      <c r="BL30">
        <v>70.709999999999994</v>
      </c>
      <c r="BM30">
        <v>10.61</v>
      </c>
      <c r="BN30">
        <v>81.319999999999993</v>
      </c>
      <c r="BO30">
        <v>81.319999999999993</v>
      </c>
      <c r="BQ30" t="s">
        <v>235</v>
      </c>
      <c r="BR30" t="s">
        <v>84</v>
      </c>
      <c r="BS30" s="3">
        <v>45782</v>
      </c>
      <c r="BT30" s="4">
        <v>0.40625</v>
      </c>
      <c r="BU30" t="s">
        <v>236</v>
      </c>
      <c r="BV30" t="s">
        <v>86</v>
      </c>
      <c r="BY30">
        <v>1200</v>
      </c>
      <c r="CA30" t="s">
        <v>237</v>
      </c>
      <c r="CC30" t="s">
        <v>233</v>
      </c>
      <c r="CD30" s="5" t="s">
        <v>238</v>
      </c>
      <c r="CE30" t="s">
        <v>176</v>
      </c>
      <c r="CF30" s="3">
        <v>45782</v>
      </c>
      <c r="CI30">
        <v>1</v>
      </c>
      <c r="CJ30">
        <v>1</v>
      </c>
      <c r="CK30">
        <v>21</v>
      </c>
      <c r="CL30" t="s">
        <v>89</v>
      </c>
    </row>
    <row r="31" spans="1:90" x14ac:dyDescent="0.3">
      <c r="A31" t="s">
        <v>72</v>
      </c>
      <c r="B31" t="s">
        <v>73</v>
      </c>
      <c r="C31" t="s">
        <v>74</v>
      </c>
      <c r="E31" t="str">
        <f>"080065128229"</f>
        <v>080065128229</v>
      </c>
      <c r="F31" s="3">
        <v>45779</v>
      </c>
      <c r="G31">
        <v>202602</v>
      </c>
      <c r="H31" t="s">
        <v>75</v>
      </c>
      <c r="I31" t="s">
        <v>76</v>
      </c>
      <c r="J31" t="s">
        <v>77</v>
      </c>
      <c r="K31" t="s">
        <v>78</v>
      </c>
      <c r="L31" t="s">
        <v>130</v>
      </c>
      <c r="M31" t="s">
        <v>131</v>
      </c>
      <c r="N31" t="s">
        <v>239</v>
      </c>
      <c r="O31" t="s">
        <v>82</v>
      </c>
      <c r="P31" t="str">
        <f>"4170036646                    "</f>
        <v xml:space="preserve">4170036646                    </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22.11</v>
      </c>
      <c r="AR31">
        <v>0</v>
      </c>
      <c r="AS31">
        <v>0</v>
      </c>
      <c r="AT31">
        <v>0</v>
      </c>
      <c r="AU31">
        <v>0</v>
      </c>
      <c r="AV31">
        <v>0</v>
      </c>
      <c r="AW31">
        <v>0</v>
      </c>
      <c r="AX31">
        <v>0</v>
      </c>
      <c r="AY31">
        <v>0</v>
      </c>
      <c r="AZ31">
        <v>0</v>
      </c>
      <c r="BA31">
        <v>0</v>
      </c>
      <c r="BB31">
        <v>0</v>
      </c>
      <c r="BC31">
        <v>0</v>
      </c>
      <c r="BD31">
        <v>0</v>
      </c>
      <c r="BE31">
        <v>0</v>
      </c>
      <c r="BF31">
        <v>0</v>
      </c>
      <c r="BG31">
        <v>0</v>
      </c>
      <c r="BH31">
        <v>1</v>
      </c>
      <c r="BI31">
        <v>1</v>
      </c>
      <c r="BJ31">
        <v>0.2</v>
      </c>
      <c r="BK31">
        <v>1</v>
      </c>
      <c r="BL31">
        <v>70.709999999999994</v>
      </c>
      <c r="BM31">
        <v>10.61</v>
      </c>
      <c r="BN31">
        <v>81.319999999999993</v>
      </c>
      <c r="BO31">
        <v>81.319999999999993</v>
      </c>
      <c r="BQ31" t="s">
        <v>240</v>
      </c>
      <c r="BR31" t="s">
        <v>84</v>
      </c>
      <c r="BS31" s="3">
        <v>45782</v>
      </c>
      <c r="BT31" s="4">
        <v>0.39583333333333331</v>
      </c>
      <c r="BU31" t="s">
        <v>241</v>
      </c>
      <c r="BV31" t="s">
        <v>86</v>
      </c>
      <c r="BY31">
        <v>1200</v>
      </c>
      <c r="CA31" t="s">
        <v>242</v>
      </c>
      <c r="CC31" t="s">
        <v>131</v>
      </c>
      <c r="CD31">
        <v>7441</v>
      </c>
      <c r="CE31" t="s">
        <v>176</v>
      </c>
      <c r="CF31" s="3">
        <v>45783</v>
      </c>
      <c r="CI31">
        <v>1</v>
      </c>
      <c r="CJ31">
        <v>1</v>
      </c>
      <c r="CK31">
        <v>21</v>
      </c>
      <c r="CL31" t="s">
        <v>89</v>
      </c>
    </row>
    <row r="32" spans="1:90" x14ac:dyDescent="0.3">
      <c r="A32" t="s">
        <v>72</v>
      </c>
      <c r="B32" t="s">
        <v>73</v>
      </c>
      <c r="C32" t="s">
        <v>74</v>
      </c>
      <c r="E32" t="str">
        <f>"080065128250"</f>
        <v>080065128250</v>
      </c>
      <c r="F32" s="3">
        <v>45779</v>
      </c>
      <c r="G32">
        <v>202602</v>
      </c>
      <c r="H32" t="s">
        <v>75</v>
      </c>
      <c r="I32" t="s">
        <v>76</v>
      </c>
      <c r="J32" t="s">
        <v>77</v>
      </c>
      <c r="K32" t="s">
        <v>78</v>
      </c>
      <c r="L32" t="s">
        <v>222</v>
      </c>
      <c r="M32" t="s">
        <v>223</v>
      </c>
      <c r="N32" t="s">
        <v>224</v>
      </c>
      <c r="O32" t="s">
        <v>82</v>
      </c>
      <c r="P32" t="str">
        <f>"4170036690                    "</f>
        <v xml:space="preserve">4170036690                    </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31.1</v>
      </c>
      <c r="AR32">
        <v>0</v>
      </c>
      <c r="AS32">
        <v>0</v>
      </c>
      <c r="AT32">
        <v>0</v>
      </c>
      <c r="AU32">
        <v>0</v>
      </c>
      <c r="AV32">
        <v>0</v>
      </c>
      <c r="AW32">
        <v>0</v>
      </c>
      <c r="AX32">
        <v>0</v>
      </c>
      <c r="AY32">
        <v>0</v>
      </c>
      <c r="AZ32">
        <v>0</v>
      </c>
      <c r="BA32">
        <v>0</v>
      </c>
      <c r="BB32">
        <v>0</v>
      </c>
      <c r="BC32">
        <v>0</v>
      </c>
      <c r="BD32">
        <v>0</v>
      </c>
      <c r="BE32">
        <v>0</v>
      </c>
      <c r="BF32">
        <v>0</v>
      </c>
      <c r="BG32">
        <v>0</v>
      </c>
      <c r="BH32">
        <v>1</v>
      </c>
      <c r="BI32">
        <v>1</v>
      </c>
      <c r="BJ32">
        <v>0.2</v>
      </c>
      <c r="BK32">
        <v>1</v>
      </c>
      <c r="BL32">
        <v>99.45</v>
      </c>
      <c r="BM32">
        <v>14.92</v>
      </c>
      <c r="BN32">
        <v>114.37</v>
      </c>
      <c r="BO32">
        <v>114.37</v>
      </c>
      <c r="BQ32" t="s">
        <v>225</v>
      </c>
      <c r="BR32" t="s">
        <v>84</v>
      </c>
      <c r="BS32" s="3">
        <v>45782</v>
      </c>
      <c r="BT32" s="4">
        <v>0.46736111111111112</v>
      </c>
      <c r="BU32" t="s">
        <v>226</v>
      </c>
      <c r="BV32" t="s">
        <v>86</v>
      </c>
      <c r="BY32">
        <v>1200</v>
      </c>
      <c r="CA32" t="s">
        <v>227</v>
      </c>
      <c r="CC32" t="s">
        <v>223</v>
      </c>
      <c r="CD32">
        <v>1754</v>
      </c>
      <c r="CE32" t="s">
        <v>176</v>
      </c>
      <c r="CF32" s="3">
        <v>45783</v>
      </c>
      <c r="CI32">
        <v>1</v>
      </c>
      <c r="CJ32">
        <v>1</v>
      </c>
      <c r="CK32">
        <v>24</v>
      </c>
      <c r="CL32" t="s">
        <v>89</v>
      </c>
    </row>
    <row r="33" spans="1:90" x14ac:dyDescent="0.3">
      <c r="A33" t="s">
        <v>72</v>
      </c>
      <c r="B33" t="s">
        <v>73</v>
      </c>
      <c r="C33" t="s">
        <v>74</v>
      </c>
      <c r="E33" t="str">
        <f>"080065128278"</f>
        <v>080065128278</v>
      </c>
      <c r="F33" s="3">
        <v>45779</v>
      </c>
      <c r="G33">
        <v>202602</v>
      </c>
      <c r="H33" t="s">
        <v>75</v>
      </c>
      <c r="I33" t="s">
        <v>76</v>
      </c>
      <c r="J33" t="s">
        <v>77</v>
      </c>
      <c r="K33" t="s">
        <v>78</v>
      </c>
      <c r="L33" t="s">
        <v>75</v>
      </c>
      <c r="M33" t="s">
        <v>76</v>
      </c>
      <c r="N33" t="s">
        <v>243</v>
      </c>
      <c r="O33" t="s">
        <v>82</v>
      </c>
      <c r="P33" t="str">
        <f>"4170036645                    "</f>
        <v xml:space="preserve">4170036645                    </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17.27</v>
      </c>
      <c r="AR33">
        <v>0</v>
      </c>
      <c r="AS33">
        <v>0</v>
      </c>
      <c r="AT33">
        <v>0</v>
      </c>
      <c r="AU33">
        <v>0</v>
      </c>
      <c r="AV33">
        <v>0</v>
      </c>
      <c r="AW33">
        <v>0</v>
      </c>
      <c r="AX33">
        <v>0</v>
      </c>
      <c r="AY33">
        <v>0</v>
      </c>
      <c r="AZ33">
        <v>0</v>
      </c>
      <c r="BA33">
        <v>0</v>
      </c>
      <c r="BB33">
        <v>0</v>
      </c>
      <c r="BC33">
        <v>0</v>
      </c>
      <c r="BD33">
        <v>0</v>
      </c>
      <c r="BE33">
        <v>0</v>
      </c>
      <c r="BF33">
        <v>0</v>
      </c>
      <c r="BG33">
        <v>0</v>
      </c>
      <c r="BH33">
        <v>1</v>
      </c>
      <c r="BI33">
        <v>1</v>
      </c>
      <c r="BJ33">
        <v>0.2</v>
      </c>
      <c r="BK33">
        <v>1</v>
      </c>
      <c r="BL33">
        <v>55.23</v>
      </c>
      <c r="BM33">
        <v>8.2799999999999994</v>
      </c>
      <c r="BN33">
        <v>63.51</v>
      </c>
      <c r="BO33">
        <v>63.51</v>
      </c>
      <c r="BQ33" t="s">
        <v>244</v>
      </c>
      <c r="BR33" t="s">
        <v>84</v>
      </c>
      <c r="BS33" s="3">
        <v>45782</v>
      </c>
      <c r="BT33" s="4">
        <v>0.42916666666666664</v>
      </c>
      <c r="BU33" t="s">
        <v>245</v>
      </c>
      <c r="BV33" t="s">
        <v>86</v>
      </c>
      <c r="BY33">
        <v>1200</v>
      </c>
      <c r="CA33" t="s">
        <v>246</v>
      </c>
      <c r="CC33" t="s">
        <v>76</v>
      </c>
      <c r="CD33">
        <v>1685</v>
      </c>
      <c r="CE33" t="s">
        <v>176</v>
      </c>
      <c r="CF33" s="3">
        <v>45783</v>
      </c>
      <c r="CI33">
        <v>1</v>
      </c>
      <c r="CJ33">
        <v>1</v>
      </c>
      <c r="CK33">
        <v>22</v>
      </c>
      <c r="CL33" t="s">
        <v>89</v>
      </c>
    </row>
    <row r="34" spans="1:90" x14ac:dyDescent="0.3">
      <c r="A34" t="s">
        <v>72</v>
      </c>
      <c r="B34" t="s">
        <v>73</v>
      </c>
      <c r="C34" t="s">
        <v>74</v>
      </c>
      <c r="E34" t="str">
        <f>"080065128308"</f>
        <v>080065128308</v>
      </c>
      <c r="F34" s="3">
        <v>45779</v>
      </c>
      <c r="G34">
        <v>202602</v>
      </c>
      <c r="H34" t="s">
        <v>75</v>
      </c>
      <c r="I34" t="s">
        <v>76</v>
      </c>
      <c r="J34" t="s">
        <v>77</v>
      </c>
      <c r="K34" t="s">
        <v>78</v>
      </c>
      <c r="L34" t="s">
        <v>75</v>
      </c>
      <c r="M34" t="s">
        <v>76</v>
      </c>
      <c r="N34" t="s">
        <v>247</v>
      </c>
      <c r="O34" t="s">
        <v>82</v>
      </c>
      <c r="P34" t="str">
        <f>"4170036724                    "</f>
        <v xml:space="preserve">4170036724                    </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17.27</v>
      </c>
      <c r="AR34">
        <v>0</v>
      </c>
      <c r="AS34">
        <v>0</v>
      </c>
      <c r="AT34">
        <v>0</v>
      </c>
      <c r="AU34">
        <v>0</v>
      </c>
      <c r="AV34">
        <v>0</v>
      </c>
      <c r="AW34">
        <v>0</v>
      </c>
      <c r="AX34">
        <v>0</v>
      </c>
      <c r="AY34">
        <v>0</v>
      </c>
      <c r="AZ34">
        <v>0</v>
      </c>
      <c r="BA34">
        <v>0</v>
      </c>
      <c r="BB34">
        <v>0</v>
      </c>
      <c r="BC34">
        <v>0</v>
      </c>
      <c r="BD34">
        <v>0</v>
      </c>
      <c r="BE34">
        <v>0</v>
      </c>
      <c r="BF34">
        <v>0</v>
      </c>
      <c r="BG34">
        <v>0</v>
      </c>
      <c r="BH34">
        <v>1</v>
      </c>
      <c r="BI34">
        <v>1</v>
      </c>
      <c r="BJ34">
        <v>0.2</v>
      </c>
      <c r="BK34">
        <v>1</v>
      </c>
      <c r="BL34">
        <v>55.23</v>
      </c>
      <c r="BM34">
        <v>8.2799999999999994</v>
      </c>
      <c r="BN34">
        <v>63.51</v>
      </c>
      <c r="BO34">
        <v>63.51</v>
      </c>
      <c r="BQ34" t="s">
        <v>248</v>
      </c>
      <c r="BR34" t="s">
        <v>84</v>
      </c>
      <c r="BS34" s="3">
        <v>45782</v>
      </c>
      <c r="BT34" s="4">
        <v>0.4375</v>
      </c>
      <c r="BU34" t="s">
        <v>249</v>
      </c>
      <c r="BV34" t="s">
        <v>86</v>
      </c>
      <c r="BY34">
        <v>1200</v>
      </c>
      <c r="CA34" t="s">
        <v>115</v>
      </c>
      <c r="CC34" t="s">
        <v>76</v>
      </c>
      <c r="CD34">
        <v>1624</v>
      </c>
      <c r="CE34" t="s">
        <v>88</v>
      </c>
      <c r="CF34" s="3">
        <v>45783</v>
      </c>
      <c r="CI34">
        <v>1</v>
      </c>
      <c r="CJ34">
        <v>1</v>
      </c>
      <c r="CK34">
        <v>22</v>
      </c>
      <c r="CL34" t="s">
        <v>89</v>
      </c>
    </row>
    <row r="35" spans="1:90" x14ac:dyDescent="0.3">
      <c r="A35" t="s">
        <v>72</v>
      </c>
      <c r="B35" t="s">
        <v>73</v>
      </c>
      <c r="C35" t="s">
        <v>74</v>
      </c>
      <c r="E35" t="str">
        <f>"080065128331"</f>
        <v>080065128331</v>
      </c>
      <c r="F35" s="3">
        <v>45779</v>
      </c>
      <c r="G35">
        <v>202602</v>
      </c>
      <c r="H35" t="s">
        <v>75</v>
      </c>
      <c r="I35" t="s">
        <v>76</v>
      </c>
      <c r="J35" t="s">
        <v>77</v>
      </c>
      <c r="K35" t="s">
        <v>78</v>
      </c>
      <c r="L35" t="s">
        <v>136</v>
      </c>
      <c r="M35" t="s">
        <v>137</v>
      </c>
      <c r="N35" t="s">
        <v>250</v>
      </c>
      <c r="O35" t="s">
        <v>82</v>
      </c>
      <c r="P35" t="str">
        <f>"4170036693                    "</f>
        <v xml:space="preserve">4170036693                    </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22.11</v>
      </c>
      <c r="AR35">
        <v>0</v>
      </c>
      <c r="AS35">
        <v>0</v>
      </c>
      <c r="AT35">
        <v>0</v>
      </c>
      <c r="AU35">
        <v>0</v>
      </c>
      <c r="AV35">
        <v>0</v>
      </c>
      <c r="AW35">
        <v>0</v>
      </c>
      <c r="AX35">
        <v>0</v>
      </c>
      <c r="AY35">
        <v>0</v>
      </c>
      <c r="AZ35">
        <v>0</v>
      </c>
      <c r="BA35">
        <v>0</v>
      </c>
      <c r="BB35">
        <v>0</v>
      </c>
      <c r="BC35">
        <v>0</v>
      </c>
      <c r="BD35">
        <v>0</v>
      </c>
      <c r="BE35">
        <v>0</v>
      </c>
      <c r="BF35">
        <v>0</v>
      </c>
      <c r="BG35">
        <v>0</v>
      </c>
      <c r="BH35">
        <v>1</v>
      </c>
      <c r="BI35">
        <v>1</v>
      </c>
      <c r="BJ35">
        <v>0.2</v>
      </c>
      <c r="BK35">
        <v>1</v>
      </c>
      <c r="BL35">
        <v>70.709999999999994</v>
      </c>
      <c r="BM35">
        <v>10.61</v>
      </c>
      <c r="BN35">
        <v>81.319999999999993</v>
      </c>
      <c r="BO35">
        <v>81.319999999999993</v>
      </c>
      <c r="BQ35" t="s">
        <v>251</v>
      </c>
      <c r="BR35" t="s">
        <v>84</v>
      </c>
      <c r="BS35" s="3">
        <v>45782</v>
      </c>
      <c r="BT35" s="4">
        <v>0.43541666666666667</v>
      </c>
      <c r="BU35" t="s">
        <v>252</v>
      </c>
      <c r="BV35" t="s">
        <v>86</v>
      </c>
      <c r="BY35">
        <v>1200</v>
      </c>
      <c r="CA35" t="s">
        <v>253</v>
      </c>
      <c r="CC35" t="s">
        <v>137</v>
      </c>
      <c r="CD35" s="5" t="s">
        <v>254</v>
      </c>
      <c r="CE35" t="s">
        <v>88</v>
      </c>
      <c r="CF35" s="3">
        <v>45782</v>
      </c>
      <c r="CI35">
        <v>1</v>
      </c>
      <c r="CJ35">
        <v>1</v>
      </c>
      <c r="CK35">
        <v>21</v>
      </c>
      <c r="CL35" t="s">
        <v>89</v>
      </c>
    </row>
    <row r="36" spans="1:90" x14ac:dyDescent="0.3">
      <c r="A36" t="s">
        <v>72</v>
      </c>
      <c r="B36" t="s">
        <v>73</v>
      </c>
      <c r="C36" t="s">
        <v>74</v>
      </c>
      <c r="E36" t="str">
        <f>"080065128361"</f>
        <v>080065128361</v>
      </c>
      <c r="F36" s="3">
        <v>45779</v>
      </c>
      <c r="G36">
        <v>202602</v>
      </c>
      <c r="H36" t="s">
        <v>75</v>
      </c>
      <c r="I36" t="s">
        <v>76</v>
      </c>
      <c r="J36" t="s">
        <v>77</v>
      </c>
      <c r="K36" t="s">
        <v>78</v>
      </c>
      <c r="L36" t="s">
        <v>232</v>
      </c>
      <c r="M36" t="s">
        <v>233</v>
      </c>
      <c r="N36" t="s">
        <v>255</v>
      </c>
      <c r="O36" t="s">
        <v>82</v>
      </c>
      <c r="P36" t="str">
        <f>"4170036656                    "</f>
        <v xml:space="preserve">4170036656                    </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22.11</v>
      </c>
      <c r="AR36">
        <v>0</v>
      </c>
      <c r="AS36">
        <v>0</v>
      </c>
      <c r="AT36">
        <v>0</v>
      </c>
      <c r="AU36">
        <v>0</v>
      </c>
      <c r="AV36">
        <v>0</v>
      </c>
      <c r="AW36">
        <v>0</v>
      </c>
      <c r="AX36">
        <v>0</v>
      </c>
      <c r="AY36">
        <v>0</v>
      </c>
      <c r="AZ36">
        <v>0</v>
      </c>
      <c r="BA36">
        <v>0</v>
      </c>
      <c r="BB36">
        <v>0</v>
      </c>
      <c r="BC36">
        <v>0</v>
      </c>
      <c r="BD36">
        <v>0</v>
      </c>
      <c r="BE36">
        <v>0</v>
      </c>
      <c r="BF36">
        <v>0</v>
      </c>
      <c r="BG36">
        <v>0</v>
      </c>
      <c r="BH36">
        <v>1</v>
      </c>
      <c r="BI36">
        <v>1</v>
      </c>
      <c r="BJ36">
        <v>0.2</v>
      </c>
      <c r="BK36">
        <v>1</v>
      </c>
      <c r="BL36">
        <v>70.709999999999994</v>
      </c>
      <c r="BM36">
        <v>10.61</v>
      </c>
      <c r="BN36">
        <v>81.319999999999993</v>
      </c>
      <c r="BO36">
        <v>81.319999999999993</v>
      </c>
      <c r="BQ36" t="s">
        <v>256</v>
      </c>
      <c r="BR36" t="s">
        <v>84</v>
      </c>
      <c r="BS36" s="3">
        <v>45782</v>
      </c>
      <c r="BT36" s="4">
        <v>0.37986111111111109</v>
      </c>
      <c r="BU36" t="s">
        <v>257</v>
      </c>
      <c r="BV36" t="s">
        <v>86</v>
      </c>
      <c r="BY36">
        <v>1200</v>
      </c>
      <c r="CA36" t="s">
        <v>258</v>
      </c>
      <c r="CC36" t="s">
        <v>233</v>
      </c>
      <c r="CD36" s="5" t="s">
        <v>238</v>
      </c>
      <c r="CE36" t="s">
        <v>88</v>
      </c>
      <c r="CF36" s="3">
        <v>45782</v>
      </c>
      <c r="CI36">
        <v>1</v>
      </c>
      <c r="CJ36">
        <v>1</v>
      </c>
      <c r="CK36">
        <v>21</v>
      </c>
      <c r="CL36" t="s">
        <v>89</v>
      </c>
    </row>
    <row r="37" spans="1:90" x14ac:dyDescent="0.3">
      <c r="A37" t="s">
        <v>72</v>
      </c>
      <c r="B37" t="s">
        <v>73</v>
      </c>
      <c r="C37" t="s">
        <v>74</v>
      </c>
      <c r="E37" t="str">
        <f>"080065128618"</f>
        <v>080065128618</v>
      </c>
      <c r="F37" s="3">
        <v>45779</v>
      </c>
      <c r="G37">
        <v>202602</v>
      </c>
      <c r="H37" t="s">
        <v>75</v>
      </c>
      <c r="I37" t="s">
        <v>76</v>
      </c>
      <c r="J37" t="s">
        <v>77</v>
      </c>
      <c r="K37" t="s">
        <v>78</v>
      </c>
      <c r="L37" t="s">
        <v>222</v>
      </c>
      <c r="M37" t="s">
        <v>223</v>
      </c>
      <c r="N37" t="s">
        <v>224</v>
      </c>
      <c r="O37" t="s">
        <v>82</v>
      </c>
      <c r="P37" t="str">
        <f>"4170036670                    "</f>
        <v xml:space="preserve">4170036670                    </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31.1</v>
      </c>
      <c r="AR37">
        <v>0</v>
      </c>
      <c r="AS37">
        <v>0</v>
      </c>
      <c r="AT37">
        <v>0</v>
      </c>
      <c r="AU37">
        <v>0</v>
      </c>
      <c r="AV37">
        <v>0</v>
      </c>
      <c r="AW37">
        <v>0</v>
      </c>
      <c r="AX37">
        <v>0</v>
      </c>
      <c r="AY37">
        <v>0</v>
      </c>
      <c r="AZ37">
        <v>0</v>
      </c>
      <c r="BA37">
        <v>0</v>
      </c>
      <c r="BB37">
        <v>0</v>
      </c>
      <c r="BC37">
        <v>0</v>
      </c>
      <c r="BD37">
        <v>0</v>
      </c>
      <c r="BE37">
        <v>0</v>
      </c>
      <c r="BF37">
        <v>0</v>
      </c>
      <c r="BG37">
        <v>0</v>
      </c>
      <c r="BH37">
        <v>1</v>
      </c>
      <c r="BI37">
        <v>1</v>
      </c>
      <c r="BJ37">
        <v>0.2</v>
      </c>
      <c r="BK37">
        <v>1</v>
      </c>
      <c r="BL37">
        <v>99.45</v>
      </c>
      <c r="BM37">
        <v>14.92</v>
      </c>
      <c r="BN37">
        <v>114.37</v>
      </c>
      <c r="BO37">
        <v>114.37</v>
      </c>
      <c r="BQ37" t="s">
        <v>225</v>
      </c>
      <c r="BR37" t="s">
        <v>84</v>
      </c>
      <c r="BS37" s="3">
        <v>45782</v>
      </c>
      <c r="BT37" s="4">
        <v>0.47013888888888888</v>
      </c>
      <c r="BU37" t="s">
        <v>226</v>
      </c>
      <c r="BV37" t="s">
        <v>86</v>
      </c>
      <c r="BY37">
        <v>1200</v>
      </c>
      <c r="CA37" t="s">
        <v>227</v>
      </c>
      <c r="CC37" t="s">
        <v>223</v>
      </c>
      <c r="CD37">
        <v>1754</v>
      </c>
      <c r="CE37" t="s">
        <v>88</v>
      </c>
      <c r="CF37" s="3">
        <v>45783</v>
      </c>
      <c r="CI37">
        <v>1</v>
      </c>
      <c r="CJ37">
        <v>1</v>
      </c>
      <c r="CK37">
        <v>24</v>
      </c>
      <c r="CL37" t="s">
        <v>89</v>
      </c>
    </row>
    <row r="38" spans="1:90" x14ac:dyDescent="0.3">
      <c r="A38" t="s">
        <v>72</v>
      </c>
      <c r="B38" t="s">
        <v>73</v>
      </c>
      <c r="C38" t="s">
        <v>74</v>
      </c>
      <c r="E38" t="str">
        <f>"080065128673"</f>
        <v>080065128673</v>
      </c>
      <c r="F38" s="3">
        <v>45779</v>
      </c>
      <c r="G38">
        <v>202602</v>
      </c>
      <c r="H38" t="s">
        <v>75</v>
      </c>
      <c r="I38" t="s">
        <v>76</v>
      </c>
      <c r="J38" t="s">
        <v>77</v>
      </c>
      <c r="K38" t="s">
        <v>78</v>
      </c>
      <c r="L38" t="s">
        <v>259</v>
      </c>
      <c r="M38" t="s">
        <v>260</v>
      </c>
      <c r="N38" t="s">
        <v>261</v>
      </c>
      <c r="O38" t="s">
        <v>82</v>
      </c>
      <c r="P38" t="str">
        <f>"4170036655                    "</f>
        <v xml:space="preserve">4170036655                    </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42.84</v>
      </c>
      <c r="AR38">
        <v>0</v>
      </c>
      <c r="AS38">
        <v>0</v>
      </c>
      <c r="AT38">
        <v>0</v>
      </c>
      <c r="AU38">
        <v>0</v>
      </c>
      <c r="AV38">
        <v>0</v>
      </c>
      <c r="AW38">
        <v>16.739999999999998</v>
      </c>
      <c r="AX38">
        <v>0</v>
      </c>
      <c r="AY38">
        <v>0</v>
      </c>
      <c r="AZ38">
        <v>0</v>
      </c>
      <c r="BA38">
        <v>0</v>
      </c>
      <c r="BB38">
        <v>0</v>
      </c>
      <c r="BC38">
        <v>0</v>
      </c>
      <c r="BD38">
        <v>0</v>
      </c>
      <c r="BE38">
        <v>0</v>
      </c>
      <c r="BF38">
        <v>0</v>
      </c>
      <c r="BG38">
        <v>0</v>
      </c>
      <c r="BH38">
        <v>1</v>
      </c>
      <c r="BI38">
        <v>1</v>
      </c>
      <c r="BJ38">
        <v>0.2</v>
      </c>
      <c r="BK38">
        <v>1</v>
      </c>
      <c r="BL38">
        <v>153.74</v>
      </c>
      <c r="BM38">
        <v>23.06</v>
      </c>
      <c r="BN38">
        <v>176.8</v>
      </c>
      <c r="BO38">
        <v>176.8</v>
      </c>
      <c r="BQ38" t="s">
        <v>262</v>
      </c>
      <c r="BR38" t="s">
        <v>84</v>
      </c>
      <c r="BS38" s="3">
        <v>45782</v>
      </c>
      <c r="BT38" s="4">
        <v>0.51180555555555551</v>
      </c>
      <c r="BU38" t="s">
        <v>263</v>
      </c>
      <c r="BV38" t="s">
        <v>86</v>
      </c>
      <c r="BY38">
        <v>1200</v>
      </c>
      <c r="BZ38" t="s">
        <v>30</v>
      </c>
      <c r="CA38" t="s">
        <v>264</v>
      </c>
      <c r="CC38" t="s">
        <v>260</v>
      </c>
      <c r="CD38" s="5" t="s">
        <v>265</v>
      </c>
      <c r="CE38" t="s">
        <v>88</v>
      </c>
      <c r="CF38" s="3">
        <v>45782</v>
      </c>
      <c r="CI38">
        <v>1</v>
      </c>
      <c r="CJ38">
        <v>1</v>
      </c>
      <c r="CK38">
        <v>23</v>
      </c>
      <c r="CL38" t="s">
        <v>89</v>
      </c>
    </row>
    <row r="39" spans="1:90" x14ac:dyDescent="0.3">
      <c r="A39" t="s">
        <v>72</v>
      </c>
      <c r="B39" t="s">
        <v>73</v>
      </c>
      <c r="C39" t="s">
        <v>74</v>
      </c>
      <c r="E39" t="str">
        <f>"080065128759"</f>
        <v>080065128759</v>
      </c>
      <c r="F39" s="3">
        <v>45779</v>
      </c>
      <c r="G39">
        <v>202602</v>
      </c>
      <c r="H39" t="s">
        <v>75</v>
      </c>
      <c r="I39" t="s">
        <v>76</v>
      </c>
      <c r="J39" t="s">
        <v>77</v>
      </c>
      <c r="K39" t="s">
        <v>78</v>
      </c>
      <c r="L39" t="s">
        <v>232</v>
      </c>
      <c r="M39" t="s">
        <v>233</v>
      </c>
      <c r="N39" t="s">
        <v>234</v>
      </c>
      <c r="O39" t="s">
        <v>82</v>
      </c>
      <c r="P39" t="str">
        <f>"4170036678                    "</f>
        <v xml:space="preserve">4170036678                    </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22.11</v>
      </c>
      <c r="AR39">
        <v>0</v>
      </c>
      <c r="AS39">
        <v>0</v>
      </c>
      <c r="AT39">
        <v>0</v>
      </c>
      <c r="AU39">
        <v>0</v>
      </c>
      <c r="AV39">
        <v>0</v>
      </c>
      <c r="AW39">
        <v>0</v>
      </c>
      <c r="AX39">
        <v>0</v>
      </c>
      <c r="AY39">
        <v>0</v>
      </c>
      <c r="AZ39">
        <v>0</v>
      </c>
      <c r="BA39">
        <v>0</v>
      </c>
      <c r="BB39">
        <v>0</v>
      </c>
      <c r="BC39">
        <v>0</v>
      </c>
      <c r="BD39">
        <v>0</v>
      </c>
      <c r="BE39">
        <v>0</v>
      </c>
      <c r="BF39">
        <v>0</v>
      </c>
      <c r="BG39">
        <v>0</v>
      </c>
      <c r="BH39">
        <v>1</v>
      </c>
      <c r="BI39">
        <v>1</v>
      </c>
      <c r="BJ39">
        <v>0.2</v>
      </c>
      <c r="BK39">
        <v>1</v>
      </c>
      <c r="BL39">
        <v>70.709999999999994</v>
      </c>
      <c r="BM39">
        <v>10.61</v>
      </c>
      <c r="BN39">
        <v>81.319999999999993</v>
      </c>
      <c r="BO39">
        <v>81.319999999999993</v>
      </c>
      <c r="BQ39" t="s">
        <v>235</v>
      </c>
      <c r="BR39" t="s">
        <v>84</v>
      </c>
      <c r="BS39" s="3">
        <v>45782</v>
      </c>
      <c r="BT39" s="4">
        <v>0.40694444444444444</v>
      </c>
      <c r="BU39" t="s">
        <v>236</v>
      </c>
      <c r="BV39" t="s">
        <v>86</v>
      </c>
      <c r="BY39">
        <v>1200</v>
      </c>
      <c r="CA39" t="s">
        <v>237</v>
      </c>
      <c r="CC39" t="s">
        <v>233</v>
      </c>
      <c r="CD39" s="5" t="s">
        <v>238</v>
      </c>
      <c r="CE39" t="s">
        <v>88</v>
      </c>
      <c r="CF39" s="3">
        <v>45782</v>
      </c>
      <c r="CI39">
        <v>1</v>
      </c>
      <c r="CJ39">
        <v>1</v>
      </c>
      <c r="CK39">
        <v>21</v>
      </c>
      <c r="CL39" t="s">
        <v>89</v>
      </c>
    </row>
    <row r="40" spans="1:90" x14ac:dyDescent="0.3">
      <c r="A40" t="s">
        <v>72</v>
      </c>
      <c r="B40" t="s">
        <v>73</v>
      </c>
      <c r="C40" t="s">
        <v>74</v>
      </c>
      <c r="E40" t="str">
        <f>"080065128800"</f>
        <v>080065128800</v>
      </c>
      <c r="F40" s="3">
        <v>45779</v>
      </c>
      <c r="G40">
        <v>202602</v>
      </c>
      <c r="H40" t="s">
        <v>75</v>
      </c>
      <c r="I40" t="s">
        <v>76</v>
      </c>
      <c r="J40" t="s">
        <v>77</v>
      </c>
      <c r="K40" t="s">
        <v>78</v>
      </c>
      <c r="L40" t="s">
        <v>266</v>
      </c>
      <c r="M40" t="s">
        <v>267</v>
      </c>
      <c r="N40" t="s">
        <v>268</v>
      </c>
      <c r="O40" t="s">
        <v>82</v>
      </c>
      <c r="P40" t="str">
        <f>"4170036722                    "</f>
        <v xml:space="preserve">4170036722                    </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22.11</v>
      </c>
      <c r="AR40">
        <v>0</v>
      </c>
      <c r="AS40">
        <v>0</v>
      </c>
      <c r="AT40">
        <v>0</v>
      </c>
      <c r="AU40">
        <v>0</v>
      </c>
      <c r="AV40">
        <v>0</v>
      </c>
      <c r="AW40">
        <v>0</v>
      </c>
      <c r="AX40">
        <v>0</v>
      </c>
      <c r="AY40">
        <v>0</v>
      </c>
      <c r="AZ40">
        <v>0</v>
      </c>
      <c r="BA40">
        <v>0</v>
      </c>
      <c r="BB40">
        <v>0</v>
      </c>
      <c r="BC40">
        <v>0</v>
      </c>
      <c r="BD40">
        <v>0</v>
      </c>
      <c r="BE40">
        <v>0</v>
      </c>
      <c r="BF40">
        <v>0</v>
      </c>
      <c r="BG40">
        <v>0</v>
      </c>
      <c r="BH40">
        <v>1</v>
      </c>
      <c r="BI40">
        <v>1</v>
      </c>
      <c r="BJ40">
        <v>0.2</v>
      </c>
      <c r="BK40">
        <v>1</v>
      </c>
      <c r="BL40">
        <v>70.709999999999994</v>
      </c>
      <c r="BM40">
        <v>10.61</v>
      </c>
      <c r="BN40">
        <v>81.319999999999993</v>
      </c>
      <c r="BO40">
        <v>81.319999999999993</v>
      </c>
      <c r="BQ40" t="s">
        <v>269</v>
      </c>
      <c r="BR40" t="s">
        <v>84</v>
      </c>
      <c r="BS40" s="3">
        <v>45782</v>
      </c>
      <c r="BT40" s="4">
        <v>0.41041666666666665</v>
      </c>
      <c r="BU40" t="s">
        <v>270</v>
      </c>
      <c r="BV40" t="s">
        <v>86</v>
      </c>
      <c r="BY40">
        <v>1200</v>
      </c>
      <c r="CA40" t="s">
        <v>271</v>
      </c>
      <c r="CC40" t="s">
        <v>267</v>
      </c>
      <c r="CD40">
        <v>6220</v>
      </c>
      <c r="CE40" t="s">
        <v>88</v>
      </c>
      <c r="CF40" s="3">
        <v>45782</v>
      </c>
      <c r="CI40">
        <v>1</v>
      </c>
      <c r="CJ40">
        <v>1</v>
      </c>
      <c r="CK40">
        <v>21</v>
      </c>
      <c r="CL40" t="s">
        <v>89</v>
      </c>
    </row>
    <row r="41" spans="1:90" x14ac:dyDescent="0.3">
      <c r="A41" t="s">
        <v>72</v>
      </c>
      <c r="B41" t="s">
        <v>73</v>
      </c>
      <c r="C41" t="s">
        <v>74</v>
      </c>
      <c r="E41" t="str">
        <f>"080065128866"</f>
        <v>080065128866</v>
      </c>
      <c r="F41" s="3">
        <v>45779</v>
      </c>
      <c r="G41">
        <v>202602</v>
      </c>
      <c r="H41" t="s">
        <v>75</v>
      </c>
      <c r="I41" t="s">
        <v>76</v>
      </c>
      <c r="J41" t="s">
        <v>77</v>
      </c>
      <c r="K41" t="s">
        <v>78</v>
      </c>
      <c r="L41" t="s">
        <v>222</v>
      </c>
      <c r="M41" t="s">
        <v>223</v>
      </c>
      <c r="N41" t="s">
        <v>224</v>
      </c>
      <c r="O41" t="s">
        <v>82</v>
      </c>
      <c r="P41" t="str">
        <f>"4170036663                    "</f>
        <v xml:space="preserve">4170036663                    </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31.1</v>
      </c>
      <c r="AR41">
        <v>0</v>
      </c>
      <c r="AS41">
        <v>0</v>
      </c>
      <c r="AT41">
        <v>0</v>
      </c>
      <c r="AU41">
        <v>0</v>
      </c>
      <c r="AV41">
        <v>0</v>
      </c>
      <c r="AW41">
        <v>0</v>
      </c>
      <c r="AX41">
        <v>0</v>
      </c>
      <c r="AY41">
        <v>0</v>
      </c>
      <c r="AZ41">
        <v>0</v>
      </c>
      <c r="BA41">
        <v>0</v>
      </c>
      <c r="BB41">
        <v>0</v>
      </c>
      <c r="BC41">
        <v>0</v>
      </c>
      <c r="BD41">
        <v>0</v>
      </c>
      <c r="BE41">
        <v>0</v>
      </c>
      <c r="BF41">
        <v>0</v>
      </c>
      <c r="BG41">
        <v>0</v>
      </c>
      <c r="BH41">
        <v>1</v>
      </c>
      <c r="BI41">
        <v>1</v>
      </c>
      <c r="BJ41">
        <v>0.2</v>
      </c>
      <c r="BK41">
        <v>1</v>
      </c>
      <c r="BL41">
        <v>99.45</v>
      </c>
      <c r="BM41">
        <v>14.92</v>
      </c>
      <c r="BN41">
        <v>114.37</v>
      </c>
      <c r="BO41">
        <v>114.37</v>
      </c>
      <c r="BQ41" t="s">
        <v>225</v>
      </c>
      <c r="BR41" t="s">
        <v>84</v>
      </c>
      <c r="BS41" s="3">
        <v>45782</v>
      </c>
      <c r="BT41" s="4">
        <v>0.46736111111111112</v>
      </c>
      <c r="BU41" t="s">
        <v>226</v>
      </c>
      <c r="BV41" t="s">
        <v>86</v>
      </c>
      <c r="BY41">
        <v>1200</v>
      </c>
      <c r="CA41" t="s">
        <v>227</v>
      </c>
      <c r="CC41" t="s">
        <v>223</v>
      </c>
      <c r="CD41">
        <v>1754</v>
      </c>
      <c r="CE41" t="s">
        <v>88</v>
      </c>
      <c r="CF41" s="3">
        <v>45783</v>
      </c>
      <c r="CI41">
        <v>1</v>
      </c>
      <c r="CJ41">
        <v>1</v>
      </c>
      <c r="CK41">
        <v>24</v>
      </c>
      <c r="CL41" t="s">
        <v>89</v>
      </c>
    </row>
    <row r="42" spans="1:90" x14ac:dyDescent="0.3">
      <c r="A42" t="s">
        <v>72</v>
      </c>
      <c r="B42" t="s">
        <v>73</v>
      </c>
      <c r="C42" t="s">
        <v>74</v>
      </c>
      <c r="E42" t="str">
        <f>"080065128934"</f>
        <v>080065128934</v>
      </c>
      <c r="F42" s="3">
        <v>45779</v>
      </c>
      <c r="G42">
        <v>202602</v>
      </c>
      <c r="H42" t="s">
        <v>75</v>
      </c>
      <c r="I42" t="s">
        <v>76</v>
      </c>
      <c r="J42" t="s">
        <v>77</v>
      </c>
      <c r="K42" t="s">
        <v>78</v>
      </c>
      <c r="L42" t="s">
        <v>117</v>
      </c>
      <c r="M42" t="s">
        <v>118</v>
      </c>
      <c r="N42" t="s">
        <v>272</v>
      </c>
      <c r="O42" t="s">
        <v>82</v>
      </c>
      <c r="P42" t="str">
        <f>"4170036696                    "</f>
        <v xml:space="preserve">4170036696                    </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17.27</v>
      </c>
      <c r="AR42">
        <v>0</v>
      </c>
      <c r="AS42">
        <v>0</v>
      </c>
      <c r="AT42">
        <v>0</v>
      </c>
      <c r="AU42">
        <v>0</v>
      </c>
      <c r="AV42">
        <v>0</v>
      </c>
      <c r="AW42">
        <v>0</v>
      </c>
      <c r="AX42">
        <v>0</v>
      </c>
      <c r="AY42">
        <v>0</v>
      </c>
      <c r="AZ42">
        <v>0</v>
      </c>
      <c r="BA42">
        <v>0</v>
      </c>
      <c r="BB42">
        <v>0</v>
      </c>
      <c r="BC42">
        <v>0</v>
      </c>
      <c r="BD42">
        <v>0</v>
      </c>
      <c r="BE42">
        <v>0</v>
      </c>
      <c r="BF42">
        <v>0</v>
      </c>
      <c r="BG42">
        <v>0</v>
      </c>
      <c r="BH42">
        <v>1</v>
      </c>
      <c r="BI42">
        <v>3</v>
      </c>
      <c r="BJ42">
        <v>1.4</v>
      </c>
      <c r="BK42">
        <v>3</v>
      </c>
      <c r="BL42">
        <v>55.23</v>
      </c>
      <c r="BM42">
        <v>8.2799999999999994</v>
      </c>
      <c r="BN42">
        <v>63.51</v>
      </c>
      <c r="BO42">
        <v>63.51</v>
      </c>
      <c r="BQ42" t="s">
        <v>273</v>
      </c>
      <c r="BR42" t="s">
        <v>84</v>
      </c>
      <c r="BS42" s="3">
        <v>45782</v>
      </c>
      <c r="BT42" s="4">
        <v>0.35416666666666669</v>
      </c>
      <c r="BU42" t="s">
        <v>274</v>
      </c>
      <c r="BV42" t="s">
        <v>86</v>
      </c>
      <c r="BY42">
        <v>7056</v>
      </c>
      <c r="CA42" t="s">
        <v>275</v>
      </c>
      <c r="CC42" t="s">
        <v>118</v>
      </c>
      <c r="CD42">
        <v>2013</v>
      </c>
      <c r="CE42" t="s">
        <v>221</v>
      </c>
      <c r="CF42" s="3">
        <v>45783</v>
      </c>
      <c r="CI42">
        <v>1</v>
      </c>
      <c r="CJ42">
        <v>1</v>
      </c>
      <c r="CK42">
        <v>22</v>
      </c>
      <c r="CL42" t="s">
        <v>89</v>
      </c>
    </row>
    <row r="43" spans="1:90" x14ac:dyDescent="0.3">
      <c r="A43" t="s">
        <v>72</v>
      </c>
      <c r="B43" t="s">
        <v>73</v>
      </c>
      <c r="C43" t="s">
        <v>74</v>
      </c>
      <c r="E43" t="str">
        <f>"080065128956"</f>
        <v>080065128956</v>
      </c>
      <c r="F43" s="3">
        <v>45779</v>
      </c>
      <c r="G43">
        <v>202602</v>
      </c>
      <c r="H43" t="s">
        <v>75</v>
      </c>
      <c r="I43" t="s">
        <v>76</v>
      </c>
      <c r="J43" t="s">
        <v>77</v>
      </c>
      <c r="K43" t="s">
        <v>78</v>
      </c>
      <c r="L43" t="s">
        <v>117</v>
      </c>
      <c r="M43" t="s">
        <v>118</v>
      </c>
      <c r="N43" t="s">
        <v>272</v>
      </c>
      <c r="O43" t="s">
        <v>82</v>
      </c>
      <c r="P43" t="str">
        <f>"4170036692                    "</f>
        <v xml:space="preserve">4170036692                    </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17.27</v>
      </c>
      <c r="AR43">
        <v>0</v>
      </c>
      <c r="AS43">
        <v>0</v>
      </c>
      <c r="AT43">
        <v>0</v>
      </c>
      <c r="AU43">
        <v>0</v>
      </c>
      <c r="AV43">
        <v>0</v>
      </c>
      <c r="AW43">
        <v>0</v>
      </c>
      <c r="AX43">
        <v>0</v>
      </c>
      <c r="AY43">
        <v>0</v>
      </c>
      <c r="AZ43">
        <v>0</v>
      </c>
      <c r="BA43">
        <v>0</v>
      </c>
      <c r="BB43">
        <v>0</v>
      </c>
      <c r="BC43">
        <v>0</v>
      </c>
      <c r="BD43">
        <v>0</v>
      </c>
      <c r="BE43">
        <v>0</v>
      </c>
      <c r="BF43">
        <v>0</v>
      </c>
      <c r="BG43">
        <v>0</v>
      </c>
      <c r="BH43">
        <v>1</v>
      </c>
      <c r="BI43">
        <v>3</v>
      </c>
      <c r="BJ43">
        <v>1.9</v>
      </c>
      <c r="BK43">
        <v>3</v>
      </c>
      <c r="BL43">
        <v>55.23</v>
      </c>
      <c r="BM43">
        <v>8.2799999999999994</v>
      </c>
      <c r="BN43">
        <v>63.51</v>
      </c>
      <c r="BO43">
        <v>63.51</v>
      </c>
      <c r="BQ43" t="s">
        <v>273</v>
      </c>
      <c r="BR43" t="s">
        <v>84</v>
      </c>
      <c r="BS43" s="3">
        <v>45782</v>
      </c>
      <c r="BT43" s="4">
        <v>0.35416666666666669</v>
      </c>
      <c r="BU43" t="s">
        <v>274</v>
      </c>
      <c r="BV43" t="s">
        <v>86</v>
      </c>
      <c r="BY43">
        <v>9600</v>
      </c>
      <c r="CA43" t="s">
        <v>275</v>
      </c>
      <c r="CC43" t="s">
        <v>118</v>
      </c>
      <c r="CD43">
        <v>2013</v>
      </c>
      <c r="CE43" t="s">
        <v>116</v>
      </c>
      <c r="CF43" s="3">
        <v>45783</v>
      </c>
      <c r="CI43">
        <v>1</v>
      </c>
      <c r="CJ43">
        <v>1</v>
      </c>
      <c r="CK43">
        <v>22</v>
      </c>
      <c r="CL43" t="s">
        <v>89</v>
      </c>
    </row>
    <row r="44" spans="1:90" x14ac:dyDescent="0.3">
      <c r="A44" t="s">
        <v>72</v>
      </c>
      <c r="B44" t="s">
        <v>73</v>
      </c>
      <c r="C44" t="s">
        <v>74</v>
      </c>
      <c r="E44" t="str">
        <f>"080065128977"</f>
        <v>080065128977</v>
      </c>
      <c r="F44" s="3">
        <v>45779</v>
      </c>
      <c r="G44">
        <v>202602</v>
      </c>
      <c r="H44" t="s">
        <v>75</v>
      </c>
      <c r="I44" t="s">
        <v>76</v>
      </c>
      <c r="J44" t="s">
        <v>77</v>
      </c>
      <c r="K44" t="s">
        <v>78</v>
      </c>
      <c r="L44" t="s">
        <v>97</v>
      </c>
      <c r="M44" t="s">
        <v>98</v>
      </c>
      <c r="N44" t="s">
        <v>276</v>
      </c>
      <c r="O44" t="s">
        <v>82</v>
      </c>
      <c r="P44" t="str">
        <f>"4170036711                    "</f>
        <v xml:space="preserve">4170036711                    </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17.27</v>
      </c>
      <c r="AR44">
        <v>0</v>
      </c>
      <c r="AS44">
        <v>0</v>
      </c>
      <c r="AT44">
        <v>0</v>
      </c>
      <c r="AU44">
        <v>0</v>
      </c>
      <c r="AV44">
        <v>0</v>
      </c>
      <c r="AW44">
        <v>0</v>
      </c>
      <c r="AX44">
        <v>0</v>
      </c>
      <c r="AY44">
        <v>0</v>
      </c>
      <c r="AZ44">
        <v>0</v>
      </c>
      <c r="BA44">
        <v>0</v>
      </c>
      <c r="BB44">
        <v>0</v>
      </c>
      <c r="BC44">
        <v>0</v>
      </c>
      <c r="BD44">
        <v>0</v>
      </c>
      <c r="BE44">
        <v>0</v>
      </c>
      <c r="BF44">
        <v>0</v>
      </c>
      <c r="BG44">
        <v>0</v>
      </c>
      <c r="BH44">
        <v>1</v>
      </c>
      <c r="BI44">
        <v>2</v>
      </c>
      <c r="BJ44">
        <v>1.7</v>
      </c>
      <c r="BK44">
        <v>2</v>
      </c>
      <c r="BL44">
        <v>55.23</v>
      </c>
      <c r="BM44">
        <v>8.2799999999999994</v>
      </c>
      <c r="BN44">
        <v>63.51</v>
      </c>
      <c r="BO44">
        <v>63.51</v>
      </c>
      <c r="BQ44" t="s">
        <v>277</v>
      </c>
      <c r="BR44" t="s">
        <v>84</v>
      </c>
      <c r="BS44" s="3">
        <v>45782</v>
      </c>
      <c r="BT44" s="4">
        <v>0.36041666666666666</v>
      </c>
      <c r="BU44" t="s">
        <v>278</v>
      </c>
      <c r="BV44" t="s">
        <v>86</v>
      </c>
      <c r="BY44">
        <v>8512</v>
      </c>
      <c r="CA44" t="s">
        <v>279</v>
      </c>
      <c r="CC44" t="s">
        <v>98</v>
      </c>
      <c r="CD44">
        <v>1459</v>
      </c>
      <c r="CE44" t="s">
        <v>116</v>
      </c>
      <c r="CF44" s="3">
        <v>45783</v>
      </c>
      <c r="CI44">
        <v>1</v>
      </c>
      <c r="CJ44">
        <v>1</v>
      </c>
      <c r="CK44">
        <v>22</v>
      </c>
      <c r="CL44" t="s">
        <v>89</v>
      </c>
    </row>
    <row r="45" spans="1:90" x14ac:dyDescent="0.3">
      <c r="A45" t="s">
        <v>72</v>
      </c>
      <c r="B45" t="s">
        <v>73</v>
      </c>
      <c r="C45" t="s">
        <v>74</v>
      </c>
      <c r="E45" t="str">
        <f>"080065129049"</f>
        <v>080065129049</v>
      </c>
      <c r="F45" s="3">
        <v>45779</v>
      </c>
      <c r="G45">
        <v>202602</v>
      </c>
      <c r="H45" t="s">
        <v>75</v>
      </c>
      <c r="I45" t="s">
        <v>76</v>
      </c>
      <c r="J45" t="s">
        <v>77</v>
      </c>
      <c r="K45" t="s">
        <v>78</v>
      </c>
      <c r="L45" t="s">
        <v>90</v>
      </c>
      <c r="M45" t="s">
        <v>91</v>
      </c>
      <c r="N45" t="s">
        <v>280</v>
      </c>
      <c r="O45" t="s">
        <v>82</v>
      </c>
      <c r="P45" t="str">
        <f>"4170036715                    "</f>
        <v xml:space="preserve">4170036715                    </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49.73</v>
      </c>
      <c r="AR45">
        <v>0</v>
      </c>
      <c r="AS45">
        <v>0</v>
      </c>
      <c r="AT45">
        <v>0</v>
      </c>
      <c r="AU45">
        <v>0</v>
      </c>
      <c r="AV45">
        <v>0</v>
      </c>
      <c r="AW45">
        <v>0</v>
      </c>
      <c r="AX45">
        <v>0</v>
      </c>
      <c r="AY45">
        <v>0</v>
      </c>
      <c r="AZ45">
        <v>0</v>
      </c>
      <c r="BA45">
        <v>0</v>
      </c>
      <c r="BB45">
        <v>0</v>
      </c>
      <c r="BC45">
        <v>0</v>
      </c>
      <c r="BD45">
        <v>0</v>
      </c>
      <c r="BE45">
        <v>0</v>
      </c>
      <c r="BF45">
        <v>0</v>
      </c>
      <c r="BG45">
        <v>0</v>
      </c>
      <c r="BH45">
        <v>2</v>
      </c>
      <c r="BI45">
        <v>4</v>
      </c>
      <c r="BJ45">
        <v>4.2</v>
      </c>
      <c r="BK45">
        <v>4.5</v>
      </c>
      <c r="BL45">
        <v>159.03</v>
      </c>
      <c r="BM45">
        <v>23.85</v>
      </c>
      <c r="BN45">
        <v>182.88</v>
      </c>
      <c r="BO45">
        <v>182.88</v>
      </c>
      <c r="BQ45" t="s">
        <v>281</v>
      </c>
      <c r="BR45" t="s">
        <v>84</v>
      </c>
      <c r="BS45" s="3">
        <v>45782</v>
      </c>
      <c r="BT45" s="4">
        <v>0.40277777777777779</v>
      </c>
      <c r="BU45" t="s">
        <v>282</v>
      </c>
      <c r="BV45" t="s">
        <v>86</v>
      </c>
      <c r="BY45">
        <v>20912</v>
      </c>
      <c r="CA45" t="s">
        <v>283</v>
      </c>
      <c r="CC45" t="s">
        <v>91</v>
      </c>
      <c r="CD45">
        <v>6012</v>
      </c>
      <c r="CE45" t="s">
        <v>88</v>
      </c>
      <c r="CF45" s="3">
        <v>45782</v>
      </c>
      <c r="CI45">
        <v>1</v>
      </c>
      <c r="CJ45">
        <v>1</v>
      </c>
      <c r="CK45">
        <v>21</v>
      </c>
      <c r="CL45" t="s">
        <v>89</v>
      </c>
    </row>
    <row r="46" spans="1:90" x14ac:dyDescent="0.3">
      <c r="A46" t="s">
        <v>72</v>
      </c>
      <c r="B46" t="s">
        <v>73</v>
      </c>
      <c r="C46" t="s">
        <v>74</v>
      </c>
      <c r="E46" t="str">
        <f>"080065129364"</f>
        <v>080065129364</v>
      </c>
      <c r="F46" s="3">
        <v>45779</v>
      </c>
      <c r="G46">
        <v>202602</v>
      </c>
      <c r="H46" t="s">
        <v>75</v>
      </c>
      <c r="I46" t="s">
        <v>76</v>
      </c>
      <c r="J46" t="s">
        <v>77</v>
      </c>
      <c r="K46" t="s">
        <v>78</v>
      </c>
      <c r="L46" t="s">
        <v>97</v>
      </c>
      <c r="M46" t="s">
        <v>98</v>
      </c>
      <c r="N46" t="s">
        <v>284</v>
      </c>
      <c r="O46" t="s">
        <v>82</v>
      </c>
      <c r="P46" t="str">
        <f>"4170036701                    "</f>
        <v xml:space="preserve">4170036701                    </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17.27</v>
      </c>
      <c r="AR46">
        <v>0</v>
      </c>
      <c r="AS46">
        <v>0</v>
      </c>
      <c r="AT46">
        <v>0</v>
      </c>
      <c r="AU46">
        <v>0</v>
      </c>
      <c r="AV46">
        <v>0</v>
      </c>
      <c r="AW46">
        <v>0</v>
      </c>
      <c r="AX46">
        <v>0</v>
      </c>
      <c r="AY46">
        <v>0</v>
      </c>
      <c r="AZ46">
        <v>0</v>
      </c>
      <c r="BA46">
        <v>0</v>
      </c>
      <c r="BB46">
        <v>0</v>
      </c>
      <c r="BC46">
        <v>0</v>
      </c>
      <c r="BD46">
        <v>0</v>
      </c>
      <c r="BE46">
        <v>0</v>
      </c>
      <c r="BF46">
        <v>0</v>
      </c>
      <c r="BG46">
        <v>0</v>
      </c>
      <c r="BH46">
        <v>1</v>
      </c>
      <c r="BI46">
        <v>2</v>
      </c>
      <c r="BJ46">
        <v>1.9</v>
      </c>
      <c r="BK46">
        <v>2</v>
      </c>
      <c r="BL46">
        <v>55.23</v>
      </c>
      <c r="BM46">
        <v>8.2799999999999994</v>
      </c>
      <c r="BN46">
        <v>63.51</v>
      </c>
      <c r="BO46">
        <v>63.51</v>
      </c>
      <c r="BQ46" t="s">
        <v>285</v>
      </c>
      <c r="BR46" t="s">
        <v>84</v>
      </c>
      <c r="BS46" s="3">
        <v>45782</v>
      </c>
      <c r="BT46" s="4">
        <v>0.3659722222222222</v>
      </c>
      <c r="BU46" t="s">
        <v>286</v>
      </c>
      <c r="BV46" t="s">
        <v>86</v>
      </c>
      <c r="BY46">
        <v>9576</v>
      </c>
      <c r="CA46" t="s">
        <v>279</v>
      </c>
      <c r="CC46" t="s">
        <v>98</v>
      </c>
      <c r="CD46">
        <v>1459</v>
      </c>
      <c r="CE46" t="s">
        <v>116</v>
      </c>
      <c r="CF46" s="3">
        <v>45783</v>
      </c>
      <c r="CI46">
        <v>1</v>
      </c>
      <c r="CJ46">
        <v>1</v>
      </c>
      <c r="CK46">
        <v>22</v>
      </c>
      <c r="CL46" t="s">
        <v>89</v>
      </c>
    </row>
    <row r="47" spans="1:90" x14ac:dyDescent="0.3">
      <c r="A47" t="s">
        <v>72</v>
      </c>
      <c r="B47" t="s">
        <v>73</v>
      </c>
      <c r="C47" t="s">
        <v>74</v>
      </c>
      <c r="E47" t="str">
        <f>"080065129392"</f>
        <v>080065129392</v>
      </c>
      <c r="F47" s="3">
        <v>45779</v>
      </c>
      <c r="G47">
        <v>202602</v>
      </c>
      <c r="H47" t="s">
        <v>75</v>
      </c>
      <c r="I47" t="s">
        <v>76</v>
      </c>
      <c r="J47" t="s">
        <v>77</v>
      </c>
      <c r="K47" t="s">
        <v>78</v>
      </c>
      <c r="L47" t="s">
        <v>287</v>
      </c>
      <c r="M47" t="s">
        <v>288</v>
      </c>
      <c r="N47" t="s">
        <v>289</v>
      </c>
      <c r="O47" t="s">
        <v>82</v>
      </c>
      <c r="P47" t="str">
        <f>"4170036726                    "</f>
        <v xml:space="preserve">4170036726                    </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42.84</v>
      </c>
      <c r="AR47">
        <v>0</v>
      </c>
      <c r="AS47">
        <v>0</v>
      </c>
      <c r="AT47">
        <v>0</v>
      </c>
      <c r="AU47">
        <v>0</v>
      </c>
      <c r="AV47">
        <v>0</v>
      </c>
      <c r="AW47">
        <v>0</v>
      </c>
      <c r="AX47">
        <v>0</v>
      </c>
      <c r="AY47">
        <v>0</v>
      </c>
      <c r="AZ47">
        <v>0</v>
      </c>
      <c r="BA47">
        <v>0</v>
      </c>
      <c r="BB47">
        <v>0</v>
      </c>
      <c r="BC47">
        <v>0</v>
      </c>
      <c r="BD47">
        <v>0</v>
      </c>
      <c r="BE47">
        <v>0</v>
      </c>
      <c r="BF47">
        <v>0</v>
      </c>
      <c r="BG47">
        <v>0</v>
      </c>
      <c r="BH47">
        <v>1</v>
      </c>
      <c r="BI47">
        <v>1</v>
      </c>
      <c r="BJ47">
        <v>1.1000000000000001</v>
      </c>
      <c r="BK47">
        <v>1.5</v>
      </c>
      <c r="BL47">
        <v>137</v>
      </c>
      <c r="BM47">
        <v>20.55</v>
      </c>
      <c r="BN47">
        <v>157.55000000000001</v>
      </c>
      <c r="BO47">
        <v>157.55000000000001</v>
      </c>
      <c r="BQ47" t="s">
        <v>290</v>
      </c>
      <c r="BR47" t="s">
        <v>84</v>
      </c>
      <c r="BS47" s="3">
        <v>45782</v>
      </c>
      <c r="BT47" s="4">
        <v>0.52638888888888891</v>
      </c>
      <c r="BU47" t="s">
        <v>291</v>
      </c>
      <c r="BV47" t="s">
        <v>86</v>
      </c>
      <c r="BY47">
        <v>5320</v>
      </c>
      <c r="CA47" t="s">
        <v>292</v>
      </c>
      <c r="CC47" t="s">
        <v>288</v>
      </c>
      <c r="CD47">
        <v>6715</v>
      </c>
      <c r="CE47" t="s">
        <v>116</v>
      </c>
      <c r="CF47" s="3">
        <v>45783</v>
      </c>
      <c r="CI47">
        <v>2</v>
      </c>
      <c r="CJ47">
        <v>1</v>
      </c>
      <c r="CK47">
        <v>23</v>
      </c>
      <c r="CL47" t="s">
        <v>89</v>
      </c>
    </row>
    <row r="48" spans="1:90" x14ac:dyDescent="0.3">
      <c r="A48" t="s">
        <v>72</v>
      </c>
      <c r="B48" t="s">
        <v>73</v>
      </c>
      <c r="C48" t="s">
        <v>74</v>
      </c>
      <c r="E48" t="str">
        <f>"080065129409"</f>
        <v>080065129409</v>
      </c>
      <c r="F48" s="3">
        <v>45779</v>
      </c>
      <c r="G48">
        <v>202602</v>
      </c>
      <c r="H48" t="s">
        <v>75</v>
      </c>
      <c r="I48" t="s">
        <v>76</v>
      </c>
      <c r="J48" t="s">
        <v>77</v>
      </c>
      <c r="K48" t="s">
        <v>78</v>
      </c>
      <c r="L48" t="s">
        <v>90</v>
      </c>
      <c r="M48" t="s">
        <v>91</v>
      </c>
      <c r="N48" t="s">
        <v>293</v>
      </c>
      <c r="O48" t="s">
        <v>82</v>
      </c>
      <c r="P48" t="str">
        <f>"4170036660                    "</f>
        <v xml:space="preserve">4170036660                    </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22.11</v>
      </c>
      <c r="AR48">
        <v>0</v>
      </c>
      <c r="AS48">
        <v>0</v>
      </c>
      <c r="AT48">
        <v>0</v>
      </c>
      <c r="AU48">
        <v>0</v>
      </c>
      <c r="AV48">
        <v>0</v>
      </c>
      <c r="AW48">
        <v>0</v>
      </c>
      <c r="AX48">
        <v>0</v>
      </c>
      <c r="AY48">
        <v>0</v>
      </c>
      <c r="AZ48">
        <v>0</v>
      </c>
      <c r="BA48">
        <v>0</v>
      </c>
      <c r="BB48">
        <v>0</v>
      </c>
      <c r="BC48">
        <v>0</v>
      </c>
      <c r="BD48">
        <v>0</v>
      </c>
      <c r="BE48">
        <v>0</v>
      </c>
      <c r="BF48">
        <v>0</v>
      </c>
      <c r="BG48">
        <v>0</v>
      </c>
      <c r="BH48">
        <v>1</v>
      </c>
      <c r="BI48">
        <v>1</v>
      </c>
      <c r="BJ48">
        <v>0.2</v>
      </c>
      <c r="BK48">
        <v>1</v>
      </c>
      <c r="BL48">
        <v>70.709999999999994</v>
      </c>
      <c r="BM48">
        <v>10.61</v>
      </c>
      <c r="BN48">
        <v>81.319999999999993</v>
      </c>
      <c r="BO48">
        <v>81.319999999999993</v>
      </c>
      <c r="BQ48" t="s">
        <v>294</v>
      </c>
      <c r="BR48" t="s">
        <v>84</v>
      </c>
      <c r="BS48" s="3">
        <v>45782</v>
      </c>
      <c r="BT48" s="4">
        <v>0.49166666666666664</v>
      </c>
      <c r="BU48" t="s">
        <v>295</v>
      </c>
      <c r="BV48" t="s">
        <v>89</v>
      </c>
      <c r="BW48" t="s">
        <v>296</v>
      </c>
      <c r="BX48" t="s">
        <v>297</v>
      </c>
      <c r="BY48">
        <v>1200</v>
      </c>
      <c r="CA48" t="s">
        <v>298</v>
      </c>
      <c r="CC48" t="s">
        <v>91</v>
      </c>
      <c r="CD48">
        <v>6000</v>
      </c>
      <c r="CE48" t="s">
        <v>88</v>
      </c>
      <c r="CF48" s="3">
        <v>45782</v>
      </c>
      <c r="CI48">
        <v>1</v>
      </c>
      <c r="CJ48">
        <v>1</v>
      </c>
      <c r="CK48">
        <v>21</v>
      </c>
      <c r="CL48" t="s">
        <v>89</v>
      </c>
    </row>
    <row r="49" spans="1:90" x14ac:dyDescent="0.3">
      <c r="A49" t="s">
        <v>72</v>
      </c>
      <c r="B49" t="s">
        <v>73</v>
      </c>
      <c r="C49" t="s">
        <v>74</v>
      </c>
      <c r="E49" t="str">
        <f>"080065129602"</f>
        <v>080065129602</v>
      </c>
      <c r="F49" s="3">
        <v>45779</v>
      </c>
      <c r="G49">
        <v>202602</v>
      </c>
      <c r="H49" t="s">
        <v>75</v>
      </c>
      <c r="I49" t="s">
        <v>76</v>
      </c>
      <c r="J49" t="s">
        <v>77</v>
      </c>
      <c r="K49" t="s">
        <v>78</v>
      </c>
      <c r="L49" t="s">
        <v>136</v>
      </c>
      <c r="M49" t="s">
        <v>137</v>
      </c>
      <c r="N49" t="s">
        <v>299</v>
      </c>
      <c r="O49" t="s">
        <v>300</v>
      </c>
      <c r="P49" t="str">
        <f>"4170032354                    "</f>
        <v xml:space="preserve">4170032354                    </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56.88</v>
      </c>
      <c r="AR49">
        <v>0</v>
      </c>
      <c r="AS49">
        <v>0</v>
      </c>
      <c r="AT49">
        <v>0</v>
      </c>
      <c r="AU49">
        <v>0</v>
      </c>
      <c r="AV49">
        <v>0</v>
      </c>
      <c r="AW49">
        <v>0</v>
      </c>
      <c r="AX49">
        <v>0</v>
      </c>
      <c r="AY49">
        <v>0</v>
      </c>
      <c r="AZ49">
        <v>0</v>
      </c>
      <c r="BA49">
        <v>0</v>
      </c>
      <c r="BB49">
        <v>0</v>
      </c>
      <c r="BC49">
        <v>0</v>
      </c>
      <c r="BD49">
        <v>0</v>
      </c>
      <c r="BE49">
        <v>0</v>
      </c>
      <c r="BF49">
        <v>0</v>
      </c>
      <c r="BG49">
        <v>0</v>
      </c>
      <c r="BH49">
        <v>1</v>
      </c>
      <c r="BI49">
        <v>23</v>
      </c>
      <c r="BJ49">
        <v>8.9</v>
      </c>
      <c r="BK49">
        <v>23</v>
      </c>
      <c r="BL49">
        <v>187.47</v>
      </c>
      <c r="BM49">
        <v>28.12</v>
      </c>
      <c r="BN49">
        <v>215.59</v>
      </c>
      <c r="BO49">
        <v>215.59</v>
      </c>
      <c r="BQ49" t="s">
        <v>301</v>
      </c>
      <c r="BR49" t="s">
        <v>84</v>
      </c>
      <c r="BS49" s="3">
        <v>45782</v>
      </c>
      <c r="BT49" s="4">
        <v>0.42152777777777778</v>
      </c>
      <c r="BU49" t="s">
        <v>302</v>
      </c>
      <c r="BV49" t="s">
        <v>86</v>
      </c>
      <c r="BY49">
        <v>44640</v>
      </c>
      <c r="BZ49" t="s">
        <v>303</v>
      </c>
      <c r="CA49" t="s">
        <v>253</v>
      </c>
      <c r="CC49" t="s">
        <v>137</v>
      </c>
      <c r="CD49" s="5" t="s">
        <v>254</v>
      </c>
      <c r="CE49" t="s">
        <v>96</v>
      </c>
      <c r="CF49" s="3">
        <v>45782</v>
      </c>
      <c r="CI49">
        <v>1</v>
      </c>
      <c r="CJ49">
        <v>1</v>
      </c>
      <c r="CK49">
        <v>41</v>
      </c>
      <c r="CL49" t="s">
        <v>89</v>
      </c>
    </row>
    <row r="50" spans="1:90" x14ac:dyDescent="0.3">
      <c r="A50" t="s">
        <v>72</v>
      </c>
      <c r="B50" t="s">
        <v>73</v>
      </c>
      <c r="C50" t="s">
        <v>74</v>
      </c>
      <c r="E50" t="str">
        <f>"080065129631"</f>
        <v>080065129631</v>
      </c>
      <c r="F50" s="3">
        <v>45779</v>
      </c>
      <c r="G50">
        <v>202602</v>
      </c>
      <c r="H50" t="s">
        <v>75</v>
      </c>
      <c r="I50" t="s">
        <v>76</v>
      </c>
      <c r="J50" t="s">
        <v>77</v>
      </c>
      <c r="K50" t="s">
        <v>78</v>
      </c>
      <c r="L50" t="s">
        <v>117</v>
      </c>
      <c r="M50" t="s">
        <v>118</v>
      </c>
      <c r="N50" t="s">
        <v>304</v>
      </c>
      <c r="O50" t="s">
        <v>82</v>
      </c>
      <c r="P50" t="str">
        <f>"4170036651                    "</f>
        <v xml:space="preserve">4170036651                    </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17.27</v>
      </c>
      <c r="AR50">
        <v>0</v>
      </c>
      <c r="AS50">
        <v>0</v>
      </c>
      <c r="AT50">
        <v>0</v>
      </c>
      <c r="AU50">
        <v>0</v>
      </c>
      <c r="AV50">
        <v>0</v>
      </c>
      <c r="AW50">
        <v>0</v>
      </c>
      <c r="AX50">
        <v>0</v>
      </c>
      <c r="AY50">
        <v>0</v>
      </c>
      <c r="AZ50">
        <v>0</v>
      </c>
      <c r="BA50">
        <v>0</v>
      </c>
      <c r="BB50">
        <v>0</v>
      </c>
      <c r="BC50">
        <v>0</v>
      </c>
      <c r="BD50">
        <v>0</v>
      </c>
      <c r="BE50">
        <v>0</v>
      </c>
      <c r="BF50">
        <v>0</v>
      </c>
      <c r="BG50">
        <v>0</v>
      </c>
      <c r="BH50">
        <v>1</v>
      </c>
      <c r="BI50">
        <v>2</v>
      </c>
      <c r="BJ50">
        <v>1.1000000000000001</v>
      </c>
      <c r="BK50">
        <v>2</v>
      </c>
      <c r="BL50">
        <v>55.23</v>
      </c>
      <c r="BM50">
        <v>8.2799999999999994</v>
      </c>
      <c r="BN50">
        <v>63.51</v>
      </c>
      <c r="BO50">
        <v>63.51</v>
      </c>
      <c r="BQ50" t="s">
        <v>305</v>
      </c>
      <c r="BR50" t="s">
        <v>84</v>
      </c>
      <c r="BS50" s="3">
        <v>45782</v>
      </c>
      <c r="BT50" s="4">
        <v>0.3611111111111111</v>
      </c>
      <c r="BU50" t="s">
        <v>306</v>
      </c>
      <c r="BV50" t="s">
        <v>86</v>
      </c>
      <c r="BY50">
        <v>5640</v>
      </c>
      <c r="BZ50" t="s">
        <v>127</v>
      </c>
      <c r="CC50" t="s">
        <v>118</v>
      </c>
      <c r="CD50">
        <v>2190</v>
      </c>
      <c r="CE50" t="s">
        <v>116</v>
      </c>
      <c r="CF50" s="3">
        <v>45783</v>
      </c>
      <c r="CI50">
        <v>1</v>
      </c>
      <c r="CJ50">
        <v>1</v>
      </c>
      <c r="CK50">
        <v>22</v>
      </c>
      <c r="CL50" t="s">
        <v>89</v>
      </c>
    </row>
    <row r="51" spans="1:90" x14ac:dyDescent="0.3">
      <c r="A51" t="s">
        <v>72</v>
      </c>
      <c r="B51" t="s">
        <v>73</v>
      </c>
      <c r="C51" t="s">
        <v>74</v>
      </c>
      <c r="E51" t="str">
        <f>"080065129665"</f>
        <v>080065129665</v>
      </c>
      <c r="F51" s="3">
        <v>45779</v>
      </c>
      <c r="G51">
        <v>202602</v>
      </c>
      <c r="H51" t="s">
        <v>75</v>
      </c>
      <c r="I51" t="s">
        <v>76</v>
      </c>
      <c r="J51" t="s">
        <v>77</v>
      </c>
      <c r="K51" t="s">
        <v>78</v>
      </c>
      <c r="L51" t="s">
        <v>117</v>
      </c>
      <c r="M51" t="s">
        <v>118</v>
      </c>
      <c r="N51" t="s">
        <v>307</v>
      </c>
      <c r="O51" t="s">
        <v>82</v>
      </c>
      <c r="P51" t="str">
        <f>"4170036723                    "</f>
        <v xml:space="preserve">4170036723                    </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17.27</v>
      </c>
      <c r="AR51">
        <v>0</v>
      </c>
      <c r="AS51">
        <v>0</v>
      </c>
      <c r="AT51">
        <v>0</v>
      </c>
      <c r="AU51">
        <v>0</v>
      </c>
      <c r="AV51">
        <v>0</v>
      </c>
      <c r="AW51">
        <v>0</v>
      </c>
      <c r="AX51">
        <v>0</v>
      </c>
      <c r="AY51">
        <v>0</v>
      </c>
      <c r="AZ51">
        <v>0</v>
      </c>
      <c r="BA51">
        <v>0</v>
      </c>
      <c r="BB51">
        <v>0</v>
      </c>
      <c r="BC51">
        <v>0</v>
      </c>
      <c r="BD51">
        <v>0</v>
      </c>
      <c r="BE51">
        <v>0</v>
      </c>
      <c r="BF51">
        <v>0</v>
      </c>
      <c r="BG51">
        <v>0</v>
      </c>
      <c r="BH51">
        <v>1</v>
      </c>
      <c r="BI51">
        <v>3</v>
      </c>
      <c r="BJ51">
        <v>1.4</v>
      </c>
      <c r="BK51">
        <v>3</v>
      </c>
      <c r="BL51">
        <v>55.23</v>
      </c>
      <c r="BM51">
        <v>8.2799999999999994</v>
      </c>
      <c r="BN51">
        <v>63.51</v>
      </c>
      <c r="BO51">
        <v>63.51</v>
      </c>
      <c r="BQ51" t="s">
        <v>308</v>
      </c>
      <c r="BR51" t="s">
        <v>84</v>
      </c>
      <c r="BS51" s="3">
        <v>45782</v>
      </c>
      <c r="BT51" s="4">
        <v>0.34791666666666665</v>
      </c>
      <c r="BU51" t="s">
        <v>309</v>
      </c>
      <c r="BV51" t="s">
        <v>86</v>
      </c>
      <c r="BY51">
        <v>7000</v>
      </c>
      <c r="CA51" t="s">
        <v>310</v>
      </c>
      <c r="CC51" t="s">
        <v>118</v>
      </c>
      <c r="CD51">
        <v>2191</v>
      </c>
      <c r="CE51" t="s">
        <v>116</v>
      </c>
      <c r="CF51" s="3">
        <v>45783</v>
      </c>
      <c r="CI51">
        <v>1</v>
      </c>
      <c r="CJ51">
        <v>1</v>
      </c>
      <c r="CK51">
        <v>22</v>
      </c>
      <c r="CL51" t="s">
        <v>89</v>
      </c>
    </row>
    <row r="52" spans="1:90" x14ac:dyDescent="0.3">
      <c r="A52" t="s">
        <v>72</v>
      </c>
      <c r="B52" t="s">
        <v>73</v>
      </c>
      <c r="C52" t="s">
        <v>74</v>
      </c>
      <c r="E52" t="str">
        <f>"080065129732"</f>
        <v>080065129732</v>
      </c>
      <c r="F52" s="3">
        <v>45779</v>
      </c>
      <c r="G52">
        <v>202602</v>
      </c>
      <c r="H52" t="s">
        <v>75</v>
      </c>
      <c r="I52" t="s">
        <v>76</v>
      </c>
      <c r="J52" t="s">
        <v>77</v>
      </c>
      <c r="K52" t="s">
        <v>78</v>
      </c>
      <c r="L52" t="s">
        <v>311</v>
      </c>
      <c r="M52" t="s">
        <v>312</v>
      </c>
      <c r="N52" t="s">
        <v>313</v>
      </c>
      <c r="O52" t="s">
        <v>82</v>
      </c>
      <c r="P52" t="str">
        <f>"4170036673                    "</f>
        <v xml:space="preserve">4170036673                    </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17.27</v>
      </c>
      <c r="AR52">
        <v>0</v>
      </c>
      <c r="AS52">
        <v>0</v>
      </c>
      <c r="AT52">
        <v>0</v>
      </c>
      <c r="AU52">
        <v>0</v>
      </c>
      <c r="AV52">
        <v>0</v>
      </c>
      <c r="AW52">
        <v>0</v>
      </c>
      <c r="AX52">
        <v>0</v>
      </c>
      <c r="AY52">
        <v>0</v>
      </c>
      <c r="AZ52">
        <v>0</v>
      </c>
      <c r="BA52">
        <v>0</v>
      </c>
      <c r="BB52">
        <v>0</v>
      </c>
      <c r="BC52">
        <v>0</v>
      </c>
      <c r="BD52">
        <v>0</v>
      </c>
      <c r="BE52">
        <v>0</v>
      </c>
      <c r="BF52">
        <v>0</v>
      </c>
      <c r="BG52">
        <v>0</v>
      </c>
      <c r="BH52">
        <v>1</v>
      </c>
      <c r="BI52">
        <v>2</v>
      </c>
      <c r="BJ52">
        <v>3.4</v>
      </c>
      <c r="BK52">
        <v>4</v>
      </c>
      <c r="BL52">
        <v>55.23</v>
      </c>
      <c r="BM52">
        <v>8.2799999999999994</v>
      </c>
      <c r="BN52">
        <v>63.51</v>
      </c>
      <c r="BO52">
        <v>63.51</v>
      </c>
      <c r="BQ52" t="s">
        <v>314</v>
      </c>
      <c r="BR52" t="s">
        <v>84</v>
      </c>
      <c r="BS52" s="3">
        <v>45782</v>
      </c>
      <c r="BT52" s="4">
        <v>0.375</v>
      </c>
      <c r="BU52" t="s">
        <v>315</v>
      </c>
      <c r="BV52" t="s">
        <v>86</v>
      </c>
      <c r="BY52">
        <v>16965</v>
      </c>
      <c r="CA52" t="s">
        <v>316</v>
      </c>
      <c r="CC52" t="s">
        <v>312</v>
      </c>
      <c r="CD52">
        <v>1501</v>
      </c>
      <c r="CE52" t="s">
        <v>96</v>
      </c>
      <c r="CF52" s="3">
        <v>45782</v>
      </c>
      <c r="CI52">
        <v>1</v>
      </c>
      <c r="CJ52">
        <v>1</v>
      </c>
      <c r="CK52">
        <v>22</v>
      </c>
      <c r="CL52" t="s">
        <v>89</v>
      </c>
    </row>
    <row r="53" spans="1:90" x14ac:dyDescent="0.3">
      <c r="A53" t="s">
        <v>72</v>
      </c>
      <c r="B53" t="s">
        <v>73</v>
      </c>
      <c r="C53" t="s">
        <v>74</v>
      </c>
      <c r="E53" t="str">
        <f>"080065129844"</f>
        <v>080065129844</v>
      </c>
      <c r="F53" s="3">
        <v>45779</v>
      </c>
      <c r="G53">
        <v>202602</v>
      </c>
      <c r="H53" t="s">
        <v>75</v>
      </c>
      <c r="I53" t="s">
        <v>76</v>
      </c>
      <c r="J53" t="s">
        <v>77</v>
      </c>
      <c r="K53" t="s">
        <v>78</v>
      </c>
      <c r="L53" t="s">
        <v>123</v>
      </c>
      <c r="M53" t="s">
        <v>123</v>
      </c>
      <c r="N53" t="s">
        <v>317</v>
      </c>
      <c r="O53" t="s">
        <v>82</v>
      </c>
      <c r="P53" t="str">
        <f>"4170036661                    "</f>
        <v xml:space="preserve">4170036661                    </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42.84</v>
      </c>
      <c r="AR53">
        <v>0</v>
      </c>
      <c r="AS53">
        <v>0</v>
      </c>
      <c r="AT53">
        <v>0</v>
      </c>
      <c r="AU53">
        <v>0</v>
      </c>
      <c r="AV53">
        <v>0</v>
      </c>
      <c r="AW53">
        <v>0</v>
      </c>
      <c r="AX53">
        <v>0</v>
      </c>
      <c r="AY53">
        <v>0</v>
      </c>
      <c r="AZ53">
        <v>0</v>
      </c>
      <c r="BA53">
        <v>0</v>
      </c>
      <c r="BB53">
        <v>0</v>
      </c>
      <c r="BC53">
        <v>0</v>
      </c>
      <c r="BD53">
        <v>0</v>
      </c>
      <c r="BE53">
        <v>0</v>
      </c>
      <c r="BF53">
        <v>0</v>
      </c>
      <c r="BG53">
        <v>0</v>
      </c>
      <c r="BH53">
        <v>1</v>
      </c>
      <c r="BI53">
        <v>1</v>
      </c>
      <c r="BJ53">
        <v>0.2</v>
      </c>
      <c r="BK53">
        <v>1</v>
      </c>
      <c r="BL53">
        <v>137</v>
      </c>
      <c r="BM53">
        <v>20.55</v>
      </c>
      <c r="BN53">
        <v>157.55000000000001</v>
      </c>
      <c r="BO53">
        <v>157.55000000000001</v>
      </c>
      <c r="BQ53" t="s">
        <v>318</v>
      </c>
      <c r="BR53" t="s">
        <v>84</v>
      </c>
      <c r="BS53" s="3">
        <v>45782</v>
      </c>
      <c r="BT53" s="4">
        <v>0.47916666666666669</v>
      </c>
      <c r="BU53" t="s">
        <v>319</v>
      </c>
      <c r="BV53" t="s">
        <v>86</v>
      </c>
      <c r="BY53">
        <v>1200</v>
      </c>
      <c r="CA53" t="s">
        <v>128</v>
      </c>
      <c r="CC53" t="s">
        <v>123</v>
      </c>
      <c r="CD53">
        <v>7646</v>
      </c>
      <c r="CE53" t="s">
        <v>88</v>
      </c>
      <c r="CF53" s="3">
        <v>45783</v>
      </c>
      <c r="CI53">
        <v>1</v>
      </c>
      <c r="CJ53">
        <v>1</v>
      </c>
      <c r="CK53">
        <v>23</v>
      </c>
      <c r="CL53" t="s">
        <v>89</v>
      </c>
    </row>
    <row r="54" spans="1:90" x14ac:dyDescent="0.3">
      <c r="A54" t="s">
        <v>72</v>
      </c>
      <c r="B54" t="s">
        <v>73</v>
      </c>
      <c r="C54" t="s">
        <v>74</v>
      </c>
      <c r="E54" t="str">
        <f>"080065129861"</f>
        <v>080065129861</v>
      </c>
      <c r="F54" s="3">
        <v>45779</v>
      </c>
      <c r="G54">
        <v>202602</v>
      </c>
      <c r="H54" t="s">
        <v>75</v>
      </c>
      <c r="I54" t="s">
        <v>76</v>
      </c>
      <c r="J54" t="s">
        <v>77</v>
      </c>
      <c r="K54" t="s">
        <v>78</v>
      </c>
      <c r="L54" t="s">
        <v>320</v>
      </c>
      <c r="M54" t="s">
        <v>321</v>
      </c>
      <c r="N54" t="s">
        <v>322</v>
      </c>
      <c r="O54" t="s">
        <v>82</v>
      </c>
      <c r="P54" t="str">
        <f>"4170036700                    "</f>
        <v xml:space="preserve">4170036700                    </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22.11</v>
      </c>
      <c r="AR54">
        <v>0</v>
      </c>
      <c r="AS54">
        <v>0</v>
      </c>
      <c r="AT54">
        <v>0</v>
      </c>
      <c r="AU54">
        <v>0</v>
      </c>
      <c r="AV54">
        <v>0</v>
      </c>
      <c r="AW54">
        <v>0</v>
      </c>
      <c r="AX54">
        <v>0</v>
      </c>
      <c r="AY54">
        <v>0</v>
      </c>
      <c r="AZ54">
        <v>0</v>
      </c>
      <c r="BA54">
        <v>0</v>
      </c>
      <c r="BB54">
        <v>0</v>
      </c>
      <c r="BC54">
        <v>0</v>
      </c>
      <c r="BD54">
        <v>0</v>
      </c>
      <c r="BE54">
        <v>0</v>
      </c>
      <c r="BF54">
        <v>0</v>
      </c>
      <c r="BG54">
        <v>0</v>
      </c>
      <c r="BH54">
        <v>1</v>
      </c>
      <c r="BI54">
        <v>1</v>
      </c>
      <c r="BJ54">
        <v>0.2</v>
      </c>
      <c r="BK54">
        <v>1</v>
      </c>
      <c r="BL54">
        <v>70.709999999999994</v>
      </c>
      <c r="BM54">
        <v>10.61</v>
      </c>
      <c r="BN54">
        <v>81.319999999999993</v>
      </c>
      <c r="BO54">
        <v>81.319999999999993</v>
      </c>
      <c r="BQ54" t="s">
        <v>323</v>
      </c>
      <c r="BR54" t="s">
        <v>84</v>
      </c>
      <c r="BS54" s="3">
        <v>45782</v>
      </c>
      <c r="BT54" s="4">
        <v>0.60277777777777775</v>
      </c>
      <c r="BU54" t="s">
        <v>324</v>
      </c>
      <c r="BV54" t="s">
        <v>89</v>
      </c>
      <c r="BW54" t="s">
        <v>296</v>
      </c>
      <c r="BX54" t="s">
        <v>325</v>
      </c>
      <c r="BY54">
        <v>1200</v>
      </c>
      <c r="CA54" t="s">
        <v>326</v>
      </c>
      <c r="CC54" t="s">
        <v>321</v>
      </c>
      <c r="CD54">
        <v>4113</v>
      </c>
      <c r="CE54" t="s">
        <v>88</v>
      </c>
      <c r="CF54" s="3">
        <v>45783</v>
      </c>
      <c r="CI54">
        <v>1</v>
      </c>
      <c r="CJ54">
        <v>1</v>
      </c>
      <c r="CK54">
        <v>21</v>
      </c>
      <c r="CL54" t="s">
        <v>89</v>
      </c>
    </row>
    <row r="55" spans="1:90" x14ac:dyDescent="0.3">
      <c r="A55" t="s">
        <v>72</v>
      </c>
      <c r="B55" t="s">
        <v>73</v>
      </c>
      <c r="C55" t="s">
        <v>74</v>
      </c>
      <c r="E55" t="str">
        <f>"080065129876"</f>
        <v>080065129876</v>
      </c>
      <c r="F55" s="3">
        <v>45779</v>
      </c>
      <c r="G55">
        <v>202602</v>
      </c>
      <c r="H55" t="s">
        <v>75</v>
      </c>
      <c r="I55" t="s">
        <v>76</v>
      </c>
      <c r="J55" t="s">
        <v>77</v>
      </c>
      <c r="K55" t="s">
        <v>78</v>
      </c>
      <c r="L55" t="s">
        <v>103</v>
      </c>
      <c r="M55" t="s">
        <v>104</v>
      </c>
      <c r="N55" t="s">
        <v>228</v>
      </c>
      <c r="O55" t="s">
        <v>82</v>
      </c>
      <c r="P55" t="str">
        <f>"4170036702                    "</f>
        <v xml:space="preserve">4170036702                    </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22.11</v>
      </c>
      <c r="AR55">
        <v>0</v>
      </c>
      <c r="AS55">
        <v>0</v>
      </c>
      <c r="AT55">
        <v>0</v>
      </c>
      <c r="AU55">
        <v>0</v>
      </c>
      <c r="AV55">
        <v>0</v>
      </c>
      <c r="AW55">
        <v>16.739999999999998</v>
      </c>
      <c r="AX55">
        <v>0</v>
      </c>
      <c r="AY55">
        <v>0</v>
      </c>
      <c r="AZ55">
        <v>0</v>
      </c>
      <c r="BA55">
        <v>0</v>
      </c>
      <c r="BB55">
        <v>0</v>
      </c>
      <c r="BC55">
        <v>0</v>
      </c>
      <c r="BD55">
        <v>0</v>
      </c>
      <c r="BE55">
        <v>0</v>
      </c>
      <c r="BF55">
        <v>0</v>
      </c>
      <c r="BG55">
        <v>0</v>
      </c>
      <c r="BH55">
        <v>1</v>
      </c>
      <c r="BI55">
        <v>1</v>
      </c>
      <c r="BJ55">
        <v>0.2</v>
      </c>
      <c r="BK55">
        <v>1</v>
      </c>
      <c r="BL55">
        <v>87.45</v>
      </c>
      <c r="BM55">
        <v>13.12</v>
      </c>
      <c r="BN55">
        <v>100.57</v>
      </c>
      <c r="BO55">
        <v>100.57</v>
      </c>
      <c r="BQ55" t="s">
        <v>229</v>
      </c>
      <c r="BR55" t="s">
        <v>84</v>
      </c>
      <c r="BS55" s="3">
        <v>45782</v>
      </c>
      <c r="BT55" s="4">
        <v>0.41666666666666669</v>
      </c>
      <c r="BU55" t="s">
        <v>230</v>
      </c>
      <c r="BV55" t="s">
        <v>86</v>
      </c>
      <c r="BY55">
        <v>1200</v>
      </c>
      <c r="BZ55" t="s">
        <v>30</v>
      </c>
      <c r="CA55" t="s">
        <v>231</v>
      </c>
      <c r="CC55" t="s">
        <v>104</v>
      </c>
      <c r="CD55">
        <v>3699</v>
      </c>
      <c r="CE55" t="s">
        <v>88</v>
      </c>
      <c r="CF55" s="3">
        <v>45783</v>
      </c>
      <c r="CI55">
        <v>1</v>
      </c>
      <c r="CJ55">
        <v>1</v>
      </c>
      <c r="CK55">
        <v>21</v>
      </c>
      <c r="CL55" t="s">
        <v>89</v>
      </c>
    </row>
    <row r="56" spans="1:90" x14ac:dyDescent="0.3">
      <c r="A56" t="s">
        <v>72</v>
      </c>
      <c r="B56" t="s">
        <v>73</v>
      </c>
      <c r="C56" t="s">
        <v>74</v>
      </c>
      <c r="E56" t="str">
        <f>"080065129885"</f>
        <v>080065129885</v>
      </c>
      <c r="F56" s="3">
        <v>45779</v>
      </c>
      <c r="G56">
        <v>202602</v>
      </c>
      <c r="H56" t="s">
        <v>75</v>
      </c>
      <c r="I56" t="s">
        <v>76</v>
      </c>
      <c r="J56" t="s">
        <v>77</v>
      </c>
      <c r="K56" t="s">
        <v>78</v>
      </c>
      <c r="L56" t="s">
        <v>130</v>
      </c>
      <c r="M56" t="s">
        <v>131</v>
      </c>
      <c r="N56" t="s">
        <v>327</v>
      </c>
      <c r="O56" t="s">
        <v>82</v>
      </c>
      <c r="P56" t="str">
        <f>"4170036704                    "</f>
        <v xml:space="preserve">4170036704                    </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22.11</v>
      </c>
      <c r="AR56">
        <v>0</v>
      </c>
      <c r="AS56">
        <v>0</v>
      </c>
      <c r="AT56">
        <v>0</v>
      </c>
      <c r="AU56">
        <v>0</v>
      </c>
      <c r="AV56">
        <v>0</v>
      </c>
      <c r="AW56">
        <v>0</v>
      </c>
      <c r="AX56">
        <v>0</v>
      </c>
      <c r="AY56">
        <v>0</v>
      </c>
      <c r="AZ56">
        <v>0</v>
      </c>
      <c r="BA56">
        <v>0</v>
      </c>
      <c r="BB56">
        <v>0</v>
      </c>
      <c r="BC56">
        <v>0</v>
      </c>
      <c r="BD56">
        <v>0</v>
      </c>
      <c r="BE56">
        <v>0</v>
      </c>
      <c r="BF56">
        <v>0</v>
      </c>
      <c r="BG56">
        <v>0</v>
      </c>
      <c r="BH56">
        <v>1</v>
      </c>
      <c r="BI56">
        <v>1</v>
      </c>
      <c r="BJ56">
        <v>0.2</v>
      </c>
      <c r="BK56">
        <v>1</v>
      </c>
      <c r="BL56">
        <v>70.709999999999994</v>
      </c>
      <c r="BM56">
        <v>10.61</v>
      </c>
      <c r="BN56">
        <v>81.319999999999993</v>
      </c>
      <c r="BO56">
        <v>81.319999999999993</v>
      </c>
      <c r="BQ56" t="s">
        <v>328</v>
      </c>
      <c r="BR56" t="s">
        <v>84</v>
      </c>
      <c r="BS56" s="3">
        <v>45782</v>
      </c>
      <c r="BT56" s="4">
        <v>0.38194444444444442</v>
      </c>
      <c r="BU56" t="s">
        <v>329</v>
      </c>
      <c r="BV56" t="s">
        <v>86</v>
      </c>
      <c r="BY56">
        <v>1200</v>
      </c>
      <c r="CA56" t="s">
        <v>330</v>
      </c>
      <c r="CC56" t="s">
        <v>131</v>
      </c>
      <c r="CD56">
        <v>7480</v>
      </c>
      <c r="CE56" t="s">
        <v>88</v>
      </c>
      <c r="CF56" s="3">
        <v>45783</v>
      </c>
      <c r="CI56">
        <v>1</v>
      </c>
      <c r="CJ56">
        <v>1</v>
      </c>
      <c r="CK56">
        <v>21</v>
      </c>
      <c r="CL56" t="s">
        <v>89</v>
      </c>
    </row>
    <row r="57" spans="1:90" x14ac:dyDescent="0.3">
      <c r="A57" t="s">
        <v>72</v>
      </c>
      <c r="B57" t="s">
        <v>73</v>
      </c>
      <c r="C57" t="s">
        <v>74</v>
      </c>
      <c r="E57" t="str">
        <f>"080065129905"</f>
        <v>080065129905</v>
      </c>
      <c r="F57" s="3">
        <v>45779</v>
      </c>
      <c r="G57">
        <v>202602</v>
      </c>
      <c r="H57" t="s">
        <v>75</v>
      </c>
      <c r="I57" t="s">
        <v>76</v>
      </c>
      <c r="J57" t="s">
        <v>77</v>
      </c>
      <c r="K57" t="s">
        <v>78</v>
      </c>
      <c r="L57" t="s">
        <v>123</v>
      </c>
      <c r="M57" t="s">
        <v>123</v>
      </c>
      <c r="N57" t="s">
        <v>317</v>
      </c>
      <c r="O57" t="s">
        <v>82</v>
      </c>
      <c r="P57" t="str">
        <f>"4170036640                    "</f>
        <v xml:space="preserve">4170036640                    </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42.84</v>
      </c>
      <c r="AR57">
        <v>0</v>
      </c>
      <c r="AS57">
        <v>0</v>
      </c>
      <c r="AT57">
        <v>0</v>
      </c>
      <c r="AU57">
        <v>0</v>
      </c>
      <c r="AV57">
        <v>0</v>
      </c>
      <c r="AW57">
        <v>0</v>
      </c>
      <c r="AX57">
        <v>0</v>
      </c>
      <c r="AY57">
        <v>0</v>
      </c>
      <c r="AZ57">
        <v>0</v>
      </c>
      <c r="BA57">
        <v>0</v>
      </c>
      <c r="BB57">
        <v>0</v>
      </c>
      <c r="BC57">
        <v>0</v>
      </c>
      <c r="BD57">
        <v>0</v>
      </c>
      <c r="BE57">
        <v>0</v>
      </c>
      <c r="BF57">
        <v>0</v>
      </c>
      <c r="BG57">
        <v>0</v>
      </c>
      <c r="BH57">
        <v>1</v>
      </c>
      <c r="BI57">
        <v>1</v>
      </c>
      <c r="BJ57">
        <v>0.2</v>
      </c>
      <c r="BK57">
        <v>1</v>
      </c>
      <c r="BL57">
        <v>137</v>
      </c>
      <c r="BM57">
        <v>20.55</v>
      </c>
      <c r="BN57">
        <v>157.55000000000001</v>
      </c>
      <c r="BO57">
        <v>157.55000000000001</v>
      </c>
      <c r="BQ57" t="s">
        <v>318</v>
      </c>
      <c r="BR57" t="s">
        <v>84</v>
      </c>
      <c r="BS57" s="3">
        <v>45782</v>
      </c>
      <c r="BT57" s="4">
        <v>0.47916666666666669</v>
      </c>
      <c r="BU57" t="s">
        <v>319</v>
      </c>
      <c r="BV57" t="s">
        <v>86</v>
      </c>
      <c r="BY57">
        <v>1200</v>
      </c>
      <c r="CA57" t="s">
        <v>128</v>
      </c>
      <c r="CC57" t="s">
        <v>123</v>
      </c>
      <c r="CD57">
        <v>7646</v>
      </c>
      <c r="CE57" t="s">
        <v>88</v>
      </c>
      <c r="CF57" s="3">
        <v>45783</v>
      </c>
      <c r="CI57">
        <v>1</v>
      </c>
      <c r="CJ57">
        <v>1</v>
      </c>
      <c r="CK57">
        <v>23</v>
      </c>
      <c r="CL57" t="s">
        <v>89</v>
      </c>
    </row>
    <row r="58" spans="1:90" x14ac:dyDescent="0.3">
      <c r="A58" t="s">
        <v>72</v>
      </c>
      <c r="B58" t="s">
        <v>73</v>
      </c>
      <c r="C58" t="s">
        <v>74</v>
      </c>
      <c r="E58" t="str">
        <f>"080065129926"</f>
        <v>080065129926</v>
      </c>
      <c r="F58" s="3">
        <v>45779</v>
      </c>
      <c r="G58">
        <v>202602</v>
      </c>
      <c r="H58" t="s">
        <v>75</v>
      </c>
      <c r="I58" t="s">
        <v>76</v>
      </c>
      <c r="J58" t="s">
        <v>77</v>
      </c>
      <c r="K58" t="s">
        <v>78</v>
      </c>
      <c r="L58" t="s">
        <v>130</v>
      </c>
      <c r="M58" t="s">
        <v>131</v>
      </c>
      <c r="N58" t="s">
        <v>327</v>
      </c>
      <c r="O58" t="s">
        <v>82</v>
      </c>
      <c r="P58" t="str">
        <f>"4170036674                    "</f>
        <v xml:space="preserve">4170036674                    </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22.11</v>
      </c>
      <c r="AR58">
        <v>0</v>
      </c>
      <c r="AS58">
        <v>0</v>
      </c>
      <c r="AT58">
        <v>0</v>
      </c>
      <c r="AU58">
        <v>0</v>
      </c>
      <c r="AV58">
        <v>0</v>
      </c>
      <c r="AW58">
        <v>0</v>
      </c>
      <c r="AX58">
        <v>0</v>
      </c>
      <c r="AY58">
        <v>0</v>
      </c>
      <c r="AZ58">
        <v>0</v>
      </c>
      <c r="BA58">
        <v>0</v>
      </c>
      <c r="BB58">
        <v>0</v>
      </c>
      <c r="BC58">
        <v>0</v>
      </c>
      <c r="BD58">
        <v>0</v>
      </c>
      <c r="BE58">
        <v>0</v>
      </c>
      <c r="BF58">
        <v>0</v>
      </c>
      <c r="BG58">
        <v>0</v>
      </c>
      <c r="BH58">
        <v>1</v>
      </c>
      <c r="BI58">
        <v>1</v>
      </c>
      <c r="BJ58">
        <v>0.2</v>
      </c>
      <c r="BK58">
        <v>1</v>
      </c>
      <c r="BL58">
        <v>70.709999999999994</v>
      </c>
      <c r="BM58">
        <v>10.61</v>
      </c>
      <c r="BN58">
        <v>81.319999999999993</v>
      </c>
      <c r="BO58">
        <v>81.319999999999993</v>
      </c>
      <c r="BQ58" t="s">
        <v>328</v>
      </c>
      <c r="BR58" t="s">
        <v>84</v>
      </c>
      <c r="BS58" s="3">
        <v>45782</v>
      </c>
      <c r="BT58" s="4">
        <v>0.38194444444444442</v>
      </c>
      <c r="BU58" t="s">
        <v>329</v>
      </c>
      <c r="BV58" t="s">
        <v>86</v>
      </c>
      <c r="BY58">
        <v>1200</v>
      </c>
      <c r="CA58" t="s">
        <v>330</v>
      </c>
      <c r="CC58" t="s">
        <v>131</v>
      </c>
      <c r="CD58">
        <v>7480</v>
      </c>
      <c r="CE58" t="s">
        <v>88</v>
      </c>
      <c r="CF58" s="3">
        <v>45783</v>
      </c>
      <c r="CI58">
        <v>1</v>
      </c>
      <c r="CJ58">
        <v>1</v>
      </c>
      <c r="CK58">
        <v>21</v>
      </c>
      <c r="CL58" t="s">
        <v>89</v>
      </c>
    </row>
    <row r="59" spans="1:90" x14ac:dyDescent="0.3">
      <c r="A59" t="s">
        <v>72</v>
      </c>
      <c r="B59" t="s">
        <v>73</v>
      </c>
      <c r="C59" t="s">
        <v>74</v>
      </c>
      <c r="E59" t="str">
        <f>"080065129946"</f>
        <v>080065129946</v>
      </c>
      <c r="F59" s="3">
        <v>45779</v>
      </c>
      <c r="G59">
        <v>202602</v>
      </c>
      <c r="H59" t="s">
        <v>75</v>
      </c>
      <c r="I59" t="s">
        <v>76</v>
      </c>
      <c r="J59" t="s">
        <v>77</v>
      </c>
      <c r="K59" t="s">
        <v>78</v>
      </c>
      <c r="L59" t="s">
        <v>331</v>
      </c>
      <c r="M59" t="s">
        <v>332</v>
      </c>
      <c r="N59" t="s">
        <v>333</v>
      </c>
      <c r="O59" t="s">
        <v>82</v>
      </c>
      <c r="P59" t="str">
        <f>"4170036691                    "</f>
        <v xml:space="preserve">4170036691                    </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17.27</v>
      </c>
      <c r="AR59">
        <v>0</v>
      </c>
      <c r="AS59">
        <v>0</v>
      </c>
      <c r="AT59">
        <v>0</v>
      </c>
      <c r="AU59">
        <v>0</v>
      </c>
      <c r="AV59">
        <v>0</v>
      </c>
      <c r="AW59">
        <v>0</v>
      </c>
      <c r="AX59">
        <v>0</v>
      </c>
      <c r="AY59">
        <v>0</v>
      </c>
      <c r="AZ59">
        <v>0</v>
      </c>
      <c r="BA59">
        <v>0</v>
      </c>
      <c r="BB59">
        <v>0</v>
      </c>
      <c r="BC59">
        <v>0</v>
      </c>
      <c r="BD59">
        <v>0</v>
      </c>
      <c r="BE59">
        <v>0</v>
      </c>
      <c r="BF59">
        <v>0</v>
      </c>
      <c r="BG59">
        <v>0</v>
      </c>
      <c r="BH59">
        <v>1</v>
      </c>
      <c r="BI59">
        <v>1</v>
      </c>
      <c r="BJ59">
        <v>1.4</v>
      </c>
      <c r="BK59">
        <v>2</v>
      </c>
      <c r="BL59">
        <v>55.23</v>
      </c>
      <c r="BM59">
        <v>8.2799999999999994</v>
      </c>
      <c r="BN59">
        <v>63.51</v>
      </c>
      <c r="BO59">
        <v>63.51</v>
      </c>
      <c r="BQ59" t="s">
        <v>334</v>
      </c>
      <c r="BR59" t="s">
        <v>84</v>
      </c>
      <c r="BS59" s="3">
        <v>45782</v>
      </c>
      <c r="BT59" s="4">
        <v>0.43402777777777779</v>
      </c>
      <c r="BU59" t="s">
        <v>335</v>
      </c>
      <c r="BV59" t="s">
        <v>86</v>
      </c>
      <c r="BY59">
        <v>7000</v>
      </c>
      <c r="CA59" t="s">
        <v>336</v>
      </c>
      <c r="CC59" t="s">
        <v>332</v>
      </c>
      <c r="CD59">
        <v>1451</v>
      </c>
      <c r="CE59" t="s">
        <v>116</v>
      </c>
      <c r="CF59" s="3">
        <v>45783</v>
      </c>
      <c r="CI59">
        <v>1</v>
      </c>
      <c r="CJ59">
        <v>1</v>
      </c>
      <c r="CK59">
        <v>22</v>
      </c>
      <c r="CL59" t="s">
        <v>89</v>
      </c>
    </row>
    <row r="60" spans="1:90" x14ac:dyDescent="0.3">
      <c r="A60" t="s">
        <v>72</v>
      </c>
      <c r="B60" t="s">
        <v>73</v>
      </c>
      <c r="C60" t="s">
        <v>74</v>
      </c>
      <c r="E60" t="str">
        <f>"080065129985"</f>
        <v>080065129985</v>
      </c>
      <c r="F60" s="3">
        <v>45779</v>
      </c>
      <c r="G60">
        <v>202602</v>
      </c>
      <c r="H60" t="s">
        <v>75</v>
      </c>
      <c r="I60" t="s">
        <v>76</v>
      </c>
      <c r="J60" t="s">
        <v>77</v>
      </c>
      <c r="K60" t="s">
        <v>78</v>
      </c>
      <c r="L60" t="s">
        <v>130</v>
      </c>
      <c r="M60" t="s">
        <v>131</v>
      </c>
      <c r="N60" t="s">
        <v>337</v>
      </c>
      <c r="O60" t="s">
        <v>82</v>
      </c>
      <c r="P60" t="str">
        <f>"4170036718                    "</f>
        <v xml:space="preserve">4170036718                    </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22.11</v>
      </c>
      <c r="AR60">
        <v>0</v>
      </c>
      <c r="AS60">
        <v>0</v>
      </c>
      <c r="AT60">
        <v>0</v>
      </c>
      <c r="AU60">
        <v>0</v>
      </c>
      <c r="AV60">
        <v>0</v>
      </c>
      <c r="AW60">
        <v>0</v>
      </c>
      <c r="AX60">
        <v>0</v>
      </c>
      <c r="AY60">
        <v>0</v>
      </c>
      <c r="AZ60">
        <v>0</v>
      </c>
      <c r="BA60">
        <v>0</v>
      </c>
      <c r="BB60">
        <v>0</v>
      </c>
      <c r="BC60">
        <v>0</v>
      </c>
      <c r="BD60">
        <v>0</v>
      </c>
      <c r="BE60">
        <v>0</v>
      </c>
      <c r="BF60">
        <v>0</v>
      </c>
      <c r="BG60">
        <v>0</v>
      </c>
      <c r="BH60">
        <v>1</v>
      </c>
      <c r="BI60">
        <v>1</v>
      </c>
      <c r="BJ60">
        <v>0.9</v>
      </c>
      <c r="BK60">
        <v>1</v>
      </c>
      <c r="BL60">
        <v>70.709999999999994</v>
      </c>
      <c r="BM60">
        <v>10.61</v>
      </c>
      <c r="BN60">
        <v>81.319999999999993</v>
      </c>
      <c r="BO60">
        <v>81.319999999999993</v>
      </c>
      <c r="BQ60" t="s">
        <v>338</v>
      </c>
      <c r="BR60" t="s">
        <v>84</v>
      </c>
      <c r="BS60" s="3">
        <v>45782</v>
      </c>
      <c r="BT60" s="4">
        <v>0.4548611111111111</v>
      </c>
      <c r="BU60" t="s">
        <v>339</v>
      </c>
      <c r="BV60" t="s">
        <v>89</v>
      </c>
      <c r="BW60" t="s">
        <v>340</v>
      </c>
      <c r="BX60" t="s">
        <v>341</v>
      </c>
      <c r="BY60">
        <v>4275</v>
      </c>
      <c r="CA60" t="s">
        <v>342</v>
      </c>
      <c r="CC60" t="s">
        <v>131</v>
      </c>
      <c r="CD60">
        <v>7800</v>
      </c>
      <c r="CE60" t="s">
        <v>116</v>
      </c>
      <c r="CF60" s="3">
        <v>45783</v>
      </c>
      <c r="CI60">
        <v>1</v>
      </c>
      <c r="CJ60">
        <v>1</v>
      </c>
      <c r="CK60">
        <v>21</v>
      </c>
      <c r="CL60" t="s">
        <v>89</v>
      </c>
    </row>
    <row r="61" spans="1:90" x14ac:dyDescent="0.3">
      <c r="A61" t="s">
        <v>72</v>
      </c>
      <c r="B61" t="s">
        <v>73</v>
      </c>
      <c r="C61" t="s">
        <v>74</v>
      </c>
      <c r="E61" t="str">
        <f>"080065130464"</f>
        <v>080065130464</v>
      </c>
      <c r="F61" s="3">
        <v>45779</v>
      </c>
      <c r="G61">
        <v>202602</v>
      </c>
      <c r="H61" t="s">
        <v>75</v>
      </c>
      <c r="I61" t="s">
        <v>76</v>
      </c>
      <c r="J61" t="s">
        <v>77</v>
      </c>
      <c r="K61" t="s">
        <v>78</v>
      </c>
      <c r="L61" t="s">
        <v>130</v>
      </c>
      <c r="M61" t="s">
        <v>131</v>
      </c>
      <c r="N61" t="s">
        <v>343</v>
      </c>
      <c r="O61" t="s">
        <v>82</v>
      </c>
      <c r="P61" t="str">
        <f>"4170036746                    "</f>
        <v xml:space="preserve">4170036746                    </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22.11</v>
      </c>
      <c r="AR61">
        <v>0</v>
      </c>
      <c r="AS61">
        <v>0</v>
      </c>
      <c r="AT61">
        <v>0</v>
      </c>
      <c r="AU61">
        <v>0</v>
      </c>
      <c r="AV61">
        <v>0</v>
      </c>
      <c r="AW61">
        <v>0</v>
      </c>
      <c r="AX61">
        <v>0</v>
      </c>
      <c r="AY61">
        <v>0</v>
      </c>
      <c r="AZ61">
        <v>0</v>
      </c>
      <c r="BA61">
        <v>0</v>
      </c>
      <c r="BB61">
        <v>0</v>
      </c>
      <c r="BC61">
        <v>0</v>
      </c>
      <c r="BD61">
        <v>0</v>
      </c>
      <c r="BE61">
        <v>0</v>
      </c>
      <c r="BF61">
        <v>0</v>
      </c>
      <c r="BG61">
        <v>0</v>
      </c>
      <c r="BH61">
        <v>1</v>
      </c>
      <c r="BI61">
        <v>1</v>
      </c>
      <c r="BJ61">
        <v>0.2</v>
      </c>
      <c r="BK61">
        <v>1</v>
      </c>
      <c r="BL61">
        <v>70.709999999999994</v>
      </c>
      <c r="BM61">
        <v>10.61</v>
      </c>
      <c r="BN61">
        <v>81.319999999999993</v>
      </c>
      <c r="BO61">
        <v>81.319999999999993</v>
      </c>
      <c r="BQ61" t="s">
        <v>344</v>
      </c>
      <c r="BR61" t="s">
        <v>84</v>
      </c>
      <c r="BS61" s="3">
        <v>45782</v>
      </c>
      <c r="BT61" s="4">
        <v>0.38194444444444442</v>
      </c>
      <c r="BU61" t="s">
        <v>345</v>
      </c>
      <c r="BV61" t="s">
        <v>86</v>
      </c>
      <c r="BY61">
        <v>1200</v>
      </c>
      <c r="CA61" t="s">
        <v>242</v>
      </c>
      <c r="CC61" t="s">
        <v>131</v>
      </c>
      <c r="CD61">
        <v>7441</v>
      </c>
      <c r="CE61" t="s">
        <v>88</v>
      </c>
      <c r="CF61" s="3">
        <v>45783</v>
      </c>
      <c r="CI61">
        <v>1</v>
      </c>
      <c r="CJ61">
        <v>1</v>
      </c>
      <c r="CK61">
        <v>21</v>
      </c>
      <c r="CL61" t="s">
        <v>89</v>
      </c>
    </row>
    <row r="62" spans="1:90" x14ac:dyDescent="0.3">
      <c r="A62" t="s">
        <v>72</v>
      </c>
      <c r="B62" t="s">
        <v>73</v>
      </c>
      <c r="C62" t="s">
        <v>74</v>
      </c>
      <c r="E62" t="str">
        <f>"080065130498"</f>
        <v>080065130498</v>
      </c>
      <c r="F62" s="3">
        <v>45779</v>
      </c>
      <c r="G62">
        <v>202602</v>
      </c>
      <c r="H62" t="s">
        <v>75</v>
      </c>
      <c r="I62" t="s">
        <v>76</v>
      </c>
      <c r="J62" t="s">
        <v>77</v>
      </c>
      <c r="K62" t="s">
        <v>78</v>
      </c>
      <c r="L62" t="s">
        <v>75</v>
      </c>
      <c r="M62" t="s">
        <v>76</v>
      </c>
      <c r="N62" t="s">
        <v>346</v>
      </c>
      <c r="O62" t="s">
        <v>82</v>
      </c>
      <c r="P62" t="str">
        <f>"4170036637                    "</f>
        <v xml:space="preserve">4170036637                    </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17.27</v>
      </c>
      <c r="AR62">
        <v>0</v>
      </c>
      <c r="AS62">
        <v>0</v>
      </c>
      <c r="AT62">
        <v>0</v>
      </c>
      <c r="AU62">
        <v>0</v>
      </c>
      <c r="AV62">
        <v>0</v>
      </c>
      <c r="AW62">
        <v>0</v>
      </c>
      <c r="AX62">
        <v>0</v>
      </c>
      <c r="AY62">
        <v>0</v>
      </c>
      <c r="AZ62">
        <v>0</v>
      </c>
      <c r="BA62">
        <v>0</v>
      </c>
      <c r="BB62">
        <v>0</v>
      </c>
      <c r="BC62">
        <v>0</v>
      </c>
      <c r="BD62">
        <v>0</v>
      </c>
      <c r="BE62">
        <v>0</v>
      </c>
      <c r="BF62">
        <v>0</v>
      </c>
      <c r="BG62">
        <v>0</v>
      </c>
      <c r="BH62">
        <v>1</v>
      </c>
      <c r="BI62">
        <v>1</v>
      </c>
      <c r="BJ62">
        <v>0.2</v>
      </c>
      <c r="BK62">
        <v>1</v>
      </c>
      <c r="BL62">
        <v>55.23</v>
      </c>
      <c r="BM62">
        <v>8.2799999999999994</v>
      </c>
      <c r="BN62">
        <v>63.51</v>
      </c>
      <c r="BO62">
        <v>63.51</v>
      </c>
      <c r="BQ62" t="s">
        <v>347</v>
      </c>
      <c r="BR62" t="s">
        <v>84</v>
      </c>
      <c r="BS62" s="3">
        <v>45782</v>
      </c>
      <c r="BT62" s="4">
        <v>0.4</v>
      </c>
      <c r="BU62" t="s">
        <v>348</v>
      </c>
      <c r="BV62" t="s">
        <v>86</v>
      </c>
      <c r="BY62">
        <v>1200</v>
      </c>
      <c r="CA62" t="s">
        <v>349</v>
      </c>
      <c r="CC62" t="s">
        <v>76</v>
      </c>
      <c r="CD62">
        <v>1619</v>
      </c>
      <c r="CE62" t="s">
        <v>88</v>
      </c>
      <c r="CF62" s="3">
        <v>45782</v>
      </c>
      <c r="CI62">
        <v>1</v>
      </c>
      <c r="CJ62">
        <v>1</v>
      </c>
      <c r="CK62">
        <v>22</v>
      </c>
      <c r="CL62" t="s">
        <v>89</v>
      </c>
    </row>
    <row r="63" spans="1:90" x14ac:dyDescent="0.3">
      <c r="A63" t="s">
        <v>72</v>
      </c>
      <c r="B63" t="s">
        <v>73</v>
      </c>
      <c r="C63" t="s">
        <v>74</v>
      </c>
      <c r="E63" t="str">
        <f>"080065130541"</f>
        <v>080065130541</v>
      </c>
      <c r="F63" s="3">
        <v>45779</v>
      </c>
      <c r="G63">
        <v>202602</v>
      </c>
      <c r="H63" t="s">
        <v>75</v>
      </c>
      <c r="I63" t="s">
        <v>76</v>
      </c>
      <c r="J63" t="s">
        <v>77</v>
      </c>
      <c r="K63" t="s">
        <v>78</v>
      </c>
      <c r="L63" t="s">
        <v>136</v>
      </c>
      <c r="M63" t="s">
        <v>137</v>
      </c>
      <c r="N63" t="s">
        <v>161</v>
      </c>
      <c r="O63" t="s">
        <v>82</v>
      </c>
      <c r="P63" t="str">
        <f>"4170036732                    "</f>
        <v xml:space="preserve">4170036732                    </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22.11</v>
      </c>
      <c r="AR63">
        <v>0</v>
      </c>
      <c r="AS63">
        <v>0</v>
      </c>
      <c r="AT63">
        <v>0</v>
      </c>
      <c r="AU63">
        <v>0</v>
      </c>
      <c r="AV63">
        <v>0</v>
      </c>
      <c r="AW63">
        <v>0</v>
      </c>
      <c r="AX63">
        <v>0</v>
      </c>
      <c r="AY63">
        <v>0</v>
      </c>
      <c r="AZ63">
        <v>0</v>
      </c>
      <c r="BA63">
        <v>0</v>
      </c>
      <c r="BB63">
        <v>0</v>
      </c>
      <c r="BC63">
        <v>0</v>
      </c>
      <c r="BD63">
        <v>0</v>
      </c>
      <c r="BE63">
        <v>0</v>
      </c>
      <c r="BF63">
        <v>0</v>
      </c>
      <c r="BG63">
        <v>0</v>
      </c>
      <c r="BH63">
        <v>1</v>
      </c>
      <c r="BI63">
        <v>1</v>
      </c>
      <c r="BJ63">
        <v>0.2</v>
      </c>
      <c r="BK63">
        <v>1</v>
      </c>
      <c r="BL63">
        <v>70.709999999999994</v>
      </c>
      <c r="BM63">
        <v>10.61</v>
      </c>
      <c r="BN63">
        <v>81.319999999999993</v>
      </c>
      <c r="BO63">
        <v>81.319999999999993</v>
      </c>
      <c r="BQ63" t="s">
        <v>162</v>
      </c>
      <c r="BR63" t="s">
        <v>84</v>
      </c>
      <c r="BS63" s="3">
        <v>45782</v>
      </c>
      <c r="BT63" s="4">
        <v>0.44166666666666665</v>
      </c>
      <c r="BU63" t="s">
        <v>197</v>
      </c>
      <c r="BV63" t="s">
        <v>89</v>
      </c>
      <c r="BW63" t="s">
        <v>148</v>
      </c>
      <c r="BX63" t="s">
        <v>198</v>
      </c>
      <c r="BY63">
        <v>1200</v>
      </c>
      <c r="CA63" t="s">
        <v>199</v>
      </c>
      <c r="CC63" t="s">
        <v>137</v>
      </c>
      <c r="CD63" s="5" t="s">
        <v>165</v>
      </c>
      <c r="CE63" t="s">
        <v>88</v>
      </c>
      <c r="CF63" s="3">
        <v>45782</v>
      </c>
      <c r="CI63">
        <v>1</v>
      </c>
      <c r="CJ63">
        <v>1</v>
      </c>
      <c r="CK63">
        <v>21</v>
      </c>
      <c r="CL63" t="s">
        <v>89</v>
      </c>
    </row>
    <row r="64" spans="1:90" x14ac:dyDescent="0.3">
      <c r="A64" t="s">
        <v>72</v>
      </c>
      <c r="B64" t="s">
        <v>73</v>
      </c>
      <c r="C64" t="s">
        <v>74</v>
      </c>
      <c r="E64" t="str">
        <f>"080065130573"</f>
        <v>080065130573</v>
      </c>
      <c r="F64" s="3">
        <v>45779</v>
      </c>
      <c r="G64">
        <v>202602</v>
      </c>
      <c r="H64" t="s">
        <v>75</v>
      </c>
      <c r="I64" t="s">
        <v>76</v>
      </c>
      <c r="J64" t="s">
        <v>77</v>
      </c>
      <c r="K64" t="s">
        <v>78</v>
      </c>
      <c r="L64" t="s">
        <v>350</v>
      </c>
      <c r="M64" t="s">
        <v>351</v>
      </c>
      <c r="N64" t="s">
        <v>352</v>
      </c>
      <c r="O64" t="s">
        <v>82</v>
      </c>
      <c r="P64" t="str">
        <f>"4170036705                    "</f>
        <v xml:space="preserve">4170036705                    </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22.11</v>
      </c>
      <c r="AR64">
        <v>0</v>
      </c>
      <c r="AS64">
        <v>0</v>
      </c>
      <c r="AT64">
        <v>0</v>
      </c>
      <c r="AU64">
        <v>0</v>
      </c>
      <c r="AV64">
        <v>0</v>
      </c>
      <c r="AW64">
        <v>0</v>
      </c>
      <c r="AX64">
        <v>0</v>
      </c>
      <c r="AY64">
        <v>0</v>
      </c>
      <c r="AZ64">
        <v>0</v>
      </c>
      <c r="BA64">
        <v>0</v>
      </c>
      <c r="BB64">
        <v>0</v>
      </c>
      <c r="BC64">
        <v>0</v>
      </c>
      <c r="BD64">
        <v>0</v>
      </c>
      <c r="BE64">
        <v>0</v>
      </c>
      <c r="BF64">
        <v>0</v>
      </c>
      <c r="BG64">
        <v>0</v>
      </c>
      <c r="BH64">
        <v>1</v>
      </c>
      <c r="BI64">
        <v>1</v>
      </c>
      <c r="BJ64">
        <v>0.2</v>
      </c>
      <c r="BK64">
        <v>1</v>
      </c>
      <c r="BL64">
        <v>70.709999999999994</v>
      </c>
      <c r="BM64">
        <v>10.61</v>
      </c>
      <c r="BN64">
        <v>81.319999999999993</v>
      </c>
      <c r="BO64">
        <v>81.319999999999993</v>
      </c>
      <c r="BQ64" t="s">
        <v>353</v>
      </c>
      <c r="BR64" t="s">
        <v>84</v>
      </c>
      <c r="BS64" s="3">
        <v>45782</v>
      </c>
      <c r="BT64" s="4">
        <v>0.36805555555555558</v>
      </c>
      <c r="BU64" t="s">
        <v>354</v>
      </c>
      <c r="BV64" t="s">
        <v>86</v>
      </c>
      <c r="BY64">
        <v>1200</v>
      </c>
      <c r="CA64" t="s">
        <v>160</v>
      </c>
      <c r="CC64" t="s">
        <v>351</v>
      </c>
      <c r="CD64">
        <v>4000</v>
      </c>
      <c r="CE64" t="s">
        <v>88</v>
      </c>
      <c r="CF64" s="3">
        <v>45783</v>
      </c>
      <c r="CI64">
        <v>1</v>
      </c>
      <c r="CJ64">
        <v>1</v>
      </c>
      <c r="CK64">
        <v>21</v>
      </c>
      <c r="CL64" t="s">
        <v>89</v>
      </c>
    </row>
    <row r="65" spans="1:90" x14ac:dyDescent="0.3">
      <c r="A65" t="s">
        <v>72</v>
      </c>
      <c r="B65" t="s">
        <v>73</v>
      </c>
      <c r="C65" t="s">
        <v>74</v>
      </c>
      <c r="E65" t="str">
        <f>"080065130601"</f>
        <v>080065130601</v>
      </c>
      <c r="F65" s="3">
        <v>45779</v>
      </c>
      <c r="G65">
        <v>202602</v>
      </c>
      <c r="H65" t="s">
        <v>75</v>
      </c>
      <c r="I65" t="s">
        <v>76</v>
      </c>
      <c r="J65" t="s">
        <v>77</v>
      </c>
      <c r="K65" t="s">
        <v>78</v>
      </c>
      <c r="L65" t="s">
        <v>136</v>
      </c>
      <c r="M65" t="s">
        <v>137</v>
      </c>
      <c r="N65" t="s">
        <v>138</v>
      </c>
      <c r="O65" t="s">
        <v>300</v>
      </c>
      <c r="P65" t="str">
        <f>"4170036694                    "</f>
        <v xml:space="preserve">4170036694                    </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42.76</v>
      </c>
      <c r="AR65">
        <v>0</v>
      </c>
      <c r="AS65">
        <v>0</v>
      </c>
      <c r="AT65">
        <v>0</v>
      </c>
      <c r="AU65">
        <v>0</v>
      </c>
      <c r="AV65">
        <v>0</v>
      </c>
      <c r="AW65">
        <v>0</v>
      </c>
      <c r="AX65">
        <v>0</v>
      </c>
      <c r="AY65">
        <v>0</v>
      </c>
      <c r="AZ65">
        <v>0</v>
      </c>
      <c r="BA65">
        <v>0</v>
      </c>
      <c r="BB65">
        <v>0</v>
      </c>
      <c r="BC65">
        <v>0</v>
      </c>
      <c r="BD65">
        <v>0</v>
      </c>
      <c r="BE65">
        <v>0</v>
      </c>
      <c r="BF65">
        <v>0</v>
      </c>
      <c r="BG65">
        <v>0</v>
      </c>
      <c r="BH65">
        <v>1</v>
      </c>
      <c r="BI65">
        <v>15</v>
      </c>
      <c r="BJ65">
        <v>5.7</v>
      </c>
      <c r="BK65">
        <v>15</v>
      </c>
      <c r="BL65">
        <v>142.31</v>
      </c>
      <c r="BM65">
        <v>21.35</v>
      </c>
      <c r="BN65">
        <v>163.66</v>
      </c>
      <c r="BO65">
        <v>163.66</v>
      </c>
      <c r="BQ65" t="s">
        <v>139</v>
      </c>
      <c r="BR65" t="s">
        <v>84</v>
      </c>
      <c r="BS65" s="3">
        <v>45782</v>
      </c>
      <c r="BT65" s="4">
        <v>0.41736111111111113</v>
      </c>
      <c r="BU65" t="s">
        <v>355</v>
      </c>
      <c r="BV65" t="s">
        <v>86</v>
      </c>
      <c r="BY65">
        <v>28275</v>
      </c>
      <c r="CA65" t="s">
        <v>141</v>
      </c>
      <c r="CC65" t="s">
        <v>137</v>
      </c>
      <c r="CD65" s="5" t="s">
        <v>142</v>
      </c>
      <c r="CE65" t="s">
        <v>356</v>
      </c>
      <c r="CF65" s="3">
        <v>45782</v>
      </c>
      <c r="CI65">
        <v>1</v>
      </c>
      <c r="CJ65">
        <v>1</v>
      </c>
      <c r="CK65">
        <v>41</v>
      </c>
      <c r="CL65" t="s">
        <v>89</v>
      </c>
    </row>
    <row r="66" spans="1:90" x14ac:dyDescent="0.3">
      <c r="A66" t="s">
        <v>72</v>
      </c>
      <c r="B66" t="s">
        <v>73</v>
      </c>
      <c r="C66" t="s">
        <v>74</v>
      </c>
      <c r="E66" t="str">
        <f>"080065131687"</f>
        <v>080065131687</v>
      </c>
      <c r="F66" s="3">
        <v>45779</v>
      </c>
      <c r="G66">
        <v>202602</v>
      </c>
      <c r="H66" t="s">
        <v>75</v>
      </c>
      <c r="I66" t="s">
        <v>76</v>
      </c>
      <c r="J66" t="s">
        <v>77</v>
      </c>
      <c r="K66" t="s">
        <v>78</v>
      </c>
      <c r="L66" t="s">
        <v>79</v>
      </c>
      <c r="M66" t="s">
        <v>80</v>
      </c>
      <c r="N66" t="s">
        <v>357</v>
      </c>
      <c r="O66" t="s">
        <v>82</v>
      </c>
      <c r="P66" t="str">
        <f>"4170036740                    "</f>
        <v xml:space="preserve">4170036740                    </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22.11</v>
      </c>
      <c r="AR66">
        <v>0</v>
      </c>
      <c r="AS66">
        <v>0</v>
      </c>
      <c r="AT66">
        <v>0</v>
      </c>
      <c r="AU66">
        <v>0</v>
      </c>
      <c r="AV66">
        <v>0</v>
      </c>
      <c r="AW66">
        <v>0</v>
      </c>
      <c r="AX66">
        <v>0</v>
      </c>
      <c r="AY66">
        <v>0</v>
      </c>
      <c r="AZ66">
        <v>0</v>
      </c>
      <c r="BA66">
        <v>0</v>
      </c>
      <c r="BB66">
        <v>0</v>
      </c>
      <c r="BC66">
        <v>0</v>
      </c>
      <c r="BD66">
        <v>0</v>
      </c>
      <c r="BE66">
        <v>0</v>
      </c>
      <c r="BF66">
        <v>0</v>
      </c>
      <c r="BG66">
        <v>0</v>
      </c>
      <c r="BH66">
        <v>1</v>
      </c>
      <c r="BI66">
        <v>1</v>
      </c>
      <c r="BJ66">
        <v>0.2</v>
      </c>
      <c r="BK66">
        <v>1</v>
      </c>
      <c r="BL66">
        <v>70.709999999999994</v>
      </c>
      <c r="BM66">
        <v>10.61</v>
      </c>
      <c r="BN66">
        <v>81.319999999999993</v>
      </c>
      <c r="BO66">
        <v>81.319999999999993</v>
      </c>
      <c r="BQ66" t="s">
        <v>358</v>
      </c>
      <c r="BR66" t="s">
        <v>84</v>
      </c>
      <c r="BS66" s="3">
        <v>45782</v>
      </c>
      <c r="BT66" s="4">
        <v>0.43055555555555558</v>
      </c>
      <c r="BU66" t="s">
        <v>359</v>
      </c>
      <c r="BV66" t="s">
        <v>86</v>
      </c>
      <c r="BY66">
        <v>1200</v>
      </c>
      <c r="CA66" t="s">
        <v>87</v>
      </c>
      <c r="CC66" t="s">
        <v>80</v>
      </c>
      <c r="CD66">
        <v>3608</v>
      </c>
      <c r="CE66" t="s">
        <v>88</v>
      </c>
      <c r="CF66" s="3">
        <v>45783</v>
      </c>
      <c r="CI66">
        <v>1</v>
      </c>
      <c r="CJ66">
        <v>1</v>
      </c>
      <c r="CK66">
        <v>21</v>
      </c>
      <c r="CL66" t="s">
        <v>89</v>
      </c>
    </row>
    <row r="67" spans="1:90" x14ac:dyDescent="0.3">
      <c r="A67" t="s">
        <v>72</v>
      </c>
      <c r="B67" t="s">
        <v>73</v>
      </c>
      <c r="C67" t="s">
        <v>74</v>
      </c>
      <c r="E67" t="str">
        <f>"080065131709"</f>
        <v>080065131709</v>
      </c>
      <c r="F67" s="3">
        <v>45779</v>
      </c>
      <c r="G67">
        <v>202602</v>
      </c>
      <c r="H67" t="s">
        <v>75</v>
      </c>
      <c r="I67" t="s">
        <v>76</v>
      </c>
      <c r="J67" t="s">
        <v>77</v>
      </c>
      <c r="K67" t="s">
        <v>78</v>
      </c>
      <c r="L67" t="s">
        <v>360</v>
      </c>
      <c r="M67" t="s">
        <v>361</v>
      </c>
      <c r="N67" t="s">
        <v>362</v>
      </c>
      <c r="O67" t="s">
        <v>82</v>
      </c>
      <c r="P67" t="str">
        <f>"4170036764                    "</f>
        <v xml:space="preserve">4170036764                    </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42.84</v>
      </c>
      <c r="AR67">
        <v>0</v>
      </c>
      <c r="AS67">
        <v>0</v>
      </c>
      <c r="AT67">
        <v>0</v>
      </c>
      <c r="AU67">
        <v>0</v>
      </c>
      <c r="AV67">
        <v>0</v>
      </c>
      <c r="AW67">
        <v>0</v>
      </c>
      <c r="AX67">
        <v>0</v>
      </c>
      <c r="AY67">
        <v>0</v>
      </c>
      <c r="AZ67">
        <v>0</v>
      </c>
      <c r="BA67">
        <v>0</v>
      </c>
      <c r="BB67">
        <v>0</v>
      </c>
      <c r="BC67">
        <v>0</v>
      </c>
      <c r="BD67">
        <v>0</v>
      </c>
      <c r="BE67">
        <v>0</v>
      </c>
      <c r="BF67">
        <v>0</v>
      </c>
      <c r="BG67">
        <v>0</v>
      </c>
      <c r="BH67">
        <v>1</v>
      </c>
      <c r="BI67">
        <v>1</v>
      </c>
      <c r="BJ67">
        <v>0.2</v>
      </c>
      <c r="BK67">
        <v>1</v>
      </c>
      <c r="BL67">
        <v>137</v>
      </c>
      <c r="BM67">
        <v>20.55</v>
      </c>
      <c r="BN67">
        <v>157.55000000000001</v>
      </c>
      <c r="BO67">
        <v>157.55000000000001</v>
      </c>
      <c r="BQ67" t="s">
        <v>363</v>
      </c>
      <c r="BR67" t="s">
        <v>84</v>
      </c>
      <c r="BS67" s="3">
        <v>45782</v>
      </c>
      <c r="BT67" s="4">
        <v>0.59027777777777779</v>
      </c>
      <c r="BU67" t="s">
        <v>364</v>
      </c>
      <c r="BV67" t="s">
        <v>86</v>
      </c>
      <c r="BY67">
        <v>1200</v>
      </c>
      <c r="CA67" t="s">
        <v>365</v>
      </c>
      <c r="CC67" t="s">
        <v>361</v>
      </c>
      <c r="CD67">
        <v>7300</v>
      </c>
      <c r="CE67" t="s">
        <v>88</v>
      </c>
      <c r="CF67" s="3">
        <v>45784</v>
      </c>
      <c r="CI67">
        <v>1</v>
      </c>
      <c r="CJ67">
        <v>1</v>
      </c>
      <c r="CK67">
        <v>23</v>
      </c>
      <c r="CL67" t="s">
        <v>89</v>
      </c>
    </row>
    <row r="68" spans="1:90" x14ac:dyDescent="0.3">
      <c r="A68" t="s">
        <v>72</v>
      </c>
      <c r="B68" t="s">
        <v>73</v>
      </c>
      <c r="C68" t="s">
        <v>74</v>
      </c>
      <c r="E68" t="str">
        <f>"R080065015730"</f>
        <v>R080065015730</v>
      </c>
      <c r="F68" s="3">
        <v>45779</v>
      </c>
      <c r="G68">
        <v>202602</v>
      </c>
      <c r="H68" t="s">
        <v>366</v>
      </c>
      <c r="I68" t="s">
        <v>367</v>
      </c>
      <c r="J68" t="s">
        <v>368</v>
      </c>
      <c r="K68" t="s">
        <v>78</v>
      </c>
      <c r="L68" t="s">
        <v>366</v>
      </c>
      <c r="M68" t="s">
        <v>367</v>
      </c>
      <c r="N68" t="s">
        <v>368</v>
      </c>
      <c r="O68" t="s">
        <v>300</v>
      </c>
      <c r="P68" t="str">
        <f>"4170035905                    "</f>
        <v xml:space="preserve">4170035905                    </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60.31</v>
      </c>
      <c r="AR68">
        <v>0</v>
      </c>
      <c r="AS68">
        <v>0</v>
      </c>
      <c r="AT68">
        <v>0</v>
      </c>
      <c r="AU68">
        <v>0</v>
      </c>
      <c r="AV68">
        <v>0</v>
      </c>
      <c r="AW68">
        <v>0</v>
      </c>
      <c r="AX68">
        <v>0</v>
      </c>
      <c r="AY68">
        <v>0</v>
      </c>
      <c r="AZ68">
        <v>0</v>
      </c>
      <c r="BA68">
        <v>0</v>
      </c>
      <c r="BB68">
        <v>0</v>
      </c>
      <c r="BC68">
        <v>0</v>
      </c>
      <c r="BD68">
        <v>0</v>
      </c>
      <c r="BE68">
        <v>0</v>
      </c>
      <c r="BF68">
        <v>0</v>
      </c>
      <c r="BG68">
        <v>0</v>
      </c>
      <c r="BH68">
        <v>1</v>
      </c>
      <c r="BI68">
        <v>1</v>
      </c>
      <c r="BJ68">
        <v>0.2</v>
      </c>
      <c r="BK68">
        <v>1</v>
      </c>
      <c r="BL68">
        <v>198.43</v>
      </c>
      <c r="BM68">
        <v>29.76</v>
      </c>
      <c r="BN68">
        <v>228.19</v>
      </c>
      <c r="BO68">
        <v>228.19</v>
      </c>
      <c r="BQ68" t="s">
        <v>369</v>
      </c>
      <c r="BR68" t="s">
        <v>369</v>
      </c>
      <c r="BS68" s="3">
        <v>45782</v>
      </c>
      <c r="BT68" s="4">
        <v>0.5805555555555556</v>
      </c>
      <c r="BU68" t="s">
        <v>370</v>
      </c>
      <c r="BV68" t="s">
        <v>86</v>
      </c>
      <c r="BY68">
        <v>1200</v>
      </c>
      <c r="CA68" t="s">
        <v>231</v>
      </c>
      <c r="CC68" t="s">
        <v>367</v>
      </c>
      <c r="CD68">
        <v>1438</v>
      </c>
      <c r="CE68" t="s">
        <v>88</v>
      </c>
      <c r="CF68" s="3">
        <v>45783</v>
      </c>
      <c r="CI68">
        <v>1</v>
      </c>
      <c r="CJ68">
        <v>1</v>
      </c>
      <c r="CK68">
        <v>43</v>
      </c>
      <c r="CL68" t="s">
        <v>89</v>
      </c>
    </row>
    <row r="69" spans="1:90" x14ac:dyDescent="0.3">
      <c r="A69" t="s">
        <v>72</v>
      </c>
      <c r="B69" t="s">
        <v>73</v>
      </c>
      <c r="C69" t="s">
        <v>74</v>
      </c>
      <c r="E69" t="str">
        <f>"080065131731"</f>
        <v>080065131731</v>
      </c>
      <c r="F69" s="3">
        <v>45779</v>
      </c>
      <c r="G69">
        <v>202602</v>
      </c>
      <c r="H69" t="s">
        <v>75</v>
      </c>
      <c r="I69" t="s">
        <v>76</v>
      </c>
      <c r="J69" t="s">
        <v>77</v>
      </c>
      <c r="K69" t="s">
        <v>78</v>
      </c>
      <c r="L69" t="s">
        <v>90</v>
      </c>
      <c r="M69" t="s">
        <v>91</v>
      </c>
      <c r="N69" t="s">
        <v>371</v>
      </c>
      <c r="O69" t="s">
        <v>82</v>
      </c>
      <c r="P69" t="str">
        <f>"4170036763                    "</f>
        <v xml:space="preserve">4170036763                    </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22.11</v>
      </c>
      <c r="AR69">
        <v>0</v>
      </c>
      <c r="AS69">
        <v>0</v>
      </c>
      <c r="AT69">
        <v>0</v>
      </c>
      <c r="AU69">
        <v>0</v>
      </c>
      <c r="AV69">
        <v>0</v>
      </c>
      <c r="AW69">
        <v>0</v>
      </c>
      <c r="AX69">
        <v>0</v>
      </c>
      <c r="AY69">
        <v>0</v>
      </c>
      <c r="AZ69">
        <v>0</v>
      </c>
      <c r="BA69">
        <v>0</v>
      </c>
      <c r="BB69">
        <v>0</v>
      </c>
      <c r="BC69">
        <v>0</v>
      </c>
      <c r="BD69">
        <v>0</v>
      </c>
      <c r="BE69">
        <v>0</v>
      </c>
      <c r="BF69">
        <v>0</v>
      </c>
      <c r="BG69">
        <v>0</v>
      </c>
      <c r="BH69">
        <v>1</v>
      </c>
      <c r="BI69">
        <v>1</v>
      </c>
      <c r="BJ69">
        <v>0.2</v>
      </c>
      <c r="BK69">
        <v>1</v>
      </c>
      <c r="BL69">
        <v>70.709999999999994</v>
      </c>
      <c r="BM69">
        <v>10.61</v>
      </c>
      <c r="BN69">
        <v>81.319999999999993</v>
      </c>
      <c r="BO69">
        <v>81.319999999999993</v>
      </c>
      <c r="BQ69" t="s">
        <v>372</v>
      </c>
      <c r="BR69" t="s">
        <v>84</v>
      </c>
      <c r="BS69" s="3">
        <v>45782</v>
      </c>
      <c r="BT69" s="4">
        <v>0.43611111111111112</v>
      </c>
      <c r="BU69" t="s">
        <v>373</v>
      </c>
      <c r="BV69" t="s">
        <v>86</v>
      </c>
      <c r="BY69">
        <v>1200</v>
      </c>
      <c r="CA69" t="s">
        <v>298</v>
      </c>
      <c r="CC69" t="s">
        <v>91</v>
      </c>
      <c r="CD69">
        <v>6001</v>
      </c>
      <c r="CE69" t="s">
        <v>88</v>
      </c>
      <c r="CF69" s="3">
        <v>45782</v>
      </c>
      <c r="CI69">
        <v>1</v>
      </c>
      <c r="CJ69">
        <v>1</v>
      </c>
      <c r="CK69">
        <v>21</v>
      </c>
      <c r="CL69" t="s">
        <v>89</v>
      </c>
    </row>
    <row r="70" spans="1:90" x14ac:dyDescent="0.3">
      <c r="A70" t="s">
        <v>72</v>
      </c>
      <c r="B70" t="s">
        <v>73</v>
      </c>
      <c r="C70" t="s">
        <v>74</v>
      </c>
      <c r="E70" t="str">
        <f>"080065131773"</f>
        <v>080065131773</v>
      </c>
      <c r="F70" s="3">
        <v>45779</v>
      </c>
      <c r="G70">
        <v>202602</v>
      </c>
      <c r="H70" t="s">
        <v>75</v>
      </c>
      <c r="I70" t="s">
        <v>76</v>
      </c>
      <c r="J70" t="s">
        <v>77</v>
      </c>
      <c r="K70" t="s">
        <v>78</v>
      </c>
      <c r="L70" t="s">
        <v>374</v>
      </c>
      <c r="M70" t="s">
        <v>375</v>
      </c>
      <c r="N70" t="s">
        <v>376</v>
      </c>
      <c r="O70" t="s">
        <v>82</v>
      </c>
      <c r="P70" t="str">
        <f>"4170036739                    "</f>
        <v xml:space="preserve">4170036739                    </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42.84</v>
      </c>
      <c r="AR70">
        <v>0</v>
      </c>
      <c r="AS70">
        <v>0</v>
      </c>
      <c r="AT70">
        <v>0</v>
      </c>
      <c r="AU70">
        <v>0</v>
      </c>
      <c r="AV70">
        <v>0</v>
      </c>
      <c r="AW70">
        <v>0</v>
      </c>
      <c r="AX70">
        <v>0</v>
      </c>
      <c r="AY70">
        <v>0</v>
      </c>
      <c r="AZ70">
        <v>0</v>
      </c>
      <c r="BA70">
        <v>0</v>
      </c>
      <c r="BB70">
        <v>0</v>
      </c>
      <c r="BC70">
        <v>0</v>
      </c>
      <c r="BD70">
        <v>0</v>
      </c>
      <c r="BE70">
        <v>0</v>
      </c>
      <c r="BF70">
        <v>0</v>
      </c>
      <c r="BG70">
        <v>0</v>
      </c>
      <c r="BH70">
        <v>1</v>
      </c>
      <c r="BI70">
        <v>1</v>
      </c>
      <c r="BJ70">
        <v>0.2</v>
      </c>
      <c r="BK70">
        <v>1</v>
      </c>
      <c r="BL70">
        <v>137</v>
      </c>
      <c r="BM70">
        <v>20.55</v>
      </c>
      <c r="BN70">
        <v>157.55000000000001</v>
      </c>
      <c r="BO70">
        <v>157.55000000000001</v>
      </c>
      <c r="BQ70" t="s">
        <v>377</v>
      </c>
      <c r="BR70" t="s">
        <v>84</v>
      </c>
      <c r="BS70" s="3">
        <v>45782</v>
      </c>
      <c r="BT70" s="4">
        <v>0.41666666666666669</v>
      </c>
      <c r="BU70" t="s">
        <v>378</v>
      </c>
      <c r="BV70" t="s">
        <v>86</v>
      </c>
      <c r="BY70">
        <v>1200</v>
      </c>
      <c r="CA70" t="s">
        <v>379</v>
      </c>
      <c r="CC70" t="s">
        <v>375</v>
      </c>
      <c r="CD70">
        <v>7130</v>
      </c>
      <c r="CE70" t="s">
        <v>88</v>
      </c>
      <c r="CF70" s="3">
        <v>45783</v>
      </c>
      <c r="CI70">
        <v>1</v>
      </c>
      <c r="CJ70">
        <v>1</v>
      </c>
      <c r="CK70">
        <v>23</v>
      </c>
      <c r="CL70" t="s">
        <v>89</v>
      </c>
    </row>
    <row r="71" spans="1:90" x14ac:dyDescent="0.3">
      <c r="A71" t="s">
        <v>72</v>
      </c>
      <c r="B71" t="s">
        <v>73</v>
      </c>
      <c r="C71" t="s">
        <v>74</v>
      </c>
      <c r="E71" t="str">
        <f>"080065131883"</f>
        <v>080065131883</v>
      </c>
      <c r="F71" s="3">
        <v>45779</v>
      </c>
      <c r="G71">
        <v>202602</v>
      </c>
      <c r="H71" t="s">
        <v>75</v>
      </c>
      <c r="I71" t="s">
        <v>76</v>
      </c>
      <c r="J71" t="s">
        <v>77</v>
      </c>
      <c r="K71" t="s">
        <v>78</v>
      </c>
      <c r="L71" t="s">
        <v>75</v>
      </c>
      <c r="M71" t="s">
        <v>76</v>
      </c>
      <c r="N71" t="s">
        <v>380</v>
      </c>
      <c r="O71" t="s">
        <v>82</v>
      </c>
      <c r="P71" t="str">
        <f>"4170036755                    "</f>
        <v xml:space="preserve">4170036755                    </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17.27</v>
      </c>
      <c r="AR71">
        <v>0</v>
      </c>
      <c r="AS71">
        <v>0</v>
      </c>
      <c r="AT71">
        <v>0</v>
      </c>
      <c r="AU71">
        <v>0</v>
      </c>
      <c r="AV71">
        <v>0</v>
      </c>
      <c r="AW71">
        <v>0</v>
      </c>
      <c r="AX71">
        <v>0</v>
      </c>
      <c r="AY71">
        <v>0</v>
      </c>
      <c r="AZ71">
        <v>0</v>
      </c>
      <c r="BA71">
        <v>0</v>
      </c>
      <c r="BB71">
        <v>0</v>
      </c>
      <c r="BC71">
        <v>0</v>
      </c>
      <c r="BD71">
        <v>0</v>
      </c>
      <c r="BE71">
        <v>0</v>
      </c>
      <c r="BF71">
        <v>0</v>
      </c>
      <c r="BG71">
        <v>0</v>
      </c>
      <c r="BH71">
        <v>1</v>
      </c>
      <c r="BI71">
        <v>1</v>
      </c>
      <c r="BJ71">
        <v>0.2</v>
      </c>
      <c r="BK71">
        <v>1</v>
      </c>
      <c r="BL71">
        <v>55.23</v>
      </c>
      <c r="BM71">
        <v>8.2799999999999994</v>
      </c>
      <c r="BN71">
        <v>63.51</v>
      </c>
      <c r="BO71">
        <v>63.51</v>
      </c>
      <c r="BQ71" t="s">
        <v>381</v>
      </c>
      <c r="BR71" t="s">
        <v>84</v>
      </c>
      <c r="BS71" s="3">
        <v>45782</v>
      </c>
      <c r="BT71" s="4">
        <v>0.42986111111111114</v>
      </c>
      <c r="BU71" t="s">
        <v>382</v>
      </c>
      <c r="BV71" t="s">
        <v>86</v>
      </c>
      <c r="BY71">
        <v>1200</v>
      </c>
      <c r="CA71" t="s">
        <v>383</v>
      </c>
      <c r="CC71" t="s">
        <v>76</v>
      </c>
      <c r="CD71">
        <v>1609</v>
      </c>
      <c r="CE71" t="s">
        <v>384</v>
      </c>
      <c r="CF71" s="3">
        <v>45783</v>
      </c>
      <c r="CI71">
        <v>1</v>
      </c>
      <c r="CJ71">
        <v>1</v>
      </c>
      <c r="CK71">
        <v>22</v>
      </c>
      <c r="CL71" t="s">
        <v>89</v>
      </c>
    </row>
    <row r="72" spans="1:90" x14ac:dyDescent="0.3">
      <c r="A72" t="s">
        <v>72</v>
      </c>
      <c r="B72" t="s">
        <v>73</v>
      </c>
      <c r="C72" t="s">
        <v>74</v>
      </c>
      <c r="E72" t="str">
        <f>"080065131942"</f>
        <v>080065131942</v>
      </c>
      <c r="F72" s="3">
        <v>45779</v>
      </c>
      <c r="G72">
        <v>202602</v>
      </c>
      <c r="H72" t="s">
        <v>75</v>
      </c>
      <c r="I72" t="s">
        <v>76</v>
      </c>
      <c r="J72" t="s">
        <v>77</v>
      </c>
      <c r="K72" t="s">
        <v>78</v>
      </c>
      <c r="L72" t="s">
        <v>90</v>
      </c>
      <c r="M72" t="s">
        <v>91</v>
      </c>
      <c r="N72" t="s">
        <v>385</v>
      </c>
      <c r="O72" t="s">
        <v>82</v>
      </c>
      <c r="P72" t="str">
        <f>"4170036727                    "</f>
        <v xml:space="preserve">4170036727                    </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22.11</v>
      </c>
      <c r="AR72">
        <v>0</v>
      </c>
      <c r="AS72">
        <v>0</v>
      </c>
      <c r="AT72">
        <v>0</v>
      </c>
      <c r="AU72">
        <v>0</v>
      </c>
      <c r="AV72">
        <v>0</v>
      </c>
      <c r="AW72">
        <v>0</v>
      </c>
      <c r="AX72">
        <v>0</v>
      </c>
      <c r="AY72">
        <v>0</v>
      </c>
      <c r="AZ72">
        <v>0</v>
      </c>
      <c r="BA72">
        <v>0</v>
      </c>
      <c r="BB72">
        <v>0</v>
      </c>
      <c r="BC72">
        <v>0</v>
      </c>
      <c r="BD72">
        <v>0</v>
      </c>
      <c r="BE72">
        <v>0</v>
      </c>
      <c r="BF72">
        <v>0</v>
      </c>
      <c r="BG72">
        <v>0</v>
      </c>
      <c r="BH72">
        <v>1</v>
      </c>
      <c r="BI72">
        <v>1</v>
      </c>
      <c r="BJ72">
        <v>0.2</v>
      </c>
      <c r="BK72">
        <v>1</v>
      </c>
      <c r="BL72">
        <v>70.709999999999994</v>
      </c>
      <c r="BM72">
        <v>10.61</v>
      </c>
      <c r="BN72">
        <v>81.319999999999993</v>
      </c>
      <c r="BO72">
        <v>81.319999999999993</v>
      </c>
      <c r="BQ72" t="s">
        <v>386</v>
      </c>
      <c r="BR72" t="s">
        <v>84</v>
      </c>
      <c r="BS72" s="3">
        <v>45782</v>
      </c>
      <c r="BT72" s="4">
        <v>0.4152777777777778</v>
      </c>
      <c r="BU72" t="s">
        <v>387</v>
      </c>
      <c r="BV72" t="s">
        <v>86</v>
      </c>
      <c r="BY72">
        <v>1200</v>
      </c>
      <c r="CA72" t="s">
        <v>95</v>
      </c>
      <c r="CC72" t="s">
        <v>91</v>
      </c>
      <c r="CD72">
        <v>6056</v>
      </c>
      <c r="CE72" t="s">
        <v>88</v>
      </c>
      <c r="CF72" s="3">
        <v>45783</v>
      </c>
      <c r="CI72">
        <v>1</v>
      </c>
      <c r="CJ72">
        <v>1</v>
      </c>
      <c r="CK72">
        <v>21</v>
      </c>
      <c r="CL72" t="s">
        <v>89</v>
      </c>
    </row>
    <row r="73" spans="1:90" x14ac:dyDescent="0.3">
      <c r="A73" t="s">
        <v>72</v>
      </c>
      <c r="B73" t="s">
        <v>73</v>
      </c>
      <c r="C73" t="s">
        <v>74</v>
      </c>
      <c r="E73" t="str">
        <f>"080065131963"</f>
        <v>080065131963</v>
      </c>
      <c r="F73" s="3">
        <v>45779</v>
      </c>
      <c r="G73">
        <v>202602</v>
      </c>
      <c r="H73" t="s">
        <v>75</v>
      </c>
      <c r="I73" t="s">
        <v>76</v>
      </c>
      <c r="J73" t="s">
        <v>77</v>
      </c>
      <c r="K73" t="s">
        <v>78</v>
      </c>
      <c r="L73" t="s">
        <v>130</v>
      </c>
      <c r="M73" t="s">
        <v>131</v>
      </c>
      <c r="N73" t="s">
        <v>250</v>
      </c>
      <c r="O73" t="s">
        <v>82</v>
      </c>
      <c r="P73" t="str">
        <f>"4170036664                    "</f>
        <v xml:space="preserve">4170036664                    </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22.11</v>
      </c>
      <c r="AR73">
        <v>0</v>
      </c>
      <c r="AS73">
        <v>0</v>
      </c>
      <c r="AT73">
        <v>0</v>
      </c>
      <c r="AU73">
        <v>0</v>
      </c>
      <c r="AV73">
        <v>0</v>
      </c>
      <c r="AW73">
        <v>0</v>
      </c>
      <c r="AX73">
        <v>0</v>
      </c>
      <c r="AY73">
        <v>0</v>
      </c>
      <c r="AZ73">
        <v>0</v>
      </c>
      <c r="BA73">
        <v>0</v>
      </c>
      <c r="BB73">
        <v>0</v>
      </c>
      <c r="BC73">
        <v>0</v>
      </c>
      <c r="BD73">
        <v>0</v>
      </c>
      <c r="BE73">
        <v>0</v>
      </c>
      <c r="BF73">
        <v>0</v>
      </c>
      <c r="BG73">
        <v>0</v>
      </c>
      <c r="BH73">
        <v>1</v>
      </c>
      <c r="BI73">
        <v>1</v>
      </c>
      <c r="BJ73">
        <v>0.2</v>
      </c>
      <c r="BK73">
        <v>1</v>
      </c>
      <c r="BL73">
        <v>70.709999999999994</v>
      </c>
      <c r="BM73">
        <v>10.61</v>
      </c>
      <c r="BN73">
        <v>81.319999999999993</v>
      </c>
      <c r="BO73">
        <v>81.319999999999993</v>
      </c>
      <c r="BQ73" t="s">
        <v>251</v>
      </c>
      <c r="BR73" t="s">
        <v>84</v>
      </c>
      <c r="BS73" s="3">
        <v>45782</v>
      </c>
      <c r="BT73" s="4">
        <v>0.41736111111111113</v>
      </c>
      <c r="BU73" t="s">
        <v>388</v>
      </c>
      <c r="BV73" t="s">
        <v>86</v>
      </c>
      <c r="BY73">
        <v>1200</v>
      </c>
      <c r="CA73" t="s">
        <v>389</v>
      </c>
      <c r="CC73" t="s">
        <v>131</v>
      </c>
      <c r="CD73">
        <v>7530</v>
      </c>
      <c r="CE73" t="s">
        <v>88</v>
      </c>
      <c r="CF73" s="3">
        <v>45783</v>
      </c>
      <c r="CI73">
        <v>1</v>
      </c>
      <c r="CJ73">
        <v>1</v>
      </c>
      <c r="CK73">
        <v>21</v>
      </c>
      <c r="CL73" t="s">
        <v>89</v>
      </c>
    </row>
    <row r="74" spans="1:90" x14ac:dyDescent="0.3">
      <c r="A74" t="s">
        <v>72</v>
      </c>
      <c r="B74" t="s">
        <v>73</v>
      </c>
      <c r="C74" t="s">
        <v>74</v>
      </c>
      <c r="E74" t="str">
        <f>"080065132004"</f>
        <v>080065132004</v>
      </c>
      <c r="F74" s="3">
        <v>45779</v>
      </c>
      <c r="G74">
        <v>202602</v>
      </c>
      <c r="H74" t="s">
        <v>75</v>
      </c>
      <c r="I74" t="s">
        <v>76</v>
      </c>
      <c r="J74" t="s">
        <v>77</v>
      </c>
      <c r="K74" t="s">
        <v>78</v>
      </c>
      <c r="L74" t="s">
        <v>75</v>
      </c>
      <c r="M74" t="s">
        <v>76</v>
      </c>
      <c r="N74" t="s">
        <v>390</v>
      </c>
      <c r="O74" t="s">
        <v>82</v>
      </c>
      <c r="P74" t="str">
        <f>"4170036649                    "</f>
        <v xml:space="preserve">4170036649                    </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17.27</v>
      </c>
      <c r="AR74">
        <v>0</v>
      </c>
      <c r="AS74">
        <v>0</v>
      </c>
      <c r="AT74">
        <v>0</v>
      </c>
      <c r="AU74">
        <v>0</v>
      </c>
      <c r="AV74">
        <v>0</v>
      </c>
      <c r="AW74">
        <v>0</v>
      </c>
      <c r="AX74">
        <v>0</v>
      </c>
      <c r="AY74">
        <v>0</v>
      </c>
      <c r="AZ74">
        <v>0</v>
      </c>
      <c r="BA74">
        <v>0</v>
      </c>
      <c r="BB74">
        <v>0</v>
      </c>
      <c r="BC74">
        <v>0</v>
      </c>
      <c r="BD74">
        <v>0</v>
      </c>
      <c r="BE74">
        <v>0</v>
      </c>
      <c r="BF74">
        <v>0</v>
      </c>
      <c r="BG74">
        <v>0</v>
      </c>
      <c r="BH74">
        <v>1</v>
      </c>
      <c r="BI74">
        <v>1</v>
      </c>
      <c r="BJ74">
        <v>0.2</v>
      </c>
      <c r="BK74">
        <v>1</v>
      </c>
      <c r="BL74">
        <v>55.23</v>
      </c>
      <c r="BM74">
        <v>8.2799999999999994</v>
      </c>
      <c r="BN74">
        <v>63.51</v>
      </c>
      <c r="BO74">
        <v>63.51</v>
      </c>
      <c r="BQ74" t="s">
        <v>391</v>
      </c>
      <c r="BR74" t="s">
        <v>84</v>
      </c>
      <c r="BS74" s="3">
        <v>45782</v>
      </c>
      <c r="BT74" s="4">
        <v>0.34513888888888888</v>
      </c>
      <c r="BU74" t="s">
        <v>392</v>
      </c>
      <c r="BV74" t="s">
        <v>86</v>
      </c>
      <c r="BY74">
        <v>1200</v>
      </c>
      <c r="CA74" t="s">
        <v>115</v>
      </c>
      <c r="CC74" t="s">
        <v>76</v>
      </c>
      <c r="CD74">
        <v>1600</v>
      </c>
      <c r="CE74" t="s">
        <v>88</v>
      </c>
      <c r="CF74" s="3">
        <v>45783</v>
      </c>
      <c r="CI74">
        <v>1</v>
      </c>
      <c r="CJ74">
        <v>1</v>
      </c>
      <c r="CK74">
        <v>22</v>
      </c>
      <c r="CL74" t="s">
        <v>89</v>
      </c>
    </row>
    <row r="75" spans="1:90" x14ac:dyDescent="0.3">
      <c r="A75" t="s">
        <v>72</v>
      </c>
      <c r="B75" t="s">
        <v>73</v>
      </c>
      <c r="C75" t="s">
        <v>74</v>
      </c>
      <c r="E75" t="str">
        <f>"080065132049"</f>
        <v>080065132049</v>
      </c>
      <c r="F75" s="3">
        <v>45779</v>
      </c>
      <c r="G75">
        <v>202602</v>
      </c>
      <c r="H75" t="s">
        <v>75</v>
      </c>
      <c r="I75" t="s">
        <v>76</v>
      </c>
      <c r="J75" t="s">
        <v>77</v>
      </c>
      <c r="K75" t="s">
        <v>78</v>
      </c>
      <c r="L75" t="s">
        <v>177</v>
      </c>
      <c r="M75" t="s">
        <v>178</v>
      </c>
      <c r="N75" t="s">
        <v>393</v>
      </c>
      <c r="O75" t="s">
        <v>82</v>
      </c>
      <c r="P75" t="str">
        <f>"4170036735                    "</f>
        <v xml:space="preserve">4170036735                    </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22.11</v>
      </c>
      <c r="AR75">
        <v>0</v>
      </c>
      <c r="AS75">
        <v>0</v>
      </c>
      <c r="AT75">
        <v>0</v>
      </c>
      <c r="AU75">
        <v>0</v>
      </c>
      <c r="AV75">
        <v>0</v>
      </c>
      <c r="AW75">
        <v>0</v>
      </c>
      <c r="AX75">
        <v>0</v>
      </c>
      <c r="AY75">
        <v>0</v>
      </c>
      <c r="AZ75">
        <v>0</v>
      </c>
      <c r="BA75">
        <v>0</v>
      </c>
      <c r="BB75">
        <v>0</v>
      </c>
      <c r="BC75">
        <v>0</v>
      </c>
      <c r="BD75">
        <v>0</v>
      </c>
      <c r="BE75">
        <v>0</v>
      </c>
      <c r="BF75">
        <v>0</v>
      </c>
      <c r="BG75">
        <v>0</v>
      </c>
      <c r="BH75">
        <v>1</v>
      </c>
      <c r="BI75">
        <v>1</v>
      </c>
      <c r="BJ75">
        <v>0.2</v>
      </c>
      <c r="BK75">
        <v>1</v>
      </c>
      <c r="BL75">
        <v>70.709999999999994</v>
      </c>
      <c r="BM75">
        <v>10.61</v>
      </c>
      <c r="BN75">
        <v>81.319999999999993</v>
      </c>
      <c r="BO75">
        <v>81.319999999999993</v>
      </c>
      <c r="BQ75" t="s">
        <v>394</v>
      </c>
      <c r="BR75" t="s">
        <v>84</v>
      </c>
      <c r="BS75" s="3">
        <v>45782</v>
      </c>
      <c r="BT75" s="4">
        <v>0.34722222222222221</v>
      </c>
      <c r="BU75" t="s">
        <v>395</v>
      </c>
      <c r="BV75" t="s">
        <v>86</v>
      </c>
      <c r="BY75">
        <v>1200</v>
      </c>
      <c r="CA75" t="s">
        <v>182</v>
      </c>
      <c r="CC75" t="s">
        <v>178</v>
      </c>
      <c r="CD75">
        <v>6230</v>
      </c>
      <c r="CE75" t="s">
        <v>88</v>
      </c>
      <c r="CF75" s="3">
        <v>45782</v>
      </c>
      <c r="CI75">
        <v>1</v>
      </c>
      <c r="CJ75">
        <v>1</v>
      </c>
      <c r="CK75">
        <v>21</v>
      </c>
      <c r="CL75" t="s">
        <v>89</v>
      </c>
    </row>
    <row r="76" spans="1:90" x14ac:dyDescent="0.3">
      <c r="A76" t="s">
        <v>72</v>
      </c>
      <c r="B76" t="s">
        <v>73</v>
      </c>
      <c r="C76" t="s">
        <v>74</v>
      </c>
      <c r="E76" t="str">
        <f>"080065132083"</f>
        <v>080065132083</v>
      </c>
      <c r="F76" s="3">
        <v>45779</v>
      </c>
      <c r="G76">
        <v>202602</v>
      </c>
      <c r="H76" t="s">
        <v>75</v>
      </c>
      <c r="I76" t="s">
        <v>76</v>
      </c>
      <c r="J76" t="s">
        <v>77</v>
      </c>
      <c r="K76" t="s">
        <v>78</v>
      </c>
      <c r="L76" t="s">
        <v>103</v>
      </c>
      <c r="M76" t="s">
        <v>104</v>
      </c>
      <c r="N76" t="s">
        <v>396</v>
      </c>
      <c r="O76" t="s">
        <v>82</v>
      </c>
      <c r="P76" t="str">
        <f>"4170036717                    "</f>
        <v xml:space="preserve">4170036717                    </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22.11</v>
      </c>
      <c r="AR76">
        <v>0</v>
      </c>
      <c r="AS76">
        <v>0</v>
      </c>
      <c r="AT76">
        <v>0</v>
      </c>
      <c r="AU76">
        <v>0</v>
      </c>
      <c r="AV76">
        <v>0</v>
      </c>
      <c r="AW76">
        <v>16.739999999999998</v>
      </c>
      <c r="AX76">
        <v>0</v>
      </c>
      <c r="AY76">
        <v>0</v>
      </c>
      <c r="AZ76">
        <v>0</v>
      </c>
      <c r="BA76">
        <v>0</v>
      </c>
      <c r="BB76">
        <v>0</v>
      </c>
      <c r="BC76">
        <v>0</v>
      </c>
      <c r="BD76">
        <v>0</v>
      </c>
      <c r="BE76">
        <v>0</v>
      </c>
      <c r="BF76">
        <v>0</v>
      </c>
      <c r="BG76">
        <v>0</v>
      </c>
      <c r="BH76">
        <v>1</v>
      </c>
      <c r="BI76">
        <v>1</v>
      </c>
      <c r="BJ76">
        <v>0.2</v>
      </c>
      <c r="BK76">
        <v>1</v>
      </c>
      <c r="BL76">
        <v>87.45</v>
      </c>
      <c r="BM76">
        <v>13.12</v>
      </c>
      <c r="BN76">
        <v>100.57</v>
      </c>
      <c r="BO76">
        <v>100.57</v>
      </c>
      <c r="BQ76" t="s">
        <v>397</v>
      </c>
      <c r="BR76" t="s">
        <v>84</v>
      </c>
      <c r="BS76" s="3">
        <v>45782</v>
      </c>
      <c r="BT76" s="4">
        <v>0.41666666666666669</v>
      </c>
      <c r="BU76" t="s">
        <v>398</v>
      </c>
      <c r="BV76" t="s">
        <v>86</v>
      </c>
      <c r="BY76">
        <v>1200</v>
      </c>
      <c r="BZ76" t="s">
        <v>30</v>
      </c>
      <c r="CC76" t="s">
        <v>104</v>
      </c>
      <c r="CD76">
        <v>3699</v>
      </c>
      <c r="CE76" t="s">
        <v>88</v>
      </c>
      <c r="CF76" s="3">
        <v>45783</v>
      </c>
      <c r="CI76">
        <v>1</v>
      </c>
      <c r="CJ76">
        <v>1</v>
      </c>
      <c r="CK76">
        <v>21</v>
      </c>
      <c r="CL76" t="s">
        <v>89</v>
      </c>
    </row>
    <row r="77" spans="1:90" x14ac:dyDescent="0.3">
      <c r="A77" t="s">
        <v>72</v>
      </c>
      <c r="B77" t="s">
        <v>73</v>
      </c>
      <c r="C77" t="s">
        <v>74</v>
      </c>
      <c r="E77" t="str">
        <f>"080065132132"</f>
        <v>080065132132</v>
      </c>
      <c r="F77" s="3">
        <v>45779</v>
      </c>
      <c r="G77">
        <v>202602</v>
      </c>
      <c r="H77" t="s">
        <v>75</v>
      </c>
      <c r="I77" t="s">
        <v>76</v>
      </c>
      <c r="J77" t="s">
        <v>77</v>
      </c>
      <c r="K77" t="s">
        <v>78</v>
      </c>
      <c r="L77" t="s">
        <v>90</v>
      </c>
      <c r="M77" t="s">
        <v>91</v>
      </c>
      <c r="N77" t="s">
        <v>399</v>
      </c>
      <c r="O77" t="s">
        <v>82</v>
      </c>
      <c r="P77" t="str">
        <f>"4170036669                    "</f>
        <v xml:space="preserve">4170036669                    </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22.11</v>
      </c>
      <c r="AR77">
        <v>0</v>
      </c>
      <c r="AS77">
        <v>0</v>
      </c>
      <c r="AT77">
        <v>0</v>
      </c>
      <c r="AU77">
        <v>0</v>
      </c>
      <c r="AV77">
        <v>0</v>
      </c>
      <c r="AW77">
        <v>0</v>
      </c>
      <c r="AX77">
        <v>0</v>
      </c>
      <c r="AY77">
        <v>0</v>
      </c>
      <c r="AZ77">
        <v>0</v>
      </c>
      <c r="BA77">
        <v>0</v>
      </c>
      <c r="BB77">
        <v>0</v>
      </c>
      <c r="BC77">
        <v>0</v>
      </c>
      <c r="BD77">
        <v>0</v>
      </c>
      <c r="BE77">
        <v>0</v>
      </c>
      <c r="BF77">
        <v>0</v>
      </c>
      <c r="BG77">
        <v>0</v>
      </c>
      <c r="BH77">
        <v>1</v>
      </c>
      <c r="BI77">
        <v>1</v>
      </c>
      <c r="BJ77">
        <v>0.2</v>
      </c>
      <c r="BK77">
        <v>1</v>
      </c>
      <c r="BL77">
        <v>70.709999999999994</v>
      </c>
      <c r="BM77">
        <v>10.61</v>
      </c>
      <c r="BN77">
        <v>81.319999999999993</v>
      </c>
      <c r="BO77">
        <v>81.319999999999993</v>
      </c>
      <c r="BQ77" t="s">
        <v>400</v>
      </c>
      <c r="BR77" t="s">
        <v>84</v>
      </c>
      <c r="BS77" s="3">
        <v>45783</v>
      </c>
      <c r="BT77" s="4">
        <v>0.41597222222222224</v>
      </c>
      <c r="BU77" t="s">
        <v>401</v>
      </c>
      <c r="BV77" t="s">
        <v>89</v>
      </c>
      <c r="BW77" t="s">
        <v>296</v>
      </c>
      <c r="BX77" t="s">
        <v>402</v>
      </c>
      <c r="BY77">
        <v>1200</v>
      </c>
      <c r="CA77" t="s">
        <v>403</v>
      </c>
      <c r="CC77" t="s">
        <v>91</v>
      </c>
      <c r="CD77">
        <v>6000</v>
      </c>
      <c r="CE77" t="s">
        <v>88</v>
      </c>
      <c r="CF77" s="3">
        <v>45783</v>
      </c>
      <c r="CI77">
        <v>1</v>
      </c>
      <c r="CJ77">
        <v>2</v>
      </c>
      <c r="CK77">
        <v>21</v>
      </c>
      <c r="CL77" t="s">
        <v>89</v>
      </c>
    </row>
    <row r="78" spans="1:90" x14ac:dyDescent="0.3">
      <c r="A78" t="s">
        <v>72</v>
      </c>
      <c r="B78" t="s">
        <v>73</v>
      </c>
      <c r="C78" t="s">
        <v>74</v>
      </c>
      <c r="E78" t="str">
        <f>"080065132159"</f>
        <v>080065132159</v>
      </c>
      <c r="F78" s="3">
        <v>45779</v>
      </c>
      <c r="G78">
        <v>202602</v>
      </c>
      <c r="H78" t="s">
        <v>75</v>
      </c>
      <c r="I78" t="s">
        <v>76</v>
      </c>
      <c r="J78" t="s">
        <v>77</v>
      </c>
      <c r="K78" t="s">
        <v>78</v>
      </c>
      <c r="L78" t="s">
        <v>350</v>
      </c>
      <c r="M78" t="s">
        <v>351</v>
      </c>
      <c r="N78" t="s">
        <v>404</v>
      </c>
      <c r="O78" t="s">
        <v>82</v>
      </c>
      <c r="P78" t="str">
        <f>"4170036676                    "</f>
        <v xml:space="preserve">4170036676                    </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22.11</v>
      </c>
      <c r="AR78">
        <v>0</v>
      </c>
      <c r="AS78">
        <v>0</v>
      </c>
      <c r="AT78">
        <v>0</v>
      </c>
      <c r="AU78">
        <v>0</v>
      </c>
      <c r="AV78">
        <v>0</v>
      </c>
      <c r="AW78">
        <v>0</v>
      </c>
      <c r="AX78">
        <v>0</v>
      </c>
      <c r="AY78">
        <v>0</v>
      </c>
      <c r="AZ78">
        <v>0</v>
      </c>
      <c r="BA78">
        <v>0</v>
      </c>
      <c r="BB78">
        <v>0</v>
      </c>
      <c r="BC78">
        <v>0</v>
      </c>
      <c r="BD78">
        <v>0</v>
      </c>
      <c r="BE78">
        <v>0</v>
      </c>
      <c r="BF78">
        <v>0</v>
      </c>
      <c r="BG78">
        <v>0</v>
      </c>
      <c r="BH78">
        <v>1</v>
      </c>
      <c r="BI78">
        <v>1</v>
      </c>
      <c r="BJ78">
        <v>0.2</v>
      </c>
      <c r="BK78">
        <v>1</v>
      </c>
      <c r="BL78">
        <v>70.709999999999994</v>
      </c>
      <c r="BM78">
        <v>10.61</v>
      </c>
      <c r="BN78">
        <v>81.319999999999993</v>
      </c>
      <c r="BO78">
        <v>81.319999999999993</v>
      </c>
      <c r="BQ78" t="s">
        <v>405</v>
      </c>
      <c r="BR78" t="s">
        <v>84</v>
      </c>
      <c r="BS78" s="3">
        <v>45782</v>
      </c>
      <c r="BT78" s="4">
        <v>0.73333333333333328</v>
      </c>
      <c r="BU78" t="s">
        <v>406</v>
      </c>
      <c r="BV78" t="s">
        <v>89</v>
      </c>
      <c r="BW78" t="s">
        <v>296</v>
      </c>
      <c r="BX78" t="s">
        <v>325</v>
      </c>
      <c r="BY78">
        <v>1200</v>
      </c>
      <c r="CA78" t="s">
        <v>326</v>
      </c>
      <c r="CC78" t="s">
        <v>351</v>
      </c>
      <c r="CD78">
        <v>4052</v>
      </c>
      <c r="CE78" t="s">
        <v>88</v>
      </c>
      <c r="CF78" s="3">
        <v>45783</v>
      </c>
      <c r="CI78">
        <v>1</v>
      </c>
      <c r="CJ78">
        <v>1</v>
      </c>
      <c r="CK78">
        <v>21</v>
      </c>
      <c r="CL78" t="s">
        <v>89</v>
      </c>
    </row>
    <row r="79" spans="1:90" x14ac:dyDescent="0.3">
      <c r="A79" t="s">
        <v>72</v>
      </c>
      <c r="B79" t="s">
        <v>73</v>
      </c>
      <c r="C79" t="s">
        <v>74</v>
      </c>
      <c r="E79" t="str">
        <f>"080065132191"</f>
        <v>080065132191</v>
      </c>
      <c r="F79" s="3">
        <v>45779</v>
      </c>
      <c r="G79">
        <v>202602</v>
      </c>
      <c r="H79" t="s">
        <v>75</v>
      </c>
      <c r="I79" t="s">
        <v>76</v>
      </c>
      <c r="J79" t="s">
        <v>77</v>
      </c>
      <c r="K79" t="s">
        <v>78</v>
      </c>
      <c r="L79" t="s">
        <v>75</v>
      </c>
      <c r="M79" t="s">
        <v>76</v>
      </c>
      <c r="N79" t="s">
        <v>346</v>
      </c>
      <c r="O79" t="s">
        <v>82</v>
      </c>
      <c r="P79" t="str">
        <f>"4170036751                    "</f>
        <v xml:space="preserve">4170036751                    </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17.27</v>
      </c>
      <c r="AR79">
        <v>0</v>
      </c>
      <c r="AS79">
        <v>0</v>
      </c>
      <c r="AT79">
        <v>0</v>
      </c>
      <c r="AU79">
        <v>0</v>
      </c>
      <c r="AV79">
        <v>0</v>
      </c>
      <c r="AW79">
        <v>0</v>
      </c>
      <c r="AX79">
        <v>0</v>
      </c>
      <c r="AY79">
        <v>0</v>
      </c>
      <c r="AZ79">
        <v>0</v>
      </c>
      <c r="BA79">
        <v>0</v>
      </c>
      <c r="BB79">
        <v>0</v>
      </c>
      <c r="BC79">
        <v>0</v>
      </c>
      <c r="BD79">
        <v>0</v>
      </c>
      <c r="BE79">
        <v>0</v>
      </c>
      <c r="BF79">
        <v>0</v>
      </c>
      <c r="BG79">
        <v>0</v>
      </c>
      <c r="BH79">
        <v>1</v>
      </c>
      <c r="BI79">
        <v>1</v>
      </c>
      <c r="BJ79">
        <v>1.4</v>
      </c>
      <c r="BK79">
        <v>2</v>
      </c>
      <c r="BL79">
        <v>55.23</v>
      </c>
      <c r="BM79">
        <v>8.2799999999999994</v>
      </c>
      <c r="BN79">
        <v>63.51</v>
      </c>
      <c r="BO79">
        <v>63.51</v>
      </c>
      <c r="BQ79" t="s">
        <v>347</v>
      </c>
      <c r="BR79" t="s">
        <v>84</v>
      </c>
      <c r="BS79" s="3">
        <v>45782</v>
      </c>
      <c r="BT79" s="4">
        <v>0.40138888888888891</v>
      </c>
      <c r="BU79" t="s">
        <v>407</v>
      </c>
      <c r="BV79" t="s">
        <v>86</v>
      </c>
      <c r="BY79">
        <v>7000</v>
      </c>
      <c r="BZ79" t="s">
        <v>127</v>
      </c>
      <c r="CA79" t="s">
        <v>349</v>
      </c>
      <c r="CC79" t="s">
        <v>76</v>
      </c>
      <c r="CD79">
        <v>1619</v>
      </c>
      <c r="CE79" t="s">
        <v>408</v>
      </c>
      <c r="CF79" s="3">
        <v>45782</v>
      </c>
      <c r="CI79">
        <v>1</v>
      </c>
      <c r="CJ79">
        <v>1</v>
      </c>
      <c r="CK79">
        <v>22</v>
      </c>
      <c r="CL79" t="s">
        <v>89</v>
      </c>
    </row>
    <row r="80" spans="1:90" x14ac:dyDescent="0.3">
      <c r="A80" t="s">
        <v>72</v>
      </c>
      <c r="B80" t="s">
        <v>73</v>
      </c>
      <c r="C80" t="s">
        <v>74</v>
      </c>
      <c r="E80" t="str">
        <f>"080065132241"</f>
        <v>080065132241</v>
      </c>
      <c r="F80" s="3">
        <v>45779</v>
      </c>
      <c r="G80">
        <v>202602</v>
      </c>
      <c r="H80" t="s">
        <v>75</v>
      </c>
      <c r="I80" t="s">
        <v>76</v>
      </c>
      <c r="J80" t="s">
        <v>77</v>
      </c>
      <c r="K80" t="s">
        <v>78</v>
      </c>
      <c r="L80" t="s">
        <v>123</v>
      </c>
      <c r="M80" t="s">
        <v>123</v>
      </c>
      <c r="N80" t="s">
        <v>317</v>
      </c>
      <c r="O80" t="s">
        <v>82</v>
      </c>
      <c r="P80" t="str">
        <f>"4170036695                    "</f>
        <v xml:space="preserve">4170036695                    </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42.84</v>
      </c>
      <c r="AR80">
        <v>0</v>
      </c>
      <c r="AS80">
        <v>0</v>
      </c>
      <c r="AT80">
        <v>0</v>
      </c>
      <c r="AU80">
        <v>0</v>
      </c>
      <c r="AV80">
        <v>0</v>
      </c>
      <c r="AW80">
        <v>0</v>
      </c>
      <c r="AX80">
        <v>0</v>
      </c>
      <c r="AY80">
        <v>0</v>
      </c>
      <c r="AZ80">
        <v>0</v>
      </c>
      <c r="BA80">
        <v>0</v>
      </c>
      <c r="BB80">
        <v>0</v>
      </c>
      <c r="BC80">
        <v>0</v>
      </c>
      <c r="BD80">
        <v>0</v>
      </c>
      <c r="BE80">
        <v>0</v>
      </c>
      <c r="BF80">
        <v>0</v>
      </c>
      <c r="BG80">
        <v>0</v>
      </c>
      <c r="BH80">
        <v>1</v>
      </c>
      <c r="BI80">
        <v>2</v>
      </c>
      <c r="BJ80">
        <v>1.4</v>
      </c>
      <c r="BK80">
        <v>2</v>
      </c>
      <c r="BL80">
        <v>137</v>
      </c>
      <c r="BM80">
        <v>20.55</v>
      </c>
      <c r="BN80">
        <v>157.55000000000001</v>
      </c>
      <c r="BO80">
        <v>157.55000000000001</v>
      </c>
      <c r="BQ80" t="s">
        <v>318</v>
      </c>
      <c r="BR80" t="s">
        <v>84</v>
      </c>
      <c r="BS80" s="3">
        <v>45782</v>
      </c>
      <c r="BT80" s="4">
        <v>0.47916666666666669</v>
      </c>
      <c r="BU80" t="s">
        <v>319</v>
      </c>
      <c r="BV80" t="s">
        <v>86</v>
      </c>
      <c r="BY80">
        <v>7000</v>
      </c>
      <c r="BZ80" t="s">
        <v>127</v>
      </c>
      <c r="CA80" t="s">
        <v>128</v>
      </c>
      <c r="CC80" t="s">
        <v>123</v>
      </c>
      <c r="CD80">
        <v>7646</v>
      </c>
      <c r="CE80" t="s">
        <v>408</v>
      </c>
      <c r="CF80" s="3">
        <v>45783</v>
      </c>
      <c r="CI80">
        <v>1</v>
      </c>
      <c r="CJ80">
        <v>1</v>
      </c>
      <c r="CK80">
        <v>23</v>
      </c>
      <c r="CL80" t="s">
        <v>89</v>
      </c>
    </row>
    <row r="81" spans="1:90" x14ac:dyDescent="0.3">
      <c r="A81" t="s">
        <v>72</v>
      </c>
      <c r="B81" t="s">
        <v>73</v>
      </c>
      <c r="C81" t="s">
        <v>74</v>
      </c>
      <c r="E81" t="str">
        <f>"080065132304"</f>
        <v>080065132304</v>
      </c>
      <c r="F81" s="3">
        <v>45779</v>
      </c>
      <c r="G81">
        <v>202602</v>
      </c>
      <c r="H81" t="s">
        <v>75</v>
      </c>
      <c r="I81" t="s">
        <v>76</v>
      </c>
      <c r="J81" t="s">
        <v>77</v>
      </c>
      <c r="K81" t="s">
        <v>78</v>
      </c>
      <c r="L81" t="s">
        <v>409</v>
      </c>
      <c r="M81" t="s">
        <v>410</v>
      </c>
      <c r="N81" t="s">
        <v>411</v>
      </c>
      <c r="O81" t="s">
        <v>82</v>
      </c>
      <c r="P81" t="str">
        <f>"4170036635                    "</f>
        <v xml:space="preserve">4170036635                    </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120.23</v>
      </c>
      <c r="AR81">
        <v>0</v>
      </c>
      <c r="AS81">
        <v>0</v>
      </c>
      <c r="AT81">
        <v>0</v>
      </c>
      <c r="AU81">
        <v>0</v>
      </c>
      <c r="AV81">
        <v>0</v>
      </c>
      <c r="AW81">
        <v>0</v>
      </c>
      <c r="AX81">
        <v>0</v>
      </c>
      <c r="AY81">
        <v>0</v>
      </c>
      <c r="AZ81">
        <v>0</v>
      </c>
      <c r="BA81">
        <v>0</v>
      </c>
      <c r="BB81">
        <v>0</v>
      </c>
      <c r="BC81">
        <v>0</v>
      </c>
      <c r="BD81">
        <v>0</v>
      </c>
      <c r="BE81">
        <v>0</v>
      </c>
      <c r="BF81">
        <v>0</v>
      </c>
      <c r="BG81">
        <v>0</v>
      </c>
      <c r="BH81">
        <v>1</v>
      </c>
      <c r="BI81">
        <v>6</v>
      </c>
      <c r="BJ81">
        <v>1.7</v>
      </c>
      <c r="BK81">
        <v>6</v>
      </c>
      <c r="BL81">
        <v>384.47</v>
      </c>
      <c r="BM81">
        <v>57.67</v>
      </c>
      <c r="BN81">
        <v>442.14</v>
      </c>
      <c r="BO81">
        <v>442.14</v>
      </c>
      <c r="BQ81" t="s">
        <v>412</v>
      </c>
      <c r="BR81" t="s">
        <v>84</v>
      </c>
      <c r="BS81" s="3">
        <v>45782</v>
      </c>
      <c r="BT81" s="4">
        <v>0.56944444444444442</v>
      </c>
      <c r="BU81" t="s">
        <v>413</v>
      </c>
      <c r="BV81" t="s">
        <v>86</v>
      </c>
      <c r="BY81">
        <v>8512</v>
      </c>
      <c r="BZ81" t="s">
        <v>127</v>
      </c>
      <c r="CA81" t="s">
        <v>414</v>
      </c>
      <c r="CC81" t="s">
        <v>410</v>
      </c>
      <c r="CD81">
        <v>6850</v>
      </c>
      <c r="CE81" t="s">
        <v>408</v>
      </c>
      <c r="CF81" s="3">
        <v>45783</v>
      </c>
      <c r="CI81">
        <v>2</v>
      </c>
      <c r="CJ81">
        <v>1</v>
      </c>
      <c r="CK81">
        <v>23</v>
      </c>
      <c r="CL81" t="s">
        <v>89</v>
      </c>
    </row>
    <row r="82" spans="1:90" x14ac:dyDescent="0.3">
      <c r="A82" t="s">
        <v>72</v>
      </c>
      <c r="B82" t="s">
        <v>73</v>
      </c>
      <c r="C82" t="s">
        <v>74</v>
      </c>
      <c r="E82" t="str">
        <f>"080065132345"</f>
        <v>080065132345</v>
      </c>
      <c r="F82" s="3">
        <v>45779</v>
      </c>
      <c r="G82">
        <v>202602</v>
      </c>
      <c r="H82" t="s">
        <v>75</v>
      </c>
      <c r="I82" t="s">
        <v>76</v>
      </c>
      <c r="J82" t="s">
        <v>77</v>
      </c>
      <c r="K82" t="s">
        <v>78</v>
      </c>
      <c r="L82" t="s">
        <v>79</v>
      </c>
      <c r="M82" t="s">
        <v>80</v>
      </c>
      <c r="N82" t="s">
        <v>415</v>
      </c>
      <c r="O82" t="s">
        <v>82</v>
      </c>
      <c r="P82" t="str">
        <f>"4170036642                    "</f>
        <v xml:space="preserve">4170036642                    </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38.68</v>
      </c>
      <c r="AR82">
        <v>0</v>
      </c>
      <c r="AS82">
        <v>0</v>
      </c>
      <c r="AT82">
        <v>0</v>
      </c>
      <c r="AU82">
        <v>0</v>
      </c>
      <c r="AV82">
        <v>0</v>
      </c>
      <c r="AW82">
        <v>0</v>
      </c>
      <c r="AX82">
        <v>0</v>
      </c>
      <c r="AY82">
        <v>0</v>
      </c>
      <c r="AZ82">
        <v>0</v>
      </c>
      <c r="BA82">
        <v>0</v>
      </c>
      <c r="BB82">
        <v>0</v>
      </c>
      <c r="BC82">
        <v>0</v>
      </c>
      <c r="BD82">
        <v>0</v>
      </c>
      <c r="BE82">
        <v>0</v>
      </c>
      <c r="BF82">
        <v>0</v>
      </c>
      <c r="BG82">
        <v>0</v>
      </c>
      <c r="BH82">
        <v>1</v>
      </c>
      <c r="BI82">
        <v>2</v>
      </c>
      <c r="BJ82">
        <v>3.4</v>
      </c>
      <c r="BK82">
        <v>3.5</v>
      </c>
      <c r="BL82">
        <v>123.7</v>
      </c>
      <c r="BM82">
        <v>18.559999999999999</v>
      </c>
      <c r="BN82">
        <v>142.26</v>
      </c>
      <c r="BO82">
        <v>142.26</v>
      </c>
      <c r="BQ82" t="s">
        <v>416</v>
      </c>
      <c r="BR82" t="s">
        <v>84</v>
      </c>
      <c r="BS82" s="3">
        <v>45782</v>
      </c>
      <c r="BT82" s="4">
        <v>0.41666666666666669</v>
      </c>
      <c r="BU82" t="s">
        <v>417</v>
      </c>
      <c r="BV82" t="s">
        <v>86</v>
      </c>
      <c r="BY82">
        <v>16965</v>
      </c>
      <c r="BZ82" t="s">
        <v>127</v>
      </c>
      <c r="CA82" t="s">
        <v>418</v>
      </c>
      <c r="CC82" t="s">
        <v>80</v>
      </c>
      <c r="CD82">
        <v>3610</v>
      </c>
      <c r="CE82" t="s">
        <v>419</v>
      </c>
      <c r="CF82" s="3">
        <v>45783</v>
      </c>
      <c r="CI82">
        <v>1</v>
      </c>
      <c r="CJ82">
        <v>1</v>
      </c>
      <c r="CK82">
        <v>21</v>
      </c>
      <c r="CL82" t="s">
        <v>89</v>
      </c>
    </row>
    <row r="83" spans="1:90" x14ac:dyDescent="0.3">
      <c r="A83" t="s">
        <v>72</v>
      </c>
      <c r="B83" t="s">
        <v>73</v>
      </c>
      <c r="C83" t="s">
        <v>74</v>
      </c>
      <c r="E83" t="str">
        <f>"080065132383"</f>
        <v>080065132383</v>
      </c>
      <c r="F83" s="3">
        <v>45779</v>
      </c>
      <c r="G83">
        <v>202602</v>
      </c>
      <c r="H83" t="s">
        <v>75</v>
      </c>
      <c r="I83" t="s">
        <v>76</v>
      </c>
      <c r="J83" t="s">
        <v>77</v>
      </c>
      <c r="K83" t="s">
        <v>78</v>
      </c>
      <c r="L83" t="s">
        <v>420</v>
      </c>
      <c r="M83" t="s">
        <v>421</v>
      </c>
      <c r="N83" t="s">
        <v>422</v>
      </c>
      <c r="O83" t="s">
        <v>82</v>
      </c>
      <c r="P83" t="str">
        <f>"4170036638                    "</f>
        <v xml:space="preserve">4170036638                    </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42.84</v>
      </c>
      <c r="AR83">
        <v>0</v>
      </c>
      <c r="AS83">
        <v>0</v>
      </c>
      <c r="AT83">
        <v>0</v>
      </c>
      <c r="AU83">
        <v>0</v>
      </c>
      <c r="AV83">
        <v>0</v>
      </c>
      <c r="AW83">
        <v>0</v>
      </c>
      <c r="AX83">
        <v>0</v>
      </c>
      <c r="AY83">
        <v>0</v>
      </c>
      <c r="AZ83">
        <v>0</v>
      </c>
      <c r="BA83">
        <v>0</v>
      </c>
      <c r="BB83">
        <v>0</v>
      </c>
      <c r="BC83">
        <v>0</v>
      </c>
      <c r="BD83">
        <v>0</v>
      </c>
      <c r="BE83">
        <v>0</v>
      </c>
      <c r="BF83">
        <v>0</v>
      </c>
      <c r="BG83">
        <v>0</v>
      </c>
      <c r="BH83">
        <v>1</v>
      </c>
      <c r="BI83">
        <v>1</v>
      </c>
      <c r="BJ83">
        <v>1.1000000000000001</v>
      </c>
      <c r="BK83">
        <v>1.5</v>
      </c>
      <c r="BL83">
        <v>137</v>
      </c>
      <c r="BM83">
        <v>20.55</v>
      </c>
      <c r="BN83">
        <v>157.55000000000001</v>
      </c>
      <c r="BO83">
        <v>157.55000000000001</v>
      </c>
      <c r="BQ83" t="s">
        <v>423</v>
      </c>
      <c r="BR83" t="s">
        <v>84</v>
      </c>
      <c r="BS83" s="3">
        <v>45782</v>
      </c>
      <c r="BT83" s="4">
        <v>0.68680555555555556</v>
      </c>
      <c r="BU83" t="s">
        <v>424</v>
      </c>
      <c r="BV83" t="s">
        <v>86</v>
      </c>
      <c r="BY83">
        <v>5320</v>
      </c>
      <c r="BZ83" t="s">
        <v>127</v>
      </c>
      <c r="CA83" t="s">
        <v>425</v>
      </c>
      <c r="CC83" t="s">
        <v>421</v>
      </c>
      <c r="CD83">
        <v>3280</v>
      </c>
      <c r="CE83" t="s">
        <v>408</v>
      </c>
      <c r="CF83" s="3">
        <v>45783</v>
      </c>
      <c r="CI83">
        <v>1</v>
      </c>
      <c r="CJ83">
        <v>1</v>
      </c>
      <c r="CK83">
        <v>23</v>
      </c>
      <c r="CL83" t="s">
        <v>89</v>
      </c>
    </row>
    <row r="84" spans="1:90" x14ac:dyDescent="0.3">
      <c r="A84" t="s">
        <v>72</v>
      </c>
      <c r="B84" t="s">
        <v>73</v>
      </c>
      <c r="C84" t="s">
        <v>74</v>
      </c>
      <c r="E84" t="str">
        <f>"080065132413"</f>
        <v>080065132413</v>
      </c>
      <c r="F84" s="3">
        <v>45779</v>
      </c>
      <c r="G84">
        <v>202602</v>
      </c>
      <c r="H84" t="s">
        <v>75</v>
      </c>
      <c r="I84" t="s">
        <v>76</v>
      </c>
      <c r="J84" t="s">
        <v>77</v>
      </c>
      <c r="K84" t="s">
        <v>78</v>
      </c>
      <c r="L84" t="s">
        <v>130</v>
      </c>
      <c r="M84" t="s">
        <v>131</v>
      </c>
      <c r="N84" t="s">
        <v>426</v>
      </c>
      <c r="O84" t="s">
        <v>82</v>
      </c>
      <c r="P84" t="str">
        <f>"4170036753                    "</f>
        <v xml:space="preserve">4170036753                    </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38.68</v>
      </c>
      <c r="AR84">
        <v>0</v>
      </c>
      <c r="AS84">
        <v>0</v>
      </c>
      <c r="AT84">
        <v>0</v>
      </c>
      <c r="AU84">
        <v>0</v>
      </c>
      <c r="AV84">
        <v>0</v>
      </c>
      <c r="AW84">
        <v>0</v>
      </c>
      <c r="AX84">
        <v>0</v>
      </c>
      <c r="AY84">
        <v>0</v>
      </c>
      <c r="AZ84">
        <v>0</v>
      </c>
      <c r="BA84">
        <v>0</v>
      </c>
      <c r="BB84">
        <v>0</v>
      </c>
      <c r="BC84">
        <v>0</v>
      </c>
      <c r="BD84">
        <v>0</v>
      </c>
      <c r="BE84">
        <v>0</v>
      </c>
      <c r="BF84">
        <v>0</v>
      </c>
      <c r="BG84">
        <v>0</v>
      </c>
      <c r="BH84">
        <v>1</v>
      </c>
      <c r="BI84">
        <v>2</v>
      </c>
      <c r="BJ84">
        <v>3.4</v>
      </c>
      <c r="BK84">
        <v>3.5</v>
      </c>
      <c r="BL84">
        <v>123.7</v>
      </c>
      <c r="BM84">
        <v>18.559999999999999</v>
      </c>
      <c r="BN84">
        <v>142.26</v>
      </c>
      <c r="BO84">
        <v>142.26</v>
      </c>
      <c r="BQ84" t="s">
        <v>427</v>
      </c>
      <c r="BR84" t="s">
        <v>84</v>
      </c>
      <c r="BS84" s="3">
        <v>45782</v>
      </c>
      <c r="BT84" s="4">
        <v>0.39374999999999999</v>
      </c>
      <c r="BU84" t="s">
        <v>428</v>
      </c>
      <c r="BV84" t="s">
        <v>86</v>
      </c>
      <c r="BY84">
        <v>16965</v>
      </c>
      <c r="BZ84" t="s">
        <v>127</v>
      </c>
      <c r="CA84" t="s">
        <v>429</v>
      </c>
      <c r="CC84" t="s">
        <v>131</v>
      </c>
      <c r="CD84">
        <v>7945</v>
      </c>
      <c r="CE84" t="s">
        <v>419</v>
      </c>
      <c r="CF84" s="3">
        <v>45783</v>
      </c>
      <c r="CI84">
        <v>1</v>
      </c>
      <c r="CJ84">
        <v>1</v>
      </c>
      <c r="CK84">
        <v>21</v>
      </c>
      <c r="CL84" t="s">
        <v>89</v>
      </c>
    </row>
    <row r="85" spans="1:90" x14ac:dyDescent="0.3">
      <c r="A85" t="s">
        <v>72</v>
      </c>
      <c r="B85" t="s">
        <v>73</v>
      </c>
      <c r="C85" t="s">
        <v>74</v>
      </c>
      <c r="E85" t="str">
        <f>"080065132450"</f>
        <v>080065132450</v>
      </c>
      <c r="F85" s="3">
        <v>45779</v>
      </c>
      <c r="G85">
        <v>202602</v>
      </c>
      <c r="H85" t="s">
        <v>75</v>
      </c>
      <c r="I85" t="s">
        <v>76</v>
      </c>
      <c r="J85" t="s">
        <v>77</v>
      </c>
      <c r="K85" t="s">
        <v>78</v>
      </c>
      <c r="L85" t="s">
        <v>103</v>
      </c>
      <c r="M85" t="s">
        <v>104</v>
      </c>
      <c r="N85" t="s">
        <v>105</v>
      </c>
      <c r="O85" t="s">
        <v>82</v>
      </c>
      <c r="P85" t="str">
        <f>"4170036709                    "</f>
        <v xml:space="preserve">4170036709                    </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22.11</v>
      </c>
      <c r="AR85">
        <v>0</v>
      </c>
      <c r="AS85">
        <v>0</v>
      </c>
      <c r="AT85">
        <v>0</v>
      </c>
      <c r="AU85">
        <v>0</v>
      </c>
      <c r="AV85">
        <v>0</v>
      </c>
      <c r="AW85">
        <v>0</v>
      </c>
      <c r="AX85">
        <v>0</v>
      </c>
      <c r="AY85">
        <v>0</v>
      </c>
      <c r="AZ85">
        <v>0</v>
      </c>
      <c r="BA85">
        <v>0</v>
      </c>
      <c r="BB85">
        <v>0</v>
      </c>
      <c r="BC85">
        <v>0</v>
      </c>
      <c r="BD85">
        <v>0</v>
      </c>
      <c r="BE85">
        <v>0</v>
      </c>
      <c r="BF85">
        <v>0</v>
      </c>
      <c r="BG85">
        <v>0</v>
      </c>
      <c r="BH85">
        <v>1</v>
      </c>
      <c r="BI85">
        <v>2</v>
      </c>
      <c r="BJ85">
        <v>1.1000000000000001</v>
      </c>
      <c r="BK85">
        <v>2</v>
      </c>
      <c r="BL85">
        <v>70.709999999999994</v>
      </c>
      <c r="BM85">
        <v>10.61</v>
      </c>
      <c r="BN85">
        <v>81.319999999999993</v>
      </c>
      <c r="BO85">
        <v>81.319999999999993</v>
      </c>
      <c r="BQ85" t="s">
        <v>106</v>
      </c>
      <c r="BR85" t="s">
        <v>84</v>
      </c>
      <c r="BS85" s="3">
        <v>45782</v>
      </c>
      <c r="BT85" s="4">
        <v>0.46458333333333335</v>
      </c>
      <c r="BU85" t="s">
        <v>430</v>
      </c>
      <c r="BV85" t="s">
        <v>86</v>
      </c>
      <c r="BY85">
        <v>5320</v>
      </c>
      <c r="CA85" t="s">
        <v>108</v>
      </c>
      <c r="CC85" t="s">
        <v>104</v>
      </c>
      <c r="CD85">
        <v>3201</v>
      </c>
      <c r="CE85" t="s">
        <v>116</v>
      </c>
      <c r="CF85" s="3">
        <v>45783</v>
      </c>
      <c r="CI85">
        <v>1</v>
      </c>
      <c r="CJ85">
        <v>1</v>
      </c>
      <c r="CK85">
        <v>21</v>
      </c>
      <c r="CL85" t="s">
        <v>89</v>
      </c>
    </row>
    <row r="86" spans="1:90" x14ac:dyDescent="0.3">
      <c r="A86" t="s">
        <v>72</v>
      </c>
      <c r="B86" t="s">
        <v>73</v>
      </c>
      <c r="C86" t="s">
        <v>74</v>
      </c>
      <c r="E86" t="str">
        <f>"080065132509"</f>
        <v>080065132509</v>
      </c>
      <c r="F86" s="3">
        <v>45779</v>
      </c>
      <c r="G86">
        <v>202602</v>
      </c>
      <c r="H86" t="s">
        <v>75</v>
      </c>
      <c r="I86" t="s">
        <v>76</v>
      </c>
      <c r="J86" t="s">
        <v>77</v>
      </c>
      <c r="K86" t="s">
        <v>78</v>
      </c>
      <c r="L86" t="s">
        <v>222</v>
      </c>
      <c r="M86" t="s">
        <v>223</v>
      </c>
      <c r="N86" t="s">
        <v>224</v>
      </c>
      <c r="O86" t="s">
        <v>82</v>
      </c>
      <c r="P86" t="str">
        <f>"4170036667                    "</f>
        <v xml:space="preserve">4170036667                    </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31.1</v>
      </c>
      <c r="AR86">
        <v>0</v>
      </c>
      <c r="AS86">
        <v>0</v>
      </c>
      <c r="AT86">
        <v>0</v>
      </c>
      <c r="AU86">
        <v>0</v>
      </c>
      <c r="AV86">
        <v>0</v>
      </c>
      <c r="AW86">
        <v>0</v>
      </c>
      <c r="AX86">
        <v>0</v>
      </c>
      <c r="AY86">
        <v>0</v>
      </c>
      <c r="AZ86">
        <v>0</v>
      </c>
      <c r="BA86">
        <v>0</v>
      </c>
      <c r="BB86">
        <v>0</v>
      </c>
      <c r="BC86">
        <v>0</v>
      </c>
      <c r="BD86">
        <v>0</v>
      </c>
      <c r="BE86">
        <v>0</v>
      </c>
      <c r="BF86">
        <v>0</v>
      </c>
      <c r="BG86">
        <v>0</v>
      </c>
      <c r="BH86">
        <v>1</v>
      </c>
      <c r="BI86">
        <v>1</v>
      </c>
      <c r="BJ86">
        <v>1.1000000000000001</v>
      </c>
      <c r="BK86">
        <v>1.5</v>
      </c>
      <c r="BL86">
        <v>99.45</v>
      </c>
      <c r="BM86">
        <v>14.92</v>
      </c>
      <c r="BN86">
        <v>114.37</v>
      </c>
      <c r="BO86">
        <v>114.37</v>
      </c>
      <c r="BQ86" t="s">
        <v>225</v>
      </c>
      <c r="BR86" t="s">
        <v>84</v>
      </c>
      <c r="BS86" s="3">
        <v>45782</v>
      </c>
      <c r="BT86" s="4">
        <v>0.46736111111111112</v>
      </c>
      <c r="BU86" t="s">
        <v>226</v>
      </c>
      <c r="BV86" t="s">
        <v>86</v>
      </c>
      <c r="BY86">
        <v>5320</v>
      </c>
      <c r="CA86" t="s">
        <v>227</v>
      </c>
      <c r="CC86" t="s">
        <v>223</v>
      </c>
      <c r="CD86">
        <v>1754</v>
      </c>
      <c r="CE86" t="s">
        <v>116</v>
      </c>
      <c r="CF86" s="3">
        <v>45783</v>
      </c>
      <c r="CI86">
        <v>1</v>
      </c>
      <c r="CJ86">
        <v>1</v>
      </c>
      <c r="CK86">
        <v>24</v>
      </c>
      <c r="CL86" t="s">
        <v>89</v>
      </c>
    </row>
    <row r="87" spans="1:90" x14ac:dyDescent="0.3">
      <c r="A87" t="s">
        <v>72</v>
      </c>
      <c r="B87" t="s">
        <v>73</v>
      </c>
      <c r="C87" t="s">
        <v>74</v>
      </c>
      <c r="E87" t="str">
        <f>"080065133067"</f>
        <v>080065133067</v>
      </c>
      <c r="F87" s="3">
        <v>45779</v>
      </c>
      <c r="G87">
        <v>202602</v>
      </c>
      <c r="H87" t="s">
        <v>75</v>
      </c>
      <c r="I87" t="s">
        <v>76</v>
      </c>
      <c r="J87" t="s">
        <v>77</v>
      </c>
      <c r="K87" t="s">
        <v>78</v>
      </c>
      <c r="L87" t="s">
        <v>350</v>
      </c>
      <c r="M87" t="s">
        <v>351</v>
      </c>
      <c r="N87" t="s">
        <v>431</v>
      </c>
      <c r="O87" t="s">
        <v>82</v>
      </c>
      <c r="P87" t="str">
        <f>"4170036761                    "</f>
        <v xml:space="preserve">4170036761                    </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22.11</v>
      </c>
      <c r="AR87">
        <v>0</v>
      </c>
      <c r="AS87">
        <v>0</v>
      </c>
      <c r="AT87">
        <v>0</v>
      </c>
      <c r="AU87">
        <v>0</v>
      </c>
      <c r="AV87">
        <v>0</v>
      </c>
      <c r="AW87">
        <v>0</v>
      </c>
      <c r="AX87">
        <v>0</v>
      </c>
      <c r="AY87">
        <v>0</v>
      </c>
      <c r="AZ87">
        <v>0</v>
      </c>
      <c r="BA87">
        <v>0</v>
      </c>
      <c r="BB87">
        <v>0</v>
      </c>
      <c r="BC87">
        <v>0</v>
      </c>
      <c r="BD87">
        <v>0</v>
      </c>
      <c r="BE87">
        <v>0</v>
      </c>
      <c r="BF87">
        <v>0</v>
      </c>
      <c r="BG87">
        <v>0</v>
      </c>
      <c r="BH87">
        <v>1</v>
      </c>
      <c r="BI87">
        <v>1</v>
      </c>
      <c r="BJ87">
        <v>0.2</v>
      </c>
      <c r="BK87">
        <v>1</v>
      </c>
      <c r="BL87">
        <v>70.709999999999994</v>
      </c>
      <c r="BM87">
        <v>10.61</v>
      </c>
      <c r="BN87">
        <v>81.319999999999993</v>
      </c>
      <c r="BO87">
        <v>81.319999999999993</v>
      </c>
      <c r="BQ87" t="s">
        <v>432</v>
      </c>
      <c r="BR87" t="s">
        <v>84</v>
      </c>
      <c r="BS87" s="3">
        <v>45782</v>
      </c>
      <c r="BT87" s="4">
        <v>0.82291666666666663</v>
      </c>
      <c r="BU87" t="s">
        <v>433</v>
      </c>
      <c r="BV87" t="s">
        <v>89</v>
      </c>
      <c r="BW87" t="s">
        <v>434</v>
      </c>
      <c r="BX87" t="s">
        <v>435</v>
      </c>
      <c r="BY87">
        <v>1200</v>
      </c>
      <c r="CA87" t="s">
        <v>436</v>
      </c>
      <c r="CC87" t="s">
        <v>351</v>
      </c>
      <c r="CD87">
        <v>4052</v>
      </c>
      <c r="CE87" t="s">
        <v>88</v>
      </c>
      <c r="CF87" s="3">
        <v>45783</v>
      </c>
      <c r="CI87">
        <v>1</v>
      </c>
      <c r="CJ87">
        <v>1</v>
      </c>
      <c r="CK87">
        <v>21</v>
      </c>
      <c r="CL87" t="s">
        <v>89</v>
      </c>
    </row>
    <row r="88" spans="1:90" x14ac:dyDescent="0.3">
      <c r="A88" t="s">
        <v>72</v>
      </c>
      <c r="B88" t="s">
        <v>73</v>
      </c>
      <c r="C88" t="s">
        <v>74</v>
      </c>
      <c r="E88" t="str">
        <f>"080065133098"</f>
        <v>080065133098</v>
      </c>
      <c r="F88" s="3">
        <v>45779</v>
      </c>
      <c r="G88">
        <v>202602</v>
      </c>
      <c r="H88" t="s">
        <v>75</v>
      </c>
      <c r="I88" t="s">
        <v>76</v>
      </c>
      <c r="J88" t="s">
        <v>77</v>
      </c>
      <c r="K88" t="s">
        <v>78</v>
      </c>
      <c r="L88" t="s">
        <v>103</v>
      </c>
      <c r="M88" t="s">
        <v>104</v>
      </c>
      <c r="N88" t="s">
        <v>437</v>
      </c>
      <c r="O88" t="s">
        <v>82</v>
      </c>
      <c r="P88" t="str">
        <f>"4170036762                    "</f>
        <v xml:space="preserve">4170036762                    </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22.11</v>
      </c>
      <c r="AR88">
        <v>0</v>
      </c>
      <c r="AS88">
        <v>0</v>
      </c>
      <c r="AT88">
        <v>0</v>
      </c>
      <c r="AU88">
        <v>0</v>
      </c>
      <c r="AV88">
        <v>0</v>
      </c>
      <c r="AW88">
        <v>0</v>
      </c>
      <c r="AX88">
        <v>0</v>
      </c>
      <c r="AY88">
        <v>0</v>
      </c>
      <c r="AZ88">
        <v>0</v>
      </c>
      <c r="BA88">
        <v>0</v>
      </c>
      <c r="BB88">
        <v>0</v>
      </c>
      <c r="BC88">
        <v>0</v>
      </c>
      <c r="BD88">
        <v>0</v>
      </c>
      <c r="BE88">
        <v>0</v>
      </c>
      <c r="BF88">
        <v>0</v>
      </c>
      <c r="BG88">
        <v>0</v>
      </c>
      <c r="BH88">
        <v>1</v>
      </c>
      <c r="BI88">
        <v>1</v>
      </c>
      <c r="BJ88">
        <v>0.2</v>
      </c>
      <c r="BK88">
        <v>1</v>
      </c>
      <c r="BL88">
        <v>70.709999999999994</v>
      </c>
      <c r="BM88">
        <v>10.61</v>
      </c>
      <c r="BN88">
        <v>81.319999999999993</v>
      </c>
      <c r="BO88">
        <v>81.319999999999993</v>
      </c>
      <c r="BQ88" t="s">
        <v>438</v>
      </c>
      <c r="BR88" t="s">
        <v>84</v>
      </c>
      <c r="BS88" s="3">
        <v>45782</v>
      </c>
      <c r="BT88" s="4">
        <v>0.52361111111111114</v>
      </c>
      <c r="BU88" t="s">
        <v>439</v>
      </c>
      <c r="BV88" t="s">
        <v>86</v>
      </c>
      <c r="BY88">
        <v>1200</v>
      </c>
      <c r="CA88" t="s">
        <v>440</v>
      </c>
      <c r="CC88" t="s">
        <v>104</v>
      </c>
      <c r="CD88">
        <v>3212</v>
      </c>
      <c r="CE88" t="s">
        <v>88</v>
      </c>
      <c r="CF88" s="3">
        <v>45783</v>
      </c>
      <c r="CI88">
        <v>2</v>
      </c>
      <c r="CJ88">
        <v>1</v>
      </c>
      <c r="CK88">
        <v>21</v>
      </c>
      <c r="CL88" t="s">
        <v>89</v>
      </c>
    </row>
    <row r="89" spans="1:90" x14ac:dyDescent="0.3">
      <c r="A89" t="s">
        <v>72</v>
      </c>
      <c r="B89" t="s">
        <v>73</v>
      </c>
      <c r="C89" t="s">
        <v>74</v>
      </c>
      <c r="E89" t="str">
        <f>"080065133126"</f>
        <v>080065133126</v>
      </c>
      <c r="F89" s="3">
        <v>45779</v>
      </c>
      <c r="G89">
        <v>202602</v>
      </c>
      <c r="H89" t="s">
        <v>75</v>
      </c>
      <c r="I89" t="s">
        <v>76</v>
      </c>
      <c r="J89" t="s">
        <v>77</v>
      </c>
      <c r="K89" t="s">
        <v>78</v>
      </c>
      <c r="L89" t="s">
        <v>136</v>
      </c>
      <c r="M89" t="s">
        <v>137</v>
      </c>
      <c r="N89" t="s">
        <v>441</v>
      </c>
      <c r="O89" t="s">
        <v>82</v>
      </c>
      <c r="P89" t="str">
        <f>"4170036738                    "</f>
        <v xml:space="preserve">4170036738                    </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22.11</v>
      </c>
      <c r="AR89">
        <v>0</v>
      </c>
      <c r="AS89">
        <v>0</v>
      </c>
      <c r="AT89">
        <v>0</v>
      </c>
      <c r="AU89">
        <v>0</v>
      </c>
      <c r="AV89">
        <v>0</v>
      </c>
      <c r="AW89">
        <v>0</v>
      </c>
      <c r="AX89">
        <v>0</v>
      </c>
      <c r="AY89">
        <v>0</v>
      </c>
      <c r="AZ89">
        <v>0</v>
      </c>
      <c r="BA89">
        <v>0</v>
      </c>
      <c r="BB89">
        <v>0</v>
      </c>
      <c r="BC89">
        <v>0</v>
      </c>
      <c r="BD89">
        <v>0</v>
      </c>
      <c r="BE89">
        <v>0</v>
      </c>
      <c r="BF89">
        <v>0</v>
      </c>
      <c r="BG89">
        <v>0</v>
      </c>
      <c r="BH89">
        <v>1</v>
      </c>
      <c r="BI89">
        <v>1</v>
      </c>
      <c r="BJ89">
        <v>0.2</v>
      </c>
      <c r="BK89">
        <v>1</v>
      </c>
      <c r="BL89">
        <v>70.709999999999994</v>
      </c>
      <c r="BM89">
        <v>10.61</v>
      </c>
      <c r="BN89">
        <v>81.319999999999993</v>
      </c>
      <c r="BO89">
        <v>81.319999999999993</v>
      </c>
      <c r="BQ89" t="s">
        <v>442</v>
      </c>
      <c r="BR89" t="s">
        <v>84</v>
      </c>
      <c r="BS89" s="3">
        <v>45782</v>
      </c>
      <c r="BT89" s="4">
        <v>0.38541666666666669</v>
      </c>
      <c r="BU89" t="s">
        <v>443</v>
      </c>
      <c r="BV89" t="s">
        <v>86</v>
      </c>
      <c r="BY89">
        <v>1200</v>
      </c>
      <c r="CA89" t="s">
        <v>199</v>
      </c>
      <c r="CC89" t="s">
        <v>137</v>
      </c>
      <c r="CD89" s="5" t="s">
        <v>444</v>
      </c>
      <c r="CE89" t="s">
        <v>88</v>
      </c>
      <c r="CF89" s="3">
        <v>45782</v>
      </c>
      <c r="CI89">
        <v>1</v>
      </c>
      <c r="CJ89">
        <v>1</v>
      </c>
      <c r="CK89">
        <v>21</v>
      </c>
      <c r="CL89" t="s">
        <v>89</v>
      </c>
    </row>
    <row r="90" spans="1:90" x14ac:dyDescent="0.3">
      <c r="A90" t="s">
        <v>72</v>
      </c>
      <c r="B90" t="s">
        <v>73</v>
      </c>
      <c r="C90" t="s">
        <v>74</v>
      </c>
      <c r="E90" t="str">
        <f>"080065133161"</f>
        <v>080065133161</v>
      </c>
      <c r="F90" s="3">
        <v>45779</v>
      </c>
      <c r="G90">
        <v>202602</v>
      </c>
      <c r="H90" t="s">
        <v>75</v>
      </c>
      <c r="I90" t="s">
        <v>76</v>
      </c>
      <c r="J90" t="s">
        <v>77</v>
      </c>
      <c r="K90" t="s">
        <v>78</v>
      </c>
      <c r="L90" t="s">
        <v>445</v>
      </c>
      <c r="M90" t="s">
        <v>446</v>
      </c>
      <c r="N90" t="s">
        <v>447</v>
      </c>
      <c r="O90" t="s">
        <v>82</v>
      </c>
      <c r="P90" t="str">
        <f>"4170036757                    "</f>
        <v xml:space="preserve">4170036757                    </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42.84</v>
      </c>
      <c r="AR90">
        <v>0</v>
      </c>
      <c r="AS90">
        <v>0</v>
      </c>
      <c r="AT90">
        <v>0</v>
      </c>
      <c r="AU90">
        <v>0</v>
      </c>
      <c r="AV90">
        <v>0</v>
      </c>
      <c r="AW90">
        <v>0</v>
      </c>
      <c r="AX90">
        <v>0</v>
      </c>
      <c r="AY90">
        <v>0</v>
      </c>
      <c r="AZ90">
        <v>0</v>
      </c>
      <c r="BA90">
        <v>0</v>
      </c>
      <c r="BB90">
        <v>0</v>
      </c>
      <c r="BC90">
        <v>0</v>
      </c>
      <c r="BD90">
        <v>0</v>
      </c>
      <c r="BE90">
        <v>0</v>
      </c>
      <c r="BF90">
        <v>0</v>
      </c>
      <c r="BG90">
        <v>0</v>
      </c>
      <c r="BH90">
        <v>1</v>
      </c>
      <c r="BI90">
        <v>1</v>
      </c>
      <c r="BJ90">
        <v>0.2</v>
      </c>
      <c r="BK90">
        <v>1</v>
      </c>
      <c r="BL90">
        <v>137</v>
      </c>
      <c r="BM90">
        <v>20.55</v>
      </c>
      <c r="BN90">
        <v>157.55000000000001</v>
      </c>
      <c r="BO90">
        <v>157.55000000000001</v>
      </c>
      <c r="BQ90" t="s">
        <v>448</v>
      </c>
      <c r="BR90" t="s">
        <v>84</v>
      </c>
      <c r="BS90" s="3">
        <v>45783</v>
      </c>
      <c r="BT90" s="4">
        <v>0.66527777777777775</v>
      </c>
      <c r="BU90" t="s">
        <v>449</v>
      </c>
      <c r="BV90" t="s">
        <v>89</v>
      </c>
      <c r="BW90" t="s">
        <v>296</v>
      </c>
      <c r="BX90" t="s">
        <v>450</v>
      </c>
      <c r="BY90">
        <v>1200</v>
      </c>
      <c r="CA90" t="s">
        <v>451</v>
      </c>
      <c r="CC90" t="s">
        <v>446</v>
      </c>
      <c r="CD90">
        <v>4399</v>
      </c>
      <c r="CE90" t="s">
        <v>88</v>
      </c>
      <c r="CF90" s="3">
        <v>45784</v>
      </c>
      <c r="CI90">
        <v>1</v>
      </c>
      <c r="CJ90">
        <v>2</v>
      </c>
      <c r="CK90">
        <v>23</v>
      </c>
      <c r="CL90" t="s">
        <v>89</v>
      </c>
    </row>
    <row r="91" spans="1:90" x14ac:dyDescent="0.3">
      <c r="A91" t="s">
        <v>72</v>
      </c>
      <c r="B91" t="s">
        <v>73</v>
      </c>
      <c r="C91" t="s">
        <v>74</v>
      </c>
      <c r="E91" t="str">
        <f>"080065133182"</f>
        <v>080065133182</v>
      </c>
      <c r="F91" s="3">
        <v>45779</v>
      </c>
      <c r="G91">
        <v>202602</v>
      </c>
      <c r="H91" t="s">
        <v>75</v>
      </c>
      <c r="I91" t="s">
        <v>76</v>
      </c>
      <c r="J91" t="s">
        <v>77</v>
      </c>
      <c r="K91" t="s">
        <v>78</v>
      </c>
      <c r="L91" t="s">
        <v>79</v>
      </c>
      <c r="M91" t="s">
        <v>80</v>
      </c>
      <c r="N91" t="s">
        <v>452</v>
      </c>
      <c r="O91" t="s">
        <v>82</v>
      </c>
      <c r="P91" t="str">
        <f>"4170036650                    "</f>
        <v xml:space="preserve">4170036650                    </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22.11</v>
      </c>
      <c r="AR91">
        <v>0</v>
      </c>
      <c r="AS91">
        <v>0</v>
      </c>
      <c r="AT91">
        <v>0</v>
      </c>
      <c r="AU91">
        <v>0</v>
      </c>
      <c r="AV91">
        <v>0</v>
      </c>
      <c r="AW91">
        <v>0</v>
      </c>
      <c r="AX91">
        <v>0</v>
      </c>
      <c r="AY91">
        <v>0</v>
      </c>
      <c r="AZ91">
        <v>0</v>
      </c>
      <c r="BA91">
        <v>0</v>
      </c>
      <c r="BB91">
        <v>0</v>
      </c>
      <c r="BC91">
        <v>0</v>
      </c>
      <c r="BD91">
        <v>0</v>
      </c>
      <c r="BE91">
        <v>0</v>
      </c>
      <c r="BF91">
        <v>0</v>
      </c>
      <c r="BG91">
        <v>0</v>
      </c>
      <c r="BH91">
        <v>1</v>
      </c>
      <c r="BI91">
        <v>1</v>
      </c>
      <c r="BJ91">
        <v>0.2</v>
      </c>
      <c r="BK91">
        <v>1</v>
      </c>
      <c r="BL91">
        <v>70.709999999999994</v>
      </c>
      <c r="BM91">
        <v>10.61</v>
      </c>
      <c r="BN91">
        <v>81.319999999999993</v>
      </c>
      <c r="BO91">
        <v>81.319999999999993</v>
      </c>
      <c r="BQ91" t="s">
        <v>453</v>
      </c>
      <c r="BR91" t="s">
        <v>84</v>
      </c>
      <c r="BS91" s="3">
        <v>45782</v>
      </c>
      <c r="BT91" s="4">
        <v>0.35972222222222222</v>
      </c>
      <c r="BU91" t="s">
        <v>454</v>
      </c>
      <c r="BV91" t="s">
        <v>86</v>
      </c>
      <c r="BY91">
        <v>1200</v>
      </c>
      <c r="CA91" t="s">
        <v>160</v>
      </c>
      <c r="CC91" t="s">
        <v>80</v>
      </c>
      <c r="CD91">
        <v>3610</v>
      </c>
      <c r="CE91" t="s">
        <v>88</v>
      </c>
      <c r="CF91" s="3">
        <v>45783</v>
      </c>
      <c r="CI91">
        <v>1</v>
      </c>
      <c r="CJ91">
        <v>1</v>
      </c>
      <c r="CK91">
        <v>21</v>
      </c>
      <c r="CL91" t="s">
        <v>89</v>
      </c>
    </row>
    <row r="92" spans="1:90" x14ac:dyDescent="0.3">
      <c r="A92" t="s">
        <v>72</v>
      </c>
      <c r="B92" t="s">
        <v>73</v>
      </c>
      <c r="C92" t="s">
        <v>74</v>
      </c>
      <c r="E92" t="str">
        <f>"080065133211"</f>
        <v>080065133211</v>
      </c>
      <c r="F92" s="3">
        <v>45779</v>
      </c>
      <c r="G92">
        <v>202602</v>
      </c>
      <c r="H92" t="s">
        <v>75</v>
      </c>
      <c r="I92" t="s">
        <v>76</v>
      </c>
      <c r="J92" t="s">
        <v>77</v>
      </c>
      <c r="K92" t="s">
        <v>78</v>
      </c>
      <c r="L92" t="s">
        <v>130</v>
      </c>
      <c r="M92" t="s">
        <v>131</v>
      </c>
      <c r="N92" t="s">
        <v>455</v>
      </c>
      <c r="O92" t="s">
        <v>82</v>
      </c>
      <c r="P92" t="str">
        <f>"4170036716                    "</f>
        <v xml:space="preserve">4170036716                    </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22.11</v>
      </c>
      <c r="AR92">
        <v>0</v>
      </c>
      <c r="AS92">
        <v>0</v>
      </c>
      <c r="AT92">
        <v>0</v>
      </c>
      <c r="AU92">
        <v>0</v>
      </c>
      <c r="AV92">
        <v>0</v>
      </c>
      <c r="AW92">
        <v>16.739999999999998</v>
      </c>
      <c r="AX92">
        <v>0</v>
      </c>
      <c r="AY92">
        <v>0</v>
      </c>
      <c r="AZ92">
        <v>0</v>
      </c>
      <c r="BA92">
        <v>0</v>
      </c>
      <c r="BB92">
        <v>0</v>
      </c>
      <c r="BC92">
        <v>0</v>
      </c>
      <c r="BD92">
        <v>0</v>
      </c>
      <c r="BE92">
        <v>0</v>
      </c>
      <c r="BF92">
        <v>0</v>
      </c>
      <c r="BG92">
        <v>0</v>
      </c>
      <c r="BH92">
        <v>1</v>
      </c>
      <c r="BI92">
        <v>1</v>
      </c>
      <c r="BJ92">
        <v>0.2</v>
      </c>
      <c r="BK92">
        <v>1</v>
      </c>
      <c r="BL92">
        <v>87.45</v>
      </c>
      <c r="BM92">
        <v>13.12</v>
      </c>
      <c r="BN92">
        <v>100.57</v>
      </c>
      <c r="BO92">
        <v>100.57</v>
      </c>
      <c r="BQ92" t="s">
        <v>456</v>
      </c>
      <c r="BR92" t="s">
        <v>84</v>
      </c>
      <c r="BS92" s="3">
        <v>45782</v>
      </c>
      <c r="BT92" s="4">
        <v>0.43125000000000002</v>
      </c>
      <c r="BU92" t="s">
        <v>457</v>
      </c>
      <c r="BV92" t="s">
        <v>86</v>
      </c>
      <c r="BY92">
        <v>1200</v>
      </c>
      <c r="BZ92" t="s">
        <v>30</v>
      </c>
      <c r="CA92" t="s">
        <v>458</v>
      </c>
      <c r="CC92" t="s">
        <v>131</v>
      </c>
      <c r="CD92">
        <v>7781</v>
      </c>
      <c r="CE92" t="s">
        <v>88</v>
      </c>
      <c r="CF92" s="3">
        <v>45783</v>
      </c>
      <c r="CI92">
        <v>1</v>
      </c>
      <c r="CJ92">
        <v>1</v>
      </c>
      <c r="CK92">
        <v>21</v>
      </c>
      <c r="CL92" t="s">
        <v>89</v>
      </c>
    </row>
    <row r="93" spans="1:90" x14ac:dyDescent="0.3">
      <c r="A93" t="s">
        <v>72</v>
      </c>
      <c r="B93" t="s">
        <v>73</v>
      </c>
      <c r="C93" t="s">
        <v>74</v>
      </c>
      <c r="E93" t="str">
        <f>"080065133241"</f>
        <v>080065133241</v>
      </c>
      <c r="F93" s="3">
        <v>45779</v>
      </c>
      <c r="G93">
        <v>202602</v>
      </c>
      <c r="H93" t="s">
        <v>75</v>
      </c>
      <c r="I93" t="s">
        <v>76</v>
      </c>
      <c r="J93" t="s">
        <v>77</v>
      </c>
      <c r="K93" t="s">
        <v>78</v>
      </c>
      <c r="L93" t="s">
        <v>350</v>
      </c>
      <c r="M93" t="s">
        <v>351</v>
      </c>
      <c r="N93" t="s">
        <v>459</v>
      </c>
      <c r="O93" t="s">
        <v>82</v>
      </c>
      <c r="P93" t="str">
        <f>"4170036641                    "</f>
        <v xml:space="preserve">4170036641                    </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22.11</v>
      </c>
      <c r="AR93">
        <v>0</v>
      </c>
      <c r="AS93">
        <v>0</v>
      </c>
      <c r="AT93">
        <v>0</v>
      </c>
      <c r="AU93">
        <v>0</v>
      </c>
      <c r="AV93">
        <v>0</v>
      </c>
      <c r="AW93">
        <v>0</v>
      </c>
      <c r="AX93">
        <v>0</v>
      </c>
      <c r="AY93">
        <v>0</v>
      </c>
      <c r="AZ93">
        <v>0</v>
      </c>
      <c r="BA93">
        <v>0</v>
      </c>
      <c r="BB93">
        <v>0</v>
      </c>
      <c r="BC93">
        <v>0</v>
      </c>
      <c r="BD93">
        <v>0</v>
      </c>
      <c r="BE93">
        <v>0</v>
      </c>
      <c r="BF93">
        <v>0</v>
      </c>
      <c r="BG93">
        <v>0</v>
      </c>
      <c r="BH93">
        <v>1</v>
      </c>
      <c r="BI93">
        <v>1</v>
      </c>
      <c r="BJ93">
        <v>0.2</v>
      </c>
      <c r="BK93">
        <v>1</v>
      </c>
      <c r="BL93">
        <v>70.709999999999994</v>
      </c>
      <c r="BM93">
        <v>10.61</v>
      </c>
      <c r="BN93">
        <v>81.319999999999993</v>
      </c>
      <c r="BO93">
        <v>81.319999999999993</v>
      </c>
      <c r="BQ93" t="s">
        <v>460</v>
      </c>
      <c r="BR93" t="s">
        <v>84</v>
      </c>
      <c r="BS93" s="3">
        <v>45782</v>
      </c>
      <c r="BT93" s="4">
        <v>0.3215277777777778</v>
      </c>
      <c r="BU93" t="s">
        <v>461</v>
      </c>
      <c r="BV93" t="s">
        <v>86</v>
      </c>
      <c r="BY93">
        <v>1200</v>
      </c>
      <c r="CA93" t="s">
        <v>462</v>
      </c>
      <c r="CC93" t="s">
        <v>351</v>
      </c>
      <c r="CD93">
        <v>4051</v>
      </c>
      <c r="CE93" t="s">
        <v>88</v>
      </c>
      <c r="CF93" s="3">
        <v>45783</v>
      </c>
      <c r="CI93">
        <v>1</v>
      </c>
      <c r="CJ93">
        <v>1</v>
      </c>
      <c r="CK93">
        <v>21</v>
      </c>
      <c r="CL93" t="s">
        <v>89</v>
      </c>
    </row>
    <row r="94" spans="1:90" x14ac:dyDescent="0.3">
      <c r="A94" t="s">
        <v>72</v>
      </c>
      <c r="B94" t="s">
        <v>73</v>
      </c>
      <c r="C94" t="s">
        <v>74</v>
      </c>
      <c r="E94" t="str">
        <f>"080065133291"</f>
        <v>080065133291</v>
      </c>
      <c r="F94" s="3">
        <v>45779</v>
      </c>
      <c r="G94">
        <v>202602</v>
      </c>
      <c r="H94" t="s">
        <v>75</v>
      </c>
      <c r="I94" t="s">
        <v>76</v>
      </c>
      <c r="J94" t="s">
        <v>77</v>
      </c>
      <c r="K94" t="s">
        <v>78</v>
      </c>
      <c r="L94" t="s">
        <v>75</v>
      </c>
      <c r="M94" t="s">
        <v>76</v>
      </c>
      <c r="N94" t="s">
        <v>390</v>
      </c>
      <c r="O94" t="s">
        <v>82</v>
      </c>
      <c r="P94" t="str">
        <f>"4170036648                    "</f>
        <v xml:space="preserve">4170036648                    </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17.27</v>
      </c>
      <c r="AR94">
        <v>0</v>
      </c>
      <c r="AS94">
        <v>0</v>
      </c>
      <c r="AT94">
        <v>0</v>
      </c>
      <c r="AU94">
        <v>0</v>
      </c>
      <c r="AV94">
        <v>0</v>
      </c>
      <c r="AW94">
        <v>0</v>
      </c>
      <c r="AX94">
        <v>0</v>
      </c>
      <c r="AY94">
        <v>0</v>
      </c>
      <c r="AZ94">
        <v>0</v>
      </c>
      <c r="BA94">
        <v>0</v>
      </c>
      <c r="BB94">
        <v>0</v>
      </c>
      <c r="BC94">
        <v>0</v>
      </c>
      <c r="BD94">
        <v>0</v>
      </c>
      <c r="BE94">
        <v>0</v>
      </c>
      <c r="BF94">
        <v>0</v>
      </c>
      <c r="BG94">
        <v>0</v>
      </c>
      <c r="BH94">
        <v>1</v>
      </c>
      <c r="BI94">
        <v>1</v>
      </c>
      <c r="BJ94">
        <v>0.2</v>
      </c>
      <c r="BK94">
        <v>1</v>
      </c>
      <c r="BL94">
        <v>55.23</v>
      </c>
      <c r="BM94">
        <v>8.2799999999999994</v>
      </c>
      <c r="BN94">
        <v>63.51</v>
      </c>
      <c r="BO94">
        <v>63.51</v>
      </c>
      <c r="BQ94" t="s">
        <v>391</v>
      </c>
      <c r="BR94" t="s">
        <v>84</v>
      </c>
      <c r="BS94" s="3">
        <v>45782</v>
      </c>
      <c r="BT94" s="4">
        <v>0.34375</v>
      </c>
      <c r="BU94" t="s">
        <v>392</v>
      </c>
      <c r="BV94" t="s">
        <v>86</v>
      </c>
      <c r="BY94">
        <v>1200</v>
      </c>
      <c r="CA94" t="s">
        <v>115</v>
      </c>
      <c r="CC94" t="s">
        <v>76</v>
      </c>
      <c r="CD94">
        <v>1600</v>
      </c>
      <c r="CE94" t="s">
        <v>88</v>
      </c>
      <c r="CF94" s="3">
        <v>45783</v>
      </c>
      <c r="CI94">
        <v>1</v>
      </c>
      <c r="CJ94">
        <v>1</v>
      </c>
      <c r="CK94">
        <v>22</v>
      </c>
      <c r="CL94" t="s">
        <v>89</v>
      </c>
    </row>
    <row r="95" spans="1:90" x14ac:dyDescent="0.3">
      <c r="A95" t="s">
        <v>72</v>
      </c>
      <c r="B95" t="s">
        <v>73</v>
      </c>
      <c r="C95" t="s">
        <v>74</v>
      </c>
      <c r="E95" t="str">
        <f>"080065133320"</f>
        <v>080065133320</v>
      </c>
      <c r="F95" s="3">
        <v>45779</v>
      </c>
      <c r="G95">
        <v>202602</v>
      </c>
      <c r="H95" t="s">
        <v>75</v>
      </c>
      <c r="I95" t="s">
        <v>76</v>
      </c>
      <c r="J95" t="s">
        <v>77</v>
      </c>
      <c r="K95" t="s">
        <v>78</v>
      </c>
      <c r="L95" t="s">
        <v>90</v>
      </c>
      <c r="M95" t="s">
        <v>91</v>
      </c>
      <c r="N95" t="s">
        <v>92</v>
      </c>
      <c r="O95" t="s">
        <v>82</v>
      </c>
      <c r="P95" t="str">
        <f>"4170036659                    "</f>
        <v xml:space="preserve">4170036659                    </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22.11</v>
      </c>
      <c r="AR95">
        <v>0</v>
      </c>
      <c r="AS95">
        <v>0</v>
      </c>
      <c r="AT95">
        <v>0</v>
      </c>
      <c r="AU95">
        <v>0</v>
      </c>
      <c r="AV95">
        <v>0</v>
      </c>
      <c r="AW95">
        <v>0</v>
      </c>
      <c r="AX95">
        <v>0</v>
      </c>
      <c r="AY95">
        <v>0</v>
      </c>
      <c r="AZ95">
        <v>0</v>
      </c>
      <c r="BA95">
        <v>0</v>
      </c>
      <c r="BB95">
        <v>0</v>
      </c>
      <c r="BC95">
        <v>0</v>
      </c>
      <c r="BD95">
        <v>0</v>
      </c>
      <c r="BE95">
        <v>0</v>
      </c>
      <c r="BF95">
        <v>0</v>
      </c>
      <c r="BG95">
        <v>0</v>
      </c>
      <c r="BH95">
        <v>1</v>
      </c>
      <c r="BI95">
        <v>1</v>
      </c>
      <c r="BJ95">
        <v>0.2</v>
      </c>
      <c r="BK95">
        <v>1</v>
      </c>
      <c r="BL95">
        <v>70.709999999999994</v>
      </c>
      <c r="BM95">
        <v>10.61</v>
      </c>
      <c r="BN95">
        <v>81.319999999999993</v>
      </c>
      <c r="BO95">
        <v>81.319999999999993</v>
      </c>
      <c r="BQ95" t="s">
        <v>93</v>
      </c>
      <c r="BR95" t="s">
        <v>84</v>
      </c>
      <c r="BS95" s="3">
        <v>45782</v>
      </c>
      <c r="BT95" s="4">
        <v>0.37083333333333335</v>
      </c>
      <c r="BU95" t="s">
        <v>205</v>
      </c>
      <c r="BV95" t="s">
        <v>86</v>
      </c>
      <c r="BY95">
        <v>1200</v>
      </c>
      <c r="CA95" t="s">
        <v>95</v>
      </c>
      <c r="CC95" t="s">
        <v>91</v>
      </c>
      <c r="CD95">
        <v>6001</v>
      </c>
      <c r="CE95" t="s">
        <v>88</v>
      </c>
      <c r="CF95" s="3">
        <v>45783</v>
      </c>
      <c r="CI95">
        <v>1</v>
      </c>
      <c r="CJ95">
        <v>1</v>
      </c>
      <c r="CK95">
        <v>21</v>
      </c>
      <c r="CL95" t="s">
        <v>89</v>
      </c>
    </row>
    <row r="96" spans="1:90" x14ac:dyDescent="0.3">
      <c r="A96" t="s">
        <v>72</v>
      </c>
      <c r="B96" t="s">
        <v>73</v>
      </c>
      <c r="C96" t="s">
        <v>74</v>
      </c>
      <c r="E96" t="str">
        <f>"080065133356"</f>
        <v>080065133356</v>
      </c>
      <c r="F96" s="3">
        <v>45779</v>
      </c>
      <c r="G96">
        <v>202602</v>
      </c>
      <c r="H96" t="s">
        <v>75</v>
      </c>
      <c r="I96" t="s">
        <v>76</v>
      </c>
      <c r="J96" t="s">
        <v>77</v>
      </c>
      <c r="K96" t="s">
        <v>78</v>
      </c>
      <c r="L96" t="s">
        <v>463</v>
      </c>
      <c r="M96" t="s">
        <v>464</v>
      </c>
      <c r="N96" t="s">
        <v>465</v>
      </c>
      <c r="O96" t="s">
        <v>82</v>
      </c>
      <c r="P96" t="str">
        <f>"4170036758                    "</f>
        <v xml:space="preserve">4170036758                    </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22.11</v>
      </c>
      <c r="AR96">
        <v>0</v>
      </c>
      <c r="AS96">
        <v>0</v>
      </c>
      <c r="AT96">
        <v>0</v>
      </c>
      <c r="AU96">
        <v>0</v>
      </c>
      <c r="AV96">
        <v>0</v>
      </c>
      <c r="AW96">
        <v>0</v>
      </c>
      <c r="AX96">
        <v>0</v>
      </c>
      <c r="AY96">
        <v>0</v>
      </c>
      <c r="AZ96">
        <v>0</v>
      </c>
      <c r="BA96">
        <v>0</v>
      </c>
      <c r="BB96">
        <v>0</v>
      </c>
      <c r="BC96">
        <v>0</v>
      </c>
      <c r="BD96">
        <v>0</v>
      </c>
      <c r="BE96">
        <v>0</v>
      </c>
      <c r="BF96">
        <v>0</v>
      </c>
      <c r="BG96">
        <v>0</v>
      </c>
      <c r="BH96">
        <v>1</v>
      </c>
      <c r="BI96">
        <v>2</v>
      </c>
      <c r="BJ96">
        <v>1.1000000000000001</v>
      </c>
      <c r="BK96">
        <v>2</v>
      </c>
      <c r="BL96">
        <v>70.709999999999994</v>
      </c>
      <c r="BM96">
        <v>10.61</v>
      </c>
      <c r="BN96">
        <v>81.319999999999993</v>
      </c>
      <c r="BO96">
        <v>81.319999999999993</v>
      </c>
      <c r="BQ96" t="s">
        <v>466</v>
      </c>
      <c r="BR96" t="s">
        <v>84</v>
      </c>
      <c r="BS96" s="3">
        <v>45782</v>
      </c>
      <c r="BT96" s="4">
        <v>0.55694444444444446</v>
      </c>
      <c r="BU96" t="s">
        <v>467</v>
      </c>
      <c r="BV96" t="s">
        <v>89</v>
      </c>
      <c r="BY96">
        <v>5320</v>
      </c>
      <c r="CA96" t="s">
        <v>468</v>
      </c>
      <c r="CC96" t="s">
        <v>464</v>
      </c>
      <c r="CD96">
        <v>5200</v>
      </c>
      <c r="CE96" t="s">
        <v>116</v>
      </c>
      <c r="CF96" s="3">
        <v>45783</v>
      </c>
      <c r="CI96">
        <v>1</v>
      </c>
      <c r="CJ96">
        <v>1</v>
      </c>
      <c r="CK96">
        <v>21</v>
      </c>
      <c r="CL96" t="s">
        <v>89</v>
      </c>
    </row>
    <row r="97" spans="1:90" x14ac:dyDescent="0.3">
      <c r="A97" t="s">
        <v>72</v>
      </c>
      <c r="B97" t="s">
        <v>73</v>
      </c>
      <c r="C97" t="s">
        <v>74</v>
      </c>
      <c r="E97" t="str">
        <f>"080065133376"</f>
        <v>080065133376</v>
      </c>
      <c r="F97" s="3">
        <v>45779</v>
      </c>
      <c r="G97">
        <v>202602</v>
      </c>
      <c r="H97" t="s">
        <v>75</v>
      </c>
      <c r="I97" t="s">
        <v>76</v>
      </c>
      <c r="J97" t="s">
        <v>77</v>
      </c>
      <c r="K97" t="s">
        <v>78</v>
      </c>
      <c r="L97" t="s">
        <v>130</v>
      </c>
      <c r="M97" t="s">
        <v>131</v>
      </c>
      <c r="N97" t="s">
        <v>327</v>
      </c>
      <c r="O97" t="s">
        <v>82</v>
      </c>
      <c r="P97" t="str">
        <f>"4170036759                    "</f>
        <v xml:space="preserve">4170036759                    </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33.159999999999997</v>
      </c>
      <c r="AR97">
        <v>0</v>
      </c>
      <c r="AS97">
        <v>0</v>
      </c>
      <c r="AT97">
        <v>0</v>
      </c>
      <c r="AU97">
        <v>0</v>
      </c>
      <c r="AV97">
        <v>0</v>
      </c>
      <c r="AW97">
        <v>0</v>
      </c>
      <c r="AX97">
        <v>0</v>
      </c>
      <c r="AY97">
        <v>0</v>
      </c>
      <c r="AZ97">
        <v>0</v>
      </c>
      <c r="BA97">
        <v>0</v>
      </c>
      <c r="BB97">
        <v>0</v>
      </c>
      <c r="BC97">
        <v>0</v>
      </c>
      <c r="BD97">
        <v>0</v>
      </c>
      <c r="BE97">
        <v>0</v>
      </c>
      <c r="BF97">
        <v>0</v>
      </c>
      <c r="BG97">
        <v>0</v>
      </c>
      <c r="BH97">
        <v>1</v>
      </c>
      <c r="BI97">
        <v>3</v>
      </c>
      <c r="BJ97">
        <v>1.4</v>
      </c>
      <c r="BK97">
        <v>3</v>
      </c>
      <c r="BL97">
        <v>106.04</v>
      </c>
      <c r="BM97">
        <v>15.91</v>
      </c>
      <c r="BN97">
        <v>121.95</v>
      </c>
      <c r="BO97">
        <v>121.95</v>
      </c>
      <c r="BQ97" t="s">
        <v>328</v>
      </c>
      <c r="BR97" t="s">
        <v>84</v>
      </c>
      <c r="BS97" s="3">
        <v>45782</v>
      </c>
      <c r="BT97" s="4">
        <v>0.38194444444444442</v>
      </c>
      <c r="BU97" t="s">
        <v>329</v>
      </c>
      <c r="BV97" t="s">
        <v>86</v>
      </c>
      <c r="BY97">
        <v>7000</v>
      </c>
      <c r="CA97" t="s">
        <v>330</v>
      </c>
      <c r="CC97" t="s">
        <v>131</v>
      </c>
      <c r="CD97">
        <v>7480</v>
      </c>
      <c r="CE97" t="s">
        <v>116</v>
      </c>
      <c r="CF97" s="3">
        <v>45783</v>
      </c>
      <c r="CI97">
        <v>1</v>
      </c>
      <c r="CJ97">
        <v>1</v>
      </c>
      <c r="CK97">
        <v>21</v>
      </c>
      <c r="CL97" t="s">
        <v>89</v>
      </c>
    </row>
    <row r="98" spans="1:90" x14ac:dyDescent="0.3">
      <c r="A98" t="s">
        <v>72</v>
      </c>
      <c r="B98" t="s">
        <v>73</v>
      </c>
      <c r="C98" t="s">
        <v>74</v>
      </c>
      <c r="E98" t="str">
        <f>"080065133398"</f>
        <v>080065133398</v>
      </c>
      <c r="F98" s="3">
        <v>45779</v>
      </c>
      <c r="G98">
        <v>202602</v>
      </c>
      <c r="H98" t="s">
        <v>75</v>
      </c>
      <c r="I98" t="s">
        <v>76</v>
      </c>
      <c r="J98" t="s">
        <v>77</v>
      </c>
      <c r="K98" t="s">
        <v>78</v>
      </c>
      <c r="L98" t="s">
        <v>103</v>
      </c>
      <c r="M98" t="s">
        <v>104</v>
      </c>
      <c r="N98" t="s">
        <v>105</v>
      </c>
      <c r="O98" t="s">
        <v>82</v>
      </c>
      <c r="P98" t="str">
        <f>"4170036708                    "</f>
        <v xml:space="preserve">4170036708                    </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22.11</v>
      </c>
      <c r="AR98">
        <v>0</v>
      </c>
      <c r="AS98">
        <v>0</v>
      </c>
      <c r="AT98">
        <v>0</v>
      </c>
      <c r="AU98">
        <v>0</v>
      </c>
      <c r="AV98">
        <v>0</v>
      </c>
      <c r="AW98">
        <v>0</v>
      </c>
      <c r="AX98">
        <v>0</v>
      </c>
      <c r="AY98">
        <v>0</v>
      </c>
      <c r="AZ98">
        <v>0</v>
      </c>
      <c r="BA98">
        <v>0</v>
      </c>
      <c r="BB98">
        <v>0</v>
      </c>
      <c r="BC98">
        <v>0</v>
      </c>
      <c r="BD98">
        <v>0</v>
      </c>
      <c r="BE98">
        <v>0</v>
      </c>
      <c r="BF98">
        <v>0</v>
      </c>
      <c r="BG98">
        <v>0</v>
      </c>
      <c r="BH98">
        <v>1</v>
      </c>
      <c r="BI98">
        <v>1</v>
      </c>
      <c r="BJ98">
        <v>1.1000000000000001</v>
      </c>
      <c r="BK98">
        <v>1.5</v>
      </c>
      <c r="BL98">
        <v>70.709999999999994</v>
      </c>
      <c r="BM98">
        <v>10.61</v>
      </c>
      <c r="BN98">
        <v>81.319999999999993</v>
      </c>
      <c r="BO98">
        <v>81.319999999999993</v>
      </c>
      <c r="BQ98" t="s">
        <v>106</v>
      </c>
      <c r="BR98" t="s">
        <v>84</v>
      </c>
      <c r="BS98" s="3">
        <v>45782</v>
      </c>
      <c r="BT98" s="4">
        <v>0.46458333333333335</v>
      </c>
      <c r="BU98" t="s">
        <v>430</v>
      </c>
      <c r="BV98" t="s">
        <v>86</v>
      </c>
      <c r="BY98">
        <v>5320</v>
      </c>
      <c r="CA98" t="s">
        <v>108</v>
      </c>
      <c r="CC98" t="s">
        <v>104</v>
      </c>
      <c r="CD98">
        <v>3201</v>
      </c>
      <c r="CE98" t="s">
        <v>116</v>
      </c>
      <c r="CF98" s="3">
        <v>45783</v>
      </c>
      <c r="CI98">
        <v>1</v>
      </c>
      <c r="CJ98">
        <v>1</v>
      </c>
      <c r="CK98">
        <v>21</v>
      </c>
      <c r="CL98" t="s">
        <v>89</v>
      </c>
    </row>
    <row r="99" spans="1:90" x14ac:dyDescent="0.3">
      <c r="A99" t="s">
        <v>72</v>
      </c>
      <c r="B99" t="s">
        <v>73</v>
      </c>
      <c r="C99" t="s">
        <v>74</v>
      </c>
      <c r="E99" t="str">
        <f>"080065133430"</f>
        <v>080065133430</v>
      </c>
      <c r="F99" s="3">
        <v>45779</v>
      </c>
      <c r="G99">
        <v>202602</v>
      </c>
      <c r="H99" t="s">
        <v>75</v>
      </c>
      <c r="I99" t="s">
        <v>76</v>
      </c>
      <c r="J99" t="s">
        <v>77</v>
      </c>
      <c r="K99" t="s">
        <v>78</v>
      </c>
      <c r="L99" t="s">
        <v>90</v>
      </c>
      <c r="M99" t="s">
        <v>91</v>
      </c>
      <c r="N99" t="s">
        <v>385</v>
      </c>
      <c r="O99" t="s">
        <v>82</v>
      </c>
      <c r="P99" t="str">
        <f>"4170036668                    "</f>
        <v xml:space="preserve">4170036668                    </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143.63</v>
      </c>
      <c r="AR99">
        <v>0</v>
      </c>
      <c r="AS99">
        <v>0</v>
      </c>
      <c r="AT99">
        <v>0</v>
      </c>
      <c r="AU99">
        <v>0</v>
      </c>
      <c r="AV99">
        <v>0</v>
      </c>
      <c r="AW99">
        <v>0</v>
      </c>
      <c r="AX99">
        <v>0</v>
      </c>
      <c r="AY99">
        <v>0</v>
      </c>
      <c r="AZ99">
        <v>0</v>
      </c>
      <c r="BA99">
        <v>0</v>
      </c>
      <c r="BB99">
        <v>0</v>
      </c>
      <c r="BC99">
        <v>0</v>
      </c>
      <c r="BD99">
        <v>0</v>
      </c>
      <c r="BE99">
        <v>0</v>
      </c>
      <c r="BF99">
        <v>0</v>
      </c>
      <c r="BG99">
        <v>0</v>
      </c>
      <c r="BH99">
        <v>1</v>
      </c>
      <c r="BI99">
        <v>13</v>
      </c>
      <c r="BJ99">
        <v>3.4</v>
      </c>
      <c r="BK99">
        <v>13</v>
      </c>
      <c r="BL99">
        <v>459.31</v>
      </c>
      <c r="BM99">
        <v>68.900000000000006</v>
      </c>
      <c r="BN99">
        <v>528.21</v>
      </c>
      <c r="BO99">
        <v>528.21</v>
      </c>
      <c r="BQ99" t="s">
        <v>386</v>
      </c>
      <c r="BR99" t="s">
        <v>84</v>
      </c>
      <c r="BS99" s="3">
        <v>45782</v>
      </c>
      <c r="BT99" s="4">
        <v>0.4152777777777778</v>
      </c>
      <c r="BU99" t="s">
        <v>387</v>
      </c>
      <c r="BV99" t="s">
        <v>86</v>
      </c>
      <c r="BY99">
        <v>16965</v>
      </c>
      <c r="CA99" t="s">
        <v>95</v>
      </c>
      <c r="CC99" t="s">
        <v>91</v>
      </c>
      <c r="CD99">
        <v>6056</v>
      </c>
      <c r="CE99" t="s">
        <v>96</v>
      </c>
      <c r="CF99" s="3">
        <v>45783</v>
      </c>
      <c r="CI99">
        <v>1</v>
      </c>
      <c r="CJ99">
        <v>1</v>
      </c>
      <c r="CK99">
        <v>21</v>
      </c>
      <c r="CL99" t="s">
        <v>89</v>
      </c>
    </row>
    <row r="100" spans="1:90" x14ac:dyDescent="0.3">
      <c r="A100" t="s">
        <v>72</v>
      </c>
      <c r="B100" t="s">
        <v>73</v>
      </c>
      <c r="C100" t="s">
        <v>74</v>
      </c>
      <c r="E100" t="str">
        <f>"080065133467"</f>
        <v>080065133467</v>
      </c>
      <c r="F100" s="3">
        <v>45779</v>
      </c>
      <c r="G100">
        <v>202602</v>
      </c>
      <c r="H100" t="s">
        <v>75</v>
      </c>
      <c r="I100" t="s">
        <v>76</v>
      </c>
      <c r="J100" t="s">
        <v>77</v>
      </c>
      <c r="K100" t="s">
        <v>78</v>
      </c>
      <c r="L100" t="s">
        <v>90</v>
      </c>
      <c r="M100" t="s">
        <v>91</v>
      </c>
      <c r="N100" t="s">
        <v>469</v>
      </c>
      <c r="O100" t="s">
        <v>82</v>
      </c>
      <c r="P100" t="str">
        <f>"4170036672                    "</f>
        <v xml:space="preserve">4170036672                    </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143.63</v>
      </c>
      <c r="AR100">
        <v>0</v>
      </c>
      <c r="AS100">
        <v>0</v>
      </c>
      <c r="AT100">
        <v>0</v>
      </c>
      <c r="AU100">
        <v>0</v>
      </c>
      <c r="AV100">
        <v>0</v>
      </c>
      <c r="AW100">
        <v>0</v>
      </c>
      <c r="AX100">
        <v>0</v>
      </c>
      <c r="AY100">
        <v>0</v>
      </c>
      <c r="AZ100">
        <v>0</v>
      </c>
      <c r="BA100">
        <v>0</v>
      </c>
      <c r="BB100">
        <v>0</v>
      </c>
      <c r="BC100">
        <v>0</v>
      </c>
      <c r="BD100">
        <v>0</v>
      </c>
      <c r="BE100">
        <v>0</v>
      </c>
      <c r="BF100">
        <v>0</v>
      </c>
      <c r="BG100">
        <v>0</v>
      </c>
      <c r="BH100">
        <v>1</v>
      </c>
      <c r="BI100">
        <v>13</v>
      </c>
      <c r="BJ100">
        <v>8.9</v>
      </c>
      <c r="BK100">
        <v>13</v>
      </c>
      <c r="BL100">
        <v>459.31</v>
      </c>
      <c r="BM100">
        <v>68.900000000000006</v>
      </c>
      <c r="BN100">
        <v>528.21</v>
      </c>
      <c r="BO100">
        <v>528.21</v>
      </c>
      <c r="BQ100" t="s">
        <v>470</v>
      </c>
      <c r="BR100" t="s">
        <v>84</v>
      </c>
      <c r="BS100" s="3">
        <v>45782</v>
      </c>
      <c r="BT100" s="4">
        <v>0.3888888888888889</v>
      </c>
      <c r="BU100" t="s">
        <v>471</v>
      </c>
      <c r="BV100" t="s">
        <v>86</v>
      </c>
      <c r="BY100">
        <v>44640</v>
      </c>
      <c r="CA100" t="s">
        <v>182</v>
      </c>
      <c r="CC100" t="s">
        <v>91</v>
      </c>
      <c r="CD100">
        <v>6001</v>
      </c>
      <c r="CE100" t="s">
        <v>96</v>
      </c>
      <c r="CF100" s="3">
        <v>45782</v>
      </c>
      <c r="CI100">
        <v>1</v>
      </c>
      <c r="CJ100">
        <v>1</v>
      </c>
      <c r="CK100">
        <v>21</v>
      </c>
      <c r="CL100" t="s">
        <v>89</v>
      </c>
    </row>
    <row r="101" spans="1:90" x14ac:dyDescent="0.3">
      <c r="A101" t="s">
        <v>72</v>
      </c>
      <c r="B101" t="s">
        <v>73</v>
      </c>
      <c r="C101" t="s">
        <v>74</v>
      </c>
      <c r="E101" t="str">
        <f>"080065133514"</f>
        <v>080065133514</v>
      </c>
      <c r="F101" s="3">
        <v>45779</v>
      </c>
      <c r="G101">
        <v>202602</v>
      </c>
      <c r="H101" t="s">
        <v>75</v>
      </c>
      <c r="I101" t="s">
        <v>76</v>
      </c>
      <c r="J101" t="s">
        <v>77</v>
      </c>
      <c r="K101" t="s">
        <v>78</v>
      </c>
      <c r="L101" t="s">
        <v>75</v>
      </c>
      <c r="M101" t="s">
        <v>76</v>
      </c>
      <c r="N101" t="s">
        <v>472</v>
      </c>
      <c r="O101" t="s">
        <v>300</v>
      </c>
      <c r="P101" t="str">
        <f>"4170036728                    "</f>
        <v xml:space="preserve">4170036728                    </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43.61</v>
      </c>
      <c r="AR101">
        <v>0</v>
      </c>
      <c r="AS101">
        <v>0</v>
      </c>
      <c r="AT101">
        <v>0</v>
      </c>
      <c r="AU101">
        <v>0</v>
      </c>
      <c r="AV101">
        <v>0</v>
      </c>
      <c r="AW101">
        <v>0</v>
      </c>
      <c r="AX101">
        <v>0</v>
      </c>
      <c r="AY101">
        <v>0</v>
      </c>
      <c r="AZ101">
        <v>0</v>
      </c>
      <c r="BA101">
        <v>0</v>
      </c>
      <c r="BB101">
        <v>0</v>
      </c>
      <c r="BC101">
        <v>0</v>
      </c>
      <c r="BD101">
        <v>0</v>
      </c>
      <c r="BE101">
        <v>0</v>
      </c>
      <c r="BF101">
        <v>0</v>
      </c>
      <c r="BG101">
        <v>0</v>
      </c>
      <c r="BH101">
        <v>1</v>
      </c>
      <c r="BI101">
        <v>13</v>
      </c>
      <c r="BJ101">
        <v>25.9</v>
      </c>
      <c r="BK101">
        <v>26</v>
      </c>
      <c r="BL101">
        <v>145.02000000000001</v>
      </c>
      <c r="BM101">
        <v>21.75</v>
      </c>
      <c r="BN101">
        <v>166.77</v>
      </c>
      <c r="BO101">
        <v>166.77</v>
      </c>
      <c r="BQ101" t="s">
        <v>473</v>
      </c>
      <c r="BR101" t="s">
        <v>84</v>
      </c>
      <c r="BS101" s="3">
        <v>45782</v>
      </c>
      <c r="BT101" s="4">
        <v>0.65277777777777779</v>
      </c>
      <c r="BU101" t="s">
        <v>474</v>
      </c>
      <c r="BV101" t="s">
        <v>86</v>
      </c>
      <c r="BY101">
        <v>129720</v>
      </c>
      <c r="CA101" t="s">
        <v>475</v>
      </c>
      <c r="CC101" t="s">
        <v>76</v>
      </c>
      <c r="CD101">
        <v>1609</v>
      </c>
      <c r="CE101" t="s">
        <v>96</v>
      </c>
      <c r="CF101" s="3">
        <v>45783</v>
      </c>
      <c r="CI101">
        <v>1</v>
      </c>
      <c r="CJ101">
        <v>1</v>
      </c>
      <c r="CK101">
        <v>42</v>
      </c>
      <c r="CL101" t="s">
        <v>89</v>
      </c>
    </row>
    <row r="102" spans="1:90" x14ac:dyDescent="0.3">
      <c r="A102" t="s">
        <v>72</v>
      </c>
      <c r="B102" t="s">
        <v>73</v>
      </c>
      <c r="C102" t="s">
        <v>74</v>
      </c>
      <c r="E102" t="str">
        <f>"080065133590"</f>
        <v>080065133590</v>
      </c>
      <c r="F102" s="3">
        <v>45779</v>
      </c>
      <c r="G102">
        <v>202602</v>
      </c>
      <c r="H102" t="s">
        <v>75</v>
      </c>
      <c r="I102" t="s">
        <v>76</v>
      </c>
      <c r="J102" t="s">
        <v>77</v>
      </c>
      <c r="K102" t="s">
        <v>78</v>
      </c>
      <c r="L102" t="s">
        <v>90</v>
      </c>
      <c r="M102" t="s">
        <v>91</v>
      </c>
      <c r="N102" t="s">
        <v>476</v>
      </c>
      <c r="O102" t="s">
        <v>300</v>
      </c>
      <c r="P102" t="str">
        <f>"4170036653                    "</f>
        <v xml:space="preserve">4170036653                    </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134.56</v>
      </c>
      <c r="AR102">
        <v>0</v>
      </c>
      <c r="AS102">
        <v>0</v>
      </c>
      <c r="AT102">
        <v>0</v>
      </c>
      <c r="AU102">
        <v>0</v>
      </c>
      <c r="AV102">
        <v>0</v>
      </c>
      <c r="AW102">
        <v>0</v>
      </c>
      <c r="AX102">
        <v>0</v>
      </c>
      <c r="AY102">
        <v>0</v>
      </c>
      <c r="AZ102">
        <v>0</v>
      </c>
      <c r="BA102">
        <v>0</v>
      </c>
      <c r="BB102">
        <v>0</v>
      </c>
      <c r="BC102">
        <v>0</v>
      </c>
      <c r="BD102">
        <v>0</v>
      </c>
      <c r="BE102">
        <v>0</v>
      </c>
      <c r="BF102">
        <v>0</v>
      </c>
      <c r="BG102">
        <v>0</v>
      </c>
      <c r="BH102">
        <v>3</v>
      </c>
      <c r="BI102">
        <v>48</v>
      </c>
      <c r="BJ102">
        <v>67</v>
      </c>
      <c r="BK102">
        <v>67</v>
      </c>
      <c r="BL102">
        <v>435.87</v>
      </c>
      <c r="BM102">
        <v>65.38</v>
      </c>
      <c r="BN102">
        <v>501.25</v>
      </c>
      <c r="BO102">
        <v>501.25</v>
      </c>
      <c r="BQ102" t="s">
        <v>477</v>
      </c>
      <c r="BR102" t="s">
        <v>84</v>
      </c>
      <c r="BS102" s="3">
        <v>45782</v>
      </c>
      <c r="BT102" s="4">
        <v>0.52083333333333337</v>
      </c>
      <c r="BU102" t="s">
        <v>478</v>
      </c>
      <c r="BV102" t="s">
        <v>86</v>
      </c>
      <c r="BY102">
        <v>334920</v>
      </c>
      <c r="CC102" t="s">
        <v>91</v>
      </c>
      <c r="CD102">
        <v>6001</v>
      </c>
      <c r="CE102" t="s">
        <v>176</v>
      </c>
      <c r="CF102" s="3">
        <v>45782</v>
      </c>
      <c r="CI102">
        <v>3</v>
      </c>
      <c r="CJ102">
        <v>1</v>
      </c>
      <c r="CK102">
        <v>41</v>
      </c>
      <c r="CL102" t="s">
        <v>89</v>
      </c>
    </row>
    <row r="103" spans="1:90" x14ac:dyDescent="0.3">
      <c r="A103" t="s">
        <v>72</v>
      </c>
      <c r="B103" t="s">
        <v>73</v>
      </c>
      <c r="C103" t="s">
        <v>74</v>
      </c>
      <c r="E103" t="str">
        <f>"R080064966334"</f>
        <v>R080064966334</v>
      </c>
      <c r="F103" s="3">
        <v>45779</v>
      </c>
      <c r="G103">
        <v>202602</v>
      </c>
      <c r="H103" t="s">
        <v>479</v>
      </c>
      <c r="I103" t="s">
        <v>480</v>
      </c>
      <c r="J103" t="s">
        <v>481</v>
      </c>
      <c r="K103" t="s">
        <v>78</v>
      </c>
      <c r="L103" t="s">
        <v>75</v>
      </c>
      <c r="M103" t="s">
        <v>76</v>
      </c>
      <c r="N103" t="s">
        <v>77</v>
      </c>
      <c r="O103" t="s">
        <v>300</v>
      </c>
      <c r="P103" t="str">
        <f>"4170035169                    "</f>
        <v xml:space="preserve">4170035169                    </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33</v>
      </c>
      <c r="AR103">
        <v>0</v>
      </c>
      <c r="AS103">
        <v>0</v>
      </c>
      <c r="AT103">
        <v>0</v>
      </c>
      <c r="AU103">
        <v>0</v>
      </c>
      <c r="AV103">
        <v>0</v>
      </c>
      <c r="AW103">
        <v>0</v>
      </c>
      <c r="AX103">
        <v>0</v>
      </c>
      <c r="AY103">
        <v>0</v>
      </c>
      <c r="AZ103">
        <v>0</v>
      </c>
      <c r="BA103">
        <v>0</v>
      </c>
      <c r="BB103">
        <v>0</v>
      </c>
      <c r="BC103">
        <v>0</v>
      </c>
      <c r="BD103">
        <v>0</v>
      </c>
      <c r="BE103">
        <v>0</v>
      </c>
      <c r="BF103">
        <v>0</v>
      </c>
      <c r="BG103">
        <v>0</v>
      </c>
      <c r="BH103">
        <v>1</v>
      </c>
      <c r="BI103">
        <v>1</v>
      </c>
      <c r="BJ103">
        <v>1.7</v>
      </c>
      <c r="BK103">
        <v>2</v>
      </c>
      <c r="BL103">
        <v>111.09</v>
      </c>
      <c r="BM103">
        <v>16.66</v>
      </c>
      <c r="BN103">
        <v>127.75</v>
      </c>
      <c r="BO103">
        <v>127.75</v>
      </c>
      <c r="BQ103" t="s">
        <v>84</v>
      </c>
      <c r="BR103" t="s">
        <v>482</v>
      </c>
      <c r="BS103" s="3">
        <v>45782</v>
      </c>
      <c r="BT103" s="4">
        <v>0.53402777777777777</v>
      </c>
      <c r="BU103" t="s">
        <v>483</v>
      </c>
      <c r="BV103" t="s">
        <v>86</v>
      </c>
      <c r="BY103">
        <v>8512</v>
      </c>
      <c r="CA103" t="s">
        <v>484</v>
      </c>
      <c r="CC103" t="s">
        <v>76</v>
      </c>
      <c r="CD103">
        <v>1601</v>
      </c>
      <c r="CE103" t="s">
        <v>116</v>
      </c>
      <c r="CF103" s="3">
        <v>45783</v>
      </c>
      <c r="CI103">
        <v>1</v>
      </c>
      <c r="CJ103">
        <v>1</v>
      </c>
      <c r="CK103">
        <v>42</v>
      </c>
      <c r="CL103" t="s">
        <v>89</v>
      </c>
    </row>
    <row r="104" spans="1:90" x14ac:dyDescent="0.3">
      <c r="A104" t="s">
        <v>72</v>
      </c>
      <c r="B104" t="s">
        <v>73</v>
      </c>
      <c r="C104" t="s">
        <v>74</v>
      </c>
      <c r="E104" t="str">
        <f>"080065134132"</f>
        <v>080065134132</v>
      </c>
      <c r="F104" s="3">
        <v>45779</v>
      </c>
      <c r="G104">
        <v>202602</v>
      </c>
      <c r="H104" t="s">
        <v>75</v>
      </c>
      <c r="I104" t="s">
        <v>76</v>
      </c>
      <c r="J104" t="s">
        <v>77</v>
      </c>
      <c r="K104" t="s">
        <v>78</v>
      </c>
      <c r="L104" t="s">
        <v>103</v>
      </c>
      <c r="M104" t="s">
        <v>104</v>
      </c>
      <c r="N104" t="s">
        <v>105</v>
      </c>
      <c r="O104" t="s">
        <v>82</v>
      </c>
      <c r="P104" t="str">
        <f>"4170036707                    "</f>
        <v xml:space="preserve">4170036707                    </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22.11</v>
      </c>
      <c r="AR104">
        <v>0</v>
      </c>
      <c r="AS104">
        <v>0</v>
      </c>
      <c r="AT104">
        <v>0</v>
      </c>
      <c r="AU104">
        <v>0</v>
      </c>
      <c r="AV104">
        <v>0</v>
      </c>
      <c r="AW104">
        <v>0</v>
      </c>
      <c r="AX104">
        <v>0</v>
      </c>
      <c r="AY104">
        <v>0</v>
      </c>
      <c r="AZ104">
        <v>0</v>
      </c>
      <c r="BA104">
        <v>0</v>
      </c>
      <c r="BB104">
        <v>0</v>
      </c>
      <c r="BC104">
        <v>0</v>
      </c>
      <c r="BD104">
        <v>0</v>
      </c>
      <c r="BE104">
        <v>0</v>
      </c>
      <c r="BF104">
        <v>0</v>
      </c>
      <c r="BG104">
        <v>0</v>
      </c>
      <c r="BH104">
        <v>1</v>
      </c>
      <c r="BI104">
        <v>1</v>
      </c>
      <c r="BJ104">
        <v>0.2</v>
      </c>
      <c r="BK104">
        <v>1</v>
      </c>
      <c r="BL104">
        <v>70.709999999999994</v>
      </c>
      <c r="BM104">
        <v>10.61</v>
      </c>
      <c r="BN104">
        <v>81.319999999999993</v>
      </c>
      <c r="BO104">
        <v>81.319999999999993</v>
      </c>
      <c r="BQ104" t="s">
        <v>106</v>
      </c>
      <c r="BR104" t="s">
        <v>84</v>
      </c>
      <c r="BS104" s="3">
        <v>45782</v>
      </c>
      <c r="BT104" s="4">
        <v>0.46458333333333335</v>
      </c>
      <c r="BU104" t="s">
        <v>430</v>
      </c>
      <c r="BV104" t="s">
        <v>86</v>
      </c>
      <c r="BY104">
        <v>1200</v>
      </c>
      <c r="CA104" t="s">
        <v>108</v>
      </c>
      <c r="CC104" t="s">
        <v>104</v>
      </c>
      <c r="CD104">
        <v>3201</v>
      </c>
      <c r="CE104" t="s">
        <v>88</v>
      </c>
      <c r="CF104" s="3">
        <v>45783</v>
      </c>
      <c r="CI104">
        <v>1</v>
      </c>
      <c r="CJ104">
        <v>1</v>
      </c>
      <c r="CK104">
        <v>21</v>
      </c>
      <c r="CL104" t="s">
        <v>89</v>
      </c>
    </row>
    <row r="105" spans="1:90" x14ac:dyDescent="0.3">
      <c r="A105" t="s">
        <v>72</v>
      </c>
      <c r="B105" t="s">
        <v>73</v>
      </c>
      <c r="C105" t="s">
        <v>74</v>
      </c>
      <c r="E105" t="str">
        <f>"080065134158"</f>
        <v>080065134158</v>
      </c>
      <c r="F105" s="3">
        <v>45779</v>
      </c>
      <c r="G105">
        <v>202602</v>
      </c>
      <c r="H105" t="s">
        <v>75</v>
      </c>
      <c r="I105" t="s">
        <v>76</v>
      </c>
      <c r="J105" t="s">
        <v>77</v>
      </c>
      <c r="K105" t="s">
        <v>78</v>
      </c>
      <c r="L105" t="s">
        <v>103</v>
      </c>
      <c r="M105" t="s">
        <v>104</v>
      </c>
      <c r="N105" t="s">
        <v>105</v>
      </c>
      <c r="O105" t="s">
        <v>82</v>
      </c>
      <c r="P105" t="str">
        <f>"4170036710                    "</f>
        <v xml:space="preserve">4170036710                    </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22.11</v>
      </c>
      <c r="AR105">
        <v>0</v>
      </c>
      <c r="AS105">
        <v>0</v>
      </c>
      <c r="AT105">
        <v>0</v>
      </c>
      <c r="AU105">
        <v>0</v>
      </c>
      <c r="AV105">
        <v>0</v>
      </c>
      <c r="AW105">
        <v>0</v>
      </c>
      <c r="AX105">
        <v>0</v>
      </c>
      <c r="AY105">
        <v>0</v>
      </c>
      <c r="AZ105">
        <v>0</v>
      </c>
      <c r="BA105">
        <v>0</v>
      </c>
      <c r="BB105">
        <v>0</v>
      </c>
      <c r="BC105">
        <v>0</v>
      </c>
      <c r="BD105">
        <v>0</v>
      </c>
      <c r="BE105">
        <v>0</v>
      </c>
      <c r="BF105">
        <v>0</v>
      </c>
      <c r="BG105">
        <v>0</v>
      </c>
      <c r="BH105">
        <v>1</v>
      </c>
      <c r="BI105">
        <v>1</v>
      </c>
      <c r="BJ105">
        <v>0.2</v>
      </c>
      <c r="BK105">
        <v>1</v>
      </c>
      <c r="BL105">
        <v>70.709999999999994</v>
      </c>
      <c r="BM105">
        <v>10.61</v>
      </c>
      <c r="BN105">
        <v>81.319999999999993</v>
      </c>
      <c r="BO105">
        <v>81.319999999999993</v>
      </c>
      <c r="BQ105" t="s">
        <v>106</v>
      </c>
      <c r="BR105" t="s">
        <v>84</v>
      </c>
      <c r="BS105" s="3">
        <v>45782</v>
      </c>
      <c r="BT105" s="4">
        <v>0.46458333333333335</v>
      </c>
      <c r="BU105" t="s">
        <v>430</v>
      </c>
      <c r="BV105" t="s">
        <v>86</v>
      </c>
      <c r="BY105">
        <v>1200</v>
      </c>
      <c r="CA105" t="s">
        <v>108</v>
      </c>
      <c r="CC105" t="s">
        <v>104</v>
      </c>
      <c r="CD105">
        <v>3201</v>
      </c>
      <c r="CE105" t="s">
        <v>88</v>
      </c>
      <c r="CF105" s="3">
        <v>45783</v>
      </c>
      <c r="CI105">
        <v>1</v>
      </c>
      <c r="CJ105">
        <v>1</v>
      </c>
      <c r="CK105">
        <v>21</v>
      </c>
      <c r="CL105" t="s">
        <v>89</v>
      </c>
    </row>
    <row r="106" spans="1:90" x14ac:dyDescent="0.3">
      <c r="A106" t="s">
        <v>72</v>
      </c>
      <c r="B106" t="s">
        <v>73</v>
      </c>
      <c r="C106" t="s">
        <v>74</v>
      </c>
      <c r="E106" t="str">
        <f>"080065134191"</f>
        <v>080065134191</v>
      </c>
      <c r="F106" s="3">
        <v>45779</v>
      </c>
      <c r="G106">
        <v>202602</v>
      </c>
      <c r="H106" t="s">
        <v>75</v>
      </c>
      <c r="I106" t="s">
        <v>76</v>
      </c>
      <c r="J106" t="s">
        <v>77</v>
      </c>
      <c r="K106" t="s">
        <v>78</v>
      </c>
      <c r="L106" t="s">
        <v>222</v>
      </c>
      <c r="M106" t="s">
        <v>223</v>
      </c>
      <c r="N106" t="s">
        <v>224</v>
      </c>
      <c r="O106" t="s">
        <v>82</v>
      </c>
      <c r="P106" t="str">
        <f>"4170036658                    "</f>
        <v xml:space="preserve">4170036658                    </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31.1</v>
      </c>
      <c r="AR106">
        <v>0</v>
      </c>
      <c r="AS106">
        <v>0</v>
      </c>
      <c r="AT106">
        <v>0</v>
      </c>
      <c r="AU106">
        <v>0</v>
      </c>
      <c r="AV106">
        <v>0</v>
      </c>
      <c r="AW106">
        <v>0</v>
      </c>
      <c r="AX106">
        <v>0</v>
      </c>
      <c r="AY106">
        <v>0</v>
      </c>
      <c r="AZ106">
        <v>0</v>
      </c>
      <c r="BA106">
        <v>0</v>
      </c>
      <c r="BB106">
        <v>0</v>
      </c>
      <c r="BC106">
        <v>0</v>
      </c>
      <c r="BD106">
        <v>0</v>
      </c>
      <c r="BE106">
        <v>0</v>
      </c>
      <c r="BF106">
        <v>0</v>
      </c>
      <c r="BG106">
        <v>0</v>
      </c>
      <c r="BH106">
        <v>1</v>
      </c>
      <c r="BI106">
        <v>1</v>
      </c>
      <c r="BJ106">
        <v>0.2</v>
      </c>
      <c r="BK106">
        <v>1</v>
      </c>
      <c r="BL106">
        <v>99.45</v>
      </c>
      <c r="BM106">
        <v>14.92</v>
      </c>
      <c r="BN106">
        <v>114.37</v>
      </c>
      <c r="BO106">
        <v>114.37</v>
      </c>
      <c r="BQ106" t="s">
        <v>225</v>
      </c>
      <c r="BR106" t="s">
        <v>84</v>
      </c>
      <c r="BS106" s="3">
        <v>45782</v>
      </c>
      <c r="BT106" s="4">
        <v>0.46736111111111112</v>
      </c>
      <c r="BU106" t="s">
        <v>226</v>
      </c>
      <c r="BV106" t="s">
        <v>86</v>
      </c>
      <c r="BY106">
        <v>1200</v>
      </c>
      <c r="CA106" t="s">
        <v>227</v>
      </c>
      <c r="CC106" t="s">
        <v>223</v>
      </c>
      <c r="CD106">
        <v>1754</v>
      </c>
      <c r="CE106" t="s">
        <v>88</v>
      </c>
      <c r="CF106" s="3">
        <v>45783</v>
      </c>
      <c r="CI106">
        <v>1</v>
      </c>
      <c r="CJ106">
        <v>1</v>
      </c>
      <c r="CK106">
        <v>24</v>
      </c>
      <c r="CL106" t="s">
        <v>89</v>
      </c>
    </row>
    <row r="107" spans="1:90" x14ac:dyDescent="0.3">
      <c r="A107" t="s">
        <v>72</v>
      </c>
      <c r="B107" t="s">
        <v>73</v>
      </c>
      <c r="C107" t="s">
        <v>74</v>
      </c>
      <c r="E107" t="str">
        <f>"080065134215"</f>
        <v>080065134215</v>
      </c>
      <c r="F107" s="3">
        <v>45779</v>
      </c>
      <c r="G107">
        <v>202602</v>
      </c>
      <c r="H107" t="s">
        <v>75</v>
      </c>
      <c r="I107" t="s">
        <v>76</v>
      </c>
      <c r="J107" t="s">
        <v>77</v>
      </c>
      <c r="K107" t="s">
        <v>78</v>
      </c>
      <c r="L107" t="s">
        <v>130</v>
      </c>
      <c r="M107" t="s">
        <v>131</v>
      </c>
      <c r="N107" t="s">
        <v>485</v>
      </c>
      <c r="O107" t="s">
        <v>82</v>
      </c>
      <c r="P107" t="str">
        <f>"4170036777                    "</f>
        <v xml:space="preserve">4170036777                    </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22.11</v>
      </c>
      <c r="AR107">
        <v>0</v>
      </c>
      <c r="AS107">
        <v>0</v>
      </c>
      <c r="AT107">
        <v>0</v>
      </c>
      <c r="AU107">
        <v>0</v>
      </c>
      <c r="AV107">
        <v>0</v>
      </c>
      <c r="AW107">
        <v>0</v>
      </c>
      <c r="AX107">
        <v>0</v>
      </c>
      <c r="AY107">
        <v>0</v>
      </c>
      <c r="AZ107">
        <v>0</v>
      </c>
      <c r="BA107">
        <v>0</v>
      </c>
      <c r="BB107">
        <v>0</v>
      </c>
      <c r="BC107">
        <v>0</v>
      </c>
      <c r="BD107">
        <v>0</v>
      </c>
      <c r="BE107">
        <v>0</v>
      </c>
      <c r="BF107">
        <v>0</v>
      </c>
      <c r="BG107">
        <v>0</v>
      </c>
      <c r="BH107">
        <v>1</v>
      </c>
      <c r="BI107">
        <v>1</v>
      </c>
      <c r="BJ107">
        <v>0.2</v>
      </c>
      <c r="BK107">
        <v>1</v>
      </c>
      <c r="BL107">
        <v>70.709999999999994</v>
      </c>
      <c r="BM107">
        <v>10.61</v>
      </c>
      <c r="BN107">
        <v>81.319999999999993</v>
      </c>
      <c r="BO107">
        <v>81.319999999999993</v>
      </c>
      <c r="BQ107" t="s">
        <v>486</v>
      </c>
      <c r="BR107" t="s">
        <v>84</v>
      </c>
      <c r="BS107" s="3">
        <v>45782</v>
      </c>
      <c r="BT107" s="4">
        <v>0.40208333333333335</v>
      </c>
      <c r="BU107" t="s">
        <v>487</v>
      </c>
      <c r="BV107" t="s">
        <v>86</v>
      </c>
      <c r="BY107">
        <v>1200</v>
      </c>
      <c r="CA107" t="s">
        <v>488</v>
      </c>
      <c r="CC107" t="s">
        <v>131</v>
      </c>
      <c r="CD107">
        <v>7500</v>
      </c>
      <c r="CE107" t="s">
        <v>88</v>
      </c>
      <c r="CF107" s="3">
        <v>45783</v>
      </c>
      <c r="CI107">
        <v>1</v>
      </c>
      <c r="CJ107">
        <v>1</v>
      </c>
      <c r="CK107">
        <v>21</v>
      </c>
      <c r="CL107" t="s">
        <v>89</v>
      </c>
    </row>
    <row r="108" spans="1:90" x14ac:dyDescent="0.3">
      <c r="A108" t="s">
        <v>72</v>
      </c>
      <c r="B108" t="s">
        <v>73</v>
      </c>
      <c r="C108" t="s">
        <v>74</v>
      </c>
      <c r="E108" t="str">
        <f>"080065134237"</f>
        <v>080065134237</v>
      </c>
      <c r="F108" s="3">
        <v>45779</v>
      </c>
      <c r="G108">
        <v>202602</v>
      </c>
      <c r="H108" t="s">
        <v>75</v>
      </c>
      <c r="I108" t="s">
        <v>76</v>
      </c>
      <c r="J108" t="s">
        <v>77</v>
      </c>
      <c r="K108" t="s">
        <v>78</v>
      </c>
      <c r="L108" t="s">
        <v>130</v>
      </c>
      <c r="M108" t="s">
        <v>131</v>
      </c>
      <c r="N108" t="s">
        <v>485</v>
      </c>
      <c r="O108" t="s">
        <v>82</v>
      </c>
      <c r="P108" t="str">
        <f>"4170036783                    "</f>
        <v xml:space="preserve">4170036783                    </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22.11</v>
      </c>
      <c r="AR108">
        <v>0</v>
      </c>
      <c r="AS108">
        <v>0</v>
      </c>
      <c r="AT108">
        <v>0</v>
      </c>
      <c r="AU108">
        <v>0</v>
      </c>
      <c r="AV108">
        <v>0</v>
      </c>
      <c r="AW108">
        <v>0</v>
      </c>
      <c r="AX108">
        <v>0</v>
      </c>
      <c r="AY108">
        <v>0</v>
      </c>
      <c r="AZ108">
        <v>0</v>
      </c>
      <c r="BA108">
        <v>0</v>
      </c>
      <c r="BB108">
        <v>0</v>
      </c>
      <c r="BC108">
        <v>0</v>
      </c>
      <c r="BD108">
        <v>0</v>
      </c>
      <c r="BE108">
        <v>0</v>
      </c>
      <c r="BF108">
        <v>0</v>
      </c>
      <c r="BG108">
        <v>0</v>
      </c>
      <c r="BH108">
        <v>1</v>
      </c>
      <c r="BI108">
        <v>1</v>
      </c>
      <c r="BJ108">
        <v>0.2</v>
      </c>
      <c r="BK108">
        <v>1</v>
      </c>
      <c r="BL108">
        <v>70.709999999999994</v>
      </c>
      <c r="BM108">
        <v>10.61</v>
      </c>
      <c r="BN108">
        <v>81.319999999999993</v>
      </c>
      <c r="BO108">
        <v>81.319999999999993</v>
      </c>
      <c r="BQ108" t="s">
        <v>486</v>
      </c>
      <c r="BR108" t="s">
        <v>84</v>
      </c>
      <c r="BS108" s="3">
        <v>45782</v>
      </c>
      <c r="BT108" s="4">
        <v>0.40208333333333335</v>
      </c>
      <c r="BU108" t="s">
        <v>487</v>
      </c>
      <c r="BV108" t="s">
        <v>86</v>
      </c>
      <c r="BY108">
        <v>1200</v>
      </c>
      <c r="CA108" t="s">
        <v>488</v>
      </c>
      <c r="CC108" t="s">
        <v>131</v>
      </c>
      <c r="CD108">
        <v>7500</v>
      </c>
      <c r="CE108" t="s">
        <v>88</v>
      </c>
      <c r="CF108" s="3">
        <v>45783</v>
      </c>
      <c r="CI108">
        <v>1</v>
      </c>
      <c r="CJ108">
        <v>1</v>
      </c>
      <c r="CK108">
        <v>21</v>
      </c>
      <c r="CL108" t="s">
        <v>89</v>
      </c>
    </row>
    <row r="109" spans="1:90" x14ac:dyDescent="0.3">
      <c r="A109" t="s">
        <v>72</v>
      </c>
      <c r="B109" t="s">
        <v>73</v>
      </c>
      <c r="C109" t="s">
        <v>74</v>
      </c>
      <c r="E109" t="str">
        <f>"080065134261"</f>
        <v>080065134261</v>
      </c>
      <c r="F109" s="3">
        <v>45779</v>
      </c>
      <c r="G109">
        <v>202602</v>
      </c>
      <c r="H109" t="s">
        <v>75</v>
      </c>
      <c r="I109" t="s">
        <v>76</v>
      </c>
      <c r="J109" t="s">
        <v>77</v>
      </c>
      <c r="K109" t="s">
        <v>78</v>
      </c>
      <c r="L109" t="s">
        <v>489</v>
      </c>
      <c r="M109" t="s">
        <v>490</v>
      </c>
      <c r="N109" t="s">
        <v>491</v>
      </c>
      <c r="O109" t="s">
        <v>82</v>
      </c>
      <c r="P109" t="str">
        <f>"4170036754                    "</f>
        <v xml:space="preserve">4170036754                    </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42.84</v>
      </c>
      <c r="AR109">
        <v>0</v>
      </c>
      <c r="AS109">
        <v>0</v>
      </c>
      <c r="AT109">
        <v>0</v>
      </c>
      <c r="AU109">
        <v>0</v>
      </c>
      <c r="AV109">
        <v>0</v>
      </c>
      <c r="AW109">
        <v>0</v>
      </c>
      <c r="AX109">
        <v>0</v>
      </c>
      <c r="AY109">
        <v>0</v>
      </c>
      <c r="AZ109">
        <v>0</v>
      </c>
      <c r="BA109">
        <v>0</v>
      </c>
      <c r="BB109">
        <v>0</v>
      </c>
      <c r="BC109">
        <v>0</v>
      </c>
      <c r="BD109">
        <v>0</v>
      </c>
      <c r="BE109">
        <v>0</v>
      </c>
      <c r="BF109">
        <v>0</v>
      </c>
      <c r="BG109">
        <v>0</v>
      </c>
      <c r="BH109">
        <v>1</v>
      </c>
      <c r="BI109">
        <v>1</v>
      </c>
      <c r="BJ109">
        <v>0.2</v>
      </c>
      <c r="BK109">
        <v>1</v>
      </c>
      <c r="BL109">
        <v>137</v>
      </c>
      <c r="BM109">
        <v>20.55</v>
      </c>
      <c r="BN109">
        <v>157.55000000000001</v>
      </c>
      <c r="BO109">
        <v>157.55000000000001</v>
      </c>
      <c r="BQ109" t="s">
        <v>492</v>
      </c>
      <c r="BR109" t="s">
        <v>84</v>
      </c>
      <c r="BS109" s="3">
        <v>45780</v>
      </c>
      <c r="BT109" s="4">
        <v>0.4201388888888889</v>
      </c>
      <c r="BU109" t="s">
        <v>493</v>
      </c>
      <c r="BV109" t="s">
        <v>86</v>
      </c>
      <c r="BY109">
        <v>1200</v>
      </c>
      <c r="CA109" t="s">
        <v>494</v>
      </c>
      <c r="CC109" t="s">
        <v>490</v>
      </c>
      <c r="CD109">
        <v>2740</v>
      </c>
      <c r="CE109" t="s">
        <v>88</v>
      </c>
      <c r="CF109" s="3">
        <v>45785</v>
      </c>
      <c r="CI109">
        <v>1</v>
      </c>
      <c r="CJ109">
        <v>0</v>
      </c>
      <c r="CK109">
        <v>23</v>
      </c>
      <c r="CL109" t="s">
        <v>89</v>
      </c>
    </row>
    <row r="110" spans="1:90" x14ac:dyDescent="0.3">
      <c r="A110" t="s">
        <v>72</v>
      </c>
      <c r="B110" t="s">
        <v>73</v>
      </c>
      <c r="C110" t="s">
        <v>74</v>
      </c>
      <c r="E110" t="str">
        <f>"080065134288"</f>
        <v>080065134288</v>
      </c>
      <c r="F110" s="3">
        <v>45779</v>
      </c>
      <c r="G110">
        <v>202602</v>
      </c>
      <c r="H110" t="s">
        <v>75</v>
      </c>
      <c r="I110" t="s">
        <v>76</v>
      </c>
      <c r="J110" t="s">
        <v>77</v>
      </c>
      <c r="K110" t="s">
        <v>78</v>
      </c>
      <c r="L110" t="s">
        <v>130</v>
      </c>
      <c r="M110" t="s">
        <v>131</v>
      </c>
      <c r="N110" t="s">
        <v>327</v>
      </c>
      <c r="O110" t="s">
        <v>82</v>
      </c>
      <c r="P110" t="str">
        <f>"4170036736                    "</f>
        <v xml:space="preserve">4170036736                    </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22.11</v>
      </c>
      <c r="AR110">
        <v>0</v>
      </c>
      <c r="AS110">
        <v>0</v>
      </c>
      <c r="AT110">
        <v>0</v>
      </c>
      <c r="AU110">
        <v>0</v>
      </c>
      <c r="AV110">
        <v>0</v>
      </c>
      <c r="AW110">
        <v>0</v>
      </c>
      <c r="AX110">
        <v>0</v>
      </c>
      <c r="AY110">
        <v>0</v>
      </c>
      <c r="AZ110">
        <v>0</v>
      </c>
      <c r="BA110">
        <v>0</v>
      </c>
      <c r="BB110">
        <v>0</v>
      </c>
      <c r="BC110">
        <v>0</v>
      </c>
      <c r="BD110">
        <v>0</v>
      </c>
      <c r="BE110">
        <v>0</v>
      </c>
      <c r="BF110">
        <v>0</v>
      </c>
      <c r="BG110">
        <v>0</v>
      </c>
      <c r="BH110">
        <v>1</v>
      </c>
      <c r="BI110">
        <v>1</v>
      </c>
      <c r="BJ110">
        <v>0.2</v>
      </c>
      <c r="BK110">
        <v>1</v>
      </c>
      <c r="BL110">
        <v>70.709999999999994</v>
      </c>
      <c r="BM110">
        <v>10.61</v>
      </c>
      <c r="BN110">
        <v>81.319999999999993</v>
      </c>
      <c r="BO110">
        <v>81.319999999999993</v>
      </c>
      <c r="BQ110" t="s">
        <v>328</v>
      </c>
      <c r="BR110" t="s">
        <v>84</v>
      </c>
      <c r="BS110" s="3">
        <v>45782</v>
      </c>
      <c r="BT110" s="4">
        <v>0.38194444444444442</v>
      </c>
      <c r="BU110" t="s">
        <v>329</v>
      </c>
      <c r="BV110" t="s">
        <v>86</v>
      </c>
      <c r="BY110">
        <v>1200</v>
      </c>
      <c r="CA110" t="s">
        <v>330</v>
      </c>
      <c r="CC110" t="s">
        <v>131</v>
      </c>
      <c r="CD110">
        <v>7480</v>
      </c>
      <c r="CE110" t="s">
        <v>88</v>
      </c>
      <c r="CF110" s="3">
        <v>45783</v>
      </c>
      <c r="CI110">
        <v>1</v>
      </c>
      <c r="CJ110">
        <v>1</v>
      </c>
      <c r="CK110">
        <v>21</v>
      </c>
      <c r="CL110" t="s">
        <v>89</v>
      </c>
    </row>
    <row r="111" spans="1:90" x14ac:dyDescent="0.3">
      <c r="A111" t="s">
        <v>72</v>
      </c>
      <c r="B111" t="s">
        <v>73</v>
      </c>
      <c r="C111" t="s">
        <v>74</v>
      </c>
      <c r="E111" t="str">
        <f>"080065134333"</f>
        <v>080065134333</v>
      </c>
      <c r="F111" s="3">
        <v>45779</v>
      </c>
      <c r="G111">
        <v>202602</v>
      </c>
      <c r="H111" t="s">
        <v>75</v>
      </c>
      <c r="I111" t="s">
        <v>76</v>
      </c>
      <c r="J111" t="s">
        <v>77</v>
      </c>
      <c r="K111" t="s">
        <v>78</v>
      </c>
      <c r="L111" t="s">
        <v>79</v>
      </c>
      <c r="M111" t="s">
        <v>80</v>
      </c>
      <c r="N111" t="s">
        <v>452</v>
      </c>
      <c r="O111" t="s">
        <v>82</v>
      </c>
      <c r="P111" t="str">
        <f>"4170036778                    "</f>
        <v xml:space="preserve">4170036778                    </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22.11</v>
      </c>
      <c r="AR111">
        <v>0</v>
      </c>
      <c r="AS111">
        <v>0</v>
      </c>
      <c r="AT111">
        <v>0</v>
      </c>
      <c r="AU111">
        <v>0</v>
      </c>
      <c r="AV111">
        <v>0</v>
      </c>
      <c r="AW111">
        <v>0</v>
      </c>
      <c r="AX111">
        <v>0</v>
      </c>
      <c r="AY111">
        <v>0</v>
      </c>
      <c r="AZ111">
        <v>0</v>
      </c>
      <c r="BA111">
        <v>0</v>
      </c>
      <c r="BB111">
        <v>0</v>
      </c>
      <c r="BC111">
        <v>0</v>
      </c>
      <c r="BD111">
        <v>0</v>
      </c>
      <c r="BE111">
        <v>0</v>
      </c>
      <c r="BF111">
        <v>0</v>
      </c>
      <c r="BG111">
        <v>0</v>
      </c>
      <c r="BH111">
        <v>1</v>
      </c>
      <c r="BI111">
        <v>1</v>
      </c>
      <c r="BJ111">
        <v>0.2</v>
      </c>
      <c r="BK111">
        <v>1</v>
      </c>
      <c r="BL111">
        <v>70.709999999999994</v>
      </c>
      <c r="BM111">
        <v>10.61</v>
      </c>
      <c r="BN111">
        <v>81.319999999999993</v>
      </c>
      <c r="BO111">
        <v>81.319999999999993</v>
      </c>
      <c r="BQ111" t="s">
        <v>453</v>
      </c>
      <c r="BR111" t="s">
        <v>84</v>
      </c>
      <c r="BS111" s="3">
        <v>45782</v>
      </c>
      <c r="BT111" s="4">
        <v>0.36041666666666666</v>
      </c>
      <c r="BU111" t="s">
        <v>495</v>
      </c>
      <c r="BV111" t="s">
        <v>86</v>
      </c>
      <c r="BY111">
        <v>1200</v>
      </c>
      <c r="CA111" t="s">
        <v>160</v>
      </c>
      <c r="CC111" t="s">
        <v>80</v>
      </c>
      <c r="CD111">
        <v>3610</v>
      </c>
      <c r="CE111" t="s">
        <v>88</v>
      </c>
      <c r="CF111" s="3">
        <v>45783</v>
      </c>
      <c r="CI111">
        <v>1</v>
      </c>
      <c r="CJ111">
        <v>1</v>
      </c>
      <c r="CK111">
        <v>21</v>
      </c>
      <c r="CL111" t="s">
        <v>89</v>
      </c>
    </row>
    <row r="112" spans="1:90" x14ac:dyDescent="0.3">
      <c r="A112" t="s">
        <v>72</v>
      </c>
      <c r="B112" t="s">
        <v>73</v>
      </c>
      <c r="C112" t="s">
        <v>74</v>
      </c>
      <c r="E112" t="str">
        <f>"080065134358"</f>
        <v>080065134358</v>
      </c>
      <c r="F112" s="3">
        <v>45779</v>
      </c>
      <c r="G112">
        <v>202602</v>
      </c>
      <c r="H112" t="s">
        <v>75</v>
      </c>
      <c r="I112" t="s">
        <v>76</v>
      </c>
      <c r="J112" t="s">
        <v>77</v>
      </c>
      <c r="K112" t="s">
        <v>78</v>
      </c>
      <c r="L112" t="s">
        <v>130</v>
      </c>
      <c r="M112" t="s">
        <v>131</v>
      </c>
      <c r="N112" t="s">
        <v>496</v>
      </c>
      <c r="O112" t="s">
        <v>82</v>
      </c>
      <c r="P112" t="str">
        <f>"4170036771                    "</f>
        <v xml:space="preserve">4170036771                    </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22.11</v>
      </c>
      <c r="AR112">
        <v>0</v>
      </c>
      <c r="AS112">
        <v>0</v>
      </c>
      <c r="AT112">
        <v>0</v>
      </c>
      <c r="AU112">
        <v>0</v>
      </c>
      <c r="AV112">
        <v>0</v>
      </c>
      <c r="AW112">
        <v>0</v>
      </c>
      <c r="AX112">
        <v>0</v>
      </c>
      <c r="AY112">
        <v>0</v>
      </c>
      <c r="AZ112">
        <v>0</v>
      </c>
      <c r="BA112">
        <v>0</v>
      </c>
      <c r="BB112">
        <v>0</v>
      </c>
      <c r="BC112">
        <v>0</v>
      </c>
      <c r="BD112">
        <v>0</v>
      </c>
      <c r="BE112">
        <v>0</v>
      </c>
      <c r="BF112">
        <v>0</v>
      </c>
      <c r="BG112">
        <v>0</v>
      </c>
      <c r="BH112">
        <v>1</v>
      </c>
      <c r="BI112">
        <v>1</v>
      </c>
      <c r="BJ112">
        <v>0.2</v>
      </c>
      <c r="BK112">
        <v>1</v>
      </c>
      <c r="BL112">
        <v>70.709999999999994</v>
      </c>
      <c r="BM112">
        <v>10.61</v>
      </c>
      <c r="BN112">
        <v>81.319999999999993</v>
      </c>
      <c r="BO112">
        <v>81.319999999999993</v>
      </c>
      <c r="BQ112" t="s">
        <v>497</v>
      </c>
      <c r="BR112" t="s">
        <v>84</v>
      </c>
      <c r="BS112" s="3">
        <v>45782</v>
      </c>
      <c r="BT112" s="4">
        <v>0.35208333333333336</v>
      </c>
      <c r="BU112" t="s">
        <v>498</v>
      </c>
      <c r="BV112" t="s">
        <v>86</v>
      </c>
      <c r="BY112">
        <v>1200</v>
      </c>
      <c r="CA112" t="s">
        <v>242</v>
      </c>
      <c r="CC112" t="s">
        <v>131</v>
      </c>
      <c r="CD112">
        <v>8001</v>
      </c>
      <c r="CE112" t="s">
        <v>88</v>
      </c>
      <c r="CF112" s="3">
        <v>45783</v>
      </c>
      <c r="CI112">
        <v>1</v>
      </c>
      <c r="CJ112">
        <v>1</v>
      </c>
      <c r="CK112">
        <v>21</v>
      </c>
      <c r="CL112" t="s">
        <v>89</v>
      </c>
    </row>
    <row r="113" spans="1:90" x14ac:dyDescent="0.3">
      <c r="A113" t="s">
        <v>72</v>
      </c>
      <c r="B113" t="s">
        <v>73</v>
      </c>
      <c r="C113" t="s">
        <v>74</v>
      </c>
      <c r="E113" t="str">
        <f>"080065134392"</f>
        <v>080065134392</v>
      </c>
      <c r="F113" s="3">
        <v>45779</v>
      </c>
      <c r="G113">
        <v>202602</v>
      </c>
      <c r="H113" t="s">
        <v>75</v>
      </c>
      <c r="I113" t="s">
        <v>76</v>
      </c>
      <c r="J113" t="s">
        <v>77</v>
      </c>
      <c r="K113" t="s">
        <v>78</v>
      </c>
      <c r="L113" t="s">
        <v>136</v>
      </c>
      <c r="M113" t="s">
        <v>137</v>
      </c>
      <c r="N113" t="s">
        <v>499</v>
      </c>
      <c r="O113" t="s">
        <v>82</v>
      </c>
      <c r="P113" t="str">
        <f>"4170036772                    "</f>
        <v xml:space="preserve">4170036772                    </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22.11</v>
      </c>
      <c r="AR113">
        <v>0</v>
      </c>
      <c r="AS113">
        <v>0</v>
      </c>
      <c r="AT113">
        <v>0</v>
      </c>
      <c r="AU113">
        <v>0</v>
      </c>
      <c r="AV113">
        <v>0</v>
      </c>
      <c r="AW113">
        <v>0</v>
      </c>
      <c r="AX113">
        <v>0</v>
      </c>
      <c r="AY113">
        <v>0</v>
      </c>
      <c r="AZ113">
        <v>0</v>
      </c>
      <c r="BA113">
        <v>0</v>
      </c>
      <c r="BB113">
        <v>0</v>
      </c>
      <c r="BC113">
        <v>0</v>
      </c>
      <c r="BD113">
        <v>0</v>
      </c>
      <c r="BE113">
        <v>0</v>
      </c>
      <c r="BF113">
        <v>0</v>
      </c>
      <c r="BG113">
        <v>0</v>
      </c>
      <c r="BH113">
        <v>1</v>
      </c>
      <c r="BI113">
        <v>1</v>
      </c>
      <c r="BJ113">
        <v>0.2</v>
      </c>
      <c r="BK113">
        <v>1</v>
      </c>
      <c r="BL113">
        <v>70.709999999999994</v>
      </c>
      <c r="BM113">
        <v>10.61</v>
      </c>
      <c r="BN113">
        <v>81.319999999999993</v>
      </c>
      <c r="BO113">
        <v>81.319999999999993</v>
      </c>
      <c r="BQ113" t="s">
        <v>500</v>
      </c>
      <c r="BR113" t="s">
        <v>84</v>
      </c>
      <c r="BS113" s="3">
        <v>45782</v>
      </c>
      <c r="BT113" s="4">
        <v>0.40069444444444446</v>
      </c>
      <c r="BU113" t="s">
        <v>501</v>
      </c>
      <c r="BV113" t="s">
        <v>86</v>
      </c>
      <c r="BY113">
        <v>1200</v>
      </c>
      <c r="CA113" t="s">
        <v>141</v>
      </c>
      <c r="CC113" t="s">
        <v>137</v>
      </c>
      <c r="CD113" s="5" t="s">
        <v>142</v>
      </c>
      <c r="CE113" t="s">
        <v>88</v>
      </c>
      <c r="CF113" s="3">
        <v>45782</v>
      </c>
      <c r="CI113">
        <v>1</v>
      </c>
      <c r="CJ113">
        <v>1</v>
      </c>
      <c r="CK113">
        <v>21</v>
      </c>
      <c r="CL113" t="s">
        <v>89</v>
      </c>
    </row>
    <row r="114" spans="1:90" x14ac:dyDescent="0.3">
      <c r="A114" t="s">
        <v>72</v>
      </c>
      <c r="B114" t="s">
        <v>73</v>
      </c>
      <c r="C114" t="s">
        <v>74</v>
      </c>
      <c r="E114" t="str">
        <f>"080065134415"</f>
        <v>080065134415</v>
      </c>
      <c r="F114" s="3">
        <v>45779</v>
      </c>
      <c r="G114">
        <v>202602</v>
      </c>
      <c r="H114" t="s">
        <v>75</v>
      </c>
      <c r="I114" t="s">
        <v>76</v>
      </c>
      <c r="J114" t="s">
        <v>77</v>
      </c>
      <c r="K114" t="s">
        <v>78</v>
      </c>
      <c r="L114" t="s">
        <v>502</v>
      </c>
      <c r="M114" t="s">
        <v>503</v>
      </c>
      <c r="N114" t="s">
        <v>504</v>
      </c>
      <c r="O114" t="s">
        <v>82</v>
      </c>
      <c r="P114" t="str">
        <f>"4170036766                    "</f>
        <v xml:space="preserve">4170036766                    </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42.84</v>
      </c>
      <c r="AR114">
        <v>0</v>
      </c>
      <c r="AS114">
        <v>0</v>
      </c>
      <c r="AT114">
        <v>0</v>
      </c>
      <c r="AU114">
        <v>0</v>
      </c>
      <c r="AV114">
        <v>0</v>
      </c>
      <c r="AW114">
        <v>0</v>
      </c>
      <c r="AX114">
        <v>0</v>
      </c>
      <c r="AY114">
        <v>0</v>
      </c>
      <c r="AZ114">
        <v>0</v>
      </c>
      <c r="BA114">
        <v>0</v>
      </c>
      <c r="BB114">
        <v>0</v>
      </c>
      <c r="BC114">
        <v>0</v>
      </c>
      <c r="BD114">
        <v>0</v>
      </c>
      <c r="BE114">
        <v>0</v>
      </c>
      <c r="BF114">
        <v>0</v>
      </c>
      <c r="BG114">
        <v>0</v>
      </c>
      <c r="BH114">
        <v>1</v>
      </c>
      <c r="BI114">
        <v>1</v>
      </c>
      <c r="BJ114">
        <v>0.2</v>
      </c>
      <c r="BK114">
        <v>1</v>
      </c>
      <c r="BL114">
        <v>137</v>
      </c>
      <c r="BM114">
        <v>20.55</v>
      </c>
      <c r="BN114">
        <v>157.55000000000001</v>
      </c>
      <c r="BO114">
        <v>157.55000000000001</v>
      </c>
      <c r="BQ114" t="s">
        <v>505</v>
      </c>
      <c r="BR114" t="s">
        <v>84</v>
      </c>
      <c r="BS114" s="3">
        <v>45783</v>
      </c>
      <c r="BT114" s="4">
        <v>0.47499999999999998</v>
      </c>
      <c r="BU114" t="s">
        <v>506</v>
      </c>
      <c r="BV114" t="s">
        <v>86</v>
      </c>
      <c r="BY114">
        <v>1200</v>
      </c>
      <c r="CA114" t="s">
        <v>507</v>
      </c>
      <c r="CC114" t="s">
        <v>503</v>
      </c>
      <c r="CD114">
        <v>3370</v>
      </c>
      <c r="CE114" t="s">
        <v>88</v>
      </c>
      <c r="CF114" s="3">
        <v>45784</v>
      </c>
      <c r="CI114">
        <v>2</v>
      </c>
      <c r="CJ114">
        <v>2</v>
      </c>
      <c r="CK114">
        <v>23</v>
      </c>
      <c r="CL114" t="s">
        <v>89</v>
      </c>
    </row>
    <row r="115" spans="1:90" x14ac:dyDescent="0.3">
      <c r="A115" t="s">
        <v>72</v>
      </c>
      <c r="B115" t="s">
        <v>73</v>
      </c>
      <c r="C115" t="s">
        <v>74</v>
      </c>
      <c r="E115" t="str">
        <f>"080065134442"</f>
        <v>080065134442</v>
      </c>
      <c r="F115" s="3">
        <v>45779</v>
      </c>
      <c r="G115">
        <v>202602</v>
      </c>
      <c r="H115" t="s">
        <v>75</v>
      </c>
      <c r="I115" t="s">
        <v>76</v>
      </c>
      <c r="J115" t="s">
        <v>77</v>
      </c>
      <c r="K115" t="s">
        <v>78</v>
      </c>
      <c r="L115" t="s">
        <v>75</v>
      </c>
      <c r="M115" t="s">
        <v>76</v>
      </c>
      <c r="N115" t="s">
        <v>346</v>
      </c>
      <c r="O115" t="s">
        <v>82</v>
      </c>
      <c r="P115" t="str">
        <f>"4170036770                    "</f>
        <v xml:space="preserve">4170036770                    </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17.27</v>
      </c>
      <c r="AR115">
        <v>0</v>
      </c>
      <c r="AS115">
        <v>0</v>
      </c>
      <c r="AT115">
        <v>0</v>
      </c>
      <c r="AU115">
        <v>0</v>
      </c>
      <c r="AV115">
        <v>0</v>
      </c>
      <c r="AW115">
        <v>0</v>
      </c>
      <c r="AX115">
        <v>0</v>
      </c>
      <c r="AY115">
        <v>0</v>
      </c>
      <c r="AZ115">
        <v>0</v>
      </c>
      <c r="BA115">
        <v>0</v>
      </c>
      <c r="BB115">
        <v>0</v>
      </c>
      <c r="BC115">
        <v>0</v>
      </c>
      <c r="BD115">
        <v>0</v>
      </c>
      <c r="BE115">
        <v>0</v>
      </c>
      <c r="BF115">
        <v>0</v>
      </c>
      <c r="BG115">
        <v>0</v>
      </c>
      <c r="BH115">
        <v>1</v>
      </c>
      <c r="BI115">
        <v>1</v>
      </c>
      <c r="BJ115">
        <v>0.2</v>
      </c>
      <c r="BK115">
        <v>1</v>
      </c>
      <c r="BL115">
        <v>55.23</v>
      </c>
      <c r="BM115">
        <v>8.2799999999999994</v>
      </c>
      <c r="BN115">
        <v>63.51</v>
      </c>
      <c r="BO115">
        <v>63.51</v>
      </c>
      <c r="BQ115" t="s">
        <v>347</v>
      </c>
      <c r="BR115" t="s">
        <v>84</v>
      </c>
      <c r="BS115" s="3">
        <v>45782</v>
      </c>
      <c r="BT115" s="4">
        <v>0.40208333333333335</v>
      </c>
      <c r="BU115" t="s">
        <v>407</v>
      </c>
      <c r="BV115" t="s">
        <v>86</v>
      </c>
      <c r="BY115">
        <v>1200</v>
      </c>
      <c r="CA115" t="s">
        <v>349</v>
      </c>
      <c r="CC115" t="s">
        <v>76</v>
      </c>
      <c r="CD115">
        <v>1619</v>
      </c>
      <c r="CE115" t="s">
        <v>88</v>
      </c>
      <c r="CF115" s="3">
        <v>45782</v>
      </c>
      <c r="CI115">
        <v>1</v>
      </c>
      <c r="CJ115">
        <v>1</v>
      </c>
      <c r="CK115">
        <v>22</v>
      </c>
      <c r="CL115" t="s">
        <v>89</v>
      </c>
    </row>
    <row r="116" spans="1:90" x14ac:dyDescent="0.3">
      <c r="A116" t="s">
        <v>72</v>
      </c>
      <c r="B116" t="s">
        <v>73</v>
      </c>
      <c r="C116" t="s">
        <v>74</v>
      </c>
      <c r="E116" t="str">
        <f>"080065134487"</f>
        <v>080065134487</v>
      </c>
      <c r="F116" s="3">
        <v>45779</v>
      </c>
      <c r="G116">
        <v>202602</v>
      </c>
      <c r="H116" t="s">
        <v>75</v>
      </c>
      <c r="I116" t="s">
        <v>76</v>
      </c>
      <c r="J116" t="s">
        <v>77</v>
      </c>
      <c r="K116" t="s">
        <v>78</v>
      </c>
      <c r="L116" t="s">
        <v>445</v>
      </c>
      <c r="M116" t="s">
        <v>446</v>
      </c>
      <c r="N116" t="s">
        <v>508</v>
      </c>
      <c r="O116" t="s">
        <v>300</v>
      </c>
      <c r="P116" t="str">
        <f>"4170036769                    "</f>
        <v xml:space="preserve">4170036769                    </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66.47</v>
      </c>
      <c r="AR116">
        <v>0</v>
      </c>
      <c r="AS116">
        <v>0</v>
      </c>
      <c r="AT116">
        <v>0</v>
      </c>
      <c r="AU116">
        <v>0</v>
      </c>
      <c r="AV116">
        <v>0</v>
      </c>
      <c r="AW116">
        <v>0</v>
      </c>
      <c r="AX116">
        <v>0</v>
      </c>
      <c r="AY116">
        <v>0</v>
      </c>
      <c r="AZ116">
        <v>0</v>
      </c>
      <c r="BA116">
        <v>0</v>
      </c>
      <c r="BB116">
        <v>0</v>
      </c>
      <c r="BC116">
        <v>0</v>
      </c>
      <c r="BD116">
        <v>0</v>
      </c>
      <c r="BE116">
        <v>0</v>
      </c>
      <c r="BF116">
        <v>0</v>
      </c>
      <c r="BG116">
        <v>0</v>
      </c>
      <c r="BH116">
        <v>1</v>
      </c>
      <c r="BI116">
        <v>17</v>
      </c>
      <c r="BJ116">
        <v>16.3</v>
      </c>
      <c r="BK116">
        <v>17</v>
      </c>
      <c r="BL116">
        <v>218.13</v>
      </c>
      <c r="BM116">
        <v>32.72</v>
      </c>
      <c r="BN116">
        <v>250.85</v>
      </c>
      <c r="BO116">
        <v>250.85</v>
      </c>
      <c r="BQ116" t="s">
        <v>509</v>
      </c>
      <c r="BR116" t="s">
        <v>84</v>
      </c>
      <c r="BS116" s="3">
        <v>45783</v>
      </c>
      <c r="BT116" s="4">
        <v>0.66111111111111109</v>
      </c>
      <c r="BU116" t="s">
        <v>510</v>
      </c>
      <c r="BV116" t="s">
        <v>89</v>
      </c>
      <c r="BW116" t="s">
        <v>296</v>
      </c>
      <c r="BX116" t="s">
        <v>450</v>
      </c>
      <c r="BY116">
        <v>81675</v>
      </c>
      <c r="CA116" t="s">
        <v>451</v>
      </c>
      <c r="CC116" t="s">
        <v>446</v>
      </c>
      <c r="CD116">
        <v>4400</v>
      </c>
      <c r="CE116" t="s">
        <v>511</v>
      </c>
      <c r="CF116" s="3">
        <v>45784</v>
      </c>
      <c r="CI116">
        <v>1</v>
      </c>
      <c r="CJ116">
        <v>2</v>
      </c>
      <c r="CK116">
        <v>43</v>
      </c>
      <c r="CL116" t="s">
        <v>89</v>
      </c>
    </row>
    <row r="117" spans="1:90" x14ac:dyDescent="0.3">
      <c r="A117" t="s">
        <v>72</v>
      </c>
      <c r="B117" t="s">
        <v>73</v>
      </c>
      <c r="C117" t="s">
        <v>74</v>
      </c>
      <c r="E117" t="str">
        <f>"080065134525"</f>
        <v>080065134525</v>
      </c>
      <c r="F117" s="3">
        <v>45779</v>
      </c>
      <c r="G117">
        <v>202602</v>
      </c>
      <c r="H117" t="s">
        <v>75</v>
      </c>
      <c r="I117" t="s">
        <v>76</v>
      </c>
      <c r="J117" t="s">
        <v>77</v>
      </c>
      <c r="K117" t="s">
        <v>78</v>
      </c>
      <c r="L117" t="s">
        <v>79</v>
      </c>
      <c r="M117" t="s">
        <v>80</v>
      </c>
      <c r="N117" t="s">
        <v>157</v>
      </c>
      <c r="O117" t="s">
        <v>82</v>
      </c>
      <c r="P117" t="str">
        <f>"4170036671                    "</f>
        <v xml:space="preserve">4170036671                    </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38.68</v>
      </c>
      <c r="AR117">
        <v>0</v>
      </c>
      <c r="AS117">
        <v>0</v>
      </c>
      <c r="AT117">
        <v>0</v>
      </c>
      <c r="AU117">
        <v>0</v>
      </c>
      <c r="AV117">
        <v>0</v>
      </c>
      <c r="AW117">
        <v>0</v>
      </c>
      <c r="AX117">
        <v>0</v>
      </c>
      <c r="AY117">
        <v>0</v>
      </c>
      <c r="AZ117">
        <v>0</v>
      </c>
      <c r="BA117">
        <v>0</v>
      </c>
      <c r="BB117">
        <v>0</v>
      </c>
      <c r="BC117">
        <v>0</v>
      </c>
      <c r="BD117">
        <v>0</v>
      </c>
      <c r="BE117">
        <v>0</v>
      </c>
      <c r="BF117">
        <v>0</v>
      </c>
      <c r="BG117">
        <v>0</v>
      </c>
      <c r="BH117">
        <v>1</v>
      </c>
      <c r="BI117">
        <v>2</v>
      </c>
      <c r="BJ117">
        <v>3.4</v>
      </c>
      <c r="BK117">
        <v>3.5</v>
      </c>
      <c r="BL117">
        <v>123.7</v>
      </c>
      <c r="BM117">
        <v>18.559999999999999</v>
      </c>
      <c r="BN117">
        <v>142.26</v>
      </c>
      <c r="BO117">
        <v>142.26</v>
      </c>
      <c r="BQ117" t="s">
        <v>158</v>
      </c>
      <c r="BR117" t="s">
        <v>84</v>
      </c>
      <c r="BS117" s="3">
        <v>45782</v>
      </c>
      <c r="BT117" s="4">
        <v>0.36458333333333331</v>
      </c>
      <c r="BU117" t="s">
        <v>159</v>
      </c>
      <c r="BV117" t="s">
        <v>86</v>
      </c>
      <c r="BY117">
        <v>16965</v>
      </c>
      <c r="CA117" t="s">
        <v>160</v>
      </c>
      <c r="CC117" t="s">
        <v>80</v>
      </c>
      <c r="CD117">
        <v>3610</v>
      </c>
      <c r="CE117" t="s">
        <v>96</v>
      </c>
      <c r="CF117" s="3">
        <v>45783</v>
      </c>
      <c r="CI117">
        <v>1</v>
      </c>
      <c r="CJ117">
        <v>1</v>
      </c>
      <c r="CK117">
        <v>21</v>
      </c>
      <c r="CL117" t="s">
        <v>89</v>
      </c>
    </row>
    <row r="118" spans="1:90" x14ac:dyDescent="0.3">
      <c r="A118" t="s">
        <v>72</v>
      </c>
      <c r="B118" t="s">
        <v>73</v>
      </c>
      <c r="C118" t="s">
        <v>74</v>
      </c>
      <c r="E118" t="str">
        <f>"080065134555"</f>
        <v>080065134555</v>
      </c>
      <c r="F118" s="3">
        <v>45779</v>
      </c>
      <c r="G118">
        <v>202602</v>
      </c>
      <c r="H118" t="s">
        <v>75</v>
      </c>
      <c r="I118" t="s">
        <v>76</v>
      </c>
      <c r="J118" t="s">
        <v>77</v>
      </c>
      <c r="K118" t="s">
        <v>78</v>
      </c>
      <c r="L118" t="s">
        <v>409</v>
      </c>
      <c r="M118" t="s">
        <v>410</v>
      </c>
      <c r="N118" t="s">
        <v>512</v>
      </c>
      <c r="O118" t="s">
        <v>82</v>
      </c>
      <c r="P118" t="str">
        <f>"4170036774                    "</f>
        <v xml:space="preserve">4170036774                    </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42.84</v>
      </c>
      <c r="AR118">
        <v>0</v>
      </c>
      <c r="AS118">
        <v>0</v>
      </c>
      <c r="AT118">
        <v>0</v>
      </c>
      <c r="AU118">
        <v>0</v>
      </c>
      <c r="AV118">
        <v>0</v>
      </c>
      <c r="AW118">
        <v>0</v>
      </c>
      <c r="AX118">
        <v>0</v>
      </c>
      <c r="AY118">
        <v>0</v>
      </c>
      <c r="AZ118">
        <v>0</v>
      </c>
      <c r="BA118">
        <v>0</v>
      </c>
      <c r="BB118">
        <v>0</v>
      </c>
      <c r="BC118">
        <v>0</v>
      </c>
      <c r="BD118">
        <v>0</v>
      </c>
      <c r="BE118">
        <v>0</v>
      </c>
      <c r="BF118">
        <v>0</v>
      </c>
      <c r="BG118">
        <v>0</v>
      </c>
      <c r="BH118">
        <v>1</v>
      </c>
      <c r="BI118">
        <v>2</v>
      </c>
      <c r="BJ118">
        <v>1.4</v>
      </c>
      <c r="BK118">
        <v>2</v>
      </c>
      <c r="BL118">
        <v>137</v>
      </c>
      <c r="BM118">
        <v>20.55</v>
      </c>
      <c r="BN118">
        <v>157.55000000000001</v>
      </c>
      <c r="BO118">
        <v>157.55000000000001</v>
      </c>
      <c r="BQ118" t="s">
        <v>513</v>
      </c>
      <c r="BR118" t="s">
        <v>84</v>
      </c>
      <c r="BS118" s="3">
        <v>45782</v>
      </c>
      <c r="BT118" s="4">
        <v>0.5756944444444444</v>
      </c>
      <c r="BU118" t="s">
        <v>514</v>
      </c>
      <c r="BV118" t="s">
        <v>86</v>
      </c>
      <c r="BY118">
        <v>7000</v>
      </c>
      <c r="CA118" t="s">
        <v>414</v>
      </c>
      <c r="CC118" t="s">
        <v>410</v>
      </c>
      <c r="CD118">
        <v>6850</v>
      </c>
      <c r="CE118" t="s">
        <v>116</v>
      </c>
      <c r="CF118" s="3">
        <v>45783</v>
      </c>
      <c r="CI118">
        <v>2</v>
      </c>
      <c r="CJ118">
        <v>1</v>
      </c>
      <c r="CK118">
        <v>23</v>
      </c>
      <c r="CL118" t="s">
        <v>89</v>
      </c>
    </row>
    <row r="119" spans="1:90" x14ac:dyDescent="0.3">
      <c r="A119" t="s">
        <v>72</v>
      </c>
      <c r="B119" t="s">
        <v>73</v>
      </c>
      <c r="C119" t="s">
        <v>74</v>
      </c>
      <c r="E119" t="str">
        <f>"080065134582"</f>
        <v>080065134582</v>
      </c>
      <c r="F119" s="3">
        <v>45779</v>
      </c>
      <c r="G119">
        <v>202602</v>
      </c>
      <c r="H119" t="s">
        <v>75</v>
      </c>
      <c r="I119" t="s">
        <v>76</v>
      </c>
      <c r="J119" t="s">
        <v>77</v>
      </c>
      <c r="K119" t="s">
        <v>78</v>
      </c>
      <c r="L119" t="s">
        <v>103</v>
      </c>
      <c r="M119" t="s">
        <v>104</v>
      </c>
      <c r="N119" t="s">
        <v>105</v>
      </c>
      <c r="O119" t="s">
        <v>82</v>
      </c>
      <c r="P119" t="str">
        <f>"4170036721                    "</f>
        <v xml:space="preserve">4170036721                    </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88.4</v>
      </c>
      <c r="AR119">
        <v>0</v>
      </c>
      <c r="AS119">
        <v>0</v>
      </c>
      <c r="AT119">
        <v>0</v>
      </c>
      <c r="AU119">
        <v>0</v>
      </c>
      <c r="AV119">
        <v>0</v>
      </c>
      <c r="AW119">
        <v>0</v>
      </c>
      <c r="AX119">
        <v>0</v>
      </c>
      <c r="AY119">
        <v>0</v>
      </c>
      <c r="AZ119">
        <v>0</v>
      </c>
      <c r="BA119">
        <v>0</v>
      </c>
      <c r="BB119">
        <v>0</v>
      </c>
      <c r="BC119">
        <v>0</v>
      </c>
      <c r="BD119">
        <v>0</v>
      </c>
      <c r="BE119">
        <v>0</v>
      </c>
      <c r="BF119">
        <v>0</v>
      </c>
      <c r="BG119">
        <v>0</v>
      </c>
      <c r="BH119">
        <v>1</v>
      </c>
      <c r="BI119">
        <v>8</v>
      </c>
      <c r="BJ119">
        <v>3.4</v>
      </c>
      <c r="BK119">
        <v>8</v>
      </c>
      <c r="BL119">
        <v>282.68</v>
      </c>
      <c r="BM119">
        <v>42.4</v>
      </c>
      <c r="BN119">
        <v>325.08</v>
      </c>
      <c r="BO119">
        <v>325.08</v>
      </c>
      <c r="BQ119" t="s">
        <v>106</v>
      </c>
      <c r="BR119" t="s">
        <v>84</v>
      </c>
      <c r="BS119" s="3">
        <v>45782</v>
      </c>
      <c r="BT119" s="4">
        <v>0.46458333333333335</v>
      </c>
      <c r="BU119" t="s">
        <v>430</v>
      </c>
      <c r="BV119" t="s">
        <v>86</v>
      </c>
      <c r="BY119">
        <v>16965</v>
      </c>
      <c r="CA119" t="s">
        <v>108</v>
      </c>
      <c r="CC119" t="s">
        <v>104</v>
      </c>
      <c r="CD119">
        <v>3201</v>
      </c>
      <c r="CE119" t="s">
        <v>96</v>
      </c>
      <c r="CF119" s="3">
        <v>45783</v>
      </c>
      <c r="CI119">
        <v>1</v>
      </c>
      <c r="CJ119">
        <v>1</v>
      </c>
      <c r="CK119">
        <v>21</v>
      </c>
      <c r="CL119" t="s">
        <v>89</v>
      </c>
    </row>
    <row r="120" spans="1:90" x14ac:dyDescent="0.3">
      <c r="A120" t="s">
        <v>72</v>
      </c>
      <c r="B120" t="s">
        <v>73</v>
      </c>
      <c r="C120" t="s">
        <v>74</v>
      </c>
      <c r="E120" t="str">
        <f>"080065134612"</f>
        <v>080065134612</v>
      </c>
      <c r="F120" s="3">
        <v>45779</v>
      </c>
      <c r="G120">
        <v>202602</v>
      </c>
      <c r="H120" t="s">
        <v>75</v>
      </c>
      <c r="I120" t="s">
        <v>76</v>
      </c>
      <c r="J120" t="s">
        <v>77</v>
      </c>
      <c r="K120" t="s">
        <v>78</v>
      </c>
      <c r="L120" t="s">
        <v>90</v>
      </c>
      <c r="M120" t="s">
        <v>91</v>
      </c>
      <c r="N120" t="s">
        <v>515</v>
      </c>
      <c r="O120" t="s">
        <v>82</v>
      </c>
      <c r="P120" t="str">
        <f>"4170036729                    "</f>
        <v xml:space="preserve">4170036729                    </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22.11</v>
      </c>
      <c r="AR120">
        <v>0</v>
      </c>
      <c r="AS120">
        <v>0</v>
      </c>
      <c r="AT120">
        <v>0</v>
      </c>
      <c r="AU120">
        <v>0</v>
      </c>
      <c r="AV120">
        <v>0</v>
      </c>
      <c r="AW120">
        <v>0</v>
      </c>
      <c r="AX120">
        <v>0</v>
      </c>
      <c r="AY120">
        <v>0</v>
      </c>
      <c r="AZ120">
        <v>0</v>
      </c>
      <c r="BA120">
        <v>0</v>
      </c>
      <c r="BB120">
        <v>0</v>
      </c>
      <c r="BC120">
        <v>0</v>
      </c>
      <c r="BD120">
        <v>0</v>
      </c>
      <c r="BE120">
        <v>0</v>
      </c>
      <c r="BF120">
        <v>0</v>
      </c>
      <c r="BG120">
        <v>0</v>
      </c>
      <c r="BH120">
        <v>1</v>
      </c>
      <c r="BI120">
        <v>1</v>
      </c>
      <c r="BJ120">
        <v>1.9</v>
      </c>
      <c r="BK120">
        <v>2</v>
      </c>
      <c r="BL120">
        <v>70.709999999999994</v>
      </c>
      <c r="BM120">
        <v>10.61</v>
      </c>
      <c r="BN120">
        <v>81.319999999999993</v>
      </c>
      <c r="BO120">
        <v>81.319999999999993</v>
      </c>
      <c r="BQ120" t="s">
        <v>516</v>
      </c>
      <c r="BR120" t="s">
        <v>84</v>
      </c>
      <c r="BS120" s="3">
        <v>45782</v>
      </c>
      <c r="BT120" s="4">
        <v>0.39027777777777778</v>
      </c>
      <c r="BU120" t="s">
        <v>517</v>
      </c>
      <c r="BV120" t="s">
        <v>86</v>
      </c>
      <c r="BY120">
        <v>9600</v>
      </c>
      <c r="CA120" t="s">
        <v>271</v>
      </c>
      <c r="CC120" t="s">
        <v>91</v>
      </c>
      <c r="CD120">
        <v>6001</v>
      </c>
      <c r="CE120" t="s">
        <v>176</v>
      </c>
      <c r="CF120" s="3">
        <v>45782</v>
      </c>
      <c r="CI120">
        <v>1</v>
      </c>
      <c r="CJ120">
        <v>1</v>
      </c>
      <c r="CK120">
        <v>21</v>
      </c>
      <c r="CL120" t="s">
        <v>89</v>
      </c>
    </row>
    <row r="121" spans="1:90" x14ac:dyDescent="0.3">
      <c r="A121" t="s">
        <v>72</v>
      </c>
      <c r="B121" t="s">
        <v>73</v>
      </c>
      <c r="C121" t="s">
        <v>74</v>
      </c>
      <c r="E121" t="str">
        <f>"080065134630"</f>
        <v>080065134630</v>
      </c>
      <c r="F121" s="3">
        <v>45779</v>
      </c>
      <c r="G121">
        <v>202602</v>
      </c>
      <c r="H121" t="s">
        <v>75</v>
      </c>
      <c r="I121" t="s">
        <v>76</v>
      </c>
      <c r="J121" t="s">
        <v>77</v>
      </c>
      <c r="K121" t="s">
        <v>78</v>
      </c>
      <c r="L121" t="s">
        <v>206</v>
      </c>
      <c r="M121" t="s">
        <v>207</v>
      </c>
      <c r="N121" t="s">
        <v>208</v>
      </c>
      <c r="O121" t="s">
        <v>300</v>
      </c>
      <c r="P121" t="str">
        <f>"4170036662                    "</f>
        <v xml:space="preserve">4170036662                    </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125</v>
      </c>
      <c r="AR121">
        <v>0</v>
      </c>
      <c r="AS121">
        <v>0</v>
      </c>
      <c r="AT121">
        <v>0</v>
      </c>
      <c r="AU121">
        <v>0</v>
      </c>
      <c r="AV121">
        <v>0</v>
      </c>
      <c r="AW121">
        <v>0</v>
      </c>
      <c r="AX121">
        <v>0</v>
      </c>
      <c r="AY121">
        <v>0</v>
      </c>
      <c r="AZ121">
        <v>0</v>
      </c>
      <c r="BA121">
        <v>0</v>
      </c>
      <c r="BB121">
        <v>0</v>
      </c>
      <c r="BC121">
        <v>0</v>
      </c>
      <c r="BD121">
        <v>0</v>
      </c>
      <c r="BE121">
        <v>0</v>
      </c>
      <c r="BF121">
        <v>0</v>
      </c>
      <c r="BG121">
        <v>0</v>
      </c>
      <c r="BH121">
        <v>2</v>
      </c>
      <c r="BI121">
        <v>18</v>
      </c>
      <c r="BJ121">
        <v>35.299999999999997</v>
      </c>
      <c r="BK121">
        <v>36</v>
      </c>
      <c r="BL121">
        <v>405.29</v>
      </c>
      <c r="BM121">
        <v>60.79</v>
      </c>
      <c r="BN121">
        <v>466.08</v>
      </c>
      <c r="BO121">
        <v>466.08</v>
      </c>
      <c r="BQ121" t="s">
        <v>209</v>
      </c>
      <c r="BR121" t="s">
        <v>84</v>
      </c>
      <c r="BS121" s="3">
        <v>45782</v>
      </c>
      <c r="BT121" s="4">
        <v>0.64444444444444449</v>
      </c>
      <c r="BU121" t="s">
        <v>518</v>
      </c>
      <c r="BV121" t="s">
        <v>86</v>
      </c>
      <c r="BY121">
        <v>88320</v>
      </c>
      <c r="CA121" t="s">
        <v>211</v>
      </c>
      <c r="CC121" t="s">
        <v>207</v>
      </c>
      <c r="CD121">
        <v>1389</v>
      </c>
      <c r="CE121" t="s">
        <v>176</v>
      </c>
      <c r="CF121" s="3">
        <v>45782</v>
      </c>
      <c r="CI121">
        <v>1</v>
      </c>
      <c r="CJ121">
        <v>1</v>
      </c>
      <c r="CK121">
        <v>43</v>
      </c>
      <c r="CL121" t="s">
        <v>89</v>
      </c>
    </row>
    <row r="122" spans="1:90" x14ac:dyDescent="0.3">
      <c r="A122" t="s">
        <v>72</v>
      </c>
      <c r="B122" t="s">
        <v>73</v>
      </c>
      <c r="C122" t="s">
        <v>74</v>
      </c>
      <c r="E122" t="str">
        <f>"080065134771"</f>
        <v>080065134771</v>
      </c>
      <c r="F122" s="3">
        <v>45779</v>
      </c>
      <c r="G122">
        <v>202602</v>
      </c>
      <c r="H122" t="s">
        <v>75</v>
      </c>
      <c r="I122" t="s">
        <v>76</v>
      </c>
      <c r="J122" t="s">
        <v>77</v>
      </c>
      <c r="K122" t="s">
        <v>78</v>
      </c>
      <c r="L122" t="s">
        <v>151</v>
      </c>
      <c r="M122" t="s">
        <v>152</v>
      </c>
      <c r="N122" t="s">
        <v>153</v>
      </c>
      <c r="O122" t="s">
        <v>82</v>
      </c>
      <c r="P122" t="str">
        <f>"4170036741                    "</f>
        <v xml:space="preserve">4170036741                    </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42.84</v>
      </c>
      <c r="AR122">
        <v>0</v>
      </c>
      <c r="AS122">
        <v>0</v>
      </c>
      <c r="AT122">
        <v>0</v>
      </c>
      <c r="AU122">
        <v>0</v>
      </c>
      <c r="AV122">
        <v>0</v>
      </c>
      <c r="AW122">
        <v>0</v>
      </c>
      <c r="AX122">
        <v>0</v>
      </c>
      <c r="AY122">
        <v>0</v>
      </c>
      <c r="AZ122">
        <v>0</v>
      </c>
      <c r="BA122">
        <v>0</v>
      </c>
      <c r="BB122">
        <v>0</v>
      </c>
      <c r="BC122">
        <v>0</v>
      </c>
      <c r="BD122">
        <v>0</v>
      </c>
      <c r="BE122">
        <v>0</v>
      </c>
      <c r="BF122">
        <v>0</v>
      </c>
      <c r="BG122">
        <v>0</v>
      </c>
      <c r="BH122">
        <v>1</v>
      </c>
      <c r="BI122">
        <v>2</v>
      </c>
      <c r="BJ122">
        <v>0.8</v>
      </c>
      <c r="BK122">
        <v>2</v>
      </c>
      <c r="BL122">
        <v>137</v>
      </c>
      <c r="BM122">
        <v>20.55</v>
      </c>
      <c r="BN122">
        <v>157.55000000000001</v>
      </c>
      <c r="BO122">
        <v>157.55000000000001</v>
      </c>
      <c r="BQ122" t="s">
        <v>154</v>
      </c>
      <c r="BR122" t="s">
        <v>84</v>
      </c>
      <c r="BS122" s="3">
        <v>45782</v>
      </c>
      <c r="BT122" s="4">
        <v>0.3659722222222222</v>
      </c>
      <c r="BU122" t="s">
        <v>155</v>
      </c>
      <c r="BV122" t="s">
        <v>86</v>
      </c>
      <c r="BY122">
        <v>4224</v>
      </c>
      <c r="CA122" t="s">
        <v>156</v>
      </c>
      <c r="CC122" t="s">
        <v>152</v>
      </c>
      <c r="CD122">
        <v>1911</v>
      </c>
      <c r="CE122" t="s">
        <v>221</v>
      </c>
      <c r="CF122" s="3">
        <v>45783</v>
      </c>
      <c r="CI122">
        <v>1</v>
      </c>
      <c r="CJ122">
        <v>1</v>
      </c>
      <c r="CK122">
        <v>23</v>
      </c>
      <c r="CL122" t="s">
        <v>89</v>
      </c>
    </row>
    <row r="123" spans="1:90" x14ac:dyDescent="0.3">
      <c r="A123" t="s">
        <v>72</v>
      </c>
      <c r="B123" t="s">
        <v>73</v>
      </c>
      <c r="C123" t="s">
        <v>74</v>
      </c>
      <c r="E123" t="str">
        <f>"080065134832"</f>
        <v>080065134832</v>
      </c>
      <c r="F123" s="3">
        <v>45779</v>
      </c>
      <c r="G123">
        <v>202602</v>
      </c>
      <c r="H123" t="s">
        <v>75</v>
      </c>
      <c r="I123" t="s">
        <v>76</v>
      </c>
      <c r="J123" t="s">
        <v>77</v>
      </c>
      <c r="K123" t="s">
        <v>78</v>
      </c>
      <c r="L123" t="s">
        <v>79</v>
      </c>
      <c r="M123" t="s">
        <v>80</v>
      </c>
      <c r="N123" t="s">
        <v>519</v>
      </c>
      <c r="O123" t="s">
        <v>82</v>
      </c>
      <c r="P123" t="str">
        <f>"4170036665                    "</f>
        <v xml:space="preserve">4170036665                    </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22.11</v>
      </c>
      <c r="AR123">
        <v>0</v>
      </c>
      <c r="AS123">
        <v>0</v>
      </c>
      <c r="AT123">
        <v>0</v>
      </c>
      <c r="AU123">
        <v>0</v>
      </c>
      <c r="AV123">
        <v>0</v>
      </c>
      <c r="AW123">
        <v>0</v>
      </c>
      <c r="AX123">
        <v>0</v>
      </c>
      <c r="AY123">
        <v>0</v>
      </c>
      <c r="AZ123">
        <v>0</v>
      </c>
      <c r="BA123">
        <v>0</v>
      </c>
      <c r="BB123">
        <v>0</v>
      </c>
      <c r="BC123">
        <v>0</v>
      </c>
      <c r="BD123">
        <v>0</v>
      </c>
      <c r="BE123">
        <v>0</v>
      </c>
      <c r="BF123">
        <v>0</v>
      </c>
      <c r="BG123">
        <v>0</v>
      </c>
      <c r="BH123">
        <v>1</v>
      </c>
      <c r="BI123">
        <v>2</v>
      </c>
      <c r="BJ123">
        <v>0.6</v>
      </c>
      <c r="BK123">
        <v>2</v>
      </c>
      <c r="BL123">
        <v>70.709999999999994</v>
      </c>
      <c r="BM123">
        <v>10.61</v>
      </c>
      <c r="BN123">
        <v>81.319999999999993</v>
      </c>
      <c r="BO123">
        <v>81.319999999999993</v>
      </c>
      <c r="BQ123" t="s">
        <v>520</v>
      </c>
      <c r="BR123" t="s">
        <v>84</v>
      </c>
      <c r="BS123" s="3">
        <v>45782</v>
      </c>
      <c r="BT123" s="4">
        <v>0.43402777777777779</v>
      </c>
      <c r="BU123" t="s">
        <v>521</v>
      </c>
      <c r="BV123" t="s">
        <v>86</v>
      </c>
      <c r="BY123">
        <v>3192</v>
      </c>
      <c r="CA123" t="s">
        <v>87</v>
      </c>
      <c r="CC123" t="s">
        <v>80</v>
      </c>
      <c r="CD123">
        <v>3610</v>
      </c>
      <c r="CE123" t="s">
        <v>116</v>
      </c>
      <c r="CF123" s="3">
        <v>45783</v>
      </c>
      <c r="CI123">
        <v>1</v>
      </c>
      <c r="CJ123">
        <v>1</v>
      </c>
      <c r="CK123">
        <v>21</v>
      </c>
      <c r="CL123" t="s">
        <v>89</v>
      </c>
    </row>
    <row r="124" spans="1:90" x14ac:dyDescent="0.3">
      <c r="A124" t="s">
        <v>72</v>
      </c>
      <c r="B124" t="s">
        <v>73</v>
      </c>
      <c r="C124" t="s">
        <v>74</v>
      </c>
      <c r="E124" t="str">
        <f>"080065135362"</f>
        <v>080065135362</v>
      </c>
      <c r="F124" s="3">
        <v>45779</v>
      </c>
      <c r="G124">
        <v>202602</v>
      </c>
      <c r="H124" t="s">
        <v>75</v>
      </c>
      <c r="I124" t="s">
        <v>76</v>
      </c>
      <c r="J124" t="s">
        <v>77</v>
      </c>
      <c r="K124" t="s">
        <v>78</v>
      </c>
      <c r="L124" t="s">
        <v>350</v>
      </c>
      <c r="M124" t="s">
        <v>351</v>
      </c>
      <c r="N124" t="s">
        <v>352</v>
      </c>
      <c r="O124" t="s">
        <v>82</v>
      </c>
      <c r="P124" t="str">
        <f>"4170036756                    "</f>
        <v xml:space="preserve">4170036756                    </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22.11</v>
      </c>
      <c r="AR124">
        <v>0</v>
      </c>
      <c r="AS124">
        <v>0</v>
      </c>
      <c r="AT124">
        <v>0</v>
      </c>
      <c r="AU124">
        <v>0</v>
      </c>
      <c r="AV124">
        <v>0</v>
      </c>
      <c r="AW124">
        <v>0</v>
      </c>
      <c r="AX124">
        <v>0</v>
      </c>
      <c r="AY124">
        <v>0</v>
      </c>
      <c r="AZ124">
        <v>0</v>
      </c>
      <c r="BA124">
        <v>0</v>
      </c>
      <c r="BB124">
        <v>0</v>
      </c>
      <c r="BC124">
        <v>0</v>
      </c>
      <c r="BD124">
        <v>0</v>
      </c>
      <c r="BE124">
        <v>0</v>
      </c>
      <c r="BF124">
        <v>0</v>
      </c>
      <c r="BG124">
        <v>0</v>
      </c>
      <c r="BH124">
        <v>1</v>
      </c>
      <c r="BI124">
        <v>1</v>
      </c>
      <c r="BJ124">
        <v>0.2</v>
      </c>
      <c r="BK124">
        <v>1</v>
      </c>
      <c r="BL124">
        <v>70.709999999999994</v>
      </c>
      <c r="BM124">
        <v>10.61</v>
      </c>
      <c r="BN124">
        <v>81.319999999999993</v>
      </c>
      <c r="BO124">
        <v>81.319999999999993</v>
      </c>
      <c r="BQ124" t="s">
        <v>353</v>
      </c>
      <c r="BR124" t="s">
        <v>84</v>
      </c>
      <c r="BS124" s="3">
        <v>45782</v>
      </c>
      <c r="BT124" s="4">
        <v>0.36805555555555558</v>
      </c>
      <c r="BU124" t="s">
        <v>354</v>
      </c>
      <c r="BV124" t="s">
        <v>86</v>
      </c>
      <c r="BY124">
        <v>1200</v>
      </c>
      <c r="CA124" t="s">
        <v>160</v>
      </c>
      <c r="CC124" t="s">
        <v>351</v>
      </c>
      <c r="CD124">
        <v>4000</v>
      </c>
      <c r="CE124" t="s">
        <v>88</v>
      </c>
      <c r="CF124" s="3">
        <v>45783</v>
      </c>
      <c r="CI124">
        <v>1</v>
      </c>
      <c r="CJ124">
        <v>1</v>
      </c>
      <c r="CK124">
        <v>21</v>
      </c>
      <c r="CL124" t="s">
        <v>89</v>
      </c>
    </row>
    <row r="125" spans="1:90" x14ac:dyDescent="0.3">
      <c r="A125" t="s">
        <v>72</v>
      </c>
      <c r="B125" t="s">
        <v>73</v>
      </c>
      <c r="C125" t="s">
        <v>74</v>
      </c>
      <c r="E125" t="str">
        <f>"080065135392"</f>
        <v>080065135392</v>
      </c>
      <c r="F125" s="3">
        <v>45779</v>
      </c>
      <c r="G125">
        <v>202602</v>
      </c>
      <c r="H125" t="s">
        <v>75</v>
      </c>
      <c r="I125" t="s">
        <v>76</v>
      </c>
      <c r="J125" t="s">
        <v>77</v>
      </c>
      <c r="K125" t="s">
        <v>78</v>
      </c>
      <c r="L125" t="s">
        <v>366</v>
      </c>
      <c r="M125" t="s">
        <v>367</v>
      </c>
      <c r="N125" t="s">
        <v>522</v>
      </c>
      <c r="O125" t="s">
        <v>82</v>
      </c>
      <c r="P125" t="str">
        <f>"4170036775                    "</f>
        <v xml:space="preserve">4170036775                    </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31.1</v>
      </c>
      <c r="AR125">
        <v>0</v>
      </c>
      <c r="AS125">
        <v>0</v>
      </c>
      <c r="AT125">
        <v>0</v>
      </c>
      <c r="AU125">
        <v>0</v>
      </c>
      <c r="AV125">
        <v>0</v>
      </c>
      <c r="AW125">
        <v>0</v>
      </c>
      <c r="AX125">
        <v>0</v>
      </c>
      <c r="AY125">
        <v>0</v>
      </c>
      <c r="AZ125">
        <v>0</v>
      </c>
      <c r="BA125">
        <v>0</v>
      </c>
      <c r="BB125">
        <v>0</v>
      </c>
      <c r="BC125">
        <v>0</v>
      </c>
      <c r="BD125">
        <v>0</v>
      </c>
      <c r="BE125">
        <v>0</v>
      </c>
      <c r="BF125">
        <v>0</v>
      </c>
      <c r="BG125">
        <v>0</v>
      </c>
      <c r="BH125">
        <v>1</v>
      </c>
      <c r="BI125">
        <v>1</v>
      </c>
      <c r="BJ125">
        <v>0.2</v>
      </c>
      <c r="BK125">
        <v>1</v>
      </c>
      <c r="BL125">
        <v>99.45</v>
      </c>
      <c r="BM125">
        <v>14.92</v>
      </c>
      <c r="BN125">
        <v>114.37</v>
      </c>
      <c r="BO125">
        <v>114.37</v>
      </c>
      <c r="BQ125" t="s">
        <v>523</v>
      </c>
      <c r="BR125" t="s">
        <v>84</v>
      </c>
      <c r="BS125" s="3">
        <v>45782</v>
      </c>
      <c r="BT125" s="4">
        <v>0.55000000000000004</v>
      </c>
      <c r="BU125" t="s">
        <v>524</v>
      </c>
      <c r="BV125" t="s">
        <v>89</v>
      </c>
      <c r="BY125">
        <v>1200</v>
      </c>
      <c r="CA125" t="s">
        <v>525</v>
      </c>
      <c r="CC125" t="s">
        <v>367</v>
      </c>
      <c r="CD125">
        <v>1441</v>
      </c>
      <c r="CE125" t="s">
        <v>88</v>
      </c>
      <c r="CF125" s="3">
        <v>45782</v>
      </c>
      <c r="CI125">
        <v>1</v>
      </c>
      <c r="CJ125">
        <v>1</v>
      </c>
      <c r="CK125">
        <v>24</v>
      </c>
      <c r="CL125" t="s">
        <v>89</v>
      </c>
    </row>
    <row r="126" spans="1:90" x14ac:dyDescent="0.3">
      <c r="A126" t="s">
        <v>72</v>
      </c>
      <c r="B126" t="s">
        <v>73</v>
      </c>
      <c r="C126" t="s">
        <v>74</v>
      </c>
      <c r="E126" t="str">
        <f>"080065135422"</f>
        <v>080065135422</v>
      </c>
      <c r="F126" s="3">
        <v>45779</v>
      </c>
      <c r="G126">
        <v>202602</v>
      </c>
      <c r="H126" t="s">
        <v>75</v>
      </c>
      <c r="I126" t="s">
        <v>76</v>
      </c>
      <c r="J126" t="s">
        <v>77</v>
      </c>
      <c r="K126" t="s">
        <v>78</v>
      </c>
      <c r="L126" t="s">
        <v>526</v>
      </c>
      <c r="M126" t="s">
        <v>527</v>
      </c>
      <c r="N126" t="s">
        <v>528</v>
      </c>
      <c r="O126" t="s">
        <v>82</v>
      </c>
      <c r="P126" t="str">
        <f>"4170036639                    "</f>
        <v xml:space="preserve">4170036639                    </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31.1</v>
      </c>
      <c r="AR126">
        <v>0</v>
      </c>
      <c r="AS126">
        <v>0</v>
      </c>
      <c r="AT126">
        <v>0</v>
      </c>
      <c r="AU126">
        <v>0</v>
      </c>
      <c r="AV126">
        <v>0</v>
      </c>
      <c r="AW126">
        <v>0</v>
      </c>
      <c r="AX126">
        <v>0</v>
      </c>
      <c r="AY126">
        <v>0</v>
      </c>
      <c r="AZ126">
        <v>0</v>
      </c>
      <c r="BA126">
        <v>0</v>
      </c>
      <c r="BB126">
        <v>0</v>
      </c>
      <c r="BC126">
        <v>0</v>
      </c>
      <c r="BD126">
        <v>0</v>
      </c>
      <c r="BE126">
        <v>0</v>
      </c>
      <c r="BF126">
        <v>0</v>
      </c>
      <c r="BG126">
        <v>0</v>
      </c>
      <c r="BH126">
        <v>1</v>
      </c>
      <c r="BI126">
        <v>1</v>
      </c>
      <c r="BJ126">
        <v>0.2</v>
      </c>
      <c r="BK126">
        <v>1</v>
      </c>
      <c r="BL126">
        <v>99.45</v>
      </c>
      <c r="BM126">
        <v>14.92</v>
      </c>
      <c r="BN126">
        <v>114.37</v>
      </c>
      <c r="BO126">
        <v>114.37</v>
      </c>
      <c r="BQ126" t="s">
        <v>529</v>
      </c>
      <c r="BR126" t="s">
        <v>84</v>
      </c>
      <c r="BS126" s="3">
        <v>45782</v>
      </c>
      <c r="BT126" s="4">
        <v>0.34861111111111109</v>
      </c>
      <c r="BU126" t="s">
        <v>530</v>
      </c>
      <c r="BV126" t="s">
        <v>86</v>
      </c>
      <c r="BY126">
        <v>1200</v>
      </c>
      <c r="CA126" t="s">
        <v>531</v>
      </c>
      <c r="CC126" t="s">
        <v>527</v>
      </c>
      <c r="CD126">
        <v>1760</v>
      </c>
      <c r="CE126" t="s">
        <v>88</v>
      </c>
      <c r="CF126" s="3">
        <v>45783</v>
      </c>
      <c r="CI126">
        <v>1</v>
      </c>
      <c r="CJ126">
        <v>1</v>
      </c>
      <c r="CK126">
        <v>24</v>
      </c>
      <c r="CL126" t="s">
        <v>89</v>
      </c>
    </row>
    <row r="127" spans="1:90" x14ac:dyDescent="0.3">
      <c r="A127" t="s">
        <v>72</v>
      </c>
      <c r="B127" t="s">
        <v>73</v>
      </c>
      <c r="C127" t="s">
        <v>74</v>
      </c>
      <c r="E127" t="str">
        <f>"080065135492"</f>
        <v>080065135492</v>
      </c>
      <c r="F127" s="3">
        <v>45779</v>
      </c>
      <c r="G127">
        <v>202602</v>
      </c>
      <c r="H127" t="s">
        <v>75</v>
      </c>
      <c r="I127" t="s">
        <v>76</v>
      </c>
      <c r="J127" t="s">
        <v>77</v>
      </c>
      <c r="K127" t="s">
        <v>78</v>
      </c>
      <c r="L127" t="s">
        <v>117</v>
      </c>
      <c r="M127" t="s">
        <v>118</v>
      </c>
      <c r="N127" t="s">
        <v>532</v>
      </c>
      <c r="O127" t="s">
        <v>82</v>
      </c>
      <c r="P127" t="str">
        <f>"4170036789                    "</f>
        <v xml:space="preserve">4170036789                    </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17.27</v>
      </c>
      <c r="AR127">
        <v>0</v>
      </c>
      <c r="AS127">
        <v>0</v>
      </c>
      <c r="AT127">
        <v>0</v>
      </c>
      <c r="AU127">
        <v>0</v>
      </c>
      <c r="AV127">
        <v>0</v>
      </c>
      <c r="AW127">
        <v>0</v>
      </c>
      <c r="AX127">
        <v>0</v>
      </c>
      <c r="AY127">
        <v>0</v>
      </c>
      <c r="AZ127">
        <v>0</v>
      </c>
      <c r="BA127">
        <v>0</v>
      </c>
      <c r="BB127">
        <v>0</v>
      </c>
      <c r="BC127">
        <v>0</v>
      </c>
      <c r="BD127">
        <v>0</v>
      </c>
      <c r="BE127">
        <v>0</v>
      </c>
      <c r="BF127">
        <v>0</v>
      </c>
      <c r="BG127">
        <v>0</v>
      </c>
      <c r="BH127">
        <v>1</v>
      </c>
      <c r="BI127">
        <v>1</v>
      </c>
      <c r="BJ127">
        <v>0.2</v>
      </c>
      <c r="BK127">
        <v>1</v>
      </c>
      <c r="BL127">
        <v>55.23</v>
      </c>
      <c r="BM127">
        <v>8.2799999999999994</v>
      </c>
      <c r="BN127">
        <v>63.51</v>
      </c>
      <c r="BO127">
        <v>63.51</v>
      </c>
      <c r="BQ127" t="s">
        <v>533</v>
      </c>
      <c r="BR127" t="s">
        <v>84</v>
      </c>
      <c r="BS127" s="3">
        <v>45782</v>
      </c>
      <c r="BT127" s="4">
        <v>0.3611111111111111</v>
      </c>
      <c r="BU127" t="s">
        <v>534</v>
      </c>
      <c r="BV127" t="s">
        <v>86</v>
      </c>
      <c r="BY127">
        <v>1200</v>
      </c>
      <c r="CA127" t="s">
        <v>535</v>
      </c>
      <c r="CC127" t="s">
        <v>118</v>
      </c>
      <c r="CD127">
        <v>2094</v>
      </c>
      <c r="CE127" t="s">
        <v>88</v>
      </c>
      <c r="CF127" s="3">
        <v>45782</v>
      </c>
      <c r="CI127">
        <v>1</v>
      </c>
      <c r="CJ127">
        <v>1</v>
      </c>
      <c r="CK127">
        <v>22</v>
      </c>
      <c r="CL127" t="s">
        <v>89</v>
      </c>
    </row>
    <row r="128" spans="1:90" x14ac:dyDescent="0.3">
      <c r="A128" t="s">
        <v>72</v>
      </c>
      <c r="B128" t="s">
        <v>73</v>
      </c>
      <c r="C128" t="s">
        <v>74</v>
      </c>
      <c r="E128" t="str">
        <f>"080065135512"</f>
        <v>080065135512</v>
      </c>
      <c r="F128" s="3">
        <v>45779</v>
      </c>
      <c r="G128">
        <v>202602</v>
      </c>
      <c r="H128" t="s">
        <v>75</v>
      </c>
      <c r="I128" t="s">
        <v>76</v>
      </c>
      <c r="J128" t="s">
        <v>77</v>
      </c>
      <c r="K128" t="s">
        <v>78</v>
      </c>
      <c r="L128" t="s">
        <v>130</v>
      </c>
      <c r="M128" t="s">
        <v>131</v>
      </c>
      <c r="N128" t="s">
        <v>343</v>
      </c>
      <c r="O128" t="s">
        <v>82</v>
      </c>
      <c r="P128" t="str">
        <f>"4170036752                    "</f>
        <v xml:space="preserve">4170036752                    </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22.11</v>
      </c>
      <c r="AR128">
        <v>0</v>
      </c>
      <c r="AS128">
        <v>0</v>
      </c>
      <c r="AT128">
        <v>0</v>
      </c>
      <c r="AU128">
        <v>0</v>
      </c>
      <c r="AV128">
        <v>0</v>
      </c>
      <c r="AW128">
        <v>0</v>
      </c>
      <c r="AX128">
        <v>0</v>
      </c>
      <c r="AY128">
        <v>0</v>
      </c>
      <c r="AZ128">
        <v>0</v>
      </c>
      <c r="BA128">
        <v>0</v>
      </c>
      <c r="BB128">
        <v>0</v>
      </c>
      <c r="BC128">
        <v>0</v>
      </c>
      <c r="BD128">
        <v>0</v>
      </c>
      <c r="BE128">
        <v>0</v>
      </c>
      <c r="BF128">
        <v>0</v>
      </c>
      <c r="BG128">
        <v>0</v>
      </c>
      <c r="BH128">
        <v>1</v>
      </c>
      <c r="BI128">
        <v>1</v>
      </c>
      <c r="BJ128">
        <v>0.2</v>
      </c>
      <c r="BK128">
        <v>1</v>
      </c>
      <c r="BL128">
        <v>70.709999999999994</v>
      </c>
      <c r="BM128">
        <v>10.61</v>
      </c>
      <c r="BN128">
        <v>81.319999999999993</v>
      </c>
      <c r="BO128">
        <v>81.319999999999993</v>
      </c>
      <c r="BQ128" t="s">
        <v>344</v>
      </c>
      <c r="BR128" t="s">
        <v>84</v>
      </c>
      <c r="BS128" s="3">
        <v>45782</v>
      </c>
      <c r="BT128" s="4">
        <v>0.38194444444444442</v>
      </c>
      <c r="BU128" t="s">
        <v>345</v>
      </c>
      <c r="BV128" t="s">
        <v>86</v>
      </c>
      <c r="BY128">
        <v>1200</v>
      </c>
      <c r="CA128" t="s">
        <v>242</v>
      </c>
      <c r="CC128" t="s">
        <v>131</v>
      </c>
      <c r="CD128">
        <v>7441</v>
      </c>
      <c r="CE128" t="s">
        <v>88</v>
      </c>
      <c r="CF128" s="3">
        <v>45783</v>
      </c>
      <c r="CI128">
        <v>1</v>
      </c>
      <c r="CJ128">
        <v>1</v>
      </c>
      <c r="CK128">
        <v>21</v>
      </c>
      <c r="CL128" t="s">
        <v>89</v>
      </c>
    </row>
    <row r="129" spans="1:90" x14ac:dyDescent="0.3">
      <c r="A129" t="s">
        <v>72</v>
      </c>
      <c r="B129" t="s">
        <v>73</v>
      </c>
      <c r="C129" t="s">
        <v>74</v>
      </c>
      <c r="E129" t="str">
        <f>"080065135539"</f>
        <v>080065135539</v>
      </c>
      <c r="F129" s="3">
        <v>45779</v>
      </c>
      <c r="G129">
        <v>202602</v>
      </c>
      <c r="H129" t="s">
        <v>75</v>
      </c>
      <c r="I129" t="s">
        <v>76</v>
      </c>
      <c r="J129" t="s">
        <v>77</v>
      </c>
      <c r="K129" t="s">
        <v>78</v>
      </c>
      <c r="L129" t="s">
        <v>350</v>
      </c>
      <c r="M129" t="s">
        <v>351</v>
      </c>
      <c r="N129" t="s">
        <v>536</v>
      </c>
      <c r="O129" t="s">
        <v>82</v>
      </c>
      <c r="P129" t="str">
        <f>"4170036742                    "</f>
        <v xml:space="preserve">4170036742                    </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22.11</v>
      </c>
      <c r="AR129">
        <v>0</v>
      </c>
      <c r="AS129">
        <v>0</v>
      </c>
      <c r="AT129">
        <v>0</v>
      </c>
      <c r="AU129">
        <v>0</v>
      </c>
      <c r="AV129">
        <v>0</v>
      </c>
      <c r="AW129">
        <v>0</v>
      </c>
      <c r="AX129">
        <v>0</v>
      </c>
      <c r="AY129">
        <v>0</v>
      </c>
      <c r="AZ129">
        <v>0</v>
      </c>
      <c r="BA129">
        <v>0</v>
      </c>
      <c r="BB129">
        <v>0</v>
      </c>
      <c r="BC129">
        <v>0</v>
      </c>
      <c r="BD129">
        <v>0</v>
      </c>
      <c r="BE129">
        <v>0</v>
      </c>
      <c r="BF129">
        <v>0</v>
      </c>
      <c r="BG129">
        <v>0</v>
      </c>
      <c r="BH129">
        <v>1</v>
      </c>
      <c r="BI129">
        <v>1</v>
      </c>
      <c r="BJ129">
        <v>0.2</v>
      </c>
      <c r="BK129">
        <v>1</v>
      </c>
      <c r="BL129">
        <v>70.709999999999994</v>
      </c>
      <c r="BM129">
        <v>10.61</v>
      </c>
      <c r="BN129">
        <v>81.319999999999993</v>
      </c>
      <c r="BO129">
        <v>81.319999999999993</v>
      </c>
      <c r="BQ129" t="s">
        <v>537</v>
      </c>
      <c r="BR129" t="s">
        <v>84</v>
      </c>
      <c r="BS129" s="3">
        <v>45782</v>
      </c>
      <c r="BT129" s="4">
        <v>0.40763888888888888</v>
      </c>
      <c r="BU129" t="s">
        <v>538</v>
      </c>
      <c r="BV129" t="s">
        <v>86</v>
      </c>
      <c r="BY129">
        <v>1200</v>
      </c>
      <c r="CA129" t="s">
        <v>326</v>
      </c>
      <c r="CC129" t="s">
        <v>351</v>
      </c>
      <c r="CD129">
        <v>4052</v>
      </c>
      <c r="CE129" t="s">
        <v>88</v>
      </c>
      <c r="CF129" s="3">
        <v>45783</v>
      </c>
      <c r="CI129">
        <v>1</v>
      </c>
      <c r="CJ129">
        <v>1</v>
      </c>
      <c r="CK129">
        <v>21</v>
      </c>
      <c r="CL129" t="s">
        <v>89</v>
      </c>
    </row>
    <row r="130" spans="1:90" x14ac:dyDescent="0.3">
      <c r="A130" t="s">
        <v>72</v>
      </c>
      <c r="B130" t="s">
        <v>73</v>
      </c>
      <c r="C130" t="s">
        <v>74</v>
      </c>
      <c r="E130" t="str">
        <f>"080065135560"</f>
        <v>080065135560</v>
      </c>
      <c r="F130" s="3">
        <v>45779</v>
      </c>
      <c r="G130">
        <v>202602</v>
      </c>
      <c r="H130" t="s">
        <v>75</v>
      </c>
      <c r="I130" t="s">
        <v>76</v>
      </c>
      <c r="J130" t="s">
        <v>77</v>
      </c>
      <c r="K130" t="s">
        <v>78</v>
      </c>
      <c r="L130" t="s">
        <v>130</v>
      </c>
      <c r="M130" t="s">
        <v>131</v>
      </c>
      <c r="N130" t="s">
        <v>343</v>
      </c>
      <c r="O130" t="s">
        <v>82</v>
      </c>
      <c r="P130" t="str">
        <f>"4170036744                    "</f>
        <v xml:space="preserve">4170036744                    </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22.11</v>
      </c>
      <c r="AR130">
        <v>0</v>
      </c>
      <c r="AS130">
        <v>0</v>
      </c>
      <c r="AT130">
        <v>0</v>
      </c>
      <c r="AU130">
        <v>0</v>
      </c>
      <c r="AV130">
        <v>0</v>
      </c>
      <c r="AW130">
        <v>0</v>
      </c>
      <c r="AX130">
        <v>0</v>
      </c>
      <c r="AY130">
        <v>0</v>
      </c>
      <c r="AZ130">
        <v>0</v>
      </c>
      <c r="BA130">
        <v>0</v>
      </c>
      <c r="BB130">
        <v>0</v>
      </c>
      <c r="BC130">
        <v>0</v>
      </c>
      <c r="BD130">
        <v>0</v>
      </c>
      <c r="BE130">
        <v>0</v>
      </c>
      <c r="BF130">
        <v>0</v>
      </c>
      <c r="BG130">
        <v>0</v>
      </c>
      <c r="BH130">
        <v>1</v>
      </c>
      <c r="BI130">
        <v>1</v>
      </c>
      <c r="BJ130">
        <v>0.2</v>
      </c>
      <c r="BK130">
        <v>1</v>
      </c>
      <c r="BL130">
        <v>70.709999999999994</v>
      </c>
      <c r="BM130">
        <v>10.61</v>
      </c>
      <c r="BN130">
        <v>81.319999999999993</v>
      </c>
      <c r="BO130">
        <v>81.319999999999993</v>
      </c>
      <c r="BQ130" t="s">
        <v>344</v>
      </c>
      <c r="BR130" t="s">
        <v>84</v>
      </c>
      <c r="BS130" s="3">
        <v>45782</v>
      </c>
      <c r="BT130" s="4">
        <v>0.38194444444444442</v>
      </c>
      <c r="BU130" t="s">
        <v>345</v>
      </c>
      <c r="BV130" t="s">
        <v>86</v>
      </c>
      <c r="BY130">
        <v>1200</v>
      </c>
      <c r="CA130" t="s">
        <v>242</v>
      </c>
      <c r="CC130" t="s">
        <v>131</v>
      </c>
      <c r="CD130">
        <v>7441</v>
      </c>
      <c r="CE130" t="s">
        <v>88</v>
      </c>
      <c r="CF130" s="3">
        <v>45783</v>
      </c>
      <c r="CI130">
        <v>1</v>
      </c>
      <c r="CJ130">
        <v>1</v>
      </c>
      <c r="CK130">
        <v>21</v>
      </c>
      <c r="CL130" t="s">
        <v>89</v>
      </c>
    </row>
    <row r="131" spans="1:90" x14ac:dyDescent="0.3">
      <c r="A131" t="s">
        <v>72</v>
      </c>
      <c r="B131" t="s">
        <v>73</v>
      </c>
      <c r="C131" t="s">
        <v>74</v>
      </c>
      <c r="E131" t="str">
        <f>"080065135586"</f>
        <v>080065135586</v>
      </c>
      <c r="F131" s="3">
        <v>45779</v>
      </c>
      <c r="G131">
        <v>202602</v>
      </c>
      <c r="H131" t="s">
        <v>75</v>
      </c>
      <c r="I131" t="s">
        <v>76</v>
      </c>
      <c r="J131" t="s">
        <v>77</v>
      </c>
      <c r="K131" t="s">
        <v>78</v>
      </c>
      <c r="L131" t="s">
        <v>409</v>
      </c>
      <c r="M131" t="s">
        <v>410</v>
      </c>
      <c r="N131" t="s">
        <v>512</v>
      </c>
      <c r="O131" t="s">
        <v>82</v>
      </c>
      <c r="P131" t="str">
        <f>"4170036720                    "</f>
        <v xml:space="preserve">4170036720                    </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42.84</v>
      </c>
      <c r="AR131">
        <v>0</v>
      </c>
      <c r="AS131">
        <v>0</v>
      </c>
      <c r="AT131">
        <v>0</v>
      </c>
      <c r="AU131">
        <v>0</v>
      </c>
      <c r="AV131">
        <v>0</v>
      </c>
      <c r="AW131">
        <v>0</v>
      </c>
      <c r="AX131">
        <v>0</v>
      </c>
      <c r="AY131">
        <v>0</v>
      </c>
      <c r="AZ131">
        <v>0</v>
      </c>
      <c r="BA131">
        <v>0</v>
      </c>
      <c r="BB131">
        <v>0</v>
      </c>
      <c r="BC131">
        <v>0</v>
      </c>
      <c r="BD131">
        <v>0</v>
      </c>
      <c r="BE131">
        <v>0</v>
      </c>
      <c r="BF131">
        <v>0</v>
      </c>
      <c r="BG131">
        <v>0</v>
      </c>
      <c r="BH131">
        <v>1</v>
      </c>
      <c r="BI131">
        <v>1</v>
      </c>
      <c r="BJ131">
        <v>0.2</v>
      </c>
      <c r="BK131">
        <v>1</v>
      </c>
      <c r="BL131">
        <v>137</v>
      </c>
      <c r="BM131">
        <v>20.55</v>
      </c>
      <c r="BN131">
        <v>157.55000000000001</v>
      </c>
      <c r="BO131">
        <v>157.55000000000001</v>
      </c>
      <c r="BQ131" t="s">
        <v>513</v>
      </c>
      <c r="BR131" t="s">
        <v>84</v>
      </c>
      <c r="BS131" s="3">
        <v>45782</v>
      </c>
      <c r="BT131" s="4">
        <v>0.6069444444444444</v>
      </c>
      <c r="BU131" t="s">
        <v>539</v>
      </c>
      <c r="BV131" t="s">
        <v>86</v>
      </c>
      <c r="BY131">
        <v>1200</v>
      </c>
      <c r="CA131" t="s">
        <v>414</v>
      </c>
      <c r="CC131" t="s">
        <v>410</v>
      </c>
      <c r="CD131">
        <v>6850</v>
      </c>
      <c r="CE131" t="s">
        <v>88</v>
      </c>
      <c r="CF131" s="3">
        <v>45783</v>
      </c>
      <c r="CI131">
        <v>2</v>
      </c>
      <c r="CJ131">
        <v>1</v>
      </c>
      <c r="CK131">
        <v>23</v>
      </c>
      <c r="CL131" t="s">
        <v>89</v>
      </c>
    </row>
    <row r="132" spans="1:90" x14ac:dyDescent="0.3">
      <c r="A132" t="s">
        <v>72</v>
      </c>
      <c r="B132" t="s">
        <v>73</v>
      </c>
      <c r="C132" t="s">
        <v>74</v>
      </c>
      <c r="E132" t="str">
        <f>"080065135602"</f>
        <v>080065135602</v>
      </c>
      <c r="F132" s="3">
        <v>45779</v>
      </c>
      <c r="G132">
        <v>202602</v>
      </c>
      <c r="H132" t="s">
        <v>75</v>
      </c>
      <c r="I132" t="s">
        <v>76</v>
      </c>
      <c r="J132" t="s">
        <v>77</v>
      </c>
      <c r="K132" t="s">
        <v>78</v>
      </c>
      <c r="L132" t="s">
        <v>90</v>
      </c>
      <c r="M132" t="s">
        <v>91</v>
      </c>
      <c r="N132" t="s">
        <v>92</v>
      </c>
      <c r="O132" t="s">
        <v>82</v>
      </c>
      <c r="P132" t="str">
        <f>"4170036687                    "</f>
        <v xml:space="preserve">4170036687                    </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22.11</v>
      </c>
      <c r="AR132">
        <v>0</v>
      </c>
      <c r="AS132">
        <v>0</v>
      </c>
      <c r="AT132">
        <v>0</v>
      </c>
      <c r="AU132">
        <v>0</v>
      </c>
      <c r="AV132">
        <v>0</v>
      </c>
      <c r="AW132">
        <v>0</v>
      </c>
      <c r="AX132">
        <v>0</v>
      </c>
      <c r="AY132">
        <v>0</v>
      </c>
      <c r="AZ132">
        <v>0</v>
      </c>
      <c r="BA132">
        <v>0</v>
      </c>
      <c r="BB132">
        <v>0</v>
      </c>
      <c r="BC132">
        <v>0</v>
      </c>
      <c r="BD132">
        <v>0</v>
      </c>
      <c r="BE132">
        <v>0</v>
      </c>
      <c r="BF132">
        <v>0</v>
      </c>
      <c r="BG132">
        <v>0</v>
      </c>
      <c r="BH132">
        <v>1</v>
      </c>
      <c r="BI132">
        <v>1</v>
      </c>
      <c r="BJ132">
        <v>0.2</v>
      </c>
      <c r="BK132">
        <v>1</v>
      </c>
      <c r="BL132">
        <v>70.709999999999994</v>
      </c>
      <c r="BM132">
        <v>10.61</v>
      </c>
      <c r="BN132">
        <v>81.319999999999993</v>
      </c>
      <c r="BO132">
        <v>81.319999999999993</v>
      </c>
      <c r="BQ132" t="s">
        <v>93</v>
      </c>
      <c r="BR132" t="s">
        <v>84</v>
      </c>
      <c r="BS132" s="3">
        <v>45782</v>
      </c>
      <c r="BT132" s="4">
        <v>0.37083333333333335</v>
      </c>
      <c r="BU132" t="s">
        <v>205</v>
      </c>
      <c r="BV132" t="s">
        <v>86</v>
      </c>
      <c r="BY132">
        <v>1200</v>
      </c>
      <c r="CA132" t="s">
        <v>95</v>
      </c>
      <c r="CC132" t="s">
        <v>91</v>
      </c>
      <c r="CD132">
        <v>6001</v>
      </c>
      <c r="CE132" t="s">
        <v>88</v>
      </c>
      <c r="CF132" s="3">
        <v>45783</v>
      </c>
      <c r="CI132">
        <v>1</v>
      </c>
      <c r="CJ132">
        <v>1</v>
      </c>
      <c r="CK132">
        <v>21</v>
      </c>
      <c r="CL132" t="s">
        <v>89</v>
      </c>
    </row>
    <row r="133" spans="1:90" x14ac:dyDescent="0.3">
      <c r="A133" t="s">
        <v>72</v>
      </c>
      <c r="B133" t="s">
        <v>73</v>
      </c>
      <c r="C133" t="s">
        <v>74</v>
      </c>
      <c r="E133" t="str">
        <f>"080065135626"</f>
        <v>080065135626</v>
      </c>
      <c r="F133" s="3">
        <v>45779</v>
      </c>
      <c r="G133">
        <v>202602</v>
      </c>
      <c r="H133" t="s">
        <v>75</v>
      </c>
      <c r="I133" t="s">
        <v>76</v>
      </c>
      <c r="J133" t="s">
        <v>77</v>
      </c>
      <c r="K133" t="s">
        <v>78</v>
      </c>
      <c r="L133" t="s">
        <v>130</v>
      </c>
      <c r="M133" t="s">
        <v>131</v>
      </c>
      <c r="N133" t="s">
        <v>343</v>
      </c>
      <c r="O133" t="s">
        <v>82</v>
      </c>
      <c r="P133" t="str">
        <f>"4170036749                    "</f>
        <v xml:space="preserve">4170036749                    </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22.11</v>
      </c>
      <c r="AR133">
        <v>0</v>
      </c>
      <c r="AS133">
        <v>0</v>
      </c>
      <c r="AT133">
        <v>0</v>
      </c>
      <c r="AU133">
        <v>0</v>
      </c>
      <c r="AV133">
        <v>0</v>
      </c>
      <c r="AW133">
        <v>0</v>
      </c>
      <c r="AX133">
        <v>0</v>
      </c>
      <c r="AY133">
        <v>0</v>
      </c>
      <c r="AZ133">
        <v>0</v>
      </c>
      <c r="BA133">
        <v>0</v>
      </c>
      <c r="BB133">
        <v>0</v>
      </c>
      <c r="BC133">
        <v>0</v>
      </c>
      <c r="BD133">
        <v>0</v>
      </c>
      <c r="BE133">
        <v>0</v>
      </c>
      <c r="BF133">
        <v>0</v>
      </c>
      <c r="BG133">
        <v>0</v>
      </c>
      <c r="BH133">
        <v>1</v>
      </c>
      <c r="BI133">
        <v>1</v>
      </c>
      <c r="BJ133">
        <v>0.2</v>
      </c>
      <c r="BK133">
        <v>1</v>
      </c>
      <c r="BL133">
        <v>70.709999999999994</v>
      </c>
      <c r="BM133">
        <v>10.61</v>
      </c>
      <c r="BN133">
        <v>81.319999999999993</v>
      </c>
      <c r="BO133">
        <v>81.319999999999993</v>
      </c>
      <c r="BQ133" t="s">
        <v>344</v>
      </c>
      <c r="BR133" t="s">
        <v>84</v>
      </c>
      <c r="BS133" s="3">
        <v>45782</v>
      </c>
      <c r="BT133" s="4">
        <v>0.38194444444444442</v>
      </c>
      <c r="BU133" t="s">
        <v>345</v>
      </c>
      <c r="BV133" t="s">
        <v>86</v>
      </c>
      <c r="BY133">
        <v>1200</v>
      </c>
      <c r="CA133" t="s">
        <v>242</v>
      </c>
      <c r="CC133" t="s">
        <v>131</v>
      </c>
      <c r="CD133">
        <v>7441</v>
      </c>
      <c r="CE133" t="s">
        <v>88</v>
      </c>
      <c r="CF133" s="3">
        <v>45783</v>
      </c>
      <c r="CI133">
        <v>1</v>
      </c>
      <c r="CJ133">
        <v>1</v>
      </c>
      <c r="CK133">
        <v>21</v>
      </c>
      <c r="CL133" t="s">
        <v>89</v>
      </c>
    </row>
    <row r="134" spans="1:90" x14ac:dyDescent="0.3">
      <c r="A134" t="s">
        <v>72</v>
      </c>
      <c r="B134" t="s">
        <v>73</v>
      </c>
      <c r="C134" t="s">
        <v>74</v>
      </c>
      <c r="E134" t="str">
        <f>"080065135650"</f>
        <v>080065135650</v>
      </c>
      <c r="F134" s="3">
        <v>45779</v>
      </c>
      <c r="G134">
        <v>202602</v>
      </c>
      <c r="H134" t="s">
        <v>75</v>
      </c>
      <c r="I134" t="s">
        <v>76</v>
      </c>
      <c r="J134" t="s">
        <v>77</v>
      </c>
      <c r="K134" t="s">
        <v>78</v>
      </c>
      <c r="L134" t="s">
        <v>90</v>
      </c>
      <c r="M134" t="s">
        <v>91</v>
      </c>
      <c r="N134" t="s">
        <v>92</v>
      </c>
      <c r="O134" t="s">
        <v>82</v>
      </c>
      <c r="P134" t="str">
        <f>"4170036686                    "</f>
        <v xml:space="preserve">4170036686                    </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22.11</v>
      </c>
      <c r="AR134">
        <v>0</v>
      </c>
      <c r="AS134">
        <v>0</v>
      </c>
      <c r="AT134">
        <v>0</v>
      </c>
      <c r="AU134">
        <v>0</v>
      </c>
      <c r="AV134">
        <v>0</v>
      </c>
      <c r="AW134">
        <v>0</v>
      </c>
      <c r="AX134">
        <v>0</v>
      </c>
      <c r="AY134">
        <v>0</v>
      </c>
      <c r="AZ134">
        <v>0</v>
      </c>
      <c r="BA134">
        <v>0</v>
      </c>
      <c r="BB134">
        <v>0</v>
      </c>
      <c r="BC134">
        <v>0</v>
      </c>
      <c r="BD134">
        <v>0</v>
      </c>
      <c r="BE134">
        <v>0</v>
      </c>
      <c r="BF134">
        <v>0</v>
      </c>
      <c r="BG134">
        <v>0</v>
      </c>
      <c r="BH134">
        <v>1</v>
      </c>
      <c r="BI134">
        <v>1</v>
      </c>
      <c r="BJ134">
        <v>0.2</v>
      </c>
      <c r="BK134">
        <v>1</v>
      </c>
      <c r="BL134">
        <v>70.709999999999994</v>
      </c>
      <c r="BM134">
        <v>10.61</v>
      </c>
      <c r="BN134">
        <v>81.319999999999993</v>
      </c>
      <c r="BO134">
        <v>81.319999999999993</v>
      </c>
      <c r="BQ134" t="s">
        <v>93</v>
      </c>
      <c r="BR134" t="s">
        <v>84</v>
      </c>
      <c r="BS134" s="3">
        <v>45782</v>
      </c>
      <c r="BT134" s="4">
        <v>0.37083333333333335</v>
      </c>
      <c r="BU134" t="s">
        <v>205</v>
      </c>
      <c r="BV134" t="s">
        <v>86</v>
      </c>
      <c r="BY134">
        <v>1200</v>
      </c>
      <c r="CA134" t="s">
        <v>95</v>
      </c>
      <c r="CC134" t="s">
        <v>91</v>
      </c>
      <c r="CD134">
        <v>6001</v>
      </c>
      <c r="CE134" t="s">
        <v>88</v>
      </c>
      <c r="CF134" s="3">
        <v>45783</v>
      </c>
      <c r="CI134">
        <v>1</v>
      </c>
      <c r="CJ134">
        <v>1</v>
      </c>
      <c r="CK134">
        <v>21</v>
      </c>
      <c r="CL134" t="s">
        <v>89</v>
      </c>
    </row>
    <row r="135" spans="1:90" x14ac:dyDescent="0.3">
      <c r="A135" t="s">
        <v>72</v>
      </c>
      <c r="B135" t="s">
        <v>73</v>
      </c>
      <c r="C135" t="s">
        <v>74</v>
      </c>
      <c r="E135" t="str">
        <f>"080065135676"</f>
        <v>080065135676</v>
      </c>
      <c r="F135" s="3">
        <v>45779</v>
      </c>
      <c r="G135">
        <v>202602</v>
      </c>
      <c r="H135" t="s">
        <v>75</v>
      </c>
      <c r="I135" t="s">
        <v>76</v>
      </c>
      <c r="J135" t="s">
        <v>77</v>
      </c>
      <c r="K135" t="s">
        <v>78</v>
      </c>
      <c r="L135" t="s">
        <v>90</v>
      </c>
      <c r="M135" t="s">
        <v>91</v>
      </c>
      <c r="N135" t="s">
        <v>92</v>
      </c>
      <c r="O135" t="s">
        <v>82</v>
      </c>
      <c r="P135" t="str">
        <f>"4170036780                    "</f>
        <v xml:space="preserve">4170036780                    </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22.11</v>
      </c>
      <c r="AR135">
        <v>0</v>
      </c>
      <c r="AS135">
        <v>0</v>
      </c>
      <c r="AT135">
        <v>0</v>
      </c>
      <c r="AU135">
        <v>0</v>
      </c>
      <c r="AV135">
        <v>0</v>
      </c>
      <c r="AW135">
        <v>0</v>
      </c>
      <c r="AX135">
        <v>0</v>
      </c>
      <c r="AY135">
        <v>0</v>
      </c>
      <c r="AZ135">
        <v>0</v>
      </c>
      <c r="BA135">
        <v>0</v>
      </c>
      <c r="BB135">
        <v>0</v>
      </c>
      <c r="BC135">
        <v>0</v>
      </c>
      <c r="BD135">
        <v>0</v>
      </c>
      <c r="BE135">
        <v>0</v>
      </c>
      <c r="BF135">
        <v>0</v>
      </c>
      <c r="BG135">
        <v>0</v>
      </c>
      <c r="BH135">
        <v>1</v>
      </c>
      <c r="BI135">
        <v>1</v>
      </c>
      <c r="BJ135">
        <v>0.2</v>
      </c>
      <c r="BK135">
        <v>1</v>
      </c>
      <c r="BL135">
        <v>70.709999999999994</v>
      </c>
      <c r="BM135">
        <v>10.61</v>
      </c>
      <c r="BN135">
        <v>81.319999999999993</v>
      </c>
      <c r="BO135">
        <v>81.319999999999993</v>
      </c>
      <c r="BQ135" t="s">
        <v>93</v>
      </c>
      <c r="BR135" t="s">
        <v>84</v>
      </c>
      <c r="BS135" s="3">
        <v>45782</v>
      </c>
      <c r="BT135" s="4">
        <v>0.37083333333333335</v>
      </c>
      <c r="BU135" t="s">
        <v>205</v>
      </c>
      <c r="BV135" t="s">
        <v>86</v>
      </c>
      <c r="BY135">
        <v>1200</v>
      </c>
      <c r="CA135" t="s">
        <v>95</v>
      </c>
      <c r="CC135" t="s">
        <v>91</v>
      </c>
      <c r="CD135">
        <v>6001</v>
      </c>
      <c r="CE135" t="s">
        <v>88</v>
      </c>
      <c r="CF135" s="3">
        <v>45783</v>
      </c>
      <c r="CI135">
        <v>1</v>
      </c>
      <c r="CJ135">
        <v>1</v>
      </c>
      <c r="CK135">
        <v>21</v>
      </c>
      <c r="CL135" t="s">
        <v>89</v>
      </c>
    </row>
    <row r="136" spans="1:90" x14ac:dyDescent="0.3">
      <c r="A136" t="s">
        <v>72</v>
      </c>
      <c r="B136" t="s">
        <v>73</v>
      </c>
      <c r="C136" t="s">
        <v>74</v>
      </c>
      <c r="E136" t="str">
        <f>"080065135721"</f>
        <v>080065135721</v>
      </c>
      <c r="F136" s="3">
        <v>45779</v>
      </c>
      <c r="G136">
        <v>202602</v>
      </c>
      <c r="H136" t="s">
        <v>75</v>
      </c>
      <c r="I136" t="s">
        <v>76</v>
      </c>
      <c r="J136" t="s">
        <v>77</v>
      </c>
      <c r="K136" t="s">
        <v>78</v>
      </c>
      <c r="L136" t="s">
        <v>75</v>
      </c>
      <c r="M136" t="s">
        <v>76</v>
      </c>
      <c r="N136" t="s">
        <v>540</v>
      </c>
      <c r="O136" t="s">
        <v>82</v>
      </c>
      <c r="P136" t="str">
        <f>"4170036737                    "</f>
        <v xml:space="preserve">4170036737                    </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17.27</v>
      </c>
      <c r="AR136">
        <v>0</v>
      </c>
      <c r="AS136">
        <v>0</v>
      </c>
      <c r="AT136">
        <v>0</v>
      </c>
      <c r="AU136">
        <v>0</v>
      </c>
      <c r="AV136">
        <v>0</v>
      </c>
      <c r="AW136">
        <v>0</v>
      </c>
      <c r="AX136">
        <v>0</v>
      </c>
      <c r="AY136">
        <v>0</v>
      </c>
      <c r="AZ136">
        <v>0</v>
      </c>
      <c r="BA136">
        <v>0</v>
      </c>
      <c r="BB136">
        <v>0</v>
      </c>
      <c r="BC136">
        <v>0</v>
      </c>
      <c r="BD136">
        <v>0</v>
      </c>
      <c r="BE136">
        <v>0</v>
      </c>
      <c r="BF136">
        <v>0</v>
      </c>
      <c r="BG136">
        <v>0</v>
      </c>
      <c r="BH136">
        <v>1</v>
      </c>
      <c r="BI136">
        <v>3</v>
      </c>
      <c r="BJ136">
        <v>3.4</v>
      </c>
      <c r="BK136">
        <v>4</v>
      </c>
      <c r="BL136">
        <v>55.23</v>
      </c>
      <c r="BM136">
        <v>8.2799999999999994</v>
      </c>
      <c r="BN136">
        <v>63.51</v>
      </c>
      <c r="BO136">
        <v>63.51</v>
      </c>
      <c r="BQ136" t="s">
        <v>541</v>
      </c>
      <c r="BR136" t="s">
        <v>84</v>
      </c>
      <c r="BS136" s="3">
        <v>45782</v>
      </c>
      <c r="BT136" s="4">
        <v>0.31388888888888888</v>
      </c>
      <c r="BU136" t="s">
        <v>542</v>
      </c>
      <c r="BV136" t="s">
        <v>86</v>
      </c>
      <c r="BY136">
        <v>16965</v>
      </c>
      <c r="CA136" t="s">
        <v>484</v>
      </c>
      <c r="CC136" t="s">
        <v>76</v>
      </c>
      <c r="CD136">
        <v>1600</v>
      </c>
      <c r="CE136" t="s">
        <v>96</v>
      </c>
      <c r="CF136" s="3">
        <v>45783</v>
      </c>
      <c r="CI136">
        <v>1</v>
      </c>
      <c r="CJ136">
        <v>1</v>
      </c>
      <c r="CK136">
        <v>22</v>
      </c>
      <c r="CL136" t="s">
        <v>89</v>
      </c>
    </row>
    <row r="137" spans="1:90" x14ac:dyDescent="0.3">
      <c r="A137" t="s">
        <v>72</v>
      </c>
      <c r="B137" t="s">
        <v>73</v>
      </c>
      <c r="C137" t="s">
        <v>74</v>
      </c>
      <c r="E137" t="str">
        <f>"080065135775"</f>
        <v>080065135775</v>
      </c>
      <c r="F137" s="3">
        <v>45779</v>
      </c>
      <c r="G137">
        <v>202602</v>
      </c>
      <c r="H137" t="s">
        <v>75</v>
      </c>
      <c r="I137" t="s">
        <v>76</v>
      </c>
      <c r="J137" t="s">
        <v>77</v>
      </c>
      <c r="K137" t="s">
        <v>78</v>
      </c>
      <c r="L137" t="s">
        <v>130</v>
      </c>
      <c r="M137" t="s">
        <v>131</v>
      </c>
      <c r="N137" t="s">
        <v>343</v>
      </c>
      <c r="O137" t="s">
        <v>82</v>
      </c>
      <c r="P137" t="str">
        <f>"4170036748                    "</f>
        <v xml:space="preserve">4170036748                    </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22.11</v>
      </c>
      <c r="AR137">
        <v>0</v>
      </c>
      <c r="AS137">
        <v>0</v>
      </c>
      <c r="AT137">
        <v>0</v>
      </c>
      <c r="AU137">
        <v>0</v>
      </c>
      <c r="AV137">
        <v>0</v>
      </c>
      <c r="AW137">
        <v>0</v>
      </c>
      <c r="AX137">
        <v>0</v>
      </c>
      <c r="AY137">
        <v>0</v>
      </c>
      <c r="AZ137">
        <v>0</v>
      </c>
      <c r="BA137">
        <v>0</v>
      </c>
      <c r="BB137">
        <v>0</v>
      </c>
      <c r="BC137">
        <v>0</v>
      </c>
      <c r="BD137">
        <v>0</v>
      </c>
      <c r="BE137">
        <v>0</v>
      </c>
      <c r="BF137">
        <v>0</v>
      </c>
      <c r="BG137">
        <v>0</v>
      </c>
      <c r="BH137">
        <v>1</v>
      </c>
      <c r="BI137">
        <v>1</v>
      </c>
      <c r="BJ137">
        <v>0.9</v>
      </c>
      <c r="BK137">
        <v>1</v>
      </c>
      <c r="BL137">
        <v>70.709999999999994</v>
      </c>
      <c r="BM137">
        <v>10.61</v>
      </c>
      <c r="BN137">
        <v>81.319999999999993</v>
      </c>
      <c r="BO137">
        <v>81.319999999999993</v>
      </c>
      <c r="BQ137" t="s">
        <v>344</v>
      </c>
      <c r="BR137" t="s">
        <v>84</v>
      </c>
      <c r="BS137" s="3">
        <v>45782</v>
      </c>
      <c r="BT137" s="4">
        <v>0.38194444444444442</v>
      </c>
      <c r="BU137" t="s">
        <v>345</v>
      </c>
      <c r="BV137" t="s">
        <v>86</v>
      </c>
      <c r="BY137">
        <v>4560</v>
      </c>
      <c r="CA137" t="s">
        <v>242</v>
      </c>
      <c r="CC137" t="s">
        <v>131</v>
      </c>
      <c r="CD137">
        <v>7441</v>
      </c>
      <c r="CE137" t="s">
        <v>116</v>
      </c>
      <c r="CF137" s="3">
        <v>45783</v>
      </c>
      <c r="CI137">
        <v>1</v>
      </c>
      <c r="CJ137">
        <v>1</v>
      </c>
      <c r="CK137">
        <v>21</v>
      </c>
      <c r="CL137" t="s">
        <v>89</v>
      </c>
    </row>
    <row r="138" spans="1:90" x14ac:dyDescent="0.3">
      <c r="A138" t="s">
        <v>72</v>
      </c>
      <c r="B138" t="s">
        <v>73</v>
      </c>
      <c r="C138" t="s">
        <v>74</v>
      </c>
      <c r="E138" t="str">
        <f>"080065135829"</f>
        <v>080065135829</v>
      </c>
      <c r="F138" s="3">
        <v>45779</v>
      </c>
      <c r="G138">
        <v>202602</v>
      </c>
      <c r="H138" t="s">
        <v>75</v>
      </c>
      <c r="I138" t="s">
        <v>76</v>
      </c>
      <c r="J138" t="s">
        <v>77</v>
      </c>
      <c r="K138" t="s">
        <v>78</v>
      </c>
      <c r="L138" t="s">
        <v>130</v>
      </c>
      <c r="M138" t="s">
        <v>131</v>
      </c>
      <c r="N138" t="s">
        <v>343</v>
      </c>
      <c r="O138" t="s">
        <v>82</v>
      </c>
      <c r="P138" t="str">
        <f>"4170036745                    "</f>
        <v xml:space="preserve">4170036745                    </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22.11</v>
      </c>
      <c r="AR138">
        <v>0</v>
      </c>
      <c r="AS138">
        <v>0</v>
      </c>
      <c r="AT138">
        <v>0</v>
      </c>
      <c r="AU138">
        <v>0</v>
      </c>
      <c r="AV138">
        <v>0</v>
      </c>
      <c r="AW138">
        <v>0</v>
      </c>
      <c r="AX138">
        <v>0</v>
      </c>
      <c r="AY138">
        <v>0</v>
      </c>
      <c r="AZ138">
        <v>0</v>
      </c>
      <c r="BA138">
        <v>0</v>
      </c>
      <c r="BB138">
        <v>0</v>
      </c>
      <c r="BC138">
        <v>0</v>
      </c>
      <c r="BD138">
        <v>0</v>
      </c>
      <c r="BE138">
        <v>0</v>
      </c>
      <c r="BF138">
        <v>0</v>
      </c>
      <c r="BG138">
        <v>0</v>
      </c>
      <c r="BH138">
        <v>1</v>
      </c>
      <c r="BI138">
        <v>1</v>
      </c>
      <c r="BJ138">
        <v>0.6</v>
      </c>
      <c r="BK138">
        <v>1</v>
      </c>
      <c r="BL138">
        <v>70.709999999999994</v>
      </c>
      <c r="BM138">
        <v>10.61</v>
      </c>
      <c r="BN138">
        <v>81.319999999999993</v>
      </c>
      <c r="BO138">
        <v>81.319999999999993</v>
      </c>
      <c r="BQ138" t="s">
        <v>344</v>
      </c>
      <c r="BR138" t="s">
        <v>84</v>
      </c>
      <c r="BS138" s="3">
        <v>45782</v>
      </c>
      <c r="BT138" s="4">
        <v>0.38194444444444442</v>
      </c>
      <c r="BU138" t="s">
        <v>345</v>
      </c>
      <c r="BV138" t="s">
        <v>86</v>
      </c>
      <c r="BY138">
        <v>3192</v>
      </c>
      <c r="CA138" t="s">
        <v>242</v>
      </c>
      <c r="CC138" t="s">
        <v>131</v>
      </c>
      <c r="CD138">
        <v>7441</v>
      </c>
      <c r="CE138" t="s">
        <v>116</v>
      </c>
      <c r="CF138" s="3">
        <v>45783</v>
      </c>
      <c r="CI138">
        <v>1</v>
      </c>
      <c r="CJ138">
        <v>1</v>
      </c>
      <c r="CK138">
        <v>21</v>
      </c>
      <c r="CL138" t="s">
        <v>89</v>
      </c>
    </row>
    <row r="139" spans="1:90" x14ac:dyDescent="0.3">
      <c r="A139" t="s">
        <v>72</v>
      </c>
      <c r="B139" t="s">
        <v>73</v>
      </c>
      <c r="C139" t="s">
        <v>74</v>
      </c>
      <c r="E139" t="str">
        <f>"080065135858"</f>
        <v>080065135858</v>
      </c>
      <c r="F139" s="3">
        <v>45779</v>
      </c>
      <c r="G139">
        <v>202602</v>
      </c>
      <c r="H139" t="s">
        <v>75</v>
      </c>
      <c r="I139" t="s">
        <v>76</v>
      </c>
      <c r="J139" t="s">
        <v>77</v>
      </c>
      <c r="K139" t="s">
        <v>78</v>
      </c>
      <c r="L139" t="s">
        <v>130</v>
      </c>
      <c r="M139" t="s">
        <v>131</v>
      </c>
      <c r="N139" t="s">
        <v>343</v>
      </c>
      <c r="O139" t="s">
        <v>82</v>
      </c>
      <c r="P139" t="str">
        <f>"4170036747                    "</f>
        <v xml:space="preserve">4170036747                    </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22.11</v>
      </c>
      <c r="AR139">
        <v>0</v>
      </c>
      <c r="AS139">
        <v>0</v>
      </c>
      <c r="AT139">
        <v>0</v>
      </c>
      <c r="AU139">
        <v>0</v>
      </c>
      <c r="AV139">
        <v>0</v>
      </c>
      <c r="AW139">
        <v>0</v>
      </c>
      <c r="AX139">
        <v>0</v>
      </c>
      <c r="AY139">
        <v>0</v>
      </c>
      <c r="AZ139">
        <v>0</v>
      </c>
      <c r="BA139">
        <v>0</v>
      </c>
      <c r="BB139">
        <v>0</v>
      </c>
      <c r="BC139">
        <v>0</v>
      </c>
      <c r="BD139">
        <v>0</v>
      </c>
      <c r="BE139">
        <v>0</v>
      </c>
      <c r="BF139">
        <v>0</v>
      </c>
      <c r="BG139">
        <v>0</v>
      </c>
      <c r="BH139">
        <v>1</v>
      </c>
      <c r="BI139">
        <v>2</v>
      </c>
      <c r="BJ139">
        <v>0.9</v>
      </c>
      <c r="BK139">
        <v>2</v>
      </c>
      <c r="BL139">
        <v>70.709999999999994</v>
      </c>
      <c r="BM139">
        <v>10.61</v>
      </c>
      <c r="BN139">
        <v>81.319999999999993</v>
      </c>
      <c r="BO139">
        <v>81.319999999999993</v>
      </c>
      <c r="BQ139" t="s">
        <v>344</v>
      </c>
      <c r="BR139" t="s">
        <v>84</v>
      </c>
      <c r="BS139" s="3">
        <v>45782</v>
      </c>
      <c r="BT139" s="4">
        <v>0.38194444444444442</v>
      </c>
      <c r="BU139" t="s">
        <v>345</v>
      </c>
      <c r="BV139" t="s">
        <v>86</v>
      </c>
      <c r="BY139">
        <v>4275</v>
      </c>
      <c r="CA139" t="s">
        <v>242</v>
      </c>
      <c r="CC139" t="s">
        <v>131</v>
      </c>
      <c r="CD139">
        <v>7441</v>
      </c>
      <c r="CE139" t="s">
        <v>116</v>
      </c>
      <c r="CF139" s="3">
        <v>45783</v>
      </c>
      <c r="CI139">
        <v>1</v>
      </c>
      <c r="CJ139">
        <v>1</v>
      </c>
      <c r="CK139">
        <v>21</v>
      </c>
      <c r="CL139" t="s">
        <v>89</v>
      </c>
    </row>
    <row r="140" spans="1:90" x14ac:dyDescent="0.3">
      <c r="A140" t="s">
        <v>72</v>
      </c>
      <c r="B140" t="s">
        <v>73</v>
      </c>
      <c r="C140" t="s">
        <v>74</v>
      </c>
      <c r="E140" t="str">
        <f>"080065135884"</f>
        <v>080065135884</v>
      </c>
      <c r="F140" s="3">
        <v>45779</v>
      </c>
      <c r="G140">
        <v>202602</v>
      </c>
      <c r="H140" t="s">
        <v>75</v>
      </c>
      <c r="I140" t="s">
        <v>76</v>
      </c>
      <c r="J140" t="s">
        <v>77</v>
      </c>
      <c r="K140" t="s">
        <v>78</v>
      </c>
      <c r="L140" t="s">
        <v>75</v>
      </c>
      <c r="M140" t="s">
        <v>76</v>
      </c>
      <c r="N140" t="s">
        <v>346</v>
      </c>
      <c r="O140" t="s">
        <v>82</v>
      </c>
      <c r="P140" t="str">
        <f>"4170036782                    "</f>
        <v xml:space="preserve">4170036782                    </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17.27</v>
      </c>
      <c r="AR140">
        <v>0</v>
      </c>
      <c r="AS140">
        <v>0</v>
      </c>
      <c r="AT140">
        <v>0</v>
      </c>
      <c r="AU140">
        <v>0</v>
      </c>
      <c r="AV140">
        <v>0</v>
      </c>
      <c r="AW140">
        <v>0</v>
      </c>
      <c r="AX140">
        <v>0</v>
      </c>
      <c r="AY140">
        <v>0</v>
      </c>
      <c r="AZ140">
        <v>0</v>
      </c>
      <c r="BA140">
        <v>0</v>
      </c>
      <c r="BB140">
        <v>0</v>
      </c>
      <c r="BC140">
        <v>0</v>
      </c>
      <c r="BD140">
        <v>0</v>
      </c>
      <c r="BE140">
        <v>0</v>
      </c>
      <c r="BF140">
        <v>0</v>
      </c>
      <c r="BG140">
        <v>0</v>
      </c>
      <c r="BH140">
        <v>1</v>
      </c>
      <c r="BI140">
        <v>2</v>
      </c>
      <c r="BJ140">
        <v>1.4</v>
      </c>
      <c r="BK140">
        <v>2</v>
      </c>
      <c r="BL140">
        <v>55.23</v>
      </c>
      <c r="BM140">
        <v>8.2799999999999994</v>
      </c>
      <c r="BN140">
        <v>63.51</v>
      </c>
      <c r="BO140">
        <v>63.51</v>
      </c>
      <c r="BQ140" t="s">
        <v>347</v>
      </c>
      <c r="BR140" t="s">
        <v>84</v>
      </c>
      <c r="BS140" s="3">
        <v>45782</v>
      </c>
      <c r="BT140" s="4">
        <v>0.40069444444444446</v>
      </c>
      <c r="BU140" t="s">
        <v>407</v>
      </c>
      <c r="BV140" t="s">
        <v>86</v>
      </c>
      <c r="BY140">
        <v>7000</v>
      </c>
      <c r="CA140" t="s">
        <v>349</v>
      </c>
      <c r="CC140" t="s">
        <v>76</v>
      </c>
      <c r="CD140">
        <v>1619</v>
      </c>
      <c r="CE140" t="s">
        <v>116</v>
      </c>
      <c r="CF140" s="3">
        <v>45782</v>
      </c>
      <c r="CI140">
        <v>1</v>
      </c>
      <c r="CJ140">
        <v>1</v>
      </c>
      <c r="CK140">
        <v>22</v>
      </c>
      <c r="CL140" t="s">
        <v>89</v>
      </c>
    </row>
    <row r="141" spans="1:90" x14ac:dyDescent="0.3">
      <c r="A141" t="s">
        <v>72</v>
      </c>
      <c r="B141" t="s">
        <v>73</v>
      </c>
      <c r="C141" t="s">
        <v>74</v>
      </c>
      <c r="E141" t="str">
        <f>"080065136563"</f>
        <v>080065136563</v>
      </c>
      <c r="F141" s="3">
        <v>45779</v>
      </c>
      <c r="G141">
        <v>202602</v>
      </c>
      <c r="H141" t="s">
        <v>75</v>
      </c>
      <c r="I141" t="s">
        <v>76</v>
      </c>
      <c r="J141" t="s">
        <v>77</v>
      </c>
      <c r="K141" t="s">
        <v>78</v>
      </c>
      <c r="L141" t="s">
        <v>130</v>
      </c>
      <c r="M141" t="s">
        <v>131</v>
      </c>
      <c r="N141" t="s">
        <v>343</v>
      </c>
      <c r="O141" t="s">
        <v>82</v>
      </c>
      <c r="P141" t="str">
        <f>"4170036794                    "</f>
        <v xml:space="preserve">4170036794                    </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22.11</v>
      </c>
      <c r="AR141">
        <v>0</v>
      </c>
      <c r="AS141">
        <v>0</v>
      </c>
      <c r="AT141">
        <v>0</v>
      </c>
      <c r="AU141">
        <v>0</v>
      </c>
      <c r="AV141">
        <v>0</v>
      </c>
      <c r="AW141">
        <v>0</v>
      </c>
      <c r="AX141">
        <v>0</v>
      </c>
      <c r="AY141">
        <v>0</v>
      </c>
      <c r="AZ141">
        <v>0</v>
      </c>
      <c r="BA141">
        <v>0</v>
      </c>
      <c r="BB141">
        <v>0</v>
      </c>
      <c r="BC141">
        <v>0</v>
      </c>
      <c r="BD141">
        <v>0</v>
      </c>
      <c r="BE141">
        <v>0</v>
      </c>
      <c r="BF141">
        <v>0</v>
      </c>
      <c r="BG141">
        <v>0</v>
      </c>
      <c r="BH141">
        <v>1</v>
      </c>
      <c r="BI141">
        <v>1</v>
      </c>
      <c r="BJ141">
        <v>0.2</v>
      </c>
      <c r="BK141">
        <v>1</v>
      </c>
      <c r="BL141">
        <v>70.709999999999994</v>
      </c>
      <c r="BM141">
        <v>10.61</v>
      </c>
      <c r="BN141">
        <v>81.319999999999993</v>
      </c>
      <c r="BO141">
        <v>81.319999999999993</v>
      </c>
      <c r="BQ141" t="s">
        <v>344</v>
      </c>
      <c r="BR141" t="s">
        <v>84</v>
      </c>
      <c r="BS141" s="3">
        <v>45782</v>
      </c>
      <c r="BT141" s="4">
        <v>0.38194444444444442</v>
      </c>
      <c r="BU141" t="s">
        <v>345</v>
      </c>
      <c r="BV141" t="s">
        <v>86</v>
      </c>
      <c r="BY141">
        <v>1200</v>
      </c>
      <c r="CA141" t="s">
        <v>242</v>
      </c>
      <c r="CC141" t="s">
        <v>131</v>
      </c>
      <c r="CD141">
        <v>7441</v>
      </c>
      <c r="CE141" t="s">
        <v>88</v>
      </c>
      <c r="CF141" s="3">
        <v>45783</v>
      </c>
      <c r="CI141">
        <v>1</v>
      </c>
      <c r="CJ141">
        <v>1</v>
      </c>
      <c r="CK141">
        <v>21</v>
      </c>
      <c r="CL141" t="s">
        <v>89</v>
      </c>
    </row>
    <row r="142" spans="1:90" x14ac:dyDescent="0.3">
      <c r="A142" t="s">
        <v>72</v>
      </c>
      <c r="B142" t="s">
        <v>73</v>
      </c>
      <c r="C142" t="s">
        <v>74</v>
      </c>
      <c r="E142" t="str">
        <f>"080065136596"</f>
        <v>080065136596</v>
      </c>
      <c r="F142" s="3">
        <v>45779</v>
      </c>
      <c r="G142">
        <v>202602</v>
      </c>
      <c r="H142" t="s">
        <v>75</v>
      </c>
      <c r="I142" t="s">
        <v>76</v>
      </c>
      <c r="J142" t="s">
        <v>77</v>
      </c>
      <c r="K142" t="s">
        <v>78</v>
      </c>
      <c r="L142" t="s">
        <v>90</v>
      </c>
      <c r="M142" t="s">
        <v>91</v>
      </c>
      <c r="N142" t="s">
        <v>469</v>
      </c>
      <c r="O142" t="s">
        <v>82</v>
      </c>
      <c r="P142" t="str">
        <f>"4170036790                    "</f>
        <v xml:space="preserve">4170036790                    </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44.21</v>
      </c>
      <c r="AR142">
        <v>0</v>
      </c>
      <c r="AS142">
        <v>0</v>
      </c>
      <c r="AT142">
        <v>0</v>
      </c>
      <c r="AU142">
        <v>0</v>
      </c>
      <c r="AV142">
        <v>0</v>
      </c>
      <c r="AW142">
        <v>0</v>
      </c>
      <c r="AX142">
        <v>0</v>
      </c>
      <c r="AY142">
        <v>0</v>
      </c>
      <c r="AZ142">
        <v>0</v>
      </c>
      <c r="BA142">
        <v>0</v>
      </c>
      <c r="BB142">
        <v>0</v>
      </c>
      <c r="BC142">
        <v>0</v>
      </c>
      <c r="BD142">
        <v>0</v>
      </c>
      <c r="BE142">
        <v>0</v>
      </c>
      <c r="BF142">
        <v>0</v>
      </c>
      <c r="BG142">
        <v>0</v>
      </c>
      <c r="BH142">
        <v>1</v>
      </c>
      <c r="BI142">
        <v>2</v>
      </c>
      <c r="BJ142">
        <v>3.8</v>
      </c>
      <c r="BK142">
        <v>4</v>
      </c>
      <c r="BL142">
        <v>141.37</v>
      </c>
      <c r="BM142">
        <v>21.21</v>
      </c>
      <c r="BN142">
        <v>162.58000000000001</v>
      </c>
      <c r="BO142">
        <v>162.58000000000001</v>
      </c>
      <c r="BQ142" t="s">
        <v>470</v>
      </c>
      <c r="BR142" t="s">
        <v>84</v>
      </c>
      <c r="BS142" s="3">
        <v>45782</v>
      </c>
      <c r="BT142" s="4">
        <v>0.38819444444444445</v>
      </c>
      <c r="BU142" t="s">
        <v>471</v>
      </c>
      <c r="BV142" t="s">
        <v>86</v>
      </c>
      <c r="BY142">
        <v>19227</v>
      </c>
      <c r="CA142" t="s">
        <v>182</v>
      </c>
      <c r="CC142" t="s">
        <v>91</v>
      </c>
      <c r="CD142">
        <v>6001</v>
      </c>
      <c r="CE142" t="s">
        <v>96</v>
      </c>
      <c r="CF142" s="3">
        <v>45782</v>
      </c>
      <c r="CI142">
        <v>1</v>
      </c>
      <c r="CJ142">
        <v>1</v>
      </c>
      <c r="CK142">
        <v>21</v>
      </c>
      <c r="CL142" t="s">
        <v>89</v>
      </c>
    </row>
    <row r="143" spans="1:90" x14ac:dyDescent="0.3">
      <c r="A143" t="s">
        <v>72</v>
      </c>
      <c r="B143" t="s">
        <v>73</v>
      </c>
      <c r="C143" t="s">
        <v>74</v>
      </c>
      <c r="E143" t="str">
        <f>"080065136706"</f>
        <v>080065136706</v>
      </c>
      <c r="F143" s="3">
        <v>45779</v>
      </c>
      <c r="G143">
        <v>202602</v>
      </c>
      <c r="H143" t="s">
        <v>75</v>
      </c>
      <c r="I143" t="s">
        <v>76</v>
      </c>
      <c r="J143" t="s">
        <v>77</v>
      </c>
      <c r="K143" t="s">
        <v>78</v>
      </c>
      <c r="L143" t="s">
        <v>90</v>
      </c>
      <c r="M143" t="s">
        <v>91</v>
      </c>
      <c r="N143" t="s">
        <v>92</v>
      </c>
      <c r="O143" t="s">
        <v>82</v>
      </c>
      <c r="P143" t="str">
        <f>"4170036791                    "</f>
        <v xml:space="preserve">4170036791                    </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38.68</v>
      </c>
      <c r="AR143">
        <v>0</v>
      </c>
      <c r="AS143">
        <v>0</v>
      </c>
      <c r="AT143">
        <v>0</v>
      </c>
      <c r="AU143">
        <v>0</v>
      </c>
      <c r="AV143">
        <v>0</v>
      </c>
      <c r="AW143">
        <v>0</v>
      </c>
      <c r="AX143">
        <v>0</v>
      </c>
      <c r="AY143">
        <v>0</v>
      </c>
      <c r="AZ143">
        <v>0</v>
      </c>
      <c r="BA143">
        <v>0</v>
      </c>
      <c r="BB143">
        <v>0</v>
      </c>
      <c r="BC143">
        <v>0</v>
      </c>
      <c r="BD143">
        <v>0</v>
      </c>
      <c r="BE143">
        <v>0</v>
      </c>
      <c r="BF143">
        <v>0</v>
      </c>
      <c r="BG143">
        <v>0</v>
      </c>
      <c r="BH143">
        <v>1</v>
      </c>
      <c r="BI143">
        <v>1</v>
      </c>
      <c r="BJ143">
        <v>3.2</v>
      </c>
      <c r="BK143">
        <v>3.5</v>
      </c>
      <c r="BL143">
        <v>123.7</v>
      </c>
      <c r="BM143">
        <v>18.559999999999999</v>
      </c>
      <c r="BN143">
        <v>142.26</v>
      </c>
      <c r="BO143">
        <v>142.26</v>
      </c>
      <c r="BQ143" t="s">
        <v>93</v>
      </c>
      <c r="BR143" t="s">
        <v>84</v>
      </c>
      <c r="BS143" s="3">
        <v>45782</v>
      </c>
      <c r="BT143" s="4">
        <v>0.37083333333333335</v>
      </c>
      <c r="BU143" t="s">
        <v>205</v>
      </c>
      <c r="BV143" t="s">
        <v>86</v>
      </c>
      <c r="BY143">
        <v>15834</v>
      </c>
      <c r="CA143" t="s">
        <v>95</v>
      </c>
      <c r="CC143" t="s">
        <v>91</v>
      </c>
      <c r="CD143">
        <v>6001</v>
      </c>
      <c r="CE143" t="s">
        <v>96</v>
      </c>
      <c r="CF143" s="3">
        <v>45783</v>
      </c>
      <c r="CI143">
        <v>1</v>
      </c>
      <c r="CJ143">
        <v>1</v>
      </c>
      <c r="CK143">
        <v>21</v>
      </c>
      <c r="CL143" t="s">
        <v>89</v>
      </c>
    </row>
    <row r="144" spans="1:90" x14ac:dyDescent="0.3">
      <c r="A144" t="s">
        <v>72</v>
      </c>
      <c r="B144" t="s">
        <v>73</v>
      </c>
      <c r="C144" t="s">
        <v>74</v>
      </c>
      <c r="E144" t="str">
        <f>"080065136799"</f>
        <v>080065136799</v>
      </c>
      <c r="F144" s="3">
        <v>45779</v>
      </c>
      <c r="G144">
        <v>202602</v>
      </c>
      <c r="H144" t="s">
        <v>75</v>
      </c>
      <c r="I144" t="s">
        <v>76</v>
      </c>
      <c r="J144" t="s">
        <v>77</v>
      </c>
      <c r="K144" t="s">
        <v>78</v>
      </c>
      <c r="L144" t="s">
        <v>130</v>
      </c>
      <c r="M144" t="s">
        <v>131</v>
      </c>
      <c r="N144" t="s">
        <v>343</v>
      </c>
      <c r="O144" t="s">
        <v>82</v>
      </c>
      <c r="P144" t="str">
        <f>"4170036793                    "</f>
        <v xml:space="preserve">4170036793                    </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33.159999999999997</v>
      </c>
      <c r="AR144">
        <v>0</v>
      </c>
      <c r="AS144">
        <v>0</v>
      </c>
      <c r="AT144">
        <v>0</v>
      </c>
      <c r="AU144">
        <v>0</v>
      </c>
      <c r="AV144">
        <v>0</v>
      </c>
      <c r="AW144">
        <v>0</v>
      </c>
      <c r="AX144">
        <v>0</v>
      </c>
      <c r="AY144">
        <v>0</v>
      </c>
      <c r="AZ144">
        <v>0</v>
      </c>
      <c r="BA144">
        <v>0</v>
      </c>
      <c r="BB144">
        <v>0</v>
      </c>
      <c r="BC144">
        <v>0</v>
      </c>
      <c r="BD144">
        <v>0</v>
      </c>
      <c r="BE144">
        <v>0</v>
      </c>
      <c r="BF144">
        <v>0</v>
      </c>
      <c r="BG144">
        <v>0</v>
      </c>
      <c r="BH144">
        <v>1</v>
      </c>
      <c r="BI144">
        <v>3</v>
      </c>
      <c r="BJ144">
        <v>1.8</v>
      </c>
      <c r="BK144">
        <v>3</v>
      </c>
      <c r="BL144">
        <v>106.04</v>
      </c>
      <c r="BM144">
        <v>15.91</v>
      </c>
      <c r="BN144">
        <v>121.95</v>
      </c>
      <c r="BO144">
        <v>121.95</v>
      </c>
      <c r="BQ144" t="s">
        <v>344</v>
      </c>
      <c r="BR144" t="s">
        <v>84</v>
      </c>
      <c r="BS144" s="3">
        <v>45782</v>
      </c>
      <c r="BT144" s="4">
        <v>0.38194444444444442</v>
      </c>
      <c r="BU144" t="s">
        <v>345</v>
      </c>
      <c r="BV144" t="s">
        <v>86</v>
      </c>
      <c r="BY144">
        <v>9044</v>
      </c>
      <c r="CA144" t="s">
        <v>242</v>
      </c>
      <c r="CC144" t="s">
        <v>131</v>
      </c>
      <c r="CD144">
        <v>7441</v>
      </c>
      <c r="CE144" t="s">
        <v>96</v>
      </c>
      <c r="CF144" s="3">
        <v>45783</v>
      </c>
      <c r="CI144">
        <v>1</v>
      </c>
      <c r="CJ144">
        <v>1</v>
      </c>
      <c r="CK144">
        <v>21</v>
      </c>
      <c r="CL144" t="s">
        <v>89</v>
      </c>
    </row>
    <row r="145" spans="1:90" x14ac:dyDescent="0.3">
      <c r="A145" t="s">
        <v>72</v>
      </c>
      <c r="B145" t="s">
        <v>73</v>
      </c>
      <c r="C145" t="s">
        <v>74</v>
      </c>
      <c r="E145" t="str">
        <f>"080065136883"</f>
        <v>080065136883</v>
      </c>
      <c r="F145" s="3">
        <v>45779</v>
      </c>
      <c r="G145">
        <v>202602</v>
      </c>
      <c r="H145" t="s">
        <v>75</v>
      </c>
      <c r="I145" t="s">
        <v>76</v>
      </c>
      <c r="J145" t="s">
        <v>77</v>
      </c>
      <c r="K145" t="s">
        <v>78</v>
      </c>
      <c r="L145" t="s">
        <v>360</v>
      </c>
      <c r="M145" t="s">
        <v>361</v>
      </c>
      <c r="N145" t="s">
        <v>362</v>
      </c>
      <c r="O145" t="s">
        <v>82</v>
      </c>
      <c r="P145" t="str">
        <f>"4170036797                    "</f>
        <v xml:space="preserve">4170036797                    </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62.19</v>
      </c>
      <c r="AR145">
        <v>0</v>
      </c>
      <c r="AS145">
        <v>0</v>
      </c>
      <c r="AT145">
        <v>0</v>
      </c>
      <c r="AU145">
        <v>0</v>
      </c>
      <c r="AV145">
        <v>0</v>
      </c>
      <c r="AW145">
        <v>0</v>
      </c>
      <c r="AX145">
        <v>0</v>
      </c>
      <c r="AY145">
        <v>0</v>
      </c>
      <c r="AZ145">
        <v>0</v>
      </c>
      <c r="BA145">
        <v>0</v>
      </c>
      <c r="BB145">
        <v>0</v>
      </c>
      <c r="BC145">
        <v>0</v>
      </c>
      <c r="BD145">
        <v>0</v>
      </c>
      <c r="BE145">
        <v>0</v>
      </c>
      <c r="BF145">
        <v>0</v>
      </c>
      <c r="BG145">
        <v>0</v>
      </c>
      <c r="BH145">
        <v>1</v>
      </c>
      <c r="BI145">
        <v>3</v>
      </c>
      <c r="BJ145">
        <v>1.5</v>
      </c>
      <c r="BK145">
        <v>3</v>
      </c>
      <c r="BL145">
        <v>198.87</v>
      </c>
      <c r="BM145">
        <v>29.83</v>
      </c>
      <c r="BN145">
        <v>228.7</v>
      </c>
      <c r="BO145">
        <v>228.7</v>
      </c>
      <c r="BQ145" t="s">
        <v>363</v>
      </c>
      <c r="BR145" t="s">
        <v>84</v>
      </c>
      <c r="BS145" s="3">
        <v>45782</v>
      </c>
      <c r="BT145" s="4">
        <v>0.59027777777777779</v>
      </c>
      <c r="BU145" t="s">
        <v>364</v>
      </c>
      <c r="BV145" t="s">
        <v>86</v>
      </c>
      <c r="BY145">
        <v>7644</v>
      </c>
      <c r="CA145" t="s">
        <v>365</v>
      </c>
      <c r="CC145" t="s">
        <v>361</v>
      </c>
      <c r="CD145">
        <v>7300</v>
      </c>
      <c r="CE145" t="s">
        <v>221</v>
      </c>
      <c r="CF145" s="3">
        <v>45784</v>
      </c>
      <c r="CI145">
        <v>1</v>
      </c>
      <c r="CJ145">
        <v>1</v>
      </c>
      <c r="CK145">
        <v>23</v>
      </c>
      <c r="CL145" t="s">
        <v>89</v>
      </c>
    </row>
    <row r="146" spans="1:90" x14ac:dyDescent="0.3">
      <c r="A146" t="s">
        <v>72</v>
      </c>
      <c r="B146" t="s">
        <v>73</v>
      </c>
      <c r="C146" t="s">
        <v>74</v>
      </c>
      <c r="E146" t="str">
        <f>"080065137035"</f>
        <v>080065137035</v>
      </c>
      <c r="F146" s="3">
        <v>45779</v>
      </c>
      <c r="G146">
        <v>202602</v>
      </c>
      <c r="H146" t="s">
        <v>75</v>
      </c>
      <c r="I146" t="s">
        <v>76</v>
      </c>
      <c r="J146" t="s">
        <v>77</v>
      </c>
      <c r="K146" t="s">
        <v>78</v>
      </c>
      <c r="L146" t="s">
        <v>90</v>
      </c>
      <c r="M146" t="s">
        <v>91</v>
      </c>
      <c r="N146" t="s">
        <v>543</v>
      </c>
      <c r="O146" t="s">
        <v>82</v>
      </c>
      <c r="P146" t="str">
        <f>"4170036796                    "</f>
        <v xml:space="preserve">4170036796                    </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149.16</v>
      </c>
      <c r="AR146">
        <v>0</v>
      </c>
      <c r="AS146">
        <v>0</v>
      </c>
      <c r="AT146">
        <v>0</v>
      </c>
      <c r="AU146">
        <v>0</v>
      </c>
      <c r="AV146">
        <v>0</v>
      </c>
      <c r="AW146">
        <v>0</v>
      </c>
      <c r="AX146">
        <v>0</v>
      </c>
      <c r="AY146">
        <v>0</v>
      </c>
      <c r="AZ146">
        <v>0</v>
      </c>
      <c r="BA146">
        <v>0</v>
      </c>
      <c r="BB146">
        <v>0</v>
      </c>
      <c r="BC146">
        <v>0</v>
      </c>
      <c r="BD146">
        <v>0</v>
      </c>
      <c r="BE146">
        <v>0</v>
      </c>
      <c r="BF146">
        <v>0</v>
      </c>
      <c r="BG146">
        <v>0</v>
      </c>
      <c r="BH146">
        <v>2</v>
      </c>
      <c r="BI146">
        <v>11</v>
      </c>
      <c r="BJ146">
        <v>13.3</v>
      </c>
      <c r="BK146">
        <v>13.5</v>
      </c>
      <c r="BL146">
        <v>476.98</v>
      </c>
      <c r="BM146">
        <v>71.55</v>
      </c>
      <c r="BN146">
        <v>548.53</v>
      </c>
      <c r="BO146">
        <v>548.53</v>
      </c>
      <c r="BQ146" t="s">
        <v>544</v>
      </c>
      <c r="BR146" t="s">
        <v>84</v>
      </c>
      <c r="BS146" s="3">
        <v>45782</v>
      </c>
      <c r="BT146" s="4">
        <v>0.35347222222222224</v>
      </c>
      <c r="BU146" t="s">
        <v>545</v>
      </c>
      <c r="BV146" t="s">
        <v>86</v>
      </c>
      <c r="BY146">
        <v>66537</v>
      </c>
      <c r="CA146" t="s">
        <v>283</v>
      </c>
      <c r="CC146" t="s">
        <v>91</v>
      </c>
      <c r="CD146">
        <v>6001</v>
      </c>
      <c r="CE146" t="s">
        <v>176</v>
      </c>
      <c r="CF146" s="3">
        <v>45782</v>
      </c>
      <c r="CI146">
        <v>1</v>
      </c>
      <c r="CJ146">
        <v>1</v>
      </c>
      <c r="CK146">
        <v>21</v>
      </c>
      <c r="CL146" t="s">
        <v>89</v>
      </c>
    </row>
    <row r="147" spans="1:90" x14ac:dyDescent="0.3">
      <c r="A147" t="s">
        <v>72</v>
      </c>
      <c r="B147" t="s">
        <v>73</v>
      </c>
      <c r="C147" t="s">
        <v>74</v>
      </c>
      <c r="E147" t="str">
        <f>"080065137723"</f>
        <v>080065137723</v>
      </c>
      <c r="F147" s="3">
        <v>45779</v>
      </c>
      <c r="G147">
        <v>202602</v>
      </c>
      <c r="H147" t="s">
        <v>75</v>
      </c>
      <c r="I147" t="s">
        <v>76</v>
      </c>
      <c r="J147" t="s">
        <v>77</v>
      </c>
      <c r="K147" t="s">
        <v>78</v>
      </c>
      <c r="L147" t="s">
        <v>350</v>
      </c>
      <c r="M147" t="s">
        <v>351</v>
      </c>
      <c r="N147" t="s">
        <v>352</v>
      </c>
      <c r="O147" t="s">
        <v>82</v>
      </c>
      <c r="P147" t="str">
        <f>"4170036807                    "</f>
        <v xml:space="preserve">4170036807                    </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22.11</v>
      </c>
      <c r="AR147">
        <v>0</v>
      </c>
      <c r="AS147">
        <v>0</v>
      </c>
      <c r="AT147">
        <v>0</v>
      </c>
      <c r="AU147">
        <v>0</v>
      </c>
      <c r="AV147">
        <v>0</v>
      </c>
      <c r="AW147">
        <v>0</v>
      </c>
      <c r="AX147">
        <v>0</v>
      </c>
      <c r="AY147">
        <v>0</v>
      </c>
      <c r="AZ147">
        <v>0</v>
      </c>
      <c r="BA147">
        <v>0</v>
      </c>
      <c r="BB147">
        <v>0</v>
      </c>
      <c r="BC147">
        <v>0</v>
      </c>
      <c r="BD147">
        <v>0</v>
      </c>
      <c r="BE147">
        <v>0</v>
      </c>
      <c r="BF147">
        <v>0</v>
      </c>
      <c r="BG147">
        <v>0</v>
      </c>
      <c r="BH147">
        <v>1</v>
      </c>
      <c r="BI147">
        <v>1</v>
      </c>
      <c r="BJ147">
        <v>1.3</v>
      </c>
      <c r="BK147">
        <v>1.5</v>
      </c>
      <c r="BL147">
        <v>70.709999999999994</v>
      </c>
      <c r="BM147">
        <v>10.61</v>
      </c>
      <c r="BN147">
        <v>81.319999999999993</v>
      </c>
      <c r="BO147">
        <v>81.319999999999993</v>
      </c>
      <c r="BQ147" t="s">
        <v>353</v>
      </c>
      <c r="BR147" t="s">
        <v>84</v>
      </c>
      <c r="BS147" s="3">
        <v>45782</v>
      </c>
      <c r="BT147" s="4">
        <v>0.375</v>
      </c>
      <c r="BU147" t="s">
        <v>354</v>
      </c>
      <c r="BV147" t="s">
        <v>86</v>
      </c>
      <c r="BY147">
        <v>6384</v>
      </c>
      <c r="CA147" t="s">
        <v>160</v>
      </c>
      <c r="CC147" t="s">
        <v>351</v>
      </c>
      <c r="CD147">
        <v>4000</v>
      </c>
      <c r="CE147" t="s">
        <v>116</v>
      </c>
      <c r="CF147" s="3">
        <v>45783</v>
      </c>
      <c r="CI147">
        <v>1</v>
      </c>
      <c r="CJ147">
        <v>1</v>
      </c>
      <c r="CK147">
        <v>21</v>
      </c>
      <c r="CL147" t="s">
        <v>89</v>
      </c>
    </row>
    <row r="148" spans="1:90" x14ac:dyDescent="0.3">
      <c r="A148" t="s">
        <v>72</v>
      </c>
      <c r="B148" t="s">
        <v>73</v>
      </c>
      <c r="C148" t="s">
        <v>74</v>
      </c>
      <c r="E148" t="str">
        <f>"080065137797"</f>
        <v>080065137797</v>
      </c>
      <c r="F148" s="3">
        <v>45779</v>
      </c>
      <c r="G148">
        <v>202602</v>
      </c>
      <c r="H148" t="s">
        <v>75</v>
      </c>
      <c r="I148" t="s">
        <v>76</v>
      </c>
      <c r="J148" t="s">
        <v>77</v>
      </c>
      <c r="K148" t="s">
        <v>78</v>
      </c>
      <c r="L148" t="s">
        <v>90</v>
      </c>
      <c r="M148" t="s">
        <v>91</v>
      </c>
      <c r="N148" t="s">
        <v>476</v>
      </c>
      <c r="O148" t="s">
        <v>300</v>
      </c>
      <c r="P148" t="str">
        <f>"4170036792                    "</f>
        <v xml:space="preserve">4170036792                    </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496.47</v>
      </c>
      <c r="AR148">
        <v>0</v>
      </c>
      <c r="AS148">
        <v>0</v>
      </c>
      <c r="AT148">
        <v>0</v>
      </c>
      <c r="AU148">
        <v>0</v>
      </c>
      <c r="AV148">
        <v>0</v>
      </c>
      <c r="AW148">
        <v>0</v>
      </c>
      <c r="AX148">
        <v>0</v>
      </c>
      <c r="AY148">
        <v>0</v>
      </c>
      <c r="AZ148">
        <v>0</v>
      </c>
      <c r="BA148">
        <v>0</v>
      </c>
      <c r="BB148">
        <v>0</v>
      </c>
      <c r="BC148">
        <v>0</v>
      </c>
      <c r="BD148">
        <v>0</v>
      </c>
      <c r="BE148">
        <v>0</v>
      </c>
      <c r="BF148">
        <v>0</v>
      </c>
      <c r="BG148">
        <v>0</v>
      </c>
      <c r="BH148">
        <v>1</v>
      </c>
      <c r="BI148">
        <v>272</v>
      </c>
      <c r="BJ148">
        <v>156.1</v>
      </c>
      <c r="BK148">
        <v>272</v>
      </c>
      <c r="BL148">
        <v>1593.18</v>
      </c>
      <c r="BM148">
        <v>238.98</v>
      </c>
      <c r="BN148">
        <v>1832.16</v>
      </c>
      <c r="BO148">
        <v>1832.16</v>
      </c>
      <c r="BQ148" t="s">
        <v>477</v>
      </c>
      <c r="BR148" t="s">
        <v>84</v>
      </c>
      <c r="BS148" s="3">
        <v>45782</v>
      </c>
      <c r="BT148" s="4">
        <v>0.52083333333333337</v>
      </c>
      <c r="BU148" t="s">
        <v>478</v>
      </c>
      <c r="BV148" t="s">
        <v>86</v>
      </c>
      <c r="BY148">
        <v>780312</v>
      </c>
      <c r="CC148" t="s">
        <v>91</v>
      </c>
      <c r="CD148">
        <v>6001</v>
      </c>
      <c r="CE148" t="s">
        <v>546</v>
      </c>
      <c r="CF148" s="3">
        <v>45782</v>
      </c>
      <c r="CI148">
        <v>3</v>
      </c>
      <c r="CJ148">
        <v>1</v>
      </c>
      <c r="CK148">
        <v>41</v>
      </c>
      <c r="CL148" t="s">
        <v>89</v>
      </c>
    </row>
    <row r="149" spans="1:90" x14ac:dyDescent="0.3">
      <c r="A149" t="s">
        <v>72</v>
      </c>
      <c r="B149" t="s">
        <v>73</v>
      </c>
      <c r="C149" t="s">
        <v>74</v>
      </c>
      <c r="E149" t="str">
        <f>"080065137949"</f>
        <v>080065137949</v>
      </c>
      <c r="F149" s="3">
        <v>45779</v>
      </c>
      <c r="G149">
        <v>202602</v>
      </c>
      <c r="H149" t="s">
        <v>75</v>
      </c>
      <c r="I149" t="s">
        <v>76</v>
      </c>
      <c r="J149" t="s">
        <v>77</v>
      </c>
      <c r="K149" t="s">
        <v>78</v>
      </c>
      <c r="L149" t="s">
        <v>143</v>
      </c>
      <c r="M149" t="s">
        <v>144</v>
      </c>
      <c r="N149" t="s">
        <v>547</v>
      </c>
      <c r="O149" t="s">
        <v>300</v>
      </c>
      <c r="P149" t="str">
        <f>"4170036802                    "</f>
        <v xml:space="preserve">4170036802                    </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37.82</v>
      </c>
      <c r="AR149">
        <v>0</v>
      </c>
      <c r="AS149">
        <v>0</v>
      </c>
      <c r="AT149">
        <v>0</v>
      </c>
      <c r="AU149">
        <v>0</v>
      </c>
      <c r="AV149">
        <v>0</v>
      </c>
      <c r="AW149">
        <v>0</v>
      </c>
      <c r="AX149">
        <v>0</v>
      </c>
      <c r="AY149">
        <v>0</v>
      </c>
      <c r="AZ149">
        <v>0</v>
      </c>
      <c r="BA149">
        <v>0</v>
      </c>
      <c r="BB149">
        <v>0</v>
      </c>
      <c r="BC149">
        <v>0</v>
      </c>
      <c r="BD149">
        <v>0</v>
      </c>
      <c r="BE149">
        <v>0</v>
      </c>
      <c r="BF149">
        <v>0</v>
      </c>
      <c r="BG149">
        <v>0</v>
      </c>
      <c r="BH149">
        <v>1</v>
      </c>
      <c r="BI149">
        <v>5</v>
      </c>
      <c r="BJ149">
        <v>19.2</v>
      </c>
      <c r="BK149">
        <v>20</v>
      </c>
      <c r="BL149">
        <v>126.51</v>
      </c>
      <c r="BM149">
        <v>18.98</v>
      </c>
      <c r="BN149">
        <v>145.49</v>
      </c>
      <c r="BO149">
        <v>145.49</v>
      </c>
      <c r="BQ149" t="s">
        <v>548</v>
      </c>
      <c r="BR149" t="s">
        <v>84</v>
      </c>
      <c r="BS149" s="3">
        <v>45782</v>
      </c>
      <c r="BT149" s="4">
        <v>0.44583333333333336</v>
      </c>
      <c r="BU149" t="s">
        <v>407</v>
      </c>
      <c r="BV149" t="s">
        <v>86</v>
      </c>
      <c r="BY149">
        <v>95760</v>
      </c>
      <c r="CA149" t="s">
        <v>549</v>
      </c>
      <c r="CC149" t="s">
        <v>144</v>
      </c>
      <c r="CD149">
        <v>1401</v>
      </c>
      <c r="CE149" t="s">
        <v>550</v>
      </c>
      <c r="CF149" s="3">
        <v>45782</v>
      </c>
      <c r="CI149">
        <v>1</v>
      </c>
      <c r="CJ149">
        <v>1</v>
      </c>
      <c r="CK149">
        <v>42</v>
      </c>
      <c r="CL149" t="s">
        <v>89</v>
      </c>
    </row>
    <row r="150" spans="1:90" x14ac:dyDescent="0.3">
      <c r="A150" t="s">
        <v>72</v>
      </c>
      <c r="B150" t="s">
        <v>73</v>
      </c>
      <c r="C150" t="s">
        <v>74</v>
      </c>
      <c r="E150" t="str">
        <f>"080065137972"</f>
        <v>080065137972</v>
      </c>
      <c r="F150" s="3">
        <v>45779</v>
      </c>
      <c r="G150">
        <v>202602</v>
      </c>
      <c r="H150" t="s">
        <v>75</v>
      </c>
      <c r="I150" t="s">
        <v>76</v>
      </c>
      <c r="J150" t="s">
        <v>77</v>
      </c>
      <c r="K150" t="s">
        <v>78</v>
      </c>
      <c r="L150" t="s">
        <v>79</v>
      </c>
      <c r="M150" t="s">
        <v>80</v>
      </c>
      <c r="N150" t="s">
        <v>452</v>
      </c>
      <c r="O150" t="s">
        <v>82</v>
      </c>
      <c r="P150" t="str">
        <f>"4170036799                    "</f>
        <v xml:space="preserve">4170036799                    </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99.44</v>
      </c>
      <c r="AR150">
        <v>0</v>
      </c>
      <c r="AS150">
        <v>0</v>
      </c>
      <c r="AT150">
        <v>0</v>
      </c>
      <c r="AU150">
        <v>0</v>
      </c>
      <c r="AV150">
        <v>0</v>
      </c>
      <c r="AW150">
        <v>0</v>
      </c>
      <c r="AX150">
        <v>0</v>
      </c>
      <c r="AY150">
        <v>0</v>
      </c>
      <c r="AZ150">
        <v>0</v>
      </c>
      <c r="BA150">
        <v>0</v>
      </c>
      <c r="BB150">
        <v>0</v>
      </c>
      <c r="BC150">
        <v>0</v>
      </c>
      <c r="BD150">
        <v>0</v>
      </c>
      <c r="BE150">
        <v>0</v>
      </c>
      <c r="BF150">
        <v>0</v>
      </c>
      <c r="BG150">
        <v>0</v>
      </c>
      <c r="BH150">
        <v>1</v>
      </c>
      <c r="BI150">
        <v>8</v>
      </c>
      <c r="BJ150">
        <v>9</v>
      </c>
      <c r="BK150">
        <v>9</v>
      </c>
      <c r="BL150">
        <v>318</v>
      </c>
      <c r="BM150">
        <v>47.7</v>
      </c>
      <c r="BN150">
        <v>365.7</v>
      </c>
      <c r="BO150">
        <v>365.7</v>
      </c>
      <c r="BQ150" t="s">
        <v>453</v>
      </c>
      <c r="BR150" t="s">
        <v>84</v>
      </c>
      <c r="BS150" s="3">
        <v>45782</v>
      </c>
      <c r="BT150" s="4">
        <v>0.35972222222222222</v>
      </c>
      <c r="BU150" t="s">
        <v>454</v>
      </c>
      <c r="BV150" t="s">
        <v>86</v>
      </c>
      <c r="BY150">
        <v>44840</v>
      </c>
      <c r="CA150" t="s">
        <v>160</v>
      </c>
      <c r="CC150" t="s">
        <v>80</v>
      </c>
      <c r="CD150">
        <v>3610</v>
      </c>
      <c r="CE150" t="s">
        <v>550</v>
      </c>
      <c r="CF150" s="3">
        <v>45783</v>
      </c>
      <c r="CI150">
        <v>1</v>
      </c>
      <c r="CJ150">
        <v>1</v>
      </c>
      <c r="CK150">
        <v>21</v>
      </c>
      <c r="CL150" t="s">
        <v>89</v>
      </c>
    </row>
    <row r="151" spans="1:90" x14ac:dyDescent="0.3">
      <c r="A151" t="s">
        <v>72</v>
      </c>
      <c r="B151" t="s">
        <v>73</v>
      </c>
      <c r="C151" t="s">
        <v>74</v>
      </c>
      <c r="E151" t="str">
        <f>"080065138146"</f>
        <v>080065138146</v>
      </c>
      <c r="F151" s="3">
        <v>45779</v>
      </c>
      <c r="G151">
        <v>202602</v>
      </c>
      <c r="H151" t="s">
        <v>75</v>
      </c>
      <c r="I151" t="s">
        <v>76</v>
      </c>
      <c r="J151" t="s">
        <v>77</v>
      </c>
      <c r="K151" t="s">
        <v>78</v>
      </c>
      <c r="L151" t="s">
        <v>97</v>
      </c>
      <c r="M151" t="s">
        <v>98</v>
      </c>
      <c r="N151" t="s">
        <v>99</v>
      </c>
      <c r="O151" t="s">
        <v>82</v>
      </c>
      <c r="P151" t="str">
        <f>"4170036478                    "</f>
        <v xml:space="preserve">4170036478                    </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17.27</v>
      </c>
      <c r="AR151">
        <v>0</v>
      </c>
      <c r="AS151">
        <v>0</v>
      </c>
      <c r="AT151">
        <v>0</v>
      </c>
      <c r="AU151">
        <v>0</v>
      </c>
      <c r="AV151">
        <v>0</v>
      </c>
      <c r="AW151">
        <v>0</v>
      </c>
      <c r="AX151">
        <v>0</v>
      </c>
      <c r="AY151">
        <v>0</v>
      </c>
      <c r="AZ151">
        <v>0</v>
      </c>
      <c r="BA151">
        <v>0</v>
      </c>
      <c r="BB151">
        <v>0</v>
      </c>
      <c r="BC151">
        <v>0</v>
      </c>
      <c r="BD151">
        <v>0</v>
      </c>
      <c r="BE151">
        <v>0</v>
      </c>
      <c r="BF151">
        <v>0</v>
      </c>
      <c r="BG151">
        <v>0</v>
      </c>
      <c r="BH151">
        <v>1</v>
      </c>
      <c r="BI151">
        <v>1</v>
      </c>
      <c r="BJ151">
        <v>1.1000000000000001</v>
      </c>
      <c r="BK151">
        <v>2</v>
      </c>
      <c r="BL151">
        <v>55.23</v>
      </c>
      <c r="BM151">
        <v>8.2799999999999994</v>
      </c>
      <c r="BN151">
        <v>63.51</v>
      </c>
      <c r="BO151">
        <v>63.51</v>
      </c>
      <c r="BQ151" t="s">
        <v>100</v>
      </c>
      <c r="BR151" t="s">
        <v>84</v>
      </c>
      <c r="BS151" s="3">
        <v>45782</v>
      </c>
      <c r="BT151" s="4">
        <v>0.33888888888888891</v>
      </c>
      <c r="BU151" t="s">
        <v>551</v>
      </c>
      <c r="BV151" t="s">
        <v>86</v>
      </c>
      <c r="BY151">
        <v>5320</v>
      </c>
      <c r="CA151" t="s">
        <v>279</v>
      </c>
      <c r="CC151" t="s">
        <v>98</v>
      </c>
      <c r="CD151">
        <v>1459</v>
      </c>
      <c r="CE151" t="s">
        <v>116</v>
      </c>
      <c r="CF151" s="3">
        <v>45783</v>
      </c>
      <c r="CI151">
        <v>1</v>
      </c>
      <c r="CJ151">
        <v>1</v>
      </c>
      <c r="CK151">
        <v>22</v>
      </c>
      <c r="CL151" t="s">
        <v>89</v>
      </c>
    </row>
    <row r="152" spans="1:90" x14ac:dyDescent="0.3">
      <c r="A152" t="s">
        <v>72</v>
      </c>
      <c r="B152" t="s">
        <v>73</v>
      </c>
      <c r="C152" t="s">
        <v>74</v>
      </c>
      <c r="E152" t="str">
        <f>"080065138670"</f>
        <v>080065138670</v>
      </c>
      <c r="F152" s="3">
        <v>45779</v>
      </c>
      <c r="G152">
        <v>202602</v>
      </c>
      <c r="H152" t="s">
        <v>75</v>
      </c>
      <c r="I152" t="s">
        <v>76</v>
      </c>
      <c r="J152" t="s">
        <v>77</v>
      </c>
      <c r="K152" t="s">
        <v>78</v>
      </c>
      <c r="L152" t="s">
        <v>186</v>
      </c>
      <c r="M152" t="s">
        <v>187</v>
      </c>
      <c r="N152" t="s">
        <v>188</v>
      </c>
      <c r="O152" t="s">
        <v>82</v>
      </c>
      <c r="P152" t="str">
        <f>"4170036804                    "</f>
        <v xml:space="preserve">4170036804                    </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165.73</v>
      </c>
      <c r="AR152">
        <v>0</v>
      </c>
      <c r="AS152">
        <v>0</v>
      </c>
      <c r="AT152">
        <v>0</v>
      </c>
      <c r="AU152">
        <v>0</v>
      </c>
      <c r="AV152">
        <v>0</v>
      </c>
      <c r="AW152">
        <v>0</v>
      </c>
      <c r="AX152">
        <v>0</v>
      </c>
      <c r="AY152">
        <v>0</v>
      </c>
      <c r="AZ152">
        <v>0</v>
      </c>
      <c r="BA152">
        <v>0</v>
      </c>
      <c r="BB152">
        <v>0</v>
      </c>
      <c r="BC152">
        <v>0</v>
      </c>
      <c r="BD152">
        <v>0</v>
      </c>
      <c r="BE152">
        <v>0</v>
      </c>
      <c r="BF152">
        <v>0</v>
      </c>
      <c r="BG152">
        <v>0</v>
      </c>
      <c r="BH152">
        <v>1</v>
      </c>
      <c r="BI152">
        <v>15</v>
      </c>
      <c r="BJ152">
        <v>7.6</v>
      </c>
      <c r="BK152">
        <v>15</v>
      </c>
      <c r="BL152">
        <v>529.97</v>
      </c>
      <c r="BM152">
        <v>79.5</v>
      </c>
      <c r="BN152">
        <v>609.47</v>
      </c>
      <c r="BO152">
        <v>609.47</v>
      </c>
      <c r="BQ152" t="s">
        <v>189</v>
      </c>
      <c r="BR152" t="s">
        <v>84</v>
      </c>
      <c r="BS152" s="3">
        <v>45782</v>
      </c>
      <c r="BT152" s="4">
        <v>0.70486111111111116</v>
      </c>
      <c r="BU152" t="s">
        <v>552</v>
      </c>
      <c r="BV152" t="s">
        <v>89</v>
      </c>
      <c r="BW152" t="s">
        <v>296</v>
      </c>
      <c r="BX152" t="s">
        <v>450</v>
      </c>
      <c r="BY152">
        <v>37859</v>
      </c>
      <c r="CA152" t="s">
        <v>553</v>
      </c>
      <c r="CC152" t="s">
        <v>187</v>
      </c>
      <c r="CD152">
        <v>4126</v>
      </c>
      <c r="CE152" t="s">
        <v>550</v>
      </c>
      <c r="CF152" s="3">
        <v>45783</v>
      </c>
      <c r="CI152">
        <v>1</v>
      </c>
      <c r="CJ152">
        <v>1</v>
      </c>
      <c r="CK152">
        <v>21</v>
      </c>
      <c r="CL152" t="s">
        <v>89</v>
      </c>
    </row>
    <row r="153" spans="1:90" x14ac:dyDescent="0.3">
      <c r="A153" t="s">
        <v>72</v>
      </c>
      <c r="B153" t="s">
        <v>73</v>
      </c>
      <c r="C153" t="s">
        <v>74</v>
      </c>
      <c r="E153" t="str">
        <f>"080065138706"</f>
        <v>080065138706</v>
      </c>
      <c r="F153" s="3">
        <v>45779</v>
      </c>
      <c r="G153">
        <v>202602</v>
      </c>
      <c r="H153" t="s">
        <v>75</v>
      </c>
      <c r="I153" t="s">
        <v>76</v>
      </c>
      <c r="J153" t="s">
        <v>77</v>
      </c>
      <c r="K153" t="s">
        <v>78</v>
      </c>
      <c r="L153" t="s">
        <v>136</v>
      </c>
      <c r="M153" t="s">
        <v>137</v>
      </c>
      <c r="N153" t="s">
        <v>554</v>
      </c>
      <c r="O153" t="s">
        <v>300</v>
      </c>
      <c r="P153" t="str">
        <f>"4170036279                    "</f>
        <v xml:space="preserve">4170036279                    </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42.76</v>
      </c>
      <c r="AR153">
        <v>0</v>
      </c>
      <c r="AS153">
        <v>0</v>
      </c>
      <c r="AT153">
        <v>0</v>
      </c>
      <c r="AU153">
        <v>0</v>
      </c>
      <c r="AV153">
        <v>0</v>
      </c>
      <c r="AW153">
        <v>0</v>
      </c>
      <c r="AX153">
        <v>0</v>
      </c>
      <c r="AY153">
        <v>0</v>
      </c>
      <c r="AZ153">
        <v>0</v>
      </c>
      <c r="BA153">
        <v>0</v>
      </c>
      <c r="BB153">
        <v>0</v>
      </c>
      <c r="BC153">
        <v>0</v>
      </c>
      <c r="BD153">
        <v>0</v>
      </c>
      <c r="BE153">
        <v>0</v>
      </c>
      <c r="BF153">
        <v>0</v>
      </c>
      <c r="BG153">
        <v>0</v>
      </c>
      <c r="BH153">
        <v>1</v>
      </c>
      <c r="BI153">
        <v>2</v>
      </c>
      <c r="BJ153">
        <v>10.6</v>
      </c>
      <c r="BK153">
        <v>11</v>
      </c>
      <c r="BL153">
        <v>142.31</v>
      </c>
      <c r="BM153">
        <v>21.35</v>
      </c>
      <c r="BN153">
        <v>163.66</v>
      </c>
      <c r="BO153">
        <v>163.66</v>
      </c>
      <c r="BQ153" t="s">
        <v>555</v>
      </c>
      <c r="BR153" t="s">
        <v>84</v>
      </c>
      <c r="BS153" s="3">
        <v>45782</v>
      </c>
      <c r="BT153" s="4">
        <v>0.52569444444444446</v>
      </c>
      <c r="BU153" t="s">
        <v>556</v>
      </c>
      <c r="BV153" t="s">
        <v>86</v>
      </c>
      <c r="BY153">
        <v>52920</v>
      </c>
      <c r="CA153" t="s">
        <v>557</v>
      </c>
      <c r="CC153" t="s">
        <v>137</v>
      </c>
      <c r="CD153" s="5" t="s">
        <v>558</v>
      </c>
      <c r="CE153" t="s">
        <v>96</v>
      </c>
      <c r="CF153" s="3">
        <v>45782</v>
      </c>
      <c r="CI153">
        <v>1</v>
      </c>
      <c r="CJ153">
        <v>1</v>
      </c>
      <c r="CK153">
        <v>41</v>
      </c>
      <c r="CL153" t="s">
        <v>89</v>
      </c>
    </row>
    <row r="154" spans="1:90" x14ac:dyDescent="0.3">
      <c r="A154" t="s">
        <v>72</v>
      </c>
      <c r="B154" t="s">
        <v>73</v>
      </c>
      <c r="C154" t="s">
        <v>74</v>
      </c>
      <c r="E154" t="str">
        <f>"080065138816"</f>
        <v>080065138816</v>
      </c>
      <c r="F154" s="3">
        <v>45779</v>
      </c>
      <c r="G154">
        <v>202602</v>
      </c>
      <c r="H154" t="s">
        <v>75</v>
      </c>
      <c r="I154" t="s">
        <v>76</v>
      </c>
      <c r="J154" t="s">
        <v>77</v>
      </c>
      <c r="K154" t="s">
        <v>78</v>
      </c>
      <c r="L154" t="s">
        <v>331</v>
      </c>
      <c r="M154" t="s">
        <v>332</v>
      </c>
      <c r="N154" t="s">
        <v>559</v>
      </c>
      <c r="O154" t="s">
        <v>82</v>
      </c>
      <c r="P154" t="str">
        <f>"4170036072                    "</f>
        <v xml:space="preserve">4170036072                    </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17.27</v>
      </c>
      <c r="AR154">
        <v>0</v>
      </c>
      <c r="AS154">
        <v>0</v>
      </c>
      <c r="AT154">
        <v>0</v>
      </c>
      <c r="AU154">
        <v>0</v>
      </c>
      <c r="AV154">
        <v>0</v>
      </c>
      <c r="AW154">
        <v>0</v>
      </c>
      <c r="AX154">
        <v>0</v>
      </c>
      <c r="AY154">
        <v>0</v>
      </c>
      <c r="AZ154">
        <v>0</v>
      </c>
      <c r="BA154">
        <v>0</v>
      </c>
      <c r="BB154">
        <v>0</v>
      </c>
      <c r="BC154">
        <v>0</v>
      </c>
      <c r="BD154">
        <v>0</v>
      </c>
      <c r="BE154">
        <v>0</v>
      </c>
      <c r="BF154">
        <v>0</v>
      </c>
      <c r="BG154">
        <v>0</v>
      </c>
      <c r="BH154">
        <v>1</v>
      </c>
      <c r="BI154">
        <v>1</v>
      </c>
      <c r="BJ154">
        <v>0.2</v>
      </c>
      <c r="BK154">
        <v>1</v>
      </c>
      <c r="BL154">
        <v>55.23</v>
      </c>
      <c r="BM154">
        <v>8.2799999999999994</v>
      </c>
      <c r="BN154">
        <v>63.51</v>
      </c>
      <c r="BO154">
        <v>63.51</v>
      </c>
      <c r="BQ154" t="s">
        <v>560</v>
      </c>
      <c r="BR154" t="s">
        <v>84</v>
      </c>
      <c r="BS154" s="3">
        <v>45782</v>
      </c>
      <c r="BT154" s="4">
        <v>0.38194444444444442</v>
      </c>
      <c r="BU154" t="s">
        <v>561</v>
      </c>
      <c r="BV154" t="s">
        <v>86</v>
      </c>
      <c r="BY154">
        <v>1200</v>
      </c>
      <c r="CA154" t="s">
        <v>562</v>
      </c>
      <c r="CC154" t="s">
        <v>332</v>
      </c>
      <c r="CD154">
        <v>1449</v>
      </c>
      <c r="CE154" t="s">
        <v>88</v>
      </c>
      <c r="CF154" s="3">
        <v>45783</v>
      </c>
      <c r="CI154">
        <v>1</v>
      </c>
      <c r="CJ154">
        <v>1</v>
      </c>
      <c r="CK154">
        <v>22</v>
      </c>
      <c r="CL154" t="s">
        <v>89</v>
      </c>
    </row>
    <row r="155" spans="1:90" x14ac:dyDescent="0.3">
      <c r="A155" t="s">
        <v>72</v>
      </c>
      <c r="B155" t="s">
        <v>73</v>
      </c>
      <c r="C155" t="s">
        <v>74</v>
      </c>
      <c r="E155" t="str">
        <f>"080065138859"</f>
        <v>080065138859</v>
      </c>
      <c r="F155" s="3">
        <v>45779</v>
      </c>
      <c r="G155">
        <v>202602</v>
      </c>
      <c r="H155" t="s">
        <v>75</v>
      </c>
      <c r="I155" t="s">
        <v>76</v>
      </c>
      <c r="J155" t="s">
        <v>77</v>
      </c>
      <c r="K155" t="s">
        <v>78</v>
      </c>
      <c r="L155" t="s">
        <v>90</v>
      </c>
      <c r="M155" t="s">
        <v>91</v>
      </c>
      <c r="N155" t="s">
        <v>563</v>
      </c>
      <c r="O155" t="s">
        <v>300</v>
      </c>
      <c r="P155" t="str">
        <f>"4170036800                    "</f>
        <v xml:space="preserve">4170036800                    </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76.3</v>
      </c>
      <c r="AR155">
        <v>0</v>
      </c>
      <c r="AS155">
        <v>0</v>
      </c>
      <c r="AT155">
        <v>0</v>
      </c>
      <c r="AU155">
        <v>0</v>
      </c>
      <c r="AV155">
        <v>0</v>
      </c>
      <c r="AW155">
        <v>0</v>
      </c>
      <c r="AX155">
        <v>0</v>
      </c>
      <c r="AY155">
        <v>0</v>
      </c>
      <c r="AZ155">
        <v>0</v>
      </c>
      <c r="BA155">
        <v>0</v>
      </c>
      <c r="BB155">
        <v>0</v>
      </c>
      <c r="BC155">
        <v>0</v>
      </c>
      <c r="BD155">
        <v>0</v>
      </c>
      <c r="BE155">
        <v>0</v>
      </c>
      <c r="BF155">
        <v>0</v>
      </c>
      <c r="BG155">
        <v>0</v>
      </c>
      <c r="BH155">
        <v>1</v>
      </c>
      <c r="BI155">
        <v>20</v>
      </c>
      <c r="BJ155">
        <v>33.299999999999997</v>
      </c>
      <c r="BK155">
        <v>34</v>
      </c>
      <c r="BL155">
        <v>249.57</v>
      </c>
      <c r="BM155">
        <v>37.44</v>
      </c>
      <c r="BN155">
        <v>287.01</v>
      </c>
      <c r="BO155">
        <v>287.01</v>
      </c>
      <c r="BQ155" t="s">
        <v>564</v>
      </c>
      <c r="BR155" t="s">
        <v>84</v>
      </c>
      <c r="BS155" s="3">
        <v>45782</v>
      </c>
      <c r="BT155" s="4">
        <v>0.34375</v>
      </c>
      <c r="BU155" t="s">
        <v>565</v>
      </c>
      <c r="BV155" t="s">
        <v>86</v>
      </c>
      <c r="BY155">
        <v>166600</v>
      </c>
      <c r="CA155" t="s">
        <v>566</v>
      </c>
      <c r="CC155" t="s">
        <v>91</v>
      </c>
      <c r="CD155">
        <v>6001</v>
      </c>
      <c r="CE155" t="s">
        <v>96</v>
      </c>
      <c r="CF155" s="3">
        <v>45782</v>
      </c>
      <c r="CI155">
        <v>3</v>
      </c>
      <c r="CJ155">
        <v>1</v>
      </c>
      <c r="CK155">
        <v>41</v>
      </c>
      <c r="CL155" t="s">
        <v>89</v>
      </c>
    </row>
    <row r="156" spans="1:90" x14ac:dyDescent="0.3">
      <c r="A156" t="s">
        <v>72</v>
      </c>
      <c r="B156" t="s">
        <v>73</v>
      </c>
      <c r="C156" t="s">
        <v>74</v>
      </c>
      <c r="E156" t="str">
        <f>"080065138904"</f>
        <v>080065138904</v>
      </c>
      <c r="F156" s="3">
        <v>45779</v>
      </c>
      <c r="G156">
        <v>202602</v>
      </c>
      <c r="H156" t="s">
        <v>75</v>
      </c>
      <c r="I156" t="s">
        <v>76</v>
      </c>
      <c r="J156" t="s">
        <v>77</v>
      </c>
      <c r="K156" t="s">
        <v>78</v>
      </c>
      <c r="L156" t="s">
        <v>567</v>
      </c>
      <c r="M156" t="s">
        <v>568</v>
      </c>
      <c r="N156" t="s">
        <v>569</v>
      </c>
      <c r="O156" t="s">
        <v>300</v>
      </c>
      <c r="P156" t="str">
        <f>"4170036798                    "</f>
        <v xml:space="preserve">4170036798                    </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143.47999999999999</v>
      </c>
      <c r="AR156">
        <v>0</v>
      </c>
      <c r="AS156">
        <v>0</v>
      </c>
      <c r="AT156">
        <v>0</v>
      </c>
      <c r="AU156">
        <v>0</v>
      </c>
      <c r="AV156">
        <v>0</v>
      </c>
      <c r="AW156">
        <v>0</v>
      </c>
      <c r="AX156">
        <v>0</v>
      </c>
      <c r="AY156">
        <v>0</v>
      </c>
      <c r="AZ156">
        <v>0</v>
      </c>
      <c r="BA156">
        <v>0</v>
      </c>
      <c r="BB156">
        <v>0</v>
      </c>
      <c r="BC156">
        <v>0</v>
      </c>
      <c r="BD156">
        <v>0</v>
      </c>
      <c r="BE156">
        <v>0</v>
      </c>
      <c r="BF156">
        <v>0</v>
      </c>
      <c r="BG156">
        <v>0</v>
      </c>
      <c r="BH156">
        <v>1</v>
      </c>
      <c r="BI156">
        <v>42</v>
      </c>
      <c r="BJ156">
        <v>31.1</v>
      </c>
      <c r="BK156">
        <v>42</v>
      </c>
      <c r="BL156">
        <v>464.39</v>
      </c>
      <c r="BM156">
        <v>69.66</v>
      </c>
      <c r="BN156">
        <v>534.04999999999995</v>
      </c>
      <c r="BO156">
        <v>534.04999999999995</v>
      </c>
      <c r="BQ156" t="s">
        <v>570</v>
      </c>
      <c r="BR156" t="s">
        <v>84</v>
      </c>
      <c r="BS156" s="3">
        <v>45782</v>
      </c>
      <c r="BT156" s="4">
        <v>0.58819444444444446</v>
      </c>
      <c r="BU156" t="s">
        <v>571</v>
      </c>
      <c r="BV156" t="s">
        <v>86</v>
      </c>
      <c r="BY156">
        <v>155520</v>
      </c>
      <c r="CA156" t="s">
        <v>572</v>
      </c>
      <c r="CC156" t="s">
        <v>568</v>
      </c>
      <c r="CD156" s="5" t="s">
        <v>573</v>
      </c>
      <c r="CE156" t="s">
        <v>550</v>
      </c>
      <c r="CF156" s="3">
        <v>45783</v>
      </c>
      <c r="CI156">
        <v>1</v>
      </c>
      <c r="CJ156">
        <v>1</v>
      </c>
      <c r="CK156">
        <v>43</v>
      </c>
      <c r="CL156" t="s">
        <v>89</v>
      </c>
    </row>
    <row r="157" spans="1:90" x14ac:dyDescent="0.3">
      <c r="A157" t="s">
        <v>72</v>
      </c>
      <c r="B157" t="s">
        <v>73</v>
      </c>
      <c r="C157" t="s">
        <v>74</v>
      </c>
      <c r="E157" t="str">
        <f>"080065138932"</f>
        <v>080065138932</v>
      </c>
      <c r="F157" s="3">
        <v>45779</v>
      </c>
      <c r="G157">
        <v>202602</v>
      </c>
      <c r="H157" t="s">
        <v>75</v>
      </c>
      <c r="I157" t="s">
        <v>76</v>
      </c>
      <c r="J157" t="s">
        <v>77</v>
      </c>
      <c r="K157" t="s">
        <v>78</v>
      </c>
      <c r="L157" t="s">
        <v>331</v>
      </c>
      <c r="M157" t="s">
        <v>332</v>
      </c>
      <c r="N157" t="s">
        <v>559</v>
      </c>
      <c r="O157" t="s">
        <v>82</v>
      </c>
      <c r="P157" t="str">
        <f>"4170036409                    "</f>
        <v xml:space="preserve">4170036409                    </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17.27</v>
      </c>
      <c r="AR157">
        <v>0</v>
      </c>
      <c r="AS157">
        <v>0</v>
      </c>
      <c r="AT157">
        <v>0</v>
      </c>
      <c r="AU157">
        <v>0</v>
      </c>
      <c r="AV157">
        <v>0</v>
      </c>
      <c r="AW157">
        <v>0</v>
      </c>
      <c r="AX157">
        <v>0</v>
      </c>
      <c r="AY157">
        <v>0</v>
      </c>
      <c r="AZ157">
        <v>0</v>
      </c>
      <c r="BA157">
        <v>0</v>
      </c>
      <c r="BB157">
        <v>0</v>
      </c>
      <c r="BC157">
        <v>0</v>
      </c>
      <c r="BD157">
        <v>0</v>
      </c>
      <c r="BE157">
        <v>0</v>
      </c>
      <c r="BF157">
        <v>0</v>
      </c>
      <c r="BG157">
        <v>0</v>
      </c>
      <c r="BH157">
        <v>1</v>
      </c>
      <c r="BI157">
        <v>5</v>
      </c>
      <c r="BJ157">
        <v>3.1</v>
      </c>
      <c r="BK157">
        <v>5</v>
      </c>
      <c r="BL157">
        <v>55.23</v>
      </c>
      <c r="BM157">
        <v>8.2799999999999994</v>
      </c>
      <c r="BN157">
        <v>63.51</v>
      </c>
      <c r="BO157">
        <v>63.51</v>
      </c>
      <c r="BQ157" t="s">
        <v>560</v>
      </c>
      <c r="BR157" t="s">
        <v>84</v>
      </c>
      <c r="BS157" s="3">
        <v>45782</v>
      </c>
      <c r="BT157" s="4">
        <v>0.38194444444444442</v>
      </c>
      <c r="BU157" t="s">
        <v>561</v>
      </c>
      <c r="BV157" t="s">
        <v>86</v>
      </c>
      <c r="BY157">
        <v>15360</v>
      </c>
      <c r="CA157" t="s">
        <v>562</v>
      </c>
      <c r="CC157" t="s">
        <v>332</v>
      </c>
      <c r="CD157">
        <v>1449</v>
      </c>
      <c r="CE157" t="s">
        <v>221</v>
      </c>
      <c r="CF157" s="3">
        <v>45783</v>
      </c>
      <c r="CI157">
        <v>1</v>
      </c>
      <c r="CJ157">
        <v>1</v>
      </c>
      <c r="CK157">
        <v>22</v>
      </c>
      <c r="CL157" t="s">
        <v>89</v>
      </c>
    </row>
    <row r="158" spans="1:90" x14ac:dyDescent="0.3">
      <c r="A158" t="s">
        <v>72</v>
      </c>
      <c r="B158" t="s">
        <v>73</v>
      </c>
      <c r="C158" t="s">
        <v>74</v>
      </c>
      <c r="E158" t="str">
        <f>"080065280910"</f>
        <v>080065280910</v>
      </c>
      <c r="F158" s="3">
        <v>45786</v>
      </c>
      <c r="G158">
        <v>202602</v>
      </c>
      <c r="H158" t="s">
        <v>75</v>
      </c>
      <c r="I158" t="s">
        <v>76</v>
      </c>
      <c r="J158" t="s">
        <v>77</v>
      </c>
      <c r="K158" t="s">
        <v>78</v>
      </c>
      <c r="L158" t="s">
        <v>136</v>
      </c>
      <c r="M158" t="s">
        <v>137</v>
      </c>
      <c r="N158" t="s">
        <v>441</v>
      </c>
      <c r="O158" t="s">
        <v>300</v>
      </c>
      <c r="P158" t="str">
        <f>"4170037616                    "</f>
        <v xml:space="preserve">4170037616                    </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60.13</v>
      </c>
      <c r="AR158">
        <v>0</v>
      </c>
      <c r="AS158">
        <v>0</v>
      </c>
      <c r="AT158">
        <v>0</v>
      </c>
      <c r="AU158">
        <v>0</v>
      </c>
      <c r="AV158">
        <v>0</v>
      </c>
      <c r="AW158">
        <v>0</v>
      </c>
      <c r="AX158">
        <v>0</v>
      </c>
      <c r="AY158">
        <v>0</v>
      </c>
      <c r="AZ158">
        <v>0</v>
      </c>
      <c r="BA158">
        <v>0</v>
      </c>
      <c r="BB158">
        <v>0</v>
      </c>
      <c r="BC158">
        <v>0</v>
      </c>
      <c r="BD158">
        <v>0</v>
      </c>
      <c r="BE158">
        <v>0</v>
      </c>
      <c r="BF158">
        <v>0</v>
      </c>
      <c r="BG158">
        <v>0</v>
      </c>
      <c r="BH158">
        <v>2</v>
      </c>
      <c r="BI158">
        <v>26</v>
      </c>
      <c r="BJ158">
        <v>11.7</v>
      </c>
      <c r="BK158">
        <v>26</v>
      </c>
      <c r="BL158">
        <v>202.36</v>
      </c>
      <c r="BM158">
        <v>30.35</v>
      </c>
      <c r="BN158">
        <v>232.71</v>
      </c>
      <c r="BO158">
        <v>232.71</v>
      </c>
      <c r="BQ158" t="s">
        <v>442</v>
      </c>
      <c r="BR158" t="s">
        <v>84</v>
      </c>
      <c r="BS158" s="3">
        <v>45789</v>
      </c>
      <c r="BT158" s="4">
        <v>0.60555555555555551</v>
      </c>
      <c r="BU158" t="s">
        <v>574</v>
      </c>
      <c r="BV158" t="s">
        <v>86</v>
      </c>
      <c r="BY158">
        <v>29232</v>
      </c>
      <c r="CA158" t="s">
        <v>575</v>
      </c>
      <c r="CC158" t="s">
        <v>137</v>
      </c>
      <c r="CD158" s="5" t="s">
        <v>444</v>
      </c>
      <c r="CE158" t="s">
        <v>576</v>
      </c>
      <c r="CF158" s="3">
        <v>45789</v>
      </c>
      <c r="CI158">
        <v>1</v>
      </c>
      <c r="CJ158">
        <v>1</v>
      </c>
      <c r="CK158">
        <v>41</v>
      </c>
      <c r="CL158" t="s">
        <v>89</v>
      </c>
    </row>
    <row r="159" spans="1:90" x14ac:dyDescent="0.3">
      <c r="A159" t="s">
        <v>72</v>
      </c>
      <c r="B159" t="s">
        <v>73</v>
      </c>
      <c r="C159" t="s">
        <v>74</v>
      </c>
      <c r="E159" t="str">
        <f>"080065161818"</f>
        <v>080065161818</v>
      </c>
      <c r="F159" s="3">
        <v>45782</v>
      </c>
      <c r="G159">
        <v>202602</v>
      </c>
      <c r="H159" t="s">
        <v>75</v>
      </c>
      <c r="I159" t="s">
        <v>76</v>
      </c>
      <c r="J159" t="s">
        <v>77</v>
      </c>
      <c r="K159" t="s">
        <v>78</v>
      </c>
      <c r="L159" t="s">
        <v>130</v>
      </c>
      <c r="M159" t="s">
        <v>131</v>
      </c>
      <c r="N159" t="s">
        <v>426</v>
      </c>
      <c r="O159" t="s">
        <v>82</v>
      </c>
      <c r="P159" t="str">
        <f>"4170036859                    "</f>
        <v xml:space="preserve">4170036859                    </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38.68</v>
      </c>
      <c r="AR159">
        <v>0</v>
      </c>
      <c r="AS159">
        <v>0</v>
      </c>
      <c r="AT159">
        <v>0</v>
      </c>
      <c r="AU159">
        <v>0</v>
      </c>
      <c r="AV159">
        <v>0</v>
      </c>
      <c r="AW159">
        <v>0</v>
      </c>
      <c r="AX159">
        <v>0</v>
      </c>
      <c r="AY159">
        <v>0</v>
      </c>
      <c r="AZ159">
        <v>0</v>
      </c>
      <c r="BA159">
        <v>0</v>
      </c>
      <c r="BB159">
        <v>0</v>
      </c>
      <c r="BC159">
        <v>0</v>
      </c>
      <c r="BD159">
        <v>0</v>
      </c>
      <c r="BE159">
        <v>0</v>
      </c>
      <c r="BF159">
        <v>0</v>
      </c>
      <c r="BG159">
        <v>0</v>
      </c>
      <c r="BH159">
        <v>1</v>
      </c>
      <c r="BI159">
        <v>1</v>
      </c>
      <c r="BJ159">
        <v>3.4</v>
      </c>
      <c r="BK159">
        <v>3.5</v>
      </c>
      <c r="BL159">
        <v>123.7</v>
      </c>
      <c r="BM159">
        <v>18.559999999999999</v>
      </c>
      <c r="BN159">
        <v>142.26</v>
      </c>
      <c r="BO159">
        <v>142.26</v>
      </c>
      <c r="BQ159" t="s">
        <v>427</v>
      </c>
      <c r="BR159" t="s">
        <v>84</v>
      </c>
      <c r="BS159" s="3">
        <v>45784</v>
      </c>
      <c r="BT159" s="4">
        <v>0.36527777777777776</v>
      </c>
      <c r="BU159" t="s">
        <v>577</v>
      </c>
      <c r="BV159" t="s">
        <v>89</v>
      </c>
      <c r="BW159" t="s">
        <v>340</v>
      </c>
      <c r="BX159" t="s">
        <v>578</v>
      </c>
      <c r="BY159">
        <v>16965</v>
      </c>
      <c r="CA159" t="s">
        <v>429</v>
      </c>
      <c r="CC159" t="s">
        <v>131</v>
      </c>
      <c r="CD159">
        <v>7945</v>
      </c>
      <c r="CE159" t="s">
        <v>96</v>
      </c>
      <c r="CF159" s="3">
        <v>45785</v>
      </c>
      <c r="CI159">
        <v>1</v>
      </c>
      <c r="CJ159">
        <v>2</v>
      </c>
      <c r="CK159">
        <v>21</v>
      </c>
      <c r="CL159" t="s">
        <v>89</v>
      </c>
    </row>
    <row r="160" spans="1:90" x14ac:dyDescent="0.3">
      <c r="A160" t="s">
        <v>72</v>
      </c>
      <c r="B160" t="s">
        <v>73</v>
      </c>
      <c r="C160" t="s">
        <v>74</v>
      </c>
      <c r="E160" t="str">
        <f>"080065161836"</f>
        <v>080065161836</v>
      </c>
      <c r="F160" s="3">
        <v>45782</v>
      </c>
      <c r="G160">
        <v>202602</v>
      </c>
      <c r="H160" t="s">
        <v>75</v>
      </c>
      <c r="I160" t="s">
        <v>76</v>
      </c>
      <c r="J160" t="s">
        <v>77</v>
      </c>
      <c r="K160" t="s">
        <v>78</v>
      </c>
      <c r="L160" t="s">
        <v>579</v>
      </c>
      <c r="M160" t="s">
        <v>580</v>
      </c>
      <c r="N160" t="s">
        <v>581</v>
      </c>
      <c r="O160" t="s">
        <v>82</v>
      </c>
      <c r="P160" t="str">
        <f>"4170036867                    "</f>
        <v xml:space="preserve">4170036867                    </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42.84</v>
      </c>
      <c r="AR160">
        <v>0</v>
      </c>
      <c r="AS160">
        <v>0</v>
      </c>
      <c r="AT160">
        <v>0</v>
      </c>
      <c r="AU160">
        <v>0</v>
      </c>
      <c r="AV160">
        <v>0</v>
      </c>
      <c r="AW160">
        <v>0</v>
      </c>
      <c r="AX160">
        <v>0</v>
      </c>
      <c r="AY160">
        <v>0</v>
      </c>
      <c r="AZ160">
        <v>0</v>
      </c>
      <c r="BA160">
        <v>0</v>
      </c>
      <c r="BB160">
        <v>0</v>
      </c>
      <c r="BC160">
        <v>0</v>
      </c>
      <c r="BD160">
        <v>0</v>
      </c>
      <c r="BE160">
        <v>0</v>
      </c>
      <c r="BF160">
        <v>0</v>
      </c>
      <c r="BG160">
        <v>0</v>
      </c>
      <c r="BH160">
        <v>1</v>
      </c>
      <c r="BI160">
        <v>1</v>
      </c>
      <c r="BJ160">
        <v>0.2</v>
      </c>
      <c r="BK160">
        <v>1</v>
      </c>
      <c r="BL160">
        <v>137</v>
      </c>
      <c r="BM160">
        <v>20.55</v>
      </c>
      <c r="BN160">
        <v>157.55000000000001</v>
      </c>
      <c r="BO160">
        <v>157.55000000000001</v>
      </c>
      <c r="BQ160" t="s">
        <v>582</v>
      </c>
      <c r="BR160" t="s">
        <v>84</v>
      </c>
      <c r="BS160" s="3">
        <v>45783</v>
      </c>
      <c r="BT160" s="4">
        <v>0.44791666666666669</v>
      </c>
      <c r="BU160" t="s">
        <v>583</v>
      </c>
      <c r="BV160" t="s">
        <v>89</v>
      </c>
      <c r="BY160">
        <v>1200</v>
      </c>
      <c r="CC160" t="s">
        <v>580</v>
      </c>
      <c r="CD160">
        <v>1034</v>
      </c>
      <c r="CE160" t="s">
        <v>88</v>
      </c>
      <c r="CF160" s="3">
        <v>45783</v>
      </c>
      <c r="CI160">
        <v>1</v>
      </c>
      <c r="CJ160">
        <v>1</v>
      </c>
      <c r="CK160">
        <v>23</v>
      </c>
      <c r="CL160" t="s">
        <v>89</v>
      </c>
    </row>
    <row r="161" spans="1:90" x14ac:dyDescent="0.3">
      <c r="A161" t="s">
        <v>72</v>
      </c>
      <c r="B161" t="s">
        <v>73</v>
      </c>
      <c r="C161" t="s">
        <v>74</v>
      </c>
      <c r="E161" t="str">
        <f>"080065161888"</f>
        <v>080065161888</v>
      </c>
      <c r="F161" s="3">
        <v>45782</v>
      </c>
      <c r="G161">
        <v>202602</v>
      </c>
      <c r="H161" t="s">
        <v>75</v>
      </c>
      <c r="I161" t="s">
        <v>76</v>
      </c>
      <c r="J161" t="s">
        <v>77</v>
      </c>
      <c r="K161" t="s">
        <v>78</v>
      </c>
      <c r="L161" t="s">
        <v>350</v>
      </c>
      <c r="M161" t="s">
        <v>351</v>
      </c>
      <c r="N161" t="s">
        <v>404</v>
      </c>
      <c r="O161" t="s">
        <v>82</v>
      </c>
      <c r="P161" t="str">
        <f>"4170036830                    "</f>
        <v xml:space="preserve">4170036830                    </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22.11</v>
      </c>
      <c r="AR161">
        <v>0</v>
      </c>
      <c r="AS161">
        <v>0</v>
      </c>
      <c r="AT161">
        <v>0</v>
      </c>
      <c r="AU161">
        <v>0</v>
      </c>
      <c r="AV161">
        <v>0</v>
      </c>
      <c r="AW161">
        <v>0</v>
      </c>
      <c r="AX161">
        <v>0</v>
      </c>
      <c r="AY161">
        <v>0</v>
      </c>
      <c r="AZ161">
        <v>0</v>
      </c>
      <c r="BA161">
        <v>0</v>
      </c>
      <c r="BB161">
        <v>0</v>
      </c>
      <c r="BC161">
        <v>0</v>
      </c>
      <c r="BD161">
        <v>0</v>
      </c>
      <c r="BE161">
        <v>0</v>
      </c>
      <c r="BF161">
        <v>0</v>
      </c>
      <c r="BG161">
        <v>0</v>
      </c>
      <c r="BH161">
        <v>1</v>
      </c>
      <c r="BI161">
        <v>1</v>
      </c>
      <c r="BJ161">
        <v>0.2</v>
      </c>
      <c r="BK161">
        <v>1</v>
      </c>
      <c r="BL161">
        <v>70.709999999999994</v>
      </c>
      <c r="BM161">
        <v>10.61</v>
      </c>
      <c r="BN161">
        <v>81.319999999999993</v>
      </c>
      <c r="BO161">
        <v>81.319999999999993</v>
      </c>
      <c r="BQ161" t="s">
        <v>405</v>
      </c>
      <c r="BR161" t="s">
        <v>84</v>
      </c>
      <c r="BS161" s="3">
        <v>45783</v>
      </c>
      <c r="BT161" s="4">
        <v>0.72013888888888888</v>
      </c>
      <c r="BU161" t="s">
        <v>584</v>
      </c>
      <c r="BV161" t="s">
        <v>89</v>
      </c>
      <c r="BW161" t="s">
        <v>296</v>
      </c>
      <c r="BX161" t="s">
        <v>450</v>
      </c>
      <c r="BY161">
        <v>1200</v>
      </c>
      <c r="CA161" t="s">
        <v>326</v>
      </c>
      <c r="CC161" t="s">
        <v>351</v>
      </c>
      <c r="CD161">
        <v>4052</v>
      </c>
      <c r="CE161" t="s">
        <v>88</v>
      </c>
      <c r="CF161" s="3">
        <v>45784</v>
      </c>
      <c r="CI161">
        <v>1</v>
      </c>
      <c r="CJ161">
        <v>1</v>
      </c>
      <c r="CK161">
        <v>21</v>
      </c>
      <c r="CL161" t="s">
        <v>89</v>
      </c>
    </row>
    <row r="162" spans="1:90" x14ac:dyDescent="0.3">
      <c r="A162" t="s">
        <v>72</v>
      </c>
      <c r="B162" t="s">
        <v>73</v>
      </c>
      <c r="C162" t="s">
        <v>74</v>
      </c>
      <c r="E162" t="str">
        <f>"080065161913"</f>
        <v>080065161913</v>
      </c>
      <c r="F162" s="3">
        <v>45782</v>
      </c>
      <c r="G162">
        <v>202602</v>
      </c>
      <c r="H162" t="s">
        <v>75</v>
      </c>
      <c r="I162" t="s">
        <v>76</v>
      </c>
      <c r="J162" t="s">
        <v>77</v>
      </c>
      <c r="K162" t="s">
        <v>78</v>
      </c>
      <c r="L162" t="s">
        <v>463</v>
      </c>
      <c r="M162" t="s">
        <v>464</v>
      </c>
      <c r="N162" t="s">
        <v>585</v>
      </c>
      <c r="O162" t="s">
        <v>82</v>
      </c>
      <c r="P162" t="str">
        <f>"4170036878                    "</f>
        <v xml:space="preserve">4170036878                    </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22.11</v>
      </c>
      <c r="AR162">
        <v>0</v>
      </c>
      <c r="AS162">
        <v>0</v>
      </c>
      <c r="AT162">
        <v>0</v>
      </c>
      <c r="AU162">
        <v>0</v>
      </c>
      <c r="AV162">
        <v>0</v>
      </c>
      <c r="AW162">
        <v>0</v>
      </c>
      <c r="AX162">
        <v>0</v>
      </c>
      <c r="AY162">
        <v>0</v>
      </c>
      <c r="AZ162">
        <v>0</v>
      </c>
      <c r="BA162">
        <v>0</v>
      </c>
      <c r="BB162">
        <v>0</v>
      </c>
      <c r="BC162">
        <v>0</v>
      </c>
      <c r="BD162">
        <v>0</v>
      </c>
      <c r="BE162">
        <v>0</v>
      </c>
      <c r="BF162">
        <v>0</v>
      </c>
      <c r="BG162">
        <v>0</v>
      </c>
      <c r="BH162">
        <v>1</v>
      </c>
      <c r="BI162">
        <v>1</v>
      </c>
      <c r="BJ162">
        <v>0.2</v>
      </c>
      <c r="BK162">
        <v>1</v>
      </c>
      <c r="BL162">
        <v>70.709999999999994</v>
      </c>
      <c r="BM162">
        <v>10.61</v>
      </c>
      <c r="BN162">
        <v>81.319999999999993</v>
      </c>
      <c r="BO162">
        <v>81.319999999999993</v>
      </c>
      <c r="BQ162" t="s">
        <v>586</v>
      </c>
      <c r="BR162" t="s">
        <v>84</v>
      </c>
      <c r="BS162" s="3">
        <v>45783</v>
      </c>
      <c r="BT162" s="4">
        <v>0.47430555555555554</v>
      </c>
      <c r="BU162" t="s">
        <v>587</v>
      </c>
      <c r="BV162" t="s">
        <v>89</v>
      </c>
      <c r="BY162">
        <v>1200</v>
      </c>
      <c r="CA162" t="s">
        <v>588</v>
      </c>
      <c r="CC162" t="s">
        <v>464</v>
      </c>
      <c r="CD162">
        <v>5201</v>
      </c>
      <c r="CE162" t="s">
        <v>88</v>
      </c>
      <c r="CF162" s="3">
        <v>45783</v>
      </c>
      <c r="CI162">
        <v>1</v>
      </c>
      <c r="CJ162">
        <v>1</v>
      </c>
      <c r="CK162">
        <v>21</v>
      </c>
      <c r="CL162" t="s">
        <v>89</v>
      </c>
    </row>
    <row r="163" spans="1:90" x14ac:dyDescent="0.3">
      <c r="A163" t="s">
        <v>72</v>
      </c>
      <c r="B163" t="s">
        <v>73</v>
      </c>
      <c r="C163" t="s">
        <v>74</v>
      </c>
      <c r="E163" t="str">
        <f>"080065162091"</f>
        <v>080065162091</v>
      </c>
      <c r="F163" s="3">
        <v>45782</v>
      </c>
      <c r="G163">
        <v>202602</v>
      </c>
      <c r="H163" t="s">
        <v>75</v>
      </c>
      <c r="I163" t="s">
        <v>76</v>
      </c>
      <c r="J163" t="s">
        <v>77</v>
      </c>
      <c r="K163" t="s">
        <v>78</v>
      </c>
      <c r="L163" t="s">
        <v>222</v>
      </c>
      <c r="M163" t="s">
        <v>223</v>
      </c>
      <c r="N163" t="s">
        <v>589</v>
      </c>
      <c r="O163" t="s">
        <v>82</v>
      </c>
      <c r="P163" t="str">
        <f>"4170036821                    "</f>
        <v xml:space="preserve">4170036821                    </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31.1</v>
      </c>
      <c r="AR163">
        <v>0</v>
      </c>
      <c r="AS163">
        <v>0</v>
      </c>
      <c r="AT163">
        <v>0</v>
      </c>
      <c r="AU163">
        <v>0</v>
      </c>
      <c r="AV163">
        <v>0</v>
      </c>
      <c r="AW163">
        <v>0</v>
      </c>
      <c r="AX163">
        <v>0</v>
      </c>
      <c r="AY163">
        <v>0</v>
      </c>
      <c r="AZ163">
        <v>0</v>
      </c>
      <c r="BA163">
        <v>0</v>
      </c>
      <c r="BB163">
        <v>0</v>
      </c>
      <c r="BC163">
        <v>0</v>
      </c>
      <c r="BD163">
        <v>0</v>
      </c>
      <c r="BE163">
        <v>0</v>
      </c>
      <c r="BF163">
        <v>0</v>
      </c>
      <c r="BG163">
        <v>0</v>
      </c>
      <c r="BH163">
        <v>1</v>
      </c>
      <c r="BI163">
        <v>1</v>
      </c>
      <c r="BJ163">
        <v>0.2</v>
      </c>
      <c r="BK163">
        <v>1</v>
      </c>
      <c r="BL163">
        <v>99.45</v>
      </c>
      <c r="BM163">
        <v>14.92</v>
      </c>
      <c r="BN163">
        <v>114.37</v>
      </c>
      <c r="BO163">
        <v>114.37</v>
      </c>
      <c r="BQ163" t="s">
        <v>590</v>
      </c>
      <c r="BR163" t="s">
        <v>84</v>
      </c>
      <c r="BS163" s="3">
        <v>45783</v>
      </c>
      <c r="BT163" s="4">
        <v>0.36736111111111114</v>
      </c>
      <c r="BU163" t="s">
        <v>591</v>
      </c>
      <c r="BV163" t="s">
        <v>86</v>
      </c>
      <c r="BY163">
        <v>1200</v>
      </c>
      <c r="CA163" t="s">
        <v>592</v>
      </c>
      <c r="CC163" t="s">
        <v>223</v>
      </c>
      <c r="CD163">
        <v>1748</v>
      </c>
      <c r="CE163" t="s">
        <v>88</v>
      </c>
      <c r="CF163" s="3">
        <v>45783</v>
      </c>
      <c r="CI163">
        <v>1</v>
      </c>
      <c r="CJ163">
        <v>1</v>
      </c>
      <c r="CK163">
        <v>24</v>
      </c>
      <c r="CL163" t="s">
        <v>89</v>
      </c>
    </row>
    <row r="164" spans="1:90" x14ac:dyDescent="0.3">
      <c r="A164" t="s">
        <v>72</v>
      </c>
      <c r="B164" t="s">
        <v>73</v>
      </c>
      <c r="C164" t="s">
        <v>74</v>
      </c>
      <c r="E164" t="str">
        <f>"080065162135"</f>
        <v>080065162135</v>
      </c>
      <c r="F164" s="3">
        <v>45782</v>
      </c>
      <c r="G164">
        <v>202602</v>
      </c>
      <c r="H164" t="s">
        <v>75</v>
      </c>
      <c r="I164" t="s">
        <v>76</v>
      </c>
      <c r="J164" t="s">
        <v>77</v>
      </c>
      <c r="K164" t="s">
        <v>78</v>
      </c>
      <c r="L164" t="s">
        <v>123</v>
      </c>
      <c r="M164" t="s">
        <v>123</v>
      </c>
      <c r="N164" t="s">
        <v>593</v>
      </c>
      <c r="O164" t="s">
        <v>82</v>
      </c>
      <c r="P164" t="str">
        <f>"4170036874                    "</f>
        <v xml:space="preserve">4170036874                    </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42.84</v>
      </c>
      <c r="AR164">
        <v>0</v>
      </c>
      <c r="AS164">
        <v>0</v>
      </c>
      <c r="AT164">
        <v>0</v>
      </c>
      <c r="AU164">
        <v>0</v>
      </c>
      <c r="AV164">
        <v>0</v>
      </c>
      <c r="AW164">
        <v>0</v>
      </c>
      <c r="AX164">
        <v>0</v>
      </c>
      <c r="AY164">
        <v>0</v>
      </c>
      <c r="AZ164">
        <v>0</v>
      </c>
      <c r="BA164">
        <v>0</v>
      </c>
      <c r="BB164">
        <v>0</v>
      </c>
      <c r="BC164">
        <v>0</v>
      </c>
      <c r="BD164">
        <v>0</v>
      </c>
      <c r="BE164">
        <v>0</v>
      </c>
      <c r="BF164">
        <v>0</v>
      </c>
      <c r="BG164">
        <v>0</v>
      </c>
      <c r="BH164">
        <v>1</v>
      </c>
      <c r="BI164">
        <v>1</v>
      </c>
      <c r="BJ164">
        <v>0.2</v>
      </c>
      <c r="BK164">
        <v>1</v>
      </c>
      <c r="BL164">
        <v>137</v>
      </c>
      <c r="BM164">
        <v>20.55</v>
      </c>
      <c r="BN164">
        <v>157.55000000000001</v>
      </c>
      <c r="BO164">
        <v>157.55000000000001</v>
      </c>
      <c r="BQ164" t="s">
        <v>594</v>
      </c>
      <c r="BR164" t="s">
        <v>84</v>
      </c>
      <c r="BS164" s="3">
        <v>45784</v>
      </c>
      <c r="BT164" s="4">
        <v>0.47499999999999998</v>
      </c>
      <c r="BU164" t="s">
        <v>595</v>
      </c>
      <c r="BV164" t="s">
        <v>89</v>
      </c>
      <c r="BW164" t="s">
        <v>340</v>
      </c>
      <c r="BX164" t="s">
        <v>596</v>
      </c>
      <c r="BY164">
        <v>1200</v>
      </c>
      <c r="CA164" t="s">
        <v>128</v>
      </c>
      <c r="CC164" t="s">
        <v>123</v>
      </c>
      <c r="CD164">
        <v>7646</v>
      </c>
      <c r="CE164" t="s">
        <v>88</v>
      </c>
      <c r="CF164" s="3">
        <v>45785</v>
      </c>
      <c r="CI164">
        <v>1</v>
      </c>
      <c r="CJ164">
        <v>2</v>
      </c>
      <c r="CK164">
        <v>23</v>
      </c>
      <c r="CL164" t="s">
        <v>89</v>
      </c>
    </row>
    <row r="165" spans="1:90" x14ac:dyDescent="0.3">
      <c r="A165" t="s">
        <v>72</v>
      </c>
      <c r="B165" t="s">
        <v>73</v>
      </c>
      <c r="C165" t="s">
        <v>74</v>
      </c>
      <c r="E165" t="str">
        <f>"080065162154"</f>
        <v>080065162154</v>
      </c>
      <c r="F165" s="3">
        <v>45782</v>
      </c>
      <c r="G165">
        <v>202602</v>
      </c>
      <c r="H165" t="s">
        <v>75</v>
      </c>
      <c r="I165" t="s">
        <v>76</v>
      </c>
      <c r="J165" t="s">
        <v>77</v>
      </c>
      <c r="K165" t="s">
        <v>78</v>
      </c>
      <c r="L165" t="s">
        <v>103</v>
      </c>
      <c r="M165" t="s">
        <v>104</v>
      </c>
      <c r="N165" t="s">
        <v>105</v>
      </c>
      <c r="O165" t="s">
        <v>82</v>
      </c>
      <c r="P165" t="str">
        <f>"4170036858                    "</f>
        <v xml:space="preserve">4170036858                    </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22.11</v>
      </c>
      <c r="AR165">
        <v>0</v>
      </c>
      <c r="AS165">
        <v>0</v>
      </c>
      <c r="AT165">
        <v>0</v>
      </c>
      <c r="AU165">
        <v>0</v>
      </c>
      <c r="AV165">
        <v>0</v>
      </c>
      <c r="AW165">
        <v>0</v>
      </c>
      <c r="AX165">
        <v>0</v>
      </c>
      <c r="AY165">
        <v>0</v>
      </c>
      <c r="AZ165">
        <v>0</v>
      </c>
      <c r="BA165">
        <v>0</v>
      </c>
      <c r="BB165">
        <v>0</v>
      </c>
      <c r="BC165">
        <v>0</v>
      </c>
      <c r="BD165">
        <v>0</v>
      </c>
      <c r="BE165">
        <v>0</v>
      </c>
      <c r="BF165">
        <v>0</v>
      </c>
      <c r="BG165">
        <v>0</v>
      </c>
      <c r="BH165">
        <v>1</v>
      </c>
      <c r="BI165">
        <v>1</v>
      </c>
      <c r="BJ165">
        <v>0.2</v>
      </c>
      <c r="BK165">
        <v>1</v>
      </c>
      <c r="BL165">
        <v>70.709999999999994</v>
      </c>
      <c r="BM165">
        <v>10.61</v>
      </c>
      <c r="BN165">
        <v>81.319999999999993</v>
      </c>
      <c r="BO165">
        <v>81.319999999999993</v>
      </c>
      <c r="BQ165" t="s">
        <v>106</v>
      </c>
      <c r="BR165" t="s">
        <v>84</v>
      </c>
      <c r="BS165" s="3">
        <v>45783</v>
      </c>
      <c r="BT165" s="4">
        <v>0.47638888888888886</v>
      </c>
      <c r="BU165" t="s">
        <v>107</v>
      </c>
      <c r="BV165" t="s">
        <v>86</v>
      </c>
      <c r="BY165">
        <v>1200</v>
      </c>
      <c r="CA165" t="s">
        <v>108</v>
      </c>
      <c r="CC165" t="s">
        <v>104</v>
      </c>
      <c r="CD165">
        <v>3201</v>
      </c>
      <c r="CE165" t="s">
        <v>88</v>
      </c>
      <c r="CF165" s="3">
        <v>45784</v>
      </c>
      <c r="CI165">
        <v>1</v>
      </c>
      <c r="CJ165">
        <v>1</v>
      </c>
      <c r="CK165">
        <v>21</v>
      </c>
      <c r="CL165" t="s">
        <v>89</v>
      </c>
    </row>
    <row r="166" spans="1:90" x14ac:dyDescent="0.3">
      <c r="A166" t="s">
        <v>72</v>
      </c>
      <c r="B166" t="s">
        <v>73</v>
      </c>
      <c r="C166" t="s">
        <v>74</v>
      </c>
      <c r="E166" t="str">
        <f>"080065162179"</f>
        <v>080065162179</v>
      </c>
      <c r="F166" s="3">
        <v>45782</v>
      </c>
      <c r="G166">
        <v>202602</v>
      </c>
      <c r="H166" t="s">
        <v>75</v>
      </c>
      <c r="I166" t="s">
        <v>76</v>
      </c>
      <c r="J166" t="s">
        <v>77</v>
      </c>
      <c r="K166" t="s">
        <v>78</v>
      </c>
      <c r="L166" t="s">
        <v>75</v>
      </c>
      <c r="M166" t="s">
        <v>76</v>
      </c>
      <c r="N166" t="s">
        <v>390</v>
      </c>
      <c r="O166" t="s">
        <v>82</v>
      </c>
      <c r="P166" t="str">
        <f>"4170036887                    "</f>
        <v xml:space="preserve">4170036887                    </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17.27</v>
      </c>
      <c r="AR166">
        <v>0</v>
      </c>
      <c r="AS166">
        <v>0</v>
      </c>
      <c r="AT166">
        <v>0</v>
      </c>
      <c r="AU166">
        <v>0</v>
      </c>
      <c r="AV166">
        <v>0</v>
      </c>
      <c r="AW166">
        <v>0</v>
      </c>
      <c r="AX166">
        <v>0</v>
      </c>
      <c r="AY166">
        <v>0</v>
      </c>
      <c r="AZ166">
        <v>0</v>
      </c>
      <c r="BA166">
        <v>0</v>
      </c>
      <c r="BB166">
        <v>0</v>
      </c>
      <c r="BC166">
        <v>0</v>
      </c>
      <c r="BD166">
        <v>0</v>
      </c>
      <c r="BE166">
        <v>0</v>
      </c>
      <c r="BF166">
        <v>0</v>
      </c>
      <c r="BG166">
        <v>0</v>
      </c>
      <c r="BH166">
        <v>1</v>
      </c>
      <c r="BI166">
        <v>1</v>
      </c>
      <c r="BJ166">
        <v>0.2</v>
      </c>
      <c r="BK166">
        <v>1</v>
      </c>
      <c r="BL166">
        <v>55.23</v>
      </c>
      <c r="BM166">
        <v>8.2799999999999994</v>
      </c>
      <c r="BN166">
        <v>63.51</v>
      </c>
      <c r="BO166">
        <v>63.51</v>
      </c>
      <c r="BQ166" t="s">
        <v>391</v>
      </c>
      <c r="BR166" t="s">
        <v>84</v>
      </c>
      <c r="BS166" s="3">
        <v>45783</v>
      </c>
      <c r="BT166" s="4">
        <v>0.34861111111111109</v>
      </c>
      <c r="BU166" t="s">
        <v>392</v>
      </c>
      <c r="BV166" t="s">
        <v>86</v>
      </c>
      <c r="BY166">
        <v>1200</v>
      </c>
      <c r="CA166" t="s">
        <v>115</v>
      </c>
      <c r="CC166" t="s">
        <v>76</v>
      </c>
      <c r="CD166">
        <v>1600</v>
      </c>
      <c r="CE166" t="s">
        <v>88</v>
      </c>
      <c r="CF166" s="3">
        <v>45783</v>
      </c>
      <c r="CI166">
        <v>1</v>
      </c>
      <c r="CJ166">
        <v>1</v>
      </c>
      <c r="CK166">
        <v>22</v>
      </c>
      <c r="CL166" t="s">
        <v>89</v>
      </c>
    </row>
    <row r="167" spans="1:90" x14ac:dyDescent="0.3">
      <c r="A167" t="s">
        <v>72</v>
      </c>
      <c r="B167" t="s">
        <v>73</v>
      </c>
      <c r="C167" t="s">
        <v>74</v>
      </c>
      <c r="E167" t="str">
        <f>"080065162281"</f>
        <v>080065162281</v>
      </c>
      <c r="F167" s="3">
        <v>45782</v>
      </c>
      <c r="G167">
        <v>202602</v>
      </c>
      <c r="H167" t="s">
        <v>75</v>
      </c>
      <c r="I167" t="s">
        <v>76</v>
      </c>
      <c r="J167" t="s">
        <v>77</v>
      </c>
      <c r="K167" t="s">
        <v>78</v>
      </c>
      <c r="L167" t="s">
        <v>350</v>
      </c>
      <c r="M167" t="s">
        <v>351</v>
      </c>
      <c r="N167" t="s">
        <v>404</v>
      </c>
      <c r="O167" t="s">
        <v>300</v>
      </c>
      <c r="P167" t="str">
        <f>"4170036884                    "</f>
        <v xml:space="preserve">4170036884                    </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51.59</v>
      </c>
      <c r="AR167">
        <v>0</v>
      </c>
      <c r="AS167">
        <v>0</v>
      </c>
      <c r="AT167">
        <v>0</v>
      </c>
      <c r="AU167">
        <v>0</v>
      </c>
      <c r="AV167">
        <v>0</v>
      </c>
      <c r="AW167">
        <v>0</v>
      </c>
      <c r="AX167">
        <v>0</v>
      </c>
      <c r="AY167">
        <v>0</v>
      </c>
      <c r="AZ167">
        <v>0</v>
      </c>
      <c r="BA167">
        <v>0</v>
      </c>
      <c r="BB167">
        <v>0</v>
      </c>
      <c r="BC167">
        <v>0</v>
      </c>
      <c r="BD167">
        <v>0</v>
      </c>
      <c r="BE167">
        <v>0</v>
      </c>
      <c r="BF167">
        <v>0</v>
      </c>
      <c r="BG167">
        <v>0</v>
      </c>
      <c r="BH167">
        <v>1</v>
      </c>
      <c r="BI167">
        <v>10</v>
      </c>
      <c r="BJ167">
        <v>19.2</v>
      </c>
      <c r="BK167">
        <v>20</v>
      </c>
      <c r="BL167">
        <v>170.54</v>
      </c>
      <c r="BM167">
        <v>25.58</v>
      </c>
      <c r="BN167">
        <v>196.12</v>
      </c>
      <c r="BO167">
        <v>196.12</v>
      </c>
      <c r="BQ167" t="s">
        <v>405</v>
      </c>
      <c r="BR167" t="s">
        <v>84</v>
      </c>
      <c r="BS167" s="3">
        <v>45783</v>
      </c>
      <c r="BT167" s="4">
        <v>0.57291666666666663</v>
      </c>
      <c r="BU167" t="s">
        <v>597</v>
      </c>
      <c r="BV167" t="s">
        <v>86</v>
      </c>
      <c r="BY167">
        <v>95760</v>
      </c>
      <c r="CC167" t="s">
        <v>351</v>
      </c>
      <c r="CD167">
        <v>4052</v>
      </c>
      <c r="CE167" t="s">
        <v>550</v>
      </c>
      <c r="CF167" s="3">
        <v>45784</v>
      </c>
      <c r="CI167">
        <v>1</v>
      </c>
      <c r="CJ167">
        <v>1</v>
      </c>
      <c r="CK167">
        <v>41</v>
      </c>
      <c r="CL167" t="s">
        <v>89</v>
      </c>
    </row>
    <row r="168" spans="1:90" x14ac:dyDescent="0.3">
      <c r="A168" t="s">
        <v>72</v>
      </c>
      <c r="B168" t="s">
        <v>73</v>
      </c>
      <c r="C168" t="s">
        <v>74</v>
      </c>
      <c r="E168" t="str">
        <f>"080065162334"</f>
        <v>080065162334</v>
      </c>
      <c r="F168" s="3">
        <v>45782</v>
      </c>
      <c r="G168">
        <v>202602</v>
      </c>
      <c r="H168" t="s">
        <v>75</v>
      </c>
      <c r="I168" t="s">
        <v>76</v>
      </c>
      <c r="J168" t="s">
        <v>77</v>
      </c>
      <c r="K168" t="s">
        <v>78</v>
      </c>
      <c r="L168" t="s">
        <v>90</v>
      </c>
      <c r="M168" t="s">
        <v>91</v>
      </c>
      <c r="N168" t="s">
        <v>598</v>
      </c>
      <c r="O168" t="s">
        <v>300</v>
      </c>
      <c r="P168" t="str">
        <f>"4170036881                    "</f>
        <v xml:space="preserve">4170036881                    </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67.48</v>
      </c>
      <c r="AR168">
        <v>0</v>
      </c>
      <c r="AS168">
        <v>0</v>
      </c>
      <c r="AT168">
        <v>0</v>
      </c>
      <c r="AU168">
        <v>0</v>
      </c>
      <c r="AV168">
        <v>0</v>
      </c>
      <c r="AW168">
        <v>0</v>
      </c>
      <c r="AX168">
        <v>0</v>
      </c>
      <c r="AY168">
        <v>0</v>
      </c>
      <c r="AZ168">
        <v>0</v>
      </c>
      <c r="BA168">
        <v>0</v>
      </c>
      <c r="BB168">
        <v>0</v>
      </c>
      <c r="BC168">
        <v>0</v>
      </c>
      <c r="BD168">
        <v>0</v>
      </c>
      <c r="BE168">
        <v>0</v>
      </c>
      <c r="BF168">
        <v>0</v>
      </c>
      <c r="BG168">
        <v>0</v>
      </c>
      <c r="BH168">
        <v>1</v>
      </c>
      <c r="BI168">
        <v>29</v>
      </c>
      <c r="BJ168">
        <v>15.4</v>
      </c>
      <c r="BK168">
        <v>29</v>
      </c>
      <c r="BL168">
        <v>221.35</v>
      </c>
      <c r="BM168">
        <v>33.200000000000003</v>
      </c>
      <c r="BN168">
        <v>254.55</v>
      </c>
      <c r="BO168">
        <v>254.55</v>
      </c>
      <c r="BQ168" t="s">
        <v>599</v>
      </c>
      <c r="BR168" t="s">
        <v>84</v>
      </c>
      <c r="BS168" s="3">
        <v>45785</v>
      </c>
      <c r="BT168" s="4">
        <v>0.50694444444444442</v>
      </c>
      <c r="BU168" t="s">
        <v>600</v>
      </c>
      <c r="BV168" t="s">
        <v>86</v>
      </c>
      <c r="BY168">
        <v>76760</v>
      </c>
      <c r="CC168" t="s">
        <v>91</v>
      </c>
      <c r="CD168">
        <v>6012</v>
      </c>
      <c r="CE168" t="s">
        <v>550</v>
      </c>
      <c r="CF168" s="3">
        <v>45785</v>
      </c>
      <c r="CI168">
        <v>3</v>
      </c>
      <c r="CJ168">
        <v>3</v>
      </c>
      <c r="CK168">
        <v>41</v>
      </c>
      <c r="CL168" t="s">
        <v>89</v>
      </c>
    </row>
    <row r="169" spans="1:90" x14ac:dyDescent="0.3">
      <c r="A169" t="s">
        <v>72</v>
      </c>
      <c r="B169" t="s">
        <v>73</v>
      </c>
      <c r="C169" t="s">
        <v>74</v>
      </c>
      <c r="E169" t="str">
        <f>"080065162395"</f>
        <v>080065162395</v>
      </c>
      <c r="F169" s="3">
        <v>45782</v>
      </c>
      <c r="G169">
        <v>202602</v>
      </c>
      <c r="H169" t="s">
        <v>75</v>
      </c>
      <c r="I169" t="s">
        <v>76</v>
      </c>
      <c r="J169" t="s">
        <v>77</v>
      </c>
      <c r="K169" t="s">
        <v>78</v>
      </c>
      <c r="L169" t="s">
        <v>75</v>
      </c>
      <c r="M169" t="s">
        <v>76</v>
      </c>
      <c r="N169" t="s">
        <v>601</v>
      </c>
      <c r="O169" t="s">
        <v>602</v>
      </c>
      <c r="P169" t="str">
        <f>"4170036882                    "</f>
        <v xml:space="preserve">4170036882                    </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25.03</v>
      </c>
      <c r="AR169">
        <v>0</v>
      </c>
      <c r="AS169">
        <v>0</v>
      </c>
      <c r="AT169">
        <v>0</v>
      </c>
      <c r="AU169">
        <v>0</v>
      </c>
      <c r="AV169">
        <v>0</v>
      </c>
      <c r="AW169">
        <v>0</v>
      </c>
      <c r="AX169">
        <v>0</v>
      </c>
      <c r="AY169">
        <v>0</v>
      </c>
      <c r="AZ169">
        <v>0</v>
      </c>
      <c r="BA169">
        <v>0</v>
      </c>
      <c r="BB169">
        <v>0</v>
      </c>
      <c r="BC169">
        <v>0</v>
      </c>
      <c r="BD169">
        <v>0</v>
      </c>
      <c r="BE169">
        <v>0</v>
      </c>
      <c r="BF169">
        <v>0</v>
      </c>
      <c r="BG169">
        <v>0</v>
      </c>
      <c r="BH169">
        <v>1</v>
      </c>
      <c r="BI169">
        <v>8</v>
      </c>
      <c r="BJ169">
        <v>11.6</v>
      </c>
      <c r="BK169">
        <v>12</v>
      </c>
      <c r="BL169">
        <v>80.040000000000006</v>
      </c>
      <c r="BM169">
        <v>12.01</v>
      </c>
      <c r="BN169">
        <v>92.05</v>
      </c>
      <c r="BO169">
        <v>92.05</v>
      </c>
      <c r="BQ169" t="s">
        <v>603</v>
      </c>
      <c r="BR169" t="s">
        <v>84</v>
      </c>
      <c r="BS169" s="3">
        <v>45783</v>
      </c>
      <c r="BT169" s="4">
        <v>0.41666666666666669</v>
      </c>
      <c r="BU169" t="s">
        <v>604</v>
      </c>
      <c r="BV169" t="s">
        <v>86</v>
      </c>
      <c r="BY169">
        <v>57760</v>
      </c>
      <c r="CA169" t="s">
        <v>605</v>
      </c>
      <c r="CC169" t="s">
        <v>76</v>
      </c>
      <c r="CD169">
        <v>1645</v>
      </c>
      <c r="CE169" t="s">
        <v>550</v>
      </c>
      <c r="CF169" s="3">
        <v>45783</v>
      </c>
      <c r="CI169">
        <v>1</v>
      </c>
      <c r="CJ169">
        <v>1</v>
      </c>
      <c r="CK169">
        <v>32</v>
      </c>
      <c r="CL169" t="s">
        <v>89</v>
      </c>
    </row>
    <row r="170" spans="1:90" x14ac:dyDescent="0.3">
      <c r="A170" t="s">
        <v>72</v>
      </c>
      <c r="B170" t="s">
        <v>73</v>
      </c>
      <c r="C170" t="s">
        <v>74</v>
      </c>
      <c r="E170" t="str">
        <f>"080065162422"</f>
        <v>080065162422</v>
      </c>
      <c r="F170" s="3">
        <v>45782</v>
      </c>
      <c r="G170">
        <v>202602</v>
      </c>
      <c r="H170" t="s">
        <v>75</v>
      </c>
      <c r="I170" t="s">
        <v>76</v>
      </c>
      <c r="J170" t="s">
        <v>77</v>
      </c>
      <c r="K170" t="s">
        <v>78</v>
      </c>
      <c r="L170" t="s">
        <v>130</v>
      </c>
      <c r="M170" t="s">
        <v>131</v>
      </c>
      <c r="N170" t="s">
        <v>606</v>
      </c>
      <c r="O170" t="s">
        <v>82</v>
      </c>
      <c r="P170" t="str">
        <f>"4170036883                    "</f>
        <v xml:space="preserve">4170036883                    </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143.63</v>
      </c>
      <c r="AR170">
        <v>0</v>
      </c>
      <c r="AS170">
        <v>0</v>
      </c>
      <c r="AT170">
        <v>0</v>
      </c>
      <c r="AU170">
        <v>0</v>
      </c>
      <c r="AV170">
        <v>0</v>
      </c>
      <c r="AW170">
        <v>0</v>
      </c>
      <c r="AX170">
        <v>0</v>
      </c>
      <c r="AY170">
        <v>0</v>
      </c>
      <c r="AZ170">
        <v>0</v>
      </c>
      <c r="BA170">
        <v>0</v>
      </c>
      <c r="BB170">
        <v>0</v>
      </c>
      <c r="BC170">
        <v>0</v>
      </c>
      <c r="BD170">
        <v>0</v>
      </c>
      <c r="BE170">
        <v>0</v>
      </c>
      <c r="BF170">
        <v>0</v>
      </c>
      <c r="BG170">
        <v>0</v>
      </c>
      <c r="BH170">
        <v>1</v>
      </c>
      <c r="BI170">
        <v>13</v>
      </c>
      <c r="BJ170">
        <v>11.6</v>
      </c>
      <c r="BK170">
        <v>13</v>
      </c>
      <c r="BL170">
        <v>459.31</v>
      </c>
      <c r="BM170">
        <v>68.900000000000006</v>
      </c>
      <c r="BN170">
        <v>528.21</v>
      </c>
      <c r="BO170">
        <v>528.21</v>
      </c>
      <c r="BQ170" t="s">
        <v>607</v>
      </c>
      <c r="BR170" t="s">
        <v>84</v>
      </c>
      <c r="BS170" s="3">
        <v>45784</v>
      </c>
      <c r="BT170" s="4">
        <v>0.38472222222222224</v>
      </c>
      <c r="BU170" t="s">
        <v>608</v>
      </c>
      <c r="BV170" t="s">
        <v>89</v>
      </c>
      <c r="BW170" t="s">
        <v>340</v>
      </c>
      <c r="BX170" t="s">
        <v>596</v>
      </c>
      <c r="BY170">
        <v>57760</v>
      </c>
      <c r="CA170" t="s">
        <v>458</v>
      </c>
      <c r="CC170" t="s">
        <v>131</v>
      </c>
      <c r="CD170">
        <v>7764</v>
      </c>
      <c r="CE170" t="s">
        <v>96</v>
      </c>
      <c r="CF170" s="3">
        <v>45785</v>
      </c>
      <c r="CI170">
        <v>1</v>
      </c>
      <c r="CJ170">
        <v>2</v>
      </c>
      <c r="CK170">
        <v>21</v>
      </c>
      <c r="CL170" t="s">
        <v>89</v>
      </c>
    </row>
    <row r="171" spans="1:90" x14ac:dyDescent="0.3">
      <c r="A171" t="s">
        <v>72</v>
      </c>
      <c r="B171" t="s">
        <v>73</v>
      </c>
      <c r="C171" t="s">
        <v>74</v>
      </c>
      <c r="E171" t="str">
        <f>"080065162446"</f>
        <v>080065162446</v>
      </c>
      <c r="F171" s="3">
        <v>45782</v>
      </c>
      <c r="G171">
        <v>202602</v>
      </c>
      <c r="H171" t="s">
        <v>75</v>
      </c>
      <c r="I171" t="s">
        <v>76</v>
      </c>
      <c r="J171" t="s">
        <v>77</v>
      </c>
      <c r="K171" t="s">
        <v>78</v>
      </c>
      <c r="L171" t="s">
        <v>90</v>
      </c>
      <c r="M171" t="s">
        <v>91</v>
      </c>
      <c r="N171" t="s">
        <v>515</v>
      </c>
      <c r="O171" t="s">
        <v>82</v>
      </c>
      <c r="P171" t="str">
        <f>"4170036852                    "</f>
        <v xml:space="preserve">4170036852                    </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22.11</v>
      </c>
      <c r="AR171">
        <v>0</v>
      </c>
      <c r="AS171">
        <v>0</v>
      </c>
      <c r="AT171">
        <v>0</v>
      </c>
      <c r="AU171">
        <v>0</v>
      </c>
      <c r="AV171">
        <v>0</v>
      </c>
      <c r="AW171">
        <v>0</v>
      </c>
      <c r="AX171">
        <v>0</v>
      </c>
      <c r="AY171">
        <v>0</v>
      </c>
      <c r="AZ171">
        <v>0</v>
      </c>
      <c r="BA171">
        <v>0</v>
      </c>
      <c r="BB171">
        <v>0</v>
      </c>
      <c r="BC171">
        <v>0</v>
      </c>
      <c r="BD171">
        <v>0</v>
      </c>
      <c r="BE171">
        <v>0</v>
      </c>
      <c r="BF171">
        <v>0</v>
      </c>
      <c r="BG171">
        <v>0</v>
      </c>
      <c r="BH171">
        <v>1</v>
      </c>
      <c r="BI171">
        <v>1</v>
      </c>
      <c r="BJ171">
        <v>0.2</v>
      </c>
      <c r="BK171">
        <v>1</v>
      </c>
      <c r="BL171">
        <v>70.709999999999994</v>
      </c>
      <c r="BM171">
        <v>10.61</v>
      </c>
      <c r="BN171">
        <v>81.319999999999993</v>
      </c>
      <c r="BO171">
        <v>81.319999999999993</v>
      </c>
      <c r="BQ171" t="s">
        <v>516</v>
      </c>
      <c r="BR171" t="s">
        <v>84</v>
      </c>
      <c r="BS171" s="3">
        <v>45783</v>
      </c>
      <c r="BT171" s="4">
        <v>0.43055555555555558</v>
      </c>
      <c r="BU171" t="s">
        <v>609</v>
      </c>
      <c r="BV171" t="s">
        <v>86</v>
      </c>
      <c r="BY171">
        <v>1200</v>
      </c>
      <c r="CA171" t="s">
        <v>298</v>
      </c>
      <c r="CC171" t="s">
        <v>91</v>
      </c>
      <c r="CD171">
        <v>6001</v>
      </c>
      <c r="CE171" t="s">
        <v>88</v>
      </c>
      <c r="CF171" s="3">
        <v>45783</v>
      </c>
      <c r="CI171">
        <v>1</v>
      </c>
      <c r="CJ171">
        <v>1</v>
      </c>
      <c r="CK171">
        <v>21</v>
      </c>
      <c r="CL171" t="s">
        <v>89</v>
      </c>
    </row>
    <row r="172" spans="1:90" x14ac:dyDescent="0.3">
      <c r="A172" t="s">
        <v>72</v>
      </c>
      <c r="B172" t="s">
        <v>73</v>
      </c>
      <c r="C172" t="s">
        <v>74</v>
      </c>
      <c r="E172" t="str">
        <f>"080065162477"</f>
        <v>080065162477</v>
      </c>
      <c r="F172" s="3">
        <v>45782</v>
      </c>
      <c r="G172">
        <v>202602</v>
      </c>
      <c r="H172" t="s">
        <v>75</v>
      </c>
      <c r="I172" t="s">
        <v>76</v>
      </c>
      <c r="J172" t="s">
        <v>77</v>
      </c>
      <c r="K172" t="s">
        <v>78</v>
      </c>
      <c r="L172" t="s">
        <v>610</v>
      </c>
      <c r="M172" t="s">
        <v>611</v>
      </c>
      <c r="N172" t="s">
        <v>612</v>
      </c>
      <c r="O172" t="s">
        <v>82</v>
      </c>
      <c r="P172" t="str">
        <f>"4170036848                    "</f>
        <v xml:space="preserve">4170036848                    </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42.84</v>
      </c>
      <c r="AR172">
        <v>0</v>
      </c>
      <c r="AS172">
        <v>0</v>
      </c>
      <c r="AT172">
        <v>0</v>
      </c>
      <c r="AU172">
        <v>0</v>
      </c>
      <c r="AV172">
        <v>0</v>
      </c>
      <c r="AW172">
        <v>0</v>
      </c>
      <c r="AX172">
        <v>0</v>
      </c>
      <c r="AY172">
        <v>0</v>
      </c>
      <c r="AZ172">
        <v>0</v>
      </c>
      <c r="BA172">
        <v>0</v>
      </c>
      <c r="BB172">
        <v>0</v>
      </c>
      <c r="BC172">
        <v>0</v>
      </c>
      <c r="BD172">
        <v>0</v>
      </c>
      <c r="BE172">
        <v>0</v>
      </c>
      <c r="BF172">
        <v>0</v>
      </c>
      <c r="BG172">
        <v>0</v>
      </c>
      <c r="BH172">
        <v>1</v>
      </c>
      <c r="BI172">
        <v>1</v>
      </c>
      <c r="BJ172">
        <v>0.2</v>
      </c>
      <c r="BK172">
        <v>1</v>
      </c>
      <c r="BL172">
        <v>137</v>
      </c>
      <c r="BM172">
        <v>20.55</v>
      </c>
      <c r="BN172">
        <v>157.55000000000001</v>
      </c>
      <c r="BO172">
        <v>157.55000000000001</v>
      </c>
      <c r="BQ172" t="s">
        <v>613</v>
      </c>
      <c r="BR172" t="s">
        <v>84</v>
      </c>
      <c r="BS172" s="3">
        <v>45784</v>
      </c>
      <c r="BT172" s="4">
        <v>0.51944444444444449</v>
      </c>
      <c r="BU172" t="s">
        <v>614</v>
      </c>
      <c r="BV172" t="s">
        <v>89</v>
      </c>
      <c r="BW172" t="s">
        <v>340</v>
      </c>
      <c r="BX172" t="s">
        <v>578</v>
      </c>
      <c r="BY172">
        <v>1200</v>
      </c>
      <c r="CC172" t="s">
        <v>611</v>
      </c>
      <c r="CD172">
        <v>7349</v>
      </c>
      <c r="CE172" t="s">
        <v>88</v>
      </c>
      <c r="CF172" s="3">
        <v>45785</v>
      </c>
      <c r="CI172">
        <v>1</v>
      </c>
      <c r="CJ172">
        <v>2</v>
      </c>
      <c r="CK172">
        <v>23</v>
      </c>
      <c r="CL172" t="s">
        <v>89</v>
      </c>
    </row>
    <row r="173" spans="1:90" x14ac:dyDescent="0.3">
      <c r="A173" t="s">
        <v>72</v>
      </c>
      <c r="B173" t="s">
        <v>73</v>
      </c>
      <c r="C173" t="s">
        <v>74</v>
      </c>
      <c r="E173" t="str">
        <f>"080065162504"</f>
        <v>080065162504</v>
      </c>
      <c r="F173" s="3">
        <v>45782</v>
      </c>
      <c r="G173">
        <v>202602</v>
      </c>
      <c r="H173" t="s">
        <v>75</v>
      </c>
      <c r="I173" t="s">
        <v>76</v>
      </c>
      <c r="J173" t="s">
        <v>77</v>
      </c>
      <c r="K173" t="s">
        <v>78</v>
      </c>
      <c r="L173" t="s">
        <v>130</v>
      </c>
      <c r="M173" t="s">
        <v>131</v>
      </c>
      <c r="N173" t="s">
        <v>615</v>
      </c>
      <c r="O173" t="s">
        <v>82</v>
      </c>
      <c r="P173" t="str">
        <f>"4170036813                    "</f>
        <v xml:space="preserve">4170036813                    </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22.11</v>
      </c>
      <c r="AR173">
        <v>0</v>
      </c>
      <c r="AS173">
        <v>0</v>
      </c>
      <c r="AT173">
        <v>0</v>
      </c>
      <c r="AU173">
        <v>0</v>
      </c>
      <c r="AV173">
        <v>0</v>
      </c>
      <c r="AW173">
        <v>0</v>
      </c>
      <c r="AX173">
        <v>0</v>
      </c>
      <c r="AY173">
        <v>0</v>
      </c>
      <c r="AZ173">
        <v>0</v>
      </c>
      <c r="BA173">
        <v>0</v>
      </c>
      <c r="BB173">
        <v>0</v>
      </c>
      <c r="BC173">
        <v>0</v>
      </c>
      <c r="BD173">
        <v>0</v>
      </c>
      <c r="BE173">
        <v>0</v>
      </c>
      <c r="BF173">
        <v>0</v>
      </c>
      <c r="BG173">
        <v>0</v>
      </c>
      <c r="BH173">
        <v>1</v>
      </c>
      <c r="BI173">
        <v>1</v>
      </c>
      <c r="BJ173">
        <v>0.2</v>
      </c>
      <c r="BK173">
        <v>1</v>
      </c>
      <c r="BL173">
        <v>70.709999999999994</v>
      </c>
      <c r="BM173">
        <v>10.61</v>
      </c>
      <c r="BN173">
        <v>81.319999999999993</v>
      </c>
      <c r="BO173">
        <v>81.319999999999993</v>
      </c>
      <c r="BQ173" t="s">
        <v>616</v>
      </c>
      <c r="BR173" t="s">
        <v>84</v>
      </c>
      <c r="BS173" s="3">
        <v>45784</v>
      </c>
      <c r="BT173" s="4">
        <v>0.42499999999999999</v>
      </c>
      <c r="BU173" t="s">
        <v>617</v>
      </c>
      <c r="BV173" t="s">
        <v>89</v>
      </c>
      <c r="BW173" t="s">
        <v>340</v>
      </c>
      <c r="BX173" t="s">
        <v>618</v>
      </c>
      <c r="BY173">
        <v>1200</v>
      </c>
      <c r="CA173" t="s">
        <v>330</v>
      </c>
      <c r="CC173" t="s">
        <v>131</v>
      </c>
      <c r="CD173">
        <v>7460</v>
      </c>
      <c r="CE173" t="s">
        <v>88</v>
      </c>
      <c r="CF173" s="3">
        <v>45785</v>
      </c>
      <c r="CI173">
        <v>1</v>
      </c>
      <c r="CJ173">
        <v>2</v>
      </c>
      <c r="CK173">
        <v>21</v>
      </c>
      <c r="CL173" t="s">
        <v>89</v>
      </c>
    </row>
    <row r="174" spans="1:90" x14ac:dyDescent="0.3">
      <c r="A174" t="s">
        <v>72</v>
      </c>
      <c r="B174" t="s">
        <v>73</v>
      </c>
      <c r="C174" t="s">
        <v>74</v>
      </c>
      <c r="E174" t="str">
        <f>"080065164328"</f>
        <v>080065164328</v>
      </c>
      <c r="F174" s="3">
        <v>45782</v>
      </c>
      <c r="G174">
        <v>202602</v>
      </c>
      <c r="H174" t="s">
        <v>75</v>
      </c>
      <c r="I174" t="s">
        <v>76</v>
      </c>
      <c r="J174" t="s">
        <v>77</v>
      </c>
      <c r="K174" t="s">
        <v>78</v>
      </c>
      <c r="L174" t="s">
        <v>117</v>
      </c>
      <c r="M174" t="s">
        <v>118</v>
      </c>
      <c r="N174" t="s">
        <v>619</v>
      </c>
      <c r="O174" t="s">
        <v>82</v>
      </c>
      <c r="P174" t="str">
        <f>"4170036850                    "</f>
        <v xml:space="preserve">4170036850                    </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17.27</v>
      </c>
      <c r="AR174">
        <v>0</v>
      </c>
      <c r="AS174">
        <v>0</v>
      </c>
      <c r="AT174">
        <v>0</v>
      </c>
      <c r="AU174">
        <v>0</v>
      </c>
      <c r="AV174">
        <v>0</v>
      </c>
      <c r="AW174">
        <v>0</v>
      </c>
      <c r="AX174">
        <v>0</v>
      </c>
      <c r="AY174">
        <v>0</v>
      </c>
      <c r="AZ174">
        <v>0</v>
      </c>
      <c r="BA174">
        <v>0</v>
      </c>
      <c r="BB174">
        <v>0</v>
      </c>
      <c r="BC174">
        <v>0</v>
      </c>
      <c r="BD174">
        <v>0</v>
      </c>
      <c r="BE174">
        <v>0</v>
      </c>
      <c r="BF174">
        <v>0</v>
      </c>
      <c r="BG174">
        <v>0</v>
      </c>
      <c r="BH174">
        <v>1</v>
      </c>
      <c r="BI174">
        <v>1</v>
      </c>
      <c r="BJ174">
        <v>0.2</v>
      </c>
      <c r="BK174">
        <v>1</v>
      </c>
      <c r="BL174">
        <v>55.23</v>
      </c>
      <c r="BM174">
        <v>8.2799999999999994</v>
      </c>
      <c r="BN174">
        <v>63.51</v>
      </c>
      <c r="BO174">
        <v>63.51</v>
      </c>
      <c r="BQ174" t="s">
        <v>620</v>
      </c>
      <c r="BR174" t="s">
        <v>84</v>
      </c>
      <c r="BS174" s="3">
        <v>45783</v>
      </c>
      <c r="BT174" s="4">
        <v>0.39166666666666666</v>
      </c>
      <c r="BU174" t="s">
        <v>621</v>
      </c>
      <c r="BV174" t="s">
        <v>86</v>
      </c>
      <c r="BY174">
        <v>1230</v>
      </c>
      <c r="CA174" t="s">
        <v>622</v>
      </c>
      <c r="CC174" t="s">
        <v>118</v>
      </c>
      <c r="CD174">
        <v>2157</v>
      </c>
      <c r="CE174" t="s">
        <v>88</v>
      </c>
      <c r="CF174" s="3">
        <v>45783</v>
      </c>
      <c r="CI174">
        <v>1</v>
      </c>
      <c r="CJ174">
        <v>1</v>
      </c>
      <c r="CK174">
        <v>22</v>
      </c>
      <c r="CL174" t="s">
        <v>89</v>
      </c>
    </row>
    <row r="175" spans="1:90" x14ac:dyDescent="0.3">
      <c r="A175" t="s">
        <v>72</v>
      </c>
      <c r="B175" t="s">
        <v>73</v>
      </c>
      <c r="C175" t="s">
        <v>74</v>
      </c>
      <c r="E175" t="str">
        <f>"080065164373"</f>
        <v>080065164373</v>
      </c>
      <c r="F175" s="3">
        <v>45782</v>
      </c>
      <c r="G175">
        <v>202602</v>
      </c>
      <c r="H175" t="s">
        <v>75</v>
      </c>
      <c r="I175" t="s">
        <v>76</v>
      </c>
      <c r="J175" t="s">
        <v>77</v>
      </c>
      <c r="K175" t="s">
        <v>78</v>
      </c>
      <c r="L175" t="s">
        <v>320</v>
      </c>
      <c r="M175" t="s">
        <v>321</v>
      </c>
      <c r="N175" t="s">
        <v>499</v>
      </c>
      <c r="O175" t="s">
        <v>82</v>
      </c>
      <c r="P175" t="str">
        <f>"4170036860                    "</f>
        <v xml:space="preserve">4170036860                    </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22.11</v>
      </c>
      <c r="AR175">
        <v>0</v>
      </c>
      <c r="AS175">
        <v>0</v>
      </c>
      <c r="AT175">
        <v>0</v>
      </c>
      <c r="AU175">
        <v>0</v>
      </c>
      <c r="AV175">
        <v>0</v>
      </c>
      <c r="AW175">
        <v>0</v>
      </c>
      <c r="AX175">
        <v>0</v>
      </c>
      <c r="AY175">
        <v>0</v>
      </c>
      <c r="AZ175">
        <v>0</v>
      </c>
      <c r="BA175">
        <v>0</v>
      </c>
      <c r="BB175">
        <v>0</v>
      </c>
      <c r="BC175">
        <v>0</v>
      </c>
      <c r="BD175">
        <v>0</v>
      </c>
      <c r="BE175">
        <v>0</v>
      </c>
      <c r="BF175">
        <v>0</v>
      </c>
      <c r="BG175">
        <v>0</v>
      </c>
      <c r="BH175">
        <v>1</v>
      </c>
      <c r="BI175">
        <v>1</v>
      </c>
      <c r="BJ175">
        <v>0.2</v>
      </c>
      <c r="BK175">
        <v>1</v>
      </c>
      <c r="BL175">
        <v>70.709999999999994</v>
      </c>
      <c r="BM175">
        <v>10.61</v>
      </c>
      <c r="BN175">
        <v>81.319999999999993</v>
      </c>
      <c r="BO175">
        <v>81.319999999999993</v>
      </c>
      <c r="BQ175" t="s">
        <v>500</v>
      </c>
      <c r="BR175" t="s">
        <v>84</v>
      </c>
      <c r="BS175" s="3">
        <v>45783</v>
      </c>
      <c r="BT175" s="4">
        <v>0.52152777777777781</v>
      </c>
      <c r="BU175" t="s">
        <v>623</v>
      </c>
      <c r="BV175" t="s">
        <v>89</v>
      </c>
      <c r="BW175" t="s">
        <v>296</v>
      </c>
      <c r="BX175" t="s">
        <v>450</v>
      </c>
      <c r="BY175">
        <v>1200</v>
      </c>
      <c r="CA175" t="s">
        <v>326</v>
      </c>
      <c r="CC175" t="s">
        <v>321</v>
      </c>
      <c r="CD175">
        <v>4133</v>
      </c>
      <c r="CE175" t="s">
        <v>88</v>
      </c>
      <c r="CF175" s="3">
        <v>45784</v>
      </c>
      <c r="CI175">
        <v>1</v>
      </c>
      <c r="CJ175">
        <v>1</v>
      </c>
      <c r="CK175">
        <v>21</v>
      </c>
      <c r="CL175" t="s">
        <v>89</v>
      </c>
    </row>
    <row r="176" spans="1:90" x14ac:dyDescent="0.3">
      <c r="A176" t="s">
        <v>72</v>
      </c>
      <c r="B176" t="s">
        <v>73</v>
      </c>
      <c r="C176" t="s">
        <v>74</v>
      </c>
      <c r="E176" t="str">
        <f>"080065164409"</f>
        <v>080065164409</v>
      </c>
      <c r="F176" s="3">
        <v>45782</v>
      </c>
      <c r="G176">
        <v>202602</v>
      </c>
      <c r="H176" t="s">
        <v>75</v>
      </c>
      <c r="I176" t="s">
        <v>76</v>
      </c>
      <c r="J176" t="s">
        <v>77</v>
      </c>
      <c r="K176" t="s">
        <v>78</v>
      </c>
      <c r="L176" t="s">
        <v>624</v>
      </c>
      <c r="M176" t="s">
        <v>625</v>
      </c>
      <c r="N176" t="s">
        <v>626</v>
      </c>
      <c r="O176" t="s">
        <v>82</v>
      </c>
      <c r="P176" t="str">
        <f>"4170036839                    "</f>
        <v xml:space="preserve">4170036839                    </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42.84</v>
      </c>
      <c r="AR176">
        <v>0</v>
      </c>
      <c r="AS176">
        <v>0</v>
      </c>
      <c r="AT176">
        <v>0</v>
      </c>
      <c r="AU176">
        <v>0</v>
      </c>
      <c r="AV176">
        <v>0</v>
      </c>
      <c r="AW176">
        <v>0</v>
      </c>
      <c r="AX176">
        <v>0</v>
      </c>
      <c r="AY176">
        <v>0</v>
      </c>
      <c r="AZ176">
        <v>0</v>
      </c>
      <c r="BA176">
        <v>0</v>
      </c>
      <c r="BB176">
        <v>0</v>
      </c>
      <c r="BC176">
        <v>0</v>
      </c>
      <c r="BD176">
        <v>0</v>
      </c>
      <c r="BE176">
        <v>0</v>
      </c>
      <c r="BF176">
        <v>0</v>
      </c>
      <c r="BG176">
        <v>0</v>
      </c>
      <c r="BH176">
        <v>1</v>
      </c>
      <c r="BI176">
        <v>1</v>
      </c>
      <c r="BJ176">
        <v>0.2</v>
      </c>
      <c r="BK176">
        <v>1</v>
      </c>
      <c r="BL176">
        <v>137</v>
      </c>
      <c r="BM176">
        <v>20.55</v>
      </c>
      <c r="BN176">
        <v>157.55000000000001</v>
      </c>
      <c r="BO176">
        <v>157.55000000000001</v>
      </c>
      <c r="BQ176" t="s">
        <v>627</v>
      </c>
      <c r="BR176" t="s">
        <v>84</v>
      </c>
      <c r="BS176" s="3">
        <v>45783</v>
      </c>
      <c r="BT176" s="4">
        <v>0.34583333333333333</v>
      </c>
      <c r="BU176" t="s">
        <v>628</v>
      </c>
      <c r="BV176" t="s">
        <v>86</v>
      </c>
      <c r="BY176">
        <v>1200</v>
      </c>
      <c r="CA176" t="s">
        <v>629</v>
      </c>
      <c r="CC176" t="s">
        <v>625</v>
      </c>
      <c r="CD176">
        <v>1947</v>
      </c>
      <c r="CE176" t="s">
        <v>88</v>
      </c>
      <c r="CF176" s="3">
        <v>45784</v>
      </c>
      <c r="CI176">
        <v>1</v>
      </c>
      <c r="CJ176">
        <v>1</v>
      </c>
      <c r="CK176">
        <v>23</v>
      </c>
      <c r="CL176" t="s">
        <v>89</v>
      </c>
    </row>
    <row r="177" spans="1:90" x14ac:dyDescent="0.3">
      <c r="A177" t="s">
        <v>72</v>
      </c>
      <c r="B177" t="s">
        <v>73</v>
      </c>
      <c r="C177" t="s">
        <v>74</v>
      </c>
      <c r="E177" t="str">
        <f>"080065164458"</f>
        <v>080065164458</v>
      </c>
      <c r="F177" s="3">
        <v>45782</v>
      </c>
      <c r="G177">
        <v>202602</v>
      </c>
      <c r="H177" t="s">
        <v>75</v>
      </c>
      <c r="I177" t="s">
        <v>76</v>
      </c>
      <c r="J177" t="s">
        <v>77</v>
      </c>
      <c r="K177" t="s">
        <v>78</v>
      </c>
      <c r="L177" t="s">
        <v>266</v>
      </c>
      <c r="M177" t="s">
        <v>267</v>
      </c>
      <c r="N177" t="s">
        <v>499</v>
      </c>
      <c r="O177" t="s">
        <v>82</v>
      </c>
      <c r="P177" t="str">
        <f>"4170036863                    "</f>
        <v xml:space="preserve">4170036863                    </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22.11</v>
      </c>
      <c r="AR177">
        <v>0</v>
      </c>
      <c r="AS177">
        <v>0</v>
      </c>
      <c r="AT177">
        <v>0</v>
      </c>
      <c r="AU177">
        <v>0</v>
      </c>
      <c r="AV177">
        <v>0</v>
      </c>
      <c r="AW177">
        <v>0</v>
      </c>
      <c r="AX177">
        <v>0</v>
      </c>
      <c r="AY177">
        <v>0</v>
      </c>
      <c r="AZ177">
        <v>0</v>
      </c>
      <c r="BA177">
        <v>0</v>
      </c>
      <c r="BB177">
        <v>0</v>
      </c>
      <c r="BC177">
        <v>0</v>
      </c>
      <c r="BD177">
        <v>0</v>
      </c>
      <c r="BE177">
        <v>0</v>
      </c>
      <c r="BF177">
        <v>0</v>
      </c>
      <c r="BG177">
        <v>0</v>
      </c>
      <c r="BH177">
        <v>1</v>
      </c>
      <c r="BI177">
        <v>1</v>
      </c>
      <c r="BJ177">
        <v>0.2</v>
      </c>
      <c r="BK177">
        <v>1</v>
      </c>
      <c r="BL177">
        <v>70.709999999999994</v>
      </c>
      <c r="BM177">
        <v>10.61</v>
      </c>
      <c r="BN177">
        <v>81.319999999999993</v>
      </c>
      <c r="BO177">
        <v>81.319999999999993</v>
      </c>
      <c r="BQ177" t="s">
        <v>630</v>
      </c>
      <c r="BR177" t="s">
        <v>84</v>
      </c>
      <c r="BS177" s="3">
        <v>45783</v>
      </c>
      <c r="BT177" s="4">
        <v>0.42916666666666664</v>
      </c>
      <c r="BU177" t="s">
        <v>631</v>
      </c>
      <c r="BV177" t="s">
        <v>86</v>
      </c>
      <c r="BY177">
        <v>1200</v>
      </c>
      <c r="CA177" t="s">
        <v>632</v>
      </c>
      <c r="CC177" t="s">
        <v>267</v>
      </c>
      <c r="CD177">
        <v>6220</v>
      </c>
      <c r="CE177" t="s">
        <v>88</v>
      </c>
      <c r="CF177" s="3">
        <v>45783</v>
      </c>
      <c r="CI177">
        <v>1</v>
      </c>
      <c r="CJ177">
        <v>1</v>
      </c>
      <c r="CK177">
        <v>21</v>
      </c>
      <c r="CL177" t="s">
        <v>89</v>
      </c>
    </row>
    <row r="178" spans="1:90" x14ac:dyDescent="0.3">
      <c r="A178" t="s">
        <v>72</v>
      </c>
      <c r="B178" t="s">
        <v>73</v>
      </c>
      <c r="C178" t="s">
        <v>74</v>
      </c>
      <c r="E178" t="str">
        <f>"080065164485"</f>
        <v>080065164485</v>
      </c>
      <c r="F178" s="3">
        <v>45782</v>
      </c>
      <c r="G178">
        <v>202602</v>
      </c>
      <c r="H178" t="s">
        <v>75</v>
      </c>
      <c r="I178" t="s">
        <v>76</v>
      </c>
      <c r="J178" t="s">
        <v>77</v>
      </c>
      <c r="K178" t="s">
        <v>78</v>
      </c>
      <c r="L178" t="s">
        <v>123</v>
      </c>
      <c r="M178" t="s">
        <v>123</v>
      </c>
      <c r="N178" t="s">
        <v>317</v>
      </c>
      <c r="O178" t="s">
        <v>82</v>
      </c>
      <c r="P178" t="str">
        <f>"4170036818                    "</f>
        <v xml:space="preserve">4170036818                    </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42.84</v>
      </c>
      <c r="AR178">
        <v>0</v>
      </c>
      <c r="AS178">
        <v>0</v>
      </c>
      <c r="AT178">
        <v>0</v>
      </c>
      <c r="AU178">
        <v>0</v>
      </c>
      <c r="AV178">
        <v>0</v>
      </c>
      <c r="AW178">
        <v>0</v>
      </c>
      <c r="AX178">
        <v>0</v>
      </c>
      <c r="AY178">
        <v>0</v>
      </c>
      <c r="AZ178">
        <v>0</v>
      </c>
      <c r="BA178">
        <v>0</v>
      </c>
      <c r="BB178">
        <v>0</v>
      </c>
      <c r="BC178">
        <v>0</v>
      </c>
      <c r="BD178">
        <v>0</v>
      </c>
      <c r="BE178">
        <v>0</v>
      </c>
      <c r="BF178">
        <v>0</v>
      </c>
      <c r="BG178">
        <v>0</v>
      </c>
      <c r="BH178">
        <v>1</v>
      </c>
      <c r="BI178">
        <v>1</v>
      </c>
      <c r="BJ178">
        <v>0.2</v>
      </c>
      <c r="BK178">
        <v>1</v>
      </c>
      <c r="BL178">
        <v>137</v>
      </c>
      <c r="BM178">
        <v>20.55</v>
      </c>
      <c r="BN178">
        <v>157.55000000000001</v>
      </c>
      <c r="BO178">
        <v>157.55000000000001</v>
      </c>
      <c r="BQ178" t="s">
        <v>318</v>
      </c>
      <c r="BR178" t="s">
        <v>84</v>
      </c>
      <c r="BS178" s="3">
        <v>45784</v>
      </c>
      <c r="BT178" s="4">
        <v>0.54513888888888884</v>
      </c>
      <c r="BU178" t="s">
        <v>329</v>
      </c>
      <c r="BV178" t="s">
        <v>89</v>
      </c>
      <c r="BY178">
        <v>1200</v>
      </c>
      <c r="CA178" t="s">
        <v>128</v>
      </c>
      <c r="CC178" t="s">
        <v>123</v>
      </c>
      <c r="CD178">
        <v>7646</v>
      </c>
      <c r="CE178" t="s">
        <v>88</v>
      </c>
      <c r="CF178" s="3">
        <v>45785</v>
      </c>
      <c r="CI178">
        <v>1</v>
      </c>
      <c r="CJ178">
        <v>2</v>
      </c>
      <c r="CK178">
        <v>23</v>
      </c>
      <c r="CL178" t="s">
        <v>89</v>
      </c>
    </row>
    <row r="179" spans="1:90" x14ac:dyDescent="0.3">
      <c r="A179" t="s">
        <v>72</v>
      </c>
      <c r="B179" t="s">
        <v>73</v>
      </c>
      <c r="C179" t="s">
        <v>74</v>
      </c>
      <c r="E179" t="str">
        <f>"080065164523"</f>
        <v>080065164523</v>
      </c>
      <c r="F179" s="3">
        <v>45782</v>
      </c>
      <c r="G179">
        <v>202602</v>
      </c>
      <c r="H179" t="s">
        <v>75</v>
      </c>
      <c r="I179" t="s">
        <v>76</v>
      </c>
      <c r="J179" t="s">
        <v>77</v>
      </c>
      <c r="K179" t="s">
        <v>78</v>
      </c>
      <c r="L179" t="s">
        <v>103</v>
      </c>
      <c r="M179" t="s">
        <v>104</v>
      </c>
      <c r="N179" t="s">
        <v>633</v>
      </c>
      <c r="O179" t="s">
        <v>82</v>
      </c>
      <c r="P179" t="str">
        <f>"4170036846                    "</f>
        <v xml:space="preserve">4170036846                    </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22.11</v>
      </c>
      <c r="AR179">
        <v>0</v>
      </c>
      <c r="AS179">
        <v>0</v>
      </c>
      <c r="AT179">
        <v>0</v>
      </c>
      <c r="AU179">
        <v>0</v>
      </c>
      <c r="AV179">
        <v>0</v>
      </c>
      <c r="AW179">
        <v>0</v>
      </c>
      <c r="AX179">
        <v>0</v>
      </c>
      <c r="AY179">
        <v>0</v>
      </c>
      <c r="AZ179">
        <v>0</v>
      </c>
      <c r="BA179">
        <v>0</v>
      </c>
      <c r="BB179">
        <v>0</v>
      </c>
      <c r="BC179">
        <v>0</v>
      </c>
      <c r="BD179">
        <v>0</v>
      </c>
      <c r="BE179">
        <v>0</v>
      </c>
      <c r="BF179">
        <v>0</v>
      </c>
      <c r="BG179">
        <v>0</v>
      </c>
      <c r="BH179">
        <v>1</v>
      </c>
      <c r="BI179">
        <v>1</v>
      </c>
      <c r="BJ179">
        <v>0.2</v>
      </c>
      <c r="BK179">
        <v>1</v>
      </c>
      <c r="BL179">
        <v>70.709999999999994</v>
      </c>
      <c r="BM179">
        <v>10.61</v>
      </c>
      <c r="BN179">
        <v>81.319999999999993</v>
      </c>
      <c r="BO179">
        <v>81.319999999999993</v>
      </c>
      <c r="BQ179" t="s">
        <v>634</v>
      </c>
      <c r="BR179" t="s">
        <v>84</v>
      </c>
      <c r="BS179" s="3">
        <v>45783</v>
      </c>
      <c r="BT179" s="4">
        <v>0.49652777777777779</v>
      </c>
      <c r="BU179" t="s">
        <v>635</v>
      </c>
      <c r="BV179" t="s">
        <v>86</v>
      </c>
      <c r="BY179">
        <v>1200</v>
      </c>
      <c r="CA179" t="s">
        <v>440</v>
      </c>
      <c r="CC179" t="s">
        <v>104</v>
      </c>
      <c r="CD179">
        <v>3212</v>
      </c>
      <c r="CE179" t="s">
        <v>88</v>
      </c>
      <c r="CF179" s="3">
        <v>45784</v>
      </c>
      <c r="CI179">
        <v>2</v>
      </c>
      <c r="CJ179">
        <v>1</v>
      </c>
      <c r="CK179">
        <v>21</v>
      </c>
      <c r="CL179" t="s">
        <v>89</v>
      </c>
    </row>
    <row r="180" spans="1:90" x14ac:dyDescent="0.3">
      <c r="A180" t="s">
        <v>72</v>
      </c>
      <c r="B180" t="s">
        <v>73</v>
      </c>
      <c r="C180" t="s">
        <v>74</v>
      </c>
      <c r="E180" t="str">
        <f>"080065164557"</f>
        <v>080065164557</v>
      </c>
      <c r="F180" s="3">
        <v>45782</v>
      </c>
      <c r="G180">
        <v>202602</v>
      </c>
      <c r="H180" t="s">
        <v>75</v>
      </c>
      <c r="I180" t="s">
        <v>76</v>
      </c>
      <c r="J180" t="s">
        <v>77</v>
      </c>
      <c r="K180" t="s">
        <v>78</v>
      </c>
      <c r="L180" t="s">
        <v>123</v>
      </c>
      <c r="M180" t="s">
        <v>123</v>
      </c>
      <c r="N180" t="s">
        <v>317</v>
      </c>
      <c r="O180" t="s">
        <v>82</v>
      </c>
      <c r="P180" t="str">
        <f>"4170036814                    "</f>
        <v xml:space="preserve">4170036814                    </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42.84</v>
      </c>
      <c r="AR180">
        <v>0</v>
      </c>
      <c r="AS180">
        <v>0</v>
      </c>
      <c r="AT180">
        <v>0</v>
      </c>
      <c r="AU180">
        <v>0</v>
      </c>
      <c r="AV180">
        <v>0</v>
      </c>
      <c r="AW180">
        <v>0</v>
      </c>
      <c r="AX180">
        <v>0</v>
      </c>
      <c r="AY180">
        <v>0</v>
      </c>
      <c r="AZ180">
        <v>0</v>
      </c>
      <c r="BA180">
        <v>0</v>
      </c>
      <c r="BB180">
        <v>0</v>
      </c>
      <c r="BC180">
        <v>0</v>
      </c>
      <c r="BD180">
        <v>0</v>
      </c>
      <c r="BE180">
        <v>0</v>
      </c>
      <c r="BF180">
        <v>0</v>
      </c>
      <c r="BG180">
        <v>0</v>
      </c>
      <c r="BH180">
        <v>1</v>
      </c>
      <c r="BI180">
        <v>1</v>
      </c>
      <c r="BJ180">
        <v>0.2</v>
      </c>
      <c r="BK180">
        <v>1</v>
      </c>
      <c r="BL180">
        <v>137</v>
      </c>
      <c r="BM180">
        <v>20.55</v>
      </c>
      <c r="BN180">
        <v>157.55000000000001</v>
      </c>
      <c r="BO180">
        <v>157.55000000000001</v>
      </c>
      <c r="BQ180" t="s">
        <v>318</v>
      </c>
      <c r="BR180" t="s">
        <v>84</v>
      </c>
      <c r="BS180" s="3">
        <v>45784</v>
      </c>
      <c r="BT180" s="4">
        <v>0.54513888888888884</v>
      </c>
      <c r="BU180" t="s">
        <v>329</v>
      </c>
      <c r="BV180" t="s">
        <v>89</v>
      </c>
      <c r="BY180">
        <v>1200</v>
      </c>
      <c r="CA180" t="s">
        <v>128</v>
      </c>
      <c r="CC180" t="s">
        <v>123</v>
      </c>
      <c r="CD180">
        <v>7646</v>
      </c>
      <c r="CE180" t="s">
        <v>88</v>
      </c>
      <c r="CF180" s="3">
        <v>45785</v>
      </c>
      <c r="CI180">
        <v>1</v>
      </c>
      <c r="CJ180">
        <v>2</v>
      </c>
      <c r="CK180">
        <v>23</v>
      </c>
      <c r="CL180" t="s">
        <v>89</v>
      </c>
    </row>
    <row r="181" spans="1:90" x14ac:dyDescent="0.3">
      <c r="A181" t="s">
        <v>72</v>
      </c>
      <c r="B181" t="s">
        <v>73</v>
      </c>
      <c r="C181" t="s">
        <v>74</v>
      </c>
      <c r="E181" t="str">
        <f>"080065164588"</f>
        <v>080065164588</v>
      </c>
      <c r="F181" s="3">
        <v>45782</v>
      </c>
      <c r="G181">
        <v>202602</v>
      </c>
      <c r="H181" t="s">
        <v>75</v>
      </c>
      <c r="I181" t="s">
        <v>76</v>
      </c>
      <c r="J181" t="s">
        <v>77</v>
      </c>
      <c r="K181" t="s">
        <v>78</v>
      </c>
      <c r="L181" t="s">
        <v>123</v>
      </c>
      <c r="M181" t="s">
        <v>123</v>
      </c>
      <c r="N181" t="s">
        <v>317</v>
      </c>
      <c r="O181" t="s">
        <v>82</v>
      </c>
      <c r="P181" t="str">
        <f>"4170036828                    "</f>
        <v xml:space="preserve">4170036828                    </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42.84</v>
      </c>
      <c r="AR181">
        <v>0</v>
      </c>
      <c r="AS181">
        <v>0</v>
      </c>
      <c r="AT181">
        <v>0</v>
      </c>
      <c r="AU181">
        <v>0</v>
      </c>
      <c r="AV181">
        <v>0</v>
      </c>
      <c r="AW181">
        <v>0</v>
      </c>
      <c r="AX181">
        <v>0</v>
      </c>
      <c r="AY181">
        <v>0</v>
      </c>
      <c r="AZ181">
        <v>0</v>
      </c>
      <c r="BA181">
        <v>0</v>
      </c>
      <c r="BB181">
        <v>0</v>
      </c>
      <c r="BC181">
        <v>0</v>
      </c>
      <c r="BD181">
        <v>0</v>
      </c>
      <c r="BE181">
        <v>0</v>
      </c>
      <c r="BF181">
        <v>0</v>
      </c>
      <c r="BG181">
        <v>0</v>
      </c>
      <c r="BH181">
        <v>1</v>
      </c>
      <c r="BI181">
        <v>1</v>
      </c>
      <c r="BJ181">
        <v>0.2</v>
      </c>
      <c r="BK181">
        <v>1</v>
      </c>
      <c r="BL181">
        <v>137</v>
      </c>
      <c r="BM181">
        <v>20.55</v>
      </c>
      <c r="BN181">
        <v>157.55000000000001</v>
      </c>
      <c r="BO181">
        <v>157.55000000000001</v>
      </c>
      <c r="BQ181" t="s">
        <v>318</v>
      </c>
      <c r="BR181" t="s">
        <v>84</v>
      </c>
      <c r="BS181" s="3">
        <v>45784</v>
      </c>
      <c r="BT181" s="4">
        <v>0.54513888888888884</v>
      </c>
      <c r="BU181" t="s">
        <v>329</v>
      </c>
      <c r="BV181" t="s">
        <v>89</v>
      </c>
      <c r="BY181">
        <v>1200</v>
      </c>
      <c r="CA181" t="s">
        <v>128</v>
      </c>
      <c r="CC181" t="s">
        <v>123</v>
      </c>
      <c r="CD181">
        <v>7646</v>
      </c>
      <c r="CE181" t="s">
        <v>88</v>
      </c>
      <c r="CF181" s="3">
        <v>45785</v>
      </c>
      <c r="CI181">
        <v>1</v>
      </c>
      <c r="CJ181">
        <v>2</v>
      </c>
      <c r="CK181">
        <v>23</v>
      </c>
      <c r="CL181" t="s">
        <v>89</v>
      </c>
    </row>
    <row r="182" spans="1:90" x14ac:dyDescent="0.3">
      <c r="A182" t="s">
        <v>72</v>
      </c>
      <c r="B182" t="s">
        <v>73</v>
      </c>
      <c r="C182" t="s">
        <v>74</v>
      </c>
      <c r="E182" t="str">
        <f>"080065164647"</f>
        <v>080065164647</v>
      </c>
      <c r="F182" s="3">
        <v>45782</v>
      </c>
      <c r="G182">
        <v>202602</v>
      </c>
      <c r="H182" t="s">
        <v>75</v>
      </c>
      <c r="I182" t="s">
        <v>76</v>
      </c>
      <c r="J182" t="s">
        <v>77</v>
      </c>
      <c r="K182" t="s">
        <v>78</v>
      </c>
      <c r="L182" t="s">
        <v>463</v>
      </c>
      <c r="M182" t="s">
        <v>464</v>
      </c>
      <c r="N182" t="s">
        <v>636</v>
      </c>
      <c r="O182" t="s">
        <v>82</v>
      </c>
      <c r="P182" t="str">
        <f>"4170036832                    "</f>
        <v xml:space="preserve">4170036832                    </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22.11</v>
      </c>
      <c r="AR182">
        <v>0</v>
      </c>
      <c r="AS182">
        <v>0</v>
      </c>
      <c r="AT182">
        <v>0</v>
      </c>
      <c r="AU182">
        <v>0</v>
      </c>
      <c r="AV182">
        <v>0</v>
      </c>
      <c r="AW182">
        <v>0</v>
      </c>
      <c r="AX182">
        <v>0</v>
      </c>
      <c r="AY182">
        <v>0</v>
      </c>
      <c r="AZ182">
        <v>0</v>
      </c>
      <c r="BA182">
        <v>0</v>
      </c>
      <c r="BB182">
        <v>0</v>
      </c>
      <c r="BC182">
        <v>0</v>
      </c>
      <c r="BD182">
        <v>0</v>
      </c>
      <c r="BE182">
        <v>0</v>
      </c>
      <c r="BF182">
        <v>0</v>
      </c>
      <c r="BG182">
        <v>0</v>
      </c>
      <c r="BH182">
        <v>1</v>
      </c>
      <c r="BI182">
        <v>1</v>
      </c>
      <c r="BJ182">
        <v>0.2</v>
      </c>
      <c r="BK182">
        <v>1</v>
      </c>
      <c r="BL182">
        <v>70.709999999999994</v>
      </c>
      <c r="BM182">
        <v>10.61</v>
      </c>
      <c r="BN182">
        <v>81.319999999999993</v>
      </c>
      <c r="BO182">
        <v>81.319999999999993</v>
      </c>
      <c r="BQ182" t="s">
        <v>637</v>
      </c>
      <c r="BR182" t="s">
        <v>84</v>
      </c>
      <c r="BS182" s="3">
        <v>45783</v>
      </c>
      <c r="BT182" s="4">
        <v>0.6</v>
      </c>
      <c r="BU182" t="s">
        <v>638</v>
      </c>
      <c r="BV182" t="s">
        <v>86</v>
      </c>
      <c r="BY182">
        <v>1200</v>
      </c>
      <c r="CA182" t="s">
        <v>468</v>
      </c>
      <c r="CC182" t="s">
        <v>464</v>
      </c>
      <c r="CD182">
        <v>5201</v>
      </c>
      <c r="CE182" t="s">
        <v>88</v>
      </c>
      <c r="CF182" s="3">
        <v>45783</v>
      </c>
      <c r="CI182">
        <v>5</v>
      </c>
      <c r="CJ182">
        <v>1</v>
      </c>
      <c r="CK182">
        <v>21</v>
      </c>
      <c r="CL182" t="s">
        <v>89</v>
      </c>
    </row>
    <row r="183" spans="1:90" x14ac:dyDescent="0.3">
      <c r="A183" t="s">
        <v>72</v>
      </c>
      <c r="B183" t="s">
        <v>73</v>
      </c>
      <c r="C183" t="s">
        <v>74</v>
      </c>
      <c r="E183" t="str">
        <f>"080065164678"</f>
        <v>080065164678</v>
      </c>
      <c r="F183" s="3">
        <v>45782</v>
      </c>
      <c r="G183">
        <v>202602</v>
      </c>
      <c r="H183" t="s">
        <v>75</v>
      </c>
      <c r="I183" t="s">
        <v>76</v>
      </c>
      <c r="J183" t="s">
        <v>77</v>
      </c>
      <c r="K183" t="s">
        <v>78</v>
      </c>
      <c r="L183" t="s">
        <v>90</v>
      </c>
      <c r="M183" t="s">
        <v>91</v>
      </c>
      <c r="N183" t="s">
        <v>639</v>
      </c>
      <c r="O183" t="s">
        <v>82</v>
      </c>
      <c r="P183" t="str">
        <f>"4170036877                    "</f>
        <v xml:space="preserve">4170036877                    </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22.11</v>
      </c>
      <c r="AR183">
        <v>0</v>
      </c>
      <c r="AS183">
        <v>0</v>
      </c>
      <c r="AT183">
        <v>0</v>
      </c>
      <c r="AU183">
        <v>0</v>
      </c>
      <c r="AV183">
        <v>0</v>
      </c>
      <c r="AW183">
        <v>0</v>
      </c>
      <c r="AX183">
        <v>0</v>
      </c>
      <c r="AY183">
        <v>0</v>
      </c>
      <c r="AZ183">
        <v>0</v>
      </c>
      <c r="BA183">
        <v>0</v>
      </c>
      <c r="BB183">
        <v>0</v>
      </c>
      <c r="BC183">
        <v>0</v>
      </c>
      <c r="BD183">
        <v>0</v>
      </c>
      <c r="BE183">
        <v>0</v>
      </c>
      <c r="BF183">
        <v>0</v>
      </c>
      <c r="BG183">
        <v>0</v>
      </c>
      <c r="BH183">
        <v>1</v>
      </c>
      <c r="BI183">
        <v>1</v>
      </c>
      <c r="BJ183">
        <v>0.2</v>
      </c>
      <c r="BK183">
        <v>1</v>
      </c>
      <c r="BL183">
        <v>70.709999999999994</v>
      </c>
      <c r="BM183">
        <v>10.61</v>
      </c>
      <c r="BN183">
        <v>81.319999999999993</v>
      </c>
      <c r="BO183">
        <v>81.319999999999993</v>
      </c>
      <c r="BQ183" t="s">
        <v>640</v>
      </c>
      <c r="BR183" t="s">
        <v>84</v>
      </c>
      <c r="BS183" s="3">
        <v>45783</v>
      </c>
      <c r="BT183" s="4">
        <v>0.36666666666666664</v>
      </c>
      <c r="BU183" t="s">
        <v>641</v>
      </c>
      <c r="BV183" t="s">
        <v>86</v>
      </c>
      <c r="BY183">
        <v>1200</v>
      </c>
      <c r="CA183" t="s">
        <v>632</v>
      </c>
      <c r="CC183" t="s">
        <v>91</v>
      </c>
      <c r="CD183">
        <v>6001</v>
      </c>
      <c r="CE183" t="s">
        <v>88</v>
      </c>
      <c r="CF183" s="3">
        <v>45783</v>
      </c>
      <c r="CI183">
        <v>1</v>
      </c>
      <c r="CJ183">
        <v>1</v>
      </c>
      <c r="CK183">
        <v>21</v>
      </c>
      <c r="CL183" t="s">
        <v>89</v>
      </c>
    </row>
    <row r="184" spans="1:90" x14ac:dyDescent="0.3">
      <c r="A184" t="s">
        <v>72</v>
      </c>
      <c r="B184" t="s">
        <v>73</v>
      </c>
      <c r="C184" t="s">
        <v>74</v>
      </c>
      <c r="E184" t="str">
        <f>"080065164813"</f>
        <v>080065164813</v>
      </c>
      <c r="F184" s="3">
        <v>45782</v>
      </c>
      <c r="G184">
        <v>202602</v>
      </c>
      <c r="H184" t="s">
        <v>75</v>
      </c>
      <c r="I184" t="s">
        <v>76</v>
      </c>
      <c r="J184" t="s">
        <v>77</v>
      </c>
      <c r="K184" t="s">
        <v>78</v>
      </c>
      <c r="L184" t="s">
        <v>642</v>
      </c>
      <c r="M184" t="s">
        <v>643</v>
      </c>
      <c r="N184" t="s">
        <v>644</v>
      </c>
      <c r="O184" t="s">
        <v>82</v>
      </c>
      <c r="P184" t="str">
        <f>"4170036862                    "</f>
        <v xml:space="preserve">4170036862                    </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42.84</v>
      </c>
      <c r="AR184">
        <v>0</v>
      </c>
      <c r="AS184">
        <v>0</v>
      </c>
      <c r="AT184">
        <v>0</v>
      </c>
      <c r="AU184">
        <v>0</v>
      </c>
      <c r="AV184">
        <v>0</v>
      </c>
      <c r="AW184">
        <v>0</v>
      </c>
      <c r="AX184">
        <v>0</v>
      </c>
      <c r="AY184">
        <v>0</v>
      </c>
      <c r="AZ184">
        <v>0</v>
      </c>
      <c r="BA184">
        <v>0</v>
      </c>
      <c r="BB184">
        <v>0</v>
      </c>
      <c r="BC184">
        <v>0</v>
      </c>
      <c r="BD184">
        <v>0</v>
      </c>
      <c r="BE184">
        <v>0</v>
      </c>
      <c r="BF184">
        <v>0</v>
      </c>
      <c r="BG184">
        <v>0</v>
      </c>
      <c r="BH184">
        <v>1</v>
      </c>
      <c r="BI184">
        <v>1</v>
      </c>
      <c r="BJ184">
        <v>0.2</v>
      </c>
      <c r="BK184">
        <v>1</v>
      </c>
      <c r="BL184">
        <v>137</v>
      </c>
      <c r="BM184">
        <v>20.55</v>
      </c>
      <c r="BN184">
        <v>157.55000000000001</v>
      </c>
      <c r="BO184">
        <v>157.55000000000001</v>
      </c>
      <c r="BQ184" t="s">
        <v>645</v>
      </c>
      <c r="BR184" t="s">
        <v>84</v>
      </c>
      <c r="BS184" s="3">
        <v>45783</v>
      </c>
      <c r="BT184" s="4">
        <v>0.48541666666666666</v>
      </c>
      <c r="BU184" t="s">
        <v>646</v>
      </c>
      <c r="BV184" t="s">
        <v>86</v>
      </c>
      <c r="BY184">
        <v>1200</v>
      </c>
      <c r="BZ184" t="s">
        <v>35</v>
      </c>
      <c r="CA184" t="s">
        <v>647</v>
      </c>
      <c r="CC184" t="s">
        <v>643</v>
      </c>
      <c r="CD184">
        <v>3236</v>
      </c>
      <c r="CE184" t="s">
        <v>88</v>
      </c>
      <c r="CF184" s="3">
        <v>45784</v>
      </c>
      <c r="CI184">
        <v>5</v>
      </c>
      <c r="CJ184">
        <v>1</v>
      </c>
      <c r="CK184">
        <v>23</v>
      </c>
      <c r="CL184" t="s">
        <v>89</v>
      </c>
    </row>
    <row r="185" spans="1:90" x14ac:dyDescent="0.3">
      <c r="A185" t="s">
        <v>72</v>
      </c>
      <c r="B185" t="s">
        <v>73</v>
      </c>
      <c r="C185" t="s">
        <v>74</v>
      </c>
      <c r="E185" t="str">
        <f>"080065164884"</f>
        <v>080065164884</v>
      </c>
      <c r="F185" s="3">
        <v>45782</v>
      </c>
      <c r="G185">
        <v>202602</v>
      </c>
      <c r="H185" t="s">
        <v>75</v>
      </c>
      <c r="I185" t="s">
        <v>76</v>
      </c>
      <c r="J185" t="s">
        <v>77</v>
      </c>
      <c r="K185" t="s">
        <v>78</v>
      </c>
      <c r="L185" t="s">
        <v>648</v>
      </c>
      <c r="M185" t="s">
        <v>649</v>
      </c>
      <c r="N185" t="s">
        <v>650</v>
      </c>
      <c r="O185" t="s">
        <v>300</v>
      </c>
      <c r="P185" t="str">
        <f>"4170036880                    "</f>
        <v xml:space="preserve">4170036880                    </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143.93</v>
      </c>
      <c r="AR185">
        <v>0</v>
      </c>
      <c r="AS185">
        <v>0</v>
      </c>
      <c r="AT185">
        <v>0</v>
      </c>
      <c r="AU185">
        <v>0</v>
      </c>
      <c r="AV185">
        <v>0</v>
      </c>
      <c r="AW185">
        <v>0</v>
      </c>
      <c r="AX185">
        <v>0</v>
      </c>
      <c r="AY185">
        <v>0</v>
      </c>
      <c r="AZ185">
        <v>0</v>
      </c>
      <c r="BA185">
        <v>0</v>
      </c>
      <c r="BB185">
        <v>0</v>
      </c>
      <c r="BC185">
        <v>0</v>
      </c>
      <c r="BD185">
        <v>0</v>
      </c>
      <c r="BE185">
        <v>0</v>
      </c>
      <c r="BF185">
        <v>0</v>
      </c>
      <c r="BG185">
        <v>0</v>
      </c>
      <c r="BH185">
        <v>2</v>
      </c>
      <c r="BI185">
        <v>130</v>
      </c>
      <c r="BJ185">
        <v>129.19999999999999</v>
      </c>
      <c r="BK185">
        <v>130</v>
      </c>
      <c r="BL185">
        <v>465.82</v>
      </c>
      <c r="BM185">
        <v>69.87</v>
      </c>
      <c r="BN185">
        <v>535.69000000000005</v>
      </c>
      <c r="BO185">
        <v>535.69000000000005</v>
      </c>
      <c r="BQ185" t="s">
        <v>651</v>
      </c>
      <c r="BR185" t="s">
        <v>84</v>
      </c>
      <c r="BS185" s="3">
        <v>45783</v>
      </c>
      <c r="BT185" s="4">
        <v>0.53125</v>
      </c>
      <c r="BU185" t="s">
        <v>652</v>
      </c>
      <c r="BV185" t="s">
        <v>86</v>
      </c>
      <c r="BY185">
        <v>322944</v>
      </c>
      <c r="CA185" t="s">
        <v>653</v>
      </c>
      <c r="CC185" t="s">
        <v>649</v>
      </c>
      <c r="CD185">
        <v>1559</v>
      </c>
      <c r="CE185" t="s">
        <v>654</v>
      </c>
      <c r="CF185" s="3">
        <v>45784</v>
      </c>
      <c r="CI185">
        <v>1</v>
      </c>
      <c r="CJ185">
        <v>1</v>
      </c>
      <c r="CK185">
        <v>42</v>
      </c>
      <c r="CL185" t="s">
        <v>89</v>
      </c>
    </row>
    <row r="186" spans="1:90" x14ac:dyDescent="0.3">
      <c r="A186" t="s">
        <v>72</v>
      </c>
      <c r="B186" t="s">
        <v>73</v>
      </c>
      <c r="C186" t="s">
        <v>74</v>
      </c>
      <c r="E186" t="str">
        <f>"080065164928"</f>
        <v>080065164928</v>
      </c>
      <c r="F186" s="3">
        <v>45782</v>
      </c>
      <c r="G186">
        <v>202602</v>
      </c>
      <c r="H186" t="s">
        <v>75</v>
      </c>
      <c r="I186" t="s">
        <v>76</v>
      </c>
      <c r="J186" t="s">
        <v>77</v>
      </c>
      <c r="K186" t="s">
        <v>78</v>
      </c>
      <c r="L186" t="s">
        <v>136</v>
      </c>
      <c r="M186" t="s">
        <v>137</v>
      </c>
      <c r="N186" t="s">
        <v>441</v>
      </c>
      <c r="O186" t="s">
        <v>82</v>
      </c>
      <c r="P186" t="str">
        <f>"4170036829                    "</f>
        <v xml:space="preserve">4170036829                    </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22.11</v>
      </c>
      <c r="AR186">
        <v>0</v>
      </c>
      <c r="AS186">
        <v>0</v>
      </c>
      <c r="AT186">
        <v>0</v>
      </c>
      <c r="AU186">
        <v>0</v>
      </c>
      <c r="AV186">
        <v>0</v>
      </c>
      <c r="AW186">
        <v>0</v>
      </c>
      <c r="AX186">
        <v>0</v>
      </c>
      <c r="AY186">
        <v>0</v>
      </c>
      <c r="AZ186">
        <v>0</v>
      </c>
      <c r="BA186">
        <v>0</v>
      </c>
      <c r="BB186">
        <v>0</v>
      </c>
      <c r="BC186">
        <v>0</v>
      </c>
      <c r="BD186">
        <v>0</v>
      </c>
      <c r="BE186">
        <v>0</v>
      </c>
      <c r="BF186">
        <v>0</v>
      </c>
      <c r="BG186">
        <v>0</v>
      </c>
      <c r="BH186">
        <v>1</v>
      </c>
      <c r="BI186">
        <v>2</v>
      </c>
      <c r="BJ186">
        <v>0.9</v>
      </c>
      <c r="BK186">
        <v>2</v>
      </c>
      <c r="BL186">
        <v>70.709999999999994</v>
      </c>
      <c r="BM186">
        <v>10.61</v>
      </c>
      <c r="BN186">
        <v>81.319999999999993</v>
      </c>
      <c r="BO186">
        <v>81.319999999999993</v>
      </c>
      <c r="BQ186" t="s">
        <v>442</v>
      </c>
      <c r="BR186" t="s">
        <v>84</v>
      </c>
      <c r="BS186" s="3">
        <v>45783</v>
      </c>
      <c r="BT186" s="4">
        <v>0.53125</v>
      </c>
      <c r="BU186" t="s">
        <v>514</v>
      </c>
      <c r="BV186" t="s">
        <v>86</v>
      </c>
      <c r="BY186">
        <v>4275</v>
      </c>
      <c r="CA186" t="s">
        <v>199</v>
      </c>
      <c r="CC186" t="s">
        <v>137</v>
      </c>
      <c r="CD186" s="5" t="s">
        <v>444</v>
      </c>
      <c r="CE186" t="s">
        <v>116</v>
      </c>
      <c r="CF186" s="3">
        <v>45783</v>
      </c>
      <c r="CI186">
        <v>1</v>
      </c>
      <c r="CJ186">
        <v>1</v>
      </c>
      <c r="CK186">
        <v>21</v>
      </c>
      <c r="CL186" t="s">
        <v>89</v>
      </c>
    </row>
    <row r="187" spans="1:90" x14ac:dyDescent="0.3">
      <c r="A187" t="s">
        <v>72</v>
      </c>
      <c r="B187" t="s">
        <v>73</v>
      </c>
      <c r="C187" t="s">
        <v>74</v>
      </c>
      <c r="E187" t="str">
        <f>"080065165001"</f>
        <v>080065165001</v>
      </c>
      <c r="F187" s="3">
        <v>45782</v>
      </c>
      <c r="G187">
        <v>202602</v>
      </c>
      <c r="H187" t="s">
        <v>75</v>
      </c>
      <c r="I187" t="s">
        <v>76</v>
      </c>
      <c r="J187" t="s">
        <v>77</v>
      </c>
      <c r="K187" t="s">
        <v>78</v>
      </c>
      <c r="L187" t="s">
        <v>222</v>
      </c>
      <c r="M187" t="s">
        <v>223</v>
      </c>
      <c r="N187" t="s">
        <v>224</v>
      </c>
      <c r="O187" t="s">
        <v>82</v>
      </c>
      <c r="P187" t="str">
        <f>"4170036330                    "</f>
        <v xml:space="preserve">4170036330                    </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31.1</v>
      </c>
      <c r="AR187">
        <v>0</v>
      </c>
      <c r="AS187">
        <v>0</v>
      </c>
      <c r="AT187">
        <v>0</v>
      </c>
      <c r="AU187">
        <v>0</v>
      </c>
      <c r="AV187">
        <v>0</v>
      </c>
      <c r="AW187">
        <v>0</v>
      </c>
      <c r="AX187">
        <v>0</v>
      </c>
      <c r="AY187">
        <v>0</v>
      </c>
      <c r="AZ187">
        <v>0</v>
      </c>
      <c r="BA187">
        <v>0</v>
      </c>
      <c r="BB187">
        <v>0</v>
      </c>
      <c r="BC187">
        <v>0</v>
      </c>
      <c r="BD187">
        <v>0</v>
      </c>
      <c r="BE187">
        <v>0</v>
      </c>
      <c r="BF187">
        <v>0</v>
      </c>
      <c r="BG187">
        <v>0</v>
      </c>
      <c r="BH187">
        <v>1</v>
      </c>
      <c r="BI187">
        <v>1</v>
      </c>
      <c r="BJ187">
        <v>1.9</v>
      </c>
      <c r="BK187">
        <v>2</v>
      </c>
      <c r="BL187">
        <v>99.45</v>
      </c>
      <c r="BM187">
        <v>14.92</v>
      </c>
      <c r="BN187">
        <v>114.37</v>
      </c>
      <c r="BO187">
        <v>114.37</v>
      </c>
      <c r="BQ187" t="s">
        <v>225</v>
      </c>
      <c r="BR187" t="s">
        <v>84</v>
      </c>
      <c r="BS187" s="3">
        <v>45784</v>
      </c>
      <c r="BT187" s="4">
        <v>0.39305555555555555</v>
      </c>
      <c r="BU187" t="s">
        <v>655</v>
      </c>
      <c r="BV187" t="s">
        <v>89</v>
      </c>
      <c r="BW187" t="s">
        <v>656</v>
      </c>
      <c r="BX187" t="s">
        <v>657</v>
      </c>
      <c r="BY187">
        <v>9600</v>
      </c>
      <c r="CA187" t="s">
        <v>227</v>
      </c>
      <c r="CC187" t="s">
        <v>223</v>
      </c>
      <c r="CD187">
        <v>1754</v>
      </c>
      <c r="CE187" t="s">
        <v>116</v>
      </c>
      <c r="CF187" s="3">
        <v>45785</v>
      </c>
      <c r="CI187">
        <v>1</v>
      </c>
      <c r="CJ187">
        <v>2</v>
      </c>
      <c r="CK187">
        <v>24</v>
      </c>
      <c r="CL187" t="s">
        <v>89</v>
      </c>
    </row>
    <row r="188" spans="1:90" x14ac:dyDescent="0.3">
      <c r="A188" t="s">
        <v>72</v>
      </c>
      <c r="B188" t="s">
        <v>73</v>
      </c>
      <c r="C188" t="s">
        <v>74</v>
      </c>
      <c r="E188" t="str">
        <f>"080065165510"</f>
        <v>080065165510</v>
      </c>
      <c r="F188" s="3">
        <v>45782</v>
      </c>
      <c r="G188">
        <v>202602</v>
      </c>
      <c r="H188" t="s">
        <v>75</v>
      </c>
      <c r="I188" t="s">
        <v>76</v>
      </c>
      <c r="J188" t="s">
        <v>77</v>
      </c>
      <c r="K188" t="s">
        <v>78</v>
      </c>
      <c r="L188" t="s">
        <v>123</v>
      </c>
      <c r="M188" t="s">
        <v>123</v>
      </c>
      <c r="N188" t="s">
        <v>658</v>
      </c>
      <c r="O188" t="s">
        <v>82</v>
      </c>
      <c r="P188" t="str">
        <f>"4170036831                    "</f>
        <v xml:space="preserve">4170036831                    </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42.84</v>
      </c>
      <c r="AR188">
        <v>0</v>
      </c>
      <c r="AS188">
        <v>0</v>
      </c>
      <c r="AT188">
        <v>0</v>
      </c>
      <c r="AU188">
        <v>0</v>
      </c>
      <c r="AV188">
        <v>0</v>
      </c>
      <c r="AW188">
        <v>0</v>
      </c>
      <c r="AX188">
        <v>0</v>
      </c>
      <c r="AY188">
        <v>0</v>
      </c>
      <c r="AZ188">
        <v>0</v>
      </c>
      <c r="BA188">
        <v>0</v>
      </c>
      <c r="BB188">
        <v>0</v>
      </c>
      <c r="BC188">
        <v>0</v>
      </c>
      <c r="BD188">
        <v>0</v>
      </c>
      <c r="BE188">
        <v>0</v>
      </c>
      <c r="BF188">
        <v>0</v>
      </c>
      <c r="BG188">
        <v>0</v>
      </c>
      <c r="BH188">
        <v>1</v>
      </c>
      <c r="BI188">
        <v>1</v>
      </c>
      <c r="BJ188">
        <v>0.2</v>
      </c>
      <c r="BK188">
        <v>1</v>
      </c>
      <c r="BL188">
        <v>137</v>
      </c>
      <c r="BM188">
        <v>20.55</v>
      </c>
      <c r="BN188">
        <v>157.55000000000001</v>
      </c>
      <c r="BO188">
        <v>157.55000000000001</v>
      </c>
      <c r="BQ188" t="s">
        <v>659</v>
      </c>
      <c r="BR188" t="s">
        <v>84</v>
      </c>
      <c r="BS188" s="3">
        <v>45784</v>
      </c>
      <c r="BT188" s="4">
        <v>0.49375000000000002</v>
      </c>
      <c r="BU188" t="s">
        <v>660</v>
      </c>
      <c r="BV188" t="s">
        <v>89</v>
      </c>
      <c r="BY188">
        <v>1200</v>
      </c>
      <c r="CA188" t="s">
        <v>128</v>
      </c>
      <c r="CC188" t="s">
        <v>123</v>
      </c>
      <c r="CD188">
        <v>7646</v>
      </c>
      <c r="CE188" t="s">
        <v>88</v>
      </c>
      <c r="CF188" s="3">
        <v>45785</v>
      </c>
      <c r="CI188">
        <v>1</v>
      </c>
      <c r="CJ188">
        <v>2</v>
      </c>
      <c r="CK188">
        <v>23</v>
      </c>
      <c r="CL188" t="s">
        <v>89</v>
      </c>
    </row>
    <row r="189" spans="1:90" x14ac:dyDescent="0.3">
      <c r="A189" t="s">
        <v>72</v>
      </c>
      <c r="B189" t="s">
        <v>73</v>
      </c>
      <c r="C189" t="s">
        <v>74</v>
      </c>
      <c r="E189" t="str">
        <f>"080065165546"</f>
        <v>080065165546</v>
      </c>
      <c r="F189" s="3">
        <v>45782</v>
      </c>
      <c r="G189">
        <v>202602</v>
      </c>
      <c r="H189" t="s">
        <v>75</v>
      </c>
      <c r="I189" t="s">
        <v>76</v>
      </c>
      <c r="J189" t="s">
        <v>77</v>
      </c>
      <c r="K189" t="s">
        <v>78</v>
      </c>
      <c r="L189" t="s">
        <v>75</v>
      </c>
      <c r="M189" t="s">
        <v>76</v>
      </c>
      <c r="N189" t="s">
        <v>661</v>
      </c>
      <c r="O189" t="s">
        <v>82</v>
      </c>
      <c r="P189" t="str">
        <f>"4170036836                    "</f>
        <v xml:space="preserve">4170036836                    </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17.27</v>
      </c>
      <c r="AR189">
        <v>0</v>
      </c>
      <c r="AS189">
        <v>0</v>
      </c>
      <c r="AT189">
        <v>0</v>
      </c>
      <c r="AU189">
        <v>0</v>
      </c>
      <c r="AV189">
        <v>0</v>
      </c>
      <c r="AW189">
        <v>0</v>
      </c>
      <c r="AX189">
        <v>0</v>
      </c>
      <c r="AY189">
        <v>0</v>
      </c>
      <c r="AZ189">
        <v>0</v>
      </c>
      <c r="BA189">
        <v>0</v>
      </c>
      <c r="BB189">
        <v>0</v>
      </c>
      <c r="BC189">
        <v>0</v>
      </c>
      <c r="BD189">
        <v>0</v>
      </c>
      <c r="BE189">
        <v>0</v>
      </c>
      <c r="BF189">
        <v>0</v>
      </c>
      <c r="BG189">
        <v>0</v>
      </c>
      <c r="BH189">
        <v>1</v>
      </c>
      <c r="BI189">
        <v>1</v>
      </c>
      <c r="BJ189">
        <v>0.2</v>
      </c>
      <c r="BK189">
        <v>1</v>
      </c>
      <c r="BL189">
        <v>55.23</v>
      </c>
      <c r="BM189">
        <v>8.2799999999999994</v>
      </c>
      <c r="BN189">
        <v>63.51</v>
      </c>
      <c r="BO189">
        <v>63.51</v>
      </c>
      <c r="BQ189" t="s">
        <v>460</v>
      </c>
      <c r="BR189" t="s">
        <v>84</v>
      </c>
      <c r="BS189" s="3">
        <v>45783</v>
      </c>
      <c r="BT189" s="4">
        <v>0.42986111111111114</v>
      </c>
      <c r="BU189" t="s">
        <v>662</v>
      </c>
      <c r="BV189" t="s">
        <v>86</v>
      </c>
      <c r="BY189">
        <v>1200</v>
      </c>
      <c r="CA189" t="s">
        <v>150</v>
      </c>
      <c r="CC189" t="s">
        <v>76</v>
      </c>
      <c r="CD189">
        <v>1614</v>
      </c>
      <c r="CE189" t="s">
        <v>88</v>
      </c>
      <c r="CF189" s="3">
        <v>45783</v>
      </c>
      <c r="CI189">
        <v>1</v>
      </c>
      <c r="CJ189">
        <v>1</v>
      </c>
      <c r="CK189">
        <v>22</v>
      </c>
      <c r="CL189" t="s">
        <v>89</v>
      </c>
    </row>
    <row r="190" spans="1:90" x14ac:dyDescent="0.3">
      <c r="A190" t="s">
        <v>72</v>
      </c>
      <c r="B190" t="s">
        <v>73</v>
      </c>
      <c r="C190" t="s">
        <v>74</v>
      </c>
      <c r="E190" t="str">
        <f>"080065165556"</f>
        <v>080065165556</v>
      </c>
      <c r="F190" s="3">
        <v>45782</v>
      </c>
      <c r="G190">
        <v>202602</v>
      </c>
      <c r="H190" t="s">
        <v>75</v>
      </c>
      <c r="I190" t="s">
        <v>76</v>
      </c>
      <c r="J190" t="s">
        <v>77</v>
      </c>
      <c r="K190" t="s">
        <v>78</v>
      </c>
      <c r="L190" t="s">
        <v>266</v>
      </c>
      <c r="M190" t="s">
        <v>267</v>
      </c>
      <c r="N190" t="s">
        <v>663</v>
      </c>
      <c r="O190" t="s">
        <v>82</v>
      </c>
      <c r="P190" t="str">
        <f>"4170036861                    "</f>
        <v xml:space="preserve">4170036861                    </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49.73</v>
      </c>
      <c r="AR190">
        <v>0</v>
      </c>
      <c r="AS190">
        <v>0</v>
      </c>
      <c r="AT190">
        <v>0</v>
      </c>
      <c r="AU190">
        <v>0</v>
      </c>
      <c r="AV190">
        <v>0</v>
      </c>
      <c r="AW190">
        <v>0</v>
      </c>
      <c r="AX190">
        <v>0</v>
      </c>
      <c r="AY190">
        <v>0</v>
      </c>
      <c r="AZ190">
        <v>0</v>
      </c>
      <c r="BA190">
        <v>0</v>
      </c>
      <c r="BB190">
        <v>0</v>
      </c>
      <c r="BC190">
        <v>0</v>
      </c>
      <c r="BD190">
        <v>0</v>
      </c>
      <c r="BE190">
        <v>0</v>
      </c>
      <c r="BF190">
        <v>0</v>
      </c>
      <c r="BG190">
        <v>0</v>
      </c>
      <c r="BH190">
        <v>1</v>
      </c>
      <c r="BI190">
        <v>3</v>
      </c>
      <c r="BJ190">
        <v>4.2</v>
      </c>
      <c r="BK190">
        <v>4.5</v>
      </c>
      <c r="BL190">
        <v>159.03</v>
      </c>
      <c r="BM190">
        <v>23.85</v>
      </c>
      <c r="BN190">
        <v>182.88</v>
      </c>
      <c r="BO190">
        <v>182.88</v>
      </c>
      <c r="BQ190" t="s">
        <v>664</v>
      </c>
      <c r="BR190" t="s">
        <v>84</v>
      </c>
      <c r="BS190" s="3">
        <v>45783</v>
      </c>
      <c r="BT190" s="4">
        <v>0.42916666666666664</v>
      </c>
      <c r="BU190" t="s">
        <v>631</v>
      </c>
      <c r="BV190" t="s">
        <v>86</v>
      </c>
      <c r="BY190">
        <v>21120</v>
      </c>
      <c r="CA190" t="s">
        <v>632</v>
      </c>
      <c r="CC190" t="s">
        <v>267</v>
      </c>
      <c r="CD190">
        <v>6220</v>
      </c>
      <c r="CE190" t="s">
        <v>221</v>
      </c>
      <c r="CF190" s="3">
        <v>45783</v>
      </c>
      <c r="CI190">
        <v>1</v>
      </c>
      <c r="CJ190">
        <v>1</v>
      </c>
      <c r="CK190">
        <v>21</v>
      </c>
      <c r="CL190" t="s">
        <v>89</v>
      </c>
    </row>
    <row r="191" spans="1:90" x14ac:dyDescent="0.3">
      <c r="A191" t="s">
        <v>72</v>
      </c>
      <c r="B191" t="s">
        <v>73</v>
      </c>
      <c r="C191" t="s">
        <v>74</v>
      </c>
      <c r="E191" t="str">
        <f>"080065165587"</f>
        <v>080065165587</v>
      </c>
      <c r="F191" s="3">
        <v>45782</v>
      </c>
      <c r="G191">
        <v>202602</v>
      </c>
      <c r="H191" t="s">
        <v>75</v>
      </c>
      <c r="I191" t="s">
        <v>76</v>
      </c>
      <c r="J191" t="s">
        <v>77</v>
      </c>
      <c r="K191" t="s">
        <v>78</v>
      </c>
      <c r="L191" t="s">
        <v>130</v>
      </c>
      <c r="M191" t="s">
        <v>131</v>
      </c>
      <c r="N191" t="s">
        <v>665</v>
      </c>
      <c r="O191" t="s">
        <v>82</v>
      </c>
      <c r="P191" t="str">
        <f>"4170036845                    "</f>
        <v xml:space="preserve">4170036845                    </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22.11</v>
      </c>
      <c r="AR191">
        <v>0</v>
      </c>
      <c r="AS191">
        <v>0</v>
      </c>
      <c r="AT191">
        <v>0</v>
      </c>
      <c r="AU191">
        <v>0</v>
      </c>
      <c r="AV191">
        <v>0</v>
      </c>
      <c r="AW191">
        <v>0</v>
      </c>
      <c r="AX191">
        <v>0</v>
      </c>
      <c r="AY191">
        <v>0</v>
      </c>
      <c r="AZ191">
        <v>0</v>
      </c>
      <c r="BA191">
        <v>0</v>
      </c>
      <c r="BB191">
        <v>0</v>
      </c>
      <c r="BC191">
        <v>0</v>
      </c>
      <c r="BD191">
        <v>0</v>
      </c>
      <c r="BE191">
        <v>0</v>
      </c>
      <c r="BF191">
        <v>0</v>
      </c>
      <c r="BG191">
        <v>0</v>
      </c>
      <c r="BH191">
        <v>1</v>
      </c>
      <c r="BI191">
        <v>1</v>
      </c>
      <c r="BJ191">
        <v>0.2</v>
      </c>
      <c r="BK191">
        <v>1</v>
      </c>
      <c r="BL191">
        <v>70.709999999999994</v>
      </c>
      <c r="BM191">
        <v>10.61</v>
      </c>
      <c r="BN191">
        <v>81.319999999999993</v>
      </c>
      <c r="BO191">
        <v>81.319999999999993</v>
      </c>
      <c r="BQ191" t="s">
        <v>666</v>
      </c>
      <c r="BR191" t="s">
        <v>84</v>
      </c>
      <c r="BS191" s="3">
        <v>45784</v>
      </c>
      <c r="BT191" s="4">
        <v>0.39791666666666664</v>
      </c>
      <c r="BU191" t="s">
        <v>667</v>
      </c>
      <c r="BV191" t="s">
        <v>89</v>
      </c>
      <c r="BW191" t="s">
        <v>340</v>
      </c>
      <c r="BX191" t="s">
        <v>341</v>
      </c>
      <c r="BY191">
        <v>1200</v>
      </c>
      <c r="CA191" t="s">
        <v>668</v>
      </c>
      <c r="CC191" t="s">
        <v>131</v>
      </c>
      <c r="CD191">
        <v>7535</v>
      </c>
      <c r="CE191" t="s">
        <v>88</v>
      </c>
      <c r="CF191" s="3">
        <v>45785</v>
      </c>
      <c r="CI191">
        <v>1</v>
      </c>
      <c r="CJ191">
        <v>2</v>
      </c>
      <c r="CK191">
        <v>21</v>
      </c>
      <c r="CL191" t="s">
        <v>89</v>
      </c>
    </row>
    <row r="192" spans="1:90" x14ac:dyDescent="0.3">
      <c r="A192" t="s">
        <v>72</v>
      </c>
      <c r="B192" t="s">
        <v>73</v>
      </c>
      <c r="C192" t="s">
        <v>74</v>
      </c>
      <c r="E192" t="str">
        <f>"080065165605"</f>
        <v>080065165605</v>
      </c>
      <c r="F192" s="3">
        <v>45782</v>
      </c>
      <c r="G192">
        <v>202602</v>
      </c>
      <c r="H192" t="s">
        <v>75</v>
      </c>
      <c r="I192" t="s">
        <v>76</v>
      </c>
      <c r="J192" t="s">
        <v>77</v>
      </c>
      <c r="K192" t="s">
        <v>78</v>
      </c>
      <c r="L192" t="s">
        <v>143</v>
      </c>
      <c r="M192" t="s">
        <v>144</v>
      </c>
      <c r="N192" t="s">
        <v>669</v>
      </c>
      <c r="O192" t="s">
        <v>82</v>
      </c>
      <c r="P192" t="str">
        <f>"4170036844                    "</f>
        <v xml:space="preserve">4170036844                    </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17.27</v>
      </c>
      <c r="AR192">
        <v>0</v>
      </c>
      <c r="AS192">
        <v>0</v>
      </c>
      <c r="AT192">
        <v>0</v>
      </c>
      <c r="AU192">
        <v>0</v>
      </c>
      <c r="AV192">
        <v>0</v>
      </c>
      <c r="AW192">
        <v>0</v>
      </c>
      <c r="AX192">
        <v>0</v>
      </c>
      <c r="AY192">
        <v>0</v>
      </c>
      <c r="AZ192">
        <v>0</v>
      </c>
      <c r="BA192">
        <v>0</v>
      </c>
      <c r="BB192">
        <v>0</v>
      </c>
      <c r="BC192">
        <v>0</v>
      </c>
      <c r="BD192">
        <v>0</v>
      </c>
      <c r="BE192">
        <v>0</v>
      </c>
      <c r="BF192">
        <v>0</v>
      </c>
      <c r="BG192">
        <v>0</v>
      </c>
      <c r="BH192">
        <v>1</v>
      </c>
      <c r="BI192">
        <v>1</v>
      </c>
      <c r="BJ192">
        <v>3.4</v>
      </c>
      <c r="BK192">
        <v>4</v>
      </c>
      <c r="BL192">
        <v>55.23</v>
      </c>
      <c r="BM192">
        <v>8.2799999999999994</v>
      </c>
      <c r="BN192">
        <v>63.51</v>
      </c>
      <c r="BO192">
        <v>63.51</v>
      </c>
      <c r="BQ192" t="s">
        <v>670</v>
      </c>
      <c r="BR192" t="s">
        <v>84</v>
      </c>
      <c r="BS192" s="3">
        <v>45783</v>
      </c>
      <c r="BT192" s="4">
        <v>0.40138888888888891</v>
      </c>
      <c r="BU192" t="s">
        <v>671</v>
      </c>
      <c r="BV192" t="s">
        <v>86</v>
      </c>
      <c r="BY192">
        <v>16965</v>
      </c>
      <c r="CA192" t="s">
        <v>150</v>
      </c>
      <c r="CC192" t="s">
        <v>144</v>
      </c>
      <c r="CD192">
        <v>1401</v>
      </c>
      <c r="CE192" t="s">
        <v>96</v>
      </c>
      <c r="CF192" s="3">
        <v>45783</v>
      </c>
      <c r="CI192">
        <v>1</v>
      </c>
      <c r="CJ192">
        <v>1</v>
      </c>
      <c r="CK192">
        <v>22</v>
      </c>
      <c r="CL192" t="s">
        <v>89</v>
      </c>
    </row>
    <row r="193" spans="1:90" x14ac:dyDescent="0.3">
      <c r="A193" t="s">
        <v>72</v>
      </c>
      <c r="B193" t="s">
        <v>73</v>
      </c>
      <c r="C193" t="s">
        <v>74</v>
      </c>
      <c r="E193" t="str">
        <f>"080065165671"</f>
        <v>080065165671</v>
      </c>
      <c r="F193" s="3">
        <v>45782</v>
      </c>
      <c r="G193">
        <v>202602</v>
      </c>
      <c r="H193" t="s">
        <v>75</v>
      </c>
      <c r="I193" t="s">
        <v>76</v>
      </c>
      <c r="J193" t="s">
        <v>77</v>
      </c>
      <c r="K193" t="s">
        <v>78</v>
      </c>
      <c r="L193" t="s">
        <v>672</v>
      </c>
      <c r="M193" t="s">
        <v>673</v>
      </c>
      <c r="N193" t="s">
        <v>674</v>
      </c>
      <c r="O193" t="s">
        <v>82</v>
      </c>
      <c r="P193" t="str">
        <f>"4170036820                    "</f>
        <v xml:space="preserve">4170036820                    </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62.19</v>
      </c>
      <c r="AR193">
        <v>0</v>
      </c>
      <c r="AS193">
        <v>0</v>
      </c>
      <c r="AT193">
        <v>0</v>
      </c>
      <c r="AU193">
        <v>0</v>
      </c>
      <c r="AV193">
        <v>0</v>
      </c>
      <c r="AW193">
        <v>0</v>
      </c>
      <c r="AX193">
        <v>0</v>
      </c>
      <c r="AY193">
        <v>0</v>
      </c>
      <c r="AZ193">
        <v>0</v>
      </c>
      <c r="BA193">
        <v>0</v>
      </c>
      <c r="BB193">
        <v>0</v>
      </c>
      <c r="BC193">
        <v>0</v>
      </c>
      <c r="BD193">
        <v>0</v>
      </c>
      <c r="BE193">
        <v>0</v>
      </c>
      <c r="BF193">
        <v>0</v>
      </c>
      <c r="BG193">
        <v>0</v>
      </c>
      <c r="BH193">
        <v>1</v>
      </c>
      <c r="BI193">
        <v>3</v>
      </c>
      <c r="BJ193">
        <v>1.4</v>
      </c>
      <c r="BK193">
        <v>3</v>
      </c>
      <c r="BL193">
        <v>198.87</v>
      </c>
      <c r="BM193">
        <v>29.83</v>
      </c>
      <c r="BN193">
        <v>228.7</v>
      </c>
      <c r="BO193">
        <v>228.7</v>
      </c>
      <c r="BQ193" t="s">
        <v>675</v>
      </c>
      <c r="BR193" t="s">
        <v>84</v>
      </c>
      <c r="BS193" s="3">
        <v>45783</v>
      </c>
      <c r="BT193" s="4">
        <v>0.41249999999999998</v>
      </c>
      <c r="BU193" t="s">
        <v>676</v>
      </c>
      <c r="BV193" t="s">
        <v>86</v>
      </c>
      <c r="BY193">
        <v>7000</v>
      </c>
      <c r="CA193" t="s">
        <v>677</v>
      </c>
      <c r="CC193" t="s">
        <v>673</v>
      </c>
      <c r="CD193">
        <v>2531</v>
      </c>
      <c r="CE193" t="s">
        <v>116</v>
      </c>
      <c r="CF193" s="3">
        <v>45784</v>
      </c>
      <c r="CI193">
        <v>1</v>
      </c>
      <c r="CJ193">
        <v>1</v>
      </c>
      <c r="CK193">
        <v>23</v>
      </c>
      <c r="CL193" t="s">
        <v>89</v>
      </c>
    </row>
    <row r="194" spans="1:90" x14ac:dyDescent="0.3">
      <c r="A194" t="s">
        <v>72</v>
      </c>
      <c r="B194" t="s">
        <v>73</v>
      </c>
      <c r="C194" t="s">
        <v>74</v>
      </c>
      <c r="E194" t="str">
        <f>"080065166774"</f>
        <v>080065166774</v>
      </c>
      <c r="F194" s="3">
        <v>45782</v>
      </c>
      <c r="G194">
        <v>202602</v>
      </c>
      <c r="H194" t="s">
        <v>75</v>
      </c>
      <c r="I194" t="s">
        <v>76</v>
      </c>
      <c r="J194" t="s">
        <v>77</v>
      </c>
      <c r="K194" t="s">
        <v>78</v>
      </c>
      <c r="L194" t="s">
        <v>350</v>
      </c>
      <c r="M194" t="s">
        <v>351</v>
      </c>
      <c r="N194" t="s">
        <v>678</v>
      </c>
      <c r="O194" t="s">
        <v>82</v>
      </c>
      <c r="P194" t="str">
        <f>"4170036826                    "</f>
        <v xml:space="preserve">4170036826                    </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22.11</v>
      </c>
      <c r="AR194">
        <v>0</v>
      </c>
      <c r="AS194">
        <v>0</v>
      </c>
      <c r="AT194">
        <v>0</v>
      </c>
      <c r="AU194">
        <v>0</v>
      </c>
      <c r="AV194">
        <v>0</v>
      </c>
      <c r="AW194">
        <v>0</v>
      </c>
      <c r="AX194">
        <v>0</v>
      </c>
      <c r="AY194">
        <v>0</v>
      </c>
      <c r="AZ194">
        <v>0</v>
      </c>
      <c r="BA194">
        <v>0</v>
      </c>
      <c r="BB194">
        <v>0</v>
      </c>
      <c r="BC194">
        <v>0</v>
      </c>
      <c r="BD194">
        <v>0</v>
      </c>
      <c r="BE194">
        <v>0</v>
      </c>
      <c r="BF194">
        <v>0</v>
      </c>
      <c r="BG194">
        <v>0</v>
      </c>
      <c r="BH194">
        <v>1</v>
      </c>
      <c r="BI194">
        <v>1</v>
      </c>
      <c r="BJ194">
        <v>0.2</v>
      </c>
      <c r="BK194">
        <v>1</v>
      </c>
      <c r="BL194">
        <v>70.709999999999994</v>
      </c>
      <c r="BM194">
        <v>10.61</v>
      </c>
      <c r="BN194">
        <v>81.319999999999993</v>
      </c>
      <c r="BO194">
        <v>81.319999999999993</v>
      </c>
      <c r="BQ194" t="s">
        <v>679</v>
      </c>
      <c r="BR194" t="s">
        <v>84</v>
      </c>
      <c r="BS194" s="3">
        <v>45783</v>
      </c>
      <c r="BT194" s="4">
        <v>0.39791666666666664</v>
      </c>
      <c r="BU194" t="s">
        <v>680</v>
      </c>
      <c r="BV194" t="s">
        <v>86</v>
      </c>
      <c r="BY194">
        <v>1200</v>
      </c>
      <c r="CA194" t="s">
        <v>326</v>
      </c>
      <c r="CC194" t="s">
        <v>351</v>
      </c>
      <c r="CD194">
        <v>4052</v>
      </c>
      <c r="CE194" t="s">
        <v>88</v>
      </c>
      <c r="CF194" s="3">
        <v>45784</v>
      </c>
      <c r="CI194">
        <v>1</v>
      </c>
      <c r="CJ194">
        <v>1</v>
      </c>
      <c r="CK194">
        <v>21</v>
      </c>
      <c r="CL194" t="s">
        <v>89</v>
      </c>
    </row>
    <row r="195" spans="1:90" x14ac:dyDescent="0.3">
      <c r="A195" t="s">
        <v>72</v>
      </c>
      <c r="B195" t="s">
        <v>73</v>
      </c>
      <c r="C195" t="s">
        <v>74</v>
      </c>
      <c r="E195" t="str">
        <f>"080065166843"</f>
        <v>080065166843</v>
      </c>
      <c r="F195" s="3">
        <v>45782</v>
      </c>
      <c r="G195">
        <v>202602</v>
      </c>
      <c r="H195" t="s">
        <v>75</v>
      </c>
      <c r="I195" t="s">
        <v>76</v>
      </c>
      <c r="J195" t="s">
        <v>77</v>
      </c>
      <c r="K195" t="s">
        <v>78</v>
      </c>
      <c r="L195" t="s">
        <v>90</v>
      </c>
      <c r="M195" t="s">
        <v>91</v>
      </c>
      <c r="N195" t="s">
        <v>543</v>
      </c>
      <c r="O195" t="s">
        <v>82</v>
      </c>
      <c r="P195" t="str">
        <f>"4170036822                    "</f>
        <v xml:space="preserve">4170036822                    </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22.11</v>
      </c>
      <c r="AR195">
        <v>0</v>
      </c>
      <c r="AS195">
        <v>0</v>
      </c>
      <c r="AT195">
        <v>0</v>
      </c>
      <c r="AU195">
        <v>0</v>
      </c>
      <c r="AV195">
        <v>0</v>
      </c>
      <c r="AW195">
        <v>0</v>
      </c>
      <c r="AX195">
        <v>0</v>
      </c>
      <c r="AY195">
        <v>0</v>
      </c>
      <c r="AZ195">
        <v>0</v>
      </c>
      <c r="BA195">
        <v>0</v>
      </c>
      <c r="BB195">
        <v>0</v>
      </c>
      <c r="BC195">
        <v>0</v>
      </c>
      <c r="BD195">
        <v>0</v>
      </c>
      <c r="BE195">
        <v>0</v>
      </c>
      <c r="BF195">
        <v>0</v>
      </c>
      <c r="BG195">
        <v>0</v>
      </c>
      <c r="BH195">
        <v>1</v>
      </c>
      <c r="BI195">
        <v>1</v>
      </c>
      <c r="BJ195">
        <v>1.4</v>
      </c>
      <c r="BK195">
        <v>1.5</v>
      </c>
      <c r="BL195">
        <v>70.709999999999994</v>
      </c>
      <c r="BM195">
        <v>10.61</v>
      </c>
      <c r="BN195">
        <v>81.319999999999993</v>
      </c>
      <c r="BO195">
        <v>81.319999999999993</v>
      </c>
      <c r="BQ195" t="s">
        <v>544</v>
      </c>
      <c r="BR195" t="s">
        <v>84</v>
      </c>
      <c r="BS195" s="3">
        <v>45783</v>
      </c>
      <c r="BT195" s="4">
        <v>0.41041666666666665</v>
      </c>
      <c r="BU195" t="s">
        <v>545</v>
      </c>
      <c r="BV195" t="s">
        <v>86</v>
      </c>
      <c r="BY195">
        <v>7000</v>
      </c>
      <c r="CC195" t="s">
        <v>91</v>
      </c>
      <c r="CD195">
        <v>6001</v>
      </c>
      <c r="CE195" t="s">
        <v>116</v>
      </c>
      <c r="CF195" s="3">
        <v>45783</v>
      </c>
      <c r="CI195">
        <v>1</v>
      </c>
      <c r="CJ195">
        <v>1</v>
      </c>
      <c r="CK195">
        <v>21</v>
      </c>
      <c r="CL195" t="s">
        <v>89</v>
      </c>
    </row>
    <row r="196" spans="1:90" x14ac:dyDescent="0.3">
      <c r="A196" t="s">
        <v>72</v>
      </c>
      <c r="B196" t="s">
        <v>73</v>
      </c>
      <c r="C196" t="s">
        <v>74</v>
      </c>
      <c r="E196" t="str">
        <f>"080065166868"</f>
        <v>080065166868</v>
      </c>
      <c r="F196" s="3">
        <v>45782</v>
      </c>
      <c r="G196">
        <v>202602</v>
      </c>
      <c r="H196" t="s">
        <v>75</v>
      </c>
      <c r="I196" t="s">
        <v>76</v>
      </c>
      <c r="J196" t="s">
        <v>77</v>
      </c>
      <c r="K196" t="s">
        <v>78</v>
      </c>
      <c r="L196" t="s">
        <v>117</v>
      </c>
      <c r="M196" t="s">
        <v>118</v>
      </c>
      <c r="N196" t="s">
        <v>532</v>
      </c>
      <c r="O196" t="s">
        <v>82</v>
      </c>
      <c r="P196" t="str">
        <f>"4170036809                    "</f>
        <v xml:space="preserve">4170036809                    </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17.27</v>
      </c>
      <c r="AR196">
        <v>0</v>
      </c>
      <c r="AS196">
        <v>0</v>
      </c>
      <c r="AT196">
        <v>0</v>
      </c>
      <c r="AU196">
        <v>0</v>
      </c>
      <c r="AV196">
        <v>0</v>
      </c>
      <c r="AW196">
        <v>0</v>
      </c>
      <c r="AX196">
        <v>0</v>
      </c>
      <c r="AY196">
        <v>0</v>
      </c>
      <c r="AZ196">
        <v>0</v>
      </c>
      <c r="BA196">
        <v>0</v>
      </c>
      <c r="BB196">
        <v>0</v>
      </c>
      <c r="BC196">
        <v>0</v>
      </c>
      <c r="BD196">
        <v>0</v>
      </c>
      <c r="BE196">
        <v>0</v>
      </c>
      <c r="BF196">
        <v>0</v>
      </c>
      <c r="BG196">
        <v>0</v>
      </c>
      <c r="BH196">
        <v>1</v>
      </c>
      <c r="BI196">
        <v>1</v>
      </c>
      <c r="BJ196">
        <v>0.2</v>
      </c>
      <c r="BK196">
        <v>1</v>
      </c>
      <c r="BL196">
        <v>55.23</v>
      </c>
      <c r="BM196">
        <v>8.2799999999999994</v>
      </c>
      <c r="BN196">
        <v>63.51</v>
      </c>
      <c r="BO196">
        <v>63.51</v>
      </c>
      <c r="BQ196" t="s">
        <v>533</v>
      </c>
      <c r="BR196" t="s">
        <v>84</v>
      </c>
      <c r="BS196" s="3">
        <v>45783</v>
      </c>
      <c r="BT196" s="4">
        <v>0.43611111111111112</v>
      </c>
      <c r="BU196" t="s">
        <v>534</v>
      </c>
      <c r="BV196" t="s">
        <v>86</v>
      </c>
      <c r="BY196">
        <v>1200</v>
      </c>
      <c r="CA196" t="s">
        <v>535</v>
      </c>
      <c r="CC196" t="s">
        <v>118</v>
      </c>
      <c r="CD196">
        <v>2094</v>
      </c>
      <c r="CE196" t="s">
        <v>88</v>
      </c>
      <c r="CF196" s="3">
        <v>45783</v>
      </c>
      <c r="CI196">
        <v>1</v>
      </c>
      <c r="CJ196">
        <v>1</v>
      </c>
      <c r="CK196">
        <v>22</v>
      </c>
      <c r="CL196" t="s">
        <v>89</v>
      </c>
    </row>
    <row r="197" spans="1:90" x14ac:dyDescent="0.3">
      <c r="A197" t="s">
        <v>72</v>
      </c>
      <c r="B197" t="s">
        <v>73</v>
      </c>
      <c r="C197" t="s">
        <v>74</v>
      </c>
      <c r="E197" t="str">
        <f>"080065166936"</f>
        <v>080065166936</v>
      </c>
      <c r="F197" s="3">
        <v>45782</v>
      </c>
      <c r="G197">
        <v>202602</v>
      </c>
      <c r="H197" t="s">
        <v>75</v>
      </c>
      <c r="I197" t="s">
        <v>76</v>
      </c>
      <c r="J197" t="s">
        <v>77</v>
      </c>
      <c r="K197" t="s">
        <v>78</v>
      </c>
      <c r="L197" t="s">
        <v>90</v>
      </c>
      <c r="M197" t="s">
        <v>91</v>
      </c>
      <c r="N197" t="s">
        <v>92</v>
      </c>
      <c r="O197" t="s">
        <v>82</v>
      </c>
      <c r="P197" t="str">
        <f>"4170036812                    "</f>
        <v xml:space="preserve">4170036812                    </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22.11</v>
      </c>
      <c r="AR197">
        <v>0</v>
      </c>
      <c r="AS197">
        <v>0</v>
      </c>
      <c r="AT197">
        <v>0</v>
      </c>
      <c r="AU197">
        <v>0</v>
      </c>
      <c r="AV197">
        <v>0</v>
      </c>
      <c r="AW197">
        <v>0</v>
      </c>
      <c r="AX197">
        <v>0</v>
      </c>
      <c r="AY197">
        <v>0</v>
      </c>
      <c r="AZ197">
        <v>0</v>
      </c>
      <c r="BA197">
        <v>0</v>
      </c>
      <c r="BB197">
        <v>0</v>
      </c>
      <c r="BC197">
        <v>0</v>
      </c>
      <c r="BD197">
        <v>0</v>
      </c>
      <c r="BE197">
        <v>0</v>
      </c>
      <c r="BF197">
        <v>0</v>
      </c>
      <c r="BG197">
        <v>0</v>
      </c>
      <c r="BH197">
        <v>1</v>
      </c>
      <c r="BI197">
        <v>1</v>
      </c>
      <c r="BJ197">
        <v>0.2</v>
      </c>
      <c r="BK197">
        <v>1</v>
      </c>
      <c r="BL197">
        <v>70.709999999999994</v>
      </c>
      <c r="BM197">
        <v>10.61</v>
      </c>
      <c r="BN197">
        <v>81.319999999999993</v>
      </c>
      <c r="BO197">
        <v>81.319999999999993</v>
      </c>
      <c r="BQ197" t="s">
        <v>93</v>
      </c>
      <c r="BR197" t="s">
        <v>84</v>
      </c>
      <c r="BS197" s="3">
        <v>45783</v>
      </c>
      <c r="BT197" s="4">
        <v>0.35138888888888886</v>
      </c>
      <c r="BU197" t="s">
        <v>94</v>
      </c>
      <c r="BV197" t="s">
        <v>86</v>
      </c>
      <c r="BY197">
        <v>1200</v>
      </c>
      <c r="CA197" t="s">
        <v>95</v>
      </c>
      <c r="CC197" t="s">
        <v>91</v>
      </c>
      <c r="CD197">
        <v>6001</v>
      </c>
      <c r="CE197" t="s">
        <v>88</v>
      </c>
      <c r="CF197" s="3">
        <v>45783</v>
      </c>
      <c r="CI197">
        <v>1</v>
      </c>
      <c r="CJ197">
        <v>1</v>
      </c>
      <c r="CK197">
        <v>21</v>
      </c>
      <c r="CL197" t="s">
        <v>89</v>
      </c>
    </row>
    <row r="198" spans="1:90" x14ac:dyDescent="0.3">
      <c r="A198" t="s">
        <v>72</v>
      </c>
      <c r="B198" t="s">
        <v>73</v>
      </c>
      <c r="C198" t="s">
        <v>74</v>
      </c>
      <c r="E198" t="str">
        <f>"080065166939"</f>
        <v>080065166939</v>
      </c>
      <c r="F198" s="3">
        <v>45782</v>
      </c>
      <c r="G198">
        <v>202602</v>
      </c>
      <c r="H198" t="s">
        <v>75</v>
      </c>
      <c r="I198" t="s">
        <v>76</v>
      </c>
      <c r="J198" t="s">
        <v>77</v>
      </c>
      <c r="K198" t="s">
        <v>78</v>
      </c>
      <c r="L198" t="s">
        <v>130</v>
      </c>
      <c r="M198" t="s">
        <v>131</v>
      </c>
      <c r="N198" t="s">
        <v>681</v>
      </c>
      <c r="O198" t="s">
        <v>82</v>
      </c>
      <c r="P198" t="str">
        <f>"4170036875                    "</f>
        <v xml:space="preserve">4170036875                    </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22.11</v>
      </c>
      <c r="AR198">
        <v>0</v>
      </c>
      <c r="AS198">
        <v>0</v>
      </c>
      <c r="AT198">
        <v>0</v>
      </c>
      <c r="AU198">
        <v>0</v>
      </c>
      <c r="AV198">
        <v>0</v>
      </c>
      <c r="AW198">
        <v>0</v>
      </c>
      <c r="AX198">
        <v>0</v>
      </c>
      <c r="AY198">
        <v>0</v>
      </c>
      <c r="AZ198">
        <v>0</v>
      </c>
      <c r="BA198">
        <v>0</v>
      </c>
      <c r="BB198">
        <v>0</v>
      </c>
      <c r="BC198">
        <v>0</v>
      </c>
      <c r="BD198">
        <v>0</v>
      </c>
      <c r="BE198">
        <v>0</v>
      </c>
      <c r="BF198">
        <v>0</v>
      </c>
      <c r="BG198">
        <v>0</v>
      </c>
      <c r="BH198">
        <v>1</v>
      </c>
      <c r="BI198">
        <v>1</v>
      </c>
      <c r="BJ198">
        <v>1.1000000000000001</v>
      </c>
      <c r="BK198">
        <v>1.5</v>
      </c>
      <c r="BL198">
        <v>70.709999999999994</v>
      </c>
      <c r="BM198">
        <v>10.61</v>
      </c>
      <c r="BN198">
        <v>81.319999999999993</v>
      </c>
      <c r="BO198">
        <v>81.319999999999993</v>
      </c>
      <c r="BQ198" t="s">
        <v>682</v>
      </c>
      <c r="BR198" t="s">
        <v>84</v>
      </c>
      <c r="BS198" s="3">
        <v>45784</v>
      </c>
      <c r="BT198" s="4">
        <v>0.43055555555555558</v>
      </c>
      <c r="BU198" t="s">
        <v>683</v>
      </c>
      <c r="BV198" t="s">
        <v>89</v>
      </c>
      <c r="BW198" t="s">
        <v>340</v>
      </c>
      <c r="BX198" t="s">
        <v>596</v>
      </c>
      <c r="BY198">
        <v>5320</v>
      </c>
      <c r="CA198" t="s">
        <v>684</v>
      </c>
      <c r="CC198" t="s">
        <v>131</v>
      </c>
      <c r="CD198">
        <v>7800</v>
      </c>
      <c r="CE198" t="s">
        <v>116</v>
      </c>
      <c r="CF198" s="3">
        <v>45785</v>
      </c>
      <c r="CI198">
        <v>1</v>
      </c>
      <c r="CJ198">
        <v>2</v>
      </c>
      <c r="CK198">
        <v>21</v>
      </c>
      <c r="CL198" t="s">
        <v>89</v>
      </c>
    </row>
    <row r="199" spans="1:90" x14ac:dyDescent="0.3">
      <c r="A199" t="s">
        <v>72</v>
      </c>
      <c r="B199" t="s">
        <v>73</v>
      </c>
      <c r="C199" t="s">
        <v>74</v>
      </c>
      <c r="E199" t="str">
        <f>"080065167049"</f>
        <v>080065167049</v>
      </c>
      <c r="F199" s="3">
        <v>45782</v>
      </c>
      <c r="G199">
        <v>202602</v>
      </c>
      <c r="H199" t="s">
        <v>75</v>
      </c>
      <c r="I199" t="s">
        <v>76</v>
      </c>
      <c r="J199" t="s">
        <v>77</v>
      </c>
      <c r="K199" t="s">
        <v>78</v>
      </c>
      <c r="L199" t="s">
        <v>206</v>
      </c>
      <c r="M199" t="s">
        <v>207</v>
      </c>
      <c r="N199" t="s">
        <v>208</v>
      </c>
      <c r="O199" t="s">
        <v>82</v>
      </c>
      <c r="P199" t="str">
        <f>"4170036866                    "</f>
        <v xml:space="preserve">4170036866                    </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42.84</v>
      </c>
      <c r="AR199">
        <v>0</v>
      </c>
      <c r="AS199">
        <v>0</v>
      </c>
      <c r="AT199">
        <v>0</v>
      </c>
      <c r="AU199">
        <v>0</v>
      </c>
      <c r="AV199">
        <v>0</v>
      </c>
      <c r="AW199">
        <v>0</v>
      </c>
      <c r="AX199">
        <v>0</v>
      </c>
      <c r="AY199">
        <v>0</v>
      </c>
      <c r="AZ199">
        <v>0</v>
      </c>
      <c r="BA199">
        <v>0</v>
      </c>
      <c r="BB199">
        <v>0</v>
      </c>
      <c r="BC199">
        <v>0</v>
      </c>
      <c r="BD199">
        <v>0</v>
      </c>
      <c r="BE199">
        <v>0</v>
      </c>
      <c r="BF199">
        <v>0</v>
      </c>
      <c r="BG199">
        <v>0</v>
      </c>
      <c r="BH199">
        <v>1</v>
      </c>
      <c r="BI199">
        <v>1</v>
      </c>
      <c r="BJ199">
        <v>1.1000000000000001</v>
      </c>
      <c r="BK199">
        <v>1.5</v>
      </c>
      <c r="BL199">
        <v>137</v>
      </c>
      <c r="BM199">
        <v>20.55</v>
      </c>
      <c r="BN199">
        <v>157.55000000000001</v>
      </c>
      <c r="BO199">
        <v>157.55000000000001</v>
      </c>
      <c r="BQ199" t="s">
        <v>209</v>
      </c>
      <c r="BR199" t="s">
        <v>84</v>
      </c>
      <c r="BS199" s="3">
        <v>45783</v>
      </c>
      <c r="BT199" s="4">
        <v>0.63263888888888886</v>
      </c>
      <c r="BU199" t="s">
        <v>685</v>
      </c>
      <c r="BV199" t="s">
        <v>86</v>
      </c>
      <c r="BY199">
        <v>5320</v>
      </c>
      <c r="CA199" t="s">
        <v>211</v>
      </c>
      <c r="CC199" t="s">
        <v>207</v>
      </c>
      <c r="CD199">
        <v>1389</v>
      </c>
      <c r="CE199" t="s">
        <v>116</v>
      </c>
      <c r="CF199" s="3">
        <v>45783</v>
      </c>
      <c r="CI199">
        <v>1</v>
      </c>
      <c r="CJ199">
        <v>1</v>
      </c>
      <c r="CK199">
        <v>23</v>
      </c>
      <c r="CL199" t="s">
        <v>89</v>
      </c>
    </row>
    <row r="200" spans="1:90" x14ac:dyDescent="0.3">
      <c r="A200" t="s">
        <v>72</v>
      </c>
      <c r="B200" t="s">
        <v>73</v>
      </c>
      <c r="C200" t="s">
        <v>74</v>
      </c>
      <c r="E200" t="str">
        <f>"080065167170"</f>
        <v>080065167170</v>
      </c>
      <c r="F200" s="3">
        <v>45782</v>
      </c>
      <c r="G200">
        <v>202602</v>
      </c>
      <c r="H200" t="s">
        <v>75</v>
      </c>
      <c r="I200" t="s">
        <v>76</v>
      </c>
      <c r="J200" t="s">
        <v>77</v>
      </c>
      <c r="K200" t="s">
        <v>78</v>
      </c>
      <c r="L200" t="s">
        <v>103</v>
      </c>
      <c r="M200" t="s">
        <v>104</v>
      </c>
      <c r="N200" t="s">
        <v>686</v>
      </c>
      <c r="O200" t="s">
        <v>82</v>
      </c>
      <c r="P200" t="str">
        <f>"4170036816                    "</f>
        <v xml:space="preserve">4170036816                    </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66.3</v>
      </c>
      <c r="AR200">
        <v>0</v>
      </c>
      <c r="AS200">
        <v>0</v>
      </c>
      <c r="AT200">
        <v>0</v>
      </c>
      <c r="AU200">
        <v>0</v>
      </c>
      <c r="AV200">
        <v>0</v>
      </c>
      <c r="AW200">
        <v>0</v>
      </c>
      <c r="AX200">
        <v>0</v>
      </c>
      <c r="AY200">
        <v>0</v>
      </c>
      <c r="AZ200">
        <v>0</v>
      </c>
      <c r="BA200">
        <v>0</v>
      </c>
      <c r="BB200">
        <v>0</v>
      </c>
      <c r="BC200">
        <v>0</v>
      </c>
      <c r="BD200">
        <v>0</v>
      </c>
      <c r="BE200">
        <v>0</v>
      </c>
      <c r="BF200">
        <v>0</v>
      </c>
      <c r="BG200">
        <v>0</v>
      </c>
      <c r="BH200">
        <v>1</v>
      </c>
      <c r="BI200">
        <v>6</v>
      </c>
      <c r="BJ200">
        <v>3</v>
      </c>
      <c r="BK200">
        <v>6</v>
      </c>
      <c r="BL200">
        <v>212.02</v>
      </c>
      <c r="BM200">
        <v>31.8</v>
      </c>
      <c r="BN200">
        <v>243.82</v>
      </c>
      <c r="BO200">
        <v>243.82</v>
      </c>
      <c r="BQ200" t="s">
        <v>687</v>
      </c>
      <c r="BR200" t="s">
        <v>84</v>
      </c>
      <c r="BS200" s="3">
        <v>45783</v>
      </c>
      <c r="BT200" s="4">
        <v>0.4375</v>
      </c>
      <c r="BU200" t="s">
        <v>688</v>
      </c>
      <c r="BV200" t="s">
        <v>86</v>
      </c>
      <c r="BY200">
        <v>15120</v>
      </c>
      <c r="CA200" t="s">
        <v>689</v>
      </c>
      <c r="CC200" t="s">
        <v>104</v>
      </c>
      <c r="CD200">
        <v>3201</v>
      </c>
      <c r="CE200" t="s">
        <v>221</v>
      </c>
      <c r="CF200" s="3">
        <v>45784</v>
      </c>
      <c r="CI200">
        <v>1</v>
      </c>
      <c r="CJ200">
        <v>1</v>
      </c>
      <c r="CK200">
        <v>21</v>
      </c>
      <c r="CL200" t="s">
        <v>89</v>
      </c>
    </row>
    <row r="201" spans="1:90" x14ac:dyDescent="0.3">
      <c r="A201" t="s">
        <v>72</v>
      </c>
      <c r="B201" t="s">
        <v>73</v>
      </c>
      <c r="C201" t="s">
        <v>74</v>
      </c>
      <c r="E201" t="str">
        <f>"080065167299"</f>
        <v>080065167299</v>
      </c>
      <c r="F201" s="3">
        <v>45782</v>
      </c>
      <c r="G201">
        <v>202602</v>
      </c>
      <c r="H201" t="s">
        <v>75</v>
      </c>
      <c r="I201" t="s">
        <v>76</v>
      </c>
      <c r="J201" t="s">
        <v>77</v>
      </c>
      <c r="K201" t="s">
        <v>78</v>
      </c>
      <c r="L201" t="s">
        <v>690</v>
      </c>
      <c r="M201" t="s">
        <v>691</v>
      </c>
      <c r="N201" t="s">
        <v>692</v>
      </c>
      <c r="O201" t="s">
        <v>82</v>
      </c>
      <c r="P201" t="str">
        <f>"4170036835                    "</f>
        <v xml:space="preserve">4170036835                    </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42.84</v>
      </c>
      <c r="AR201">
        <v>0</v>
      </c>
      <c r="AS201">
        <v>0</v>
      </c>
      <c r="AT201">
        <v>0</v>
      </c>
      <c r="AU201">
        <v>0</v>
      </c>
      <c r="AV201">
        <v>0</v>
      </c>
      <c r="AW201">
        <v>16.739999999999998</v>
      </c>
      <c r="AX201">
        <v>0</v>
      </c>
      <c r="AY201">
        <v>0</v>
      </c>
      <c r="AZ201">
        <v>0</v>
      </c>
      <c r="BA201">
        <v>0</v>
      </c>
      <c r="BB201">
        <v>0</v>
      </c>
      <c r="BC201">
        <v>0</v>
      </c>
      <c r="BD201">
        <v>0</v>
      </c>
      <c r="BE201">
        <v>0</v>
      </c>
      <c r="BF201">
        <v>0</v>
      </c>
      <c r="BG201">
        <v>0</v>
      </c>
      <c r="BH201">
        <v>1</v>
      </c>
      <c r="BI201">
        <v>1</v>
      </c>
      <c r="BJ201">
        <v>1.2</v>
      </c>
      <c r="BK201">
        <v>1.5</v>
      </c>
      <c r="BL201">
        <v>153.74</v>
      </c>
      <c r="BM201">
        <v>23.06</v>
      </c>
      <c r="BN201">
        <v>176.8</v>
      </c>
      <c r="BO201">
        <v>176.8</v>
      </c>
      <c r="BQ201" t="s">
        <v>693</v>
      </c>
      <c r="BR201" t="s">
        <v>84</v>
      </c>
      <c r="BS201" s="3">
        <v>45784</v>
      </c>
      <c r="BT201" s="4">
        <v>0.49861111111111112</v>
      </c>
      <c r="BU201" t="s">
        <v>694</v>
      </c>
      <c r="BV201" t="s">
        <v>86</v>
      </c>
      <c r="BY201">
        <v>5800</v>
      </c>
      <c r="BZ201" t="s">
        <v>30</v>
      </c>
      <c r="CC201" t="s">
        <v>691</v>
      </c>
      <c r="CD201">
        <v>5660</v>
      </c>
      <c r="CE201" t="s">
        <v>221</v>
      </c>
      <c r="CF201" s="3">
        <v>45784</v>
      </c>
      <c r="CI201">
        <v>2</v>
      </c>
      <c r="CJ201">
        <v>2</v>
      </c>
      <c r="CK201">
        <v>23</v>
      </c>
      <c r="CL201" t="s">
        <v>89</v>
      </c>
    </row>
    <row r="202" spans="1:90" x14ac:dyDescent="0.3">
      <c r="A202" t="s">
        <v>72</v>
      </c>
      <c r="B202" t="s">
        <v>73</v>
      </c>
      <c r="C202" t="s">
        <v>74</v>
      </c>
      <c r="E202" t="str">
        <f>"080065168709"</f>
        <v>080065168709</v>
      </c>
      <c r="F202" s="3">
        <v>45782</v>
      </c>
      <c r="G202">
        <v>202602</v>
      </c>
      <c r="H202" t="s">
        <v>75</v>
      </c>
      <c r="I202" t="s">
        <v>76</v>
      </c>
      <c r="J202" t="s">
        <v>77</v>
      </c>
      <c r="K202" t="s">
        <v>78</v>
      </c>
      <c r="L202" t="s">
        <v>648</v>
      </c>
      <c r="M202" t="s">
        <v>649</v>
      </c>
      <c r="N202" t="s">
        <v>695</v>
      </c>
      <c r="O202" t="s">
        <v>82</v>
      </c>
      <c r="P202" t="str">
        <f>"4170036841                    "</f>
        <v xml:space="preserve">4170036841                    </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17.27</v>
      </c>
      <c r="AR202">
        <v>0</v>
      </c>
      <c r="AS202">
        <v>0</v>
      </c>
      <c r="AT202">
        <v>0</v>
      </c>
      <c r="AU202">
        <v>0</v>
      </c>
      <c r="AV202">
        <v>0</v>
      </c>
      <c r="AW202">
        <v>0</v>
      </c>
      <c r="AX202">
        <v>0</v>
      </c>
      <c r="AY202">
        <v>0</v>
      </c>
      <c r="AZ202">
        <v>0</v>
      </c>
      <c r="BA202">
        <v>0</v>
      </c>
      <c r="BB202">
        <v>0</v>
      </c>
      <c r="BC202">
        <v>0</v>
      </c>
      <c r="BD202">
        <v>0</v>
      </c>
      <c r="BE202">
        <v>0</v>
      </c>
      <c r="BF202">
        <v>0</v>
      </c>
      <c r="BG202">
        <v>0</v>
      </c>
      <c r="BH202">
        <v>1</v>
      </c>
      <c r="BI202">
        <v>1</v>
      </c>
      <c r="BJ202">
        <v>0.2</v>
      </c>
      <c r="BK202">
        <v>1</v>
      </c>
      <c r="BL202">
        <v>55.23</v>
      </c>
      <c r="BM202">
        <v>8.2799999999999994</v>
      </c>
      <c r="BN202">
        <v>63.51</v>
      </c>
      <c r="BO202">
        <v>63.51</v>
      </c>
      <c r="BQ202" t="s">
        <v>696</v>
      </c>
      <c r="BR202" t="s">
        <v>84</v>
      </c>
      <c r="BS202" s="3">
        <v>45783</v>
      </c>
      <c r="BT202" s="4">
        <v>0.34375</v>
      </c>
      <c r="BU202" t="s">
        <v>697</v>
      </c>
      <c r="BV202" t="s">
        <v>86</v>
      </c>
      <c r="BY202">
        <v>1200</v>
      </c>
      <c r="CA202" t="s">
        <v>698</v>
      </c>
      <c r="CC202" t="s">
        <v>649</v>
      </c>
      <c r="CD202">
        <v>1559</v>
      </c>
      <c r="CE202" t="s">
        <v>88</v>
      </c>
      <c r="CF202" s="3">
        <v>45783</v>
      </c>
      <c r="CI202">
        <v>1</v>
      </c>
      <c r="CJ202">
        <v>1</v>
      </c>
      <c r="CK202">
        <v>22</v>
      </c>
      <c r="CL202" t="s">
        <v>89</v>
      </c>
    </row>
    <row r="203" spans="1:90" x14ac:dyDescent="0.3">
      <c r="A203" t="s">
        <v>72</v>
      </c>
      <c r="B203" t="s">
        <v>73</v>
      </c>
      <c r="C203" t="s">
        <v>74</v>
      </c>
      <c r="E203" t="str">
        <f>"080065168748"</f>
        <v>080065168748</v>
      </c>
      <c r="F203" s="3">
        <v>45782</v>
      </c>
      <c r="G203">
        <v>202602</v>
      </c>
      <c r="H203" t="s">
        <v>75</v>
      </c>
      <c r="I203" t="s">
        <v>76</v>
      </c>
      <c r="J203" t="s">
        <v>77</v>
      </c>
      <c r="K203" t="s">
        <v>78</v>
      </c>
      <c r="L203" t="s">
        <v>130</v>
      </c>
      <c r="M203" t="s">
        <v>131</v>
      </c>
      <c r="N203" t="s">
        <v>327</v>
      </c>
      <c r="O203" t="s">
        <v>82</v>
      </c>
      <c r="P203" t="str">
        <f>"4170036810                    "</f>
        <v xml:space="preserve">4170036810                    </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22.11</v>
      </c>
      <c r="AR203">
        <v>0</v>
      </c>
      <c r="AS203">
        <v>0</v>
      </c>
      <c r="AT203">
        <v>0</v>
      </c>
      <c r="AU203">
        <v>0</v>
      </c>
      <c r="AV203">
        <v>0</v>
      </c>
      <c r="AW203">
        <v>0</v>
      </c>
      <c r="AX203">
        <v>0</v>
      </c>
      <c r="AY203">
        <v>0</v>
      </c>
      <c r="AZ203">
        <v>0</v>
      </c>
      <c r="BA203">
        <v>0</v>
      </c>
      <c r="BB203">
        <v>0</v>
      </c>
      <c r="BC203">
        <v>0</v>
      </c>
      <c r="BD203">
        <v>0</v>
      </c>
      <c r="BE203">
        <v>0</v>
      </c>
      <c r="BF203">
        <v>0</v>
      </c>
      <c r="BG203">
        <v>0</v>
      </c>
      <c r="BH203">
        <v>1</v>
      </c>
      <c r="BI203">
        <v>1</v>
      </c>
      <c r="BJ203">
        <v>0.2</v>
      </c>
      <c r="BK203">
        <v>1</v>
      </c>
      <c r="BL203">
        <v>70.709999999999994</v>
      </c>
      <c r="BM203">
        <v>10.61</v>
      </c>
      <c r="BN203">
        <v>81.319999999999993</v>
      </c>
      <c r="BO203">
        <v>81.319999999999993</v>
      </c>
      <c r="BQ203" t="s">
        <v>328</v>
      </c>
      <c r="BR203" t="s">
        <v>84</v>
      </c>
      <c r="BS203" s="3">
        <v>45784</v>
      </c>
      <c r="BT203" s="4">
        <v>0.36180555555555555</v>
      </c>
      <c r="BU203" t="s">
        <v>671</v>
      </c>
      <c r="BV203" t="s">
        <v>89</v>
      </c>
      <c r="BW203" t="s">
        <v>340</v>
      </c>
      <c r="BX203" t="s">
        <v>618</v>
      </c>
      <c r="BY203">
        <v>1200</v>
      </c>
      <c r="CA203" t="s">
        <v>330</v>
      </c>
      <c r="CC203" t="s">
        <v>131</v>
      </c>
      <c r="CD203">
        <v>7480</v>
      </c>
      <c r="CE203" t="s">
        <v>88</v>
      </c>
      <c r="CF203" s="3">
        <v>45785</v>
      </c>
      <c r="CI203">
        <v>1</v>
      </c>
      <c r="CJ203">
        <v>2</v>
      </c>
      <c r="CK203">
        <v>21</v>
      </c>
      <c r="CL203" t="s">
        <v>89</v>
      </c>
    </row>
    <row r="204" spans="1:90" x14ac:dyDescent="0.3">
      <c r="A204" t="s">
        <v>72</v>
      </c>
      <c r="B204" t="s">
        <v>73</v>
      </c>
      <c r="C204" t="s">
        <v>74</v>
      </c>
      <c r="E204" t="str">
        <f>"080065168784"</f>
        <v>080065168784</v>
      </c>
      <c r="F204" s="3">
        <v>45782</v>
      </c>
      <c r="G204">
        <v>202602</v>
      </c>
      <c r="H204" t="s">
        <v>75</v>
      </c>
      <c r="I204" t="s">
        <v>76</v>
      </c>
      <c r="J204" t="s">
        <v>77</v>
      </c>
      <c r="K204" t="s">
        <v>78</v>
      </c>
      <c r="L204" t="s">
        <v>130</v>
      </c>
      <c r="M204" t="s">
        <v>131</v>
      </c>
      <c r="N204" t="s">
        <v>699</v>
      </c>
      <c r="O204" t="s">
        <v>82</v>
      </c>
      <c r="P204" t="str">
        <f>"4170036843                    "</f>
        <v xml:space="preserve">4170036843                    </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22.11</v>
      </c>
      <c r="AR204">
        <v>0</v>
      </c>
      <c r="AS204">
        <v>0</v>
      </c>
      <c r="AT204">
        <v>0</v>
      </c>
      <c r="AU204">
        <v>0</v>
      </c>
      <c r="AV204">
        <v>0</v>
      </c>
      <c r="AW204">
        <v>0</v>
      </c>
      <c r="AX204">
        <v>0</v>
      </c>
      <c r="AY204">
        <v>0</v>
      </c>
      <c r="AZ204">
        <v>0</v>
      </c>
      <c r="BA204">
        <v>0</v>
      </c>
      <c r="BB204">
        <v>0</v>
      </c>
      <c r="BC204">
        <v>0</v>
      </c>
      <c r="BD204">
        <v>0</v>
      </c>
      <c r="BE204">
        <v>0</v>
      </c>
      <c r="BF204">
        <v>0</v>
      </c>
      <c r="BG204">
        <v>0</v>
      </c>
      <c r="BH204">
        <v>1</v>
      </c>
      <c r="BI204">
        <v>1</v>
      </c>
      <c r="BJ204">
        <v>0.2</v>
      </c>
      <c r="BK204">
        <v>1</v>
      </c>
      <c r="BL204">
        <v>70.709999999999994</v>
      </c>
      <c r="BM204">
        <v>10.61</v>
      </c>
      <c r="BN204">
        <v>81.319999999999993</v>
      </c>
      <c r="BO204">
        <v>81.319999999999993</v>
      </c>
      <c r="BQ204" t="s">
        <v>700</v>
      </c>
      <c r="BR204" t="s">
        <v>84</v>
      </c>
      <c r="BS204" s="3">
        <v>45784</v>
      </c>
      <c r="BT204" s="4">
        <v>0.41458333333333336</v>
      </c>
      <c r="BU204" t="s">
        <v>701</v>
      </c>
      <c r="BV204" t="s">
        <v>89</v>
      </c>
      <c r="BW204" t="s">
        <v>340</v>
      </c>
      <c r="BX204" t="s">
        <v>618</v>
      </c>
      <c r="BY204">
        <v>1200</v>
      </c>
      <c r="CA204" t="s">
        <v>330</v>
      </c>
      <c r="CC204" t="s">
        <v>131</v>
      </c>
      <c r="CD204">
        <v>7480</v>
      </c>
      <c r="CE204" t="s">
        <v>88</v>
      </c>
      <c r="CF204" s="3">
        <v>45785</v>
      </c>
      <c r="CI204">
        <v>1</v>
      </c>
      <c r="CJ204">
        <v>2</v>
      </c>
      <c r="CK204">
        <v>21</v>
      </c>
      <c r="CL204" t="s">
        <v>89</v>
      </c>
    </row>
    <row r="205" spans="1:90" x14ac:dyDescent="0.3">
      <c r="A205" t="s">
        <v>72</v>
      </c>
      <c r="B205" t="s">
        <v>73</v>
      </c>
      <c r="C205" t="s">
        <v>74</v>
      </c>
      <c r="E205" t="str">
        <f>"080065168819"</f>
        <v>080065168819</v>
      </c>
      <c r="F205" s="3">
        <v>45782</v>
      </c>
      <c r="G205">
        <v>202602</v>
      </c>
      <c r="H205" t="s">
        <v>75</v>
      </c>
      <c r="I205" t="s">
        <v>76</v>
      </c>
      <c r="J205" t="s">
        <v>77</v>
      </c>
      <c r="K205" t="s">
        <v>78</v>
      </c>
      <c r="L205" t="s">
        <v>672</v>
      </c>
      <c r="M205" t="s">
        <v>673</v>
      </c>
      <c r="N205" t="s">
        <v>674</v>
      </c>
      <c r="O205" t="s">
        <v>82</v>
      </c>
      <c r="P205" t="str">
        <f>"4170036840                    "</f>
        <v xml:space="preserve">4170036840                    </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178.27</v>
      </c>
      <c r="AR205">
        <v>0</v>
      </c>
      <c r="AS205">
        <v>0</v>
      </c>
      <c r="AT205">
        <v>0</v>
      </c>
      <c r="AU205">
        <v>0</v>
      </c>
      <c r="AV205">
        <v>0</v>
      </c>
      <c r="AW205">
        <v>0</v>
      </c>
      <c r="AX205">
        <v>0</v>
      </c>
      <c r="AY205">
        <v>0</v>
      </c>
      <c r="AZ205">
        <v>0</v>
      </c>
      <c r="BA205">
        <v>0</v>
      </c>
      <c r="BB205">
        <v>0</v>
      </c>
      <c r="BC205">
        <v>0</v>
      </c>
      <c r="BD205">
        <v>0</v>
      </c>
      <c r="BE205">
        <v>0</v>
      </c>
      <c r="BF205">
        <v>0</v>
      </c>
      <c r="BG205">
        <v>0</v>
      </c>
      <c r="BH205">
        <v>1</v>
      </c>
      <c r="BI205">
        <v>9</v>
      </c>
      <c r="BJ205">
        <v>3.4</v>
      </c>
      <c r="BK205">
        <v>9</v>
      </c>
      <c r="BL205">
        <v>570.07000000000005</v>
      </c>
      <c r="BM205">
        <v>85.51</v>
      </c>
      <c r="BN205">
        <v>655.58</v>
      </c>
      <c r="BO205">
        <v>655.58</v>
      </c>
      <c r="BQ205" t="s">
        <v>675</v>
      </c>
      <c r="BR205" t="s">
        <v>84</v>
      </c>
      <c r="BS205" s="3">
        <v>45783</v>
      </c>
      <c r="BT205" s="4">
        <v>0.41319444444444442</v>
      </c>
      <c r="BU205" t="s">
        <v>702</v>
      </c>
      <c r="BV205" t="s">
        <v>86</v>
      </c>
      <c r="BY205">
        <v>16965</v>
      </c>
      <c r="CA205" t="s">
        <v>677</v>
      </c>
      <c r="CC205" t="s">
        <v>673</v>
      </c>
      <c r="CD205">
        <v>2531</v>
      </c>
      <c r="CE205" t="s">
        <v>96</v>
      </c>
      <c r="CF205" s="3">
        <v>45784</v>
      </c>
      <c r="CI205">
        <v>1</v>
      </c>
      <c r="CJ205">
        <v>1</v>
      </c>
      <c r="CK205">
        <v>23</v>
      </c>
      <c r="CL205" t="s">
        <v>89</v>
      </c>
    </row>
    <row r="206" spans="1:90" x14ac:dyDescent="0.3">
      <c r="A206" t="s">
        <v>72</v>
      </c>
      <c r="B206" t="s">
        <v>73</v>
      </c>
      <c r="C206" t="s">
        <v>74</v>
      </c>
      <c r="E206" t="str">
        <f>"080065168860"</f>
        <v>080065168860</v>
      </c>
      <c r="F206" s="3">
        <v>45782</v>
      </c>
      <c r="G206">
        <v>202602</v>
      </c>
      <c r="H206" t="s">
        <v>75</v>
      </c>
      <c r="I206" t="s">
        <v>76</v>
      </c>
      <c r="J206" t="s">
        <v>77</v>
      </c>
      <c r="K206" t="s">
        <v>78</v>
      </c>
      <c r="L206" t="s">
        <v>311</v>
      </c>
      <c r="M206" t="s">
        <v>312</v>
      </c>
      <c r="N206" t="s">
        <v>703</v>
      </c>
      <c r="O206" t="s">
        <v>82</v>
      </c>
      <c r="P206" t="str">
        <f>"4170036868                    "</f>
        <v xml:space="preserve">4170036868                    </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17.27</v>
      </c>
      <c r="AR206">
        <v>0</v>
      </c>
      <c r="AS206">
        <v>0</v>
      </c>
      <c r="AT206">
        <v>0</v>
      </c>
      <c r="AU206">
        <v>0</v>
      </c>
      <c r="AV206">
        <v>0</v>
      </c>
      <c r="AW206">
        <v>0</v>
      </c>
      <c r="AX206">
        <v>0</v>
      </c>
      <c r="AY206">
        <v>0</v>
      </c>
      <c r="AZ206">
        <v>0</v>
      </c>
      <c r="BA206">
        <v>0</v>
      </c>
      <c r="BB206">
        <v>0</v>
      </c>
      <c r="BC206">
        <v>0</v>
      </c>
      <c r="BD206">
        <v>0</v>
      </c>
      <c r="BE206">
        <v>0</v>
      </c>
      <c r="BF206">
        <v>0</v>
      </c>
      <c r="BG206">
        <v>0</v>
      </c>
      <c r="BH206">
        <v>1</v>
      </c>
      <c r="BI206">
        <v>1</v>
      </c>
      <c r="BJ206">
        <v>1.1000000000000001</v>
      </c>
      <c r="BK206">
        <v>2</v>
      </c>
      <c r="BL206">
        <v>55.23</v>
      </c>
      <c r="BM206">
        <v>8.2799999999999994</v>
      </c>
      <c r="BN206">
        <v>63.51</v>
      </c>
      <c r="BO206">
        <v>63.51</v>
      </c>
      <c r="BQ206" t="s">
        <v>704</v>
      </c>
      <c r="BR206" t="s">
        <v>84</v>
      </c>
      <c r="BS206" s="3">
        <v>45783</v>
      </c>
      <c r="BT206" s="4">
        <v>0.70833333333333337</v>
      </c>
      <c r="BU206" t="s">
        <v>705</v>
      </c>
      <c r="BV206" t="s">
        <v>89</v>
      </c>
      <c r="BW206" t="s">
        <v>148</v>
      </c>
      <c r="BX206" t="s">
        <v>203</v>
      </c>
      <c r="BY206">
        <v>5320</v>
      </c>
      <c r="CA206" t="s">
        <v>706</v>
      </c>
      <c r="CC206" t="s">
        <v>312</v>
      </c>
      <c r="CD206">
        <v>1501</v>
      </c>
      <c r="CE206" t="s">
        <v>116</v>
      </c>
      <c r="CF206" s="3">
        <v>45783</v>
      </c>
      <c r="CI206">
        <v>1</v>
      </c>
      <c r="CJ206">
        <v>1</v>
      </c>
      <c r="CK206">
        <v>22</v>
      </c>
      <c r="CL206" t="s">
        <v>89</v>
      </c>
    </row>
    <row r="207" spans="1:90" x14ac:dyDescent="0.3">
      <c r="A207" t="s">
        <v>72</v>
      </c>
      <c r="B207" t="s">
        <v>73</v>
      </c>
      <c r="C207" t="s">
        <v>74</v>
      </c>
      <c r="E207" t="str">
        <f>"080065168911"</f>
        <v>080065168911</v>
      </c>
      <c r="F207" s="3">
        <v>45782</v>
      </c>
      <c r="G207">
        <v>202602</v>
      </c>
      <c r="H207" t="s">
        <v>75</v>
      </c>
      <c r="I207" t="s">
        <v>76</v>
      </c>
      <c r="J207" t="s">
        <v>77</v>
      </c>
      <c r="K207" t="s">
        <v>78</v>
      </c>
      <c r="L207" t="s">
        <v>90</v>
      </c>
      <c r="M207" t="s">
        <v>91</v>
      </c>
      <c r="N207" t="s">
        <v>476</v>
      </c>
      <c r="O207" t="s">
        <v>82</v>
      </c>
      <c r="P207" t="str">
        <f>"4170036808                    "</f>
        <v xml:space="preserve">4170036808                    </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22.11</v>
      </c>
      <c r="AR207">
        <v>0</v>
      </c>
      <c r="AS207">
        <v>0</v>
      </c>
      <c r="AT207">
        <v>0</v>
      </c>
      <c r="AU207">
        <v>0</v>
      </c>
      <c r="AV207">
        <v>0</v>
      </c>
      <c r="AW207">
        <v>0</v>
      </c>
      <c r="AX207">
        <v>0</v>
      </c>
      <c r="AY207">
        <v>0</v>
      </c>
      <c r="AZ207">
        <v>0</v>
      </c>
      <c r="BA207">
        <v>0</v>
      </c>
      <c r="BB207">
        <v>0</v>
      </c>
      <c r="BC207">
        <v>0</v>
      </c>
      <c r="BD207">
        <v>0</v>
      </c>
      <c r="BE207">
        <v>0</v>
      </c>
      <c r="BF207">
        <v>0</v>
      </c>
      <c r="BG207">
        <v>0</v>
      </c>
      <c r="BH207">
        <v>1</v>
      </c>
      <c r="BI207">
        <v>2</v>
      </c>
      <c r="BJ207">
        <v>1.4</v>
      </c>
      <c r="BK207">
        <v>2</v>
      </c>
      <c r="BL207">
        <v>70.709999999999994</v>
      </c>
      <c r="BM207">
        <v>10.61</v>
      </c>
      <c r="BN207">
        <v>81.319999999999993</v>
      </c>
      <c r="BO207">
        <v>81.319999999999993</v>
      </c>
      <c r="BQ207" t="s">
        <v>477</v>
      </c>
      <c r="BR207" t="s">
        <v>84</v>
      </c>
      <c r="BS207" s="3">
        <v>45783</v>
      </c>
      <c r="BT207" s="4">
        <v>0.4375</v>
      </c>
      <c r="BU207" t="s">
        <v>707</v>
      </c>
      <c r="BV207" t="s">
        <v>86</v>
      </c>
      <c r="BY207">
        <v>7000</v>
      </c>
      <c r="CA207" t="s">
        <v>708</v>
      </c>
      <c r="CC207" t="s">
        <v>91</v>
      </c>
      <c r="CD207">
        <v>6001</v>
      </c>
      <c r="CE207" t="s">
        <v>116</v>
      </c>
      <c r="CF207" s="3">
        <v>45783</v>
      </c>
      <c r="CI207">
        <v>1</v>
      </c>
      <c r="CJ207">
        <v>1</v>
      </c>
      <c r="CK207">
        <v>21</v>
      </c>
      <c r="CL207" t="s">
        <v>89</v>
      </c>
    </row>
    <row r="208" spans="1:90" x14ac:dyDescent="0.3">
      <c r="A208" t="s">
        <v>72</v>
      </c>
      <c r="B208" t="s">
        <v>73</v>
      </c>
      <c r="C208" t="s">
        <v>74</v>
      </c>
      <c r="E208" t="str">
        <f>"080065168946"</f>
        <v>080065168946</v>
      </c>
      <c r="F208" s="3">
        <v>45782</v>
      </c>
      <c r="G208">
        <v>202602</v>
      </c>
      <c r="H208" t="s">
        <v>75</v>
      </c>
      <c r="I208" t="s">
        <v>76</v>
      </c>
      <c r="J208" t="s">
        <v>77</v>
      </c>
      <c r="K208" t="s">
        <v>78</v>
      </c>
      <c r="L208" t="s">
        <v>489</v>
      </c>
      <c r="M208" t="s">
        <v>490</v>
      </c>
      <c r="N208" t="s">
        <v>491</v>
      </c>
      <c r="O208" t="s">
        <v>82</v>
      </c>
      <c r="P208" t="str">
        <f>"4170036873                    "</f>
        <v xml:space="preserve">4170036873                    </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149.25</v>
      </c>
      <c r="AR208">
        <v>0</v>
      </c>
      <c r="AS208">
        <v>0</v>
      </c>
      <c r="AT208">
        <v>0</v>
      </c>
      <c r="AU208">
        <v>0</v>
      </c>
      <c r="AV208">
        <v>0</v>
      </c>
      <c r="AW208">
        <v>0</v>
      </c>
      <c r="AX208">
        <v>0</v>
      </c>
      <c r="AY208">
        <v>0</v>
      </c>
      <c r="AZ208">
        <v>0</v>
      </c>
      <c r="BA208">
        <v>0</v>
      </c>
      <c r="BB208">
        <v>0</v>
      </c>
      <c r="BC208">
        <v>0</v>
      </c>
      <c r="BD208">
        <v>0</v>
      </c>
      <c r="BE208">
        <v>0</v>
      </c>
      <c r="BF208">
        <v>0</v>
      </c>
      <c r="BG208">
        <v>0</v>
      </c>
      <c r="BH208">
        <v>1</v>
      </c>
      <c r="BI208">
        <v>6</v>
      </c>
      <c r="BJ208">
        <v>7.4</v>
      </c>
      <c r="BK208">
        <v>7.5</v>
      </c>
      <c r="BL208">
        <v>477.27</v>
      </c>
      <c r="BM208">
        <v>71.59</v>
      </c>
      <c r="BN208">
        <v>548.86</v>
      </c>
      <c r="BO208">
        <v>548.86</v>
      </c>
      <c r="BQ208" t="s">
        <v>492</v>
      </c>
      <c r="BR208" t="s">
        <v>84</v>
      </c>
      <c r="BS208" s="3">
        <v>45783</v>
      </c>
      <c r="BT208" s="4">
        <v>0.33333333333333331</v>
      </c>
      <c r="BU208" t="s">
        <v>493</v>
      </c>
      <c r="BV208" t="s">
        <v>86</v>
      </c>
      <c r="BY208">
        <v>36864</v>
      </c>
      <c r="CC208" t="s">
        <v>490</v>
      </c>
      <c r="CD208">
        <v>2740</v>
      </c>
      <c r="CE208" t="s">
        <v>221</v>
      </c>
      <c r="CF208" s="3">
        <v>45786</v>
      </c>
      <c r="CI208">
        <v>1</v>
      </c>
      <c r="CJ208">
        <v>1</v>
      </c>
      <c r="CK208">
        <v>23</v>
      </c>
      <c r="CL208" t="s">
        <v>89</v>
      </c>
    </row>
    <row r="209" spans="1:90" x14ac:dyDescent="0.3">
      <c r="A209" t="s">
        <v>72</v>
      </c>
      <c r="B209" t="s">
        <v>73</v>
      </c>
      <c r="C209" t="s">
        <v>74</v>
      </c>
      <c r="E209" t="str">
        <f>"080065169001"</f>
        <v>080065169001</v>
      </c>
      <c r="F209" s="3">
        <v>45782</v>
      </c>
      <c r="G209">
        <v>202602</v>
      </c>
      <c r="H209" t="s">
        <v>75</v>
      </c>
      <c r="I209" t="s">
        <v>76</v>
      </c>
      <c r="J209" t="s">
        <v>77</v>
      </c>
      <c r="K209" t="s">
        <v>78</v>
      </c>
      <c r="L209" t="s">
        <v>130</v>
      </c>
      <c r="M209" t="s">
        <v>131</v>
      </c>
      <c r="N209" t="s">
        <v>709</v>
      </c>
      <c r="O209" t="s">
        <v>82</v>
      </c>
      <c r="P209" t="str">
        <f>"4170036855                    "</f>
        <v xml:space="preserve">4170036855                    </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55.26</v>
      </c>
      <c r="AR209">
        <v>0</v>
      </c>
      <c r="AS209">
        <v>0</v>
      </c>
      <c r="AT209">
        <v>0</v>
      </c>
      <c r="AU209">
        <v>0</v>
      </c>
      <c r="AV209">
        <v>0</v>
      </c>
      <c r="AW209">
        <v>0</v>
      </c>
      <c r="AX209">
        <v>0</v>
      </c>
      <c r="AY209">
        <v>0</v>
      </c>
      <c r="AZ209">
        <v>0</v>
      </c>
      <c r="BA209">
        <v>0</v>
      </c>
      <c r="BB209">
        <v>0</v>
      </c>
      <c r="BC209">
        <v>0</v>
      </c>
      <c r="BD209">
        <v>0</v>
      </c>
      <c r="BE209">
        <v>0</v>
      </c>
      <c r="BF209">
        <v>0</v>
      </c>
      <c r="BG209">
        <v>0</v>
      </c>
      <c r="BH209">
        <v>1</v>
      </c>
      <c r="BI209">
        <v>5</v>
      </c>
      <c r="BJ209">
        <v>2.2999999999999998</v>
      </c>
      <c r="BK209">
        <v>5</v>
      </c>
      <c r="BL209">
        <v>176.7</v>
      </c>
      <c r="BM209">
        <v>26.51</v>
      </c>
      <c r="BN209">
        <v>203.21</v>
      </c>
      <c r="BO209">
        <v>203.21</v>
      </c>
      <c r="BQ209" t="s">
        <v>710</v>
      </c>
      <c r="BR209" t="s">
        <v>84</v>
      </c>
      <c r="BS209" s="3">
        <v>45784</v>
      </c>
      <c r="BT209" s="4">
        <v>0.33333333333333331</v>
      </c>
      <c r="BU209" t="s">
        <v>711</v>
      </c>
      <c r="BV209" t="s">
        <v>89</v>
      </c>
      <c r="BW209" t="s">
        <v>340</v>
      </c>
      <c r="BX209" t="s">
        <v>578</v>
      </c>
      <c r="BY209">
        <v>11592</v>
      </c>
      <c r="CA209" t="s">
        <v>712</v>
      </c>
      <c r="CC209" t="s">
        <v>131</v>
      </c>
      <c r="CD209">
        <v>7530</v>
      </c>
      <c r="CE209" t="s">
        <v>221</v>
      </c>
      <c r="CF209" s="3">
        <v>45785</v>
      </c>
      <c r="CI209">
        <v>1</v>
      </c>
      <c r="CJ209">
        <v>2</v>
      </c>
      <c r="CK209">
        <v>21</v>
      </c>
      <c r="CL209" t="s">
        <v>89</v>
      </c>
    </row>
    <row r="210" spans="1:90" x14ac:dyDescent="0.3">
      <c r="A210" t="s">
        <v>72</v>
      </c>
      <c r="B210" t="s">
        <v>73</v>
      </c>
      <c r="C210" t="s">
        <v>74</v>
      </c>
      <c r="E210" t="str">
        <f>"080065169048"</f>
        <v>080065169048</v>
      </c>
      <c r="F210" s="3">
        <v>45782</v>
      </c>
      <c r="G210">
        <v>202602</v>
      </c>
      <c r="H210" t="s">
        <v>75</v>
      </c>
      <c r="I210" t="s">
        <v>76</v>
      </c>
      <c r="J210" t="s">
        <v>77</v>
      </c>
      <c r="K210" t="s">
        <v>78</v>
      </c>
      <c r="L210" t="s">
        <v>130</v>
      </c>
      <c r="M210" t="s">
        <v>131</v>
      </c>
      <c r="N210" t="s">
        <v>426</v>
      </c>
      <c r="O210" t="s">
        <v>82</v>
      </c>
      <c r="P210" t="str">
        <f>"4170036886                    "</f>
        <v xml:space="preserve">4170036886                    </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22.11</v>
      </c>
      <c r="AR210">
        <v>0</v>
      </c>
      <c r="AS210">
        <v>0</v>
      </c>
      <c r="AT210">
        <v>0</v>
      </c>
      <c r="AU210">
        <v>0</v>
      </c>
      <c r="AV210">
        <v>0</v>
      </c>
      <c r="AW210">
        <v>0</v>
      </c>
      <c r="AX210">
        <v>0</v>
      </c>
      <c r="AY210">
        <v>0</v>
      </c>
      <c r="AZ210">
        <v>0</v>
      </c>
      <c r="BA210">
        <v>0</v>
      </c>
      <c r="BB210">
        <v>0</v>
      </c>
      <c r="BC210">
        <v>0</v>
      </c>
      <c r="BD210">
        <v>0</v>
      </c>
      <c r="BE210">
        <v>0</v>
      </c>
      <c r="BF210">
        <v>0</v>
      </c>
      <c r="BG210">
        <v>0</v>
      </c>
      <c r="BH210">
        <v>1</v>
      </c>
      <c r="BI210">
        <v>1</v>
      </c>
      <c r="BJ210">
        <v>1.7</v>
      </c>
      <c r="BK210">
        <v>2</v>
      </c>
      <c r="BL210">
        <v>70.709999999999994</v>
      </c>
      <c r="BM210">
        <v>10.61</v>
      </c>
      <c r="BN210">
        <v>81.319999999999993</v>
      </c>
      <c r="BO210">
        <v>81.319999999999993</v>
      </c>
      <c r="BQ210" t="s">
        <v>427</v>
      </c>
      <c r="BR210" t="s">
        <v>84</v>
      </c>
      <c r="BS210" s="3">
        <v>45784</v>
      </c>
      <c r="BT210" s="4">
        <v>0.36527777777777776</v>
      </c>
      <c r="BU210" t="s">
        <v>577</v>
      </c>
      <c r="BV210" t="s">
        <v>89</v>
      </c>
      <c r="BW210" t="s">
        <v>340</v>
      </c>
      <c r="BX210" t="s">
        <v>578</v>
      </c>
      <c r="BY210">
        <v>8550</v>
      </c>
      <c r="CA210" t="s">
        <v>429</v>
      </c>
      <c r="CC210" t="s">
        <v>131</v>
      </c>
      <c r="CD210">
        <v>7945</v>
      </c>
      <c r="CE210" t="s">
        <v>116</v>
      </c>
      <c r="CF210" s="3">
        <v>45785</v>
      </c>
      <c r="CI210">
        <v>1</v>
      </c>
      <c r="CJ210">
        <v>2</v>
      </c>
      <c r="CK210">
        <v>21</v>
      </c>
      <c r="CL210" t="s">
        <v>89</v>
      </c>
    </row>
    <row r="211" spans="1:90" x14ac:dyDescent="0.3">
      <c r="A211" t="s">
        <v>72</v>
      </c>
      <c r="B211" t="s">
        <v>73</v>
      </c>
      <c r="C211" t="s">
        <v>74</v>
      </c>
      <c r="E211" t="str">
        <f>"080065169092"</f>
        <v>080065169092</v>
      </c>
      <c r="F211" s="3">
        <v>45782</v>
      </c>
      <c r="G211">
        <v>202602</v>
      </c>
      <c r="H211" t="s">
        <v>75</v>
      </c>
      <c r="I211" t="s">
        <v>76</v>
      </c>
      <c r="J211" t="s">
        <v>77</v>
      </c>
      <c r="K211" t="s">
        <v>78</v>
      </c>
      <c r="L211" t="s">
        <v>713</v>
      </c>
      <c r="M211" t="s">
        <v>714</v>
      </c>
      <c r="N211" t="s">
        <v>715</v>
      </c>
      <c r="O211" t="s">
        <v>82</v>
      </c>
      <c r="P211" t="str">
        <f>"4170036842                    "</f>
        <v xml:space="preserve">4170036842                    </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62.19</v>
      </c>
      <c r="AR211">
        <v>0</v>
      </c>
      <c r="AS211">
        <v>0</v>
      </c>
      <c r="AT211">
        <v>0</v>
      </c>
      <c r="AU211">
        <v>0</v>
      </c>
      <c r="AV211">
        <v>0</v>
      </c>
      <c r="AW211">
        <v>0</v>
      </c>
      <c r="AX211">
        <v>0</v>
      </c>
      <c r="AY211">
        <v>0</v>
      </c>
      <c r="AZ211">
        <v>0</v>
      </c>
      <c r="BA211">
        <v>0</v>
      </c>
      <c r="BB211">
        <v>0</v>
      </c>
      <c r="BC211">
        <v>0</v>
      </c>
      <c r="BD211">
        <v>0</v>
      </c>
      <c r="BE211">
        <v>0</v>
      </c>
      <c r="BF211">
        <v>0</v>
      </c>
      <c r="BG211">
        <v>0</v>
      </c>
      <c r="BH211">
        <v>1</v>
      </c>
      <c r="BI211">
        <v>3</v>
      </c>
      <c r="BJ211">
        <v>1.4</v>
      </c>
      <c r="BK211">
        <v>3</v>
      </c>
      <c r="BL211">
        <v>198.87</v>
      </c>
      <c r="BM211">
        <v>29.83</v>
      </c>
      <c r="BN211">
        <v>228.7</v>
      </c>
      <c r="BO211">
        <v>228.7</v>
      </c>
      <c r="BQ211" t="s">
        <v>716</v>
      </c>
      <c r="BR211" t="s">
        <v>84</v>
      </c>
      <c r="BS211" s="3">
        <v>45783</v>
      </c>
      <c r="BT211" s="4">
        <v>0.65347222222222223</v>
      </c>
      <c r="BU211" t="s">
        <v>717</v>
      </c>
      <c r="BV211" t="s">
        <v>86</v>
      </c>
      <c r="BY211">
        <v>7000</v>
      </c>
      <c r="CA211" t="s">
        <v>718</v>
      </c>
      <c r="CC211" t="s">
        <v>714</v>
      </c>
      <c r="CD211">
        <v>6300</v>
      </c>
      <c r="CE211" t="s">
        <v>116</v>
      </c>
      <c r="CF211" s="3">
        <v>45783</v>
      </c>
      <c r="CI211">
        <v>2</v>
      </c>
      <c r="CJ211">
        <v>1</v>
      </c>
      <c r="CK211">
        <v>23</v>
      </c>
      <c r="CL211" t="s">
        <v>89</v>
      </c>
    </row>
    <row r="212" spans="1:90" x14ac:dyDescent="0.3">
      <c r="A212" t="s">
        <v>72</v>
      </c>
      <c r="B212" t="s">
        <v>73</v>
      </c>
      <c r="C212" t="s">
        <v>74</v>
      </c>
      <c r="E212" t="str">
        <f>"080065169118"</f>
        <v>080065169118</v>
      </c>
      <c r="F212" s="3">
        <v>45782</v>
      </c>
      <c r="G212">
        <v>202602</v>
      </c>
      <c r="H212" t="s">
        <v>75</v>
      </c>
      <c r="I212" t="s">
        <v>76</v>
      </c>
      <c r="J212" t="s">
        <v>77</v>
      </c>
      <c r="K212" t="s">
        <v>78</v>
      </c>
      <c r="L212" t="s">
        <v>143</v>
      </c>
      <c r="M212" t="s">
        <v>144</v>
      </c>
      <c r="N212" t="s">
        <v>719</v>
      </c>
      <c r="O212" t="s">
        <v>82</v>
      </c>
      <c r="P212" t="str">
        <f>"4170036871                    "</f>
        <v xml:space="preserve">4170036871                    </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17.27</v>
      </c>
      <c r="AR212">
        <v>0</v>
      </c>
      <c r="AS212">
        <v>0</v>
      </c>
      <c r="AT212">
        <v>0</v>
      </c>
      <c r="AU212">
        <v>0</v>
      </c>
      <c r="AV212">
        <v>0</v>
      </c>
      <c r="AW212">
        <v>0</v>
      </c>
      <c r="AX212">
        <v>0</v>
      </c>
      <c r="AY212">
        <v>0</v>
      </c>
      <c r="AZ212">
        <v>0</v>
      </c>
      <c r="BA212">
        <v>0</v>
      </c>
      <c r="BB212">
        <v>0</v>
      </c>
      <c r="BC212">
        <v>0</v>
      </c>
      <c r="BD212">
        <v>0</v>
      </c>
      <c r="BE212">
        <v>0</v>
      </c>
      <c r="BF212">
        <v>0</v>
      </c>
      <c r="BG212">
        <v>0</v>
      </c>
      <c r="BH212">
        <v>1</v>
      </c>
      <c r="BI212">
        <v>1</v>
      </c>
      <c r="BJ212">
        <v>1.9</v>
      </c>
      <c r="BK212">
        <v>2</v>
      </c>
      <c r="BL212">
        <v>55.23</v>
      </c>
      <c r="BM212">
        <v>8.2799999999999994</v>
      </c>
      <c r="BN212">
        <v>63.51</v>
      </c>
      <c r="BO212">
        <v>63.51</v>
      </c>
      <c r="BQ212" t="s">
        <v>720</v>
      </c>
      <c r="BR212" t="s">
        <v>84</v>
      </c>
      <c r="BS212" s="3">
        <v>45783</v>
      </c>
      <c r="BT212" s="4">
        <v>0.35416666666666669</v>
      </c>
      <c r="BU212" t="s">
        <v>721</v>
      </c>
      <c r="BV212" t="s">
        <v>86</v>
      </c>
      <c r="BY212">
        <v>9600</v>
      </c>
      <c r="CA212" t="s">
        <v>150</v>
      </c>
      <c r="CC212" t="s">
        <v>144</v>
      </c>
      <c r="CD212">
        <v>1401</v>
      </c>
      <c r="CE212" t="s">
        <v>116</v>
      </c>
      <c r="CF212" s="3">
        <v>45783</v>
      </c>
      <c r="CI212">
        <v>1</v>
      </c>
      <c r="CJ212">
        <v>1</v>
      </c>
      <c r="CK212">
        <v>22</v>
      </c>
      <c r="CL212" t="s">
        <v>89</v>
      </c>
    </row>
    <row r="213" spans="1:90" x14ac:dyDescent="0.3">
      <c r="A213" t="s">
        <v>72</v>
      </c>
      <c r="B213" t="s">
        <v>73</v>
      </c>
      <c r="C213" t="s">
        <v>74</v>
      </c>
      <c r="E213" t="str">
        <f>"080065169614"</f>
        <v>080065169614</v>
      </c>
      <c r="F213" s="3">
        <v>45782</v>
      </c>
      <c r="G213">
        <v>202602</v>
      </c>
      <c r="H213" t="s">
        <v>75</v>
      </c>
      <c r="I213" t="s">
        <v>76</v>
      </c>
      <c r="J213" t="s">
        <v>77</v>
      </c>
      <c r="K213" t="s">
        <v>78</v>
      </c>
      <c r="L213" t="s">
        <v>713</v>
      </c>
      <c r="M213" t="s">
        <v>714</v>
      </c>
      <c r="N213" t="s">
        <v>715</v>
      </c>
      <c r="O213" t="s">
        <v>82</v>
      </c>
      <c r="P213" t="str">
        <f>"4170036916                    "</f>
        <v xml:space="preserve">4170036916                    </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42.84</v>
      </c>
      <c r="AR213">
        <v>0</v>
      </c>
      <c r="AS213">
        <v>0</v>
      </c>
      <c r="AT213">
        <v>0</v>
      </c>
      <c r="AU213">
        <v>0</v>
      </c>
      <c r="AV213">
        <v>0</v>
      </c>
      <c r="AW213">
        <v>0</v>
      </c>
      <c r="AX213">
        <v>0</v>
      </c>
      <c r="AY213">
        <v>0</v>
      </c>
      <c r="AZ213">
        <v>0</v>
      </c>
      <c r="BA213">
        <v>0</v>
      </c>
      <c r="BB213">
        <v>0</v>
      </c>
      <c r="BC213">
        <v>0</v>
      </c>
      <c r="BD213">
        <v>0</v>
      </c>
      <c r="BE213">
        <v>0</v>
      </c>
      <c r="BF213">
        <v>0</v>
      </c>
      <c r="BG213">
        <v>0</v>
      </c>
      <c r="BH213">
        <v>1</v>
      </c>
      <c r="BI213">
        <v>1</v>
      </c>
      <c r="BJ213">
        <v>0.2</v>
      </c>
      <c r="BK213">
        <v>1</v>
      </c>
      <c r="BL213">
        <v>137</v>
      </c>
      <c r="BM213">
        <v>20.55</v>
      </c>
      <c r="BN213">
        <v>157.55000000000001</v>
      </c>
      <c r="BO213">
        <v>157.55000000000001</v>
      </c>
      <c r="BQ213" t="s">
        <v>716</v>
      </c>
      <c r="BR213" t="s">
        <v>84</v>
      </c>
      <c r="BS213" s="3">
        <v>45783</v>
      </c>
      <c r="BT213" s="4">
        <v>0.65347222222222223</v>
      </c>
      <c r="BU213" t="s">
        <v>717</v>
      </c>
      <c r="BV213" t="s">
        <v>86</v>
      </c>
      <c r="BY213">
        <v>1200</v>
      </c>
      <c r="CA213" t="s">
        <v>718</v>
      </c>
      <c r="CC213" t="s">
        <v>714</v>
      </c>
      <c r="CD213">
        <v>6300</v>
      </c>
      <c r="CE213" t="s">
        <v>88</v>
      </c>
      <c r="CF213" s="3">
        <v>45783</v>
      </c>
      <c r="CI213">
        <v>2</v>
      </c>
      <c r="CJ213">
        <v>1</v>
      </c>
      <c r="CK213">
        <v>23</v>
      </c>
      <c r="CL213" t="s">
        <v>89</v>
      </c>
    </row>
    <row r="214" spans="1:90" x14ac:dyDescent="0.3">
      <c r="A214" t="s">
        <v>72</v>
      </c>
      <c r="B214" t="s">
        <v>73</v>
      </c>
      <c r="C214" t="s">
        <v>74</v>
      </c>
      <c r="E214" t="str">
        <f>"080065169649"</f>
        <v>080065169649</v>
      </c>
      <c r="F214" s="3">
        <v>45782</v>
      </c>
      <c r="G214">
        <v>202602</v>
      </c>
      <c r="H214" t="s">
        <v>75</v>
      </c>
      <c r="I214" t="s">
        <v>76</v>
      </c>
      <c r="J214" t="s">
        <v>77</v>
      </c>
      <c r="K214" t="s">
        <v>78</v>
      </c>
      <c r="L214" t="s">
        <v>117</v>
      </c>
      <c r="M214" t="s">
        <v>118</v>
      </c>
      <c r="N214" t="s">
        <v>722</v>
      </c>
      <c r="O214" t="s">
        <v>82</v>
      </c>
      <c r="P214" t="str">
        <f>"4170036872                    "</f>
        <v xml:space="preserve">4170036872                    </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17.27</v>
      </c>
      <c r="AR214">
        <v>0</v>
      </c>
      <c r="AS214">
        <v>0</v>
      </c>
      <c r="AT214">
        <v>0</v>
      </c>
      <c r="AU214">
        <v>0</v>
      </c>
      <c r="AV214">
        <v>0</v>
      </c>
      <c r="AW214">
        <v>0</v>
      </c>
      <c r="AX214">
        <v>0</v>
      </c>
      <c r="AY214">
        <v>0</v>
      </c>
      <c r="AZ214">
        <v>0</v>
      </c>
      <c r="BA214">
        <v>0</v>
      </c>
      <c r="BB214">
        <v>0</v>
      </c>
      <c r="BC214">
        <v>0</v>
      </c>
      <c r="BD214">
        <v>0</v>
      </c>
      <c r="BE214">
        <v>0</v>
      </c>
      <c r="BF214">
        <v>0</v>
      </c>
      <c r="BG214">
        <v>0</v>
      </c>
      <c r="BH214">
        <v>1</v>
      </c>
      <c r="BI214">
        <v>1</v>
      </c>
      <c r="BJ214">
        <v>0.2</v>
      </c>
      <c r="BK214">
        <v>1</v>
      </c>
      <c r="BL214">
        <v>55.23</v>
      </c>
      <c r="BM214">
        <v>8.2799999999999994</v>
      </c>
      <c r="BN214">
        <v>63.51</v>
      </c>
      <c r="BO214">
        <v>63.51</v>
      </c>
      <c r="BQ214" t="s">
        <v>723</v>
      </c>
      <c r="BR214" t="s">
        <v>84</v>
      </c>
      <c r="BS214" s="3">
        <v>45783</v>
      </c>
      <c r="BT214" s="4">
        <v>0.40972222222222221</v>
      </c>
      <c r="BU214" t="s">
        <v>724</v>
      </c>
      <c r="BV214" t="s">
        <v>86</v>
      </c>
      <c r="BY214">
        <v>1200</v>
      </c>
      <c r="CA214" t="s">
        <v>535</v>
      </c>
      <c r="CC214" t="s">
        <v>118</v>
      </c>
      <c r="CD214">
        <v>2094</v>
      </c>
      <c r="CE214" t="s">
        <v>88</v>
      </c>
      <c r="CF214" s="3">
        <v>45783</v>
      </c>
      <c r="CI214">
        <v>1</v>
      </c>
      <c r="CJ214">
        <v>1</v>
      </c>
      <c r="CK214">
        <v>22</v>
      </c>
      <c r="CL214" t="s">
        <v>89</v>
      </c>
    </row>
    <row r="215" spans="1:90" x14ac:dyDescent="0.3">
      <c r="A215" t="s">
        <v>72</v>
      </c>
      <c r="B215" t="s">
        <v>73</v>
      </c>
      <c r="C215" t="s">
        <v>74</v>
      </c>
      <c r="E215" t="str">
        <f>"080065169678"</f>
        <v>080065169678</v>
      </c>
      <c r="F215" s="3">
        <v>45782</v>
      </c>
      <c r="G215">
        <v>202602</v>
      </c>
      <c r="H215" t="s">
        <v>75</v>
      </c>
      <c r="I215" t="s">
        <v>76</v>
      </c>
      <c r="J215" t="s">
        <v>77</v>
      </c>
      <c r="K215" t="s">
        <v>78</v>
      </c>
      <c r="L215" t="s">
        <v>725</v>
      </c>
      <c r="M215" t="s">
        <v>726</v>
      </c>
      <c r="N215" t="s">
        <v>727</v>
      </c>
      <c r="O215" t="s">
        <v>82</v>
      </c>
      <c r="P215" t="str">
        <f>"4170036823                    "</f>
        <v xml:space="preserve">4170036823                    </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42.84</v>
      </c>
      <c r="AR215">
        <v>0</v>
      </c>
      <c r="AS215">
        <v>0</v>
      </c>
      <c r="AT215">
        <v>0</v>
      </c>
      <c r="AU215">
        <v>0</v>
      </c>
      <c r="AV215">
        <v>0</v>
      </c>
      <c r="AW215">
        <v>0</v>
      </c>
      <c r="AX215">
        <v>0</v>
      </c>
      <c r="AY215">
        <v>0</v>
      </c>
      <c r="AZ215">
        <v>0</v>
      </c>
      <c r="BA215">
        <v>0</v>
      </c>
      <c r="BB215">
        <v>0</v>
      </c>
      <c r="BC215">
        <v>0</v>
      </c>
      <c r="BD215">
        <v>0</v>
      </c>
      <c r="BE215">
        <v>0</v>
      </c>
      <c r="BF215">
        <v>0</v>
      </c>
      <c r="BG215">
        <v>0</v>
      </c>
      <c r="BH215">
        <v>1</v>
      </c>
      <c r="BI215">
        <v>1</v>
      </c>
      <c r="BJ215">
        <v>0.2</v>
      </c>
      <c r="BK215">
        <v>1</v>
      </c>
      <c r="BL215">
        <v>137</v>
      </c>
      <c r="BM215">
        <v>20.55</v>
      </c>
      <c r="BN215">
        <v>157.55000000000001</v>
      </c>
      <c r="BO215">
        <v>157.55000000000001</v>
      </c>
      <c r="BQ215" t="s">
        <v>728</v>
      </c>
      <c r="BR215" t="s">
        <v>84</v>
      </c>
      <c r="BS215" s="3">
        <v>45783</v>
      </c>
      <c r="BT215" s="4">
        <v>0.6479166666666667</v>
      </c>
      <c r="BU215" t="s">
        <v>729</v>
      </c>
      <c r="BV215" t="s">
        <v>86</v>
      </c>
      <c r="BY215">
        <v>1200</v>
      </c>
      <c r="CA215" t="s">
        <v>730</v>
      </c>
      <c r="CC215" t="s">
        <v>726</v>
      </c>
      <c r="CD215">
        <v>2380</v>
      </c>
      <c r="CE215" t="s">
        <v>88</v>
      </c>
      <c r="CF215" s="3">
        <v>45784</v>
      </c>
      <c r="CI215">
        <v>1</v>
      </c>
      <c r="CJ215">
        <v>1</v>
      </c>
      <c r="CK215">
        <v>23</v>
      </c>
      <c r="CL215" t="s">
        <v>89</v>
      </c>
    </row>
    <row r="216" spans="1:90" x14ac:dyDescent="0.3">
      <c r="A216" t="s">
        <v>72</v>
      </c>
      <c r="B216" t="s">
        <v>73</v>
      </c>
      <c r="C216" t="s">
        <v>74</v>
      </c>
      <c r="E216" t="str">
        <f>"080065169736"</f>
        <v>080065169736</v>
      </c>
      <c r="F216" s="3">
        <v>45782</v>
      </c>
      <c r="G216">
        <v>202602</v>
      </c>
      <c r="H216" t="s">
        <v>75</v>
      </c>
      <c r="I216" t="s">
        <v>76</v>
      </c>
      <c r="J216" t="s">
        <v>77</v>
      </c>
      <c r="K216" t="s">
        <v>78</v>
      </c>
      <c r="L216" t="s">
        <v>151</v>
      </c>
      <c r="M216" t="s">
        <v>152</v>
      </c>
      <c r="N216" t="s">
        <v>731</v>
      </c>
      <c r="O216" t="s">
        <v>82</v>
      </c>
      <c r="P216" t="str">
        <f>"4170036853                    "</f>
        <v xml:space="preserve">4170036853                    </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42.84</v>
      </c>
      <c r="AR216">
        <v>0</v>
      </c>
      <c r="AS216">
        <v>0</v>
      </c>
      <c r="AT216">
        <v>0</v>
      </c>
      <c r="AU216">
        <v>0</v>
      </c>
      <c r="AV216">
        <v>0</v>
      </c>
      <c r="AW216">
        <v>0</v>
      </c>
      <c r="AX216">
        <v>0</v>
      </c>
      <c r="AY216">
        <v>0</v>
      </c>
      <c r="AZ216">
        <v>0</v>
      </c>
      <c r="BA216">
        <v>0</v>
      </c>
      <c r="BB216">
        <v>0</v>
      </c>
      <c r="BC216">
        <v>0</v>
      </c>
      <c r="BD216">
        <v>0</v>
      </c>
      <c r="BE216">
        <v>0</v>
      </c>
      <c r="BF216">
        <v>0</v>
      </c>
      <c r="BG216">
        <v>0</v>
      </c>
      <c r="BH216">
        <v>1</v>
      </c>
      <c r="BI216">
        <v>1</v>
      </c>
      <c r="BJ216">
        <v>0.2</v>
      </c>
      <c r="BK216">
        <v>1</v>
      </c>
      <c r="BL216">
        <v>137</v>
      </c>
      <c r="BM216">
        <v>20.55</v>
      </c>
      <c r="BN216">
        <v>157.55000000000001</v>
      </c>
      <c r="BO216">
        <v>157.55000000000001</v>
      </c>
      <c r="BQ216" t="s">
        <v>732</v>
      </c>
      <c r="BR216" t="s">
        <v>84</v>
      </c>
      <c r="BS216" s="3">
        <v>45783</v>
      </c>
      <c r="BT216" s="4">
        <v>0.42152777777777778</v>
      </c>
      <c r="BU216" t="s">
        <v>733</v>
      </c>
      <c r="BV216" t="s">
        <v>86</v>
      </c>
      <c r="BY216">
        <v>1200</v>
      </c>
      <c r="CA216" t="s">
        <v>156</v>
      </c>
      <c r="CC216" t="s">
        <v>152</v>
      </c>
      <c r="CD216">
        <v>1911</v>
      </c>
      <c r="CE216" t="s">
        <v>88</v>
      </c>
      <c r="CF216" s="3">
        <v>45783</v>
      </c>
      <c r="CI216">
        <v>1</v>
      </c>
      <c r="CJ216">
        <v>1</v>
      </c>
      <c r="CK216">
        <v>23</v>
      </c>
      <c r="CL216" t="s">
        <v>89</v>
      </c>
    </row>
    <row r="217" spans="1:90" x14ac:dyDescent="0.3">
      <c r="A217" t="s">
        <v>72</v>
      </c>
      <c r="B217" t="s">
        <v>73</v>
      </c>
      <c r="C217" t="s">
        <v>74</v>
      </c>
      <c r="E217" t="str">
        <f>"080065169738"</f>
        <v>080065169738</v>
      </c>
      <c r="F217" s="3">
        <v>45782</v>
      </c>
      <c r="G217">
        <v>202602</v>
      </c>
      <c r="H217" t="s">
        <v>75</v>
      </c>
      <c r="I217" t="s">
        <v>76</v>
      </c>
      <c r="J217" t="s">
        <v>77</v>
      </c>
      <c r="K217" t="s">
        <v>78</v>
      </c>
      <c r="L217" t="s">
        <v>90</v>
      </c>
      <c r="M217" t="s">
        <v>91</v>
      </c>
      <c r="N217" t="s">
        <v>598</v>
      </c>
      <c r="O217" t="s">
        <v>82</v>
      </c>
      <c r="P217" t="str">
        <f>"4170036805                    "</f>
        <v xml:space="preserve">4170036805                    </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77.349999999999994</v>
      </c>
      <c r="AR217">
        <v>0</v>
      </c>
      <c r="AS217">
        <v>0</v>
      </c>
      <c r="AT217">
        <v>0</v>
      </c>
      <c r="AU217">
        <v>0</v>
      </c>
      <c r="AV217">
        <v>0</v>
      </c>
      <c r="AW217">
        <v>0</v>
      </c>
      <c r="AX217">
        <v>0</v>
      </c>
      <c r="AY217">
        <v>0</v>
      </c>
      <c r="AZ217">
        <v>0</v>
      </c>
      <c r="BA217">
        <v>0</v>
      </c>
      <c r="BB217">
        <v>0</v>
      </c>
      <c r="BC217">
        <v>0</v>
      </c>
      <c r="BD217">
        <v>0</v>
      </c>
      <c r="BE217">
        <v>0</v>
      </c>
      <c r="BF217">
        <v>0</v>
      </c>
      <c r="BG217">
        <v>0</v>
      </c>
      <c r="BH217">
        <v>1</v>
      </c>
      <c r="BI217">
        <v>7</v>
      </c>
      <c r="BJ217">
        <v>7</v>
      </c>
      <c r="BK217">
        <v>7</v>
      </c>
      <c r="BL217">
        <v>247.35</v>
      </c>
      <c r="BM217">
        <v>37.1</v>
      </c>
      <c r="BN217">
        <v>284.45</v>
      </c>
      <c r="BO217">
        <v>284.45</v>
      </c>
      <c r="BQ217" t="s">
        <v>599</v>
      </c>
      <c r="BR217" t="s">
        <v>84</v>
      </c>
      <c r="BS217" s="3">
        <v>45783</v>
      </c>
      <c r="BT217" s="4">
        <v>0.4909722222222222</v>
      </c>
      <c r="BU217" t="s">
        <v>734</v>
      </c>
      <c r="BV217" t="s">
        <v>89</v>
      </c>
      <c r="BW217" t="s">
        <v>296</v>
      </c>
      <c r="BX217" t="s">
        <v>297</v>
      </c>
      <c r="BY217">
        <v>34960</v>
      </c>
      <c r="CC217" t="s">
        <v>91</v>
      </c>
      <c r="CD217">
        <v>6012</v>
      </c>
      <c r="CE217" t="s">
        <v>550</v>
      </c>
      <c r="CF217" s="3">
        <v>45783</v>
      </c>
      <c r="CI217">
        <v>1</v>
      </c>
      <c r="CJ217">
        <v>1</v>
      </c>
      <c r="CK217">
        <v>21</v>
      </c>
      <c r="CL217" t="s">
        <v>89</v>
      </c>
    </row>
    <row r="218" spans="1:90" x14ac:dyDescent="0.3">
      <c r="A218" t="s">
        <v>72</v>
      </c>
      <c r="B218" t="s">
        <v>73</v>
      </c>
      <c r="C218" t="s">
        <v>74</v>
      </c>
      <c r="E218" t="str">
        <f>"080065169820"</f>
        <v>080065169820</v>
      </c>
      <c r="F218" s="3">
        <v>45782</v>
      </c>
      <c r="G218">
        <v>202602</v>
      </c>
      <c r="H218" t="s">
        <v>75</v>
      </c>
      <c r="I218" t="s">
        <v>76</v>
      </c>
      <c r="J218" t="s">
        <v>77</v>
      </c>
      <c r="K218" t="s">
        <v>78</v>
      </c>
      <c r="L218" t="s">
        <v>136</v>
      </c>
      <c r="M218" t="s">
        <v>137</v>
      </c>
      <c r="N218" t="s">
        <v>735</v>
      </c>
      <c r="O218" t="s">
        <v>82</v>
      </c>
      <c r="P218" t="str">
        <f>"4170036899                    "</f>
        <v xml:space="preserve">4170036899                    </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22.11</v>
      </c>
      <c r="AR218">
        <v>0</v>
      </c>
      <c r="AS218">
        <v>0</v>
      </c>
      <c r="AT218">
        <v>0</v>
      </c>
      <c r="AU218">
        <v>0</v>
      </c>
      <c r="AV218">
        <v>0</v>
      </c>
      <c r="AW218">
        <v>0</v>
      </c>
      <c r="AX218">
        <v>0</v>
      </c>
      <c r="AY218">
        <v>0</v>
      </c>
      <c r="AZ218">
        <v>0</v>
      </c>
      <c r="BA218">
        <v>0</v>
      </c>
      <c r="BB218">
        <v>0</v>
      </c>
      <c r="BC218">
        <v>0</v>
      </c>
      <c r="BD218">
        <v>0</v>
      </c>
      <c r="BE218">
        <v>0</v>
      </c>
      <c r="BF218">
        <v>0</v>
      </c>
      <c r="BG218">
        <v>0</v>
      </c>
      <c r="BH218">
        <v>1</v>
      </c>
      <c r="BI218">
        <v>1</v>
      </c>
      <c r="BJ218">
        <v>0.2</v>
      </c>
      <c r="BK218">
        <v>1</v>
      </c>
      <c r="BL218">
        <v>70.709999999999994</v>
      </c>
      <c r="BM218">
        <v>10.61</v>
      </c>
      <c r="BN218">
        <v>81.319999999999993</v>
      </c>
      <c r="BO218">
        <v>81.319999999999993</v>
      </c>
      <c r="BQ218" t="s">
        <v>736</v>
      </c>
      <c r="BR218" t="s">
        <v>84</v>
      </c>
      <c r="BS218" s="3">
        <v>45783</v>
      </c>
      <c r="BT218" s="4">
        <v>0.39513888888888887</v>
      </c>
      <c r="BU218" t="s">
        <v>737</v>
      </c>
      <c r="BV218" t="s">
        <v>86</v>
      </c>
      <c r="BY218">
        <v>1200</v>
      </c>
      <c r="CA218" t="s">
        <v>258</v>
      </c>
      <c r="CC218" t="s">
        <v>137</v>
      </c>
      <c r="CD218" s="5" t="s">
        <v>738</v>
      </c>
      <c r="CE218" t="s">
        <v>88</v>
      </c>
      <c r="CF218" s="3">
        <v>45783</v>
      </c>
      <c r="CI218">
        <v>1</v>
      </c>
      <c r="CJ218">
        <v>1</v>
      </c>
      <c r="CK218">
        <v>21</v>
      </c>
      <c r="CL218" t="s">
        <v>89</v>
      </c>
    </row>
    <row r="219" spans="1:90" x14ac:dyDescent="0.3">
      <c r="A219" t="s">
        <v>72</v>
      </c>
      <c r="B219" t="s">
        <v>73</v>
      </c>
      <c r="C219" t="s">
        <v>74</v>
      </c>
      <c r="E219" t="str">
        <f>"080065169843"</f>
        <v>080065169843</v>
      </c>
      <c r="F219" s="3">
        <v>45782</v>
      </c>
      <c r="G219">
        <v>202602</v>
      </c>
      <c r="H219" t="s">
        <v>75</v>
      </c>
      <c r="I219" t="s">
        <v>76</v>
      </c>
      <c r="J219" t="s">
        <v>77</v>
      </c>
      <c r="K219" t="s">
        <v>78</v>
      </c>
      <c r="L219" t="s">
        <v>90</v>
      </c>
      <c r="M219" t="s">
        <v>91</v>
      </c>
      <c r="N219" t="s">
        <v>92</v>
      </c>
      <c r="O219" t="s">
        <v>82</v>
      </c>
      <c r="P219" t="str">
        <f>"4170036903                    "</f>
        <v xml:space="preserve">4170036903                    </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22.11</v>
      </c>
      <c r="AR219">
        <v>0</v>
      </c>
      <c r="AS219">
        <v>0</v>
      </c>
      <c r="AT219">
        <v>0</v>
      </c>
      <c r="AU219">
        <v>0</v>
      </c>
      <c r="AV219">
        <v>0</v>
      </c>
      <c r="AW219">
        <v>0</v>
      </c>
      <c r="AX219">
        <v>0</v>
      </c>
      <c r="AY219">
        <v>0</v>
      </c>
      <c r="AZ219">
        <v>0</v>
      </c>
      <c r="BA219">
        <v>0</v>
      </c>
      <c r="BB219">
        <v>0</v>
      </c>
      <c r="BC219">
        <v>0</v>
      </c>
      <c r="BD219">
        <v>0</v>
      </c>
      <c r="BE219">
        <v>0</v>
      </c>
      <c r="BF219">
        <v>0</v>
      </c>
      <c r="BG219">
        <v>0</v>
      </c>
      <c r="BH219">
        <v>1</v>
      </c>
      <c r="BI219">
        <v>1</v>
      </c>
      <c r="BJ219">
        <v>0.2</v>
      </c>
      <c r="BK219">
        <v>1</v>
      </c>
      <c r="BL219">
        <v>70.709999999999994</v>
      </c>
      <c r="BM219">
        <v>10.61</v>
      </c>
      <c r="BN219">
        <v>81.319999999999993</v>
      </c>
      <c r="BO219">
        <v>81.319999999999993</v>
      </c>
      <c r="BQ219" t="s">
        <v>93</v>
      </c>
      <c r="BR219" t="s">
        <v>84</v>
      </c>
      <c r="BS219" s="3">
        <v>45783</v>
      </c>
      <c r="BT219" s="4">
        <v>0.35138888888888886</v>
      </c>
      <c r="BU219" t="s">
        <v>94</v>
      </c>
      <c r="BV219" t="s">
        <v>86</v>
      </c>
      <c r="BY219">
        <v>1200</v>
      </c>
      <c r="CA219" t="s">
        <v>95</v>
      </c>
      <c r="CC219" t="s">
        <v>91</v>
      </c>
      <c r="CD219">
        <v>6001</v>
      </c>
      <c r="CE219" t="s">
        <v>88</v>
      </c>
      <c r="CF219" s="3">
        <v>45783</v>
      </c>
      <c r="CI219">
        <v>1</v>
      </c>
      <c r="CJ219">
        <v>1</v>
      </c>
      <c r="CK219">
        <v>21</v>
      </c>
      <c r="CL219" t="s">
        <v>89</v>
      </c>
    </row>
    <row r="220" spans="1:90" x14ac:dyDescent="0.3">
      <c r="A220" t="s">
        <v>72</v>
      </c>
      <c r="B220" t="s">
        <v>73</v>
      </c>
      <c r="C220" t="s">
        <v>74</v>
      </c>
      <c r="E220" t="str">
        <f>"080065169854"</f>
        <v>080065169854</v>
      </c>
      <c r="F220" s="3">
        <v>45782</v>
      </c>
      <c r="G220">
        <v>202602</v>
      </c>
      <c r="H220" t="s">
        <v>75</v>
      </c>
      <c r="I220" t="s">
        <v>76</v>
      </c>
      <c r="J220" t="s">
        <v>77</v>
      </c>
      <c r="K220" t="s">
        <v>78</v>
      </c>
      <c r="L220" t="s">
        <v>136</v>
      </c>
      <c r="M220" t="s">
        <v>137</v>
      </c>
      <c r="N220" t="s">
        <v>735</v>
      </c>
      <c r="O220" t="s">
        <v>300</v>
      </c>
      <c r="P220" t="str">
        <f>"4170036879                    "</f>
        <v xml:space="preserve">4170036879                    </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46.29</v>
      </c>
      <c r="AR220">
        <v>0</v>
      </c>
      <c r="AS220">
        <v>0</v>
      </c>
      <c r="AT220">
        <v>0</v>
      </c>
      <c r="AU220">
        <v>0</v>
      </c>
      <c r="AV220">
        <v>0</v>
      </c>
      <c r="AW220">
        <v>0</v>
      </c>
      <c r="AX220">
        <v>0</v>
      </c>
      <c r="AY220">
        <v>0</v>
      </c>
      <c r="AZ220">
        <v>0</v>
      </c>
      <c r="BA220">
        <v>0</v>
      </c>
      <c r="BB220">
        <v>0</v>
      </c>
      <c r="BC220">
        <v>0</v>
      </c>
      <c r="BD220">
        <v>0</v>
      </c>
      <c r="BE220">
        <v>0</v>
      </c>
      <c r="BF220">
        <v>0</v>
      </c>
      <c r="BG220">
        <v>0</v>
      </c>
      <c r="BH220">
        <v>1</v>
      </c>
      <c r="BI220">
        <v>16</v>
      </c>
      <c r="BJ220">
        <v>16.3</v>
      </c>
      <c r="BK220">
        <v>17</v>
      </c>
      <c r="BL220">
        <v>153.6</v>
      </c>
      <c r="BM220">
        <v>23.04</v>
      </c>
      <c r="BN220">
        <v>176.64</v>
      </c>
      <c r="BO220">
        <v>176.64</v>
      </c>
      <c r="BQ220" t="s">
        <v>736</v>
      </c>
      <c r="BR220" t="s">
        <v>84</v>
      </c>
      <c r="BS220" s="3">
        <v>45783</v>
      </c>
      <c r="BT220" s="4">
        <v>0.39444444444444443</v>
      </c>
      <c r="BU220" t="s">
        <v>739</v>
      </c>
      <c r="BV220" t="s">
        <v>86</v>
      </c>
      <c r="BY220">
        <v>81675</v>
      </c>
      <c r="CA220" t="s">
        <v>258</v>
      </c>
      <c r="CC220" t="s">
        <v>137</v>
      </c>
      <c r="CD220" s="5" t="s">
        <v>738</v>
      </c>
      <c r="CE220" t="s">
        <v>511</v>
      </c>
      <c r="CF220" s="3">
        <v>45783</v>
      </c>
      <c r="CI220">
        <v>1</v>
      </c>
      <c r="CJ220">
        <v>1</v>
      </c>
      <c r="CK220">
        <v>41</v>
      </c>
      <c r="CL220" t="s">
        <v>89</v>
      </c>
    </row>
    <row r="221" spans="1:90" x14ac:dyDescent="0.3">
      <c r="A221" t="s">
        <v>72</v>
      </c>
      <c r="B221" t="s">
        <v>73</v>
      </c>
      <c r="C221" t="s">
        <v>74</v>
      </c>
      <c r="E221" t="str">
        <f>"080065169894"</f>
        <v>080065169894</v>
      </c>
      <c r="F221" s="3">
        <v>45782</v>
      </c>
      <c r="G221">
        <v>202602</v>
      </c>
      <c r="H221" t="s">
        <v>75</v>
      </c>
      <c r="I221" t="s">
        <v>76</v>
      </c>
      <c r="J221" t="s">
        <v>77</v>
      </c>
      <c r="K221" t="s">
        <v>78</v>
      </c>
      <c r="L221" t="s">
        <v>151</v>
      </c>
      <c r="M221" t="s">
        <v>152</v>
      </c>
      <c r="N221" t="s">
        <v>740</v>
      </c>
      <c r="O221" t="s">
        <v>300</v>
      </c>
      <c r="P221" t="str">
        <f>"4170036870                    "</f>
        <v xml:space="preserve">4170036870                    </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60.31</v>
      </c>
      <c r="AR221">
        <v>0</v>
      </c>
      <c r="AS221">
        <v>0</v>
      </c>
      <c r="AT221">
        <v>0</v>
      </c>
      <c r="AU221">
        <v>0</v>
      </c>
      <c r="AV221">
        <v>0</v>
      </c>
      <c r="AW221">
        <v>0</v>
      </c>
      <c r="AX221">
        <v>0</v>
      </c>
      <c r="AY221">
        <v>0</v>
      </c>
      <c r="AZ221">
        <v>0</v>
      </c>
      <c r="BA221">
        <v>0</v>
      </c>
      <c r="BB221">
        <v>0</v>
      </c>
      <c r="BC221">
        <v>0</v>
      </c>
      <c r="BD221">
        <v>0</v>
      </c>
      <c r="BE221">
        <v>0</v>
      </c>
      <c r="BF221">
        <v>0</v>
      </c>
      <c r="BG221">
        <v>0</v>
      </c>
      <c r="BH221">
        <v>1</v>
      </c>
      <c r="BI221">
        <v>10</v>
      </c>
      <c r="BJ221">
        <v>5.2</v>
      </c>
      <c r="BK221">
        <v>10</v>
      </c>
      <c r="BL221">
        <v>198.43</v>
      </c>
      <c r="BM221">
        <v>29.76</v>
      </c>
      <c r="BN221">
        <v>228.19</v>
      </c>
      <c r="BO221">
        <v>228.19</v>
      </c>
      <c r="BQ221" t="s">
        <v>741</v>
      </c>
      <c r="BR221" t="s">
        <v>84</v>
      </c>
      <c r="BS221" s="3">
        <v>45783</v>
      </c>
      <c r="BT221" s="4">
        <v>0.39166666666666666</v>
      </c>
      <c r="BU221" t="s">
        <v>742</v>
      </c>
      <c r="BV221" t="s">
        <v>86</v>
      </c>
      <c r="BY221">
        <v>26013</v>
      </c>
      <c r="CA221" t="s">
        <v>743</v>
      </c>
      <c r="CC221" t="s">
        <v>152</v>
      </c>
      <c r="CD221">
        <v>1939</v>
      </c>
      <c r="CE221" t="s">
        <v>356</v>
      </c>
      <c r="CF221" s="3">
        <v>45783</v>
      </c>
      <c r="CI221">
        <v>1</v>
      </c>
      <c r="CJ221">
        <v>1</v>
      </c>
      <c r="CK221">
        <v>43</v>
      </c>
      <c r="CL221" t="s">
        <v>89</v>
      </c>
    </row>
    <row r="222" spans="1:90" x14ac:dyDescent="0.3">
      <c r="A222" t="s">
        <v>72</v>
      </c>
      <c r="B222" t="s">
        <v>73</v>
      </c>
      <c r="C222" t="s">
        <v>74</v>
      </c>
      <c r="E222" t="str">
        <f>"080065169926"</f>
        <v>080065169926</v>
      </c>
      <c r="F222" s="3">
        <v>45782</v>
      </c>
      <c r="G222">
        <v>202602</v>
      </c>
      <c r="H222" t="s">
        <v>75</v>
      </c>
      <c r="I222" t="s">
        <v>76</v>
      </c>
      <c r="J222" t="s">
        <v>77</v>
      </c>
      <c r="K222" t="s">
        <v>78</v>
      </c>
      <c r="L222" t="s">
        <v>75</v>
      </c>
      <c r="M222" t="s">
        <v>76</v>
      </c>
      <c r="N222" t="s">
        <v>601</v>
      </c>
      <c r="O222" t="s">
        <v>602</v>
      </c>
      <c r="P222" t="str">
        <f>"4170036923                    "</f>
        <v xml:space="preserve">4170036923                    </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26.97</v>
      </c>
      <c r="AR222">
        <v>0</v>
      </c>
      <c r="AS222">
        <v>0</v>
      </c>
      <c r="AT222">
        <v>0</v>
      </c>
      <c r="AU222">
        <v>0</v>
      </c>
      <c r="AV222">
        <v>0</v>
      </c>
      <c r="AW222">
        <v>0</v>
      </c>
      <c r="AX222">
        <v>0</v>
      </c>
      <c r="AY222">
        <v>0</v>
      </c>
      <c r="AZ222">
        <v>0</v>
      </c>
      <c r="BA222">
        <v>0</v>
      </c>
      <c r="BB222">
        <v>0</v>
      </c>
      <c r="BC222">
        <v>0</v>
      </c>
      <c r="BD222">
        <v>0</v>
      </c>
      <c r="BE222">
        <v>0</v>
      </c>
      <c r="BF222">
        <v>0</v>
      </c>
      <c r="BG222">
        <v>0</v>
      </c>
      <c r="BH222">
        <v>1</v>
      </c>
      <c r="BI222">
        <v>8</v>
      </c>
      <c r="BJ222">
        <v>12.2</v>
      </c>
      <c r="BK222">
        <v>13</v>
      </c>
      <c r="BL222">
        <v>86.24</v>
      </c>
      <c r="BM222">
        <v>12.94</v>
      </c>
      <c r="BN222">
        <v>99.18</v>
      </c>
      <c r="BO222">
        <v>99.18</v>
      </c>
      <c r="BQ222" t="s">
        <v>603</v>
      </c>
      <c r="BR222" t="s">
        <v>84</v>
      </c>
      <c r="BS222" s="3">
        <v>45783</v>
      </c>
      <c r="BT222" s="4">
        <v>0.41666666666666669</v>
      </c>
      <c r="BU222" t="s">
        <v>604</v>
      </c>
      <c r="BV222" t="s">
        <v>86</v>
      </c>
      <c r="BY222">
        <v>60800</v>
      </c>
      <c r="CA222" t="s">
        <v>605</v>
      </c>
      <c r="CC222" t="s">
        <v>76</v>
      </c>
      <c r="CD222">
        <v>1645</v>
      </c>
      <c r="CE222" t="s">
        <v>221</v>
      </c>
      <c r="CF222" s="3">
        <v>45783</v>
      </c>
      <c r="CI222">
        <v>1</v>
      </c>
      <c r="CJ222">
        <v>1</v>
      </c>
      <c r="CK222">
        <v>32</v>
      </c>
      <c r="CL222" t="s">
        <v>89</v>
      </c>
    </row>
    <row r="223" spans="1:90" x14ac:dyDescent="0.3">
      <c r="A223" t="s">
        <v>72</v>
      </c>
      <c r="B223" t="s">
        <v>73</v>
      </c>
      <c r="C223" t="s">
        <v>74</v>
      </c>
      <c r="E223" t="str">
        <f>"080065169959"</f>
        <v>080065169959</v>
      </c>
      <c r="F223" s="3">
        <v>45782</v>
      </c>
      <c r="G223">
        <v>202602</v>
      </c>
      <c r="H223" t="s">
        <v>75</v>
      </c>
      <c r="I223" t="s">
        <v>76</v>
      </c>
      <c r="J223" t="s">
        <v>77</v>
      </c>
      <c r="K223" t="s">
        <v>78</v>
      </c>
      <c r="L223" t="s">
        <v>90</v>
      </c>
      <c r="M223" t="s">
        <v>91</v>
      </c>
      <c r="N223" t="s">
        <v>543</v>
      </c>
      <c r="O223" t="s">
        <v>82</v>
      </c>
      <c r="P223" t="str">
        <f>"4170036864                    "</f>
        <v xml:space="preserve">4170036864                    </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121.54</v>
      </c>
      <c r="AR223">
        <v>0</v>
      </c>
      <c r="AS223">
        <v>0</v>
      </c>
      <c r="AT223">
        <v>0</v>
      </c>
      <c r="AU223">
        <v>0</v>
      </c>
      <c r="AV223">
        <v>0</v>
      </c>
      <c r="AW223">
        <v>0</v>
      </c>
      <c r="AX223">
        <v>0</v>
      </c>
      <c r="AY223">
        <v>0</v>
      </c>
      <c r="AZ223">
        <v>0</v>
      </c>
      <c r="BA223">
        <v>0</v>
      </c>
      <c r="BB223">
        <v>0</v>
      </c>
      <c r="BC223">
        <v>0</v>
      </c>
      <c r="BD223">
        <v>0</v>
      </c>
      <c r="BE223">
        <v>0</v>
      </c>
      <c r="BF223">
        <v>0</v>
      </c>
      <c r="BG223">
        <v>0</v>
      </c>
      <c r="BH223">
        <v>1</v>
      </c>
      <c r="BI223">
        <v>11</v>
      </c>
      <c r="BJ223">
        <v>3.4</v>
      </c>
      <c r="BK223">
        <v>11</v>
      </c>
      <c r="BL223">
        <v>388.66</v>
      </c>
      <c r="BM223">
        <v>58.3</v>
      </c>
      <c r="BN223">
        <v>446.96</v>
      </c>
      <c r="BO223">
        <v>446.96</v>
      </c>
      <c r="BQ223" t="s">
        <v>544</v>
      </c>
      <c r="BR223" t="s">
        <v>84</v>
      </c>
      <c r="BS223" s="3">
        <v>45783</v>
      </c>
      <c r="BT223" s="4">
        <v>0.39652777777777776</v>
      </c>
      <c r="BU223" t="s">
        <v>545</v>
      </c>
      <c r="BV223" t="s">
        <v>86</v>
      </c>
      <c r="BY223">
        <v>16965</v>
      </c>
      <c r="CC223" t="s">
        <v>91</v>
      </c>
      <c r="CD223">
        <v>6001</v>
      </c>
      <c r="CE223" t="s">
        <v>96</v>
      </c>
      <c r="CF223" s="3">
        <v>45783</v>
      </c>
      <c r="CI223">
        <v>1</v>
      </c>
      <c r="CJ223">
        <v>1</v>
      </c>
      <c r="CK223">
        <v>21</v>
      </c>
      <c r="CL223" t="s">
        <v>89</v>
      </c>
    </row>
    <row r="224" spans="1:90" x14ac:dyDescent="0.3">
      <c r="A224" t="s">
        <v>72</v>
      </c>
      <c r="B224" t="s">
        <v>73</v>
      </c>
      <c r="C224" t="s">
        <v>74</v>
      </c>
      <c r="E224" t="str">
        <f>"080065169987"</f>
        <v>080065169987</v>
      </c>
      <c r="F224" s="3">
        <v>45782</v>
      </c>
      <c r="G224">
        <v>202602</v>
      </c>
      <c r="H224" t="s">
        <v>75</v>
      </c>
      <c r="I224" t="s">
        <v>76</v>
      </c>
      <c r="J224" t="s">
        <v>77</v>
      </c>
      <c r="K224" t="s">
        <v>78</v>
      </c>
      <c r="L224" t="s">
        <v>90</v>
      </c>
      <c r="M224" t="s">
        <v>91</v>
      </c>
      <c r="N224" t="s">
        <v>385</v>
      </c>
      <c r="O224" t="s">
        <v>82</v>
      </c>
      <c r="P224" t="str">
        <f>"4170036847                    "</f>
        <v xml:space="preserve">4170036847                    </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22.11</v>
      </c>
      <c r="AR224">
        <v>0</v>
      </c>
      <c r="AS224">
        <v>0</v>
      </c>
      <c r="AT224">
        <v>0</v>
      </c>
      <c r="AU224">
        <v>0</v>
      </c>
      <c r="AV224">
        <v>0</v>
      </c>
      <c r="AW224">
        <v>0</v>
      </c>
      <c r="AX224">
        <v>0</v>
      </c>
      <c r="AY224">
        <v>0</v>
      </c>
      <c r="AZ224">
        <v>0</v>
      </c>
      <c r="BA224">
        <v>0</v>
      </c>
      <c r="BB224">
        <v>0</v>
      </c>
      <c r="BC224">
        <v>0</v>
      </c>
      <c r="BD224">
        <v>0</v>
      </c>
      <c r="BE224">
        <v>0</v>
      </c>
      <c r="BF224">
        <v>0</v>
      </c>
      <c r="BG224">
        <v>0</v>
      </c>
      <c r="BH224">
        <v>1</v>
      </c>
      <c r="BI224">
        <v>1</v>
      </c>
      <c r="BJ224">
        <v>1.1000000000000001</v>
      </c>
      <c r="BK224">
        <v>1.5</v>
      </c>
      <c r="BL224">
        <v>70.709999999999994</v>
      </c>
      <c r="BM224">
        <v>10.61</v>
      </c>
      <c r="BN224">
        <v>81.319999999999993</v>
      </c>
      <c r="BO224">
        <v>81.319999999999993</v>
      </c>
      <c r="BQ224" t="s">
        <v>386</v>
      </c>
      <c r="BR224" t="s">
        <v>84</v>
      </c>
      <c r="BS224" s="3">
        <v>45783</v>
      </c>
      <c r="BT224" s="4">
        <v>0.39097222222222222</v>
      </c>
      <c r="BU224" t="s">
        <v>387</v>
      </c>
      <c r="BV224" t="s">
        <v>86</v>
      </c>
      <c r="BY224">
        <v>5320</v>
      </c>
      <c r="CA224" t="s">
        <v>95</v>
      </c>
      <c r="CC224" t="s">
        <v>91</v>
      </c>
      <c r="CD224">
        <v>6056</v>
      </c>
      <c r="CE224" t="s">
        <v>116</v>
      </c>
      <c r="CF224" s="3">
        <v>45783</v>
      </c>
      <c r="CI224">
        <v>1</v>
      </c>
      <c r="CJ224">
        <v>1</v>
      </c>
      <c r="CK224">
        <v>21</v>
      </c>
      <c r="CL224" t="s">
        <v>89</v>
      </c>
    </row>
    <row r="225" spans="1:90" x14ac:dyDescent="0.3">
      <c r="A225" t="s">
        <v>72</v>
      </c>
      <c r="B225" t="s">
        <v>73</v>
      </c>
      <c r="C225" t="s">
        <v>74</v>
      </c>
      <c r="E225" t="str">
        <f>"080065170020"</f>
        <v>080065170020</v>
      </c>
      <c r="F225" s="3">
        <v>45782</v>
      </c>
      <c r="G225">
        <v>202602</v>
      </c>
      <c r="H225" t="s">
        <v>75</v>
      </c>
      <c r="I225" t="s">
        <v>76</v>
      </c>
      <c r="J225" t="s">
        <v>77</v>
      </c>
      <c r="K225" t="s">
        <v>78</v>
      </c>
      <c r="L225" t="s">
        <v>374</v>
      </c>
      <c r="M225" t="s">
        <v>375</v>
      </c>
      <c r="N225" t="s">
        <v>376</v>
      </c>
      <c r="O225" t="s">
        <v>82</v>
      </c>
      <c r="P225" t="str">
        <f>"4170036898                    "</f>
        <v xml:space="preserve">4170036898                    </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42.84</v>
      </c>
      <c r="AR225">
        <v>0</v>
      </c>
      <c r="AS225">
        <v>0</v>
      </c>
      <c r="AT225">
        <v>0</v>
      </c>
      <c r="AU225">
        <v>0</v>
      </c>
      <c r="AV225">
        <v>0</v>
      </c>
      <c r="AW225">
        <v>0</v>
      </c>
      <c r="AX225">
        <v>0</v>
      </c>
      <c r="AY225">
        <v>0</v>
      </c>
      <c r="AZ225">
        <v>0</v>
      </c>
      <c r="BA225">
        <v>0</v>
      </c>
      <c r="BB225">
        <v>0</v>
      </c>
      <c r="BC225">
        <v>0</v>
      </c>
      <c r="BD225">
        <v>0</v>
      </c>
      <c r="BE225">
        <v>0</v>
      </c>
      <c r="BF225">
        <v>0</v>
      </c>
      <c r="BG225">
        <v>0</v>
      </c>
      <c r="BH225">
        <v>1</v>
      </c>
      <c r="BI225">
        <v>2</v>
      </c>
      <c r="BJ225">
        <v>1.1000000000000001</v>
      </c>
      <c r="BK225">
        <v>2</v>
      </c>
      <c r="BL225">
        <v>137</v>
      </c>
      <c r="BM225">
        <v>20.55</v>
      </c>
      <c r="BN225">
        <v>157.55000000000001</v>
      </c>
      <c r="BO225">
        <v>157.55000000000001</v>
      </c>
      <c r="BQ225" t="s">
        <v>377</v>
      </c>
      <c r="BR225" t="s">
        <v>84</v>
      </c>
      <c r="BS225" s="3">
        <v>45784</v>
      </c>
      <c r="BT225" s="4">
        <v>0.40833333333333333</v>
      </c>
      <c r="BU225" t="s">
        <v>378</v>
      </c>
      <c r="BV225" t="s">
        <v>89</v>
      </c>
      <c r="BW225" t="s">
        <v>340</v>
      </c>
      <c r="BX225" t="s">
        <v>596</v>
      </c>
      <c r="BY225">
        <v>5320</v>
      </c>
      <c r="CA225" t="s">
        <v>379</v>
      </c>
      <c r="CC225" t="s">
        <v>375</v>
      </c>
      <c r="CD225">
        <v>7130</v>
      </c>
      <c r="CE225" t="s">
        <v>116</v>
      </c>
      <c r="CF225" s="3">
        <v>45785</v>
      </c>
      <c r="CI225">
        <v>1</v>
      </c>
      <c r="CJ225">
        <v>2</v>
      </c>
      <c r="CK225">
        <v>23</v>
      </c>
      <c r="CL225" t="s">
        <v>89</v>
      </c>
    </row>
    <row r="226" spans="1:90" x14ac:dyDescent="0.3">
      <c r="A226" t="s">
        <v>72</v>
      </c>
      <c r="B226" t="s">
        <v>73</v>
      </c>
      <c r="C226" t="s">
        <v>74</v>
      </c>
      <c r="E226" t="str">
        <f>"080065170045"</f>
        <v>080065170045</v>
      </c>
      <c r="F226" s="3">
        <v>45782</v>
      </c>
      <c r="G226">
        <v>202602</v>
      </c>
      <c r="H226" t="s">
        <v>75</v>
      </c>
      <c r="I226" t="s">
        <v>76</v>
      </c>
      <c r="J226" t="s">
        <v>77</v>
      </c>
      <c r="K226" t="s">
        <v>78</v>
      </c>
      <c r="L226" t="s">
        <v>463</v>
      </c>
      <c r="M226" t="s">
        <v>464</v>
      </c>
      <c r="N226" t="s">
        <v>744</v>
      </c>
      <c r="O226" t="s">
        <v>82</v>
      </c>
      <c r="P226" t="str">
        <f>"4170036824                    "</f>
        <v xml:space="preserve">4170036824                    </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22.11</v>
      </c>
      <c r="AR226">
        <v>0</v>
      </c>
      <c r="AS226">
        <v>0</v>
      </c>
      <c r="AT226">
        <v>0</v>
      </c>
      <c r="AU226">
        <v>0</v>
      </c>
      <c r="AV226">
        <v>0</v>
      </c>
      <c r="AW226">
        <v>0</v>
      </c>
      <c r="AX226">
        <v>0</v>
      </c>
      <c r="AY226">
        <v>0</v>
      </c>
      <c r="AZ226">
        <v>0</v>
      </c>
      <c r="BA226">
        <v>0</v>
      </c>
      <c r="BB226">
        <v>0</v>
      </c>
      <c r="BC226">
        <v>0</v>
      </c>
      <c r="BD226">
        <v>0</v>
      </c>
      <c r="BE226">
        <v>0</v>
      </c>
      <c r="BF226">
        <v>0</v>
      </c>
      <c r="BG226">
        <v>0</v>
      </c>
      <c r="BH226">
        <v>1</v>
      </c>
      <c r="BI226">
        <v>1</v>
      </c>
      <c r="BJ226">
        <v>0.2</v>
      </c>
      <c r="BK226">
        <v>1</v>
      </c>
      <c r="BL226">
        <v>70.709999999999994</v>
      </c>
      <c r="BM226">
        <v>10.61</v>
      </c>
      <c r="BN226">
        <v>81.319999999999993</v>
      </c>
      <c r="BO226">
        <v>81.319999999999993</v>
      </c>
      <c r="BQ226" t="s">
        <v>745</v>
      </c>
      <c r="BR226" t="s">
        <v>84</v>
      </c>
      <c r="BS226" s="3">
        <v>45783</v>
      </c>
      <c r="BT226" s="4">
        <v>0.47013888888888888</v>
      </c>
      <c r="BU226" t="s">
        <v>746</v>
      </c>
      <c r="BV226" t="s">
        <v>89</v>
      </c>
      <c r="BY226">
        <v>1200</v>
      </c>
      <c r="CA226" t="s">
        <v>588</v>
      </c>
      <c r="CC226" t="s">
        <v>464</v>
      </c>
      <c r="CD226">
        <v>5201</v>
      </c>
      <c r="CE226" t="s">
        <v>88</v>
      </c>
      <c r="CF226" s="3">
        <v>45783</v>
      </c>
      <c r="CI226">
        <v>1</v>
      </c>
      <c r="CJ226">
        <v>1</v>
      </c>
      <c r="CK226">
        <v>21</v>
      </c>
      <c r="CL226" t="s">
        <v>89</v>
      </c>
    </row>
    <row r="227" spans="1:90" x14ac:dyDescent="0.3">
      <c r="A227" t="s">
        <v>72</v>
      </c>
      <c r="B227" t="s">
        <v>73</v>
      </c>
      <c r="C227" t="s">
        <v>74</v>
      </c>
      <c r="E227" t="str">
        <f>"080065170069"</f>
        <v>080065170069</v>
      </c>
      <c r="F227" s="3">
        <v>45782</v>
      </c>
      <c r="G227">
        <v>202602</v>
      </c>
      <c r="H227" t="s">
        <v>75</v>
      </c>
      <c r="I227" t="s">
        <v>76</v>
      </c>
      <c r="J227" t="s">
        <v>77</v>
      </c>
      <c r="K227" t="s">
        <v>78</v>
      </c>
      <c r="L227" t="s">
        <v>350</v>
      </c>
      <c r="M227" t="s">
        <v>351</v>
      </c>
      <c r="N227" t="s">
        <v>678</v>
      </c>
      <c r="O227" t="s">
        <v>82</v>
      </c>
      <c r="P227" t="str">
        <f>"4170036924                    "</f>
        <v xml:space="preserve">4170036924                    </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66.3</v>
      </c>
      <c r="AR227">
        <v>0</v>
      </c>
      <c r="AS227">
        <v>0</v>
      </c>
      <c r="AT227">
        <v>0</v>
      </c>
      <c r="AU227">
        <v>0</v>
      </c>
      <c r="AV227">
        <v>0</v>
      </c>
      <c r="AW227">
        <v>0</v>
      </c>
      <c r="AX227">
        <v>0</v>
      </c>
      <c r="AY227">
        <v>0</v>
      </c>
      <c r="AZ227">
        <v>0</v>
      </c>
      <c r="BA227">
        <v>0</v>
      </c>
      <c r="BB227">
        <v>0</v>
      </c>
      <c r="BC227">
        <v>0</v>
      </c>
      <c r="BD227">
        <v>0</v>
      </c>
      <c r="BE227">
        <v>0</v>
      </c>
      <c r="BF227">
        <v>0</v>
      </c>
      <c r="BG227">
        <v>0</v>
      </c>
      <c r="BH227">
        <v>1</v>
      </c>
      <c r="BI227">
        <v>6</v>
      </c>
      <c r="BJ227">
        <v>2.4</v>
      </c>
      <c r="BK227">
        <v>6</v>
      </c>
      <c r="BL227">
        <v>212.02</v>
      </c>
      <c r="BM227">
        <v>31.8</v>
      </c>
      <c r="BN227">
        <v>243.82</v>
      </c>
      <c r="BO227">
        <v>243.82</v>
      </c>
      <c r="BQ227" t="s">
        <v>679</v>
      </c>
      <c r="BR227" t="s">
        <v>84</v>
      </c>
      <c r="BS227" s="3">
        <v>45783</v>
      </c>
      <c r="BT227" s="4">
        <v>0.39791666666666664</v>
      </c>
      <c r="BU227" t="s">
        <v>680</v>
      </c>
      <c r="BV227" t="s">
        <v>86</v>
      </c>
      <c r="BY227">
        <v>12240</v>
      </c>
      <c r="CA227" t="s">
        <v>326</v>
      </c>
      <c r="CC227" t="s">
        <v>351</v>
      </c>
      <c r="CD227">
        <v>4052</v>
      </c>
      <c r="CE227" t="s">
        <v>221</v>
      </c>
      <c r="CF227" s="3">
        <v>45784</v>
      </c>
      <c r="CI227">
        <v>1</v>
      </c>
      <c r="CJ227">
        <v>1</v>
      </c>
      <c r="CK227">
        <v>21</v>
      </c>
      <c r="CL227" t="s">
        <v>89</v>
      </c>
    </row>
    <row r="228" spans="1:90" x14ac:dyDescent="0.3">
      <c r="A228" t="s">
        <v>72</v>
      </c>
      <c r="B228" t="s">
        <v>73</v>
      </c>
      <c r="C228" t="s">
        <v>74</v>
      </c>
      <c r="E228" t="str">
        <f>"080065170084"</f>
        <v>080065170084</v>
      </c>
      <c r="F228" s="3">
        <v>45782</v>
      </c>
      <c r="G228">
        <v>202602</v>
      </c>
      <c r="H228" t="s">
        <v>75</v>
      </c>
      <c r="I228" t="s">
        <v>76</v>
      </c>
      <c r="J228" t="s">
        <v>77</v>
      </c>
      <c r="K228" t="s">
        <v>78</v>
      </c>
      <c r="L228" t="s">
        <v>463</v>
      </c>
      <c r="M228" t="s">
        <v>464</v>
      </c>
      <c r="N228" t="s">
        <v>585</v>
      </c>
      <c r="O228" t="s">
        <v>82</v>
      </c>
      <c r="P228" t="str">
        <f>"4170036902                    "</f>
        <v xml:space="preserve">4170036902                    </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22.11</v>
      </c>
      <c r="AR228">
        <v>0</v>
      </c>
      <c r="AS228">
        <v>0</v>
      </c>
      <c r="AT228">
        <v>0</v>
      </c>
      <c r="AU228">
        <v>0</v>
      </c>
      <c r="AV228">
        <v>0</v>
      </c>
      <c r="AW228">
        <v>0</v>
      </c>
      <c r="AX228">
        <v>0</v>
      </c>
      <c r="AY228">
        <v>0</v>
      </c>
      <c r="AZ228">
        <v>0</v>
      </c>
      <c r="BA228">
        <v>0</v>
      </c>
      <c r="BB228">
        <v>0</v>
      </c>
      <c r="BC228">
        <v>0</v>
      </c>
      <c r="BD228">
        <v>0</v>
      </c>
      <c r="BE228">
        <v>0</v>
      </c>
      <c r="BF228">
        <v>0</v>
      </c>
      <c r="BG228">
        <v>0</v>
      </c>
      <c r="BH228">
        <v>1</v>
      </c>
      <c r="BI228">
        <v>1</v>
      </c>
      <c r="BJ228">
        <v>0.2</v>
      </c>
      <c r="BK228">
        <v>1</v>
      </c>
      <c r="BL228">
        <v>70.709999999999994</v>
      </c>
      <c r="BM228">
        <v>10.61</v>
      </c>
      <c r="BN228">
        <v>81.319999999999993</v>
      </c>
      <c r="BO228">
        <v>81.319999999999993</v>
      </c>
      <c r="BQ228" t="s">
        <v>586</v>
      </c>
      <c r="BR228" t="s">
        <v>84</v>
      </c>
      <c r="BS228" s="3">
        <v>45783</v>
      </c>
      <c r="BT228" s="4">
        <v>0.48055555555555557</v>
      </c>
      <c r="BU228" t="s">
        <v>587</v>
      </c>
      <c r="BV228" t="s">
        <v>89</v>
      </c>
      <c r="BY228">
        <v>1200</v>
      </c>
      <c r="CA228" t="s">
        <v>588</v>
      </c>
      <c r="CC228" t="s">
        <v>464</v>
      </c>
      <c r="CD228">
        <v>5200</v>
      </c>
      <c r="CE228" t="s">
        <v>88</v>
      </c>
      <c r="CF228" s="3">
        <v>45783</v>
      </c>
      <c r="CI228">
        <v>1</v>
      </c>
      <c r="CJ228">
        <v>1</v>
      </c>
      <c r="CK228">
        <v>21</v>
      </c>
      <c r="CL228" t="s">
        <v>89</v>
      </c>
    </row>
    <row r="229" spans="1:90" x14ac:dyDescent="0.3">
      <c r="A229" t="s">
        <v>72</v>
      </c>
      <c r="B229" t="s">
        <v>73</v>
      </c>
      <c r="C229" t="s">
        <v>74</v>
      </c>
      <c r="E229" t="str">
        <f>"080065170200"</f>
        <v>080065170200</v>
      </c>
      <c r="F229" s="3">
        <v>45782</v>
      </c>
      <c r="G229">
        <v>202602</v>
      </c>
      <c r="H229" t="s">
        <v>75</v>
      </c>
      <c r="I229" t="s">
        <v>76</v>
      </c>
      <c r="J229" t="s">
        <v>77</v>
      </c>
      <c r="K229" t="s">
        <v>78</v>
      </c>
      <c r="L229" t="s">
        <v>90</v>
      </c>
      <c r="M229" t="s">
        <v>91</v>
      </c>
      <c r="N229" t="s">
        <v>598</v>
      </c>
      <c r="O229" t="s">
        <v>82</v>
      </c>
      <c r="P229" t="str">
        <f>"4170036803                    "</f>
        <v xml:space="preserve">4170036803                    </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82.87</v>
      </c>
      <c r="AR229">
        <v>0</v>
      </c>
      <c r="AS229">
        <v>0</v>
      </c>
      <c r="AT229">
        <v>0</v>
      </c>
      <c r="AU229">
        <v>0</v>
      </c>
      <c r="AV229">
        <v>0</v>
      </c>
      <c r="AW229">
        <v>0</v>
      </c>
      <c r="AX229">
        <v>0</v>
      </c>
      <c r="AY229">
        <v>0</v>
      </c>
      <c r="AZ229">
        <v>0</v>
      </c>
      <c r="BA229">
        <v>0</v>
      </c>
      <c r="BB229">
        <v>0</v>
      </c>
      <c r="BC229">
        <v>0</v>
      </c>
      <c r="BD229">
        <v>0</v>
      </c>
      <c r="BE229">
        <v>0</v>
      </c>
      <c r="BF229">
        <v>0</v>
      </c>
      <c r="BG229">
        <v>0</v>
      </c>
      <c r="BH229">
        <v>1</v>
      </c>
      <c r="BI229">
        <v>5</v>
      </c>
      <c r="BJ229">
        <v>7.4</v>
      </c>
      <c r="BK229">
        <v>7.5</v>
      </c>
      <c r="BL229">
        <v>265.01</v>
      </c>
      <c r="BM229">
        <v>39.75</v>
      </c>
      <c r="BN229">
        <v>304.76</v>
      </c>
      <c r="BO229">
        <v>304.76</v>
      </c>
      <c r="BQ229" t="s">
        <v>599</v>
      </c>
      <c r="BR229" t="s">
        <v>84</v>
      </c>
      <c r="BS229" s="3">
        <v>45783</v>
      </c>
      <c r="BT229" s="4">
        <v>0.4909722222222222</v>
      </c>
      <c r="BU229" t="s">
        <v>734</v>
      </c>
      <c r="BV229" t="s">
        <v>89</v>
      </c>
      <c r="BW229" t="s">
        <v>296</v>
      </c>
      <c r="BX229" t="s">
        <v>297</v>
      </c>
      <c r="BY229">
        <v>37200</v>
      </c>
      <c r="CC229" t="s">
        <v>91</v>
      </c>
      <c r="CD229">
        <v>6012</v>
      </c>
      <c r="CE229" t="s">
        <v>96</v>
      </c>
      <c r="CF229" s="3">
        <v>45783</v>
      </c>
      <c r="CI229">
        <v>1</v>
      </c>
      <c r="CJ229">
        <v>1</v>
      </c>
      <c r="CK229">
        <v>21</v>
      </c>
      <c r="CL229" t="s">
        <v>89</v>
      </c>
    </row>
    <row r="230" spans="1:90" x14ac:dyDescent="0.3">
      <c r="A230" t="s">
        <v>72</v>
      </c>
      <c r="B230" t="s">
        <v>73</v>
      </c>
      <c r="C230" t="s">
        <v>74</v>
      </c>
      <c r="E230" t="str">
        <f>"080065170293"</f>
        <v>080065170293</v>
      </c>
      <c r="F230" s="3">
        <v>45782</v>
      </c>
      <c r="G230">
        <v>202602</v>
      </c>
      <c r="H230" t="s">
        <v>75</v>
      </c>
      <c r="I230" t="s">
        <v>76</v>
      </c>
      <c r="J230" t="s">
        <v>77</v>
      </c>
      <c r="K230" t="s">
        <v>78</v>
      </c>
      <c r="L230" t="s">
        <v>90</v>
      </c>
      <c r="M230" t="s">
        <v>91</v>
      </c>
      <c r="N230" t="s">
        <v>385</v>
      </c>
      <c r="O230" t="s">
        <v>300</v>
      </c>
      <c r="P230" t="str">
        <f>"4170036815                    "</f>
        <v xml:space="preserve">4170036815                    </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81.599999999999994</v>
      </c>
      <c r="AR230">
        <v>0</v>
      </c>
      <c r="AS230">
        <v>0</v>
      </c>
      <c r="AT230">
        <v>0</v>
      </c>
      <c r="AU230">
        <v>0</v>
      </c>
      <c r="AV230">
        <v>0</v>
      </c>
      <c r="AW230">
        <v>0</v>
      </c>
      <c r="AX230">
        <v>0</v>
      </c>
      <c r="AY230">
        <v>0</v>
      </c>
      <c r="AZ230">
        <v>0</v>
      </c>
      <c r="BA230">
        <v>0</v>
      </c>
      <c r="BB230">
        <v>0</v>
      </c>
      <c r="BC230">
        <v>0</v>
      </c>
      <c r="BD230">
        <v>0</v>
      </c>
      <c r="BE230">
        <v>0</v>
      </c>
      <c r="BF230">
        <v>0</v>
      </c>
      <c r="BG230">
        <v>0</v>
      </c>
      <c r="BH230">
        <v>2</v>
      </c>
      <c r="BI230">
        <v>12</v>
      </c>
      <c r="BJ230">
        <v>36.5</v>
      </c>
      <c r="BK230">
        <v>37</v>
      </c>
      <c r="BL230">
        <v>266.51</v>
      </c>
      <c r="BM230">
        <v>39.979999999999997</v>
      </c>
      <c r="BN230">
        <v>306.49</v>
      </c>
      <c r="BO230">
        <v>306.49</v>
      </c>
      <c r="BQ230" t="s">
        <v>386</v>
      </c>
      <c r="BR230" t="s">
        <v>84</v>
      </c>
      <c r="BS230" s="3">
        <v>45785</v>
      </c>
      <c r="BT230" s="4">
        <v>0.54374999999999996</v>
      </c>
      <c r="BU230" t="s">
        <v>747</v>
      </c>
      <c r="BV230" t="s">
        <v>86</v>
      </c>
      <c r="BY230">
        <v>91264</v>
      </c>
      <c r="CA230" t="s">
        <v>95</v>
      </c>
      <c r="CC230" t="s">
        <v>91</v>
      </c>
      <c r="CD230">
        <v>6056</v>
      </c>
      <c r="CE230" t="s">
        <v>96</v>
      </c>
      <c r="CF230" s="3">
        <v>45785</v>
      </c>
      <c r="CI230">
        <v>3</v>
      </c>
      <c r="CJ230">
        <v>3</v>
      </c>
      <c r="CK230">
        <v>41</v>
      </c>
      <c r="CL230" t="s">
        <v>89</v>
      </c>
    </row>
    <row r="231" spans="1:90" x14ac:dyDescent="0.3">
      <c r="A231" t="s">
        <v>72</v>
      </c>
      <c r="B231" t="s">
        <v>73</v>
      </c>
      <c r="C231" t="s">
        <v>74</v>
      </c>
      <c r="E231" t="str">
        <f>"080065170436"</f>
        <v>080065170436</v>
      </c>
      <c r="F231" s="3">
        <v>45782</v>
      </c>
      <c r="G231">
        <v>202602</v>
      </c>
      <c r="H231" t="s">
        <v>75</v>
      </c>
      <c r="I231" t="s">
        <v>76</v>
      </c>
      <c r="J231" t="s">
        <v>77</v>
      </c>
      <c r="K231" t="s">
        <v>78</v>
      </c>
      <c r="L231" t="s">
        <v>75</v>
      </c>
      <c r="M231" t="s">
        <v>76</v>
      </c>
      <c r="N231" t="s">
        <v>390</v>
      </c>
      <c r="O231" t="s">
        <v>82</v>
      </c>
      <c r="P231" t="str">
        <f>"4170036895                    "</f>
        <v xml:space="preserve">4170036895                    </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17.27</v>
      </c>
      <c r="AR231">
        <v>0</v>
      </c>
      <c r="AS231">
        <v>0</v>
      </c>
      <c r="AT231">
        <v>0</v>
      </c>
      <c r="AU231">
        <v>0</v>
      </c>
      <c r="AV231">
        <v>0</v>
      </c>
      <c r="AW231">
        <v>0</v>
      </c>
      <c r="AX231">
        <v>0</v>
      </c>
      <c r="AY231">
        <v>0</v>
      </c>
      <c r="AZ231">
        <v>0</v>
      </c>
      <c r="BA231">
        <v>0</v>
      </c>
      <c r="BB231">
        <v>0</v>
      </c>
      <c r="BC231">
        <v>0</v>
      </c>
      <c r="BD231">
        <v>0</v>
      </c>
      <c r="BE231">
        <v>0</v>
      </c>
      <c r="BF231">
        <v>0</v>
      </c>
      <c r="BG231">
        <v>0</v>
      </c>
      <c r="BH231">
        <v>1</v>
      </c>
      <c r="BI231">
        <v>4</v>
      </c>
      <c r="BJ231">
        <v>5.4</v>
      </c>
      <c r="BK231">
        <v>6</v>
      </c>
      <c r="BL231">
        <v>55.23</v>
      </c>
      <c r="BM231">
        <v>8.2799999999999994</v>
      </c>
      <c r="BN231">
        <v>63.51</v>
      </c>
      <c r="BO231">
        <v>63.51</v>
      </c>
      <c r="BQ231" t="s">
        <v>391</v>
      </c>
      <c r="BR231" t="s">
        <v>84</v>
      </c>
      <c r="BS231" s="3">
        <v>45783</v>
      </c>
      <c r="BT231" s="4">
        <v>0.34861111111111109</v>
      </c>
      <c r="BU231" t="s">
        <v>392</v>
      </c>
      <c r="BV231" t="s">
        <v>86</v>
      </c>
      <c r="BY231">
        <v>26928</v>
      </c>
      <c r="CA231" t="s">
        <v>115</v>
      </c>
      <c r="CC231" t="s">
        <v>76</v>
      </c>
      <c r="CD231">
        <v>1600</v>
      </c>
      <c r="CE231" t="s">
        <v>221</v>
      </c>
      <c r="CF231" s="3">
        <v>45783</v>
      </c>
      <c r="CI231">
        <v>1</v>
      </c>
      <c r="CJ231">
        <v>1</v>
      </c>
      <c r="CK231">
        <v>22</v>
      </c>
      <c r="CL231" t="s">
        <v>89</v>
      </c>
    </row>
    <row r="232" spans="1:90" x14ac:dyDescent="0.3">
      <c r="A232" t="s">
        <v>72</v>
      </c>
      <c r="B232" t="s">
        <v>73</v>
      </c>
      <c r="C232" t="s">
        <v>74</v>
      </c>
      <c r="E232" t="str">
        <f>"080065171223"</f>
        <v>080065171223</v>
      </c>
      <c r="F232" s="3">
        <v>45782</v>
      </c>
      <c r="G232">
        <v>202602</v>
      </c>
      <c r="H232" t="s">
        <v>75</v>
      </c>
      <c r="I232" t="s">
        <v>76</v>
      </c>
      <c r="J232" t="s">
        <v>77</v>
      </c>
      <c r="K232" t="s">
        <v>78</v>
      </c>
      <c r="L232" t="s">
        <v>90</v>
      </c>
      <c r="M232" t="s">
        <v>91</v>
      </c>
      <c r="N232" t="s">
        <v>748</v>
      </c>
      <c r="O232" t="s">
        <v>82</v>
      </c>
      <c r="P232" t="str">
        <f>"4170036891                    "</f>
        <v xml:space="preserve">4170036891                    </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22.11</v>
      </c>
      <c r="AR232">
        <v>0</v>
      </c>
      <c r="AS232">
        <v>0</v>
      </c>
      <c r="AT232">
        <v>0</v>
      </c>
      <c r="AU232">
        <v>0</v>
      </c>
      <c r="AV232">
        <v>0</v>
      </c>
      <c r="AW232">
        <v>0</v>
      </c>
      <c r="AX232">
        <v>0</v>
      </c>
      <c r="AY232">
        <v>0</v>
      </c>
      <c r="AZ232">
        <v>0</v>
      </c>
      <c r="BA232">
        <v>0</v>
      </c>
      <c r="BB232">
        <v>0</v>
      </c>
      <c r="BC232">
        <v>0</v>
      </c>
      <c r="BD232">
        <v>0</v>
      </c>
      <c r="BE232">
        <v>0</v>
      </c>
      <c r="BF232">
        <v>0</v>
      </c>
      <c r="BG232">
        <v>0</v>
      </c>
      <c r="BH232">
        <v>1</v>
      </c>
      <c r="BI232">
        <v>1</v>
      </c>
      <c r="BJ232">
        <v>0.9</v>
      </c>
      <c r="BK232">
        <v>1</v>
      </c>
      <c r="BL232">
        <v>70.709999999999994</v>
      </c>
      <c r="BM232">
        <v>10.61</v>
      </c>
      <c r="BN232">
        <v>81.319999999999993</v>
      </c>
      <c r="BO232">
        <v>81.319999999999993</v>
      </c>
      <c r="BQ232" t="s">
        <v>749</v>
      </c>
      <c r="BR232" t="s">
        <v>84</v>
      </c>
      <c r="BS232" s="3">
        <v>45783</v>
      </c>
      <c r="BT232" s="4">
        <v>0.375</v>
      </c>
      <c r="BU232" t="s">
        <v>750</v>
      </c>
      <c r="BV232" t="s">
        <v>86</v>
      </c>
      <c r="BY232">
        <v>4256</v>
      </c>
      <c r="CA232" t="s">
        <v>708</v>
      </c>
      <c r="CC232" t="s">
        <v>91</v>
      </c>
      <c r="CD232">
        <v>6045</v>
      </c>
      <c r="CE232" t="s">
        <v>221</v>
      </c>
      <c r="CF232" s="3">
        <v>45783</v>
      </c>
      <c r="CI232">
        <v>1</v>
      </c>
      <c r="CJ232">
        <v>1</v>
      </c>
      <c r="CK232">
        <v>21</v>
      </c>
      <c r="CL232" t="s">
        <v>89</v>
      </c>
    </row>
    <row r="233" spans="1:90" x14ac:dyDescent="0.3">
      <c r="A233" t="s">
        <v>72</v>
      </c>
      <c r="B233" t="s">
        <v>73</v>
      </c>
      <c r="C233" t="s">
        <v>74</v>
      </c>
      <c r="E233" t="str">
        <f>"080065171226"</f>
        <v>080065171226</v>
      </c>
      <c r="F233" s="3">
        <v>45782</v>
      </c>
      <c r="G233">
        <v>202602</v>
      </c>
      <c r="H233" t="s">
        <v>75</v>
      </c>
      <c r="I233" t="s">
        <v>76</v>
      </c>
      <c r="J233" t="s">
        <v>77</v>
      </c>
      <c r="K233" t="s">
        <v>78</v>
      </c>
      <c r="L233" t="s">
        <v>350</v>
      </c>
      <c r="M233" t="s">
        <v>351</v>
      </c>
      <c r="N233" t="s">
        <v>678</v>
      </c>
      <c r="O233" t="s">
        <v>82</v>
      </c>
      <c r="P233" t="str">
        <f>"4170036943                    "</f>
        <v xml:space="preserve">4170036943                    </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22.11</v>
      </c>
      <c r="AR233">
        <v>0</v>
      </c>
      <c r="AS233">
        <v>0</v>
      </c>
      <c r="AT233">
        <v>0</v>
      </c>
      <c r="AU233">
        <v>0</v>
      </c>
      <c r="AV233">
        <v>0</v>
      </c>
      <c r="AW233">
        <v>0</v>
      </c>
      <c r="AX233">
        <v>0</v>
      </c>
      <c r="AY233">
        <v>0</v>
      </c>
      <c r="AZ233">
        <v>0</v>
      </c>
      <c r="BA233">
        <v>0</v>
      </c>
      <c r="BB233">
        <v>0</v>
      </c>
      <c r="BC233">
        <v>0</v>
      </c>
      <c r="BD233">
        <v>0</v>
      </c>
      <c r="BE233">
        <v>0</v>
      </c>
      <c r="BF233">
        <v>0</v>
      </c>
      <c r="BG233">
        <v>0</v>
      </c>
      <c r="BH233">
        <v>1</v>
      </c>
      <c r="BI233">
        <v>1</v>
      </c>
      <c r="BJ233">
        <v>0.2</v>
      </c>
      <c r="BK233">
        <v>1</v>
      </c>
      <c r="BL233">
        <v>70.709999999999994</v>
      </c>
      <c r="BM233">
        <v>10.61</v>
      </c>
      <c r="BN233">
        <v>81.319999999999993</v>
      </c>
      <c r="BO233">
        <v>81.319999999999993</v>
      </c>
      <c r="BQ233" t="s">
        <v>679</v>
      </c>
      <c r="BR233" t="s">
        <v>84</v>
      </c>
      <c r="BS233" s="3">
        <v>45783</v>
      </c>
      <c r="BT233" s="4">
        <v>0.39791666666666664</v>
      </c>
      <c r="BU233" t="s">
        <v>680</v>
      </c>
      <c r="BV233" t="s">
        <v>86</v>
      </c>
      <c r="BY233">
        <v>1200</v>
      </c>
      <c r="CA233" t="s">
        <v>326</v>
      </c>
      <c r="CC233" t="s">
        <v>351</v>
      </c>
      <c r="CD233">
        <v>4052</v>
      </c>
      <c r="CE233" t="s">
        <v>88</v>
      </c>
      <c r="CF233" s="3">
        <v>45784</v>
      </c>
      <c r="CI233">
        <v>1</v>
      </c>
      <c r="CJ233">
        <v>1</v>
      </c>
      <c r="CK233">
        <v>21</v>
      </c>
      <c r="CL233" t="s">
        <v>89</v>
      </c>
    </row>
    <row r="234" spans="1:90" x14ac:dyDescent="0.3">
      <c r="A234" t="s">
        <v>72</v>
      </c>
      <c r="B234" t="s">
        <v>73</v>
      </c>
      <c r="C234" t="s">
        <v>74</v>
      </c>
      <c r="E234" t="str">
        <f>"080065171251"</f>
        <v>080065171251</v>
      </c>
      <c r="F234" s="3">
        <v>45782</v>
      </c>
      <c r="G234">
        <v>202602</v>
      </c>
      <c r="H234" t="s">
        <v>75</v>
      </c>
      <c r="I234" t="s">
        <v>76</v>
      </c>
      <c r="J234" t="s">
        <v>77</v>
      </c>
      <c r="K234" t="s">
        <v>78</v>
      </c>
      <c r="L234" t="s">
        <v>672</v>
      </c>
      <c r="M234" t="s">
        <v>673</v>
      </c>
      <c r="N234" t="s">
        <v>674</v>
      </c>
      <c r="O234" t="s">
        <v>82</v>
      </c>
      <c r="P234" t="str">
        <f>"4170036926                    "</f>
        <v xml:space="preserve">4170036926                    </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42.84</v>
      </c>
      <c r="AR234">
        <v>0</v>
      </c>
      <c r="AS234">
        <v>0</v>
      </c>
      <c r="AT234">
        <v>0</v>
      </c>
      <c r="AU234">
        <v>0</v>
      </c>
      <c r="AV234">
        <v>0</v>
      </c>
      <c r="AW234">
        <v>0</v>
      </c>
      <c r="AX234">
        <v>0</v>
      </c>
      <c r="AY234">
        <v>0</v>
      </c>
      <c r="AZ234">
        <v>0</v>
      </c>
      <c r="BA234">
        <v>0</v>
      </c>
      <c r="BB234">
        <v>0</v>
      </c>
      <c r="BC234">
        <v>0</v>
      </c>
      <c r="BD234">
        <v>0</v>
      </c>
      <c r="BE234">
        <v>0</v>
      </c>
      <c r="BF234">
        <v>0</v>
      </c>
      <c r="BG234">
        <v>0</v>
      </c>
      <c r="BH234">
        <v>1</v>
      </c>
      <c r="BI234">
        <v>1</v>
      </c>
      <c r="BJ234">
        <v>0.2</v>
      </c>
      <c r="BK234">
        <v>1</v>
      </c>
      <c r="BL234">
        <v>137</v>
      </c>
      <c r="BM234">
        <v>20.55</v>
      </c>
      <c r="BN234">
        <v>157.55000000000001</v>
      </c>
      <c r="BO234">
        <v>157.55000000000001</v>
      </c>
      <c r="BQ234" t="s">
        <v>675</v>
      </c>
      <c r="BR234" t="s">
        <v>84</v>
      </c>
      <c r="BS234" s="3">
        <v>45783</v>
      </c>
      <c r="BT234" s="4">
        <v>0.41319444444444442</v>
      </c>
      <c r="BU234" t="s">
        <v>702</v>
      </c>
      <c r="BV234" t="s">
        <v>86</v>
      </c>
      <c r="BY234">
        <v>1200</v>
      </c>
      <c r="CA234" t="s">
        <v>677</v>
      </c>
      <c r="CC234" t="s">
        <v>673</v>
      </c>
      <c r="CD234">
        <v>2531</v>
      </c>
      <c r="CE234" t="s">
        <v>88</v>
      </c>
      <c r="CF234" s="3">
        <v>45784</v>
      </c>
      <c r="CI234">
        <v>1</v>
      </c>
      <c r="CJ234">
        <v>1</v>
      </c>
      <c r="CK234">
        <v>23</v>
      </c>
      <c r="CL234" t="s">
        <v>89</v>
      </c>
    </row>
    <row r="235" spans="1:90" x14ac:dyDescent="0.3">
      <c r="A235" t="s">
        <v>72</v>
      </c>
      <c r="B235" t="s">
        <v>73</v>
      </c>
      <c r="C235" t="s">
        <v>74</v>
      </c>
      <c r="E235" t="str">
        <f>"080065171278"</f>
        <v>080065171278</v>
      </c>
      <c r="F235" s="3">
        <v>45782</v>
      </c>
      <c r="G235">
        <v>202602</v>
      </c>
      <c r="H235" t="s">
        <v>75</v>
      </c>
      <c r="I235" t="s">
        <v>76</v>
      </c>
      <c r="J235" t="s">
        <v>77</v>
      </c>
      <c r="K235" t="s">
        <v>78</v>
      </c>
      <c r="L235" t="s">
        <v>130</v>
      </c>
      <c r="M235" t="s">
        <v>131</v>
      </c>
      <c r="N235" t="s">
        <v>751</v>
      </c>
      <c r="O235" t="s">
        <v>82</v>
      </c>
      <c r="P235" t="str">
        <f>"4170036893                    "</f>
        <v xml:space="preserve">4170036893                    </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22.11</v>
      </c>
      <c r="AR235">
        <v>0</v>
      </c>
      <c r="AS235">
        <v>0</v>
      </c>
      <c r="AT235">
        <v>0</v>
      </c>
      <c r="AU235">
        <v>0</v>
      </c>
      <c r="AV235">
        <v>0</v>
      </c>
      <c r="AW235">
        <v>0</v>
      </c>
      <c r="AX235">
        <v>0</v>
      </c>
      <c r="AY235">
        <v>0</v>
      </c>
      <c r="AZ235">
        <v>0</v>
      </c>
      <c r="BA235">
        <v>0</v>
      </c>
      <c r="BB235">
        <v>0</v>
      </c>
      <c r="BC235">
        <v>0</v>
      </c>
      <c r="BD235">
        <v>0</v>
      </c>
      <c r="BE235">
        <v>0</v>
      </c>
      <c r="BF235">
        <v>0</v>
      </c>
      <c r="BG235">
        <v>0</v>
      </c>
      <c r="BH235">
        <v>1</v>
      </c>
      <c r="BI235">
        <v>1</v>
      </c>
      <c r="BJ235">
        <v>1</v>
      </c>
      <c r="BK235">
        <v>1</v>
      </c>
      <c r="BL235">
        <v>70.709999999999994</v>
      </c>
      <c r="BM235">
        <v>10.61</v>
      </c>
      <c r="BN235">
        <v>81.319999999999993</v>
      </c>
      <c r="BO235">
        <v>81.319999999999993</v>
      </c>
      <c r="BQ235" t="s">
        <v>752</v>
      </c>
      <c r="BR235" t="s">
        <v>84</v>
      </c>
      <c r="BS235" s="3">
        <v>45784</v>
      </c>
      <c r="BT235" s="4">
        <v>0.43263888888888891</v>
      </c>
      <c r="BU235" t="s">
        <v>753</v>
      </c>
      <c r="BV235" t="s">
        <v>89</v>
      </c>
      <c r="BW235" t="s">
        <v>340</v>
      </c>
      <c r="BX235" t="s">
        <v>618</v>
      </c>
      <c r="BY235">
        <v>5074</v>
      </c>
      <c r="CA235" t="s">
        <v>754</v>
      </c>
      <c r="CC235" t="s">
        <v>131</v>
      </c>
      <c r="CD235">
        <v>7535</v>
      </c>
      <c r="CE235" t="s">
        <v>221</v>
      </c>
      <c r="CF235" s="3">
        <v>45785</v>
      </c>
      <c r="CI235">
        <v>1</v>
      </c>
      <c r="CJ235">
        <v>2</v>
      </c>
      <c r="CK235">
        <v>21</v>
      </c>
      <c r="CL235" t="s">
        <v>89</v>
      </c>
    </row>
    <row r="236" spans="1:90" x14ac:dyDescent="0.3">
      <c r="A236" t="s">
        <v>72</v>
      </c>
      <c r="B236" t="s">
        <v>73</v>
      </c>
      <c r="C236" t="s">
        <v>74</v>
      </c>
      <c r="E236" t="str">
        <f>"080065171287"</f>
        <v>080065171287</v>
      </c>
      <c r="F236" s="3">
        <v>45782</v>
      </c>
      <c r="G236">
        <v>202602</v>
      </c>
      <c r="H236" t="s">
        <v>75</v>
      </c>
      <c r="I236" t="s">
        <v>76</v>
      </c>
      <c r="J236" t="s">
        <v>77</v>
      </c>
      <c r="K236" t="s">
        <v>78</v>
      </c>
      <c r="L236" t="s">
        <v>350</v>
      </c>
      <c r="M236" t="s">
        <v>351</v>
      </c>
      <c r="N236" t="s">
        <v>678</v>
      </c>
      <c r="O236" t="s">
        <v>82</v>
      </c>
      <c r="P236" t="str">
        <f>"4170036930                    "</f>
        <v xml:space="preserve">4170036930                    </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22.11</v>
      </c>
      <c r="AR236">
        <v>0</v>
      </c>
      <c r="AS236">
        <v>0</v>
      </c>
      <c r="AT236">
        <v>0</v>
      </c>
      <c r="AU236">
        <v>0</v>
      </c>
      <c r="AV236">
        <v>0</v>
      </c>
      <c r="AW236">
        <v>0</v>
      </c>
      <c r="AX236">
        <v>0</v>
      </c>
      <c r="AY236">
        <v>0</v>
      </c>
      <c r="AZ236">
        <v>0</v>
      </c>
      <c r="BA236">
        <v>0</v>
      </c>
      <c r="BB236">
        <v>0</v>
      </c>
      <c r="BC236">
        <v>0</v>
      </c>
      <c r="BD236">
        <v>0</v>
      </c>
      <c r="BE236">
        <v>0</v>
      </c>
      <c r="BF236">
        <v>0</v>
      </c>
      <c r="BG236">
        <v>0</v>
      </c>
      <c r="BH236">
        <v>1</v>
      </c>
      <c r="BI236">
        <v>1</v>
      </c>
      <c r="BJ236">
        <v>0.2</v>
      </c>
      <c r="BK236">
        <v>1</v>
      </c>
      <c r="BL236">
        <v>70.709999999999994</v>
      </c>
      <c r="BM236">
        <v>10.61</v>
      </c>
      <c r="BN236">
        <v>81.319999999999993</v>
      </c>
      <c r="BO236">
        <v>81.319999999999993</v>
      </c>
      <c r="BQ236" t="s">
        <v>679</v>
      </c>
      <c r="BR236" t="s">
        <v>84</v>
      </c>
      <c r="BS236" s="3">
        <v>45783</v>
      </c>
      <c r="BT236" s="4">
        <v>0.39791666666666664</v>
      </c>
      <c r="BU236" t="s">
        <v>680</v>
      </c>
      <c r="BV236" t="s">
        <v>86</v>
      </c>
      <c r="BY236">
        <v>1200</v>
      </c>
      <c r="CA236" t="s">
        <v>326</v>
      </c>
      <c r="CC236" t="s">
        <v>351</v>
      </c>
      <c r="CD236">
        <v>4052</v>
      </c>
      <c r="CE236" t="s">
        <v>88</v>
      </c>
      <c r="CF236" s="3">
        <v>45784</v>
      </c>
      <c r="CI236">
        <v>1</v>
      </c>
      <c r="CJ236">
        <v>1</v>
      </c>
      <c r="CK236">
        <v>21</v>
      </c>
      <c r="CL236" t="s">
        <v>89</v>
      </c>
    </row>
    <row r="237" spans="1:90" x14ac:dyDescent="0.3">
      <c r="A237" t="s">
        <v>72</v>
      </c>
      <c r="B237" t="s">
        <v>73</v>
      </c>
      <c r="C237" t="s">
        <v>74</v>
      </c>
      <c r="E237" t="str">
        <f>"080065171314"</f>
        <v>080065171314</v>
      </c>
      <c r="F237" s="3">
        <v>45782</v>
      </c>
      <c r="G237">
        <v>202602</v>
      </c>
      <c r="H237" t="s">
        <v>75</v>
      </c>
      <c r="I237" t="s">
        <v>76</v>
      </c>
      <c r="J237" t="s">
        <v>77</v>
      </c>
      <c r="K237" t="s">
        <v>78</v>
      </c>
      <c r="L237" t="s">
        <v>755</v>
      </c>
      <c r="M237" t="s">
        <v>756</v>
      </c>
      <c r="N237" t="s">
        <v>757</v>
      </c>
      <c r="O237" t="s">
        <v>82</v>
      </c>
      <c r="P237" t="str">
        <f>"4170036936                    "</f>
        <v xml:space="preserve">4170036936                    </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17.27</v>
      </c>
      <c r="AR237">
        <v>0</v>
      </c>
      <c r="AS237">
        <v>0</v>
      </c>
      <c r="AT237">
        <v>0</v>
      </c>
      <c r="AU237">
        <v>0</v>
      </c>
      <c r="AV237">
        <v>0</v>
      </c>
      <c r="AW237">
        <v>0</v>
      </c>
      <c r="AX237">
        <v>0</v>
      </c>
      <c r="AY237">
        <v>0</v>
      </c>
      <c r="AZ237">
        <v>0</v>
      </c>
      <c r="BA237">
        <v>0</v>
      </c>
      <c r="BB237">
        <v>0</v>
      </c>
      <c r="BC237">
        <v>0</v>
      </c>
      <c r="BD237">
        <v>0</v>
      </c>
      <c r="BE237">
        <v>0</v>
      </c>
      <c r="BF237">
        <v>0</v>
      </c>
      <c r="BG237">
        <v>0</v>
      </c>
      <c r="BH237">
        <v>1</v>
      </c>
      <c r="BI237">
        <v>1</v>
      </c>
      <c r="BJ237">
        <v>0.2</v>
      </c>
      <c r="BK237">
        <v>1</v>
      </c>
      <c r="BL237">
        <v>55.23</v>
      </c>
      <c r="BM237">
        <v>8.2799999999999994</v>
      </c>
      <c r="BN237">
        <v>63.51</v>
      </c>
      <c r="BO237">
        <v>63.51</v>
      </c>
      <c r="BQ237" t="s">
        <v>758</v>
      </c>
      <c r="BR237" t="s">
        <v>84</v>
      </c>
      <c r="BS237" s="3">
        <v>45783</v>
      </c>
      <c r="BT237" s="4">
        <v>0.44097222222222221</v>
      </c>
      <c r="BU237" t="s">
        <v>759</v>
      </c>
      <c r="BV237" t="s">
        <v>89</v>
      </c>
      <c r="BW237" t="s">
        <v>148</v>
      </c>
      <c r="BX237" t="s">
        <v>760</v>
      </c>
      <c r="BY237">
        <v>1200</v>
      </c>
      <c r="CA237" t="s">
        <v>761</v>
      </c>
      <c r="CC237" t="s">
        <v>756</v>
      </c>
      <c r="CD237">
        <v>1682</v>
      </c>
      <c r="CE237" t="s">
        <v>88</v>
      </c>
      <c r="CF237" s="3">
        <v>45784</v>
      </c>
      <c r="CI237">
        <v>1</v>
      </c>
      <c r="CJ237">
        <v>1</v>
      </c>
      <c r="CK237">
        <v>22</v>
      </c>
      <c r="CL237" t="s">
        <v>89</v>
      </c>
    </row>
    <row r="238" spans="1:90" x14ac:dyDescent="0.3">
      <c r="A238" t="s">
        <v>72</v>
      </c>
      <c r="B238" t="s">
        <v>73</v>
      </c>
      <c r="C238" t="s">
        <v>74</v>
      </c>
      <c r="E238" t="str">
        <f>"080065171318"</f>
        <v>080065171318</v>
      </c>
      <c r="F238" s="3">
        <v>45782</v>
      </c>
      <c r="G238">
        <v>202602</v>
      </c>
      <c r="H238" t="s">
        <v>75</v>
      </c>
      <c r="I238" t="s">
        <v>76</v>
      </c>
      <c r="J238" t="s">
        <v>77</v>
      </c>
      <c r="K238" t="s">
        <v>78</v>
      </c>
      <c r="L238" t="s">
        <v>143</v>
      </c>
      <c r="M238" t="s">
        <v>144</v>
      </c>
      <c r="N238" t="s">
        <v>762</v>
      </c>
      <c r="O238" t="s">
        <v>82</v>
      </c>
      <c r="P238" t="str">
        <f>"4170036911                    "</f>
        <v xml:space="preserve">4170036911                    </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17.27</v>
      </c>
      <c r="AR238">
        <v>0</v>
      </c>
      <c r="AS238">
        <v>0</v>
      </c>
      <c r="AT238">
        <v>0</v>
      </c>
      <c r="AU238">
        <v>0</v>
      </c>
      <c r="AV238">
        <v>0</v>
      </c>
      <c r="AW238">
        <v>0</v>
      </c>
      <c r="AX238">
        <v>0</v>
      </c>
      <c r="AY238">
        <v>0</v>
      </c>
      <c r="AZ238">
        <v>0</v>
      </c>
      <c r="BA238">
        <v>0</v>
      </c>
      <c r="BB238">
        <v>0</v>
      </c>
      <c r="BC238">
        <v>0</v>
      </c>
      <c r="BD238">
        <v>0</v>
      </c>
      <c r="BE238">
        <v>0</v>
      </c>
      <c r="BF238">
        <v>0</v>
      </c>
      <c r="BG238">
        <v>0</v>
      </c>
      <c r="BH238">
        <v>1</v>
      </c>
      <c r="BI238">
        <v>1</v>
      </c>
      <c r="BJ238">
        <v>2.9</v>
      </c>
      <c r="BK238">
        <v>3</v>
      </c>
      <c r="BL238">
        <v>55.23</v>
      </c>
      <c r="BM238">
        <v>8.2799999999999994</v>
      </c>
      <c r="BN238">
        <v>63.51</v>
      </c>
      <c r="BO238">
        <v>63.51</v>
      </c>
      <c r="BQ238" t="s">
        <v>763</v>
      </c>
      <c r="BR238" t="s">
        <v>84</v>
      </c>
      <c r="BS238" s="3">
        <v>45783</v>
      </c>
      <c r="BT238" s="4">
        <v>0.4201388888888889</v>
      </c>
      <c r="BU238" t="s">
        <v>764</v>
      </c>
      <c r="BV238" t="s">
        <v>86</v>
      </c>
      <c r="BY238">
        <v>14280</v>
      </c>
      <c r="CA238" t="s">
        <v>765</v>
      </c>
      <c r="CC238" t="s">
        <v>144</v>
      </c>
      <c r="CD238">
        <v>1428</v>
      </c>
      <c r="CE238" t="s">
        <v>221</v>
      </c>
      <c r="CF238" s="3">
        <v>45783</v>
      </c>
      <c r="CI238">
        <v>1</v>
      </c>
      <c r="CJ238">
        <v>1</v>
      </c>
      <c r="CK238">
        <v>22</v>
      </c>
      <c r="CL238" t="s">
        <v>89</v>
      </c>
    </row>
    <row r="239" spans="1:90" x14ac:dyDescent="0.3">
      <c r="A239" t="s">
        <v>72</v>
      </c>
      <c r="B239" t="s">
        <v>73</v>
      </c>
      <c r="C239" t="s">
        <v>74</v>
      </c>
      <c r="E239" t="str">
        <f>"080065171329"</f>
        <v>080065171329</v>
      </c>
      <c r="F239" s="3">
        <v>45782</v>
      </c>
      <c r="G239">
        <v>202602</v>
      </c>
      <c r="H239" t="s">
        <v>75</v>
      </c>
      <c r="I239" t="s">
        <v>76</v>
      </c>
      <c r="J239" t="s">
        <v>77</v>
      </c>
      <c r="K239" t="s">
        <v>78</v>
      </c>
      <c r="L239" t="s">
        <v>123</v>
      </c>
      <c r="M239" t="s">
        <v>123</v>
      </c>
      <c r="N239" t="s">
        <v>766</v>
      </c>
      <c r="O239" t="s">
        <v>82</v>
      </c>
      <c r="P239" t="str">
        <f>"4170036907                    "</f>
        <v xml:space="preserve">4170036907                    </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42.84</v>
      </c>
      <c r="AR239">
        <v>0</v>
      </c>
      <c r="AS239">
        <v>0</v>
      </c>
      <c r="AT239">
        <v>0</v>
      </c>
      <c r="AU239">
        <v>0</v>
      </c>
      <c r="AV239">
        <v>0</v>
      </c>
      <c r="AW239">
        <v>0</v>
      </c>
      <c r="AX239">
        <v>0</v>
      </c>
      <c r="AY239">
        <v>0</v>
      </c>
      <c r="AZ239">
        <v>0</v>
      </c>
      <c r="BA239">
        <v>0</v>
      </c>
      <c r="BB239">
        <v>0</v>
      </c>
      <c r="BC239">
        <v>0</v>
      </c>
      <c r="BD239">
        <v>0</v>
      </c>
      <c r="BE239">
        <v>0</v>
      </c>
      <c r="BF239">
        <v>0</v>
      </c>
      <c r="BG239">
        <v>0</v>
      </c>
      <c r="BH239">
        <v>1</v>
      </c>
      <c r="BI239">
        <v>1</v>
      </c>
      <c r="BJ239">
        <v>0.2</v>
      </c>
      <c r="BK239">
        <v>1</v>
      </c>
      <c r="BL239">
        <v>137</v>
      </c>
      <c r="BM239">
        <v>20.55</v>
      </c>
      <c r="BN239">
        <v>157.55000000000001</v>
      </c>
      <c r="BO239">
        <v>157.55000000000001</v>
      </c>
      <c r="BQ239" t="s">
        <v>767</v>
      </c>
      <c r="BR239" t="s">
        <v>84</v>
      </c>
      <c r="BS239" s="3">
        <v>45784</v>
      </c>
      <c r="BT239" s="4">
        <v>0.53472222222222221</v>
      </c>
      <c r="BU239" t="s">
        <v>768</v>
      </c>
      <c r="BV239" t="s">
        <v>89</v>
      </c>
      <c r="BY239">
        <v>1200</v>
      </c>
      <c r="CA239" t="s">
        <v>128</v>
      </c>
      <c r="CC239" t="s">
        <v>123</v>
      </c>
      <c r="CD239">
        <v>7646</v>
      </c>
      <c r="CE239" t="s">
        <v>88</v>
      </c>
      <c r="CF239" s="3">
        <v>45785</v>
      </c>
      <c r="CI239">
        <v>1</v>
      </c>
      <c r="CJ239">
        <v>2</v>
      </c>
      <c r="CK239">
        <v>23</v>
      </c>
      <c r="CL239" t="s">
        <v>89</v>
      </c>
    </row>
    <row r="240" spans="1:90" x14ac:dyDescent="0.3">
      <c r="A240" t="s">
        <v>72</v>
      </c>
      <c r="B240" t="s">
        <v>73</v>
      </c>
      <c r="C240" t="s">
        <v>74</v>
      </c>
      <c r="E240" t="str">
        <f>"080065171344"</f>
        <v>080065171344</v>
      </c>
      <c r="F240" s="3">
        <v>45782</v>
      </c>
      <c r="G240">
        <v>202602</v>
      </c>
      <c r="H240" t="s">
        <v>75</v>
      </c>
      <c r="I240" t="s">
        <v>76</v>
      </c>
      <c r="J240" t="s">
        <v>77</v>
      </c>
      <c r="K240" t="s">
        <v>78</v>
      </c>
      <c r="L240" t="s">
        <v>350</v>
      </c>
      <c r="M240" t="s">
        <v>351</v>
      </c>
      <c r="N240" t="s">
        <v>352</v>
      </c>
      <c r="O240" t="s">
        <v>82</v>
      </c>
      <c r="P240" t="str">
        <f>"4170036896                    "</f>
        <v xml:space="preserve">4170036896                    </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22.11</v>
      </c>
      <c r="AR240">
        <v>0</v>
      </c>
      <c r="AS240">
        <v>0</v>
      </c>
      <c r="AT240">
        <v>0</v>
      </c>
      <c r="AU240">
        <v>0</v>
      </c>
      <c r="AV240">
        <v>0</v>
      </c>
      <c r="AW240">
        <v>0</v>
      </c>
      <c r="AX240">
        <v>0</v>
      </c>
      <c r="AY240">
        <v>0</v>
      </c>
      <c r="AZ240">
        <v>0</v>
      </c>
      <c r="BA240">
        <v>0</v>
      </c>
      <c r="BB240">
        <v>0</v>
      </c>
      <c r="BC240">
        <v>0</v>
      </c>
      <c r="BD240">
        <v>0</v>
      </c>
      <c r="BE240">
        <v>0</v>
      </c>
      <c r="BF240">
        <v>0</v>
      </c>
      <c r="BG240">
        <v>0</v>
      </c>
      <c r="BH240">
        <v>1</v>
      </c>
      <c r="BI240">
        <v>1</v>
      </c>
      <c r="BJ240">
        <v>1.1000000000000001</v>
      </c>
      <c r="BK240">
        <v>1.5</v>
      </c>
      <c r="BL240">
        <v>70.709999999999994</v>
      </c>
      <c r="BM240">
        <v>10.61</v>
      </c>
      <c r="BN240">
        <v>81.319999999999993</v>
      </c>
      <c r="BO240">
        <v>81.319999999999993</v>
      </c>
      <c r="BQ240" t="s">
        <v>353</v>
      </c>
      <c r="BR240" t="s">
        <v>84</v>
      </c>
      <c r="BS240" s="3">
        <v>45783</v>
      </c>
      <c r="BT240" s="4">
        <v>0.38194444444444442</v>
      </c>
      <c r="BU240" t="s">
        <v>354</v>
      </c>
      <c r="BV240" t="s">
        <v>86</v>
      </c>
      <c r="BY240">
        <v>5320</v>
      </c>
      <c r="CA240" t="s">
        <v>160</v>
      </c>
      <c r="CC240" t="s">
        <v>351</v>
      </c>
      <c r="CD240">
        <v>4000</v>
      </c>
      <c r="CE240" t="s">
        <v>116</v>
      </c>
      <c r="CF240" s="3">
        <v>45784</v>
      </c>
      <c r="CI240">
        <v>1</v>
      </c>
      <c r="CJ240">
        <v>1</v>
      </c>
      <c r="CK240">
        <v>21</v>
      </c>
      <c r="CL240" t="s">
        <v>89</v>
      </c>
    </row>
    <row r="241" spans="1:90" x14ac:dyDescent="0.3">
      <c r="A241" t="s">
        <v>72</v>
      </c>
      <c r="B241" t="s">
        <v>73</v>
      </c>
      <c r="C241" t="s">
        <v>74</v>
      </c>
      <c r="E241" t="str">
        <f>"080065171357"</f>
        <v>080065171357</v>
      </c>
      <c r="F241" s="3">
        <v>45782</v>
      </c>
      <c r="G241">
        <v>202602</v>
      </c>
      <c r="H241" t="s">
        <v>75</v>
      </c>
      <c r="I241" t="s">
        <v>76</v>
      </c>
      <c r="J241" t="s">
        <v>77</v>
      </c>
      <c r="K241" t="s">
        <v>78</v>
      </c>
      <c r="L241" t="s">
        <v>75</v>
      </c>
      <c r="M241" t="s">
        <v>76</v>
      </c>
      <c r="N241" t="s">
        <v>390</v>
      </c>
      <c r="O241" t="s">
        <v>82</v>
      </c>
      <c r="P241" t="str">
        <f>"4170036900                    "</f>
        <v xml:space="preserve">4170036900                    </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17.27</v>
      </c>
      <c r="AR241">
        <v>0</v>
      </c>
      <c r="AS241">
        <v>0</v>
      </c>
      <c r="AT241">
        <v>0</v>
      </c>
      <c r="AU241">
        <v>0</v>
      </c>
      <c r="AV241">
        <v>0</v>
      </c>
      <c r="AW241">
        <v>0</v>
      </c>
      <c r="AX241">
        <v>0</v>
      </c>
      <c r="AY241">
        <v>0</v>
      </c>
      <c r="AZ241">
        <v>0</v>
      </c>
      <c r="BA241">
        <v>0</v>
      </c>
      <c r="BB241">
        <v>0</v>
      </c>
      <c r="BC241">
        <v>0</v>
      </c>
      <c r="BD241">
        <v>0</v>
      </c>
      <c r="BE241">
        <v>0</v>
      </c>
      <c r="BF241">
        <v>0</v>
      </c>
      <c r="BG241">
        <v>0</v>
      </c>
      <c r="BH241">
        <v>1</v>
      </c>
      <c r="BI241">
        <v>1</v>
      </c>
      <c r="BJ241">
        <v>0.2</v>
      </c>
      <c r="BK241">
        <v>1</v>
      </c>
      <c r="BL241">
        <v>55.23</v>
      </c>
      <c r="BM241">
        <v>8.2799999999999994</v>
      </c>
      <c r="BN241">
        <v>63.51</v>
      </c>
      <c r="BO241">
        <v>63.51</v>
      </c>
      <c r="BQ241" t="s">
        <v>391</v>
      </c>
      <c r="BR241" t="s">
        <v>84</v>
      </c>
      <c r="BS241" s="3">
        <v>45783</v>
      </c>
      <c r="BT241" s="4">
        <v>0.34791666666666665</v>
      </c>
      <c r="BU241" t="s">
        <v>392</v>
      </c>
      <c r="BV241" t="s">
        <v>86</v>
      </c>
      <c r="BY241">
        <v>1200</v>
      </c>
      <c r="CA241" t="s">
        <v>115</v>
      </c>
      <c r="CC241" t="s">
        <v>76</v>
      </c>
      <c r="CD241">
        <v>1600</v>
      </c>
      <c r="CE241" t="s">
        <v>88</v>
      </c>
      <c r="CF241" s="3">
        <v>45783</v>
      </c>
      <c r="CI241">
        <v>1</v>
      </c>
      <c r="CJ241">
        <v>1</v>
      </c>
      <c r="CK241">
        <v>22</v>
      </c>
      <c r="CL241" t="s">
        <v>89</v>
      </c>
    </row>
    <row r="242" spans="1:90" x14ac:dyDescent="0.3">
      <c r="A242" t="s">
        <v>72</v>
      </c>
      <c r="B242" t="s">
        <v>73</v>
      </c>
      <c r="C242" t="s">
        <v>74</v>
      </c>
      <c r="E242" t="str">
        <f>"080065171376"</f>
        <v>080065171376</v>
      </c>
      <c r="F242" s="3">
        <v>45782</v>
      </c>
      <c r="G242">
        <v>202602</v>
      </c>
      <c r="H242" t="s">
        <v>75</v>
      </c>
      <c r="I242" t="s">
        <v>76</v>
      </c>
      <c r="J242" t="s">
        <v>77</v>
      </c>
      <c r="K242" t="s">
        <v>78</v>
      </c>
      <c r="L242" t="s">
        <v>350</v>
      </c>
      <c r="M242" t="s">
        <v>351</v>
      </c>
      <c r="N242" t="s">
        <v>769</v>
      </c>
      <c r="O242" t="s">
        <v>82</v>
      </c>
      <c r="P242" t="str">
        <f>"4170036888                    "</f>
        <v xml:space="preserve">4170036888                    </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22.11</v>
      </c>
      <c r="AR242">
        <v>0</v>
      </c>
      <c r="AS242">
        <v>0</v>
      </c>
      <c r="AT242">
        <v>0</v>
      </c>
      <c r="AU242">
        <v>0</v>
      </c>
      <c r="AV242">
        <v>0</v>
      </c>
      <c r="AW242">
        <v>0</v>
      </c>
      <c r="AX242">
        <v>0</v>
      </c>
      <c r="AY242">
        <v>0</v>
      </c>
      <c r="AZ242">
        <v>0</v>
      </c>
      <c r="BA242">
        <v>0</v>
      </c>
      <c r="BB242">
        <v>0</v>
      </c>
      <c r="BC242">
        <v>0</v>
      </c>
      <c r="BD242">
        <v>0</v>
      </c>
      <c r="BE242">
        <v>0</v>
      </c>
      <c r="BF242">
        <v>0</v>
      </c>
      <c r="BG242">
        <v>0</v>
      </c>
      <c r="BH242">
        <v>1</v>
      </c>
      <c r="BI242">
        <v>1</v>
      </c>
      <c r="BJ242">
        <v>1.7</v>
      </c>
      <c r="BK242">
        <v>2</v>
      </c>
      <c r="BL242">
        <v>70.709999999999994</v>
      </c>
      <c r="BM242">
        <v>10.61</v>
      </c>
      <c r="BN242">
        <v>81.319999999999993</v>
      </c>
      <c r="BO242">
        <v>81.319999999999993</v>
      </c>
      <c r="BQ242" t="s">
        <v>770</v>
      </c>
      <c r="BR242" t="s">
        <v>84</v>
      </c>
      <c r="BS242" s="3">
        <v>45783</v>
      </c>
      <c r="BT242" s="4">
        <v>0.35416666666666669</v>
      </c>
      <c r="BU242" t="s">
        <v>771</v>
      </c>
      <c r="BV242" t="s">
        <v>86</v>
      </c>
      <c r="BY242">
        <v>8550</v>
      </c>
      <c r="CA242" t="s">
        <v>772</v>
      </c>
      <c r="CC242" t="s">
        <v>351</v>
      </c>
      <c r="CD242">
        <v>4001</v>
      </c>
      <c r="CE242" t="s">
        <v>221</v>
      </c>
      <c r="CF242" s="3">
        <v>45784</v>
      </c>
      <c r="CI242">
        <v>1</v>
      </c>
      <c r="CJ242">
        <v>1</v>
      </c>
      <c r="CK242">
        <v>21</v>
      </c>
      <c r="CL242" t="s">
        <v>89</v>
      </c>
    </row>
    <row r="243" spans="1:90" x14ac:dyDescent="0.3">
      <c r="A243" t="s">
        <v>72</v>
      </c>
      <c r="B243" t="s">
        <v>73</v>
      </c>
      <c r="C243" t="s">
        <v>74</v>
      </c>
      <c r="E243" t="str">
        <f>"080065171607"</f>
        <v>080065171607</v>
      </c>
      <c r="F243" s="3">
        <v>45782</v>
      </c>
      <c r="G243">
        <v>202602</v>
      </c>
      <c r="H243" t="s">
        <v>75</v>
      </c>
      <c r="I243" t="s">
        <v>76</v>
      </c>
      <c r="J243" t="s">
        <v>77</v>
      </c>
      <c r="K243" t="s">
        <v>78</v>
      </c>
      <c r="L243" t="s">
        <v>97</v>
      </c>
      <c r="M243" t="s">
        <v>98</v>
      </c>
      <c r="N243" t="s">
        <v>99</v>
      </c>
      <c r="O243" t="s">
        <v>82</v>
      </c>
      <c r="P243" t="str">
        <f>"4170036914                    "</f>
        <v xml:space="preserve">4170036914                    </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17.27</v>
      </c>
      <c r="AR243">
        <v>0</v>
      </c>
      <c r="AS243">
        <v>0</v>
      </c>
      <c r="AT243">
        <v>0</v>
      </c>
      <c r="AU243">
        <v>0</v>
      </c>
      <c r="AV243">
        <v>0</v>
      </c>
      <c r="AW243">
        <v>0</v>
      </c>
      <c r="AX243">
        <v>0</v>
      </c>
      <c r="AY243">
        <v>0</v>
      </c>
      <c r="AZ243">
        <v>0</v>
      </c>
      <c r="BA243">
        <v>0</v>
      </c>
      <c r="BB243">
        <v>0</v>
      </c>
      <c r="BC243">
        <v>0</v>
      </c>
      <c r="BD243">
        <v>0</v>
      </c>
      <c r="BE243">
        <v>0</v>
      </c>
      <c r="BF243">
        <v>0</v>
      </c>
      <c r="BG243">
        <v>0</v>
      </c>
      <c r="BH243">
        <v>1</v>
      </c>
      <c r="BI243">
        <v>1</v>
      </c>
      <c r="BJ243">
        <v>0.2</v>
      </c>
      <c r="BK243">
        <v>1</v>
      </c>
      <c r="BL243">
        <v>55.23</v>
      </c>
      <c r="BM243">
        <v>8.2799999999999994</v>
      </c>
      <c r="BN243">
        <v>63.51</v>
      </c>
      <c r="BO243">
        <v>63.51</v>
      </c>
      <c r="BQ243" t="s">
        <v>100</v>
      </c>
      <c r="BR243" t="s">
        <v>84</v>
      </c>
      <c r="BS243" s="3">
        <v>45783</v>
      </c>
      <c r="BT243" s="4">
        <v>0.34375</v>
      </c>
      <c r="BU243" t="s">
        <v>551</v>
      </c>
      <c r="BV243" t="s">
        <v>86</v>
      </c>
      <c r="BY243">
        <v>1200</v>
      </c>
      <c r="CA243" t="s">
        <v>279</v>
      </c>
      <c r="CC243" t="s">
        <v>98</v>
      </c>
      <c r="CD243">
        <v>1459</v>
      </c>
      <c r="CE243" t="s">
        <v>88</v>
      </c>
      <c r="CF243" s="3">
        <v>45783</v>
      </c>
      <c r="CI243">
        <v>1</v>
      </c>
      <c r="CJ243">
        <v>1</v>
      </c>
      <c r="CK243">
        <v>22</v>
      </c>
      <c r="CL243" t="s">
        <v>89</v>
      </c>
    </row>
    <row r="244" spans="1:90" x14ac:dyDescent="0.3">
      <c r="A244" t="s">
        <v>72</v>
      </c>
      <c r="B244" t="s">
        <v>73</v>
      </c>
      <c r="C244" t="s">
        <v>74</v>
      </c>
      <c r="E244" t="str">
        <f>"080065171639"</f>
        <v>080065171639</v>
      </c>
      <c r="F244" s="3">
        <v>45782</v>
      </c>
      <c r="G244">
        <v>202602</v>
      </c>
      <c r="H244" t="s">
        <v>75</v>
      </c>
      <c r="I244" t="s">
        <v>76</v>
      </c>
      <c r="J244" t="s">
        <v>77</v>
      </c>
      <c r="K244" t="s">
        <v>78</v>
      </c>
      <c r="L244" t="s">
        <v>350</v>
      </c>
      <c r="M244" t="s">
        <v>351</v>
      </c>
      <c r="N244" t="s">
        <v>678</v>
      </c>
      <c r="O244" t="s">
        <v>82</v>
      </c>
      <c r="P244" t="str">
        <f>"4170036915                    "</f>
        <v xml:space="preserve">4170036915                    </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22.11</v>
      </c>
      <c r="AR244">
        <v>0</v>
      </c>
      <c r="AS244">
        <v>0</v>
      </c>
      <c r="AT244">
        <v>0</v>
      </c>
      <c r="AU244">
        <v>0</v>
      </c>
      <c r="AV244">
        <v>0</v>
      </c>
      <c r="AW244">
        <v>0</v>
      </c>
      <c r="AX244">
        <v>0</v>
      </c>
      <c r="AY244">
        <v>0</v>
      </c>
      <c r="AZ244">
        <v>0</v>
      </c>
      <c r="BA244">
        <v>0</v>
      </c>
      <c r="BB244">
        <v>0</v>
      </c>
      <c r="BC244">
        <v>0</v>
      </c>
      <c r="BD244">
        <v>0</v>
      </c>
      <c r="BE244">
        <v>0</v>
      </c>
      <c r="BF244">
        <v>0</v>
      </c>
      <c r="BG244">
        <v>0</v>
      </c>
      <c r="BH244">
        <v>1</v>
      </c>
      <c r="BI244">
        <v>1</v>
      </c>
      <c r="BJ244">
        <v>0.2</v>
      </c>
      <c r="BK244">
        <v>1</v>
      </c>
      <c r="BL244">
        <v>70.709999999999994</v>
      </c>
      <c r="BM244">
        <v>10.61</v>
      </c>
      <c r="BN244">
        <v>81.319999999999993</v>
      </c>
      <c r="BO244">
        <v>81.319999999999993</v>
      </c>
      <c r="BQ244" t="s">
        <v>679</v>
      </c>
      <c r="BR244" t="s">
        <v>84</v>
      </c>
      <c r="BS244" s="3">
        <v>45783</v>
      </c>
      <c r="BT244" s="4">
        <v>0.39791666666666664</v>
      </c>
      <c r="BU244" t="s">
        <v>680</v>
      </c>
      <c r="BV244" t="s">
        <v>86</v>
      </c>
      <c r="BY244">
        <v>1200</v>
      </c>
      <c r="CA244" t="s">
        <v>326</v>
      </c>
      <c r="CC244" t="s">
        <v>351</v>
      </c>
      <c r="CD244">
        <v>4052</v>
      </c>
      <c r="CE244" t="s">
        <v>88</v>
      </c>
      <c r="CF244" s="3">
        <v>45784</v>
      </c>
      <c r="CI244">
        <v>1</v>
      </c>
      <c r="CJ244">
        <v>1</v>
      </c>
      <c r="CK244">
        <v>21</v>
      </c>
      <c r="CL244" t="s">
        <v>89</v>
      </c>
    </row>
    <row r="245" spans="1:90" x14ac:dyDescent="0.3">
      <c r="A245" t="s">
        <v>72</v>
      </c>
      <c r="B245" t="s">
        <v>73</v>
      </c>
      <c r="C245" t="s">
        <v>74</v>
      </c>
      <c r="E245" t="str">
        <f>"080065172492"</f>
        <v>080065172492</v>
      </c>
      <c r="F245" s="3">
        <v>45782</v>
      </c>
      <c r="G245">
        <v>202602</v>
      </c>
      <c r="H245" t="s">
        <v>75</v>
      </c>
      <c r="I245" t="s">
        <v>76</v>
      </c>
      <c r="J245" t="s">
        <v>77</v>
      </c>
      <c r="K245" t="s">
        <v>78</v>
      </c>
      <c r="L245" t="s">
        <v>97</v>
      </c>
      <c r="M245" t="s">
        <v>98</v>
      </c>
      <c r="N245" t="s">
        <v>99</v>
      </c>
      <c r="O245" t="s">
        <v>82</v>
      </c>
      <c r="P245" t="str">
        <f>"4170036890                    "</f>
        <v xml:space="preserve">4170036890                    </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17.27</v>
      </c>
      <c r="AR245">
        <v>0</v>
      </c>
      <c r="AS245">
        <v>0</v>
      </c>
      <c r="AT245">
        <v>0</v>
      </c>
      <c r="AU245">
        <v>0</v>
      </c>
      <c r="AV245">
        <v>0</v>
      </c>
      <c r="AW245">
        <v>0</v>
      </c>
      <c r="AX245">
        <v>0</v>
      </c>
      <c r="AY245">
        <v>0</v>
      </c>
      <c r="AZ245">
        <v>0</v>
      </c>
      <c r="BA245">
        <v>0</v>
      </c>
      <c r="BB245">
        <v>0</v>
      </c>
      <c r="BC245">
        <v>0</v>
      </c>
      <c r="BD245">
        <v>0</v>
      </c>
      <c r="BE245">
        <v>0</v>
      </c>
      <c r="BF245">
        <v>0</v>
      </c>
      <c r="BG245">
        <v>0</v>
      </c>
      <c r="BH245">
        <v>1</v>
      </c>
      <c r="BI245">
        <v>1</v>
      </c>
      <c r="BJ245">
        <v>0.2</v>
      </c>
      <c r="BK245">
        <v>1</v>
      </c>
      <c r="BL245">
        <v>55.23</v>
      </c>
      <c r="BM245">
        <v>8.2799999999999994</v>
      </c>
      <c r="BN245">
        <v>63.51</v>
      </c>
      <c r="BO245">
        <v>63.51</v>
      </c>
      <c r="BQ245" t="s">
        <v>100</v>
      </c>
      <c r="BR245" t="s">
        <v>84</v>
      </c>
      <c r="BS245" s="3">
        <v>45783</v>
      </c>
      <c r="BT245" s="4">
        <v>0.34305555555555556</v>
      </c>
      <c r="BU245" t="s">
        <v>551</v>
      </c>
      <c r="BV245" t="s">
        <v>86</v>
      </c>
      <c r="BY245">
        <v>1200</v>
      </c>
      <c r="CA245" t="s">
        <v>279</v>
      </c>
      <c r="CC245" t="s">
        <v>98</v>
      </c>
      <c r="CD245">
        <v>1459</v>
      </c>
      <c r="CE245" t="s">
        <v>88</v>
      </c>
      <c r="CF245" s="3">
        <v>45783</v>
      </c>
      <c r="CI245">
        <v>1</v>
      </c>
      <c r="CJ245">
        <v>1</v>
      </c>
      <c r="CK245">
        <v>22</v>
      </c>
      <c r="CL245" t="s">
        <v>89</v>
      </c>
    </row>
    <row r="246" spans="1:90" x14ac:dyDescent="0.3">
      <c r="A246" t="s">
        <v>72</v>
      </c>
      <c r="B246" t="s">
        <v>73</v>
      </c>
      <c r="C246" t="s">
        <v>74</v>
      </c>
      <c r="E246" t="str">
        <f>"080065172524"</f>
        <v>080065172524</v>
      </c>
      <c r="F246" s="3">
        <v>45782</v>
      </c>
      <c r="G246">
        <v>202602</v>
      </c>
      <c r="H246" t="s">
        <v>75</v>
      </c>
      <c r="I246" t="s">
        <v>76</v>
      </c>
      <c r="J246" t="s">
        <v>77</v>
      </c>
      <c r="K246" t="s">
        <v>78</v>
      </c>
      <c r="L246" t="s">
        <v>136</v>
      </c>
      <c r="M246" t="s">
        <v>137</v>
      </c>
      <c r="N246" t="s">
        <v>773</v>
      </c>
      <c r="O246" t="s">
        <v>82</v>
      </c>
      <c r="P246" t="str">
        <f>"4170036838                    "</f>
        <v xml:space="preserve">4170036838                    </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22.11</v>
      </c>
      <c r="AR246">
        <v>0</v>
      </c>
      <c r="AS246">
        <v>0</v>
      </c>
      <c r="AT246">
        <v>0</v>
      </c>
      <c r="AU246">
        <v>0</v>
      </c>
      <c r="AV246">
        <v>0</v>
      </c>
      <c r="AW246">
        <v>0</v>
      </c>
      <c r="AX246">
        <v>0</v>
      </c>
      <c r="AY246">
        <v>0</v>
      </c>
      <c r="AZ246">
        <v>0</v>
      </c>
      <c r="BA246">
        <v>0</v>
      </c>
      <c r="BB246">
        <v>0</v>
      </c>
      <c r="BC246">
        <v>0</v>
      </c>
      <c r="BD246">
        <v>0</v>
      </c>
      <c r="BE246">
        <v>0</v>
      </c>
      <c r="BF246">
        <v>0</v>
      </c>
      <c r="BG246">
        <v>0</v>
      </c>
      <c r="BH246">
        <v>1</v>
      </c>
      <c r="BI246">
        <v>1</v>
      </c>
      <c r="BJ246">
        <v>0.2</v>
      </c>
      <c r="BK246">
        <v>1</v>
      </c>
      <c r="BL246">
        <v>70.709999999999994</v>
      </c>
      <c r="BM246">
        <v>10.61</v>
      </c>
      <c r="BN246">
        <v>81.319999999999993</v>
      </c>
      <c r="BO246">
        <v>81.319999999999993</v>
      </c>
      <c r="BQ246" t="s">
        <v>774</v>
      </c>
      <c r="BR246" t="s">
        <v>84</v>
      </c>
      <c r="BS246" s="3">
        <v>45783</v>
      </c>
      <c r="BT246" s="4">
        <v>0.41111111111111109</v>
      </c>
      <c r="BU246" t="s">
        <v>775</v>
      </c>
      <c r="BV246" t="s">
        <v>86</v>
      </c>
      <c r="BY246">
        <v>1200</v>
      </c>
      <c r="CA246" t="s">
        <v>141</v>
      </c>
      <c r="CC246" t="s">
        <v>137</v>
      </c>
      <c r="CD246" s="5" t="s">
        <v>142</v>
      </c>
      <c r="CE246" t="s">
        <v>88</v>
      </c>
      <c r="CF246" s="3">
        <v>45783</v>
      </c>
      <c r="CI246">
        <v>1</v>
      </c>
      <c r="CJ246">
        <v>1</v>
      </c>
      <c r="CK246">
        <v>21</v>
      </c>
      <c r="CL246" t="s">
        <v>89</v>
      </c>
    </row>
    <row r="247" spans="1:90" x14ac:dyDescent="0.3">
      <c r="A247" t="s">
        <v>72</v>
      </c>
      <c r="B247" t="s">
        <v>73</v>
      </c>
      <c r="C247" t="s">
        <v>74</v>
      </c>
      <c r="E247" t="str">
        <f>"080065172527"</f>
        <v>080065172527</v>
      </c>
      <c r="F247" s="3">
        <v>45782</v>
      </c>
      <c r="G247">
        <v>202602</v>
      </c>
      <c r="H247" t="s">
        <v>75</v>
      </c>
      <c r="I247" t="s">
        <v>76</v>
      </c>
      <c r="J247" t="s">
        <v>77</v>
      </c>
      <c r="K247" t="s">
        <v>78</v>
      </c>
      <c r="L247" t="s">
        <v>136</v>
      </c>
      <c r="M247" t="s">
        <v>137</v>
      </c>
      <c r="N247" t="s">
        <v>441</v>
      </c>
      <c r="O247" t="s">
        <v>300</v>
      </c>
      <c r="P247" t="str">
        <f>"4170036956                    "</f>
        <v xml:space="preserve">4170036956                    </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42.76</v>
      </c>
      <c r="AR247">
        <v>0</v>
      </c>
      <c r="AS247">
        <v>0</v>
      </c>
      <c r="AT247">
        <v>0</v>
      </c>
      <c r="AU247">
        <v>0</v>
      </c>
      <c r="AV247">
        <v>0</v>
      </c>
      <c r="AW247">
        <v>0</v>
      </c>
      <c r="AX247">
        <v>0</v>
      </c>
      <c r="AY247">
        <v>0</v>
      </c>
      <c r="AZ247">
        <v>0</v>
      </c>
      <c r="BA247">
        <v>0</v>
      </c>
      <c r="BB247">
        <v>0</v>
      </c>
      <c r="BC247">
        <v>0</v>
      </c>
      <c r="BD247">
        <v>0</v>
      </c>
      <c r="BE247">
        <v>0</v>
      </c>
      <c r="BF247">
        <v>0</v>
      </c>
      <c r="BG247">
        <v>0</v>
      </c>
      <c r="BH247">
        <v>2</v>
      </c>
      <c r="BI247">
        <v>10</v>
      </c>
      <c r="BJ247">
        <v>4.7</v>
      </c>
      <c r="BK247">
        <v>10</v>
      </c>
      <c r="BL247">
        <v>142.31</v>
      </c>
      <c r="BM247">
        <v>21.35</v>
      </c>
      <c r="BN247">
        <v>163.66</v>
      </c>
      <c r="BO247">
        <v>163.66</v>
      </c>
      <c r="BQ247" t="s">
        <v>442</v>
      </c>
      <c r="BR247" t="s">
        <v>84</v>
      </c>
      <c r="BS247" s="3">
        <v>45783</v>
      </c>
      <c r="BT247" s="4">
        <v>0.53125</v>
      </c>
      <c r="BU247" t="s">
        <v>514</v>
      </c>
      <c r="BV247" t="s">
        <v>86</v>
      </c>
      <c r="BY247">
        <v>23520</v>
      </c>
      <c r="CA247" t="s">
        <v>199</v>
      </c>
      <c r="CC247" t="s">
        <v>137</v>
      </c>
      <c r="CD247" s="5" t="s">
        <v>444</v>
      </c>
      <c r="CE247" t="s">
        <v>116</v>
      </c>
      <c r="CF247" s="3">
        <v>45783</v>
      </c>
      <c r="CI247">
        <v>1</v>
      </c>
      <c r="CJ247">
        <v>1</v>
      </c>
      <c r="CK247">
        <v>41</v>
      </c>
      <c r="CL247" t="s">
        <v>89</v>
      </c>
    </row>
    <row r="248" spans="1:90" x14ac:dyDescent="0.3">
      <c r="A248" t="s">
        <v>72</v>
      </c>
      <c r="B248" t="s">
        <v>73</v>
      </c>
      <c r="C248" t="s">
        <v>74</v>
      </c>
      <c r="E248" t="str">
        <f>"080065172537"</f>
        <v>080065172537</v>
      </c>
      <c r="F248" s="3">
        <v>45782</v>
      </c>
      <c r="G248">
        <v>202602</v>
      </c>
      <c r="H248" t="s">
        <v>75</v>
      </c>
      <c r="I248" t="s">
        <v>76</v>
      </c>
      <c r="J248" t="s">
        <v>77</v>
      </c>
      <c r="K248" t="s">
        <v>78</v>
      </c>
      <c r="L248" t="s">
        <v>136</v>
      </c>
      <c r="M248" t="s">
        <v>137</v>
      </c>
      <c r="N248" t="s">
        <v>776</v>
      </c>
      <c r="O248" t="s">
        <v>82</v>
      </c>
      <c r="P248" t="str">
        <f>"4170036857                    "</f>
        <v xml:space="preserve">4170036857                    </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22.11</v>
      </c>
      <c r="AR248">
        <v>0</v>
      </c>
      <c r="AS248">
        <v>0</v>
      </c>
      <c r="AT248">
        <v>0</v>
      </c>
      <c r="AU248">
        <v>0</v>
      </c>
      <c r="AV248">
        <v>0</v>
      </c>
      <c r="AW248">
        <v>0</v>
      </c>
      <c r="AX248">
        <v>0</v>
      </c>
      <c r="AY248">
        <v>0</v>
      </c>
      <c r="AZ248">
        <v>0</v>
      </c>
      <c r="BA248">
        <v>0</v>
      </c>
      <c r="BB248">
        <v>0</v>
      </c>
      <c r="BC248">
        <v>0</v>
      </c>
      <c r="BD248">
        <v>0</v>
      </c>
      <c r="BE248">
        <v>0</v>
      </c>
      <c r="BF248">
        <v>0</v>
      </c>
      <c r="BG248">
        <v>0</v>
      </c>
      <c r="BH248">
        <v>1</v>
      </c>
      <c r="BI248">
        <v>1</v>
      </c>
      <c r="BJ248">
        <v>0.2</v>
      </c>
      <c r="BK248">
        <v>1</v>
      </c>
      <c r="BL248">
        <v>70.709999999999994</v>
      </c>
      <c r="BM248">
        <v>10.61</v>
      </c>
      <c r="BN248">
        <v>81.319999999999993</v>
      </c>
      <c r="BO248">
        <v>81.319999999999993</v>
      </c>
      <c r="BQ248" t="s">
        <v>777</v>
      </c>
      <c r="BR248" t="s">
        <v>84</v>
      </c>
      <c r="BS248" s="3">
        <v>45783</v>
      </c>
      <c r="BT248" s="4">
        <v>0.42777777777777776</v>
      </c>
      <c r="BU248" t="s">
        <v>778</v>
      </c>
      <c r="BV248" t="s">
        <v>86</v>
      </c>
      <c r="BY248">
        <v>1200</v>
      </c>
      <c r="CA248" t="s">
        <v>779</v>
      </c>
      <c r="CC248" t="s">
        <v>137</v>
      </c>
      <c r="CD248" s="5" t="s">
        <v>738</v>
      </c>
      <c r="CE248" t="s">
        <v>88</v>
      </c>
      <c r="CF248" s="3">
        <v>45783</v>
      </c>
      <c r="CI248">
        <v>1</v>
      </c>
      <c r="CJ248">
        <v>1</v>
      </c>
      <c r="CK248">
        <v>21</v>
      </c>
      <c r="CL248" t="s">
        <v>89</v>
      </c>
    </row>
    <row r="249" spans="1:90" x14ac:dyDescent="0.3">
      <c r="A249" t="s">
        <v>72</v>
      </c>
      <c r="B249" t="s">
        <v>73</v>
      </c>
      <c r="C249" t="s">
        <v>74</v>
      </c>
      <c r="E249" t="str">
        <f>"080065172550"</f>
        <v>080065172550</v>
      </c>
      <c r="F249" s="3">
        <v>45782</v>
      </c>
      <c r="G249">
        <v>202602</v>
      </c>
      <c r="H249" t="s">
        <v>75</v>
      </c>
      <c r="I249" t="s">
        <v>76</v>
      </c>
      <c r="J249" t="s">
        <v>77</v>
      </c>
      <c r="K249" t="s">
        <v>78</v>
      </c>
      <c r="L249" t="s">
        <v>90</v>
      </c>
      <c r="M249" t="s">
        <v>91</v>
      </c>
      <c r="N249" t="s">
        <v>371</v>
      </c>
      <c r="O249" t="s">
        <v>82</v>
      </c>
      <c r="P249" t="str">
        <f>"4170036913                    "</f>
        <v xml:space="preserve">4170036913                    </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22.11</v>
      </c>
      <c r="AR249">
        <v>0</v>
      </c>
      <c r="AS249">
        <v>0</v>
      </c>
      <c r="AT249">
        <v>0</v>
      </c>
      <c r="AU249">
        <v>0</v>
      </c>
      <c r="AV249">
        <v>0</v>
      </c>
      <c r="AW249">
        <v>0</v>
      </c>
      <c r="AX249">
        <v>0</v>
      </c>
      <c r="AY249">
        <v>0</v>
      </c>
      <c r="AZ249">
        <v>0</v>
      </c>
      <c r="BA249">
        <v>0</v>
      </c>
      <c r="BB249">
        <v>0</v>
      </c>
      <c r="BC249">
        <v>0</v>
      </c>
      <c r="BD249">
        <v>0</v>
      </c>
      <c r="BE249">
        <v>0</v>
      </c>
      <c r="BF249">
        <v>0</v>
      </c>
      <c r="BG249">
        <v>0</v>
      </c>
      <c r="BH249">
        <v>1</v>
      </c>
      <c r="BI249">
        <v>1</v>
      </c>
      <c r="BJ249">
        <v>0.2</v>
      </c>
      <c r="BK249">
        <v>1</v>
      </c>
      <c r="BL249">
        <v>70.709999999999994</v>
      </c>
      <c r="BM249">
        <v>10.61</v>
      </c>
      <c r="BN249">
        <v>81.319999999999993</v>
      </c>
      <c r="BO249">
        <v>81.319999999999993</v>
      </c>
      <c r="BQ249" t="s">
        <v>372</v>
      </c>
      <c r="BR249" t="s">
        <v>84</v>
      </c>
      <c r="BS249" s="3">
        <v>45783</v>
      </c>
      <c r="BT249" s="4">
        <v>0.43402777777777779</v>
      </c>
      <c r="BU249" t="s">
        <v>373</v>
      </c>
      <c r="BV249" t="s">
        <v>86</v>
      </c>
      <c r="BY249">
        <v>1200</v>
      </c>
      <c r="CA249" t="s">
        <v>298</v>
      </c>
      <c r="CC249" t="s">
        <v>91</v>
      </c>
      <c r="CD249">
        <v>6001</v>
      </c>
      <c r="CE249" t="s">
        <v>88</v>
      </c>
      <c r="CF249" s="3">
        <v>45783</v>
      </c>
      <c r="CI249">
        <v>1</v>
      </c>
      <c r="CJ249">
        <v>1</v>
      </c>
      <c r="CK249">
        <v>21</v>
      </c>
      <c r="CL249" t="s">
        <v>89</v>
      </c>
    </row>
    <row r="250" spans="1:90" x14ac:dyDescent="0.3">
      <c r="A250" t="s">
        <v>72</v>
      </c>
      <c r="B250" t="s">
        <v>73</v>
      </c>
      <c r="C250" t="s">
        <v>74</v>
      </c>
      <c r="E250" t="str">
        <f>"080065172563"</f>
        <v>080065172563</v>
      </c>
      <c r="F250" s="3">
        <v>45782</v>
      </c>
      <c r="G250">
        <v>202602</v>
      </c>
      <c r="H250" t="s">
        <v>75</v>
      </c>
      <c r="I250" t="s">
        <v>76</v>
      </c>
      <c r="J250" t="s">
        <v>77</v>
      </c>
      <c r="K250" t="s">
        <v>78</v>
      </c>
      <c r="L250" t="s">
        <v>90</v>
      </c>
      <c r="M250" t="s">
        <v>91</v>
      </c>
      <c r="N250" t="s">
        <v>563</v>
      </c>
      <c r="O250" t="s">
        <v>300</v>
      </c>
      <c r="P250" t="str">
        <f>"4170036885                    "</f>
        <v xml:space="preserve">4170036885                    </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63.95</v>
      </c>
      <c r="AR250">
        <v>0</v>
      </c>
      <c r="AS250">
        <v>0</v>
      </c>
      <c r="AT250">
        <v>0</v>
      </c>
      <c r="AU250">
        <v>0</v>
      </c>
      <c r="AV250">
        <v>0</v>
      </c>
      <c r="AW250">
        <v>0</v>
      </c>
      <c r="AX250">
        <v>0</v>
      </c>
      <c r="AY250">
        <v>0</v>
      </c>
      <c r="AZ250">
        <v>0</v>
      </c>
      <c r="BA250">
        <v>0</v>
      </c>
      <c r="BB250">
        <v>0</v>
      </c>
      <c r="BC250">
        <v>0</v>
      </c>
      <c r="BD250">
        <v>0</v>
      </c>
      <c r="BE250">
        <v>0</v>
      </c>
      <c r="BF250">
        <v>0</v>
      </c>
      <c r="BG250">
        <v>0</v>
      </c>
      <c r="BH250">
        <v>2</v>
      </c>
      <c r="BI250">
        <v>23</v>
      </c>
      <c r="BJ250">
        <v>26.6</v>
      </c>
      <c r="BK250">
        <v>27</v>
      </c>
      <c r="BL250">
        <v>210.06</v>
      </c>
      <c r="BM250">
        <v>31.51</v>
      </c>
      <c r="BN250">
        <v>241.57</v>
      </c>
      <c r="BO250">
        <v>241.57</v>
      </c>
      <c r="BQ250" t="s">
        <v>564</v>
      </c>
      <c r="BR250" t="s">
        <v>84</v>
      </c>
      <c r="BS250" s="3">
        <v>45784</v>
      </c>
      <c r="BT250" s="4">
        <v>0.36805555555555558</v>
      </c>
      <c r="BU250" t="s">
        <v>780</v>
      </c>
      <c r="BV250" t="s">
        <v>86</v>
      </c>
      <c r="BY250">
        <v>133160</v>
      </c>
      <c r="CA250" t="s">
        <v>566</v>
      </c>
      <c r="CC250" t="s">
        <v>91</v>
      </c>
      <c r="CD250">
        <v>6001</v>
      </c>
      <c r="CE250" t="s">
        <v>550</v>
      </c>
      <c r="CF250" s="3">
        <v>45784</v>
      </c>
      <c r="CI250">
        <v>3</v>
      </c>
      <c r="CJ250">
        <v>2</v>
      </c>
      <c r="CK250">
        <v>41</v>
      </c>
      <c r="CL250" t="s">
        <v>89</v>
      </c>
    </row>
    <row r="251" spans="1:90" x14ac:dyDescent="0.3">
      <c r="A251" t="s">
        <v>72</v>
      </c>
      <c r="B251" t="s">
        <v>73</v>
      </c>
      <c r="C251" t="s">
        <v>74</v>
      </c>
      <c r="E251" t="str">
        <f>"080065172667"</f>
        <v>080065172667</v>
      </c>
      <c r="F251" s="3">
        <v>45782</v>
      </c>
      <c r="G251">
        <v>202602</v>
      </c>
      <c r="H251" t="s">
        <v>75</v>
      </c>
      <c r="I251" t="s">
        <v>76</v>
      </c>
      <c r="J251" t="s">
        <v>77</v>
      </c>
      <c r="K251" t="s">
        <v>78</v>
      </c>
      <c r="L251" t="s">
        <v>130</v>
      </c>
      <c r="M251" t="s">
        <v>131</v>
      </c>
      <c r="N251" t="s">
        <v>781</v>
      </c>
      <c r="O251" t="s">
        <v>300</v>
      </c>
      <c r="P251" t="str">
        <f>"4170036865                    "</f>
        <v xml:space="preserve">4170036865                    </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48.06</v>
      </c>
      <c r="AR251">
        <v>0</v>
      </c>
      <c r="AS251">
        <v>0</v>
      </c>
      <c r="AT251">
        <v>0</v>
      </c>
      <c r="AU251">
        <v>0</v>
      </c>
      <c r="AV251">
        <v>0</v>
      </c>
      <c r="AW251">
        <v>0</v>
      </c>
      <c r="AX251">
        <v>0</v>
      </c>
      <c r="AY251">
        <v>0</v>
      </c>
      <c r="AZ251">
        <v>0</v>
      </c>
      <c r="BA251">
        <v>0</v>
      </c>
      <c r="BB251">
        <v>0</v>
      </c>
      <c r="BC251">
        <v>0</v>
      </c>
      <c r="BD251">
        <v>0</v>
      </c>
      <c r="BE251">
        <v>0</v>
      </c>
      <c r="BF251">
        <v>0</v>
      </c>
      <c r="BG251">
        <v>0</v>
      </c>
      <c r="BH251">
        <v>1</v>
      </c>
      <c r="BI251">
        <v>6</v>
      </c>
      <c r="BJ251">
        <v>17.7</v>
      </c>
      <c r="BK251">
        <v>18</v>
      </c>
      <c r="BL251">
        <v>159.25</v>
      </c>
      <c r="BM251">
        <v>23.89</v>
      </c>
      <c r="BN251">
        <v>183.14</v>
      </c>
      <c r="BO251">
        <v>183.14</v>
      </c>
      <c r="BQ251" t="s">
        <v>782</v>
      </c>
      <c r="BR251" t="s">
        <v>84</v>
      </c>
      <c r="BS251" s="3">
        <v>45784</v>
      </c>
      <c r="BT251" s="4">
        <v>0.58194444444444449</v>
      </c>
      <c r="BU251" t="s">
        <v>783</v>
      </c>
      <c r="BV251" t="s">
        <v>86</v>
      </c>
      <c r="BY251">
        <v>88320</v>
      </c>
      <c r="CA251" t="s">
        <v>784</v>
      </c>
      <c r="CC251" t="s">
        <v>131</v>
      </c>
      <c r="CD251">
        <v>7700</v>
      </c>
      <c r="CE251" t="s">
        <v>96</v>
      </c>
      <c r="CF251" s="3">
        <v>45785</v>
      </c>
      <c r="CI251">
        <v>3</v>
      </c>
      <c r="CJ251">
        <v>2</v>
      </c>
      <c r="CK251">
        <v>41</v>
      </c>
      <c r="CL251" t="s">
        <v>89</v>
      </c>
    </row>
    <row r="252" spans="1:90" x14ac:dyDescent="0.3">
      <c r="A252" t="s">
        <v>72</v>
      </c>
      <c r="B252" t="s">
        <v>73</v>
      </c>
      <c r="C252" t="s">
        <v>74</v>
      </c>
      <c r="E252" t="str">
        <f>"080065172814"</f>
        <v>080065172814</v>
      </c>
      <c r="F252" s="3">
        <v>45782</v>
      </c>
      <c r="G252">
        <v>202602</v>
      </c>
      <c r="H252" t="s">
        <v>75</v>
      </c>
      <c r="I252" t="s">
        <v>76</v>
      </c>
      <c r="J252" t="s">
        <v>77</v>
      </c>
      <c r="K252" t="s">
        <v>78</v>
      </c>
      <c r="L252" t="s">
        <v>648</v>
      </c>
      <c r="M252" t="s">
        <v>649</v>
      </c>
      <c r="N252" t="s">
        <v>785</v>
      </c>
      <c r="O252" t="s">
        <v>82</v>
      </c>
      <c r="P252" t="str">
        <f>"4170036910                    "</f>
        <v xml:space="preserve">4170036910                    </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17.27</v>
      </c>
      <c r="AR252">
        <v>0</v>
      </c>
      <c r="AS252">
        <v>0</v>
      </c>
      <c r="AT252">
        <v>0</v>
      </c>
      <c r="AU252">
        <v>0</v>
      </c>
      <c r="AV252">
        <v>0</v>
      </c>
      <c r="AW252">
        <v>0</v>
      </c>
      <c r="AX252">
        <v>0</v>
      </c>
      <c r="AY252">
        <v>0</v>
      </c>
      <c r="AZ252">
        <v>0</v>
      </c>
      <c r="BA252">
        <v>0</v>
      </c>
      <c r="BB252">
        <v>0</v>
      </c>
      <c r="BC252">
        <v>0</v>
      </c>
      <c r="BD252">
        <v>0</v>
      </c>
      <c r="BE252">
        <v>0</v>
      </c>
      <c r="BF252">
        <v>0</v>
      </c>
      <c r="BG252">
        <v>0</v>
      </c>
      <c r="BH252">
        <v>1</v>
      </c>
      <c r="BI252">
        <v>1</v>
      </c>
      <c r="BJ252">
        <v>0.2</v>
      </c>
      <c r="BK252">
        <v>1</v>
      </c>
      <c r="BL252">
        <v>55.23</v>
      </c>
      <c r="BM252">
        <v>8.2799999999999994</v>
      </c>
      <c r="BN252">
        <v>63.51</v>
      </c>
      <c r="BO252">
        <v>63.51</v>
      </c>
      <c r="BQ252" t="s">
        <v>786</v>
      </c>
      <c r="BR252" t="s">
        <v>84</v>
      </c>
      <c r="BS252" s="3">
        <v>45783</v>
      </c>
      <c r="BT252" s="4">
        <v>0.40972222222222221</v>
      </c>
      <c r="BU252" t="s">
        <v>787</v>
      </c>
      <c r="BV252" t="s">
        <v>86</v>
      </c>
      <c r="BY252">
        <v>1200</v>
      </c>
      <c r="CA252" t="s">
        <v>698</v>
      </c>
      <c r="CC252" t="s">
        <v>649</v>
      </c>
      <c r="CD252">
        <v>1559</v>
      </c>
      <c r="CE252" t="s">
        <v>88</v>
      </c>
      <c r="CF252" s="3">
        <v>45783</v>
      </c>
      <c r="CI252">
        <v>1</v>
      </c>
      <c r="CJ252">
        <v>1</v>
      </c>
      <c r="CK252">
        <v>22</v>
      </c>
      <c r="CL252" t="s">
        <v>89</v>
      </c>
    </row>
    <row r="253" spans="1:90" x14ac:dyDescent="0.3">
      <c r="A253" t="s">
        <v>72</v>
      </c>
      <c r="B253" t="s">
        <v>73</v>
      </c>
      <c r="C253" t="s">
        <v>74</v>
      </c>
      <c r="E253" t="str">
        <f>"080065172851"</f>
        <v>080065172851</v>
      </c>
      <c r="F253" s="3">
        <v>45782</v>
      </c>
      <c r="G253">
        <v>202602</v>
      </c>
      <c r="H253" t="s">
        <v>75</v>
      </c>
      <c r="I253" t="s">
        <v>76</v>
      </c>
      <c r="J253" t="s">
        <v>77</v>
      </c>
      <c r="K253" t="s">
        <v>78</v>
      </c>
      <c r="L253" t="s">
        <v>79</v>
      </c>
      <c r="M253" t="s">
        <v>80</v>
      </c>
      <c r="N253" t="s">
        <v>357</v>
      </c>
      <c r="O253" t="s">
        <v>82</v>
      </c>
      <c r="P253" t="str">
        <f>"4170036894                    "</f>
        <v xml:space="preserve">4170036894                    </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22.11</v>
      </c>
      <c r="AR253">
        <v>0</v>
      </c>
      <c r="AS253">
        <v>0</v>
      </c>
      <c r="AT253">
        <v>0</v>
      </c>
      <c r="AU253">
        <v>0</v>
      </c>
      <c r="AV253">
        <v>0</v>
      </c>
      <c r="AW253">
        <v>0</v>
      </c>
      <c r="AX253">
        <v>0</v>
      </c>
      <c r="AY253">
        <v>0</v>
      </c>
      <c r="AZ253">
        <v>0</v>
      </c>
      <c r="BA253">
        <v>0</v>
      </c>
      <c r="BB253">
        <v>0</v>
      </c>
      <c r="BC253">
        <v>0</v>
      </c>
      <c r="BD253">
        <v>0</v>
      </c>
      <c r="BE253">
        <v>0</v>
      </c>
      <c r="BF253">
        <v>0</v>
      </c>
      <c r="BG253">
        <v>0</v>
      </c>
      <c r="BH253">
        <v>1</v>
      </c>
      <c r="BI253">
        <v>1</v>
      </c>
      <c r="BJ253">
        <v>0.2</v>
      </c>
      <c r="BK253">
        <v>1</v>
      </c>
      <c r="BL253">
        <v>70.709999999999994</v>
      </c>
      <c r="BM253">
        <v>10.61</v>
      </c>
      <c r="BN253">
        <v>81.319999999999993</v>
      </c>
      <c r="BO253">
        <v>81.319999999999993</v>
      </c>
      <c r="BQ253" t="s">
        <v>358</v>
      </c>
      <c r="BR253" t="s">
        <v>84</v>
      </c>
      <c r="BS253" s="3">
        <v>45783</v>
      </c>
      <c r="BT253" s="4">
        <v>0.63888888888888884</v>
      </c>
      <c r="BU253" t="s">
        <v>788</v>
      </c>
      <c r="BV253" t="s">
        <v>89</v>
      </c>
      <c r="BW253" t="s">
        <v>296</v>
      </c>
      <c r="BX253" t="s">
        <v>450</v>
      </c>
      <c r="BY253">
        <v>1200</v>
      </c>
      <c r="CA253" t="s">
        <v>87</v>
      </c>
      <c r="CC253" t="s">
        <v>80</v>
      </c>
      <c r="CD253">
        <v>3608</v>
      </c>
      <c r="CE253" t="s">
        <v>88</v>
      </c>
      <c r="CF253" s="3">
        <v>45784</v>
      </c>
      <c r="CI253">
        <v>1</v>
      </c>
      <c r="CJ253">
        <v>1</v>
      </c>
      <c r="CK253">
        <v>21</v>
      </c>
      <c r="CL253" t="s">
        <v>89</v>
      </c>
    </row>
    <row r="254" spans="1:90" x14ac:dyDescent="0.3">
      <c r="A254" t="s">
        <v>72</v>
      </c>
      <c r="B254" t="s">
        <v>73</v>
      </c>
      <c r="C254" t="s">
        <v>74</v>
      </c>
      <c r="E254" t="str">
        <f>"080065172874"</f>
        <v>080065172874</v>
      </c>
      <c r="F254" s="3">
        <v>45782</v>
      </c>
      <c r="G254">
        <v>202602</v>
      </c>
      <c r="H254" t="s">
        <v>75</v>
      </c>
      <c r="I254" t="s">
        <v>76</v>
      </c>
      <c r="J254" t="s">
        <v>77</v>
      </c>
      <c r="K254" t="s">
        <v>78</v>
      </c>
      <c r="L254" t="s">
        <v>90</v>
      </c>
      <c r="M254" t="s">
        <v>91</v>
      </c>
      <c r="N254" t="s">
        <v>280</v>
      </c>
      <c r="O254" t="s">
        <v>82</v>
      </c>
      <c r="P254" t="str">
        <f>"4170036955                    "</f>
        <v xml:space="preserve">4170036955                    </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22.11</v>
      </c>
      <c r="AR254">
        <v>0</v>
      </c>
      <c r="AS254">
        <v>0</v>
      </c>
      <c r="AT254">
        <v>0</v>
      </c>
      <c r="AU254">
        <v>0</v>
      </c>
      <c r="AV254">
        <v>0</v>
      </c>
      <c r="AW254">
        <v>0</v>
      </c>
      <c r="AX254">
        <v>0</v>
      </c>
      <c r="AY254">
        <v>0</v>
      </c>
      <c r="AZ254">
        <v>0</v>
      </c>
      <c r="BA254">
        <v>0</v>
      </c>
      <c r="BB254">
        <v>0</v>
      </c>
      <c r="BC254">
        <v>0</v>
      </c>
      <c r="BD254">
        <v>0</v>
      </c>
      <c r="BE254">
        <v>0</v>
      </c>
      <c r="BF254">
        <v>0</v>
      </c>
      <c r="BG254">
        <v>0</v>
      </c>
      <c r="BH254">
        <v>1</v>
      </c>
      <c r="BI254">
        <v>1</v>
      </c>
      <c r="BJ254">
        <v>0.2</v>
      </c>
      <c r="BK254">
        <v>1</v>
      </c>
      <c r="BL254">
        <v>70.709999999999994</v>
      </c>
      <c r="BM254">
        <v>10.61</v>
      </c>
      <c r="BN254">
        <v>81.319999999999993</v>
      </c>
      <c r="BO254">
        <v>81.319999999999993</v>
      </c>
      <c r="BQ254" t="s">
        <v>281</v>
      </c>
      <c r="BR254" t="s">
        <v>84</v>
      </c>
      <c r="BS254" s="3">
        <v>45783</v>
      </c>
      <c r="BT254" s="4">
        <v>0.44236111111111109</v>
      </c>
      <c r="BU254" t="s">
        <v>282</v>
      </c>
      <c r="BV254" t="s">
        <v>89</v>
      </c>
      <c r="BW254" t="s">
        <v>296</v>
      </c>
      <c r="BX254" t="s">
        <v>297</v>
      </c>
      <c r="BY254">
        <v>1200</v>
      </c>
      <c r="CC254" t="s">
        <v>91</v>
      </c>
      <c r="CD254">
        <v>6012</v>
      </c>
      <c r="CE254" t="s">
        <v>88</v>
      </c>
      <c r="CF254" s="3">
        <v>45783</v>
      </c>
      <c r="CI254">
        <v>1</v>
      </c>
      <c r="CJ254">
        <v>1</v>
      </c>
      <c r="CK254">
        <v>21</v>
      </c>
      <c r="CL254" t="s">
        <v>89</v>
      </c>
    </row>
    <row r="255" spans="1:90" x14ac:dyDescent="0.3">
      <c r="A255" t="s">
        <v>72</v>
      </c>
      <c r="B255" t="s">
        <v>73</v>
      </c>
      <c r="C255" t="s">
        <v>74</v>
      </c>
      <c r="E255" t="str">
        <f>"080065172899"</f>
        <v>080065172899</v>
      </c>
      <c r="F255" s="3">
        <v>45782</v>
      </c>
      <c r="G255">
        <v>202602</v>
      </c>
      <c r="H255" t="s">
        <v>75</v>
      </c>
      <c r="I255" t="s">
        <v>76</v>
      </c>
      <c r="J255" t="s">
        <v>77</v>
      </c>
      <c r="K255" t="s">
        <v>78</v>
      </c>
      <c r="L255" t="s">
        <v>350</v>
      </c>
      <c r="M255" t="s">
        <v>351</v>
      </c>
      <c r="N255" t="s">
        <v>678</v>
      </c>
      <c r="O255" t="s">
        <v>82</v>
      </c>
      <c r="P255" t="str">
        <f>"4170036954                    "</f>
        <v xml:space="preserve">4170036954                    </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22.11</v>
      </c>
      <c r="AR255">
        <v>0</v>
      </c>
      <c r="AS255">
        <v>0</v>
      </c>
      <c r="AT255">
        <v>0</v>
      </c>
      <c r="AU255">
        <v>0</v>
      </c>
      <c r="AV255">
        <v>0</v>
      </c>
      <c r="AW255">
        <v>0</v>
      </c>
      <c r="AX255">
        <v>0</v>
      </c>
      <c r="AY255">
        <v>0</v>
      </c>
      <c r="AZ255">
        <v>0</v>
      </c>
      <c r="BA255">
        <v>0</v>
      </c>
      <c r="BB255">
        <v>0</v>
      </c>
      <c r="BC255">
        <v>0</v>
      </c>
      <c r="BD255">
        <v>0</v>
      </c>
      <c r="BE255">
        <v>0</v>
      </c>
      <c r="BF255">
        <v>0</v>
      </c>
      <c r="BG255">
        <v>0</v>
      </c>
      <c r="BH255">
        <v>1</v>
      </c>
      <c r="BI255">
        <v>1</v>
      </c>
      <c r="BJ255">
        <v>0.2</v>
      </c>
      <c r="BK255">
        <v>1</v>
      </c>
      <c r="BL255">
        <v>70.709999999999994</v>
      </c>
      <c r="BM255">
        <v>10.61</v>
      </c>
      <c r="BN255">
        <v>81.319999999999993</v>
      </c>
      <c r="BO255">
        <v>81.319999999999993</v>
      </c>
      <c r="BQ255" t="s">
        <v>679</v>
      </c>
      <c r="BR255" t="s">
        <v>84</v>
      </c>
      <c r="BS255" s="3">
        <v>45783</v>
      </c>
      <c r="BT255" s="4">
        <v>0.39791666666666664</v>
      </c>
      <c r="BU255" t="s">
        <v>680</v>
      </c>
      <c r="BV255" t="s">
        <v>86</v>
      </c>
      <c r="BY255">
        <v>1200</v>
      </c>
      <c r="CA255" t="s">
        <v>326</v>
      </c>
      <c r="CC255" t="s">
        <v>351</v>
      </c>
      <c r="CD255">
        <v>4052</v>
      </c>
      <c r="CE255" t="s">
        <v>88</v>
      </c>
      <c r="CF255" s="3">
        <v>45784</v>
      </c>
      <c r="CI255">
        <v>1</v>
      </c>
      <c r="CJ255">
        <v>1</v>
      </c>
      <c r="CK255">
        <v>21</v>
      </c>
      <c r="CL255" t="s">
        <v>89</v>
      </c>
    </row>
    <row r="256" spans="1:90" x14ac:dyDescent="0.3">
      <c r="A256" t="s">
        <v>72</v>
      </c>
      <c r="B256" t="s">
        <v>73</v>
      </c>
      <c r="C256" t="s">
        <v>74</v>
      </c>
      <c r="E256" t="str">
        <f>"080065172920"</f>
        <v>080065172920</v>
      </c>
      <c r="F256" s="3">
        <v>45782</v>
      </c>
      <c r="G256">
        <v>202602</v>
      </c>
      <c r="H256" t="s">
        <v>75</v>
      </c>
      <c r="I256" t="s">
        <v>76</v>
      </c>
      <c r="J256" t="s">
        <v>77</v>
      </c>
      <c r="K256" t="s">
        <v>78</v>
      </c>
      <c r="L256" t="s">
        <v>130</v>
      </c>
      <c r="M256" t="s">
        <v>131</v>
      </c>
      <c r="N256" t="s">
        <v>343</v>
      </c>
      <c r="O256" t="s">
        <v>82</v>
      </c>
      <c r="P256" t="str">
        <f>"4170036953                    "</f>
        <v xml:space="preserve">4170036953                    </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22.11</v>
      </c>
      <c r="AR256">
        <v>0</v>
      </c>
      <c r="AS256">
        <v>0</v>
      </c>
      <c r="AT256">
        <v>0</v>
      </c>
      <c r="AU256">
        <v>0</v>
      </c>
      <c r="AV256">
        <v>0</v>
      </c>
      <c r="AW256">
        <v>0</v>
      </c>
      <c r="AX256">
        <v>0</v>
      </c>
      <c r="AY256">
        <v>0</v>
      </c>
      <c r="AZ256">
        <v>0</v>
      </c>
      <c r="BA256">
        <v>0</v>
      </c>
      <c r="BB256">
        <v>0</v>
      </c>
      <c r="BC256">
        <v>0</v>
      </c>
      <c r="BD256">
        <v>0</v>
      </c>
      <c r="BE256">
        <v>0</v>
      </c>
      <c r="BF256">
        <v>0</v>
      </c>
      <c r="BG256">
        <v>0</v>
      </c>
      <c r="BH256">
        <v>1</v>
      </c>
      <c r="BI256">
        <v>1</v>
      </c>
      <c r="BJ256">
        <v>0.2</v>
      </c>
      <c r="BK256">
        <v>1</v>
      </c>
      <c r="BL256">
        <v>70.709999999999994</v>
      </c>
      <c r="BM256">
        <v>10.61</v>
      </c>
      <c r="BN256">
        <v>81.319999999999993</v>
      </c>
      <c r="BO256">
        <v>81.319999999999993</v>
      </c>
      <c r="BQ256" t="s">
        <v>344</v>
      </c>
      <c r="BR256" t="s">
        <v>84</v>
      </c>
      <c r="BS256" s="3">
        <v>45784</v>
      </c>
      <c r="BT256" s="4">
        <v>0.3923611111111111</v>
      </c>
      <c r="BU256" t="s">
        <v>345</v>
      </c>
      <c r="BV256" t="s">
        <v>89</v>
      </c>
      <c r="BW256" t="s">
        <v>340</v>
      </c>
      <c r="BX256" t="s">
        <v>578</v>
      </c>
      <c r="BY256">
        <v>1200</v>
      </c>
      <c r="CA256" t="s">
        <v>242</v>
      </c>
      <c r="CC256" t="s">
        <v>131</v>
      </c>
      <c r="CD256">
        <v>7441</v>
      </c>
      <c r="CE256" t="s">
        <v>88</v>
      </c>
      <c r="CF256" s="3">
        <v>45785</v>
      </c>
      <c r="CI256">
        <v>1</v>
      </c>
      <c r="CJ256">
        <v>2</v>
      </c>
      <c r="CK256">
        <v>21</v>
      </c>
      <c r="CL256" t="s">
        <v>89</v>
      </c>
    </row>
    <row r="257" spans="1:90" x14ac:dyDescent="0.3">
      <c r="A257" t="s">
        <v>72</v>
      </c>
      <c r="B257" t="s">
        <v>73</v>
      </c>
      <c r="C257" t="s">
        <v>74</v>
      </c>
      <c r="E257" t="str">
        <f>"080065172941"</f>
        <v>080065172941</v>
      </c>
      <c r="F257" s="3">
        <v>45782</v>
      </c>
      <c r="G257">
        <v>202602</v>
      </c>
      <c r="H257" t="s">
        <v>75</v>
      </c>
      <c r="I257" t="s">
        <v>76</v>
      </c>
      <c r="J257" t="s">
        <v>77</v>
      </c>
      <c r="K257" t="s">
        <v>78</v>
      </c>
      <c r="L257" t="s">
        <v>123</v>
      </c>
      <c r="M257" t="s">
        <v>123</v>
      </c>
      <c r="N257" t="s">
        <v>317</v>
      </c>
      <c r="O257" t="s">
        <v>82</v>
      </c>
      <c r="P257" t="str">
        <f>"4170036854                    "</f>
        <v xml:space="preserve">4170036854                    </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42.84</v>
      </c>
      <c r="AR257">
        <v>0</v>
      </c>
      <c r="AS257">
        <v>0</v>
      </c>
      <c r="AT257">
        <v>0</v>
      </c>
      <c r="AU257">
        <v>0</v>
      </c>
      <c r="AV257">
        <v>0</v>
      </c>
      <c r="AW257">
        <v>0</v>
      </c>
      <c r="AX257">
        <v>0</v>
      </c>
      <c r="AY257">
        <v>0</v>
      </c>
      <c r="AZ257">
        <v>0</v>
      </c>
      <c r="BA257">
        <v>0</v>
      </c>
      <c r="BB257">
        <v>0</v>
      </c>
      <c r="BC257">
        <v>0</v>
      </c>
      <c r="BD257">
        <v>0</v>
      </c>
      <c r="BE257">
        <v>0</v>
      </c>
      <c r="BF257">
        <v>0</v>
      </c>
      <c r="BG257">
        <v>0</v>
      </c>
      <c r="BH257">
        <v>1</v>
      </c>
      <c r="BI257">
        <v>1</v>
      </c>
      <c r="BJ257">
        <v>0.2</v>
      </c>
      <c r="BK257">
        <v>1</v>
      </c>
      <c r="BL257">
        <v>137</v>
      </c>
      <c r="BM257">
        <v>20.55</v>
      </c>
      <c r="BN257">
        <v>157.55000000000001</v>
      </c>
      <c r="BO257">
        <v>157.55000000000001</v>
      </c>
      <c r="BQ257" t="s">
        <v>318</v>
      </c>
      <c r="BR257" t="s">
        <v>84</v>
      </c>
      <c r="BS257" s="3">
        <v>45784</v>
      </c>
      <c r="BT257" s="4">
        <v>0.54513888888888884</v>
      </c>
      <c r="BU257" t="s">
        <v>329</v>
      </c>
      <c r="BV257" t="s">
        <v>89</v>
      </c>
      <c r="BY257">
        <v>1200</v>
      </c>
      <c r="CA257" t="s">
        <v>128</v>
      </c>
      <c r="CC257" t="s">
        <v>123</v>
      </c>
      <c r="CD257">
        <v>7646</v>
      </c>
      <c r="CE257" t="s">
        <v>88</v>
      </c>
      <c r="CF257" s="3">
        <v>45785</v>
      </c>
      <c r="CI257">
        <v>1</v>
      </c>
      <c r="CJ257">
        <v>2</v>
      </c>
      <c r="CK257">
        <v>23</v>
      </c>
      <c r="CL257" t="s">
        <v>89</v>
      </c>
    </row>
    <row r="258" spans="1:90" x14ac:dyDescent="0.3">
      <c r="A258" t="s">
        <v>72</v>
      </c>
      <c r="B258" t="s">
        <v>73</v>
      </c>
      <c r="C258" t="s">
        <v>74</v>
      </c>
      <c r="E258" t="str">
        <f>"080065173850"</f>
        <v>080065173850</v>
      </c>
      <c r="F258" s="3">
        <v>45782</v>
      </c>
      <c r="G258">
        <v>202602</v>
      </c>
      <c r="H258" t="s">
        <v>75</v>
      </c>
      <c r="I258" t="s">
        <v>76</v>
      </c>
      <c r="J258" t="s">
        <v>77</v>
      </c>
      <c r="K258" t="s">
        <v>78</v>
      </c>
      <c r="L258" t="s">
        <v>75</v>
      </c>
      <c r="M258" t="s">
        <v>76</v>
      </c>
      <c r="N258" t="s">
        <v>661</v>
      </c>
      <c r="O258" t="s">
        <v>82</v>
      </c>
      <c r="P258" t="str">
        <f>"4170036952                    "</f>
        <v xml:space="preserve">4170036952                    </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17.27</v>
      </c>
      <c r="AR258">
        <v>0</v>
      </c>
      <c r="AS258">
        <v>0</v>
      </c>
      <c r="AT258">
        <v>0</v>
      </c>
      <c r="AU258">
        <v>0</v>
      </c>
      <c r="AV258">
        <v>0</v>
      </c>
      <c r="AW258">
        <v>0</v>
      </c>
      <c r="AX258">
        <v>0</v>
      </c>
      <c r="AY258">
        <v>0</v>
      </c>
      <c r="AZ258">
        <v>0</v>
      </c>
      <c r="BA258">
        <v>0</v>
      </c>
      <c r="BB258">
        <v>0</v>
      </c>
      <c r="BC258">
        <v>0</v>
      </c>
      <c r="BD258">
        <v>0</v>
      </c>
      <c r="BE258">
        <v>0</v>
      </c>
      <c r="BF258">
        <v>0</v>
      </c>
      <c r="BG258">
        <v>0</v>
      </c>
      <c r="BH258">
        <v>1</v>
      </c>
      <c r="BI258">
        <v>3</v>
      </c>
      <c r="BJ258">
        <v>5.4</v>
      </c>
      <c r="BK258">
        <v>6</v>
      </c>
      <c r="BL258">
        <v>55.23</v>
      </c>
      <c r="BM258">
        <v>8.2799999999999994</v>
      </c>
      <c r="BN258">
        <v>63.51</v>
      </c>
      <c r="BO258">
        <v>63.51</v>
      </c>
      <c r="BQ258" t="s">
        <v>460</v>
      </c>
      <c r="BR258" t="s">
        <v>84</v>
      </c>
      <c r="BS258" s="3">
        <v>45783</v>
      </c>
      <c r="BT258" s="4">
        <v>0.375</v>
      </c>
      <c r="BU258" t="s">
        <v>662</v>
      </c>
      <c r="BV258" t="s">
        <v>86</v>
      </c>
      <c r="BY258">
        <v>27144</v>
      </c>
      <c r="CA258" t="s">
        <v>150</v>
      </c>
      <c r="CC258" t="s">
        <v>76</v>
      </c>
      <c r="CD258">
        <v>1614</v>
      </c>
      <c r="CE258" t="s">
        <v>96</v>
      </c>
      <c r="CF258" s="3">
        <v>45783</v>
      </c>
      <c r="CI258">
        <v>1</v>
      </c>
      <c r="CJ258">
        <v>1</v>
      </c>
      <c r="CK258">
        <v>22</v>
      </c>
      <c r="CL258" t="s">
        <v>89</v>
      </c>
    </row>
    <row r="259" spans="1:90" x14ac:dyDescent="0.3">
      <c r="A259" t="s">
        <v>72</v>
      </c>
      <c r="B259" t="s">
        <v>73</v>
      </c>
      <c r="C259" t="s">
        <v>74</v>
      </c>
      <c r="E259" t="str">
        <f>"080065173876"</f>
        <v>080065173876</v>
      </c>
      <c r="F259" s="3">
        <v>45782</v>
      </c>
      <c r="G259">
        <v>202602</v>
      </c>
      <c r="H259" t="s">
        <v>75</v>
      </c>
      <c r="I259" t="s">
        <v>76</v>
      </c>
      <c r="J259" t="s">
        <v>77</v>
      </c>
      <c r="K259" t="s">
        <v>78</v>
      </c>
      <c r="L259" t="s">
        <v>90</v>
      </c>
      <c r="M259" t="s">
        <v>91</v>
      </c>
      <c r="N259" t="s">
        <v>371</v>
      </c>
      <c r="O259" t="s">
        <v>82</v>
      </c>
      <c r="P259" t="str">
        <f>"4170036912                    "</f>
        <v xml:space="preserve">4170036912                    </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22.11</v>
      </c>
      <c r="AR259">
        <v>0</v>
      </c>
      <c r="AS259">
        <v>0</v>
      </c>
      <c r="AT259">
        <v>0</v>
      </c>
      <c r="AU259">
        <v>0</v>
      </c>
      <c r="AV259">
        <v>0</v>
      </c>
      <c r="AW259">
        <v>0</v>
      </c>
      <c r="AX259">
        <v>0</v>
      </c>
      <c r="AY259">
        <v>0</v>
      </c>
      <c r="AZ259">
        <v>0</v>
      </c>
      <c r="BA259">
        <v>0</v>
      </c>
      <c r="BB259">
        <v>0</v>
      </c>
      <c r="BC259">
        <v>0</v>
      </c>
      <c r="BD259">
        <v>0</v>
      </c>
      <c r="BE259">
        <v>0</v>
      </c>
      <c r="BF259">
        <v>0</v>
      </c>
      <c r="BG259">
        <v>0</v>
      </c>
      <c r="BH259">
        <v>1</v>
      </c>
      <c r="BI259">
        <v>1</v>
      </c>
      <c r="BJ259">
        <v>0.2</v>
      </c>
      <c r="BK259">
        <v>1</v>
      </c>
      <c r="BL259">
        <v>70.709999999999994</v>
      </c>
      <c r="BM259">
        <v>10.61</v>
      </c>
      <c r="BN259">
        <v>81.319999999999993</v>
      </c>
      <c r="BO259">
        <v>81.319999999999993</v>
      </c>
      <c r="BQ259" t="s">
        <v>372</v>
      </c>
      <c r="BR259" t="s">
        <v>84</v>
      </c>
      <c r="BS259" s="3">
        <v>45783</v>
      </c>
      <c r="BT259" s="4">
        <v>0.43333333333333335</v>
      </c>
      <c r="BU259" t="s">
        <v>373</v>
      </c>
      <c r="BV259" t="s">
        <v>86</v>
      </c>
      <c r="BY259">
        <v>1200</v>
      </c>
      <c r="CA259" t="s">
        <v>298</v>
      </c>
      <c r="CC259" t="s">
        <v>91</v>
      </c>
      <c r="CD259">
        <v>6001</v>
      </c>
      <c r="CE259" t="s">
        <v>88</v>
      </c>
      <c r="CF259" s="3">
        <v>45783</v>
      </c>
      <c r="CI259">
        <v>1</v>
      </c>
      <c r="CJ259">
        <v>1</v>
      </c>
      <c r="CK259">
        <v>21</v>
      </c>
      <c r="CL259" t="s">
        <v>89</v>
      </c>
    </row>
    <row r="260" spans="1:90" x14ac:dyDescent="0.3">
      <c r="A260" t="s">
        <v>72</v>
      </c>
      <c r="B260" t="s">
        <v>73</v>
      </c>
      <c r="C260" t="s">
        <v>74</v>
      </c>
      <c r="E260" t="str">
        <f>"080065173908"</f>
        <v>080065173908</v>
      </c>
      <c r="F260" s="3">
        <v>45782</v>
      </c>
      <c r="G260">
        <v>202602</v>
      </c>
      <c r="H260" t="s">
        <v>75</v>
      </c>
      <c r="I260" t="s">
        <v>76</v>
      </c>
      <c r="J260" t="s">
        <v>77</v>
      </c>
      <c r="K260" t="s">
        <v>78</v>
      </c>
      <c r="L260" t="s">
        <v>136</v>
      </c>
      <c r="M260" t="s">
        <v>137</v>
      </c>
      <c r="N260" t="s">
        <v>735</v>
      </c>
      <c r="O260" t="s">
        <v>82</v>
      </c>
      <c r="P260" t="str">
        <f>"4170036908                    "</f>
        <v xml:space="preserve">4170036908                    </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22.11</v>
      </c>
      <c r="AR260">
        <v>0</v>
      </c>
      <c r="AS260">
        <v>0</v>
      </c>
      <c r="AT260">
        <v>0</v>
      </c>
      <c r="AU260">
        <v>0</v>
      </c>
      <c r="AV260">
        <v>0</v>
      </c>
      <c r="AW260">
        <v>0</v>
      </c>
      <c r="AX260">
        <v>0</v>
      </c>
      <c r="AY260">
        <v>0</v>
      </c>
      <c r="AZ260">
        <v>0</v>
      </c>
      <c r="BA260">
        <v>0</v>
      </c>
      <c r="BB260">
        <v>0</v>
      </c>
      <c r="BC260">
        <v>0</v>
      </c>
      <c r="BD260">
        <v>0</v>
      </c>
      <c r="BE260">
        <v>0</v>
      </c>
      <c r="BF260">
        <v>0</v>
      </c>
      <c r="BG260">
        <v>0</v>
      </c>
      <c r="BH260">
        <v>1</v>
      </c>
      <c r="BI260">
        <v>1</v>
      </c>
      <c r="BJ260">
        <v>0.2</v>
      </c>
      <c r="BK260">
        <v>1</v>
      </c>
      <c r="BL260">
        <v>70.709999999999994</v>
      </c>
      <c r="BM260">
        <v>10.61</v>
      </c>
      <c r="BN260">
        <v>81.319999999999993</v>
      </c>
      <c r="BO260">
        <v>81.319999999999993</v>
      </c>
      <c r="BQ260" t="s">
        <v>736</v>
      </c>
      <c r="BR260" t="s">
        <v>84</v>
      </c>
      <c r="BS260" s="3">
        <v>45783</v>
      </c>
      <c r="BT260" s="4">
        <v>0.39513888888888887</v>
      </c>
      <c r="BU260" t="s">
        <v>737</v>
      </c>
      <c r="BV260" t="s">
        <v>86</v>
      </c>
      <c r="BY260">
        <v>1200</v>
      </c>
      <c r="CA260" t="s">
        <v>258</v>
      </c>
      <c r="CC260" t="s">
        <v>137</v>
      </c>
      <c r="CD260" s="5" t="s">
        <v>738</v>
      </c>
      <c r="CE260" t="s">
        <v>88</v>
      </c>
      <c r="CF260" s="3">
        <v>45783</v>
      </c>
      <c r="CI260">
        <v>1</v>
      </c>
      <c r="CJ260">
        <v>1</v>
      </c>
      <c r="CK260">
        <v>21</v>
      </c>
      <c r="CL260" t="s">
        <v>89</v>
      </c>
    </row>
    <row r="261" spans="1:90" x14ac:dyDescent="0.3">
      <c r="A261" t="s">
        <v>72</v>
      </c>
      <c r="B261" t="s">
        <v>73</v>
      </c>
      <c r="C261" t="s">
        <v>74</v>
      </c>
      <c r="E261" t="str">
        <f>"080065174098"</f>
        <v>080065174098</v>
      </c>
      <c r="F261" s="3">
        <v>45782</v>
      </c>
      <c r="G261">
        <v>202602</v>
      </c>
      <c r="H261" t="s">
        <v>75</v>
      </c>
      <c r="I261" t="s">
        <v>76</v>
      </c>
      <c r="J261" t="s">
        <v>77</v>
      </c>
      <c r="K261" t="s">
        <v>78</v>
      </c>
      <c r="L261" t="s">
        <v>75</v>
      </c>
      <c r="M261" t="s">
        <v>76</v>
      </c>
      <c r="N261" t="s">
        <v>601</v>
      </c>
      <c r="O261" t="s">
        <v>82</v>
      </c>
      <c r="P261" t="str">
        <f>"4170036959                    "</f>
        <v xml:space="preserve">4170036959                    </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17.27</v>
      </c>
      <c r="AR261">
        <v>0</v>
      </c>
      <c r="AS261">
        <v>0</v>
      </c>
      <c r="AT261">
        <v>0</v>
      </c>
      <c r="AU261">
        <v>0</v>
      </c>
      <c r="AV261">
        <v>0</v>
      </c>
      <c r="AW261">
        <v>0</v>
      </c>
      <c r="AX261">
        <v>0</v>
      </c>
      <c r="AY261">
        <v>0</v>
      </c>
      <c r="AZ261">
        <v>0</v>
      </c>
      <c r="BA261">
        <v>0</v>
      </c>
      <c r="BB261">
        <v>0</v>
      </c>
      <c r="BC261">
        <v>0</v>
      </c>
      <c r="BD261">
        <v>0</v>
      </c>
      <c r="BE261">
        <v>0</v>
      </c>
      <c r="BF261">
        <v>0</v>
      </c>
      <c r="BG261">
        <v>0</v>
      </c>
      <c r="BH261">
        <v>1</v>
      </c>
      <c r="BI261">
        <v>1</v>
      </c>
      <c r="BJ261">
        <v>0.2</v>
      </c>
      <c r="BK261">
        <v>1</v>
      </c>
      <c r="BL261">
        <v>55.23</v>
      </c>
      <c r="BM261">
        <v>8.2799999999999994</v>
      </c>
      <c r="BN261">
        <v>63.51</v>
      </c>
      <c r="BO261">
        <v>63.51</v>
      </c>
      <c r="BQ261" t="s">
        <v>603</v>
      </c>
      <c r="BR261" t="s">
        <v>84</v>
      </c>
      <c r="BS261" s="3">
        <v>45783</v>
      </c>
      <c r="BT261" s="4">
        <v>0.41666666666666669</v>
      </c>
      <c r="BU261" t="s">
        <v>789</v>
      </c>
      <c r="BV261" t="s">
        <v>86</v>
      </c>
      <c r="BY261">
        <v>1200</v>
      </c>
      <c r="CA261" t="s">
        <v>605</v>
      </c>
      <c r="CC261" t="s">
        <v>76</v>
      </c>
      <c r="CD261">
        <v>1645</v>
      </c>
      <c r="CE261" t="s">
        <v>88</v>
      </c>
      <c r="CF261" s="3">
        <v>45783</v>
      </c>
      <c r="CI261">
        <v>1</v>
      </c>
      <c r="CJ261">
        <v>1</v>
      </c>
      <c r="CK261">
        <v>22</v>
      </c>
      <c r="CL261" t="s">
        <v>89</v>
      </c>
    </row>
    <row r="262" spans="1:90" x14ac:dyDescent="0.3">
      <c r="A262" t="s">
        <v>72</v>
      </c>
      <c r="B262" t="s">
        <v>73</v>
      </c>
      <c r="C262" t="s">
        <v>74</v>
      </c>
      <c r="E262" t="str">
        <f>"080065174125"</f>
        <v>080065174125</v>
      </c>
      <c r="F262" s="3">
        <v>45782</v>
      </c>
      <c r="G262">
        <v>202602</v>
      </c>
      <c r="H262" t="s">
        <v>75</v>
      </c>
      <c r="I262" t="s">
        <v>76</v>
      </c>
      <c r="J262" t="s">
        <v>77</v>
      </c>
      <c r="K262" t="s">
        <v>78</v>
      </c>
      <c r="L262" t="s">
        <v>79</v>
      </c>
      <c r="M262" t="s">
        <v>80</v>
      </c>
      <c r="N262" t="s">
        <v>790</v>
      </c>
      <c r="O262" t="s">
        <v>82</v>
      </c>
      <c r="P262" t="str">
        <f>"4170036942                    "</f>
        <v xml:space="preserve">4170036942                    </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22.11</v>
      </c>
      <c r="AR262">
        <v>0</v>
      </c>
      <c r="AS262">
        <v>0</v>
      </c>
      <c r="AT262">
        <v>0</v>
      </c>
      <c r="AU262">
        <v>0</v>
      </c>
      <c r="AV262">
        <v>0</v>
      </c>
      <c r="AW262">
        <v>0</v>
      </c>
      <c r="AX262">
        <v>0</v>
      </c>
      <c r="AY262">
        <v>0</v>
      </c>
      <c r="AZ262">
        <v>0</v>
      </c>
      <c r="BA262">
        <v>0</v>
      </c>
      <c r="BB262">
        <v>0</v>
      </c>
      <c r="BC262">
        <v>0</v>
      </c>
      <c r="BD262">
        <v>0</v>
      </c>
      <c r="BE262">
        <v>0</v>
      </c>
      <c r="BF262">
        <v>0</v>
      </c>
      <c r="BG262">
        <v>0</v>
      </c>
      <c r="BH262">
        <v>1</v>
      </c>
      <c r="BI262">
        <v>1</v>
      </c>
      <c r="BJ262">
        <v>0.2</v>
      </c>
      <c r="BK262">
        <v>1</v>
      </c>
      <c r="BL262">
        <v>70.709999999999994</v>
      </c>
      <c r="BM262">
        <v>10.61</v>
      </c>
      <c r="BN262">
        <v>81.319999999999993</v>
      </c>
      <c r="BO262">
        <v>81.319999999999993</v>
      </c>
      <c r="BQ262" t="s">
        <v>791</v>
      </c>
      <c r="BR262" t="s">
        <v>84</v>
      </c>
      <c r="BS262" s="3">
        <v>45783</v>
      </c>
      <c r="BT262" s="4">
        <v>0.57986111111111116</v>
      </c>
      <c r="BU262" t="s">
        <v>792</v>
      </c>
      <c r="BV262" t="s">
        <v>89</v>
      </c>
      <c r="BW262" t="s">
        <v>296</v>
      </c>
      <c r="BX262" t="s">
        <v>450</v>
      </c>
      <c r="BY262">
        <v>1200</v>
      </c>
      <c r="CA262" t="s">
        <v>87</v>
      </c>
      <c r="CC262" t="s">
        <v>80</v>
      </c>
      <c r="CD262">
        <v>3600</v>
      </c>
      <c r="CE262" t="s">
        <v>88</v>
      </c>
      <c r="CF262" s="3">
        <v>45784</v>
      </c>
      <c r="CI262">
        <v>1</v>
      </c>
      <c r="CJ262">
        <v>1</v>
      </c>
      <c r="CK262">
        <v>21</v>
      </c>
      <c r="CL262" t="s">
        <v>89</v>
      </c>
    </row>
    <row r="263" spans="1:90" x14ac:dyDescent="0.3">
      <c r="A263" t="s">
        <v>72</v>
      </c>
      <c r="B263" t="s">
        <v>73</v>
      </c>
      <c r="C263" t="s">
        <v>74</v>
      </c>
      <c r="E263" t="str">
        <f>"080065174136"</f>
        <v>080065174136</v>
      </c>
      <c r="F263" s="3">
        <v>45782</v>
      </c>
      <c r="G263">
        <v>202602</v>
      </c>
      <c r="H263" t="s">
        <v>75</v>
      </c>
      <c r="I263" t="s">
        <v>76</v>
      </c>
      <c r="J263" t="s">
        <v>77</v>
      </c>
      <c r="K263" t="s">
        <v>78</v>
      </c>
      <c r="L263" t="s">
        <v>479</v>
      </c>
      <c r="M263" t="s">
        <v>480</v>
      </c>
      <c r="N263" t="s">
        <v>793</v>
      </c>
      <c r="O263" t="s">
        <v>82</v>
      </c>
      <c r="P263" t="str">
        <f>"4170036931                    "</f>
        <v xml:space="preserve">4170036931                    </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17.27</v>
      </c>
      <c r="AR263">
        <v>0</v>
      </c>
      <c r="AS263">
        <v>0</v>
      </c>
      <c r="AT263">
        <v>0</v>
      </c>
      <c r="AU263">
        <v>0</v>
      </c>
      <c r="AV263">
        <v>0</v>
      </c>
      <c r="AW263">
        <v>0</v>
      </c>
      <c r="AX263">
        <v>0</v>
      </c>
      <c r="AY263">
        <v>0</v>
      </c>
      <c r="AZ263">
        <v>0</v>
      </c>
      <c r="BA263">
        <v>0</v>
      </c>
      <c r="BB263">
        <v>0</v>
      </c>
      <c r="BC263">
        <v>0</v>
      </c>
      <c r="BD263">
        <v>0</v>
      </c>
      <c r="BE263">
        <v>0</v>
      </c>
      <c r="BF263">
        <v>0</v>
      </c>
      <c r="BG263">
        <v>0</v>
      </c>
      <c r="BH263">
        <v>1</v>
      </c>
      <c r="BI263">
        <v>2</v>
      </c>
      <c r="BJ263">
        <v>1.1000000000000001</v>
      </c>
      <c r="BK263">
        <v>2</v>
      </c>
      <c r="BL263">
        <v>55.23</v>
      </c>
      <c r="BM263">
        <v>8.2799999999999994</v>
      </c>
      <c r="BN263">
        <v>63.51</v>
      </c>
      <c r="BO263">
        <v>63.51</v>
      </c>
      <c r="BQ263" t="s">
        <v>794</v>
      </c>
      <c r="BR263" t="s">
        <v>84</v>
      </c>
      <c r="BS263" s="3">
        <v>45783</v>
      </c>
      <c r="BT263" s="4">
        <v>0.43680555555555556</v>
      </c>
      <c r="BU263" t="s">
        <v>795</v>
      </c>
      <c r="BV263" t="s">
        <v>86</v>
      </c>
      <c r="BY263">
        <v>5320</v>
      </c>
      <c r="CA263" t="s">
        <v>796</v>
      </c>
      <c r="CC263" t="s">
        <v>480</v>
      </c>
      <c r="CD263">
        <v>2163</v>
      </c>
      <c r="CE263" t="s">
        <v>116</v>
      </c>
      <c r="CF263" s="3">
        <v>45784</v>
      </c>
      <c r="CI263">
        <v>1</v>
      </c>
      <c r="CJ263">
        <v>1</v>
      </c>
      <c r="CK263">
        <v>22</v>
      </c>
      <c r="CL263" t="s">
        <v>89</v>
      </c>
    </row>
    <row r="264" spans="1:90" x14ac:dyDescent="0.3">
      <c r="A264" t="s">
        <v>72</v>
      </c>
      <c r="B264" t="s">
        <v>73</v>
      </c>
      <c r="C264" t="s">
        <v>74</v>
      </c>
      <c r="E264" t="str">
        <f>"080065174171"</f>
        <v>080065174171</v>
      </c>
      <c r="F264" s="3">
        <v>45782</v>
      </c>
      <c r="G264">
        <v>202602</v>
      </c>
      <c r="H264" t="s">
        <v>75</v>
      </c>
      <c r="I264" t="s">
        <v>76</v>
      </c>
      <c r="J264" t="s">
        <v>77</v>
      </c>
      <c r="K264" t="s">
        <v>78</v>
      </c>
      <c r="L264" t="s">
        <v>79</v>
      </c>
      <c r="M264" t="s">
        <v>80</v>
      </c>
      <c r="N264" t="s">
        <v>797</v>
      </c>
      <c r="O264" t="s">
        <v>82</v>
      </c>
      <c r="P264" t="str">
        <f>"4170036947                    "</f>
        <v xml:space="preserve">4170036947                    </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22.11</v>
      </c>
      <c r="AR264">
        <v>0</v>
      </c>
      <c r="AS264">
        <v>0</v>
      </c>
      <c r="AT264">
        <v>0</v>
      </c>
      <c r="AU264">
        <v>0</v>
      </c>
      <c r="AV264">
        <v>0</v>
      </c>
      <c r="AW264">
        <v>0</v>
      </c>
      <c r="AX264">
        <v>0</v>
      </c>
      <c r="AY264">
        <v>0</v>
      </c>
      <c r="AZ264">
        <v>0</v>
      </c>
      <c r="BA264">
        <v>0</v>
      </c>
      <c r="BB264">
        <v>0</v>
      </c>
      <c r="BC264">
        <v>0</v>
      </c>
      <c r="BD264">
        <v>0</v>
      </c>
      <c r="BE264">
        <v>0</v>
      </c>
      <c r="BF264">
        <v>0</v>
      </c>
      <c r="BG264">
        <v>0</v>
      </c>
      <c r="BH264">
        <v>1</v>
      </c>
      <c r="BI264">
        <v>1</v>
      </c>
      <c r="BJ264">
        <v>0.2</v>
      </c>
      <c r="BK264">
        <v>1</v>
      </c>
      <c r="BL264">
        <v>70.709999999999994</v>
      </c>
      <c r="BM264">
        <v>10.61</v>
      </c>
      <c r="BN264">
        <v>81.319999999999993</v>
      </c>
      <c r="BO264">
        <v>81.319999999999993</v>
      </c>
      <c r="BQ264" t="s">
        <v>798</v>
      </c>
      <c r="BR264" t="s">
        <v>84</v>
      </c>
      <c r="BS264" s="3">
        <v>45783</v>
      </c>
      <c r="BT264" s="4">
        <v>0.43541666666666667</v>
      </c>
      <c r="BU264" t="s">
        <v>85</v>
      </c>
      <c r="BV264" t="s">
        <v>86</v>
      </c>
      <c r="BY264">
        <v>1200</v>
      </c>
      <c r="CA264" t="s">
        <v>87</v>
      </c>
      <c r="CC264" t="s">
        <v>80</v>
      </c>
      <c r="CD264">
        <v>3610</v>
      </c>
      <c r="CE264" t="s">
        <v>88</v>
      </c>
      <c r="CF264" s="3">
        <v>45784</v>
      </c>
      <c r="CI264">
        <v>1</v>
      </c>
      <c r="CJ264">
        <v>1</v>
      </c>
      <c r="CK264">
        <v>21</v>
      </c>
      <c r="CL264" t="s">
        <v>89</v>
      </c>
    </row>
    <row r="265" spans="1:90" x14ac:dyDescent="0.3">
      <c r="A265" t="s">
        <v>72</v>
      </c>
      <c r="B265" t="s">
        <v>73</v>
      </c>
      <c r="C265" t="s">
        <v>74</v>
      </c>
      <c r="E265" t="str">
        <f>"080065174183"</f>
        <v>080065174183</v>
      </c>
      <c r="F265" s="3">
        <v>45782</v>
      </c>
      <c r="G265">
        <v>202602</v>
      </c>
      <c r="H265" t="s">
        <v>75</v>
      </c>
      <c r="I265" t="s">
        <v>76</v>
      </c>
      <c r="J265" t="s">
        <v>77</v>
      </c>
      <c r="K265" t="s">
        <v>78</v>
      </c>
      <c r="L265" t="s">
        <v>75</v>
      </c>
      <c r="M265" t="s">
        <v>76</v>
      </c>
      <c r="N265" t="s">
        <v>390</v>
      </c>
      <c r="O265" t="s">
        <v>82</v>
      </c>
      <c r="P265" t="str">
        <f>"4170036944                    "</f>
        <v xml:space="preserve">4170036944                    </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17.27</v>
      </c>
      <c r="AR265">
        <v>0</v>
      </c>
      <c r="AS265">
        <v>0</v>
      </c>
      <c r="AT265">
        <v>0</v>
      </c>
      <c r="AU265">
        <v>0</v>
      </c>
      <c r="AV265">
        <v>0</v>
      </c>
      <c r="AW265">
        <v>0</v>
      </c>
      <c r="AX265">
        <v>0</v>
      </c>
      <c r="AY265">
        <v>0</v>
      </c>
      <c r="AZ265">
        <v>0</v>
      </c>
      <c r="BA265">
        <v>0</v>
      </c>
      <c r="BB265">
        <v>0</v>
      </c>
      <c r="BC265">
        <v>0</v>
      </c>
      <c r="BD265">
        <v>0</v>
      </c>
      <c r="BE265">
        <v>0</v>
      </c>
      <c r="BF265">
        <v>0</v>
      </c>
      <c r="BG265">
        <v>0</v>
      </c>
      <c r="BH265">
        <v>1</v>
      </c>
      <c r="BI265">
        <v>1</v>
      </c>
      <c r="BJ265">
        <v>1.4</v>
      </c>
      <c r="BK265">
        <v>2</v>
      </c>
      <c r="BL265">
        <v>55.23</v>
      </c>
      <c r="BM265">
        <v>8.2799999999999994</v>
      </c>
      <c r="BN265">
        <v>63.51</v>
      </c>
      <c r="BO265">
        <v>63.51</v>
      </c>
      <c r="BQ265" t="s">
        <v>391</v>
      </c>
      <c r="BR265" t="s">
        <v>84</v>
      </c>
      <c r="BS265" s="3">
        <v>45783</v>
      </c>
      <c r="BT265" s="4">
        <v>0.34791666666666665</v>
      </c>
      <c r="BU265" t="s">
        <v>799</v>
      </c>
      <c r="BV265" t="s">
        <v>86</v>
      </c>
      <c r="BY265">
        <v>7000</v>
      </c>
      <c r="CC265" t="s">
        <v>76</v>
      </c>
      <c r="CD265">
        <v>1600</v>
      </c>
      <c r="CE265" t="s">
        <v>116</v>
      </c>
      <c r="CF265" s="3">
        <v>45783</v>
      </c>
      <c r="CI265">
        <v>1</v>
      </c>
      <c r="CJ265">
        <v>1</v>
      </c>
      <c r="CK265">
        <v>22</v>
      </c>
      <c r="CL265" t="s">
        <v>89</v>
      </c>
    </row>
    <row r="266" spans="1:90" x14ac:dyDescent="0.3">
      <c r="A266" t="s">
        <v>72</v>
      </c>
      <c r="B266" t="s">
        <v>73</v>
      </c>
      <c r="C266" t="s">
        <v>74</v>
      </c>
      <c r="E266" t="str">
        <f>"080065174201"</f>
        <v>080065174201</v>
      </c>
      <c r="F266" s="3">
        <v>45782</v>
      </c>
      <c r="G266">
        <v>202602</v>
      </c>
      <c r="H266" t="s">
        <v>75</v>
      </c>
      <c r="I266" t="s">
        <v>76</v>
      </c>
      <c r="J266" t="s">
        <v>77</v>
      </c>
      <c r="K266" t="s">
        <v>78</v>
      </c>
      <c r="L266" t="s">
        <v>103</v>
      </c>
      <c r="M266" t="s">
        <v>104</v>
      </c>
      <c r="N266" t="s">
        <v>228</v>
      </c>
      <c r="O266" t="s">
        <v>82</v>
      </c>
      <c r="P266" t="str">
        <f>"4170036922                    "</f>
        <v xml:space="preserve">4170036922                    </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22.11</v>
      </c>
      <c r="AR266">
        <v>0</v>
      </c>
      <c r="AS266">
        <v>0</v>
      </c>
      <c r="AT266">
        <v>0</v>
      </c>
      <c r="AU266">
        <v>0</v>
      </c>
      <c r="AV266">
        <v>0</v>
      </c>
      <c r="AW266">
        <v>16.739999999999998</v>
      </c>
      <c r="AX266">
        <v>0</v>
      </c>
      <c r="AY266">
        <v>0</v>
      </c>
      <c r="AZ266">
        <v>0</v>
      </c>
      <c r="BA266">
        <v>0</v>
      </c>
      <c r="BB266">
        <v>0</v>
      </c>
      <c r="BC266">
        <v>0</v>
      </c>
      <c r="BD266">
        <v>0</v>
      </c>
      <c r="BE266">
        <v>0</v>
      </c>
      <c r="BF266">
        <v>0</v>
      </c>
      <c r="BG266">
        <v>0</v>
      </c>
      <c r="BH266">
        <v>1</v>
      </c>
      <c r="BI266">
        <v>1</v>
      </c>
      <c r="BJ266">
        <v>0.2</v>
      </c>
      <c r="BK266">
        <v>1</v>
      </c>
      <c r="BL266">
        <v>87.45</v>
      </c>
      <c r="BM266">
        <v>13.12</v>
      </c>
      <c r="BN266">
        <v>100.57</v>
      </c>
      <c r="BO266">
        <v>100.57</v>
      </c>
      <c r="BQ266" t="s">
        <v>229</v>
      </c>
      <c r="BR266" t="s">
        <v>84</v>
      </c>
      <c r="BS266" s="3">
        <v>45783</v>
      </c>
      <c r="BT266" s="4">
        <v>0.4201388888888889</v>
      </c>
      <c r="BU266" t="s">
        <v>800</v>
      </c>
      <c r="BV266" t="s">
        <v>86</v>
      </c>
      <c r="BY266">
        <v>1200</v>
      </c>
      <c r="BZ266" t="s">
        <v>30</v>
      </c>
      <c r="CC266" t="s">
        <v>104</v>
      </c>
      <c r="CD266">
        <v>3699</v>
      </c>
      <c r="CE266" t="s">
        <v>88</v>
      </c>
      <c r="CF266" s="3">
        <v>45784</v>
      </c>
      <c r="CI266">
        <v>1</v>
      </c>
      <c r="CJ266">
        <v>1</v>
      </c>
      <c r="CK266">
        <v>21</v>
      </c>
      <c r="CL266" t="s">
        <v>89</v>
      </c>
    </row>
    <row r="267" spans="1:90" x14ac:dyDescent="0.3">
      <c r="A267" t="s">
        <v>72</v>
      </c>
      <c r="B267" t="s">
        <v>73</v>
      </c>
      <c r="C267" t="s">
        <v>74</v>
      </c>
      <c r="E267" t="str">
        <f>"080065174222"</f>
        <v>080065174222</v>
      </c>
      <c r="F267" s="3">
        <v>45782</v>
      </c>
      <c r="G267">
        <v>202602</v>
      </c>
      <c r="H267" t="s">
        <v>75</v>
      </c>
      <c r="I267" t="s">
        <v>76</v>
      </c>
      <c r="J267" t="s">
        <v>77</v>
      </c>
      <c r="K267" t="s">
        <v>78</v>
      </c>
      <c r="L267" t="s">
        <v>350</v>
      </c>
      <c r="M267" t="s">
        <v>351</v>
      </c>
      <c r="N267" t="s">
        <v>459</v>
      </c>
      <c r="O267" t="s">
        <v>82</v>
      </c>
      <c r="P267" t="str">
        <f>"4170036941                    "</f>
        <v xml:space="preserve">4170036941                    </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22.11</v>
      </c>
      <c r="AR267">
        <v>0</v>
      </c>
      <c r="AS267">
        <v>0</v>
      </c>
      <c r="AT267">
        <v>0</v>
      </c>
      <c r="AU267">
        <v>0</v>
      </c>
      <c r="AV267">
        <v>0</v>
      </c>
      <c r="AW267">
        <v>0</v>
      </c>
      <c r="AX267">
        <v>0</v>
      </c>
      <c r="AY267">
        <v>0</v>
      </c>
      <c r="AZ267">
        <v>0</v>
      </c>
      <c r="BA267">
        <v>0</v>
      </c>
      <c r="BB267">
        <v>0</v>
      </c>
      <c r="BC267">
        <v>0</v>
      </c>
      <c r="BD267">
        <v>0</v>
      </c>
      <c r="BE267">
        <v>0</v>
      </c>
      <c r="BF267">
        <v>0</v>
      </c>
      <c r="BG267">
        <v>0</v>
      </c>
      <c r="BH267">
        <v>1</v>
      </c>
      <c r="BI267">
        <v>2</v>
      </c>
      <c r="BJ267">
        <v>1.1000000000000001</v>
      </c>
      <c r="BK267">
        <v>2</v>
      </c>
      <c r="BL267">
        <v>70.709999999999994</v>
      </c>
      <c r="BM267">
        <v>10.61</v>
      </c>
      <c r="BN267">
        <v>81.319999999999993</v>
      </c>
      <c r="BO267">
        <v>81.319999999999993</v>
      </c>
      <c r="BQ267" t="s">
        <v>460</v>
      </c>
      <c r="BR267" t="s">
        <v>84</v>
      </c>
      <c r="BS267" s="3">
        <v>45783</v>
      </c>
      <c r="BT267" s="4">
        <v>0.32361111111111113</v>
      </c>
      <c r="BU267" t="s">
        <v>801</v>
      </c>
      <c r="BV267" t="s">
        <v>86</v>
      </c>
      <c r="BY267">
        <v>5320</v>
      </c>
      <c r="CA267" t="s">
        <v>802</v>
      </c>
      <c r="CC267" t="s">
        <v>351</v>
      </c>
      <c r="CD267">
        <v>4051</v>
      </c>
      <c r="CE267" t="s">
        <v>116</v>
      </c>
      <c r="CF267" s="3">
        <v>45784</v>
      </c>
      <c r="CI267">
        <v>1</v>
      </c>
      <c r="CJ267">
        <v>1</v>
      </c>
      <c r="CK267">
        <v>21</v>
      </c>
      <c r="CL267" t="s">
        <v>89</v>
      </c>
    </row>
    <row r="268" spans="1:90" x14ac:dyDescent="0.3">
      <c r="A268" t="s">
        <v>72</v>
      </c>
      <c r="B268" t="s">
        <v>73</v>
      </c>
      <c r="C268" t="s">
        <v>74</v>
      </c>
      <c r="E268" t="str">
        <f>"080065174250"</f>
        <v>080065174250</v>
      </c>
      <c r="F268" s="3">
        <v>45782</v>
      </c>
      <c r="G268">
        <v>202602</v>
      </c>
      <c r="H268" t="s">
        <v>75</v>
      </c>
      <c r="I268" t="s">
        <v>76</v>
      </c>
      <c r="J268" t="s">
        <v>77</v>
      </c>
      <c r="K268" t="s">
        <v>78</v>
      </c>
      <c r="L268" t="s">
        <v>75</v>
      </c>
      <c r="M268" t="s">
        <v>76</v>
      </c>
      <c r="N268" t="s">
        <v>803</v>
      </c>
      <c r="O268" t="s">
        <v>82</v>
      </c>
      <c r="P268" t="str">
        <f>"4170036949                    "</f>
        <v xml:space="preserve">4170036949                    </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17.27</v>
      </c>
      <c r="AR268">
        <v>0</v>
      </c>
      <c r="AS268">
        <v>0</v>
      </c>
      <c r="AT268">
        <v>0</v>
      </c>
      <c r="AU268">
        <v>0</v>
      </c>
      <c r="AV268">
        <v>0</v>
      </c>
      <c r="AW268">
        <v>0</v>
      </c>
      <c r="AX268">
        <v>0</v>
      </c>
      <c r="AY268">
        <v>0</v>
      </c>
      <c r="AZ268">
        <v>0</v>
      </c>
      <c r="BA268">
        <v>0</v>
      </c>
      <c r="BB268">
        <v>0</v>
      </c>
      <c r="BC268">
        <v>0</v>
      </c>
      <c r="BD268">
        <v>0</v>
      </c>
      <c r="BE268">
        <v>0</v>
      </c>
      <c r="BF268">
        <v>0</v>
      </c>
      <c r="BG268">
        <v>0</v>
      </c>
      <c r="BH268">
        <v>1</v>
      </c>
      <c r="BI268">
        <v>1</v>
      </c>
      <c r="BJ268">
        <v>0.2</v>
      </c>
      <c r="BK268">
        <v>1</v>
      </c>
      <c r="BL268">
        <v>55.23</v>
      </c>
      <c r="BM268">
        <v>8.2799999999999994</v>
      </c>
      <c r="BN268">
        <v>63.51</v>
      </c>
      <c r="BO268">
        <v>63.51</v>
      </c>
      <c r="BQ268" t="s">
        <v>804</v>
      </c>
      <c r="BR268" t="s">
        <v>84</v>
      </c>
      <c r="BS268" s="3">
        <v>45783</v>
      </c>
      <c r="BT268" s="4">
        <v>0.39513888888888887</v>
      </c>
      <c r="BU268" t="s">
        <v>805</v>
      </c>
      <c r="BV268" t="s">
        <v>86</v>
      </c>
      <c r="BY268">
        <v>1200</v>
      </c>
      <c r="CA268" t="s">
        <v>806</v>
      </c>
      <c r="CC268" t="s">
        <v>76</v>
      </c>
      <c r="CD268">
        <v>1619</v>
      </c>
      <c r="CE268" t="s">
        <v>88</v>
      </c>
      <c r="CF268" s="3">
        <v>45783</v>
      </c>
      <c r="CI268">
        <v>1</v>
      </c>
      <c r="CJ268">
        <v>1</v>
      </c>
      <c r="CK268">
        <v>22</v>
      </c>
      <c r="CL268" t="s">
        <v>89</v>
      </c>
    </row>
    <row r="269" spans="1:90" x14ac:dyDescent="0.3">
      <c r="A269" t="s">
        <v>72</v>
      </c>
      <c r="B269" t="s">
        <v>73</v>
      </c>
      <c r="C269" t="s">
        <v>74</v>
      </c>
      <c r="E269" t="str">
        <f>"080065174295"</f>
        <v>080065174295</v>
      </c>
      <c r="F269" s="3">
        <v>45782</v>
      </c>
      <c r="G269">
        <v>202602</v>
      </c>
      <c r="H269" t="s">
        <v>75</v>
      </c>
      <c r="I269" t="s">
        <v>76</v>
      </c>
      <c r="J269" t="s">
        <v>77</v>
      </c>
      <c r="K269" t="s">
        <v>78</v>
      </c>
      <c r="L269" t="s">
        <v>79</v>
      </c>
      <c r="M269" t="s">
        <v>80</v>
      </c>
      <c r="N269" t="s">
        <v>452</v>
      </c>
      <c r="O269" t="s">
        <v>82</v>
      </c>
      <c r="P269" t="str">
        <f>"4170036905                    "</f>
        <v xml:space="preserve">4170036905                    </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22.11</v>
      </c>
      <c r="AR269">
        <v>0</v>
      </c>
      <c r="AS269">
        <v>0</v>
      </c>
      <c r="AT269">
        <v>0</v>
      </c>
      <c r="AU269">
        <v>0</v>
      </c>
      <c r="AV269">
        <v>0</v>
      </c>
      <c r="AW269">
        <v>0</v>
      </c>
      <c r="AX269">
        <v>0</v>
      </c>
      <c r="AY269">
        <v>0</v>
      </c>
      <c r="AZ269">
        <v>0</v>
      </c>
      <c r="BA269">
        <v>0</v>
      </c>
      <c r="BB269">
        <v>0</v>
      </c>
      <c r="BC269">
        <v>0</v>
      </c>
      <c r="BD269">
        <v>0</v>
      </c>
      <c r="BE269">
        <v>0</v>
      </c>
      <c r="BF269">
        <v>0</v>
      </c>
      <c r="BG269">
        <v>0</v>
      </c>
      <c r="BH269">
        <v>1</v>
      </c>
      <c r="BI269">
        <v>1</v>
      </c>
      <c r="BJ269">
        <v>0.2</v>
      </c>
      <c r="BK269">
        <v>1</v>
      </c>
      <c r="BL269">
        <v>70.709999999999994</v>
      </c>
      <c r="BM269">
        <v>10.61</v>
      </c>
      <c r="BN269">
        <v>81.319999999999993</v>
      </c>
      <c r="BO269">
        <v>81.319999999999993</v>
      </c>
      <c r="BQ269" t="s">
        <v>453</v>
      </c>
      <c r="BR269" t="s">
        <v>84</v>
      </c>
      <c r="BS269" s="3">
        <v>45783</v>
      </c>
      <c r="BT269" s="4">
        <v>0.4201388888888889</v>
      </c>
      <c r="BU269" t="s">
        <v>495</v>
      </c>
      <c r="BV269" t="s">
        <v>86</v>
      </c>
      <c r="BY269">
        <v>1200</v>
      </c>
      <c r="CA269" t="s">
        <v>160</v>
      </c>
      <c r="CC269" t="s">
        <v>80</v>
      </c>
      <c r="CD269">
        <v>3610</v>
      </c>
      <c r="CE269" t="s">
        <v>88</v>
      </c>
      <c r="CF269" s="3">
        <v>45784</v>
      </c>
      <c r="CI269">
        <v>1</v>
      </c>
      <c r="CJ269">
        <v>1</v>
      </c>
      <c r="CK269">
        <v>21</v>
      </c>
      <c r="CL269" t="s">
        <v>89</v>
      </c>
    </row>
    <row r="270" spans="1:90" x14ac:dyDescent="0.3">
      <c r="A270" t="s">
        <v>72</v>
      </c>
      <c r="B270" t="s">
        <v>73</v>
      </c>
      <c r="C270" t="s">
        <v>74</v>
      </c>
      <c r="E270" t="str">
        <f>"080065174328"</f>
        <v>080065174328</v>
      </c>
      <c r="F270" s="3">
        <v>45782</v>
      </c>
      <c r="G270">
        <v>202602</v>
      </c>
      <c r="H270" t="s">
        <v>75</v>
      </c>
      <c r="I270" t="s">
        <v>76</v>
      </c>
      <c r="J270" t="s">
        <v>77</v>
      </c>
      <c r="K270" t="s">
        <v>78</v>
      </c>
      <c r="L270" t="s">
        <v>130</v>
      </c>
      <c r="M270" t="s">
        <v>131</v>
      </c>
      <c r="N270" t="s">
        <v>807</v>
      </c>
      <c r="O270" t="s">
        <v>82</v>
      </c>
      <c r="P270" t="str">
        <f>"4170036906                    "</f>
        <v xml:space="preserve">4170036906                    </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22.11</v>
      </c>
      <c r="AR270">
        <v>0</v>
      </c>
      <c r="AS270">
        <v>0</v>
      </c>
      <c r="AT270">
        <v>0</v>
      </c>
      <c r="AU270">
        <v>0</v>
      </c>
      <c r="AV270">
        <v>0</v>
      </c>
      <c r="AW270">
        <v>0</v>
      </c>
      <c r="AX270">
        <v>0</v>
      </c>
      <c r="AY270">
        <v>0</v>
      </c>
      <c r="AZ270">
        <v>0</v>
      </c>
      <c r="BA270">
        <v>0</v>
      </c>
      <c r="BB270">
        <v>0</v>
      </c>
      <c r="BC270">
        <v>0</v>
      </c>
      <c r="BD270">
        <v>0</v>
      </c>
      <c r="BE270">
        <v>0</v>
      </c>
      <c r="BF270">
        <v>0</v>
      </c>
      <c r="BG270">
        <v>0</v>
      </c>
      <c r="BH270">
        <v>1</v>
      </c>
      <c r="BI270">
        <v>1</v>
      </c>
      <c r="BJ270">
        <v>0.2</v>
      </c>
      <c r="BK270">
        <v>1</v>
      </c>
      <c r="BL270">
        <v>70.709999999999994</v>
      </c>
      <c r="BM270">
        <v>10.61</v>
      </c>
      <c r="BN270">
        <v>81.319999999999993</v>
      </c>
      <c r="BO270">
        <v>81.319999999999993</v>
      </c>
      <c r="BQ270" t="s">
        <v>808</v>
      </c>
      <c r="BR270" t="s">
        <v>84</v>
      </c>
      <c r="BS270" s="3">
        <v>45784</v>
      </c>
      <c r="BT270" s="4">
        <v>0.36666666666666664</v>
      </c>
      <c r="BU270" t="s">
        <v>809</v>
      </c>
      <c r="BV270" t="s">
        <v>89</v>
      </c>
      <c r="BW270" t="s">
        <v>340</v>
      </c>
      <c r="BX270" t="s">
        <v>618</v>
      </c>
      <c r="BY270">
        <v>1200</v>
      </c>
      <c r="CA270" t="s">
        <v>330</v>
      </c>
      <c r="CC270" t="s">
        <v>131</v>
      </c>
      <c r="CD270">
        <v>7460</v>
      </c>
      <c r="CE270" t="s">
        <v>88</v>
      </c>
      <c r="CF270" s="3">
        <v>45785</v>
      </c>
      <c r="CI270">
        <v>1</v>
      </c>
      <c r="CJ270">
        <v>2</v>
      </c>
      <c r="CK270">
        <v>21</v>
      </c>
      <c r="CL270" t="s">
        <v>89</v>
      </c>
    </row>
    <row r="271" spans="1:90" x14ac:dyDescent="0.3">
      <c r="A271" t="s">
        <v>72</v>
      </c>
      <c r="B271" t="s">
        <v>73</v>
      </c>
      <c r="C271" t="s">
        <v>74</v>
      </c>
      <c r="E271" t="str">
        <f>"080065174610"</f>
        <v>080065174610</v>
      </c>
      <c r="F271" s="3">
        <v>45782</v>
      </c>
      <c r="G271">
        <v>202602</v>
      </c>
      <c r="H271" t="s">
        <v>75</v>
      </c>
      <c r="I271" t="s">
        <v>76</v>
      </c>
      <c r="J271" t="s">
        <v>77</v>
      </c>
      <c r="K271" t="s">
        <v>78</v>
      </c>
      <c r="L271" t="s">
        <v>810</v>
      </c>
      <c r="M271" t="s">
        <v>811</v>
      </c>
      <c r="N271" t="s">
        <v>812</v>
      </c>
      <c r="O271" t="s">
        <v>82</v>
      </c>
      <c r="P271" t="str">
        <f>"4170036963                    "</f>
        <v xml:space="preserve">4170036963                    </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42.84</v>
      </c>
      <c r="AR271">
        <v>0</v>
      </c>
      <c r="AS271">
        <v>0</v>
      </c>
      <c r="AT271">
        <v>0</v>
      </c>
      <c r="AU271">
        <v>0</v>
      </c>
      <c r="AV271">
        <v>0</v>
      </c>
      <c r="AW271">
        <v>0</v>
      </c>
      <c r="AX271">
        <v>0</v>
      </c>
      <c r="AY271">
        <v>0</v>
      </c>
      <c r="AZ271">
        <v>0</v>
      </c>
      <c r="BA271">
        <v>0</v>
      </c>
      <c r="BB271">
        <v>0</v>
      </c>
      <c r="BC271">
        <v>0</v>
      </c>
      <c r="BD271">
        <v>0</v>
      </c>
      <c r="BE271">
        <v>0</v>
      </c>
      <c r="BF271">
        <v>0</v>
      </c>
      <c r="BG271">
        <v>0</v>
      </c>
      <c r="BH271">
        <v>1</v>
      </c>
      <c r="BI271">
        <v>2</v>
      </c>
      <c r="BJ271">
        <v>1.4</v>
      </c>
      <c r="BK271">
        <v>2</v>
      </c>
      <c r="BL271">
        <v>137</v>
      </c>
      <c r="BM271">
        <v>20.55</v>
      </c>
      <c r="BN271">
        <v>157.55000000000001</v>
      </c>
      <c r="BO271">
        <v>157.55000000000001</v>
      </c>
      <c r="BQ271" t="s">
        <v>813</v>
      </c>
      <c r="BR271" t="s">
        <v>84</v>
      </c>
      <c r="BS271" s="3">
        <v>45784</v>
      </c>
      <c r="BT271" s="4">
        <v>0.36736111111111114</v>
      </c>
      <c r="BU271" t="s">
        <v>814</v>
      </c>
      <c r="BV271" t="s">
        <v>89</v>
      </c>
      <c r="BW271" t="s">
        <v>340</v>
      </c>
      <c r="BX271" t="s">
        <v>596</v>
      </c>
      <c r="BY271">
        <v>7000</v>
      </c>
      <c r="CA271" t="s">
        <v>815</v>
      </c>
      <c r="CC271" t="s">
        <v>811</v>
      </c>
      <c r="CD271">
        <v>7110</v>
      </c>
      <c r="CE271" t="s">
        <v>116</v>
      </c>
      <c r="CF271" s="3">
        <v>45785</v>
      </c>
      <c r="CI271">
        <v>1</v>
      </c>
      <c r="CJ271">
        <v>2</v>
      </c>
      <c r="CK271">
        <v>23</v>
      </c>
      <c r="CL271" t="s">
        <v>89</v>
      </c>
    </row>
    <row r="272" spans="1:90" x14ac:dyDescent="0.3">
      <c r="A272" t="s">
        <v>72</v>
      </c>
      <c r="B272" t="s">
        <v>73</v>
      </c>
      <c r="C272" t="s">
        <v>74</v>
      </c>
      <c r="E272" t="str">
        <f>"080065127890"</f>
        <v>080065127890</v>
      </c>
      <c r="F272" s="3">
        <v>45779</v>
      </c>
      <c r="G272">
        <v>202602</v>
      </c>
      <c r="H272" t="s">
        <v>75</v>
      </c>
      <c r="I272" t="s">
        <v>76</v>
      </c>
      <c r="J272" t="s">
        <v>77</v>
      </c>
      <c r="K272" t="s">
        <v>78</v>
      </c>
      <c r="L272" t="s">
        <v>816</v>
      </c>
      <c r="M272" t="s">
        <v>817</v>
      </c>
      <c r="N272" t="s">
        <v>818</v>
      </c>
      <c r="O272" t="s">
        <v>82</v>
      </c>
      <c r="P272" t="str">
        <f>"4170036714                    "</f>
        <v xml:space="preserve">4170036714                    </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42.84</v>
      </c>
      <c r="AR272">
        <v>0</v>
      </c>
      <c r="AS272">
        <v>0</v>
      </c>
      <c r="AT272">
        <v>0</v>
      </c>
      <c r="AU272">
        <v>0</v>
      </c>
      <c r="AV272">
        <v>0</v>
      </c>
      <c r="AW272">
        <v>0</v>
      </c>
      <c r="AX272">
        <v>0</v>
      </c>
      <c r="AY272">
        <v>0</v>
      </c>
      <c r="AZ272">
        <v>0</v>
      </c>
      <c r="BA272">
        <v>0</v>
      </c>
      <c r="BB272">
        <v>0</v>
      </c>
      <c r="BC272">
        <v>0</v>
      </c>
      <c r="BD272">
        <v>0</v>
      </c>
      <c r="BE272">
        <v>0</v>
      </c>
      <c r="BF272">
        <v>0</v>
      </c>
      <c r="BG272">
        <v>0</v>
      </c>
      <c r="BH272">
        <v>1</v>
      </c>
      <c r="BI272">
        <v>1</v>
      </c>
      <c r="BJ272">
        <v>0.2</v>
      </c>
      <c r="BK272">
        <v>1</v>
      </c>
      <c r="BL272">
        <v>137</v>
      </c>
      <c r="BM272">
        <v>20.55</v>
      </c>
      <c r="BN272">
        <v>157.55000000000001</v>
      </c>
      <c r="BO272">
        <v>157.55000000000001</v>
      </c>
      <c r="BQ272" t="s">
        <v>819</v>
      </c>
      <c r="BR272" t="s">
        <v>84</v>
      </c>
      <c r="BS272" s="3">
        <v>45782</v>
      </c>
      <c r="BT272" s="4">
        <v>0.41180555555555554</v>
      </c>
      <c r="BU272" t="s">
        <v>820</v>
      </c>
      <c r="BV272" t="s">
        <v>86</v>
      </c>
      <c r="BY272">
        <v>1200</v>
      </c>
      <c r="BZ272" t="s">
        <v>127</v>
      </c>
      <c r="CA272" t="s">
        <v>821</v>
      </c>
      <c r="CC272" t="s">
        <v>817</v>
      </c>
      <c r="CD272">
        <v>2571</v>
      </c>
      <c r="CE272" t="s">
        <v>88</v>
      </c>
      <c r="CF272" s="3">
        <v>45783</v>
      </c>
      <c r="CI272">
        <v>1</v>
      </c>
      <c r="CJ272">
        <v>1</v>
      </c>
      <c r="CK272">
        <v>23</v>
      </c>
      <c r="CL272" t="s">
        <v>89</v>
      </c>
    </row>
    <row r="273" spans="1:90" x14ac:dyDescent="0.3">
      <c r="A273" t="s">
        <v>72</v>
      </c>
      <c r="B273" t="s">
        <v>73</v>
      </c>
      <c r="C273" t="s">
        <v>74</v>
      </c>
      <c r="E273" t="str">
        <f>"080065127907"</f>
        <v>080065127907</v>
      </c>
      <c r="F273" s="3">
        <v>45779</v>
      </c>
      <c r="G273">
        <v>202602</v>
      </c>
      <c r="H273" t="s">
        <v>75</v>
      </c>
      <c r="I273" t="s">
        <v>76</v>
      </c>
      <c r="J273" t="s">
        <v>77</v>
      </c>
      <c r="K273" t="s">
        <v>78</v>
      </c>
      <c r="L273" t="s">
        <v>136</v>
      </c>
      <c r="M273" t="s">
        <v>137</v>
      </c>
      <c r="N273" t="s">
        <v>250</v>
      </c>
      <c r="O273" t="s">
        <v>82</v>
      </c>
      <c r="P273" t="str">
        <f>"4170036685                    "</f>
        <v xml:space="preserve">4170036685                    </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22.11</v>
      </c>
      <c r="AR273">
        <v>0</v>
      </c>
      <c r="AS273">
        <v>0</v>
      </c>
      <c r="AT273">
        <v>0</v>
      </c>
      <c r="AU273">
        <v>0</v>
      </c>
      <c r="AV273">
        <v>0</v>
      </c>
      <c r="AW273">
        <v>0</v>
      </c>
      <c r="AX273">
        <v>0</v>
      </c>
      <c r="AY273">
        <v>0</v>
      </c>
      <c r="AZ273">
        <v>0</v>
      </c>
      <c r="BA273">
        <v>0</v>
      </c>
      <c r="BB273">
        <v>0</v>
      </c>
      <c r="BC273">
        <v>0</v>
      </c>
      <c r="BD273">
        <v>0</v>
      </c>
      <c r="BE273">
        <v>0</v>
      </c>
      <c r="BF273">
        <v>0</v>
      </c>
      <c r="BG273">
        <v>0</v>
      </c>
      <c r="BH273">
        <v>1</v>
      </c>
      <c r="BI273">
        <v>1</v>
      </c>
      <c r="BJ273">
        <v>0.2</v>
      </c>
      <c r="BK273">
        <v>1</v>
      </c>
      <c r="BL273">
        <v>70.709999999999994</v>
      </c>
      <c r="BM273">
        <v>10.61</v>
      </c>
      <c r="BN273">
        <v>81.319999999999993</v>
      </c>
      <c r="BO273">
        <v>81.319999999999993</v>
      </c>
      <c r="BQ273" t="s">
        <v>251</v>
      </c>
      <c r="BR273" t="s">
        <v>84</v>
      </c>
      <c r="BS273" s="3">
        <v>45782</v>
      </c>
      <c r="BT273" s="4">
        <v>0.43541666666666667</v>
      </c>
      <c r="BU273" t="s">
        <v>252</v>
      </c>
      <c r="BV273" t="s">
        <v>86</v>
      </c>
      <c r="BY273">
        <v>1200</v>
      </c>
      <c r="BZ273" t="s">
        <v>127</v>
      </c>
      <c r="CA273" t="s">
        <v>253</v>
      </c>
      <c r="CC273" t="s">
        <v>137</v>
      </c>
      <c r="CD273" s="5" t="s">
        <v>254</v>
      </c>
      <c r="CE273" t="s">
        <v>88</v>
      </c>
      <c r="CF273" s="3">
        <v>45782</v>
      </c>
      <c r="CI273">
        <v>1</v>
      </c>
      <c r="CJ273">
        <v>1</v>
      </c>
      <c r="CK273">
        <v>21</v>
      </c>
      <c r="CL273" t="s">
        <v>89</v>
      </c>
    </row>
    <row r="274" spans="1:90" x14ac:dyDescent="0.3">
      <c r="A274" t="s">
        <v>72</v>
      </c>
      <c r="B274" t="s">
        <v>73</v>
      </c>
      <c r="C274" t="s">
        <v>74</v>
      </c>
      <c r="E274" t="str">
        <f>"080065174649"</f>
        <v>080065174649</v>
      </c>
      <c r="F274" s="3">
        <v>45782</v>
      </c>
      <c r="G274">
        <v>202602</v>
      </c>
      <c r="H274" t="s">
        <v>75</v>
      </c>
      <c r="I274" t="s">
        <v>76</v>
      </c>
      <c r="J274" t="s">
        <v>77</v>
      </c>
      <c r="K274" t="s">
        <v>78</v>
      </c>
      <c r="L274" t="s">
        <v>75</v>
      </c>
      <c r="M274" t="s">
        <v>76</v>
      </c>
      <c r="N274" t="s">
        <v>822</v>
      </c>
      <c r="O274" t="s">
        <v>602</v>
      </c>
      <c r="P274" t="str">
        <f>"4170036851                    "</f>
        <v xml:space="preserve">4170036851                    </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21.15</v>
      </c>
      <c r="AR274">
        <v>0</v>
      </c>
      <c r="AS274">
        <v>0</v>
      </c>
      <c r="AT274">
        <v>0</v>
      </c>
      <c r="AU274">
        <v>0</v>
      </c>
      <c r="AV274">
        <v>0</v>
      </c>
      <c r="AW274">
        <v>0</v>
      </c>
      <c r="AX274">
        <v>0</v>
      </c>
      <c r="AY274">
        <v>0</v>
      </c>
      <c r="AZ274">
        <v>0</v>
      </c>
      <c r="BA274">
        <v>0</v>
      </c>
      <c r="BB274">
        <v>0</v>
      </c>
      <c r="BC274">
        <v>0</v>
      </c>
      <c r="BD274">
        <v>0</v>
      </c>
      <c r="BE274">
        <v>0</v>
      </c>
      <c r="BF274">
        <v>0</v>
      </c>
      <c r="BG274">
        <v>0</v>
      </c>
      <c r="BH274">
        <v>1</v>
      </c>
      <c r="BI274">
        <v>10</v>
      </c>
      <c r="BJ274">
        <v>5</v>
      </c>
      <c r="BK274">
        <v>10</v>
      </c>
      <c r="BL274">
        <v>67.64</v>
      </c>
      <c r="BM274">
        <v>10.15</v>
      </c>
      <c r="BN274">
        <v>77.790000000000006</v>
      </c>
      <c r="BO274">
        <v>77.790000000000006</v>
      </c>
      <c r="BQ274" t="s">
        <v>823</v>
      </c>
      <c r="BR274" t="s">
        <v>84</v>
      </c>
      <c r="BS274" s="3">
        <v>45783</v>
      </c>
      <c r="BT274" s="4">
        <v>0.39930555555555558</v>
      </c>
      <c r="BU274" t="s">
        <v>671</v>
      </c>
      <c r="BV274" t="s">
        <v>86</v>
      </c>
      <c r="BY274">
        <v>25088</v>
      </c>
      <c r="CA274" t="s">
        <v>150</v>
      </c>
      <c r="CC274" t="s">
        <v>76</v>
      </c>
      <c r="CD274">
        <v>1614</v>
      </c>
      <c r="CE274" t="s">
        <v>221</v>
      </c>
      <c r="CF274" s="3">
        <v>45783</v>
      </c>
      <c r="CI274">
        <v>1</v>
      </c>
      <c r="CJ274">
        <v>1</v>
      </c>
      <c r="CK274">
        <v>32</v>
      </c>
      <c r="CL274" t="s">
        <v>89</v>
      </c>
    </row>
    <row r="275" spans="1:90" x14ac:dyDescent="0.3">
      <c r="A275" t="s">
        <v>72</v>
      </c>
      <c r="B275" t="s">
        <v>73</v>
      </c>
      <c r="C275" t="s">
        <v>74</v>
      </c>
      <c r="E275" t="str">
        <f>"080065174684"</f>
        <v>080065174684</v>
      </c>
      <c r="F275" s="3">
        <v>45782</v>
      </c>
      <c r="G275">
        <v>202602</v>
      </c>
      <c r="H275" t="s">
        <v>75</v>
      </c>
      <c r="I275" t="s">
        <v>76</v>
      </c>
      <c r="J275" t="s">
        <v>77</v>
      </c>
      <c r="K275" t="s">
        <v>78</v>
      </c>
      <c r="L275" t="s">
        <v>90</v>
      </c>
      <c r="M275" t="s">
        <v>91</v>
      </c>
      <c r="N275" t="s">
        <v>371</v>
      </c>
      <c r="O275" t="s">
        <v>300</v>
      </c>
      <c r="P275" t="str">
        <f>"4170036889                    "</f>
        <v xml:space="preserve">4170036889                    </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72.77</v>
      </c>
      <c r="AR275">
        <v>0</v>
      </c>
      <c r="AS275">
        <v>0</v>
      </c>
      <c r="AT275">
        <v>0</v>
      </c>
      <c r="AU275">
        <v>0</v>
      </c>
      <c r="AV275">
        <v>0</v>
      </c>
      <c r="AW275">
        <v>0</v>
      </c>
      <c r="AX275">
        <v>0</v>
      </c>
      <c r="AY275">
        <v>0</v>
      </c>
      <c r="AZ275">
        <v>0</v>
      </c>
      <c r="BA275">
        <v>0</v>
      </c>
      <c r="BB275">
        <v>0</v>
      </c>
      <c r="BC275">
        <v>0</v>
      </c>
      <c r="BD275">
        <v>0</v>
      </c>
      <c r="BE275">
        <v>0</v>
      </c>
      <c r="BF275">
        <v>0</v>
      </c>
      <c r="BG275">
        <v>0</v>
      </c>
      <c r="BH275">
        <v>1</v>
      </c>
      <c r="BI275">
        <v>15</v>
      </c>
      <c r="BJ275">
        <v>32</v>
      </c>
      <c r="BK275">
        <v>32</v>
      </c>
      <c r="BL275">
        <v>238.28</v>
      </c>
      <c r="BM275">
        <v>35.74</v>
      </c>
      <c r="BN275">
        <v>274.02</v>
      </c>
      <c r="BO275">
        <v>274.02</v>
      </c>
      <c r="BQ275" t="s">
        <v>372</v>
      </c>
      <c r="BR275" t="s">
        <v>84</v>
      </c>
      <c r="BS275" s="3">
        <v>45785</v>
      </c>
      <c r="BT275" s="4">
        <v>0.41666666666666669</v>
      </c>
      <c r="BU275" t="s">
        <v>373</v>
      </c>
      <c r="BV275" t="s">
        <v>86</v>
      </c>
      <c r="BY275">
        <v>160080</v>
      </c>
      <c r="CA275" t="s">
        <v>824</v>
      </c>
      <c r="CC275" t="s">
        <v>91</v>
      </c>
      <c r="CD275">
        <v>6001</v>
      </c>
      <c r="CE275" t="s">
        <v>96</v>
      </c>
      <c r="CF275" s="3">
        <v>45785</v>
      </c>
      <c r="CI275">
        <v>3</v>
      </c>
      <c r="CJ275">
        <v>3</v>
      </c>
      <c r="CK275">
        <v>41</v>
      </c>
      <c r="CL275" t="s">
        <v>89</v>
      </c>
    </row>
    <row r="276" spans="1:90" x14ac:dyDescent="0.3">
      <c r="A276" t="s">
        <v>72</v>
      </c>
      <c r="B276" t="s">
        <v>73</v>
      </c>
      <c r="C276" t="s">
        <v>74</v>
      </c>
      <c r="E276" t="str">
        <f>"080065174717"</f>
        <v>080065174717</v>
      </c>
      <c r="F276" s="3">
        <v>45782</v>
      </c>
      <c r="G276">
        <v>202602</v>
      </c>
      <c r="H276" t="s">
        <v>75</v>
      </c>
      <c r="I276" t="s">
        <v>76</v>
      </c>
      <c r="J276" t="s">
        <v>77</v>
      </c>
      <c r="K276" t="s">
        <v>78</v>
      </c>
      <c r="L276" t="s">
        <v>123</v>
      </c>
      <c r="M276" t="s">
        <v>123</v>
      </c>
      <c r="N276" t="s">
        <v>766</v>
      </c>
      <c r="O276" t="s">
        <v>82</v>
      </c>
      <c r="P276" t="str">
        <f>"4170036946                    "</f>
        <v xml:space="preserve">4170036946                    </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42.84</v>
      </c>
      <c r="AR276">
        <v>0</v>
      </c>
      <c r="AS276">
        <v>0</v>
      </c>
      <c r="AT276">
        <v>0</v>
      </c>
      <c r="AU276">
        <v>0</v>
      </c>
      <c r="AV276">
        <v>0</v>
      </c>
      <c r="AW276">
        <v>0</v>
      </c>
      <c r="AX276">
        <v>0</v>
      </c>
      <c r="AY276">
        <v>0</v>
      </c>
      <c r="AZ276">
        <v>0</v>
      </c>
      <c r="BA276">
        <v>0</v>
      </c>
      <c r="BB276">
        <v>0</v>
      </c>
      <c r="BC276">
        <v>0</v>
      </c>
      <c r="BD276">
        <v>0</v>
      </c>
      <c r="BE276">
        <v>0</v>
      </c>
      <c r="BF276">
        <v>0</v>
      </c>
      <c r="BG276">
        <v>0</v>
      </c>
      <c r="BH276">
        <v>1</v>
      </c>
      <c r="BI276">
        <v>2</v>
      </c>
      <c r="BJ276">
        <v>1.4</v>
      </c>
      <c r="BK276">
        <v>2</v>
      </c>
      <c r="BL276">
        <v>137</v>
      </c>
      <c r="BM276">
        <v>20.55</v>
      </c>
      <c r="BN276">
        <v>157.55000000000001</v>
      </c>
      <c r="BO276">
        <v>157.55000000000001</v>
      </c>
      <c r="BQ276" t="s">
        <v>767</v>
      </c>
      <c r="BR276" t="s">
        <v>84</v>
      </c>
      <c r="BS276" s="3">
        <v>45784</v>
      </c>
      <c r="BT276" s="4">
        <v>0.53472222222222221</v>
      </c>
      <c r="BU276" t="s">
        <v>768</v>
      </c>
      <c r="BV276" t="s">
        <v>89</v>
      </c>
      <c r="BY276">
        <v>7000</v>
      </c>
      <c r="CA276" t="s">
        <v>128</v>
      </c>
      <c r="CC276" t="s">
        <v>123</v>
      </c>
      <c r="CD276">
        <v>7646</v>
      </c>
      <c r="CE276" t="s">
        <v>116</v>
      </c>
      <c r="CF276" s="3">
        <v>45785</v>
      </c>
      <c r="CI276">
        <v>1</v>
      </c>
      <c r="CJ276">
        <v>2</v>
      </c>
      <c r="CK276">
        <v>23</v>
      </c>
      <c r="CL276" t="s">
        <v>89</v>
      </c>
    </row>
    <row r="277" spans="1:90" x14ac:dyDescent="0.3">
      <c r="A277" t="s">
        <v>72</v>
      </c>
      <c r="B277" t="s">
        <v>73</v>
      </c>
      <c r="C277" t="s">
        <v>74</v>
      </c>
      <c r="E277" t="str">
        <f>"080065174785"</f>
        <v>080065174785</v>
      </c>
      <c r="F277" s="3">
        <v>45782</v>
      </c>
      <c r="G277">
        <v>202602</v>
      </c>
      <c r="H277" t="s">
        <v>75</v>
      </c>
      <c r="I277" t="s">
        <v>76</v>
      </c>
      <c r="J277" t="s">
        <v>77</v>
      </c>
      <c r="K277" t="s">
        <v>78</v>
      </c>
      <c r="L277" t="s">
        <v>143</v>
      </c>
      <c r="M277" t="s">
        <v>144</v>
      </c>
      <c r="N277" t="s">
        <v>547</v>
      </c>
      <c r="O277" t="s">
        <v>82</v>
      </c>
      <c r="P277" t="str">
        <f>"4170036940                    "</f>
        <v xml:space="preserve">4170036940                    </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17.27</v>
      </c>
      <c r="AR277">
        <v>0</v>
      </c>
      <c r="AS277">
        <v>0</v>
      </c>
      <c r="AT277">
        <v>0</v>
      </c>
      <c r="AU277">
        <v>0</v>
      </c>
      <c r="AV277">
        <v>0</v>
      </c>
      <c r="AW277">
        <v>0</v>
      </c>
      <c r="AX277">
        <v>0</v>
      </c>
      <c r="AY277">
        <v>0</v>
      </c>
      <c r="AZ277">
        <v>0</v>
      </c>
      <c r="BA277">
        <v>0</v>
      </c>
      <c r="BB277">
        <v>0</v>
      </c>
      <c r="BC277">
        <v>0</v>
      </c>
      <c r="BD277">
        <v>0</v>
      </c>
      <c r="BE277">
        <v>0</v>
      </c>
      <c r="BF277">
        <v>0</v>
      </c>
      <c r="BG277">
        <v>0</v>
      </c>
      <c r="BH277">
        <v>1</v>
      </c>
      <c r="BI277">
        <v>1</v>
      </c>
      <c r="BJ277">
        <v>1.1000000000000001</v>
      </c>
      <c r="BK277">
        <v>2</v>
      </c>
      <c r="BL277">
        <v>55.23</v>
      </c>
      <c r="BM277">
        <v>8.2799999999999994</v>
      </c>
      <c r="BN277">
        <v>63.51</v>
      </c>
      <c r="BO277">
        <v>63.51</v>
      </c>
      <c r="BQ277" t="s">
        <v>548</v>
      </c>
      <c r="BR277" t="s">
        <v>84</v>
      </c>
      <c r="BS277" s="3">
        <v>45783</v>
      </c>
      <c r="BT277" s="4">
        <v>0.39166666666666666</v>
      </c>
      <c r="BU277" t="s">
        <v>407</v>
      </c>
      <c r="BV277" t="s">
        <v>86</v>
      </c>
      <c r="BY277">
        <v>5320</v>
      </c>
      <c r="CA277" t="s">
        <v>825</v>
      </c>
      <c r="CC277" t="s">
        <v>144</v>
      </c>
      <c r="CD277">
        <v>1401</v>
      </c>
      <c r="CE277" t="s">
        <v>116</v>
      </c>
      <c r="CF277" s="3">
        <v>45783</v>
      </c>
      <c r="CI277">
        <v>1</v>
      </c>
      <c r="CJ277">
        <v>1</v>
      </c>
      <c r="CK277">
        <v>22</v>
      </c>
      <c r="CL277" t="s">
        <v>89</v>
      </c>
    </row>
    <row r="278" spans="1:90" x14ac:dyDescent="0.3">
      <c r="A278" t="s">
        <v>72</v>
      </c>
      <c r="B278" t="s">
        <v>73</v>
      </c>
      <c r="C278" t="s">
        <v>74</v>
      </c>
      <c r="E278" t="str">
        <f>"080065174848"</f>
        <v>080065174848</v>
      </c>
      <c r="F278" s="3">
        <v>45782</v>
      </c>
      <c r="G278">
        <v>202602</v>
      </c>
      <c r="H278" t="s">
        <v>75</v>
      </c>
      <c r="I278" t="s">
        <v>76</v>
      </c>
      <c r="J278" t="s">
        <v>77</v>
      </c>
      <c r="K278" t="s">
        <v>78</v>
      </c>
      <c r="L278" t="s">
        <v>526</v>
      </c>
      <c r="M278" t="s">
        <v>527</v>
      </c>
      <c r="N278" t="s">
        <v>826</v>
      </c>
      <c r="O278" t="s">
        <v>82</v>
      </c>
      <c r="P278" t="str">
        <f>"4170036962                    "</f>
        <v xml:space="preserve">4170036962                    </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31.1</v>
      </c>
      <c r="AR278">
        <v>0</v>
      </c>
      <c r="AS278">
        <v>0</v>
      </c>
      <c r="AT278">
        <v>0</v>
      </c>
      <c r="AU278">
        <v>0</v>
      </c>
      <c r="AV278">
        <v>0</v>
      </c>
      <c r="AW278">
        <v>0</v>
      </c>
      <c r="AX278">
        <v>0</v>
      </c>
      <c r="AY278">
        <v>0</v>
      </c>
      <c r="AZ278">
        <v>0</v>
      </c>
      <c r="BA278">
        <v>0</v>
      </c>
      <c r="BB278">
        <v>0</v>
      </c>
      <c r="BC278">
        <v>0</v>
      </c>
      <c r="BD278">
        <v>0</v>
      </c>
      <c r="BE278">
        <v>0</v>
      </c>
      <c r="BF278">
        <v>0</v>
      </c>
      <c r="BG278">
        <v>0</v>
      </c>
      <c r="BH278">
        <v>1</v>
      </c>
      <c r="BI278">
        <v>1</v>
      </c>
      <c r="BJ278">
        <v>1.4</v>
      </c>
      <c r="BK278">
        <v>1.5</v>
      </c>
      <c r="BL278">
        <v>99.45</v>
      </c>
      <c r="BM278">
        <v>14.92</v>
      </c>
      <c r="BN278">
        <v>114.37</v>
      </c>
      <c r="BO278">
        <v>114.37</v>
      </c>
      <c r="BQ278" t="s">
        <v>827</v>
      </c>
      <c r="BR278" t="s">
        <v>84</v>
      </c>
      <c r="BS278" s="3">
        <v>45783</v>
      </c>
      <c r="BT278" s="4">
        <v>0.51944444444444449</v>
      </c>
      <c r="BU278" t="s">
        <v>828</v>
      </c>
      <c r="BV278" t="s">
        <v>86</v>
      </c>
      <c r="BY278">
        <v>7000</v>
      </c>
      <c r="CA278" t="s">
        <v>829</v>
      </c>
      <c r="CC278" t="s">
        <v>527</v>
      </c>
      <c r="CD278">
        <v>1759</v>
      </c>
      <c r="CE278" t="s">
        <v>116</v>
      </c>
      <c r="CF278" s="3">
        <v>45784</v>
      </c>
      <c r="CI278">
        <v>1</v>
      </c>
      <c r="CJ278">
        <v>1</v>
      </c>
      <c r="CK278">
        <v>24</v>
      </c>
      <c r="CL278" t="s">
        <v>89</v>
      </c>
    </row>
    <row r="279" spans="1:90" x14ac:dyDescent="0.3">
      <c r="A279" t="s">
        <v>72</v>
      </c>
      <c r="B279" t="s">
        <v>73</v>
      </c>
      <c r="C279" t="s">
        <v>74</v>
      </c>
      <c r="E279" t="str">
        <f>"080065174892"</f>
        <v>080065174892</v>
      </c>
      <c r="F279" s="3">
        <v>45782</v>
      </c>
      <c r="G279">
        <v>202602</v>
      </c>
      <c r="H279" t="s">
        <v>75</v>
      </c>
      <c r="I279" t="s">
        <v>76</v>
      </c>
      <c r="J279" t="s">
        <v>77</v>
      </c>
      <c r="K279" t="s">
        <v>78</v>
      </c>
      <c r="L279" t="s">
        <v>79</v>
      </c>
      <c r="M279" t="s">
        <v>80</v>
      </c>
      <c r="N279" t="s">
        <v>830</v>
      </c>
      <c r="O279" t="s">
        <v>82</v>
      </c>
      <c r="P279" t="str">
        <f>"4170036965                    "</f>
        <v xml:space="preserve">4170036965                    </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22.11</v>
      </c>
      <c r="AR279">
        <v>0</v>
      </c>
      <c r="AS279">
        <v>0</v>
      </c>
      <c r="AT279">
        <v>0</v>
      </c>
      <c r="AU279">
        <v>0</v>
      </c>
      <c r="AV279">
        <v>0</v>
      </c>
      <c r="AW279">
        <v>0</v>
      </c>
      <c r="AX279">
        <v>0</v>
      </c>
      <c r="AY279">
        <v>0</v>
      </c>
      <c r="AZ279">
        <v>0</v>
      </c>
      <c r="BA279">
        <v>0</v>
      </c>
      <c r="BB279">
        <v>0</v>
      </c>
      <c r="BC279">
        <v>0</v>
      </c>
      <c r="BD279">
        <v>0</v>
      </c>
      <c r="BE279">
        <v>0</v>
      </c>
      <c r="BF279">
        <v>0</v>
      </c>
      <c r="BG279">
        <v>0</v>
      </c>
      <c r="BH279">
        <v>1</v>
      </c>
      <c r="BI279">
        <v>1</v>
      </c>
      <c r="BJ279">
        <v>0.2</v>
      </c>
      <c r="BK279">
        <v>1</v>
      </c>
      <c r="BL279">
        <v>70.709999999999994</v>
      </c>
      <c r="BM279">
        <v>10.61</v>
      </c>
      <c r="BN279">
        <v>81.319999999999993</v>
      </c>
      <c r="BO279">
        <v>81.319999999999993</v>
      </c>
      <c r="BQ279" t="s">
        <v>831</v>
      </c>
      <c r="BR279" t="s">
        <v>84</v>
      </c>
      <c r="BS279" s="3">
        <v>45783</v>
      </c>
      <c r="BT279" s="4">
        <v>0.64375000000000004</v>
      </c>
      <c r="BU279" t="s">
        <v>832</v>
      </c>
      <c r="BV279" t="s">
        <v>89</v>
      </c>
      <c r="BW279" t="s">
        <v>296</v>
      </c>
      <c r="BX279" t="s">
        <v>450</v>
      </c>
      <c r="BY279">
        <v>1200</v>
      </c>
      <c r="CA279" t="s">
        <v>87</v>
      </c>
      <c r="CC279" t="s">
        <v>80</v>
      </c>
      <c r="CD279">
        <v>3608</v>
      </c>
      <c r="CE279" t="s">
        <v>88</v>
      </c>
      <c r="CF279" s="3">
        <v>45784</v>
      </c>
      <c r="CI279">
        <v>1</v>
      </c>
      <c r="CJ279">
        <v>1</v>
      </c>
      <c r="CK279">
        <v>21</v>
      </c>
      <c r="CL279" t="s">
        <v>89</v>
      </c>
    </row>
    <row r="280" spans="1:90" x14ac:dyDescent="0.3">
      <c r="A280" t="s">
        <v>72</v>
      </c>
      <c r="B280" t="s">
        <v>73</v>
      </c>
      <c r="C280" t="s">
        <v>74</v>
      </c>
      <c r="E280" t="str">
        <f>"080065175249"</f>
        <v>080065175249</v>
      </c>
      <c r="F280" s="3">
        <v>45782</v>
      </c>
      <c r="G280">
        <v>202602</v>
      </c>
      <c r="H280" t="s">
        <v>75</v>
      </c>
      <c r="I280" t="s">
        <v>76</v>
      </c>
      <c r="J280" t="s">
        <v>77</v>
      </c>
      <c r="K280" t="s">
        <v>78</v>
      </c>
      <c r="L280" t="s">
        <v>130</v>
      </c>
      <c r="M280" t="s">
        <v>131</v>
      </c>
      <c r="N280" t="s">
        <v>496</v>
      </c>
      <c r="O280" t="s">
        <v>82</v>
      </c>
      <c r="P280" t="str">
        <f>"4170036961                    "</f>
        <v xml:space="preserve">4170036961                    </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22.11</v>
      </c>
      <c r="AR280">
        <v>0</v>
      </c>
      <c r="AS280">
        <v>0</v>
      </c>
      <c r="AT280">
        <v>0</v>
      </c>
      <c r="AU280">
        <v>0</v>
      </c>
      <c r="AV280">
        <v>0</v>
      </c>
      <c r="AW280">
        <v>0</v>
      </c>
      <c r="AX280">
        <v>0</v>
      </c>
      <c r="AY280">
        <v>0</v>
      </c>
      <c r="AZ280">
        <v>0</v>
      </c>
      <c r="BA280">
        <v>0</v>
      </c>
      <c r="BB280">
        <v>0</v>
      </c>
      <c r="BC280">
        <v>0</v>
      </c>
      <c r="BD280">
        <v>0</v>
      </c>
      <c r="BE280">
        <v>0</v>
      </c>
      <c r="BF280">
        <v>0</v>
      </c>
      <c r="BG280">
        <v>0</v>
      </c>
      <c r="BH280">
        <v>1</v>
      </c>
      <c r="BI280">
        <v>1</v>
      </c>
      <c r="BJ280">
        <v>0.2</v>
      </c>
      <c r="BK280">
        <v>1</v>
      </c>
      <c r="BL280">
        <v>70.709999999999994</v>
      </c>
      <c r="BM280">
        <v>10.61</v>
      </c>
      <c r="BN280">
        <v>81.319999999999993</v>
      </c>
      <c r="BO280">
        <v>81.319999999999993</v>
      </c>
      <c r="BQ280" t="s">
        <v>497</v>
      </c>
      <c r="BR280" t="s">
        <v>84</v>
      </c>
      <c r="BS280" s="3">
        <v>45784</v>
      </c>
      <c r="BT280" s="4">
        <v>0.43680555555555556</v>
      </c>
      <c r="BU280" t="s">
        <v>833</v>
      </c>
      <c r="BV280" t="s">
        <v>89</v>
      </c>
      <c r="BW280" t="s">
        <v>340</v>
      </c>
      <c r="BX280" t="s">
        <v>578</v>
      </c>
      <c r="BY280">
        <v>1200</v>
      </c>
      <c r="CA280" t="s">
        <v>242</v>
      </c>
      <c r="CC280" t="s">
        <v>131</v>
      </c>
      <c r="CD280">
        <v>8001</v>
      </c>
      <c r="CE280" t="s">
        <v>88</v>
      </c>
      <c r="CF280" s="3">
        <v>45785</v>
      </c>
      <c r="CI280">
        <v>1</v>
      </c>
      <c r="CJ280">
        <v>2</v>
      </c>
      <c r="CK280">
        <v>21</v>
      </c>
      <c r="CL280" t="s">
        <v>89</v>
      </c>
    </row>
    <row r="281" spans="1:90" x14ac:dyDescent="0.3">
      <c r="A281" t="s">
        <v>72</v>
      </c>
      <c r="B281" t="s">
        <v>73</v>
      </c>
      <c r="C281" t="s">
        <v>74</v>
      </c>
      <c r="E281" t="str">
        <f>"080065175276"</f>
        <v>080065175276</v>
      </c>
      <c r="F281" s="3">
        <v>45782</v>
      </c>
      <c r="G281">
        <v>202602</v>
      </c>
      <c r="H281" t="s">
        <v>75</v>
      </c>
      <c r="I281" t="s">
        <v>76</v>
      </c>
      <c r="J281" t="s">
        <v>77</v>
      </c>
      <c r="K281" t="s">
        <v>78</v>
      </c>
      <c r="L281" t="s">
        <v>75</v>
      </c>
      <c r="M281" t="s">
        <v>76</v>
      </c>
      <c r="N281" t="s">
        <v>346</v>
      </c>
      <c r="O281" t="s">
        <v>82</v>
      </c>
      <c r="P281" t="str">
        <f>"4170036935                    "</f>
        <v xml:space="preserve">4170036935                    </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17.27</v>
      </c>
      <c r="AR281">
        <v>0</v>
      </c>
      <c r="AS281">
        <v>0</v>
      </c>
      <c r="AT281">
        <v>0</v>
      </c>
      <c r="AU281">
        <v>0</v>
      </c>
      <c r="AV281">
        <v>0</v>
      </c>
      <c r="AW281">
        <v>0</v>
      </c>
      <c r="AX281">
        <v>0</v>
      </c>
      <c r="AY281">
        <v>0</v>
      </c>
      <c r="AZ281">
        <v>0</v>
      </c>
      <c r="BA281">
        <v>0</v>
      </c>
      <c r="BB281">
        <v>0</v>
      </c>
      <c r="BC281">
        <v>0</v>
      </c>
      <c r="BD281">
        <v>0</v>
      </c>
      <c r="BE281">
        <v>0</v>
      </c>
      <c r="BF281">
        <v>0</v>
      </c>
      <c r="BG281">
        <v>0</v>
      </c>
      <c r="BH281">
        <v>1</v>
      </c>
      <c r="BI281">
        <v>1</v>
      </c>
      <c r="BJ281">
        <v>0.2</v>
      </c>
      <c r="BK281">
        <v>1</v>
      </c>
      <c r="BL281">
        <v>55.23</v>
      </c>
      <c r="BM281">
        <v>8.2799999999999994</v>
      </c>
      <c r="BN281">
        <v>63.51</v>
      </c>
      <c r="BO281">
        <v>63.51</v>
      </c>
      <c r="BQ281" t="s">
        <v>347</v>
      </c>
      <c r="BR281" t="s">
        <v>84</v>
      </c>
      <c r="BS281" s="3">
        <v>45783</v>
      </c>
      <c r="BT281" s="4">
        <v>0.38750000000000001</v>
      </c>
      <c r="BU281" t="s">
        <v>407</v>
      </c>
      <c r="BV281" t="s">
        <v>86</v>
      </c>
      <c r="BY281">
        <v>1200</v>
      </c>
      <c r="CA281" t="s">
        <v>349</v>
      </c>
      <c r="CC281" t="s">
        <v>76</v>
      </c>
      <c r="CD281">
        <v>1619</v>
      </c>
      <c r="CE281" t="s">
        <v>88</v>
      </c>
      <c r="CF281" s="3">
        <v>45783</v>
      </c>
      <c r="CI281">
        <v>1</v>
      </c>
      <c r="CJ281">
        <v>1</v>
      </c>
      <c r="CK281">
        <v>22</v>
      </c>
      <c r="CL281" t="s">
        <v>89</v>
      </c>
    </row>
    <row r="282" spans="1:90" x14ac:dyDescent="0.3">
      <c r="A282" t="s">
        <v>72</v>
      </c>
      <c r="B282" t="s">
        <v>73</v>
      </c>
      <c r="C282" t="s">
        <v>74</v>
      </c>
      <c r="E282" t="str">
        <f>"080065175314"</f>
        <v>080065175314</v>
      </c>
      <c r="F282" s="3">
        <v>45782</v>
      </c>
      <c r="G282">
        <v>202602</v>
      </c>
      <c r="H282" t="s">
        <v>75</v>
      </c>
      <c r="I282" t="s">
        <v>76</v>
      </c>
      <c r="J282" t="s">
        <v>77</v>
      </c>
      <c r="K282" t="s">
        <v>78</v>
      </c>
      <c r="L282" t="s">
        <v>232</v>
      </c>
      <c r="M282" t="s">
        <v>233</v>
      </c>
      <c r="N282" t="s">
        <v>834</v>
      </c>
      <c r="O282" t="s">
        <v>300</v>
      </c>
      <c r="P282" t="str">
        <f>"4170036950                    "</f>
        <v xml:space="preserve">4170036950                    </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42.76</v>
      </c>
      <c r="AR282">
        <v>0</v>
      </c>
      <c r="AS282">
        <v>0</v>
      </c>
      <c r="AT282">
        <v>0</v>
      </c>
      <c r="AU282">
        <v>0</v>
      </c>
      <c r="AV282">
        <v>0</v>
      </c>
      <c r="AW282">
        <v>0</v>
      </c>
      <c r="AX282">
        <v>0</v>
      </c>
      <c r="AY282">
        <v>0</v>
      </c>
      <c r="AZ282">
        <v>0</v>
      </c>
      <c r="BA282">
        <v>0</v>
      </c>
      <c r="BB282">
        <v>0</v>
      </c>
      <c r="BC282">
        <v>0</v>
      </c>
      <c r="BD282">
        <v>0</v>
      </c>
      <c r="BE282">
        <v>0</v>
      </c>
      <c r="BF282">
        <v>0</v>
      </c>
      <c r="BG282">
        <v>0</v>
      </c>
      <c r="BH282">
        <v>1</v>
      </c>
      <c r="BI282">
        <v>7</v>
      </c>
      <c r="BJ282">
        <v>4.4000000000000004</v>
      </c>
      <c r="BK282">
        <v>7</v>
      </c>
      <c r="BL282">
        <v>142.31</v>
      </c>
      <c r="BM282">
        <v>21.35</v>
      </c>
      <c r="BN282">
        <v>163.66</v>
      </c>
      <c r="BO282">
        <v>163.66</v>
      </c>
      <c r="BQ282" t="s">
        <v>835</v>
      </c>
      <c r="BR282" t="s">
        <v>84</v>
      </c>
      <c r="BS282" s="3">
        <v>45783</v>
      </c>
      <c r="BT282" s="4">
        <v>0.39444444444444443</v>
      </c>
      <c r="BU282" t="s">
        <v>836</v>
      </c>
      <c r="BV282" t="s">
        <v>86</v>
      </c>
      <c r="BY282">
        <v>21760</v>
      </c>
      <c r="CA282" t="s">
        <v>258</v>
      </c>
      <c r="CC282" t="s">
        <v>233</v>
      </c>
      <c r="CD282" s="5" t="s">
        <v>238</v>
      </c>
      <c r="CE282" t="s">
        <v>221</v>
      </c>
      <c r="CF282" s="3">
        <v>45783</v>
      </c>
      <c r="CI282">
        <v>1</v>
      </c>
      <c r="CJ282">
        <v>1</v>
      </c>
      <c r="CK282">
        <v>41</v>
      </c>
      <c r="CL282" t="s">
        <v>89</v>
      </c>
    </row>
    <row r="283" spans="1:90" x14ac:dyDescent="0.3">
      <c r="A283" t="s">
        <v>72</v>
      </c>
      <c r="B283" t="s">
        <v>73</v>
      </c>
      <c r="C283" t="s">
        <v>74</v>
      </c>
      <c r="E283" t="str">
        <f>"080065175353"</f>
        <v>080065175353</v>
      </c>
      <c r="F283" s="3">
        <v>45782</v>
      </c>
      <c r="G283">
        <v>202602</v>
      </c>
      <c r="H283" t="s">
        <v>75</v>
      </c>
      <c r="I283" t="s">
        <v>76</v>
      </c>
      <c r="J283" t="s">
        <v>77</v>
      </c>
      <c r="K283" t="s">
        <v>78</v>
      </c>
      <c r="L283" t="s">
        <v>90</v>
      </c>
      <c r="M283" t="s">
        <v>91</v>
      </c>
      <c r="N283" t="s">
        <v>837</v>
      </c>
      <c r="O283" t="s">
        <v>82</v>
      </c>
      <c r="P283" t="str">
        <f>"4170036945                    "</f>
        <v xml:space="preserve">4170036945                    </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22.11</v>
      </c>
      <c r="AR283">
        <v>0</v>
      </c>
      <c r="AS283">
        <v>0</v>
      </c>
      <c r="AT283">
        <v>0</v>
      </c>
      <c r="AU283">
        <v>0</v>
      </c>
      <c r="AV283">
        <v>0</v>
      </c>
      <c r="AW283">
        <v>0</v>
      </c>
      <c r="AX283">
        <v>0</v>
      </c>
      <c r="AY283">
        <v>0</v>
      </c>
      <c r="AZ283">
        <v>0</v>
      </c>
      <c r="BA283">
        <v>0</v>
      </c>
      <c r="BB283">
        <v>0</v>
      </c>
      <c r="BC283">
        <v>0</v>
      </c>
      <c r="BD283">
        <v>0</v>
      </c>
      <c r="BE283">
        <v>0</v>
      </c>
      <c r="BF283">
        <v>0</v>
      </c>
      <c r="BG283">
        <v>0</v>
      </c>
      <c r="BH283">
        <v>1</v>
      </c>
      <c r="BI283">
        <v>1</v>
      </c>
      <c r="BJ283">
        <v>1.4</v>
      </c>
      <c r="BK283">
        <v>1.5</v>
      </c>
      <c r="BL283">
        <v>70.709999999999994</v>
      </c>
      <c r="BM283">
        <v>10.61</v>
      </c>
      <c r="BN283">
        <v>81.319999999999993</v>
      </c>
      <c r="BO283">
        <v>81.319999999999993</v>
      </c>
      <c r="BQ283" t="s">
        <v>838</v>
      </c>
      <c r="BR283" t="s">
        <v>84</v>
      </c>
      <c r="BS283" s="3">
        <v>45783</v>
      </c>
      <c r="BT283" s="4">
        <v>0.36041666666666666</v>
      </c>
      <c r="BU283" t="s">
        <v>839</v>
      </c>
      <c r="BV283" t="s">
        <v>86</v>
      </c>
      <c r="BY283">
        <v>7000</v>
      </c>
      <c r="CA283" t="s">
        <v>708</v>
      </c>
      <c r="CC283" t="s">
        <v>91</v>
      </c>
      <c r="CD283">
        <v>6001</v>
      </c>
      <c r="CE283" t="s">
        <v>116</v>
      </c>
      <c r="CF283" s="3">
        <v>45783</v>
      </c>
      <c r="CI283">
        <v>1</v>
      </c>
      <c r="CJ283">
        <v>1</v>
      </c>
      <c r="CK283">
        <v>21</v>
      </c>
      <c r="CL283" t="s">
        <v>89</v>
      </c>
    </row>
    <row r="284" spans="1:90" x14ac:dyDescent="0.3">
      <c r="A284" t="s">
        <v>72</v>
      </c>
      <c r="B284" t="s">
        <v>73</v>
      </c>
      <c r="C284" t="s">
        <v>74</v>
      </c>
      <c r="E284" t="str">
        <f>"080065175514"</f>
        <v>080065175514</v>
      </c>
      <c r="F284" s="3">
        <v>45782</v>
      </c>
      <c r="G284">
        <v>202602</v>
      </c>
      <c r="H284" t="s">
        <v>75</v>
      </c>
      <c r="I284" t="s">
        <v>76</v>
      </c>
      <c r="J284" t="s">
        <v>77</v>
      </c>
      <c r="K284" t="s">
        <v>78</v>
      </c>
      <c r="L284" t="s">
        <v>463</v>
      </c>
      <c r="M284" t="s">
        <v>464</v>
      </c>
      <c r="N284" t="s">
        <v>744</v>
      </c>
      <c r="O284" t="s">
        <v>300</v>
      </c>
      <c r="P284" t="str">
        <f>"4170036937                    "</f>
        <v xml:space="preserve">4170036937                    </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104.55</v>
      </c>
      <c r="AR284">
        <v>0</v>
      </c>
      <c r="AS284">
        <v>0</v>
      </c>
      <c r="AT284">
        <v>0</v>
      </c>
      <c r="AU284">
        <v>0</v>
      </c>
      <c r="AV284">
        <v>0</v>
      </c>
      <c r="AW284">
        <v>0</v>
      </c>
      <c r="AX284">
        <v>0</v>
      </c>
      <c r="AY284">
        <v>0</v>
      </c>
      <c r="AZ284">
        <v>0</v>
      </c>
      <c r="BA284">
        <v>0</v>
      </c>
      <c r="BB284">
        <v>0</v>
      </c>
      <c r="BC284">
        <v>0</v>
      </c>
      <c r="BD284">
        <v>0</v>
      </c>
      <c r="BE284">
        <v>0</v>
      </c>
      <c r="BF284">
        <v>0</v>
      </c>
      <c r="BG284">
        <v>0</v>
      </c>
      <c r="BH284">
        <v>2</v>
      </c>
      <c r="BI284">
        <v>23</v>
      </c>
      <c r="BJ284">
        <v>49.1</v>
      </c>
      <c r="BK284">
        <v>50</v>
      </c>
      <c r="BL284">
        <v>339.9</v>
      </c>
      <c r="BM284">
        <v>50.99</v>
      </c>
      <c r="BN284">
        <v>390.89</v>
      </c>
      <c r="BO284">
        <v>390.89</v>
      </c>
      <c r="BQ284" t="s">
        <v>745</v>
      </c>
      <c r="BR284" t="s">
        <v>84</v>
      </c>
      <c r="BS284" s="3">
        <v>45785</v>
      </c>
      <c r="BT284" s="4">
        <v>0.46666666666666667</v>
      </c>
      <c r="BU284" t="s">
        <v>746</v>
      </c>
      <c r="BV284" t="s">
        <v>86</v>
      </c>
      <c r="BY284">
        <v>245640</v>
      </c>
      <c r="CA284" t="s">
        <v>588</v>
      </c>
      <c r="CC284" t="s">
        <v>464</v>
      </c>
      <c r="CD284">
        <v>5201</v>
      </c>
      <c r="CE284" t="s">
        <v>96</v>
      </c>
      <c r="CF284" s="3">
        <v>45786</v>
      </c>
      <c r="CI284">
        <v>3</v>
      </c>
      <c r="CJ284">
        <v>3</v>
      </c>
      <c r="CK284">
        <v>41</v>
      </c>
      <c r="CL284" t="s">
        <v>89</v>
      </c>
    </row>
    <row r="285" spans="1:90" x14ac:dyDescent="0.3">
      <c r="A285" t="s">
        <v>72</v>
      </c>
      <c r="B285" t="s">
        <v>73</v>
      </c>
      <c r="C285" t="s">
        <v>74</v>
      </c>
      <c r="E285" t="str">
        <f>"080065175591"</f>
        <v>080065175591</v>
      </c>
      <c r="F285" s="3">
        <v>45782</v>
      </c>
      <c r="G285">
        <v>202602</v>
      </c>
      <c r="H285" t="s">
        <v>75</v>
      </c>
      <c r="I285" t="s">
        <v>76</v>
      </c>
      <c r="J285" t="s">
        <v>77</v>
      </c>
      <c r="K285" t="s">
        <v>78</v>
      </c>
      <c r="L285" t="s">
        <v>103</v>
      </c>
      <c r="M285" t="s">
        <v>104</v>
      </c>
      <c r="N285" t="s">
        <v>437</v>
      </c>
      <c r="O285" t="s">
        <v>82</v>
      </c>
      <c r="P285" t="str">
        <f>"4170036939                    "</f>
        <v xml:space="preserve">4170036939                    </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55.26</v>
      </c>
      <c r="AR285">
        <v>0</v>
      </c>
      <c r="AS285">
        <v>0</v>
      </c>
      <c r="AT285">
        <v>0</v>
      </c>
      <c r="AU285">
        <v>0</v>
      </c>
      <c r="AV285">
        <v>0</v>
      </c>
      <c r="AW285">
        <v>0</v>
      </c>
      <c r="AX285">
        <v>0</v>
      </c>
      <c r="AY285">
        <v>0</v>
      </c>
      <c r="AZ285">
        <v>0</v>
      </c>
      <c r="BA285">
        <v>0</v>
      </c>
      <c r="BB285">
        <v>0</v>
      </c>
      <c r="BC285">
        <v>0</v>
      </c>
      <c r="BD285">
        <v>0</v>
      </c>
      <c r="BE285">
        <v>0</v>
      </c>
      <c r="BF285">
        <v>0</v>
      </c>
      <c r="BG285">
        <v>0</v>
      </c>
      <c r="BH285">
        <v>1</v>
      </c>
      <c r="BI285">
        <v>5</v>
      </c>
      <c r="BJ285">
        <v>1.9</v>
      </c>
      <c r="BK285">
        <v>5</v>
      </c>
      <c r="BL285">
        <v>176.7</v>
      </c>
      <c r="BM285">
        <v>26.51</v>
      </c>
      <c r="BN285">
        <v>203.21</v>
      </c>
      <c r="BO285">
        <v>203.21</v>
      </c>
      <c r="BQ285" t="s">
        <v>438</v>
      </c>
      <c r="BR285" t="s">
        <v>84</v>
      </c>
      <c r="BS285" s="3">
        <v>45783</v>
      </c>
      <c r="BT285" s="4">
        <v>0.48958333333333331</v>
      </c>
      <c r="BU285" t="s">
        <v>840</v>
      </c>
      <c r="BV285" t="s">
        <v>86</v>
      </c>
      <c r="BY285">
        <v>9576</v>
      </c>
      <c r="CA285" t="s">
        <v>440</v>
      </c>
      <c r="CC285" t="s">
        <v>104</v>
      </c>
      <c r="CD285">
        <v>3212</v>
      </c>
      <c r="CE285" t="s">
        <v>116</v>
      </c>
      <c r="CF285" s="3">
        <v>45784</v>
      </c>
      <c r="CI285">
        <v>2</v>
      </c>
      <c r="CJ285">
        <v>1</v>
      </c>
      <c r="CK285">
        <v>21</v>
      </c>
      <c r="CL285" t="s">
        <v>89</v>
      </c>
    </row>
    <row r="286" spans="1:90" x14ac:dyDescent="0.3">
      <c r="A286" t="s">
        <v>72</v>
      </c>
      <c r="B286" t="s">
        <v>73</v>
      </c>
      <c r="C286" t="s">
        <v>74</v>
      </c>
      <c r="E286" t="str">
        <f>"080065175978"</f>
        <v>080065175978</v>
      </c>
      <c r="F286" s="3">
        <v>45782</v>
      </c>
      <c r="G286">
        <v>202602</v>
      </c>
      <c r="H286" t="s">
        <v>75</v>
      </c>
      <c r="I286" t="s">
        <v>76</v>
      </c>
      <c r="J286" t="s">
        <v>77</v>
      </c>
      <c r="K286" t="s">
        <v>78</v>
      </c>
      <c r="L286" t="s">
        <v>489</v>
      </c>
      <c r="M286" t="s">
        <v>490</v>
      </c>
      <c r="N286" t="s">
        <v>491</v>
      </c>
      <c r="O286" t="s">
        <v>82</v>
      </c>
      <c r="P286" t="str">
        <f>"4170036927                    "</f>
        <v xml:space="preserve">4170036927                    </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42.84</v>
      </c>
      <c r="AR286">
        <v>0</v>
      </c>
      <c r="AS286">
        <v>0</v>
      </c>
      <c r="AT286">
        <v>0</v>
      </c>
      <c r="AU286">
        <v>0</v>
      </c>
      <c r="AV286">
        <v>0</v>
      </c>
      <c r="AW286">
        <v>0</v>
      </c>
      <c r="AX286">
        <v>0</v>
      </c>
      <c r="AY286">
        <v>0</v>
      </c>
      <c r="AZ286">
        <v>0</v>
      </c>
      <c r="BA286">
        <v>0</v>
      </c>
      <c r="BB286">
        <v>0</v>
      </c>
      <c r="BC286">
        <v>0</v>
      </c>
      <c r="BD286">
        <v>0</v>
      </c>
      <c r="BE286">
        <v>0</v>
      </c>
      <c r="BF286">
        <v>0</v>
      </c>
      <c r="BG286">
        <v>0</v>
      </c>
      <c r="BH286">
        <v>1</v>
      </c>
      <c r="BI286">
        <v>2</v>
      </c>
      <c r="BJ286">
        <v>1.1000000000000001</v>
      </c>
      <c r="BK286">
        <v>2</v>
      </c>
      <c r="BL286">
        <v>137</v>
      </c>
      <c r="BM286">
        <v>20.55</v>
      </c>
      <c r="BN286">
        <v>157.55000000000001</v>
      </c>
      <c r="BO286">
        <v>157.55000000000001</v>
      </c>
      <c r="BQ286" t="s">
        <v>492</v>
      </c>
      <c r="BR286" t="s">
        <v>84</v>
      </c>
      <c r="BS286" s="3">
        <v>45783</v>
      </c>
      <c r="BT286" s="4">
        <v>0.33333333333333331</v>
      </c>
      <c r="BU286" t="s">
        <v>493</v>
      </c>
      <c r="BV286" t="s">
        <v>86</v>
      </c>
      <c r="BY286">
        <v>5320</v>
      </c>
      <c r="CC286" t="s">
        <v>490</v>
      </c>
      <c r="CD286">
        <v>2740</v>
      </c>
      <c r="CE286" t="s">
        <v>116</v>
      </c>
      <c r="CF286" s="3">
        <v>45785</v>
      </c>
      <c r="CI286">
        <v>1</v>
      </c>
      <c r="CJ286">
        <v>1</v>
      </c>
      <c r="CK286">
        <v>23</v>
      </c>
      <c r="CL286" t="s">
        <v>89</v>
      </c>
    </row>
    <row r="287" spans="1:90" x14ac:dyDescent="0.3">
      <c r="A287" t="s">
        <v>72</v>
      </c>
      <c r="B287" t="s">
        <v>73</v>
      </c>
      <c r="C287" t="s">
        <v>74</v>
      </c>
      <c r="E287" t="str">
        <f>"080065176027"</f>
        <v>080065176027</v>
      </c>
      <c r="F287" s="3">
        <v>45782</v>
      </c>
      <c r="G287">
        <v>202602</v>
      </c>
      <c r="H287" t="s">
        <v>75</v>
      </c>
      <c r="I287" t="s">
        <v>76</v>
      </c>
      <c r="J287" t="s">
        <v>77</v>
      </c>
      <c r="K287" t="s">
        <v>78</v>
      </c>
      <c r="L287" t="s">
        <v>75</v>
      </c>
      <c r="M287" t="s">
        <v>76</v>
      </c>
      <c r="N287" t="s">
        <v>346</v>
      </c>
      <c r="O287" t="s">
        <v>82</v>
      </c>
      <c r="P287" t="str">
        <f>"4170036969                    "</f>
        <v xml:space="preserve">4170036969                    </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17.27</v>
      </c>
      <c r="AR287">
        <v>0</v>
      </c>
      <c r="AS287">
        <v>0</v>
      </c>
      <c r="AT287">
        <v>0</v>
      </c>
      <c r="AU287">
        <v>0</v>
      </c>
      <c r="AV287">
        <v>0</v>
      </c>
      <c r="AW287">
        <v>0</v>
      </c>
      <c r="AX287">
        <v>0</v>
      </c>
      <c r="AY287">
        <v>0</v>
      </c>
      <c r="AZ287">
        <v>0</v>
      </c>
      <c r="BA287">
        <v>0</v>
      </c>
      <c r="BB287">
        <v>0</v>
      </c>
      <c r="BC287">
        <v>0</v>
      </c>
      <c r="BD287">
        <v>0</v>
      </c>
      <c r="BE287">
        <v>0</v>
      </c>
      <c r="BF287">
        <v>0</v>
      </c>
      <c r="BG287">
        <v>0</v>
      </c>
      <c r="BH287">
        <v>1</v>
      </c>
      <c r="BI287">
        <v>1</v>
      </c>
      <c r="BJ287">
        <v>1.1000000000000001</v>
      </c>
      <c r="BK287">
        <v>2</v>
      </c>
      <c r="BL287">
        <v>55.23</v>
      </c>
      <c r="BM287">
        <v>8.2799999999999994</v>
      </c>
      <c r="BN287">
        <v>63.51</v>
      </c>
      <c r="BO287">
        <v>63.51</v>
      </c>
      <c r="BQ287" t="s">
        <v>347</v>
      </c>
      <c r="BR287" t="s">
        <v>84</v>
      </c>
      <c r="BS287" s="3">
        <v>45783</v>
      </c>
      <c r="BT287" s="4">
        <v>0.38819444444444445</v>
      </c>
      <c r="BU287" t="s">
        <v>407</v>
      </c>
      <c r="BV287" t="s">
        <v>86</v>
      </c>
      <c r="BY287">
        <v>5320</v>
      </c>
      <c r="CA287" t="s">
        <v>349</v>
      </c>
      <c r="CC287" t="s">
        <v>76</v>
      </c>
      <c r="CD287">
        <v>1619</v>
      </c>
      <c r="CE287" t="s">
        <v>116</v>
      </c>
      <c r="CF287" s="3">
        <v>45783</v>
      </c>
      <c r="CI287">
        <v>1</v>
      </c>
      <c r="CJ287">
        <v>1</v>
      </c>
      <c r="CK287">
        <v>22</v>
      </c>
      <c r="CL287" t="s">
        <v>89</v>
      </c>
    </row>
    <row r="288" spans="1:90" x14ac:dyDescent="0.3">
      <c r="A288" t="s">
        <v>72</v>
      </c>
      <c r="B288" t="s">
        <v>73</v>
      </c>
      <c r="C288" t="s">
        <v>74</v>
      </c>
      <c r="E288" t="str">
        <f>"080065179621"</f>
        <v>080065179621</v>
      </c>
      <c r="F288" s="3">
        <v>45782</v>
      </c>
      <c r="G288">
        <v>202602</v>
      </c>
      <c r="H288" t="s">
        <v>75</v>
      </c>
      <c r="I288" t="s">
        <v>76</v>
      </c>
      <c r="J288" t="s">
        <v>77</v>
      </c>
      <c r="K288" t="s">
        <v>78</v>
      </c>
      <c r="L288" t="s">
        <v>90</v>
      </c>
      <c r="M288" t="s">
        <v>91</v>
      </c>
      <c r="N288" t="s">
        <v>841</v>
      </c>
      <c r="O288" t="s">
        <v>82</v>
      </c>
      <c r="P288" t="str">
        <f>"4170036970                    "</f>
        <v xml:space="preserve">4170036970                    </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22.11</v>
      </c>
      <c r="AR288">
        <v>0</v>
      </c>
      <c r="AS288">
        <v>0</v>
      </c>
      <c r="AT288">
        <v>0</v>
      </c>
      <c r="AU288">
        <v>0</v>
      </c>
      <c r="AV288">
        <v>0</v>
      </c>
      <c r="AW288">
        <v>0</v>
      </c>
      <c r="AX288">
        <v>0</v>
      </c>
      <c r="AY288">
        <v>0</v>
      </c>
      <c r="AZ288">
        <v>0</v>
      </c>
      <c r="BA288">
        <v>0</v>
      </c>
      <c r="BB288">
        <v>0</v>
      </c>
      <c r="BC288">
        <v>0</v>
      </c>
      <c r="BD288">
        <v>0</v>
      </c>
      <c r="BE288">
        <v>0</v>
      </c>
      <c r="BF288">
        <v>0</v>
      </c>
      <c r="BG288">
        <v>0</v>
      </c>
      <c r="BH288">
        <v>1</v>
      </c>
      <c r="BI288">
        <v>1</v>
      </c>
      <c r="BJ288">
        <v>1.1000000000000001</v>
      </c>
      <c r="BK288">
        <v>1.5</v>
      </c>
      <c r="BL288">
        <v>70.709999999999994</v>
      </c>
      <c r="BM288">
        <v>10.61</v>
      </c>
      <c r="BN288">
        <v>81.319999999999993</v>
      </c>
      <c r="BO288">
        <v>81.319999999999993</v>
      </c>
      <c r="BQ288" t="s">
        <v>842</v>
      </c>
      <c r="BR288" t="s">
        <v>84</v>
      </c>
      <c r="BS288" s="3">
        <v>45783</v>
      </c>
      <c r="BT288" s="4">
        <v>0.375</v>
      </c>
      <c r="BU288" t="s">
        <v>843</v>
      </c>
      <c r="BV288" t="s">
        <v>86</v>
      </c>
      <c r="BY288">
        <v>5320</v>
      </c>
      <c r="CA288" t="s">
        <v>824</v>
      </c>
      <c r="CC288" t="s">
        <v>91</v>
      </c>
      <c r="CD288">
        <v>6001</v>
      </c>
      <c r="CE288" t="s">
        <v>116</v>
      </c>
      <c r="CF288" s="3">
        <v>45783</v>
      </c>
      <c r="CI288">
        <v>1</v>
      </c>
      <c r="CJ288">
        <v>1</v>
      </c>
      <c r="CK288">
        <v>21</v>
      </c>
      <c r="CL288" t="s">
        <v>89</v>
      </c>
    </row>
    <row r="289" spans="1:90" x14ac:dyDescent="0.3">
      <c r="A289" t="s">
        <v>72</v>
      </c>
      <c r="B289" t="s">
        <v>73</v>
      </c>
      <c r="C289" t="s">
        <v>74</v>
      </c>
      <c r="E289" t="str">
        <f>"080065179656"</f>
        <v>080065179656</v>
      </c>
      <c r="F289" s="3">
        <v>45782</v>
      </c>
      <c r="G289">
        <v>202602</v>
      </c>
      <c r="H289" t="s">
        <v>75</v>
      </c>
      <c r="I289" t="s">
        <v>76</v>
      </c>
      <c r="J289" t="s">
        <v>77</v>
      </c>
      <c r="K289" t="s">
        <v>78</v>
      </c>
      <c r="L289" t="s">
        <v>463</v>
      </c>
      <c r="M289" t="s">
        <v>464</v>
      </c>
      <c r="N289" t="s">
        <v>585</v>
      </c>
      <c r="O289" t="s">
        <v>82</v>
      </c>
      <c r="P289" t="str">
        <f>"4170036971                    "</f>
        <v xml:space="preserve">4170036971                    </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22.11</v>
      </c>
      <c r="AR289">
        <v>0</v>
      </c>
      <c r="AS289">
        <v>0</v>
      </c>
      <c r="AT289">
        <v>0</v>
      </c>
      <c r="AU289">
        <v>0</v>
      </c>
      <c r="AV289">
        <v>0</v>
      </c>
      <c r="AW289">
        <v>0</v>
      </c>
      <c r="AX289">
        <v>0</v>
      </c>
      <c r="AY289">
        <v>0</v>
      </c>
      <c r="AZ289">
        <v>0</v>
      </c>
      <c r="BA289">
        <v>0</v>
      </c>
      <c r="BB289">
        <v>0</v>
      </c>
      <c r="BC289">
        <v>0</v>
      </c>
      <c r="BD289">
        <v>0</v>
      </c>
      <c r="BE289">
        <v>0</v>
      </c>
      <c r="BF289">
        <v>0</v>
      </c>
      <c r="BG289">
        <v>0</v>
      </c>
      <c r="BH289">
        <v>1</v>
      </c>
      <c r="BI289">
        <v>2</v>
      </c>
      <c r="BJ289">
        <v>1.1000000000000001</v>
      </c>
      <c r="BK289">
        <v>2</v>
      </c>
      <c r="BL289">
        <v>70.709999999999994</v>
      </c>
      <c r="BM289">
        <v>10.61</v>
      </c>
      <c r="BN289">
        <v>81.319999999999993</v>
      </c>
      <c r="BO289">
        <v>81.319999999999993</v>
      </c>
      <c r="BQ289" t="s">
        <v>586</v>
      </c>
      <c r="BR289" t="s">
        <v>84</v>
      </c>
      <c r="BS289" s="3">
        <v>45783</v>
      </c>
      <c r="BT289" s="4">
        <v>0.48055555555555557</v>
      </c>
      <c r="BU289" t="s">
        <v>587</v>
      </c>
      <c r="BV289" t="s">
        <v>89</v>
      </c>
      <c r="BY289">
        <v>5320</v>
      </c>
      <c r="CA289" t="s">
        <v>588</v>
      </c>
      <c r="CC289" t="s">
        <v>464</v>
      </c>
      <c r="CD289">
        <v>5201</v>
      </c>
      <c r="CE289" t="s">
        <v>116</v>
      </c>
      <c r="CF289" s="3">
        <v>45783</v>
      </c>
      <c r="CI289">
        <v>1</v>
      </c>
      <c r="CJ289">
        <v>1</v>
      </c>
      <c r="CK289">
        <v>21</v>
      </c>
      <c r="CL289" t="s">
        <v>89</v>
      </c>
    </row>
    <row r="290" spans="1:90" x14ac:dyDescent="0.3">
      <c r="A290" t="s">
        <v>72</v>
      </c>
      <c r="B290" t="s">
        <v>73</v>
      </c>
      <c r="C290" t="s">
        <v>74</v>
      </c>
      <c r="E290" t="str">
        <f>"080065179681"</f>
        <v>080065179681</v>
      </c>
      <c r="F290" s="3">
        <v>45782</v>
      </c>
      <c r="G290">
        <v>202602</v>
      </c>
      <c r="H290" t="s">
        <v>75</v>
      </c>
      <c r="I290" t="s">
        <v>76</v>
      </c>
      <c r="J290" t="s">
        <v>77</v>
      </c>
      <c r="K290" t="s">
        <v>78</v>
      </c>
      <c r="L290" t="s">
        <v>844</v>
      </c>
      <c r="M290" t="s">
        <v>845</v>
      </c>
      <c r="N290" t="s">
        <v>846</v>
      </c>
      <c r="O290" t="s">
        <v>82</v>
      </c>
      <c r="P290" t="str">
        <f>"4170036973                    "</f>
        <v xml:space="preserve">4170036973                    </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49.73</v>
      </c>
      <c r="AR290">
        <v>0</v>
      </c>
      <c r="AS290">
        <v>0</v>
      </c>
      <c r="AT290">
        <v>0</v>
      </c>
      <c r="AU290">
        <v>0</v>
      </c>
      <c r="AV290">
        <v>0</v>
      </c>
      <c r="AW290">
        <v>0</v>
      </c>
      <c r="AX290">
        <v>0</v>
      </c>
      <c r="AY290">
        <v>0</v>
      </c>
      <c r="AZ290">
        <v>0</v>
      </c>
      <c r="BA290">
        <v>0</v>
      </c>
      <c r="BB290">
        <v>0</v>
      </c>
      <c r="BC290">
        <v>0</v>
      </c>
      <c r="BD290">
        <v>0</v>
      </c>
      <c r="BE290">
        <v>0</v>
      </c>
      <c r="BF290">
        <v>0</v>
      </c>
      <c r="BG290">
        <v>0</v>
      </c>
      <c r="BH290">
        <v>1</v>
      </c>
      <c r="BI290">
        <v>2</v>
      </c>
      <c r="BJ290">
        <v>4.0999999999999996</v>
      </c>
      <c r="BK290">
        <v>4.5</v>
      </c>
      <c r="BL290">
        <v>159.03</v>
      </c>
      <c r="BM290">
        <v>23.85</v>
      </c>
      <c r="BN290">
        <v>182.88</v>
      </c>
      <c r="BO290">
        <v>182.88</v>
      </c>
      <c r="BQ290" t="s">
        <v>847</v>
      </c>
      <c r="BR290" t="s">
        <v>84</v>
      </c>
      <c r="BS290" s="3">
        <v>45784</v>
      </c>
      <c r="BT290" s="4">
        <v>0.39861111111111114</v>
      </c>
      <c r="BU290" t="s">
        <v>848</v>
      </c>
      <c r="BV290" t="s">
        <v>89</v>
      </c>
      <c r="BY290">
        <v>20358</v>
      </c>
      <c r="CA290" t="s">
        <v>849</v>
      </c>
      <c r="CC290" t="s">
        <v>845</v>
      </c>
      <c r="CD290">
        <v>7600</v>
      </c>
      <c r="CE290" t="s">
        <v>96</v>
      </c>
      <c r="CF290" s="3">
        <v>45785</v>
      </c>
      <c r="CI290">
        <v>1</v>
      </c>
      <c r="CJ290">
        <v>2</v>
      </c>
      <c r="CK290">
        <v>21</v>
      </c>
      <c r="CL290" t="s">
        <v>89</v>
      </c>
    </row>
    <row r="291" spans="1:90" x14ac:dyDescent="0.3">
      <c r="A291" t="s">
        <v>72</v>
      </c>
      <c r="B291" t="s">
        <v>73</v>
      </c>
      <c r="C291" t="s">
        <v>74</v>
      </c>
      <c r="E291" t="str">
        <f>"080065127871"</f>
        <v>080065127871</v>
      </c>
      <c r="F291" s="3">
        <v>45779</v>
      </c>
      <c r="G291">
        <v>202602</v>
      </c>
      <c r="H291" t="s">
        <v>75</v>
      </c>
      <c r="I291" t="s">
        <v>76</v>
      </c>
      <c r="J291" t="s">
        <v>77</v>
      </c>
      <c r="K291" t="s">
        <v>78</v>
      </c>
      <c r="L291" t="s">
        <v>75</v>
      </c>
      <c r="M291" t="s">
        <v>76</v>
      </c>
      <c r="N291" t="s">
        <v>850</v>
      </c>
      <c r="O291" t="s">
        <v>82</v>
      </c>
      <c r="P291" t="str">
        <f>"4170036703                    "</f>
        <v xml:space="preserve">4170036703                    </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17.27</v>
      </c>
      <c r="AR291">
        <v>0</v>
      </c>
      <c r="AS291">
        <v>0</v>
      </c>
      <c r="AT291">
        <v>0</v>
      </c>
      <c r="AU291">
        <v>0</v>
      </c>
      <c r="AV291">
        <v>0</v>
      </c>
      <c r="AW291">
        <v>0</v>
      </c>
      <c r="AX291">
        <v>0</v>
      </c>
      <c r="AY291">
        <v>0</v>
      </c>
      <c r="AZ291">
        <v>0</v>
      </c>
      <c r="BA291">
        <v>0</v>
      </c>
      <c r="BB291">
        <v>0</v>
      </c>
      <c r="BC291">
        <v>0</v>
      </c>
      <c r="BD291">
        <v>0</v>
      </c>
      <c r="BE291">
        <v>0</v>
      </c>
      <c r="BF291">
        <v>0</v>
      </c>
      <c r="BG291">
        <v>0</v>
      </c>
      <c r="BH291">
        <v>1</v>
      </c>
      <c r="BI291">
        <v>1</v>
      </c>
      <c r="BJ291">
        <v>0.2</v>
      </c>
      <c r="BK291">
        <v>1</v>
      </c>
      <c r="BL291">
        <v>55.23</v>
      </c>
      <c r="BM291">
        <v>8.2799999999999994</v>
      </c>
      <c r="BN291">
        <v>63.51</v>
      </c>
      <c r="BO291">
        <v>63.51</v>
      </c>
      <c r="BQ291" t="s">
        <v>851</v>
      </c>
      <c r="BR291" t="s">
        <v>84</v>
      </c>
      <c r="BS291" s="3">
        <v>45782</v>
      </c>
      <c r="BT291" s="4">
        <v>0.33333333333333331</v>
      </c>
      <c r="BU291" t="s">
        <v>852</v>
      </c>
      <c r="BV291" t="s">
        <v>86</v>
      </c>
      <c r="BY291">
        <v>1200</v>
      </c>
      <c r="BZ291" t="s">
        <v>127</v>
      </c>
      <c r="CA291" t="s">
        <v>853</v>
      </c>
      <c r="CC291" t="s">
        <v>76</v>
      </c>
      <c r="CD291">
        <v>1666</v>
      </c>
      <c r="CE291" t="s">
        <v>88</v>
      </c>
      <c r="CF291" s="3">
        <v>45783</v>
      </c>
      <c r="CI291">
        <v>1</v>
      </c>
      <c r="CJ291">
        <v>1</v>
      </c>
      <c r="CK291">
        <v>22</v>
      </c>
      <c r="CL291" t="s">
        <v>89</v>
      </c>
    </row>
    <row r="292" spans="1:90" x14ac:dyDescent="0.3">
      <c r="A292" t="s">
        <v>72</v>
      </c>
      <c r="B292" t="s">
        <v>73</v>
      </c>
      <c r="C292" t="s">
        <v>74</v>
      </c>
      <c r="E292" t="str">
        <f>"080065281723"</f>
        <v>080065281723</v>
      </c>
      <c r="F292" s="3">
        <v>45786</v>
      </c>
      <c r="G292">
        <v>202602</v>
      </c>
      <c r="H292" t="s">
        <v>75</v>
      </c>
      <c r="I292" t="s">
        <v>76</v>
      </c>
      <c r="J292" t="s">
        <v>77</v>
      </c>
      <c r="K292" t="s">
        <v>78</v>
      </c>
      <c r="L292" t="s">
        <v>713</v>
      </c>
      <c r="M292" t="s">
        <v>714</v>
      </c>
      <c r="N292" t="s">
        <v>715</v>
      </c>
      <c r="O292" t="s">
        <v>82</v>
      </c>
      <c r="P292" t="str">
        <f>"4170037652                    "</f>
        <v xml:space="preserve">4170037652                    </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41.43</v>
      </c>
      <c r="AR292">
        <v>0</v>
      </c>
      <c r="AS292">
        <v>0</v>
      </c>
      <c r="AT292">
        <v>0</v>
      </c>
      <c r="AU292">
        <v>0</v>
      </c>
      <c r="AV292">
        <v>0</v>
      </c>
      <c r="AW292">
        <v>0</v>
      </c>
      <c r="AX292">
        <v>0</v>
      </c>
      <c r="AY292">
        <v>0</v>
      </c>
      <c r="AZ292">
        <v>0</v>
      </c>
      <c r="BA292">
        <v>0</v>
      </c>
      <c r="BB292">
        <v>0</v>
      </c>
      <c r="BC292">
        <v>0</v>
      </c>
      <c r="BD292">
        <v>0</v>
      </c>
      <c r="BE292">
        <v>0</v>
      </c>
      <c r="BF292">
        <v>0</v>
      </c>
      <c r="BG292">
        <v>0</v>
      </c>
      <c r="BH292">
        <v>1</v>
      </c>
      <c r="BI292">
        <v>1</v>
      </c>
      <c r="BJ292">
        <v>0.2</v>
      </c>
      <c r="BK292">
        <v>1</v>
      </c>
      <c r="BL292">
        <v>135.59</v>
      </c>
      <c r="BM292">
        <v>20.34</v>
      </c>
      <c r="BN292">
        <v>155.93</v>
      </c>
      <c r="BO292">
        <v>155.93</v>
      </c>
      <c r="BQ292" t="s">
        <v>716</v>
      </c>
      <c r="BR292" t="s">
        <v>84</v>
      </c>
      <c r="BS292" s="3">
        <v>45790</v>
      </c>
      <c r="BT292" s="4">
        <v>0.375</v>
      </c>
      <c r="BU292" t="s">
        <v>854</v>
      </c>
      <c r="BV292" t="s">
        <v>86</v>
      </c>
      <c r="BY292">
        <v>1200</v>
      </c>
      <c r="CA292" t="s">
        <v>231</v>
      </c>
      <c r="CC292" t="s">
        <v>714</v>
      </c>
      <c r="CD292">
        <v>6300</v>
      </c>
      <c r="CE292" t="s">
        <v>88</v>
      </c>
      <c r="CF292" s="3">
        <v>45790</v>
      </c>
      <c r="CI292">
        <v>2</v>
      </c>
      <c r="CJ292">
        <v>2</v>
      </c>
      <c r="CK292">
        <v>23</v>
      </c>
      <c r="CL292" t="s">
        <v>89</v>
      </c>
    </row>
    <row r="293" spans="1:90" x14ac:dyDescent="0.3">
      <c r="A293" t="s">
        <v>72</v>
      </c>
      <c r="B293" t="s">
        <v>73</v>
      </c>
      <c r="C293" t="s">
        <v>74</v>
      </c>
      <c r="E293" t="str">
        <f>"080065194317"</f>
        <v>080065194317</v>
      </c>
      <c r="F293" s="3">
        <v>45783</v>
      </c>
      <c r="G293">
        <v>202602</v>
      </c>
      <c r="H293" t="s">
        <v>75</v>
      </c>
      <c r="I293" t="s">
        <v>76</v>
      </c>
      <c r="J293" t="s">
        <v>77</v>
      </c>
      <c r="K293" t="s">
        <v>78</v>
      </c>
      <c r="L293" t="s">
        <v>117</v>
      </c>
      <c r="M293" t="s">
        <v>118</v>
      </c>
      <c r="N293" t="s">
        <v>855</v>
      </c>
      <c r="O293" t="s">
        <v>82</v>
      </c>
      <c r="P293" t="str">
        <f>"4170037073                    "</f>
        <v xml:space="preserve">4170037073                    </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17.27</v>
      </c>
      <c r="AR293">
        <v>0</v>
      </c>
      <c r="AS293">
        <v>0</v>
      </c>
      <c r="AT293">
        <v>0</v>
      </c>
      <c r="AU293">
        <v>0</v>
      </c>
      <c r="AV293">
        <v>0</v>
      </c>
      <c r="AW293">
        <v>0</v>
      </c>
      <c r="AX293">
        <v>0</v>
      </c>
      <c r="AY293">
        <v>0</v>
      </c>
      <c r="AZ293">
        <v>0</v>
      </c>
      <c r="BA293">
        <v>0</v>
      </c>
      <c r="BB293">
        <v>0</v>
      </c>
      <c r="BC293">
        <v>0</v>
      </c>
      <c r="BD293">
        <v>0</v>
      </c>
      <c r="BE293">
        <v>0</v>
      </c>
      <c r="BF293">
        <v>0</v>
      </c>
      <c r="BG293">
        <v>0</v>
      </c>
      <c r="BH293">
        <v>1</v>
      </c>
      <c r="BI293">
        <v>1</v>
      </c>
      <c r="BJ293">
        <v>0.2</v>
      </c>
      <c r="BK293">
        <v>1</v>
      </c>
      <c r="BL293">
        <v>55.23</v>
      </c>
      <c r="BM293">
        <v>8.2799999999999994</v>
      </c>
      <c r="BN293">
        <v>63.51</v>
      </c>
      <c r="BO293">
        <v>63.51</v>
      </c>
      <c r="BQ293" t="s">
        <v>856</v>
      </c>
      <c r="BR293" t="s">
        <v>84</v>
      </c>
      <c r="BS293" s="3">
        <v>45790</v>
      </c>
      <c r="BT293" s="4">
        <v>0.36527777777777776</v>
      </c>
      <c r="BU293" t="s">
        <v>857</v>
      </c>
      <c r="BV293" t="s">
        <v>89</v>
      </c>
      <c r="BW293" t="s">
        <v>148</v>
      </c>
      <c r="BX293" t="s">
        <v>858</v>
      </c>
      <c r="BY293">
        <v>1200</v>
      </c>
      <c r="CC293" t="s">
        <v>118</v>
      </c>
      <c r="CD293">
        <v>2059</v>
      </c>
      <c r="CE293" t="s">
        <v>176</v>
      </c>
      <c r="CF293" s="3">
        <v>45791</v>
      </c>
      <c r="CI293">
        <v>1</v>
      </c>
      <c r="CJ293">
        <v>5</v>
      </c>
      <c r="CK293">
        <v>22</v>
      </c>
      <c r="CL293" t="s">
        <v>89</v>
      </c>
    </row>
    <row r="294" spans="1:90" x14ac:dyDescent="0.3">
      <c r="A294" t="s">
        <v>72</v>
      </c>
      <c r="B294" t="s">
        <v>73</v>
      </c>
      <c r="C294" t="s">
        <v>74</v>
      </c>
      <c r="E294" t="str">
        <f>"080065194318"</f>
        <v>080065194318</v>
      </c>
      <c r="F294" s="3">
        <v>45783</v>
      </c>
      <c r="G294">
        <v>202602</v>
      </c>
      <c r="H294" t="s">
        <v>75</v>
      </c>
      <c r="I294" t="s">
        <v>76</v>
      </c>
      <c r="J294" t="s">
        <v>77</v>
      </c>
      <c r="K294" t="s">
        <v>78</v>
      </c>
      <c r="L294" t="s">
        <v>103</v>
      </c>
      <c r="M294" t="s">
        <v>104</v>
      </c>
      <c r="N294" t="s">
        <v>228</v>
      </c>
      <c r="O294" t="s">
        <v>82</v>
      </c>
      <c r="P294" t="str">
        <f>"4170037014                    "</f>
        <v xml:space="preserve">4170037014                    </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33.159999999999997</v>
      </c>
      <c r="AR294">
        <v>0</v>
      </c>
      <c r="AS294">
        <v>0</v>
      </c>
      <c r="AT294">
        <v>0</v>
      </c>
      <c r="AU294">
        <v>0</v>
      </c>
      <c r="AV294">
        <v>0</v>
      </c>
      <c r="AW294">
        <v>16.739999999999998</v>
      </c>
      <c r="AX294">
        <v>0</v>
      </c>
      <c r="AY294">
        <v>0</v>
      </c>
      <c r="AZ294">
        <v>0</v>
      </c>
      <c r="BA294">
        <v>0</v>
      </c>
      <c r="BB294">
        <v>0</v>
      </c>
      <c r="BC294">
        <v>0</v>
      </c>
      <c r="BD294">
        <v>0</v>
      </c>
      <c r="BE294">
        <v>0</v>
      </c>
      <c r="BF294">
        <v>0</v>
      </c>
      <c r="BG294">
        <v>0</v>
      </c>
      <c r="BH294">
        <v>1</v>
      </c>
      <c r="BI294">
        <v>3</v>
      </c>
      <c r="BJ294">
        <v>1.7</v>
      </c>
      <c r="BK294">
        <v>3</v>
      </c>
      <c r="BL294">
        <v>122.78</v>
      </c>
      <c r="BM294">
        <v>18.420000000000002</v>
      </c>
      <c r="BN294">
        <v>141.19999999999999</v>
      </c>
      <c r="BO294">
        <v>141.19999999999999</v>
      </c>
      <c r="BQ294" t="s">
        <v>229</v>
      </c>
      <c r="BR294" t="s">
        <v>84</v>
      </c>
      <c r="BS294" s="3">
        <v>45784</v>
      </c>
      <c r="BT294" s="4">
        <v>0.62777777777777777</v>
      </c>
      <c r="BU294" t="s">
        <v>859</v>
      </c>
      <c r="BV294" t="s">
        <v>86</v>
      </c>
      <c r="BY294">
        <v>8550</v>
      </c>
      <c r="BZ294" t="s">
        <v>30</v>
      </c>
      <c r="CA294" t="s">
        <v>860</v>
      </c>
      <c r="CC294" t="s">
        <v>104</v>
      </c>
      <c r="CD294">
        <v>3699</v>
      </c>
      <c r="CE294" t="s">
        <v>176</v>
      </c>
      <c r="CF294" s="3">
        <v>45784</v>
      </c>
      <c r="CI294">
        <v>1</v>
      </c>
      <c r="CJ294">
        <v>1</v>
      </c>
      <c r="CK294">
        <v>21</v>
      </c>
      <c r="CL294" t="s">
        <v>89</v>
      </c>
    </row>
    <row r="295" spans="1:90" x14ac:dyDescent="0.3">
      <c r="A295" t="s">
        <v>72</v>
      </c>
      <c r="B295" t="s">
        <v>73</v>
      </c>
      <c r="C295" t="s">
        <v>74</v>
      </c>
      <c r="E295" t="str">
        <f>"080065187944"</f>
        <v>080065187944</v>
      </c>
      <c r="F295" s="3">
        <v>45783</v>
      </c>
      <c r="G295">
        <v>202602</v>
      </c>
      <c r="H295" t="s">
        <v>75</v>
      </c>
      <c r="I295" t="s">
        <v>76</v>
      </c>
      <c r="J295" t="s">
        <v>77</v>
      </c>
      <c r="K295" t="s">
        <v>78</v>
      </c>
      <c r="L295" t="s">
        <v>75</v>
      </c>
      <c r="M295" t="s">
        <v>76</v>
      </c>
      <c r="N295" t="s">
        <v>803</v>
      </c>
      <c r="O295" t="s">
        <v>82</v>
      </c>
      <c r="P295" t="str">
        <f>"4170037030                    "</f>
        <v xml:space="preserve">4170037030                    </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17.27</v>
      </c>
      <c r="AR295">
        <v>0</v>
      </c>
      <c r="AS295">
        <v>0</v>
      </c>
      <c r="AT295">
        <v>0</v>
      </c>
      <c r="AU295">
        <v>0</v>
      </c>
      <c r="AV295">
        <v>0</v>
      </c>
      <c r="AW295">
        <v>0</v>
      </c>
      <c r="AX295">
        <v>0</v>
      </c>
      <c r="AY295">
        <v>0</v>
      </c>
      <c r="AZ295">
        <v>0</v>
      </c>
      <c r="BA295">
        <v>0</v>
      </c>
      <c r="BB295">
        <v>0</v>
      </c>
      <c r="BC295">
        <v>0</v>
      </c>
      <c r="BD295">
        <v>0</v>
      </c>
      <c r="BE295">
        <v>0</v>
      </c>
      <c r="BF295">
        <v>0</v>
      </c>
      <c r="BG295">
        <v>0</v>
      </c>
      <c r="BH295">
        <v>1</v>
      </c>
      <c r="BI295">
        <v>1</v>
      </c>
      <c r="BJ295">
        <v>0.2</v>
      </c>
      <c r="BK295">
        <v>1</v>
      </c>
      <c r="BL295">
        <v>55.23</v>
      </c>
      <c r="BM295">
        <v>8.2799999999999994</v>
      </c>
      <c r="BN295">
        <v>63.51</v>
      </c>
      <c r="BO295">
        <v>63.51</v>
      </c>
      <c r="BQ295" t="s">
        <v>804</v>
      </c>
      <c r="BR295" t="s">
        <v>84</v>
      </c>
      <c r="BS295" s="3">
        <v>45784</v>
      </c>
      <c r="BT295" s="4">
        <v>0.41319444444444442</v>
      </c>
      <c r="BU295" t="s">
        <v>861</v>
      </c>
      <c r="BV295" t="s">
        <v>86</v>
      </c>
      <c r="BY295">
        <v>1200</v>
      </c>
      <c r="CA295" t="s">
        <v>484</v>
      </c>
      <c r="CC295" t="s">
        <v>76</v>
      </c>
      <c r="CD295">
        <v>1619</v>
      </c>
      <c r="CE295" t="s">
        <v>88</v>
      </c>
      <c r="CF295" s="3">
        <v>45784</v>
      </c>
      <c r="CI295">
        <v>1</v>
      </c>
      <c r="CJ295">
        <v>1</v>
      </c>
      <c r="CK295">
        <v>22</v>
      </c>
      <c r="CL295" t="s">
        <v>89</v>
      </c>
    </row>
    <row r="296" spans="1:90" x14ac:dyDescent="0.3">
      <c r="A296" t="s">
        <v>72</v>
      </c>
      <c r="B296" t="s">
        <v>73</v>
      </c>
      <c r="C296" t="s">
        <v>74</v>
      </c>
      <c r="E296" t="str">
        <f>"080065187981"</f>
        <v>080065187981</v>
      </c>
      <c r="F296" s="3">
        <v>45783</v>
      </c>
      <c r="G296">
        <v>202602</v>
      </c>
      <c r="H296" t="s">
        <v>75</v>
      </c>
      <c r="I296" t="s">
        <v>76</v>
      </c>
      <c r="J296" t="s">
        <v>77</v>
      </c>
      <c r="K296" t="s">
        <v>78</v>
      </c>
      <c r="L296" t="s">
        <v>79</v>
      </c>
      <c r="M296" t="s">
        <v>80</v>
      </c>
      <c r="N296" t="s">
        <v>862</v>
      </c>
      <c r="O296" t="s">
        <v>82</v>
      </c>
      <c r="P296" t="str">
        <f>"4170036983                    "</f>
        <v xml:space="preserve">4170036983                    </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121.54</v>
      </c>
      <c r="AR296">
        <v>0</v>
      </c>
      <c r="AS296">
        <v>0</v>
      </c>
      <c r="AT296">
        <v>0</v>
      </c>
      <c r="AU296">
        <v>0</v>
      </c>
      <c r="AV296">
        <v>0</v>
      </c>
      <c r="AW296">
        <v>0</v>
      </c>
      <c r="AX296">
        <v>0</v>
      </c>
      <c r="AY296">
        <v>0</v>
      </c>
      <c r="AZ296">
        <v>0</v>
      </c>
      <c r="BA296">
        <v>0</v>
      </c>
      <c r="BB296">
        <v>0</v>
      </c>
      <c r="BC296">
        <v>0</v>
      </c>
      <c r="BD296">
        <v>0</v>
      </c>
      <c r="BE296">
        <v>0</v>
      </c>
      <c r="BF296">
        <v>0</v>
      </c>
      <c r="BG296">
        <v>0</v>
      </c>
      <c r="BH296">
        <v>1</v>
      </c>
      <c r="BI296">
        <v>8</v>
      </c>
      <c r="BJ296">
        <v>10.8</v>
      </c>
      <c r="BK296">
        <v>11</v>
      </c>
      <c r="BL296">
        <v>388.66</v>
      </c>
      <c r="BM296">
        <v>58.3</v>
      </c>
      <c r="BN296">
        <v>446.96</v>
      </c>
      <c r="BO296">
        <v>446.96</v>
      </c>
      <c r="BQ296" t="s">
        <v>863</v>
      </c>
      <c r="BR296" t="s">
        <v>84</v>
      </c>
      <c r="BS296" s="3">
        <v>45784</v>
      </c>
      <c r="BT296" s="4">
        <v>0.43194444444444446</v>
      </c>
      <c r="BU296" t="s">
        <v>864</v>
      </c>
      <c r="BV296" t="s">
        <v>86</v>
      </c>
      <c r="BY296">
        <v>53820</v>
      </c>
      <c r="CA296" t="s">
        <v>160</v>
      </c>
      <c r="CC296" t="s">
        <v>80</v>
      </c>
      <c r="CD296">
        <v>3610</v>
      </c>
      <c r="CE296" t="s">
        <v>96</v>
      </c>
      <c r="CF296" s="3">
        <v>45785</v>
      </c>
      <c r="CI296">
        <v>1</v>
      </c>
      <c r="CJ296">
        <v>1</v>
      </c>
      <c r="CK296">
        <v>21</v>
      </c>
      <c r="CL296" t="s">
        <v>89</v>
      </c>
    </row>
    <row r="297" spans="1:90" x14ac:dyDescent="0.3">
      <c r="A297" t="s">
        <v>72</v>
      </c>
      <c r="B297" t="s">
        <v>73</v>
      </c>
      <c r="C297" t="s">
        <v>74</v>
      </c>
      <c r="E297" t="str">
        <f>"080065188019"</f>
        <v>080065188019</v>
      </c>
      <c r="F297" s="3">
        <v>45783</v>
      </c>
      <c r="G297">
        <v>202602</v>
      </c>
      <c r="H297" t="s">
        <v>75</v>
      </c>
      <c r="I297" t="s">
        <v>76</v>
      </c>
      <c r="J297" t="s">
        <v>77</v>
      </c>
      <c r="K297" t="s">
        <v>78</v>
      </c>
      <c r="L297" t="s">
        <v>130</v>
      </c>
      <c r="M297" t="s">
        <v>131</v>
      </c>
      <c r="N297" t="s">
        <v>865</v>
      </c>
      <c r="O297" t="s">
        <v>82</v>
      </c>
      <c r="P297" t="str">
        <f>"4170036988                    "</f>
        <v xml:space="preserve">4170036988                    </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66.3</v>
      </c>
      <c r="AR297">
        <v>0</v>
      </c>
      <c r="AS297">
        <v>0</v>
      </c>
      <c r="AT297">
        <v>0</v>
      </c>
      <c r="AU297">
        <v>0</v>
      </c>
      <c r="AV297">
        <v>0</v>
      </c>
      <c r="AW297">
        <v>0</v>
      </c>
      <c r="AX297">
        <v>0</v>
      </c>
      <c r="AY297">
        <v>0</v>
      </c>
      <c r="AZ297">
        <v>0</v>
      </c>
      <c r="BA297">
        <v>0</v>
      </c>
      <c r="BB297">
        <v>0</v>
      </c>
      <c r="BC297">
        <v>0</v>
      </c>
      <c r="BD297">
        <v>0</v>
      </c>
      <c r="BE297">
        <v>0</v>
      </c>
      <c r="BF297">
        <v>0</v>
      </c>
      <c r="BG297">
        <v>0</v>
      </c>
      <c r="BH297">
        <v>1</v>
      </c>
      <c r="BI297">
        <v>6</v>
      </c>
      <c r="BJ297">
        <v>3.2</v>
      </c>
      <c r="BK297">
        <v>6</v>
      </c>
      <c r="BL297">
        <v>212.02</v>
      </c>
      <c r="BM297">
        <v>31.8</v>
      </c>
      <c r="BN297">
        <v>243.82</v>
      </c>
      <c r="BO297">
        <v>243.82</v>
      </c>
      <c r="BQ297" t="s">
        <v>866</v>
      </c>
      <c r="BR297" t="s">
        <v>84</v>
      </c>
      <c r="BS297" s="3">
        <v>45784</v>
      </c>
      <c r="BT297" s="4">
        <v>0.4777777777777778</v>
      </c>
      <c r="BU297" t="s">
        <v>867</v>
      </c>
      <c r="BV297" t="s">
        <v>89</v>
      </c>
      <c r="BW297" t="s">
        <v>340</v>
      </c>
      <c r="BX297" t="s">
        <v>578</v>
      </c>
      <c r="BY297">
        <v>16128</v>
      </c>
      <c r="CA297" t="s">
        <v>429</v>
      </c>
      <c r="CC297" t="s">
        <v>131</v>
      </c>
      <c r="CD297">
        <v>7945</v>
      </c>
      <c r="CE297" t="s">
        <v>96</v>
      </c>
      <c r="CF297" s="3">
        <v>45785</v>
      </c>
      <c r="CI297">
        <v>1</v>
      </c>
      <c r="CJ297">
        <v>1</v>
      </c>
      <c r="CK297">
        <v>21</v>
      </c>
      <c r="CL297" t="s">
        <v>89</v>
      </c>
    </row>
    <row r="298" spans="1:90" x14ac:dyDescent="0.3">
      <c r="A298" t="s">
        <v>72</v>
      </c>
      <c r="B298" t="s">
        <v>73</v>
      </c>
      <c r="C298" t="s">
        <v>74</v>
      </c>
      <c r="E298" t="str">
        <f>"080065188064"</f>
        <v>080065188064</v>
      </c>
      <c r="F298" s="3">
        <v>45783</v>
      </c>
      <c r="G298">
        <v>202602</v>
      </c>
      <c r="H298" t="s">
        <v>75</v>
      </c>
      <c r="I298" t="s">
        <v>76</v>
      </c>
      <c r="J298" t="s">
        <v>77</v>
      </c>
      <c r="K298" t="s">
        <v>78</v>
      </c>
      <c r="L298" t="s">
        <v>672</v>
      </c>
      <c r="M298" t="s">
        <v>673</v>
      </c>
      <c r="N298" t="s">
        <v>674</v>
      </c>
      <c r="O298" t="s">
        <v>82</v>
      </c>
      <c r="P298" t="str">
        <f>"4170037017                    "</f>
        <v xml:space="preserve">4170037017                    </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139.58000000000001</v>
      </c>
      <c r="AR298">
        <v>0</v>
      </c>
      <c r="AS298">
        <v>0</v>
      </c>
      <c r="AT298">
        <v>0</v>
      </c>
      <c r="AU298">
        <v>0</v>
      </c>
      <c r="AV298">
        <v>0</v>
      </c>
      <c r="AW298">
        <v>0</v>
      </c>
      <c r="AX298">
        <v>0</v>
      </c>
      <c r="AY298">
        <v>0</v>
      </c>
      <c r="AZ298">
        <v>0</v>
      </c>
      <c r="BA298">
        <v>0</v>
      </c>
      <c r="BB298">
        <v>0</v>
      </c>
      <c r="BC298">
        <v>0</v>
      </c>
      <c r="BD298">
        <v>0</v>
      </c>
      <c r="BE298">
        <v>0</v>
      </c>
      <c r="BF298">
        <v>0</v>
      </c>
      <c r="BG298">
        <v>0</v>
      </c>
      <c r="BH298">
        <v>1</v>
      </c>
      <c r="BI298">
        <v>7</v>
      </c>
      <c r="BJ298">
        <v>4.5</v>
      </c>
      <c r="BK298">
        <v>7</v>
      </c>
      <c r="BL298">
        <v>446.34</v>
      </c>
      <c r="BM298">
        <v>66.95</v>
      </c>
      <c r="BN298">
        <v>513.29</v>
      </c>
      <c r="BO298">
        <v>513.29</v>
      </c>
      <c r="BQ298" t="s">
        <v>675</v>
      </c>
      <c r="BR298" t="s">
        <v>84</v>
      </c>
      <c r="BS298" s="3">
        <v>45784</v>
      </c>
      <c r="BT298" s="4">
        <v>0.40416666666666667</v>
      </c>
      <c r="BU298" t="s">
        <v>676</v>
      </c>
      <c r="BV298" t="s">
        <v>86</v>
      </c>
      <c r="BY298">
        <v>22620</v>
      </c>
      <c r="CA298" t="s">
        <v>677</v>
      </c>
      <c r="CC298" t="s">
        <v>673</v>
      </c>
      <c r="CD298">
        <v>2531</v>
      </c>
      <c r="CE298" t="s">
        <v>96</v>
      </c>
      <c r="CF298" s="3">
        <v>45785</v>
      </c>
      <c r="CI298">
        <v>1</v>
      </c>
      <c r="CJ298">
        <v>1</v>
      </c>
      <c r="CK298">
        <v>23</v>
      </c>
      <c r="CL298" t="s">
        <v>89</v>
      </c>
    </row>
    <row r="299" spans="1:90" x14ac:dyDescent="0.3">
      <c r="A299" t="s">
        <v>72</v>
      </c>
      <c r="B299" t="s">
        <v>73</v>
      </c>
      <c r="C299" t="s">
        <v>74</v>
      </c>
      <c r="E299" t="str">
        <f>"080065188131"</f>
        <v>080065188131</v>
      </c>
      <c r="F299" s="3">
        <v>45783</v>
      </c>
      <c r="G299">
        <v>202602</v>
      </c>
      <c r="H299" t="s">
        <v>75</v>
      </c>
      <c r="I299" t="s">
        <v>76</v>
      </c>
      <c r="J299" t="s">
        <v>77</v>
      </c>
      <c r="K299" t="s">
        <v>78</v>
      </c>
      <c r="L299" t="s">
        <v>130</v>
      </c>
      <c r="M299" t="s">
        <v>131</v>
      </c>
      <c r="N299" t="s">
        <v>868</v>
      </c>
      <c r="O299" t="s">
        <v>300</v>
      </c>
      <c r="P299" t="str">
        <f>"4170036975                    "</f>
        <v xml:space="preserve">4170036975                    </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58.65</v>
      </c>
      <c r="AR299">
        <v>0</v>
      </c>
      <c r="AS299">
        <v>0</v>
      </c>
      <c r="AT299">
        <v>0</v>
      </c>
      <c r="AU299">
        <v>0</v>
      </c>
      <c r="AV299">
        <v>0</v>
      </c>
      <c r="AW299">
        <v>0</v>
      </c>
      <c r="AX299">
        <v>0</v>
      </c>
      <c r="AY299">
        <v>0</v>
      </c>
      <c r="AZ299">
        <v>0</v>
      </c>
      <c r="BA299">
        <v>0</v>
      </c>
      <c r="BB299">
        <v>0</v>
      </c>
      <c r="BC299">
        <v>0</v>
      </c>
      <c r="BD299">
        <v>0</v>
      </c>
      <c r="BE299">
        <v>0</v>
      </c>
      <c r="BF299">
        <v>0</v>
      </c>
      <c r="BG299">
        <v>0</v>
      </c>
      <c r="BH299">
        <v>2</v>
      </c>
      <c r="BI299">
        <v>11</v>
      </c>
      <c r="BJ299">
        <v>24</v>
      </c>
      <c r="BK299">
        <v>24</v>
      </c>
      <c r="BL299">
        <v>193.12</v>
      </c>
      <c r="BM299">
        <v>28.97</v>
      </c>
      <c r="BN299">
        <v>222.09</v>
      </c>
      <c r="BO299">
        <v>222.09</v>
      </c>
      <c r="BQ299" t="s">
        <v>869</v>
      </c>
      <c r="BR299" t="s">
        <v>84</v>
      </c>
      <c r="BS299" s="3">
        <v>45785</v>
      </c>
      <c r="BT299" s="4">
        <v>0.3888888888888889</v>
      </c>
      <c r="BU299" t="s">
        <v>339</v>
      </c>
      <c r="BV299" t="s">
        <v>86</v>
      </c>
      <c r="BY299">
        <v>120000</v>
      </c>
      <c r="CA299" t="s">
        <v>870</v>
      </c>
      <c r="CC299" t="s">
        <v>131</v>
      </c>
      <c r="CD299">
        <v>7490</v>
      </c>
      <c r="CE299" t="s">
        <v>96</v>
      </c>
      <c r="CF299" s="3">
        <v>45786</v>
      </c>
      <c r="CI299">
        <v>3</v>
      </c>
      <c r="CJ299">
        <v>2</v>
      </c>
      <c r="CK299">
        <v>41</v>
      </c>
      <c r="CL299" t="s">
        <v>89</v>
      </c>
    </row>
    <row r="300" spans="1:90" x14ac:dyDescent="0.3">
      <c r="A300" t="s">
        <v>72</v>
      </c>
      <c r="B300" t="s">
        <v>73</v>
      </c>
      <c r="C300" t="s">
        <v>74</v>
      </c>
      <c r="E300" t="str">
        <f>"080065188259"</f>
        <v>080065188259</v>
      </c>
      <c r="F300" s="3">
        <v>45783</v>
      </c>
      <c r="G300">
        <v>202602</v>
      </c>
      <c r="H300" t="s">
        <v>75</v>
      </c>
      <c r="I300" t="s">
        <v>76</v>
      </c>
      <c r="J300" t="s">
        <v>77</v>
      </c>
      <c r="K300" t="s">
        <v>78</v>
      </c>
      <c r="L300" t="s">
        <v>871</v>
      </c>
      <c r="M300" t="s">
        <v>872</v>
      </c>
      <c r="N300" t="s">
        <v>873</v>
      </c>
      <c r="O300" t="s">
        <v>82</v>
      </c>
      <c r="P300" t="str">
        <f>"4170037023                    "</f>
        <v xml:space="preserve">4170037023                    </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42.84</v>
      </c>
      <c r="AR300">
        <v>0</v>
      </c>
      <c r="AS300">
        <v>0</v>
      </c>
      <c r="AT300">
        <v>0</v>
      </c>
      <c r="AU300">
        <v>0</v>
      </c>
      <c r="AV300">
        <v>0</v>
      </c>
      <c r="AW300">
        <v>0</v>
      </c>
      <c r="AX300">
        <v>0</v>
      </c>
      <c r="AY300">
        <v>0</v>
      </c>
      <c r="AZ300">
        <v>0</v>
      </c>
      <c r="BA300">
        <v>0</v>
      </c>
      <c r="BB300">
        <v>0</v>
      </c>
      <c r="BC300">
        <v>0</v>
      </c>
      <c r="BD300">
        <v>0</v>
      </c>
      <c r="BE300">
        <v>0</v>
      </c>
      <c r="BF300">
        <v>0</v>
      </c>
      <c r="BG300">
        <v>0</v>
      </c>
      <c r="BH300">
        <v>1</v>
      </c>
      <c r="BI300">
        <v>2</v>
      </c>
      <c r="BJ300">
        <v>0.9</v>
      </c>
      <c r="BK300">
        <v>2</v>
      </c>
      <c r="BL300">
        <v>137</v>
      </c>
      <c r="BM300">
        <v>20.55</v>
      </c>
      <c r="BN300">
        <v>157.55000000000001</v>
      </c>
      <c r="BO300">
        <v>157.55000000000001</v>
      </c>
      <c r="BQ300" t="s">
        <v>874</v>
      </c>
      <c r="BR300" t="s">
        <v>84</v>
      </c>
      <c r="BS300" s="3">
        <v>45784</v>
      </c>
      <c r="BT300" s="4">
        <v>0.4375</v>
      </c>
      <c r="BU300" t="s">
        <v>875</v>
      </c>
      <c r="BV300" t="s">
        <v>86</v>
      </c>
      <c r="BY300">
        <v>4560</v>
      </c>
      <c r="CC300" t="s">
        <v>872</v>
      </c>
      <c r="CD300">
        <v>2302</v>
      </c>
      <c r="CE300" t="s">
        <v>176</v>
      </c>
      <c r="CF300" s="3">
        <v>45785</v>
      </c>
      <c r="CI300">
        <v>1</v>
      </c>
      <c r="CJ300">
        <v>1</v>
      </c>
      <c r="CK300">
        <v>23</v>
      </c>
      <c r="CL300" t="s">
        <v>89</v>
      </c>
    </row>
    <row r="301" spans="1:90" x14ac:dyDescent="0.3">
      <c r="A301" t="s">
        <v>72</v>
      </c>
      <c r="B301" t="s">
        <v>73</v>
      </c>
      <c r="C301" t="s">
        <v>74</v>
      </c>
      <c r="E301" t="str">
        <f>"080065188282"</f>
        <v>080065188282</v>
      </c>
      <c r="F301" s="3">
        <v>45783</v>
      </c>
      <c r="G301">
        <v>202602</v>
      </c>
      <c r="H301" t="s">
        <v>75</v>
      </c>
      <c r="I301" t="s">
        <v>76</v>
      </c>
      <c r="J301" t="s">
        <v>77</v>
      </c>
      <c r="K301" t="s">
        <v>78</v>
      </c>
      <c r="L301" t="s">
        <v>350</v>
      </c>
      <c r="M301" t="s">
        <v>351</v>
      </c>
      <c r="N301" t="s">
        <v>876</v>
      </c>
      <c r="O301" t="s">
        <v>82</v>
      </c>
      <c r="P301" t="str">
        <f>"4170036992                    "</f>
        <v xml:space="preserve">4170036992                    </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55.26</v>
      </c>
      <c r="AR301">
        <v>0</v>
      </c>
      <c r="AS301">
        <v>0</v>
      </c>
      <c r="AT301">
        <v>0</v>
      </c>
      <c r="AU301">
        <v>0</v>
      </c>
      <c r="AV301">
        <v>0</v>
      </c>
      <c r="AW301">
        <v>0</v>
      </c>
      <c r="AX301">
        <v>0</v>
      </c>
      <c r="AY301">
        <v>0</v>
      </c>
      <c r="AZ301">
        <v>0</v>
      </c>
      <c r="BA301">
        <v>0</v>
      </c>
      <c r="BB301">
        <v>0</v>
      </c>
      <c r="BC301">
        <v>0</v>
      </c>
      <c r="BD301">
        <v>0</v>
      </c>
      <c r="BE301">
        <v>0</v>
      </c>
      <c r="BF301">
        <v>0</v>
      </c>
      <c r="BG301">
        <v>0</v>
      </c>
      <c r="BH301">
        <v>2</v>
      </c>
      <c r="BI301">
        <v>4</v>
      </c>
      <c r="BJ301">
        <v>4.8</v>
      </c>
      <c r="BK301">
        <v>5</v>
      </c>
      <c r="BL301">
        <v>176.7</v>
      </c>
      <c r="BM301">
        <v>26.51</v>
      </c>
      <c r="BN301">
        <v>203.21</v>
      </c>
      <c r="BO301">
        <v>203.21</v>
      </c>
      <c r="BQ301" t="s">
        <v>877</v>
      </c>
      <c r="BR301" t="s">
        <v>84</v>
      </c>
      <c r="BS301" s="3">
        <v>45784</v>
      </c>
      <c r="BT301" s="4">
        <v>0.37916666666666665</v>
      </c>
      <c r="BU301" t="s">
        <v>878</v>
      </c>
      <c r="BV301" t="s">
        <v>86</v>
      </c>
      <c r="BY301">
        <v>23820</v>
      </c>
      <c r="CA301" t="s">
        <v>879</v>
      </c>
      <c r="CC301" t="s">
        <v>351</v>
      </c>
      <c r="CD301">
        <v>4001</v>
      </c>
      <c r="CE301" t="s">
        <v>88</v>
      </c>
      <c r="CF301" s="3">
        <v>45785</v>
      </c>
      <c r="CI301">
        <v>1</v>
      </c>
      <c r="CJ301">
        <v>1</v>
      </c>
      <c r="CK301">
        <v>21</v>
      </c>
      <c r="CL301" t="s">
        <v>89</v>
      </c>
    </row>
    <row r="302" spans="1:90" x14ac:dyDescent="0.3">
      <c r="A302" t="s">
        <v>72</v>
      </c>
      <c r="B302" t="s">
        <v>73</v>
      </c>
      <c r="C302" t="s">
        <v>74</v>
      </c>
      <c r="E302" t="str">
        <f>"080065188186"</f>
        <v>080065188186</v>
      </c>
      <c r="F302" s="3">
        <v>45783</v>
      </c>
      <c r="G302">
        <v>202602</v>
      </c>
      <c r="H302" t="s">
        <v>75</v>
      </c>
      <c r="I302" t="s">
        <v>76</v>
      </c>
      <c r="J302" t="s">
        <v>77</v>
      </c>
      <c r="K302" t="s">
        <v>78</v>
      </c>
      <c r="L302" t="s">
        <v>79</v>
      </c>
      <c r="M302" t="s">
        <v>80</v>
      </c>
      <c r="N302" t="s">
        <v>880</v>
      </c>
      <c r="O302" t="s">
        <v>82</v>
      </c>
      <c r="P302" t="str">
        <f>"4170036979                    "</f>
        <v xml:space="preserve">4170036979                    </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198.87</v>
      </c>
      <c r="AR302">
        <v>0</v>
      </c>
      <c r="AS302">
        <v>0</v>
      </c>
      <c r="AT302">
        <v>0</v>
      </c>
      <c r="AU302">
        <v>0</v>
      </c>
      <c r="AV302">
        <v>0</v>
      </c>
      <c r="AW302">
        <v>0</v>
      </c>
      <c r="AX302">
        <v>0</v>
      </c>
      <c r="AY302">
        <v>0</v>
      </c>
      <c r="AZ302">
        <v>0</v>
      </c>
      <c r="BA302">
        <v>0</v>
      </c>
      <c r="BB302">
        <v>0</v>
      </c>
      <c r="BC302">
        <v>0</v>
      </c>
      <c r="BD302">
        <v>0</v>
      </c>
      <c r="BE302">
        <v>0</v>
      </c>
      <c r="BF302">
        <v>0</v>
      </c>
      <c r="BG302">
        <v>0</v>
      </c>
      <c r="BH302">
        <v>1</v>
      </c>
      <c r="BI302">
        <v>18</v>
      </c>
      <c r="BJ302">
        <v>13.3</v>
      </c>
      <c r="BK302">
        <v>18</v>
      </c>
      <c r="BL302">
        <v>635.95000000000005</v>
      </c>
      <c r="BM302">
        <v>95.39</v>
      </c>
      <c r="BN302">
        <v>731.34</v>
      </c>
      <c r="BO302">
        <v>731.34</v>
      </c>
      <c r="BQ302" t="s">
        <v>881</v>
      </c>
      <c r="BR302" t="s">
        <v>84</v>
      </c>
      <c r="BS302" s="3">
        <v>45784</v>
      </c>
      <c r="BT302" s="4">
        <v>0.41805555555555557</v>
      </c>
      <c r="BU302" t="s">
        <v>882</v>
      </c>
      <c r="BV302" t="s">
        <v>86</v>
      </c>
      <c r="BY302">
        <v>66360</v>
      </c>
      <c r="CA302" t="s">
        <v>160</v>
      </c>
      <c r="CC302" t="s">
        <v>80</v>
      </c>
      <c r="CD302">
        <v>3620</v>
      </c>
      <c r="CE302" t="s">
        <v>176</v>
      </c>
      <c r="CF302" s="3">
        <v>45785</v>
      </c>
      <c r="CI302">
        <v>1</v>
      </c>
      <c r="CJ302">
        <v>1</v>
      </c>
      <c r="CK302">
        <v>21</v>
      </c>
      <c r="CL302" t="s">
        <v>89</v>
      </c>
    </row>
    <row r="303" spans="1:90" x14ac:dyDescent="0.3">
      <c r="A303" t="s">
        <v>72</v>
      </c>
      <c r="B303" t="s">
        <v>73</v>
      </c>
      <c r="C303" t="s">
        <v>74</v>
      </c>
      <c r="E303" t="str">
        <f>"080065188221"</f>
        <v>080065188221</v>
      </c>
      <c r="F303" s="3">
        <v>45783</v>
      </c>
      <c r="G303">
        <v>202602</v>
      </c>
      <c r="H303" t="s">
        <v>75</v>
      </c>
      <c r="I303" t="s">
        <v>76</v>
      </c>
      <c r="J303" t="s">
        <v>77</v>
      </c>
      <c r="K303" t="s">
        <v>78</v>
      </c>
      <c r="L303" t="s">
        <v>463</v>
      </c>
      <c r="M303" t="s">
        <v>464</v>
      </c>
      <c r="N303" t="s">
        <v>883</v>
      </c>
      <c r="O303" t="s">
        <v>82</v>
      </c>
      <c r="P303" t="str">
        <f>"4170037020                    "</f>
        <v xml:space="preserve">4170037020                    </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22.11</v>
      </c>
      <c r="AR303">
        <v>0</v>
      </c>
      <c r="AS303">
        <v>0</v>
      </c>
      <c r="AT303">
        <v>0</v>
      </c>
      <c r="AU303">
        <v>0</v>
      </c>
      <c r="AV303">
        <v>0</v>
      </c>
      <c r="AW303">
        <v>0</v>
      </c>
      <c r="AX303">
        <v>0</v>
      </c>
      <c r="AY303">
        <v>0</v>
      </c>
      <c r="AZ303">
        <v>0</v>
      </c>
      <c r="BA303">
        <v>0</v>
      </c>
      <c r="BB303">
        <v>0</v>
      </c>
      <c r="BC303">
        <v>0</v>
      </c>
      <c r="BD303">
        <v>0</v>
      </c>
      <c r="BE303">
        <v>0</v>
      </c>
      <c r="BF303">
        <v>0</v>
      </c>
      <c r="BG303">
        <v>0</v>
      </c>
      <c r="BH303">
        <v>1</v>
      </c>
      <c r="BI303">
        <v>1</v>
      </c>
      <c r="BJ303">
        <v>1.1000000000000001</v>
      </c>
      <c r="BK303">
        <v>1.5</v>
      </c>
      <c r="BL303">
        <v>70.709999999999994</v>
      </c>
      <c r="BM303">
        <v>10.61</v>
      </c>
      <c r="BN303">
        <v>81.319999999999993</v>
      </c>
      <c r="BO303">
        <v>81.319999999999993</v>
      </c>
      <c r="BQ303" t="s">
        <v>884</v>
      </c>
      <c r="BR303" t="s">
        <v>84</v>
      </c>
      <c r="BS303" s="3">
        <v>45784</v>
      </c>
      <c r="BT303" s="4">
        <v>0.52083333333333337</v>
      </c>
      <c r="BU303" t="s">
        <v>885</v>
      </c>
      <c r="BV303" t="s">
        <v>89</v>
      </c>
      <c r="BY303">
        <v>5320</v>
      </c>
      <c r="CC303" t="s">
        <v>464</v>
      </c>
      <c r="CD303">
        <v>5201</v>
      </c>
      <c r="CE303" t="s">
        <v>176</v>
      </c>
      <c r="CF303" s="3">
        <v>45785</v>
      </c>
      <c r="CI303">
        <v>1</v>
      </c>
      <c r="CJ303">
        <v>1</v>
      </c>
      <c r="CK303">
        <v>21</v>
      </c>
      <c r="CL303" t="s">
        <v>89</v>
      </c>
    </row>
    <row r="304" spans="1:90" x14ac:dyDescent="0.3">
      <c r="A304" t="s">
        <v>72</v>
      </c>
      <c r="B304" t="s">
        <v>73</v>
      </c>
      <c r="C304" t="s">
        <v>74</v>
      </c>
      <c r="E304" t="str">
        <f>"080065188715"</f>
        <v>080065188715</v>
      </c>
      <c r="F304" s="3">
        <v>45783</v>
      </c>
      <c r="G304">
        <v>202602</v>
      </c>
      <c r="H304" t="s">
        <v>75</v>
      </c>
      <c r="I304" t="s">
        <v>76</v>
      </c>
      <c r="J304" t="s">
        <v>77</v>
      </c>
      <c r="K304" t="s">
        <v>78</v>
      </c>
      <c r="L304" t="s">
        <v>90</v>
      </c>
      <c r="M304" t="s">
        <v>91</v>
      </c>
      <c r="N304" t="s">
        <v>92</v>
      </c>
      <c r="O304" t="s">
        <v>82</v>
      </c>
      <c r="P304" t="str">
        <f>"4170037034                    "</f>
        <v xml:space="preserve">4170037034                    </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22.11</v>
      </c>
      <c r="AR304">
        <v>0</v>
      </c>
      <c r="AS304">
        <v>0</v>
      </c>
      <c r="AT304">
        <v>0</v>
      </c>
      <c r="AU304">
        <v>0</v>
      </c>
      <c r="AV304">
        <v>0</v>
      </c>
      <c r="AW304">
        <v>0</v>
      </c>
      <c r="AX304">
        <v>0</v>
      </c>
      <c r="AY304">
        <v>0</v>
      </c>
      <c r="AZ304">
        <v>0</v>
      </c>
      <c r="BA304">
        <v>0</v>
      </c>
      <c r="BB304">
        <v>0</v>
      </c>
      <c r="BC304">
        <v>0</v>
      </c>
      <c r="BD304">
        <v>0</v>
      </c>
      <c r="BE304">
        <v>0</v>
      </c>
      <c r="BF304">
        <v>0</v>
      </c>
      <c r="BG304">
        <v>0</v>
      </c>
      <c r="BH304">
        <v>1</v>
      </c>
      <c r="BI304">
        <v>1</v>
      </c>
      <c r="BJ304">
        <v>0.2</v>
      </c>
      <c r="BK304">
        <v>1</v>
      </c>
      <c r="BL304">
        <v>70.709999999999994</v>
      </c>
      <c r="BM304">
        <v>10.61</v>
      </c>
      <c r="BN304">
        <v>81.319999999999993</v>
      </c>
      <c r="BO304">
        <v>81.319999999999993</v>
      </c>
      <c r="BQ304" t="s">
        <v>93</v>
      </c>
      <c r="BR304" t="s">
        <v>84</v>
      </c>
      <c r="BS304" s="3">
        <v>45784</v>
      </c>
      <c r="BT304" s="4">
        <v>0.37986111111111109</v>
      </c>
      <c r="BU304" t="s">
        <v>94</v>
      </c>
      <c r="BV304" t="s">
        <v>86</v>
      </c>
      <c r="BY304">
        <v>1200</v>
      </c>
      <c r="CA304" t="s">
        <v>95</v>
      </c>
      <c r="CC304" t="s">
        <v>91</v>
      </c>
      <c r="CD304">
        <v>6001</v>
      </c>
      <c r="CE304" t="s">
        <v>88</v>
      </c>
      <c r="CF304" s="3">
        <v>45784</v>
      </c>
      <c r="CI304">
        <v>1</v>
      </c>
      <c r="CJ304">
        <v>1</v>
      </c>
      <c r="CK304">
        <v>21</v>
      </c>
      <c r="CL304" t="s">
        <v>89</v>
      </c>
    </row>
    <row r="305" spans="1:90" x14ac:dyDescent="0.3">
      <c r="A305" t="s">
        <v>72</v>
      </c>
      <c r="B305" t="s">
        <v>73</v>
      </c>
      <c r="C305" t="s">
        <v>74</v>
      </c>
      <c r="E305" t="str">
        <f>"080065188798"</f>
        <v>080065188798</v>
      </c>
      <c r="F305" s="3">
        <v>45783</v>
      </c>
      <c r="G305">
        <v>202602</v>
      </c>
      <c r="H305" t="s">
        <v>75</v>
      </c>
      <c r="I305" t="s">
        <v>76</v>
      </c>
      <c r="J305" t="s">
        <v>77</v>
      </c>
      <c r="K305" t="s">
        <v>78</v>
      </c>
      <c r="L305" t="s">
        <v>75</v>
      </c>
      <c r="M305" t="s">
        <v>76</v>
      </c>
      <c r="N305" t="s">
        <v>601</v>
      </c>
      <c r="O305" t="s">
        <v>82</v>
      </c>
      <c r="P305" t="str">
        <f>"4170037038                    "</f>
        <v xml:space="preserve">4170037038                    </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17.27</v>
      </c>
      <c r="AR305">
        <v>0</v>
      </c>
      <c r="AS305">
        <v>0</v>
      </c>
      <c r="AT305">
        <v>0</v>
      </c>
      <c r="AU305">
        <v>0</v>
      </c>
      <c r="AV305">
        <v>0</v>
      </c>
      <c r="AW305">
        <v>0</v>
      </c>
      <c r="AX305">
        <v>0</v>
      </c>
      <c r="AY305">
        <v>0</v>
      </c>
      <c r="AZ305">
        <v>0</v>
      </c>
      <c r="BA305">
        <v>0</v>
      </c>
      <c r="BB305">
        <v>0</v>
      </c>
      <c r="BC305">
        <v>0</v>
      </c>
      <c r="BD305">
        <v>0</v>
      </c>
      <c r="BE305">
        <v>0</v>
      </c>
      <c r="BF305">
        <v>0</v>
      </c>
      <c r="BG305">
        <v>0</v>
      </c>
      <c r="BH305">
        <v>1</v>
      </c>
      <c r="BI305">
        <v>1</v>
      </c>
      <c r="BJ305">
        <v>0.2</v>
      </c>
      <c r="BK305">
        <v>1</v>
      </c>
      <c r="BL305">
        <v>55.23</v>
      </c>
      <c r="BM305">
        <v>8.2799999999999994</v>
      </c>
      <c r="BN305">
        <v>63.51</v>
      </c>
      <c r="BO305">
        <v>63.51</v>
      </c>
      <c r="BQ305" t="s">
        <v>603</v>
      </c>
      <c r="BR305" t="s">
        <v>84</v>
      </c>
      <c r="BS305" s="3">
        <v>45784</v>
      </c>
      <c r="BT305" s="4">
        <v>0.4236111111111111</v>
      </c>
      <c r="BU305" t="s">
        <v>604</v>
      </c>
      <c r="BV305" t="s">
        <v>86</v>
      </c>
      <c r="BY305">
        <v>1200</v>
      </c>
      <c r="CA305" t="s">
        <v>605</v>
      </c>
      <c r="CC305" t="s">
        <v>76</v>
      </c>
      <c r="CD305">
        <v>1645</v>
      </c>
      <c r="CE305" t="s">
        <v>88</v>
      </c>
      <c r="CF305" s="3">
        <v>45784</v>
      </c>
      <c r="CI305">
        <v>1</v>
      </c>
      <c r="CJ305">
        <v>1</v>
      </c>
      <c r="CK305">
        <v>22</v>
      </c>
      <c r="CL305" t="s">
        <v>89</v>
      </c>
    </row>
    <row r="306" spans="1:90" x14ac:dyDescent="0.3">
      <c r="A306" t="s">
        <v>72</v>
      </c>
      <c r="B306" t="s">
        <v>73</v>
      </c>
      <c r="C306" t="s">
        <v>74</v>
      </c>
      <c r="E306" t="str">
        <f>"080065188936"</f>
        <v>080065188936</v>
      </c>
      <c r="F306" s="3">
        <v>45783</v>
      </c>
      <c r="G306">
        <v>202602</v>
      </c>
      <c r="H306" t="s">
        <v>75</v>
      </c>
      <c r="I306" t="s">
        <v>76</v>
      </c>
      <c r="J306" t="s">
        <v>77</v>
      </c>
      <c r="K306" t="s">
        <v>78</v>
      </c>
      <c r="L306" t="s">
        <v>136</v>
      </c>
      <c r="M306" t="s">
        <v>137</v>
      </c>
      <c r="N306" t="s">
        <v>886</v>
      </c>
      <c r="O306" t="s">
        <v>300</v>
      </c>
      <c r="P306" t="str">
        <f>"4170036981                    "</f>
        <v xml:space="preserve">4170036981                    </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69.239999999999995</v>
      </c>
      <c r="AR306">
        <v>0</v>
      </c>
      <c r="AS306">
        <v>0</v>
      </c>
      <c r="AT306">
        <v>0</v>
      </c>
      <c r="AU306">
        <v>0</v>
      </c>
      <c r="AV306">
        <v>0</v>
      </c>
      <c r="AW306">
        <v>0</v>
      </c>
      <c r="AX306">
        <v>0</v>
      </c>
      <c r="AY306">
        <v>0</v>
      </c>
      <c r="AZ306">
        <v>0</v>
      </c>
      <c r="BA306">
        <v>0</v>
      </c>
      <c r="BB306">
        <v>0</v>
      </c>
      <c r="BC306">
        <v>0</v>
      </c>
      <c r="BD306">
        <v>0</v>
      </c>
      <c r="BE306">
        <v>0</v>
      </c>
      <c r="BF306">
        <v>0</v>
      </c>
      <c r="BG306">
        <v>0</v>
      </c>
      <c r="BH306">
        <v>1</v>
      </c>
      <c r="BI306">
        <v>30</v>
      </c>
      <c r="BJ306">
        <v>12.5</v>
      </c>
      <c r="BK306">
        <v>30</v>
      </c>
      <c r="BL306">
        <v>226.99</v>
      </c>
      <c r="BM306">
        <v>34.049999999999997</v>
      </c>
      <c r="BN306">
        <v>261.04000000000002</v>
      </c>
      <c r="BO306">
        <v>261.04000000000002</v>
      </c>
      <c r="BQ306" t="s">
        <v>887</v>
      </c>
      <c r="BR306" t="s">
        <v>84</v>
      </c>
      <c r="BS306" s="3">
        <v>45784</v>
      </c>
      <c r="BT306" s="4">
        <v>0.37708333333333333</v>
      </c>
      <c r="BU306" t="s">
        <v>888</v>
      </c>
      <c r="BV306" t="s">
        <v>86</v>
      </c>
      <c r="BY306">
        <v>62400</v>
      </c>
      <c r="CA306" t="s">
        <v>889</v>
      </c>
      <c r="CC306" t="s">
        <v>137</v>
      </c>
      <c r="CD306" s="5" t="s">
        <v>738</v>
      </c>
      <c r="CE306" t="s">
        <v>96</v>
      </c>
      <c r="CF306" s="3">
        <v>45784</v>
      </c>
      <c r="CI306">
        <v>1</v>
      </c>
      <c r="CJ306">
        <v>1</v>
      </c>
      <c r="CK306">
        <v>41</v>
      </c>
      <c r="CL306" t="s">
        <v>89</v>
      </c>
    </row>
    <row r="307" spans="1:90" x14ac:dyDescent="0.3">
      <c r="A307" t="s">
        <v>72</v>
      </c>
      <c r="B307" t="s">
        <v>73</v>
      </c>
      <c r="C307" t="s">
        <v>74</v>
      </c>
      <c r="E307" t="str">
        <f>"080065189005"</f>
        <v>080065189005</v>
      </c>
      <c r="F307" s="3">
        <v>45783</v>
      </c>
      <c r="G307">
        <v>202602</v>
      </c>
      <c r="H307" t="s">
        <v>75</v>
      </c>
      <c r="I307" t="s">
        <v>76</v>
      </c>
      <c r="J307" t="s">
        <v>77</v>
      </c>
      <c r="K307" t="s">
        <v>78</v>
      </c>
      <c r="L307" t="s">
        <v>117</v>
      </c>
      <c r="M307" t="s">
        <v>118</v>
      </c>
      <c r="N307" t="s">
        <v>532</v>
      </c>
      <c r="O307" t="s">
        <v>82</v>
      </c>
      <c r="P307" t="str">
        <f>"4170036997                    "</f>
        <v xml:space="preserve">4170036997                    </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17.27</v>
      </c>
      <c r="AR307">
        <v>0</v>
      </c>
      <c r="AS307">
        <v>0</v>
      </c>
      <c r="AT307">
        <v>0</v>
      </c>
      <c r="AU307">
        <v>0</v>
      </c>
      <c r="AV307">
        <v>0</v>
      </c>
      <c r="AW307">
        <v>0</v>
      </c>
      <c r="AX307">
        <v>0</v>
      </c>
      <c r="AY307">
        <v>0</v>
      </c>
      <c r="AZ307">
        <v>0</v>
      </c>
      <c r="BA307">
        <v>0</v>
      </c>
      <c r="BB307">
        <v>0</v>
      </c>
      <c r="BC307">
        <v>0</v>
      </c>
      <c r="BD307">
        <v>0</v>
      </c>
      <c r="BE307">
        <v>0</v>
      </c>
      <c r="BF307">
        <v>0</v>
      </c>
      <c r="BG307">
        <v>0</v>
      </c>
      <c r="BH307">
        <v>1</v>
      </c>
      <c r="BI307">
        <v>1</v>
      </c>
      <c r="BJ307">
        <v>3.1</v>
      </c>
      <c r="BK307">
        <v>4</v>
      </c>
      <c r="BL307">
        <v>55.23</v>
      </c>
      <c r="BM307">
        <v>8.2799999999999994</v>
      </c>
      <c r="BN307">
        <v>63.51</v>
      </c>
      <c r="BO307">
        <v>63.51</v>
      </c>
      <c r="BQ307" t="s">
        <v>533</v>
      </c>
      <c r="BR307" t="s">
        <v>84</v>
      </c>
      <c r="BS307" s="3">
        <v>45784</v>
      </c>
      <c r="BT307" s="4">
        <v>0.38611111111111113</v>
      </c>
      <c r="BU307" t="s">
        <v>890</v>
      </c>
      <c r="BV307" t="s">
        <v>86</v>
      </c>
      <c r="BY307">
        <v>15360</v>
      </c>
      <c r="CA307" t="s">
        <v>535</v>
      </c>
      <c r="CC307" t="s">
        <v>118</v>
      </c>
      <c r="CD307">
        <v>2094</v>
      </c>
      <c r="CE307" t="s">
        <v>96</v>
      </c>
      <c r="CF307" s="3">
        <v>45784</v>
      </c>
      <c r="CI307">
        <v>1</v>
      </c>
      <c r="CJ307">
        <v>1</v>
      </c>
      <c r="CK307">
        <v>22</v>
      </c>
      <c r="CL307" t="s">
        <v>89</v>
      </c>
    </row>
    <row r="308" spans="1:90" x14ac:dyDescent="0.3">
      <c r="A308" t="s">
        <v>72</v>
      </c>
      <c r="B308" t="s">
        <v>73</v>
      </c>
      <c r="C308" t="s">
        <v>74</v>
      </c>
      <c r="E308" t="str">
        <f>"080065189979"</f>
        <v>080065189979</v>
      </c>
      <c r="F308" s="3">
        <v>45783</v>
      </c>
      <c r="G308">
        <v>202602</v>
      </c>
      <c r="H308" t="s">
        <v>75</v>
      </c>
      <c r="I308" t="s">
        <v>76</v>
      </c>
      <c r="J308" t="s">
        <v>77</v>
      </c>
      <c r="K308" t="s">
        <v>78</v>
      </c>
      <c r="L308" t="s">
        <v>117</v>
      </c>
      <c r="M308" t="s">
        <v>118</v>
      </c>
      <c r="N308" t="s">
        <v>722</v>
      </c>
      <c r="O308" t="s">
        <v>82</v>
      </c>
      <c r="P308" t="str">
        <f>"4170037029                    "</f>
        <v xml:space="preserve">4170037029                    </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17.27</v>
      </c>
      <c r="AR308">
        <v>0</v>
      </c>
      <c r="AS308">
        <v>0</v>
      </c>
      <c r="AT308">
        <v>0</v>
      </c>
      <c r="AU308">
        <v>0</v>
      </c>
      <c r="AV308">
        <v>0</v>
      </c>
      <c r="AW308">
        <v>0</v>
      </c>
      <c r="AX308">
        <v>0</v>
      </c>
      <c r="AY308">
        <v>0</v>
      </c>
      <c r="AZ308">
        <v>0</v>
      </c>
      <c r="BA308">
        <v>0</v>
      </c>
      <c r="BB308">
        <v>0</v>
      </c>
      <c r="BC308">
        <v>0</v>
      </c>
      <c r="BD308">
        <v>0</v>
      </c>
      <c r="BE308">
        <v>0</v>
      </c>
      <c r="BF308">
        <v>0</v>
      </c>
      <c r="BG308">
        <v>0</v>
      </c>
      <c r="BH308">
        <v>1</v>
      </c>
      <c r="BI308">
        <v>1</v>
      </c>
      <c r="BJ308">
        <v>0.2</v>
      </c>
      <c r="BK308">
        <v>1</v>
      </c>
      <c r="BL308">
        <v>55.23</v>
      </c>
      <c r="BM308">
        <v>8.2799999999999994</v>
      </c>
      <c r="BN308">
        <v>63.51</v>
      </c>
      <c r="BO308">
        <v>63.51</v>
      </c>
      <c r="BQ308" t="s">
        <v>723</v>
      </c>
      <c r="BR308" t="s">
        <v>84</v>
      </c>
      <c r="BS308" s="3">
        <v>45784</v>
      </c>
      <c r="BT308" s="4">
        <v>0.35486111111111113</v>
      </c>
      <c r="BU308" t="s">
        <v>891</v>
      </c>
      <c r="BV308" t="s">
        <v>86</v>
      </c>
      <c r="BY308">
        <v>1200</v>
      </c>
      <c r="CA308" t="s">
        <v>535</v>
      </c>
      <c r="CC308" t="s">
        <v>118</v>
      </c>
      <c r="CD308">
        <v>2094</v>
      </c>
      <c r="CE308" t="s">
        <v>88</v>
      </c>
      <c r="CF308" s="3">
        <v>45784</v>
      </c>
      <c r="CI308">
        <v>1</v>
      </c>
      <c r="CJ308">
        <v>1</v>
      </c>
      <c r="CK308">
        <v>22</v>
      </c>
      <c r="CL308" t="s">
        <v>89</v>
      </c>
    </row>
    <row r="309" spans="1:90" x14ac:dyDescent="0.3">
      <c r="A309" t="s">
        <v>72</v>
      </c>
      <c r="B309" t="s">
        <v>73</v>
      </c>
      <c r="C309" t="s">
        <v>74</v>
      </c>
      <c r="E309" t="str">
        <f>"080065189917"</f>
        <v>080065189917</v>
      </c>
      <c r="F309" s="3">
        <v>45783</v>
      </c>
      <c r="G309">
        <v>202602</v>
      </c>
      <c r="H309" t="s">
        <v>75</v>
      </c>
      <c r="I309" t="s">
        <v>76</v>
      </c>
      <c r="J309" t="s">
        <v>77</v>
      </c>
      <c r="K309" t="s">
        <v>78</v>
      </c>
      <c r="L309" t="s">
        <v>136</v>
      </c>
      <c r="M309" t="s">
        <v>137</v>
      </c>
      <c r="N309" t="s">
        <v>892</v>
      </c>
      <c r="O309" t="s">
        <v>82</v>
      </c>
      <c r="P309" t="str">
        <f>"4170037041                    "</f>
        <v xml:space="preserve">4170037041                    </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22.11</v>
      </c>
      <c r="AR309">
        <v>0</v>
      </c>
      <c r="AS309">
        <v>0</v>
      </c>
      <c r="AT309">
        <v>0</v>
      </c>
      <c r="AU309">
        <v>0</v>
      </c>
      <c r="AV309">
        <v>0</v>
      </c>
      <c r="AW309">
        <v>0</v>
      </c>
      <c r="AX309">
        <v>0</v>
      </c>
      <c r="AY309">
        <v>0</v>
      </c>
      <c r="AZ309">
        <v>0</v>
      </c>
      <c r="BA309">
        <v>0</v>
      </c>
      <c r="BB309">
        <v>0</v>
      </c>
      <c r="BC309">
        <v>0</v>
      </c>
      <c r="BD309">
        <v>0</v>
      </c>
      <c r="BE309">
        <v>0</v>
      </c>
      <c r="BF309">
        <v>0</v>
      </c>
      <c r="BG309">
        <v>0</v>
      </c>
      <c r="BH309">
        <v>1</v>
      </c>
      <c r="BI309">
        <v>1</v>
      </c>
      <c r="BJ309">
        <v>1.7</v>
      </c>
      <c r="BK309">
        <v>2</v>
      </c>
      <c r="BL309">
        <v>70.709999999999994</v>
      </c>
      <c r="BM309">
        <v>10.61</v>
      </c>
      <c r="BN309">
        <v>81.319999999999993</v>
      </c>
      <c r="BO309">
        <v>81.319999999999993</v>
      </c>
      <c r="BQ309" t="s">
        <v>893</v>
      </c>
      <c r="BR309" t="s">
        <v>84</v>
      </c>
      <c r="BS309" s="3">
        <v>45784</v>
      </c>
      <c r="BT309" s="4">
        <v>0.36319444444444443</v>
      </c>
      <c r="BU309" t="s">
        <v>894</v>
      </c>
      <c r="BV309" t="s">
        <v>86</v>
      </c>
      <c r="BY309">
        <v>8550</v>
      </c>
      <c r="CA309" t="s">
        <v>253</v>
      </c>
      <c r="CC309" t="s">
        <v>137</v>
      </c>
      <c r="CD309" s="5" t="s">
        <v>895</v>
      </c>
      <c r="CE309" t="s">
        <v>116</v>
      </c>
      <c r="CF309" s="3">
        <v>45784</v>
      </c>
      <c r="CI309">
        <v>1</v>
      </c>
      <c r="CJ309">
        <v>1</v>
      </c>
      <c r="CK309">
        <v>21</v>
      </c>
      <c r="CL309" t="s">
        <v>89</v>
      </c>
    </row>
    <row r="310" spans="1:90" x14ac:dyDescent="0.3">
      <c r="A310" t="s">
        <v>72</v>
      </c>
      <c r="B310" t="s">
        <v>73</v>
      </c>
      <c r="C310" t="s">
        <v>74</v>
      </c>
      <c r="E310" t="str">
        <f>"080065189949"</f>
        <v>080065189949</v>
      </c>
      <c r="F310" s="3">
        <v>45783</v>
      </c>
      <c r="G310">
        <v>202602</v>
      </c>
      <c r="H310" t="s">
        <v>75</v>
      </c>
      <c r="I310" t="s">
        <v>76</v>
      </c>
      <c r="J310" t="s">
        <v>77</v>
      </c>
      <c r="K310" t="s">
        <v>78</v>
      </c>
      <c r="L310" t="s">
        <v>79</v>
      </c>
      <c r="M310" t="s">
        <v>80</v>
      </c>
      <c r="N310" t="s">
        <v>415</v>
      </c>
      <c r="O310" t="s">
        <v>82</v>
      </c>
      <c r="P310" t="str">
        <f>"4170036982                    "</f>
        <v xml:space="preserve">4170036982                    </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77.349999999999994</v>
      </c>
      <c r="AR310">
        <v>0</v>
      </c>
      <c r="AS310">
        <v>0</v>
      </c>
      <c r="AT310">
        <v>0</v>
      </c>
      <c r="AU310">
        <v>0</v>
      </c>
      <c r="AV310">
        <v>0</v>
      </c>
      <c r="AW310">
        <v>0</v>
      </c>
      <c r="AX310">
        <v>0</v>
      </c>
      <c r="AY310">
        <v>0</v>
      </c>
      <c r="AZ310">
        <v>0</v>
      </c>
      <c r="BA310">
        <v>0</v>
      </c>
      <c r="BB310">
        <v>0</v>
      </c>
      <c r="BC310">
        <v>0</v>
      </c>
      <c r="BD310">
        <v>0</v>
      </c>
      <c r="BE310">
        <v>0</v>
      </c>
      <c r="BF310">
        <v>0</v>
      </c>
      <c r="BG310">
        <v>0</v>
      </c>
      <c r="BH310">
        <v>1</v>
      </c>
      <c r="BI310">
        <v>7</v>
      </c>
      <c r="BJ310">
        <v>3.1</v>
      </c>
      <c r="BK310">
        <v>7</v>
      </c>
      <c r="BL310">
        <v>247.35</v>
      </c>
      <c r="BM310">
        <v>37.1</v>
      </c>
      <c r="BN310">
        <v>284.45</v>
      </c>
      <c r="BO310">
        <v>284.45</v>
      </c>
      <c r="BQ310" t="s">
        <v>416</v>
      </c>
      <c r="BR310" t="s">
        <v>84</v>
      </c>
      <c r="BS310" s="3">
        <v>45784</v>
      </c>
      <c r="BT310" s="4">
        <v>0.41666666666666669</v>
      </c>
      <c r="BU310" t="s">
        <v>896</v>
      </c>
      <c r="BV310" t="s">
        <v>86</v>
      </c>
      <c r="BY310">
        <v>15360</v>
      </c>
      <c r="CA310" t="s">
        <v>87</v>
      </c>
      <c r="CC310" t="s">
        <v>80</v>
      </c>
      <c r="CD310">
        <v>3610</v>
      </c>
      <c r="CE310" t="s">
        <v>96</v>
      </c>
      <c r="CF310" s="3">
        <v>45785</v>
      </c>
      <c r="CI310">
        <v>1</v>
      </c>
      <c r="CJ310">
        <v>1</v>
      </c>
      <c r="CK310">
        <v>21</v>
      </c>
      <c r="CL310" t="s">
        <v>89</v>
      </c>
    </row>
    <row r="311" spans="1:90" x14ac:dyDescent="0.3">
      <c r="A311" t="s">
        <v>72</v>
      </c>
      <c r="B311" t="s">
        <v>73</v>
      </c>
      <c r="C311" t="s">
        <v>74</v>
      </c>
      <c r="E311" t="str">
        <f>"080065189995"</f>
        <v>080065189995</v>
      </c>
      <c r="F311" s="3">
        <v>45783</v>
      </c>
      <c r="G311">
        <v>202602</v>
      </c>
      <c r="H311" t="s">
        <v>75</v>
      </c>
      <c r="I311" t="s">
        <v>76</v>
      </c>
      <c r="J311" t="s">
        <v>77</v>
      </c>
      <c r="K311" t="s">
        <v>78</v>
      </c>
      <c r="L311" t="s">
        <v>130</v>
      </c>
      <c r="M311" t="s">
        <v>131</v>
      </c>
      <c r="N311" t="s">
        <v>897</v>
      </c>
      <c r="O311" t="s">
        <v>82</v>
      </c>
      <c r="P311" t="str">
        <f>"4170036987                    "</f>
        <v xml:space="preserve">4170036987                    </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44.21</v>
      </c>
      <c r="AR311">
        <v>0</v>
      </c>
      <c r="AS311">
        <v>0</v>
      </c>
      <c r="AT311">
        <v>0</v>
      </c>
      <c r="AU311">
        <v>0</v>
      </c>
      <c r="AV311">
        <v>0</v>
      </c>
      <c r="AW311">
        <v>0</v>
      </c>
      <c r="AX311">
        <v>0</v>
      </c>
      <c r="AY311">
        <v>0</v>
      </c>
      <c r="AZ311">
        <v>0</v>
      </c>
      <c r="BA311">
        <v>0</v>
      </c>
      <c r="BB311">
        <v>0</v>
      </c>
      <c r="BC311">
        <v>0</v>
      </c>
      <c r="BD311">
        <v>0</v>
      </c>
      <c r="BE311">
        <v>0</v>
      </c>
      <c r="BF311">
        <v>0</v>
      </c>
      <c r="BG311">
        <v>0</v>
      </c>
      <c r="BH311">
        <v>1</v>
      </c>
      <c r="BI311">
        <v>2</v>
      </c>
      <c r="BJ311">
        <v>3.7</v>
      </c>
      <c r="BK311">
        <v>4</v>
      </c>
      <c r="BL311">
        <v>141.37</v>
      </c>
      <c r="BM311">
        <v>21.21</v>
      </c>
      <c r="BN311">
        <v>162.58000000000001</v>
      </c>
      <c r="BO311">
        <v>162.58000000000001</v>
      </c>
      <c r="BQ311" t="s">
        <v>898</v>
      </c>
      <c r="BR311" t="s">
        <v>84</v>
      </c>
      <c r="BS311" s="3">
        <v>45784</v>
      </c>
      <c r="BT311" s="4">
        <v>0.59652777777777777</v>
      </c>
      <c r="BU311" t="s">
        <v>899</v>
      </c>
      <c r="BV311" t="s">
        <v>89</v>
      </c>
      <c r="BW311" t="s">
        <v>148</v>
      </c>
      <c r="BX311" t="s">
        <v>900</v>
      </c>
      <c r="BY311">
        <v>18304</v>
      </c>
      <c r="CA311" t="s">
        <v>901</v>
      </c>
      <c r="CC311" t="s">
        <v>131</v>
      </c>
      <c r="CD311">
        <v>7550</v>
      </c>
      <c r="CE311" t="s">
        <v>96</v>
      </c>
      <c r="CF311" s="3">
        <v>45785</v>
      </c>
      <c r="CI311">
        <v>1</v>
      </c>
      <c r="CJ311">
        <v>1</v>
      </c>
      <c r="CK311">
        <v>21</v>
      </c>
      <c r="CL311" t="s">
        <v>89</v>
      </c>
    </row>
    <row r="312" spans="1:90" x14ac:dyDescent="0.3">
      <c r="A312" t="s">
        <v>72</v>
      </c>
      <c r="B312" t="s">
        <v>73</v>
      </c>
      <c r="C312" t="s">
        <v>74</v>
      </c>
      <c r="E312" t="str">
        <f>"080065190023"</f>
        <v>080065190023</v>
      </c>
      <c r="F312" s="3">
        <v>45783</v>
      </c>
      <c r="G312">
        <v>202602</v>
      </c>
      <c r="H312" t="s">
        <v>75</v>
      </c>
      <c r="I312" t="s">
        <v>76</v>
      </c>
      <c r="J312" t="s">
        <v>77</v>
      </c>
      <c r="K312" t="s">
        <v>78</v>
      </c>
      <c r="L312" t="s">
        <v>902</v>
      </c>
      <c r="M312" t="s">
        <v>903</v>
      </c>
      <c r="N312" t="s">
        <v>904</v>
      </c>
      <c r="O312" t="s">
        <v>82</v>
      </c>
      <c r="P312" t="str">
        <f>"4170037044                    "</f>
        <v xml:space="preserve">4170037044                    </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42.84</v>
      </c>
      <c r="AR312">
        <v>0</v>
      </c>
      <c r="AS312">
        <v>0</v>
      </c>
      <c r="AT312">
        <v>0</v>
      </c>
      <c r="AU312">
        <v>0</v>
      </c>
      <c r="AV312">
        <v>0</v>
      </c>
      <c r="AW312">
        <v>0</v>
      </c>
      <c r="AX312">
        <v>0</v>
      </c>
      <c r="AY312">
        <v>0</v>
      </c>
      <c r="AZ312">
        <v>0</v>
      </c>
      <c r="BA312">
        <v>0</v>
      </c>
      <c r="BB312">
        <v>0</v>
      </c>
      <c r="BC312">
        <v>0</v>
      </c>
      <c r="BD312">
        <v>0</v>
      </c>
      <c r="BE312">
        <v>0</v>
      </c>
      <c r="BF312">
        <v>0</v>
      </c>
      <c r="BG312">
        <v>0</v>
      </c>
      <c r="BH312">
        <v>1</v>
      </c>
      <c r="BI312">
        <v>1</v>
      </c>
      <c r="BJ312">
        <v>0.2</v>
      </c>
      <c r="BK312">
        <v>1</v>
      </c>
      <c r="BL312">
        <v>137</v>
      </c>
      <c r="BM312">
        <v>20.55</v>
      </c>
      <c r="BN312">
        <v>157.55000000000001</v>
      </c>
      <c r="BO312">
        <v>157.55000000000001</v>
      </c>
      <c r="BQ312" t="s">
        <v>905</v>
      </c>
      <c r="BR312" t="s">
        <v>84</v>
      </c>
      <c r="BS312" s="3">
        <v>45784</v>
      </c>
      <c r="BT312" s="4">
        <v>0.45277777777777778</v>
      </c>
      <c r="BU312" t="s">
        <v>906</v>
      </c>
      <c r="BV312" t="s">
        <v>86</v>
      </c>
      <c r="BY312">
        <v>1200</v>
      </c>
      <c r="CA312" t="s">
        <v>907</v>
      </c>
      <c r="CC312" t="s">
        <v>903</v>
      </c>
      <c r="CD312">
        <v>1028</v>
      </c>
      <c r="CE312" t="s">
        <v>88</v>
      </c>
      <c r="CF312" s="3">
        <v>45784</v>
      </c>
      <c r="CI312">
        <v>1</v>
      </c>
      <c r="CJ312">
        <v>1</v>
      </c>
      <c r="CK312">
        <v>23</v>
      </c>
      <c r="CL312" t="s">
        <v>89</v>
      </c>
    </row>
    <row r="313" spans="1:90" x14ac:dyDescent="0.3">
      <c r="A313" t="s">
        <v>72</v>
      </c>
      <c r="B313" t="s">
        <v>73</v>
      </c>
      <c r="C313" t="s">
        <v>74</v>
      </c>
      <c r="E313" t="str">
        <f>"080065190058"</f>
        <v>080065190058</v>
      </c>
      <c r="F313" s="3">
        <v>45783</v>
      </c>
      <c r="G313">
        <v>202602</v>
      </c>
      <c r="H313" t="s">
        <v>75</v>
      </c>
      <c r="I313" t="s">
        <v>76</v>
      </c>
      <c r="J313" t="s">
        <v>77</v>
      </c>
      <c r="K313" t="s">
        <v>78</v>
      </c>
      <c r="L313" t="s">
        <v>463</v>
      </c>
      <c r="M313" t="s">
        <v>464</v>
      </c>
      <c r="N313" t="s">
        <v>465</v>
      </c>
      <c r="O313" t="s">
        <v>82</v>
      </c>
      <c r="P313" t="str">
        <f>"4170036978                    "</f>
        <v xml:space="preserve">4170036978                    </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22.11</v>
      </c>
      <c r="AR313">
        <v>0</v>
      </c>
      <c r="AS313">
        <v>0</v>
      </c>
      <c r="AT313">
        <v>0</v>
      </c>
      <c r="AU313">
        <v>0</v>
      </c>
      <c r="AV313">
        <v>0</v>
      </c>
      <c r="AW313">
        <v>0</v>
      </c>
      <c r="AX313">
        <v>0</v>
      </c>
      <c r="AY313">
        <v>0</v>
      </c>
      <c r="AZ313">
        <v>0</v>
      </c>
      <c r="BA313">
        <v>0</v>
      </c>
      <c r="BB313">
        <v>0</v>
      </c>
      <c r="BC313">
        <v>0</v>
      </c>
      <c r="BD313">
        <v>0</v>
      </c>
      <c r="BE313">
        <v>0</v>
      </c>
      <c r="BF313">
        <v>0</v>
      </c>
      <c r="BG313">
        <v>0</v>
      </c>
      <c r="BH313">
        <v>1</v>
      </c>
      <c r="BI313">
        <v>1</v>
      </c>
      <c r="BJ313">
        <v>0.2</v>
      </c>
      <c r="BK313">
        <v>1</v>
      </c>
      <c r="BL313">
        <v>70.709999999999994</v>
      </c>
      <c r="BM313">
        <v>10.61</v>
      </c>
      <c r="BN313">
        <v>81.319999999999993</v>
      </c>
      <c r="BO313">
        <v>81.319999999999993</v>
      </c>
      <c r="BQ313" t="s">
        <v>466</v>
      </c>
      <c r="BR313" t="s">
        <v>84</v>
      </c>
      <c r="BS313" s="3">
        <v>45784</v>
      </c>
      <c r="BT313" s="4">
        <v>0.60277777777777775</v>
      </c>
      <c r="BU313" t="s">
        <v>908</v>
      </c>
      <c r="BV313" t="s">
        <v>89</v>
      </c>
      <c r="BY313">
        <v>1200</v>
      </c>
      <c r="CA313" t="s">
        <v>468</v>
      </c>
      <c r="CC313" t="s">
        <v>464</v>
      </c>
      <c r="CD313">
        <v>5200</v>
      </c>
      <c r="CE313" t="s">
        <v>88</v>
      </c>
      <c r="CF313" s="3">
        <v>45785</v>
      </c>
      <c r="CI313">
        <v>1</v>
      </c>
      <c r="CJ313">
        <v>1</v>
      </c>
      <c r="CK313">
        <v>21</v>
      </c>
      <c r="CL313" t="s">
        <v>89</v>
      </c>
    </row>
    <row r="314" spans="1:90" x14ac:dyDescent="0.3">
      <c r="A314" t="s">
        <v>72</v>
      </c>
      <c r="B314" t="s">
        <v>73</v>
      </c>
      <c r="C314" t="s">
        <v>74</v>
      </c>
      <c r="E314" t="str">
        <f>"080065190077"</f>
        <v>080065190077</v>
      </c>
      <c r="F314" s="3">
        <v>45783</v>
      </c>
      <c r="G314">
        <v>202602</v>
      </c>
      <c r="H314" t="s">
        <v>75</v>
      </c>
      <c r="I314" t="s">
        <v>76</v>
      </c>
      <c r="J314" t="s">
        <v>77</v>
      </c>
      <c r="K314" t="s">
        <v>78</v>
      </c>
      <c r="L314" t="s">
        <v>130</v>
      </c>
      <c r="M314" t="s">
        <v>131</v>
      </c>
      <c r="N314" t="s">
        <v>909</v>
      </c>
      <c r="O314" t="s">
        <v>300</v>
      </c>
      <c r="P314" t="str">
        <f>"4170036995                    "</f>
        <v xml:space="preserve">4170036995                    </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55.12</v>
      </c>
      <c r="AR314">
        <v>0</v>
      </c>
      <c r="AS314">
        <v>0</v>
      </c>
      <c r="AT314">
        <v>0</v>
      </c>
      <c r="AU314">
        <v>0</v>
      </c>
      <c r="AV314">
        <v>0</v>
      </c>
      <c r="AW314">
        <v>0</v>
      </c>
      <c r="AX314">
        <v>0</v>
      </c>
      <c r="AY314">
        <v>0</v>
      </c>
      <c r="AZ314">
        <v>0</v>
      </c>
      <c r="BA314">
        <v>0</v>
      </c>
      <c r="BB314">
        <v>0</v>
      </c>
      <c r="BC314">
        <v>0</v>
      </c>
      <c r="BD314">
        <v>0</v>
      </c>
      <c r="BE314">
        <v>0</v>
      </c>
      <c r="BF314">
        <v>0</v>
      </c>
      <c r="BG314">
        <v>0</v>
      </c>
      <c r="BH314">
        <v>1</v>
      </c>
      <c r="BI314">
        <v>11</v>
      </c>
      <c r="BJ314">
        <v>21.6</v>
      </c>
      <c r="BK314">
        <v>22</v>
      </c>
      <c r="BL314">
        <v>181.83</v>
      </c>
      <c r="BM314">
        <v>27.27</v>
      </c>
      <c r="BN314">
        <v>209.1</v>
      </c>
      <c r="BO314">
        <v>209.1</v>
      </c>
      <c r="BQ314" t="s">
        <v>910</v>
      </c>
      <c r="BR314" t="s">
        <v>84</v>
      </c>
      <c r="BS314" s="3">
        <v>45785</v>
      </c>
      <c r="BT314" s="4">
        <v>0.34583333333333333</v>
      </c>
      <c r="BU314" t="s">
        <v>911</v>
      </c>
      <c r="BV314" t="s">
        <v>86</v>
      </c>
      <c r="BY314">
        <v>108000</v>
      </c>
      <c r="CA314" t="s">
        <v>712</v>
      </c>
      <c r="CC314" t="s">
        <v>131</v>
      </c>
      <c r="CD314">
        <v>7530</v>
      </c>
      <c r="CE314" t="s">
        <v>96</v>
      </c>
      <c r="CF314" s="3">
        <v>45786</v>
      </c>
      <c r="CI314">
        <v>3</v>
      </c>
      <c r="CJ314">
        <v>2</v>
      </c>
      <c r="CK314">
        <v>41</v>
      </c>
      <c r="CL314" t="s">
        <v>89</v>
      </c>
    </row>
    <row r="315" spans="1:90" x14ac:dyDescent="0.3">
      <c r="A315" t="s">
        <v>72</v>
      </c>
      <c r="B315" t="s">
        <v>73</v>
      </c>
      <c r="C315" t="s">
        <v>74</v>
      </c>
      <c r="E315" t="str">
        <f>"080065190100"</f>
        <v>080065190100</v>
      </c>
      <c r="F315" s="3">
        <v>45783</v>
      </c>
      <c r="G315">
        <v>202602</v>
      </c>
      <c r="H315" t="s">
        <v>75</v>
      </c>
      <c r="I315" t="s">
        <v>76</v>
      </c>
      <c r="J315" t="s">
        <v>77</v>
      </c>
      <c r="K315" t="s">
        <v>78</v>
      </c>
      <c r="L315" t="s">
        <v>489</v>
      </c>
      <c r="M315" t="s">
        <v>490</v>
      </c>
      <c r="N315" t="s">
        <v>491</v>
      </c>
      <c r="O315" t="s">
        <v>82</v>
      </c>
      <c r="P315" t="str">
        <f>"4170037012                    "</f>
        <v xml:space="preserve">4170037012                    </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42.84</v>
      </c>
      <c r="AR315">
        <v>0</v>
      </c>
      <c r="AS315">
        <v>0</v>
      </c>
      <c r="AT315">
        <v>0</v>
      </c>
      <c r="AU315">
        <v>0</v>
      </c>
      <c r="AV315">
        <v>0</v>
      </c>
      <c r="AW315">
        <v>0</v>
      </c>
      <c r="AX315">
        <v>0</v>
      </c>
      <c r="AY315">
        <v>0</v>
      </c>
      <c r="AZ315">
        <v>0</v>
      </c>
      <c r="BA315">
        <v>0</v>
      </c>
      <c r="BB315">
        <v>0</v>
      </c>
      <c r="BC315">
        <v>0</v>
      </c>
      <c r="BD315">
        <v>0</v>
      </c>
      <c r="BE315">
        <v>0</v>
      </c>
      <c r="BF315">
        <v>0</v>
      </c>
      <c r="BG315">
        <v>0</v>
      </c>
      <c r="BH315">
        <v>1</v>
      </c>
      <c r="BI315">
        <v>1</v>
      </c>
      <c r="BJ315">
        <v>0.2</v>
      </c>
      <c r="BK315">
        <v>1</v>
      </c>
      <c r="BL315">
        <v>137</v>
      </c>
      <c r="BM315">
        <v>20.55</v>
      </c>
      <c r="BN315">
        <v>157.55000000000001</v>
      </c>
      <c r="BO315">
        <v>157.55000000000001</v>
      </c>
      <c r="BQ315" t="s">
        <v>492</v>
      </c>
      <c r="BR315" t="s">
        <v>84</v>
      </c>
      <c r="BS315" s="3">
        <v>45784</v>
      </c>
      <c r="BT315" s="4">
        <v>0.5083333333333333</v>
      </c>
      <c r="BU315" t="s">
        <v>912</v>
      </c>
      <c r="BV315" t="s">
        <v>86</v>
      </c>
      <c r="BY315">
        <v>1200</v>
      </c>
      <c r="CA315" t="s">
        <v>913</v>
      </c>
      <c r="CC315" t="s">
        <v>490</v>
      </c>
      <c r="CD315">
        <v>2740</v>
      </c>
      <c r="CE315" t="s">
        <v>88</v>
      </c>
      <c r="CF315" s="3">
        <v>45789</v>
      </c>
      <c r="CI315">
        <v>1</v>
      </c>
      <c r="CJ315">
        <v>1</v>
      </c>
      <c r="CK315">
        <v>23</v>
      </c>
      <c r="CL315" t="s">
        <v>89</v>
      </c>
    </row>
    <row r="316" spans="1:90" x14ac:dyDescent="0.3">
      <c r="A316" t="s">
        <v>72</v>
      </c>
      <c r="B316" t="s">
        <v>73</v>
      </c>
      <c r="C316" t="s">
        <v>74</v>
      </c>
      <c r="E316" t="str">
        <f>"080065190125"</f>
        <v>080065190125</v>
      </c>
      <c r="F316" s="3">
        <v>45783</v>
      </c>
      <c r="G316">
        <v>202602</v>
      </c>
      <c r="H316" t="s">
        <v>75</v>
      </c>
      <c r="I316" t="s">
        <v>76</v>
      </c>
      <c r="J316" t="s">
        <v>77</v>
      </c>
      <c r="K316" t="s">
        <v>78</v>
      </c>
      <c r="L316" t="s">
        <v>90</v>
      </c>
      <c r="M316" t="s">
        <v>91</v>
      </c>
      <c r="N316" t="s">
        <v>914</v>
      </c>
      <c r="O316" t="s">
        <v>82</v>
      </c>
      <c r="P316" t="str">
        <f>"4170037035                    "</f>
        <v xml:space="preserve">4170037035                    </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22.11</v>
      </c>
      <c r="AR316">
        <v>0</v>
      </c>
      <c r="AS316">
        <v>0</v>
      </c>
      <c r="AT316">
        <v>0</v>
      </c>
      <c r="AU316">
        <v>0</v>
      </c>
      <c r="AV316">
        <v>0</v>
      </c>
      <c r="AW316">
        <v>0</v>
      </c>
      <c r="AX316">
        <v>0</v>
      </c>
      <c r="AY316">
        <v>0</v>
      </c>
      <c r="AZ316">
        <v>0</v>
      </c>
      <c r="BA316">
        <v>0</v>
      </c>
      <c r="BB316">
        <v>0</v>
      </c>
      <c r="BC316">
        <v>0</v>
      </c>
      <c r="BD316">
        <v>0</v>
      </c>
      <c r="BE316">
        <v>0</v>
      </c>
      <c r="BF316">
        <v>0</v>
      </c>
      <c r="BG316">
        <v>0</v>
      </c>
      <c r="BH316">
        <v>1</v>
      </c>
      <c r="BI316">
        <v>1</v>
      </c>
      <c r="BJ316">
        <v>0.2</v>
      </c>
      <c r="BK316">
        <v>1</v>
      </c>
      <c r="BL316">
        <v>70.709999999999994</v>
      </c>
      <c r="BM316">
        <v>10.61</v>
      </c>
      <c r="BN316">
        <v>81.319999999999993</v>
      </c>
      <c r="BO316">
        <v>81.319999999999993</v>
      </c>
      <c r="BQ316" t="s">
        <v>915</v>
      </c>
      <c r="BR316" t="s">
        <v>84</v>
      </c>
      <c r="BS316" s="3">
        <v>45784</v>
      </c>
      <c r="BT316" s="4">
        <v>0.40833333333333333</v>
      </c>
      <c r="BU316" t="s">
        <v>916</v>
      </c>
      <c r="BV316" t="s">
        <v>86</v>
      </c>
      <c r="BY316">
        <v>1200</v>
      </c>
      <c r="CA316" t="s">
        <v>95</v>
      </c>
      <c r="CC316" t="s">
        <v>91</v>
      </c>
      <c r="CD316">
        <v>6001</v>
      </c>
      <c r="CE316" t="s">
        <v>88</v>
      </c>
      <c r="CF316" s="3">
        <v>45784</v>
      </c>
      <c r="CI316">
        <v>1</v>
      </c>
      <c r="CJ316">
        <v>1</v>
      </c>
      <c r="CK316">
        <v>21</v>
      </c>
      <c r="CL316" t="s">
        <v>89</v>
      </c>
    </row>
    <row r="317" spans="1:90" x14ac:dyDescent="0.3">
      <c r="A317" t="s">
        <v>72</v>
      </c>
      <c r="B317" t="s">
        <v>73</v>
      </c>
      <c r="C317" t="s">
        <v>74</v>
      </c>
      <c r="E317" t="str">
        <f>"080065190154"</f>
        <v>080065190154</v>
      </c>
      <c r="F317" s="3">
        <v>45783</v>
      </c>
      <c r="G317">
        <v>202602</v>
      </c>
      <c r="H317" t="s">
        <v>75</v>
      </c>
      <c r="I317" t="s">
        <v>76</v>
      </c>
      <c r="J317" t="s">
        <v>77</v>
      </c>
      <c r="K317" t="s">
        <v>78</v>
      </c>
      <c r="L317" t="s">
        <v>90</v>
      </c>
      <c r="M317" t="s">
        <v>91</v>
      </c>
      <c r="N317" t="s">
        <v>371</v>
      </c>
      <c r="O317" t="s">
        <v>82</v>
      </c>
      <c r="P317" t="str">
        <f>"4170037021                    "</f>
        <v xml:space="preserve">4170037021                    </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22.11</v>
      </c>
      <c r="AR317">
        <v>0</v>
      </c>
      <c r="AS317">
        <v>0</v>
      </c>
      <c r="AT317">
        <v>0</v>
      </c>
      <c r="AU317">
        <v>0</v>
      </c>
      <c r="AV317">
        <v>0</v>
      </c>
      <c r="AW317">
        <v>0</v>
      </c>
      <c r="AX317">
        <v>0</v>
      </c>
      <c r="AY317">
        <v>0</v>
      </c>
      <c r="AZ317">
        <v>0</v>
      </c>
      <c r="BA317">
        <v>0</v>
      </c>
      <c r="BB317">
        <v>0</v>
      </c>
      <c r="BC317">
        <v>0</v>
      </c>
      <c r="BD317">
        <v>0</v>
      </c>
      <c r="BE317">
        <v>0</v>
      </c>
      <c r="BF317">
        <v>0</v>
      </c>
      <c r="BG317">
        <v>0</v>
      </c>
      <c r="BH317">
        <v>1</v>
      </c>
      <c r="BI317">
        <v>1</v>
      </c>
      <c r="BJ317">
        <v>0.2</v>
      </c>
      <c r="BK317">
        <v>1</v>
      </c>
      <c r="BL317">
        <v>70.709999999999994</v>
      </c>
      <c r="BM317">
        <v>10.61</v>
      </c>
      <c r="BN317">
        <v>81.319999999999993</v>
      </c>
      <c r="BO317">
        <v>81.319999999999993</v>
      </c>
      <c r="BQ317" t="s">
        <v>372</v>
      </c>
      <c r="BR317" t="s">
        <v>84</v>
      </c>
      <c r="BS317" s="3">
        <v>45784</v>
      </c>
      <c r="BT317" s="4">
        <v>0.42708333333333331</v>
      </c>
      <c r="BU317" t="s">
        <v>373</v>
      </c>
      <c r="BV317" t="s">
        <v>86</v>
      </c>
      <c r="BY317">
        <v>1200</v>
      </c>
      <c r="CA317" t="s">
        <v>298</v>
      </c>
      <c r="CC317" t="s">
        <v>91</v>
      </c>
      <c r="CD317">
        <v>6001</v>
      </c>
      <c r="CE317" t="s">
        <v>88</v>
      </c>
      <c r="CF317" s="3">
        <v>45784</v>
      </c>
      <c r="CI317">
        <v>1</v>
      </c>
      <c r="CJ317">
        <v>1</v>
      </c>
      <c r="CK317">
        <v>21</v>
      </c>
      <c r="CL317" t="s">
        <v>89</v>
      </c>
    </row>
    <row r="318" spans="1:90" x14ac:dyDescent="0.3">
      <c r="A318" t="s">
        <v>72</v>
      </c>
      <c r="B318" t="s">
        <v>73</v>
      </c>
      <c r="C318" t="s">
        <v>74</v>
      </c>
      <c r="E318" t="str">
        <f>"080065190259"</f>
        <v>080065190259</v>
      </c>
      <c r="F318" s="3">
        <v>45783</v>
      </c>
      <c r="G318">
        <v>202602</v>
      </c>
      <c r="H318" t="s">
        <v>75</v>
      </c>
      <c r="I318" t="s">
        <v>76</v>
      </c>
      <c r="J318" t="s">
        <v>77</v>
      </c>
      <c r="K318" t="s">
        <v>78</v>
      </c>
      <c r="L318" t="s">
        <v>75</v>
      </c>
      <c r="M318" t="s">
        <v>76</v>
      </c>
      <c r="N318" t="s">
        <v>601</v>
      </c>
      <c r="O318" t="s">
        <v>82</v>
      </c>
      <c r="P318" t="str">
        <f>"4170037040                    "</f>
        <v xml:space="preserve">4170037040                    </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17.27</v>
      </c>
      <c r="AR318">
        <v>0</v>
      </c>
      <c r="AS318">
        <v>0</v>
      </c>
      <c r="AT318">
        <v>0</v>
      </c>
      <c r="AU318">
        <v>0</v>
      </c>
      <c r="AV318">
        <v>0</v>
      </c>
      <c r="AW318">
        <v>0</v>
      </c>
      <c r="AX318">
        <v>0</v>
      </c>
      <c r="AY318">
        <v>0</v>
      </c>
      <c r="AZ318">
        <v>0</v>
      </c>
      <c r="BA318">
        <v>0</v>
      </c>
      <c r="BB318">
        <v>0</v>
      </c>
      <c r="BC318">
        <v>0</v>
      </c>
      <c r="BD318">
        <v>0</v>
      </c>
      <c r="BE318">
        <v>0</v>
      </c>
      <c r="BF318">
        <v>0</v>
      </c>
      <c r="BG318">
        <v>0</v>
      </c>
      <c r="BH318">
        <v>1</v>
      </c>
      <c r="BI318">
        <v>5</v>
      </c>
      <c r="BJ318">
        <v>3.4</v>
      </c>
      <c r="BK318">
        <v>5</v>
      </c>
      <c r="BL318">
        <v>55.23</v>
      </c>
      <c r="BM318">
        <v>8.2799999999999994</v>
      </c>
      <c r="BN318">
        <v>63.51</v>
      </c>
      <c r="BO318">
        <v>63.51</v>
      </c>
      <c r="BQ318" t="s">
        <v>603</v>
      </c>
      <c r="BR318" t="s">
        <v>84</v>
      </c>
      <c r="BS318" s="3">
        <v>45784</v>
      </c>
      <c r="BT318" s="4">
        <v>0.4236111111111111</v>
      </c>
      <c r="BU318" t="s">
        <v>604</v>
      </c>
      <c r="BV318" t="s">
        <v>86</v>
      </c>
      <c r="BY318">
        <v>16965</v>
      </c>
      <c r="CA318" t="s">
        <v>605</v>
      </c>
      <c r="CC318" t="s">
        <v>76</v>
      </c>
      <c r="CD318">
        <v>1645</v>
      </c>
      <c r="CE318" t="s">
        <v>96</v>
      </c>
      <c r="CF318" s="3">
        <v>45784</v>
      </c>
      <c r="CI318">
        <v>1</v>
      </c>
      <c r="CJ318">
        <v>1</v>
      </c>
      <c r="CK318">
        <v>22</v>
      </c>
      <c r="CL318" t="s">
        <v>89</v>
      </c>
    </row>
    <row r="319" spans="1:90" x14ac:dyDescent="0.3">
      <c r="A319" t="s">
        <v>72</v>
      </c>
      <c r="B319" t="s">
        <v>73</v>
      </c>
      <c r="C319" t="s">
        <v>74</v>
      </c>
      <c r="E319" t="str">
        <f>"080065190310"</f>
        <v>080065190310</v>
      </c>
      <c r="F319" s="3">
        <v>45783</v>
      </c>
      <c r="G319">
        <v>202602</v>
      </c>
      <c r="H319" t="s">
        <v>75</v>
      </c>
      <c r="I319" t="s">
        <v>76</v>
      </c>
      <c r="J319" t="s">
        <v>77</v>
      </c>
      <c r="K319" t="s">
        <v>78</v>
      </c>
      <c r="L319" t="s">
        <v>232</v>
      </c>
      <c r="M319" t="s">
        <v>233</v>
      </c>
      <c r="N319" t="s">
        <v>917</v>
      </c>
      <c r="O319" t="s">
        <v>82</v>
      </c>
      <c r="P319" t="str">
        <f>"4170037043                    "</f>
        <v xml:space="preserve">4170037043                    </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38.68</v>
      </c>
      <c r="AR319">
        <v>0</v>
      </c>
      <c r="AS319">
        <v>0</v>
      </c>
      <c r="AT319">
        <v>0</v>
      </c>
      <c r="AU319">
        <v>0</v>
      </c>
      <c r="AV319">
        <v>0</v>
      </c>
      <c r="AW319">
        <v>0</v>
      </c>
      <c r="AX319">
        <v>0</v>
      </c>
      <c r="AY319">
        <v>0</v>
      </c>
      <c r="AZ319">
        <v>0</v>
      </c>
      <c r="BA319">
        <v>0</v>
      </c>
      <c r="BB319">
        <v>0</v>
      </c>
      <c r="BC319">
        <v>0</v>
      </c>
      <c r="BD319">
        <v>0</v>
      </c>
      <c r="BE319">
        <v>0</v>
      </c>
      <c r="BF319">
        <v>0</v>
      </c>
      <c r="BG319">
        <v>0</v>
      </c>
      <c r="BH319">
        <v>1</v>
      </c>
      <c r="BI319">
        <v>2</v>
      </c>
      <c r="BJ319">
        <v>3.1</v>
      </c>
      <c r="BK319">
        <v>3.5</v>
      </c>
      <c r="BL319">
        <v>123.7</v>
      </c>
      <c r="BM319">
        <v>18.559999999999999</v>
      </c>
      <c r="BN319">
        <v>142.26</v>
      </c>
      <c r="BO319">
        <v>142.26</v>
      </c>
      <c r="BQ319" t="s">
        <v>918</v>
      </c>
      <c r="BR319" t="s">
        <v>84</v>
      </c>
      <c r="BS319" s="3">
        <v>45784</v>
      </c>
      <c r="BT319" s="4">
        <v>0.41944444444444445</v>
      </c>
      <c r="BU319" t="s">
        <v>919</v>
      </c>
      <c r="BV319" t="s">
        <v>86</v>
      </c>
      <c r="BY319">
        <v>15360</v>
      </c>
      <c r="CA319" t="s">
        <v>237</v>
      </c>
      <c r="CC319" t="s">
        <v>233</v>
      </c>
      <c r="CD319" s="5" t="s">
        <v>238</v>
      </c>
      <c r="CE319" t="s">
        <v>96</v>
      </c>
      <c r="CF319" s="3">
        <v>45784</v>
      </c>
      <c r="CI319">
        <v>1</v>
      </c>
      <c r="CJ319">
        <v>1</v>
      </c>
      <c r="CK319">
        <v>21</v>
      </c>
      <c r="CL319" t="s">
        <v>89</v>
      </c>
    </row>
    <row r="320" spans="1:90" x14ac:dyDescent="0.3">
      <c r="A320" t="s">
        <v>72</v>
      </c>
      <c r="B320" t="s">
        <v>73</v>
      </c>
      <c r="C320" t="s">
        <v>74</v>
      </c>
      <c r="E320" t="str">
        <f>"080065190331"</f>
        <v>080065190331</v>
      </c>
      <c r="F320" s="3">
        <v>45783</v>
      </c>
      <c r="G320">
        <v>202602</v>
      </c>
      <c r="H320" t="s">
        <v>75</v>
      </c>
      <c r="I320" t="s">
        <v>76</v>
      </c>
      <c r="J320" t="s">
        <v>77</v>
      </c>
      <c r="K320" t="s">
        <v>78</v>
      </c>
      <c r="L320" t="s">
        <v>130</v>
      </c>
      <c r="M320" t="s">
        <v>131</v>
      </c>
      <c r="N320" t="s">
        <v>343</v>
      </c>
      <c r="O320" t="s">
        <v>82</v>
      </c>
      <c r="P320" t="str">
        <f>"4170037028                    "</f>
        <v xml:space="preserve">4170037028                    </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22.11</v>
      </c>
      <c r="AR320">
        <v>0</v>
      </c>
      <c r="AS320">
        <v>0</v>
      </c>
      <c r="AT320">
        <v>0</v>
      </c>
      <c r="AU320">
        <v>0</v>
      </c>
      <c r="AV320">
        <v>0</v>
      </c>
      <c r="AW320">
        <v>0</v>
      </c>
      <c r="AX320">
        <v>0</v>
      </c>
      <c r="AY320">
        <v>0</v>
      </c>
      <c r="AZ320">
        <v>0</v>
      </c>
      <c r="BA320">
        <v>0</v>
      </c>
      <c r="BB320">
        <v>0</v>
      </c>
      <c r="BC320">
        <v>0</v>
      </c>
      <c r="BD320">
        <v>0</v>
      </c>
      <c r="BE320">
        <v>0</v>
      </c>
      <c r="BF320">
        <v>0</v>
      </c>
      <c r="BG320">
        <v>0</v>
      </c>
      <c r="BH320">
        <v>1</v>
      </c>
      <c r="BI320">
        <v>1</v>
      </c>
      <c r="BJ320">
        <v>0.2</v>
      </c>
      <c r="BK320">
        <v>1</v>
      </c>
      <c r="BL320">
        <v>70.709999999999994</v>
      </c>
      <c r="BM320">
        <v>10.61</v>
      </c>
      <c r="BN320">
        <v>81.319999999999993</v>
      </c>
      <c r="BO320">
        <v>81.319999999999993</v>
      </c>
      <c r="BQ320" t="s">
        <v>344</v>
      </c>
      <c r="BR320" t="s">
        <v>84</v>
      </c>
      <c r="BS320" s="3">
        <v>45784</v>
      </c>
      <c r="BT320" s="4">
        <v>0.3923611111111111</v>
      </c>
      <c r="BU320" t="s">
        <v>345</v>
      </c>
      <c r="BV320" t="s">
        <v>86</v>
      </c>
      <c r="BY320">
        <v>1200</v>
      </c>
      <c r="CA320" t="s">
        <v>242</v>
      </c>
      <c r="CC320" t="s">
        <v>131</v>
      </c>
      <c r="CD320">
        <v>7441</v>
      </c>
      <c r="CE320" t="s">
        <v>88</v>
      </c>
      <c r="CF320" s="3">
        <v>45785</v>
      </c>
      <c r="CI320">
        <v>1</v>
      </c>
      <c r="CJ320">
        <v>1</v>
      </c>
      <c r="CK320">
        <v>21</v>
      </c>
      <c r="CL320" t="s">
        <v>89</v>
      </c>
    </row>
    <row r="321" spans="1:90" x14ac:dyDescent="0.3">
      <c r="A321" t="s">
        <v>72</v>
      </c>
      <c r="B321" t="s">
        <v>73</v>
      </c>
      <c r="C321" t="s">
        <v>74</v>
      </c>
      <c r="E321" t="str">
        <f>"080065191412"</f>
        <v>080065191412</v>
      </c>
      <c r="F321" s="3">
        <v>45783</v>
      </c>
      <c r="G321">
        <v>202602</v>
      </c>
      <c r="H321" t="s">
        <v>75</v>
      </c>
      <c r="I321" t="s">
        <v>76</v>
      </c>
      <c r="J321" t="s">
        <v>77</v>
      </c>
      <c r="K321" t="s">
        <v>78</v>
      </c>
      <c r="L321" t="s">
        <v>90</v>
      </c>
      <c r="M321" t="s">
        <v>91</v>
      </c>
      <c r="N321" t="s">
        <v>639</v>
      </c>
      <c r="O321" t="s">
        <v>82</v>
      </c>
      <c r="P321" t="str">
        <f>"4170036989                    "</f>
        <v xml:space="preserve">4170036989                    </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121.54</v>
      </c>
      <c r="AR321">
        <v>0</v>
      </c>
      <c r="AS321">
        <v>0</v>
      </c>
      <c r="AT321">
        <v>0</v>
      </c>
      <c r="AU321">
        <v>0</v>
      </c>
      <c r="AV321">
        <v>0</v>
      </c>
      <c r="AW321">
        <v>0</v>
      </c>
      <c r="AX321">
        <v>0</v>
      </c>
      <c r="AY321">
        <v>0</v>
      </c>
      <c r="AZ321">
        <v>0</v>
      </c>
      <c r="BA321">
        <v>0</v>
      </c>
      <c r="BB321">
        <v>0</v>
      </c>
      <c r="BC321">
        <v>0</v>
      </c>
      <c r="BD321">
        <v>0</v>
      </c>
      <c r="BE321">
        <v>0</v>
      </c>
      <c r="BF321">
        <v>0</v>
      </c>
      <c r="BG321">
        <v>0</v>
      </c>
      <c r="BH321">
        <v>1</v>
      </c>
      <c r="BI321">
        <v>11</v>
      </c>
      <c r="BJ321">
        <v>7.7</v>
      </c>
      <c r="BK321">
        <v>11</v>
      </c>
      <c r="BL321">
        <v>388.66</v>
      </c>
      <c r="BM321">
        <v>58.3</v>
      </c>
      <c r="BN321">
        <v>446.96</v>
      </c>
      <c r="BO321">
        <v>446.96</v>
      </c>
      <c r="BQ321" t="s">
        <v>640</v>
      </c>
      <c r="BR321" t="s">
        <v>84</v>
      </c>
      <c r="BS321" s="3">
        <v>45784</v>
      </c>
      <c r="BT321" s="4">
        <v>0.41319444444444442</v>
      </c>
      <c r="BU321" t="s">
        <v>920</v>
      </c>
      <c r="BV321" t="s">
        <v>86</v>
      </c>
      <c r="BY321">
        <v>38400</v>
      </c>
      <c r="CA321" t="s">
        <v>271</v>
      </c>
      <c r="CC321" t="s">
        <v>91</v>
      </c>
      <c r="CD321">
        <v>6001</v>
      </c>
      <c r="CE321" t="s">
        <v>96</v>
      </c>
      <c r="CF321" s="3">
        <v>45784</v>
      </c>
      <c r="CI321">
        <v>1</v>
      </c>
      <c r="CJ321">
        <v>1</v>
      </c>
      <c r="CK321">
        <v>21</v>
      </c>
      <c r="CL321" t="s">
        <v>89</v>
      </c>
    </row>
    <row r="322" spans="1:90" x14ac:dyDescent="0.3">
      <c r="A322" t="s">
        <v>72</v>
      </c>
      <c r="B322" t="s">
        <v>73</v>
      </c>
      <c r="C322" t="s">
        <v>74</v>
      </c>
      <c r="E322" t="str">
        <f>"080065191466"</f>
        <v>080065191466</v>
      </c>
      <c r="F322" s="3">
        <v>45783</v>
      </c>
      <c r="G322">
        <v>202602</v>
      </c>
      <c r="H322" t="s">
        <v>75</v>
      </c>
      <c r="I322" t="s">
        <v>76</v>
      </c>
      <c r="J322" t="s">
        <v>77</v>
      </c>
      <c r="K322" t="s">
        <v>78</v>
      </c>
      <c r="L322" t="s">
        <v>117</v>
      </c>
      <c r="M322" t="s">
        <v>118</v>
      </c>
      <c r="N322" t="s">
        <v>921</v>
      </c>
      <c r="O322" t="s">
        <v>82</v>
      </c>
      <c r="P322" t="str">
        <f>"4170036986                    "</f>
        <v xml:space="preserve">4170036986                    </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17.27</v>
      </c>
      <c r="AR322">
        <v>0</v>
      </c>
      <c r="AS322">
        <v>0</v>
      </c>
      <c r="AT322">
        <v>0</v>
      </c>
      <c r="AU322">
        <v>0</v>
      </c>
      <c r="AV322">
        <v>0</v>
      </c>
      <c r="AW322">
        <v>0</v>
      </c>
      <c r="AX322">
        <v>0</v>
      </c>
      <c r="AY322">
        <v>0</v>
      </c>
      <c r="AZ322">
        <v>0</v>
      </c>
      <c r="BA322">
        <v>0</v>
      </c>
      <c r="BB322">
        <v>0</v>
      </c>
      <c r="BC322">
        <v>0</v>
      </c>
      <c r="BD322">
        <v>0</v>
      </c>
      <c r="BE322">
        <v>0</v>
      </c>
      <c r="BF322">
        <v>0</v>
      </c>
      <c r="BG322">
        <v>0</v>
      </c>
      <c r="BH322">
        <v>1</v>
      </c>
      <c r="BI322">
        <v>2</v>
      </c>
      <c r="BJ322">
        <v>3.4</v>
      </c>
      <c r="BK322">
        <v>4</v>
      </c>
      <c r="BL322">
        <v>55.23</v>
      </c>
      <c r="BM322">
        <v>8.2799999999999994</v>
      </c>
      <c r="BN322">
        <v>63.51</v>
      </c>
      <c r="BO322">
        <v>63.51</v>
      </c>
      <c r="BQ322" t="s">
        <v>922</v>
      </c>
      <c r="BR322" t="s">
        <v>84</v>
      </c>
      <c r="BS322" s="3">
        <v>45784</v>
      </c>
      <c r="BT322" s="4">
        <v>0.37986111111111109</v>
      </c>
      <c r="BU322" t="s">
        <v>923</v>
      </c>
      <c r="BV322" t="s">
        <v>86</v>
      </c>
      <c r="BY322">
        <v>16965</v>
      </c>
      <c r="CA322" t="s">
        <v>924</v>
      </c>
      <c r="CC322" t="s">
        <v>118</v>
      </c>
      <c r="CD322">
        <v>2091</v>
      </c>
      <c r="CE322" t="s">
        <v>96</v>
      </c>
      <c r="CF322" s="3">
        <v>45784</v>
      </c>
      <c r="CI322">
        <v>1</v>
      </c>
      <c r="CJ322">
        <v>1</v>
      </c>
      <c r="CK322">
        <v>22</v>
      </c>
      <c r="CL322" t="s">
        <v>89</v>
      </c>
    </row>
    <row r="323" spans="1:90" x14ac:dyDescent="0.3">
      <c r="A323" t="s">
        <v>72</v>
      </c>
      <c r="B323" t="s">
        <v>73</v>
      </c>
      <c r="C323" t="s">
        <v>74</v>
      </c>
      <c r="E323" t="str">
        <f>"080065191532"</f>
        <v>080065191532</v>
      </c>
      <c r="F323" s="3">
        <v>45783</v>
      </c>
      <c r="G323">
        <v>202602</v>
      </c>
      <c r="H323" t="s">
        <v>75</v>
      </c>
      <c r="I323" t="s">
        <v>76</v>
      </c>
      <c r="J323" t="s">
        <v>77</v>
      </c>
      <c r="K323" t="s">
        <v>78</v>
      </c>
      <c r="L323" t="s">
        <v>136</v>
      </c>
      <c r="M323" t="s">
        <v>137</v>
      </c>
      <c r="N323" t="s">
        <v>925</v>
      </c>
      <c r="O323" t="s">
        <v>82</v>
      </c>
      <c r="P323" t="str">
        <f>"4170036991                    "</f>
        <v xml:space="preserve">4170036991                    </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38.68</v>
      </c>
      <c r="AR323">
        <v>0</v>
      </c>
      <c r="AS323">
        <v>0</v>
      </c>
      <c r="AT323">
        <v>0</v>
      </c>
      <c r="AU323">
        <v>0</v>
      </c>
      <c r="AV323">
        <v>0</v>
      </c>
      <c r="AW323">
        <v>0</v>
      </c>
      <c r="AX323">
        <v>0</v>
      </c>
      <c r="AY323">
        <v>0</v>
      </c>
      <c r="AZ323">
        <v>0</v>
      </c>
      <c r="BA323">
        <v>0</v>
      </c>
      <c r="BB323">
        <v>0</v>
      </c>
      <c r="BC323">
        <v>0</v>
      </c>
      <c r="BD323">
        <v>0</v>
      </c>
      <c r="BE323">
        <v>0</v>
      </c>
      <c r="BF323">
        <v>0</v>
      </c>
      <c r="BG323">
        <v>0</v>
      </c>
      <c r="BH323">
        <v>1</v>
      </c>
      <c r="BI323">
        <v>2</v>
      </c>
      <c r="BJ323">
        <v>3.1</v>
      </c>
      <c r="BK323">
        <v>3.5</v>
      </c>
      <c r="BL323">
        <v>123.7</v>
      </c>
      <c r="BM323">
        <v>18.559999999999999</v>
      </c>
      <c r="BN323">
        <v>142.26</v>
      </c>
      <c r="BO323">
        <v>142.26</v>
      </c>
      <c r="BQ323" t="s">
        <v>926</v>
      </c>
      <c r="BR323" t="s">
        <v>84</v>
      </c>
      <c r="BS323" s="3">
        <v>45784</v>
      </c>
      <c r="BT323" s="4">
        <v>0.46527777777777779</v>
      </c>
      <c r="BU323" t="s">
        <v>927</v>
      </c>
      <c r="BV323" t="s">
        <v>89</v>
      </c>
      <c r="BW323" t="s">
        <v>148</v>
      </c>
      <c r="BX323" t="s">
        <v>195</v>
      </c>
      <c r="BY323">
        <v>15360</v>
      </c>
      <c r="CA323" t="s">
        <v>141</v>
      </c>
      <c r="CC323" t="s">
        <v>137</v>
      </c>
      <c r="CD323" s="5" t="s">
        <v>142</v>
      </c>
      <c r="CE323" t="s">
        <v>96</v>
      </c>
      <c r="CF323" s="3">
        <v>45784</v>
      </c>
      <c r="CI323">
        <v>1</v>
      </c>
      <c r="CJ323">
        <v>1</v>
      </c>
      <c r="CK323">
        <v>21</v>
      </c>
      <c r="CL323" t="s">
        <v>89</v>
      </c>
    </row>
    <row r="324" spans="1:90" x14ac:dyDescent="0.3">
      <c r="A324" t="s">
        <v>72</v>
      </c>
      <c r="B324" t="s">
        <v>73</v>
      </c>
      <c r="C324" t="s">
        <v>74</v>
      </c>
      <c r="E324" t="str">
        <f>"080065191551"</f>
        <v>080065191551</v>
      </c>
      <c r="F324" s="3">
        <v>45783</v>
      </c>
      <c r="G324">
        <v>202602</v>
      </c>
      <c r="H324" t="s">
        <v>75</v>
      </c>
      <c r="I324" t="s">
        <v>76</v>
      </c>
      <c r="J324" t="s">
        <v>77</v>
      </c>
      <c r="K324" t="s">
        <v>78</v>
      </c>
      <c r="L324" t="s">
        <v>90</v>
      </c>
      <c r="M324" t="s">
        <v>91</v>
      </c>
      <c r="N324" t="s">
        <v>92</v>
      </c>
      <c r="O324" t="s">
        <v>82</v>
      </c>
      <c r="P324" t="str">
        <f>"4170036974                    "</f>
        <v xml:space="preserve">4170036974                    </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44.21</v>
      </c>
      <c r="AR324">
        <v>0</v>
      </c>
      <c r="AS324">
        <v>0</v>
      </c>
      <c r="AT324">
        <v>0</v>
      </c>
      <c r="AU324">
        <v>0</v>
      </c>
      <c r="AV324">
        <v>0</v>
      </c>
      <c r="AW324">
        <v>0</v>
      </c>
      <c r="AX324">
        <v>0</v>
      </c>
      <c r="AY324">
        <v>0</v>
      </c>
      <c r="AZ324">
        <v>0</v>
      </c>
      <c r="BA324">
        <v>0</v>
      </c>
      <c r="BB324">
        <v>0</v>
      </c>
      <c r="BC324">
        <v>0</v>
      </c>
      <c r="BD324">
        <v>0</v>
      </c>
      <c r="BE324">
        <v>0</v>
      </c>
      <c r="BF324">
        <v>0</v>
      </c>
      <c r="BG324">
        <v>0</v>
      </c>
      <c r="BH324">
        <v>1</v>
      </c>
      <c r="BI324">
        <v>1</v>
      </c>
      <c r="BJ324">
        <v>3.8</v>
      </c>
      <c r="BK324">
        <v>4</v>
      </c>
      <c r="BL324">
        <v>141.37</v>
      </c>
      <c r="BM324">
        <v>21.21</v>
      </c>
      <c r="BN324">
        <v>162.58000000000001</v>
      </c>
      <c r="BO324">
        <v>162.58000000000001</v>
      </c>
      <c r="BQ324" t="s">
        <v>93</v>
      </c>
      <c r="BR324" t="s">
        <v>84</v>
      </c>
      <c r="BS324" s="3">
        <v>45784</v>
      </c>
      <c r="BT324" s="4">
        <v>0.37986111111111109</v>
      </c>
      <c r="BU324" t="s">
        <v>94</v>
      </c>
      <c r="BV324" t="s">
        <v>86</v>
      </c>
      <c r="BY324">
        <v>19008</v>
      </c>
      <c r="CA324" t="s">
        <v>95</v>
      </c>
      <c r="CC324" t="s">
        <v>91</v>
      </c>
      <c r="CD324">
        <v>6001</v>
      </c>
      <c r="CE324" t="s">
        <v>96</v>
      </c>
      <c r="CF324" s="3">
        <v>45784</v>
      </c>
      <c r="CI324">
        <v>1</v>
      </c>
      <c r="CJ324">
        <v>1</v>
      </c>
      <c r="CK324">
        <v>21</v>
      </c>
      <c r="CL324" t="s">
        <v>89</v>
      </c>
    </row>
    <row r="325" spans="1:90" x14ac:dyDescent="0.3">
      <c r="A325" t="s">
        <v>72</v>
      </c>
      <c r="B325" t="s">
        <v>73</v>
      </c>
      <c r="C325" t="s">
        <v>74</v>
      </c>
      <c r="E325" t="str">
        <f>"080065191736"</f>
        <v>080065191736</v>
      </c>
      <c r="F325" s="3">
        <v>45783</v>
      </c>
      <c r="G325">
        <v>202602</v>
      </c>
      <c r="H325" t="s">
        <v>75</v>
      </c>
      <c r="I325" t="s">
        <v>76</v>
      </c>
      <c r="J325" t="s">
        <v>77</v>
      </c>
      <c r="K325" t="s">
        <v>78</v>
      </c>
      <c r="L325" t="s">
        <v>177</v>
      </c>
      <c r="M325" t="s">
        <v>178</v>
      </c>
      <c r="N325" t="s">
        <v>393</v>
      </c>
      <c r="O325" t="s">
        <v>82</v>
      </c>
      <c r="P325" t="str">
        <f>"4170037039                    "</f>
        <v xml:space="preserve">4170037039                    </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22.11</v>
      </c>
      <c r="AR325">
        <v>0</v>
      </c>
      <c r="AS325">
        <v>0</v>
      </c>
      <c r="AT325">
        <v>0</v>
      </c>
      <c r="AU325">
        <v>0</v>
      </c>
      <c r="AV325">
        <v>0</v>
      </c>
      <c r="AW325">
        <v>0</v>
      </c>
      <c r="AX325">
        <v>0</v>
      </c>
      <c r="AY325">
        <v>0</v>
      </c>
      <c r="AZ325">
        <v>0</v>
      </c>
      <c r="BA325">
        <v>0</v>
      </c>
      <c r="BB325">
        <v>0</v>
      </c>
      <c r="BC325">
        <v>0</v>
      </c>
      <c r="BD325">
        <v>0</v>
      </c>
      <c r="BE325">
        <v>0</v>
      </c>
      <c r="BF325">
        <v>0</v>
      </c>
      <c r="BG325">
        <v>0</v>
      </c>
      <c r="BH325">
        <v>1</v>
      </c>
      <c r="BI325">
        <v>1</v>
      </c>
      <c r="BJ325">
        <v>0.2</v>
      </c>
      <c r="BK325">
        <v>1</v>
      </c>
      <c r="BL325">
        <v>70.709999999999994</v>
      </c>
      <c r="BM325">
        <v>10.61</v>
      </c>
      <c r="BN325">
        <v>81.319999999999993</v>
      </c>
      <c r="BO325">
        <v>81.319999999999993</v>
      </c>
      <c r="BQ325" t="s">
        <v>394</v>
      </c>
      <c r="BR325" t="s">
        <v>84</v>
      </c>
      <c r="BS325" s="3">
        <v>45784</v>
      </c>
      <c r="BT325" s="4">
        <v>0.38472222222222224</v>
      </c>
      <c r="BU325" t="s">
        <v>395</v>
      </c>
      <c r="BV325" t="s">
        <v>86</v>
      </c>
      <c r="BY325">
        <v>1200</v>
      </c>
      <c r="CA325" t="s">
        <v>182</v>
      </c>
      <c r="CC325" t="s">
        <v>178</v>
      </c>
      <c r="CD325">
        <v>6230</v>
      </c>
      <c r="CE325" t="s">
        <v>88</v>
      </c>
      <c r="CF325" s="3">
        <v>45784</v>
      </c>
      <c r="CI325">
        <v>1</v>
      </c>
      <c r="CJ325">
        <v>1</v>
      </c>
      <c r="CK325">
        <v>21</v>
      </c>
      <c r="CL325" t="s">
        <v>89</v>
      </c>
    </row>
    <row r="326" spans="1:90" x14ac:dyDescent="0.3">
      <c r="A326" t="s">
        <v>72</v>
      </c>
      <c r="B326" t="s">
        <v>73</v>
      </c>
      <c r="C326" t="s">
        <v>74</v>
      </c>
      <c r="E326" t="str">
        <f>"080065191772"</f>
        <v>080065191772</v>
      </c>
      <c r="F326" s="3">
        <v>45783</v>
      </c>
      <c r="G326">
        <v>202602</v>
      </c>
      <c r="H326" t="s">
        <v>75</v>
      </c>
      <c r="I326" t="s">
        <v>76</v>
      </c>
      <c r="J326" t="s">
        <v>77</v>
      </c>
      <c r="K326" t="s">
        <v>78</v>
      </c>
      <c r="L326" t="s">
        <v>123</v>
      </c>
      <c r="M326" t="s">
        <v>123</v>
      </c>
      <c r="N326" t="s">
        <v>928</v>
      </c>
      <c r="O326" t="s">
        <v>82</v>
      </c>
      <c r="P326" t="str">
        <f>"4170037000                    "</f>
        <v xml:space="preserve">4170037000                    </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71.86</v>
      </c>
      <c r="AR326">
        <v>0</v>
      </c>
      <c r="AS326">
        <v>0</v>
      </c>
      <c r="AT326">
        <v>0</v>
      </c>
      <c r="AU326">
        <v>0</v>
      </c>
      <c r="AV326">
        <v>0</v>
      </c>
      <c r="AW326">
        <v>0</v>
      </c>
      <c r="AX326">
        <v>0</v>
      </c>
      <c r="AY326">
        <v>0</v>
      </c>
      <c r="AZ326">
        <v>0</v>
      </c>
      <c r="BA326">
        <v>0</v>
      </c>
      <c r="BB326">
        <v>0</v>
      </c>
      <c r="BC326">
        <v>0</v>
      </c>
      <c r="BD326">
        <v>0</v>
      </c>
      <c r="BE326">
        <v>0</v>
      </c>
      <c r="BF326">
        <v>0</v>
      </c>
      <c r="BG326">
        <v>0</v>
      </c>
      <c r="BH326">
        <v>1</v>
      </c>
      <c r="BI326">
        <v>3</v>
      </c>
      <c r="BJ326">
        <v>3.1</v>
      </c>
      <c r="BK326">
        <v>3.5</v>
      </c>
      <c r="BL326">
        <v>229.8</v>
      </c>
      <c r="BM326">
        <v>34.47</v>
      </c>
      <c r="BN326">
        <v>264.27</v>
      </c>
      <c r="BO326">
        <v>264.27</v>
      </c>
      <c r="BQ326" t="s">
        <v>929</v>
      </c>
      <c r="BR326" t="s">
        <v>84</v>
      </c>
      <c r="BS326" s="3">
        <v>45784</v>
      </c>
      <c r="BT326" s="4">
        <v>0.45902777777777776</v>
      </c>
      <c r="BU326" t="s">
        <v>930</v>
      </c>
      <c r="BV326" t="s">
        <v>86</v>
      </c>
      <c r="BY326">
        <v>15360</v>
      </c>
      <c r="CA326" t="s">
        <v>128</v>
      </c>
      <c r="CC326" t="s">
        <v>123</v>
      </c>
      <c r="CD326">
        <v>7628</v>
      </c>
      <c r="CE326" t="s">
        <v>96</v>
      </c>
      <c r="CF326" s="3">
        <v>45785</v>
      </c>
      <c r="CI326">
        <v>1</v>
      </c>
      <c r="CJ326">
        <v>1</v>
      </c>
      <c r="CK326">
        <v>23</v>
      </c>
      <c r="CL326" t="s">
        <v>89</v>
      </c>
    </row>
    <row r="327" spans="1:90" x14ac:dyDescent="0.3">
      <c r="A327" t="s">
        <v>72</v>
      </c>
      <c r="B327" t="s">
        <v>73</v>
      </c>
      <c r="C327" t="s">
        <v>74</v>
      </c>
      <c r="E327" t="str">
        <f>"080065191803"</f>
        <v>080065191803</v>
      </c>
      <c r="F327" s="3">
        <v>45783</v>
      </c>
      <c r="G327">
        <v>202602</v>
      </c>
      <c r="H327" t="s">
        <v>75</v>
      </c>
      <c r="I327" t="s">
        <v>76</v>
      </c>
      <c r="J327" t="s">
        <v>77</v>
      </c>
      <c r="K327" t="s">
        <v>78</v>
      </c>
      <c r="L327" t="s">
        <v>90</v>
      </c>
      <c r="M327" t="s">
        <v>91</v>
      </c>
      <c r="N327" t="s">
        <v>931</v>
      </c>
      <c r="O327" t="s">
        <v>82</v>
      </c>
      <c r="P327" t="str">
        <f>"4170036993                    "</f>
        <v xml:space="preserve">4170036993                    </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22.11</v>
      </c>
      <c r="AR327">
        <v>0</v>
      </c>
      <c r="AS327">
        <v>0</v>
      </c>
      <c r="AT327">
        <v>0</v>
      </c>
      <c r="AU327">
        <v>0</v>
      </c>
      <c r="AV327">
        <v>0</v>
      </c>
      <c r="AW327">
        <v>0</v>
      </c>
      <c r="AX327">
        <v>0</v>
      </c>
      <c r="AY327">
        <v>0</v>
      </c>
      <c r="AZ327">
        <v>0</v>
      </c>
      <c r="BA327">
        <v>0</v>
      </c>
      <c r="BB327">
        <v>0</v>
      </c>
      <c r="BC327">
        <v>0</v>
      </c>
      <c r="BD327">
        <v>0</v>
      </c>
      <c r="BE327">
        <v>0</v>
      </c>
      <c r="BF327">
        <v>0</v>
      </c>
      <c r="BG327">
        <v>0</v>
      </c>
      <c r="BH327">
        <v>1</v>
      </c>
      <c r="BI327">
        <v>1</v>
      </c>
      <c r="BJ327">
        <v>1.3</v>
      </c>
      <c r="BK327">
        <v>1.5</v>
      </c>
      <c r="BL327">
        <v>70.709999999999994</v>
      </c>
      <c r="BM327">
        <v>10.61</v>
      </c>
      <c r="BN327">
        <v>81.319999999999993</v>
      </c>
      <c r="BO327">
        <v>81.319999999999993</v>
      </c>
      <c r="BQ327" t="s">
        <v>932</v>
      </c>
      <c r="BR327" t="s">
        <v>84</v>
      </c>
      <c r="BS327" s="3">
        <v>45784</v>
      </c>
      <c r="BT327" s="4">
        <v>0.47499999999999998</v>
      </c>
      <c r="BU327" t="s">
        <v>933</v>
      </c>
      <c r="BV327" t="s">
        <v>89</v>
      </c>
      <c r="BW327" t="s">
        <v>296</v>
      </c>
      <c r="BX327" t="s">
        <v>297</v>
      </c>
      <c r="BY327">
        <v>6384</v>
      </c>
      <c r="CA327" t="s">
        <v>298</v>
      </c>
      <c r="CC327" t="s">
        <v>91</v>
      </c>
      <c r="CD327">
        <v>6001</v>
      </c>
      <c r="CE327" t="s">
        <v>176</v>
      </c>
      <c r="CF327" s="3">
        <v>45784</v>
      </c>
      <c r="CI327">
        <v>1</v>
      </c>
      <c r="CJ327">
        <v>1</v>
      </c>
      <c r="CK327">
        <v>21</v>
      </c>
      <c r="CL327" t="s">
        <v>89</v>
      </c>
    </row>
    <row r="328" spans="1:90" x14ac:dyDescent="0.3">
      <c r="A328" t="s">
        <v>72</v>
      </c>
      <c r="B328" t="s">
        <v>73</v>
      </c>
      <c r="C328" t="s">
        <v>74</v>
      </c>
      <c r="E328" t="str">
        <f>"080065191848"</f>
        <v>080065191848</v>
      </c>
      <c r="F328" s="3">
        <v>45783</v>
      </c>
      <c r="G328">
        <v>202602</v>
      </c>
      <c r="H328" t="s">
        <v>75</v>
      </c>
      <c r="I328" t="s">
        <v>76</v>
      </c>
      <c r="J328" t="s">
        <v>77</v>
      </c>
      <c r="K328" t="s">
        <v>78</v>
      </c>
      <c r="L328" t="s">
        <v>79</v>
      </c>
      <c r="M328" t="s">
        <v>80</v>
      </c>
      <c r="N328" t="s">
        <v>880</v>
      </c>
      <c r="O328" t="s">
        <v>82</v>
      </c>
      <c r="P328" t="str">
        <f>"4170036984                    "</f>
        <v xml:space="preserve">4170036984                    </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22.11</v>
      </c>
      <c r="AR328">
        <v>0</v>
      </c>
      <c r="AS328">
        <v>0</v>
      </c>
      <c r="AT328">
        <v>0</v>
      </c>
      <c r="AU328">
        <v>0</v>
      </c>
      <c r="AV328">
        <v>0</v>
      </c>
      <c r="AW328">
        <v>0</v>
      </c>
      <c r="AX328">
        <v>0</v>
      </c>
      <c r="AY328">
        <v>0</v>
      </c>
      <c r="AZ328">
        <v>0</v>
      </c>
      <c r="BA328">
        <v>0</v>
      </c>
      <c r="BB328">
        <v>0</v>
      </c>
      <c r="BC328">
        <v>0</v>
      </c>
      <c r="BD328">
        <v>0</v>
      </c>
      <c r="BE328">
        <v>0</v>
      </c>
      <c r="BF328">
        <v>0</v>
      </c>
      <c r="BG328">
        <v>0</v>
      </c>
      <c r="BH328">
        <v>1</v>
      </c>
      <c r="BI328">
        <v>1</v>
      </c>
      <c r="BJ328">
        <v>1.3</v>
      </c>
      <c r="BK328">
        <v>1.5</v>
      </c>
      <c r="BL328">
        <v>70.709999999999994</v>
      </c>
      <c r="BM328">
        <v>10.61</v>
      </c>
      <c r="BN328">
        <v>81.319999999999993</v>
      </c>
      <c r="BO328">
        <v>81.319999999999993</v>
      </c>
      <c r="BQ328" t="s">
        <v>881</v>
      </c>
      <c r="BR328" t="s">
        <v>84</v>
      </c>
      <c r="BS328" s="3">
        <v>45784</v>
      </c>
      <c r="BT328" s="4">
        <v>0.41805555555555557</v>
      </c>
      <c r="BU328" t="s">
        <v>882</v>
      </c>
      <c r="BV328" t="s">
        <v>86</v>
      </c>
      <c r="BY328">
        <v>6384</v>
      </c>
      <c r="CA328" t="s">
        <v>160</v>
      </c>
      <c r="CC328" t="s">
        <v>80</v>
      </c>
      <c r="CD328">
        <v>3620</v>
      </c>
      <c r="CE328" t="s">
        <v>176</v>
      </c>
      <c r="CF328" s="3">
        <v>45785</v>
      </c>
      <c r="CI328">
        <v>1</v>
      </c>
      <c r="CJ328">
        <v>1</v>
      </c>
      <c r="CK328">
        <v>21</v>
      </c>
      <c r="CL328" t="s">
        <v>89</v>
      </c>
    </row>
    <row r="329" spans="1:90" x14ac:dyDescent="0.3">
      <c r="A329" t="s">
        <v>72</v>
      </c>
      <c r="B329" t="s">
        <v>73</v>
      </c>
      <c r="C329" t="s">
        <v>74</v>
      </c>
      <c r="E329" t="str">
        <f>"080065192107"</f>
        <v>080065192107</v>
      </c>
      <c r="F329" s="3">
        <v>45783</v>
      </c>
      <c r="G329">
        <v>202602</v>
      </c>
      <c r="H329" t="s">
        <v>75</v>
      </c>
      <c r="I329" t="s">
        <v>76</v>
      </c>
      <c r="J329" t="s">
        <v>77</v>
      </c>
      <c r="K329" t="s">
        <v>78</v>
      </c>
      <c r="L329" t="s">
        <v>97</v>
      </c>
      <c r="M329" t="s">
        <v>98</v>
      </c>
      <c r="N329" t="s">
        <v>934</v>
      </c>
      <c r="O329" t="s">
        <v>82</v>
      </c>
      <c r="P329" t="str">
        <f>"4170037068                    "</f>
        <v xml:space="preserve">4170037068                    </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17.27</v>
      </c>
      <c r="AR329">
        <v>0</v>
      </c>
      <c r="AS329">
        <v>0</v>
      </c>
      <c r="AT329">
        <v>0</v>
      </c>
      <c r="AU329">
        <v>0</v>
      </c>
      <c r="AV329">
        <v>0</v>
      </c>
      <c r="AW329">
        <v>0</v>
      </c>
      <c r="AX329">
        <v>0</v>
      </c>
      <c r="AY329">
        <v>0</v>
      </c>
      <c r="AZ329">
        <v>0</v>
      </c>
      <c r="BA329">
        <v>0</v>
      </c>
      <c r="BB329">
        <v>0</v>
      </c>
      <c r="BC329">
        <v>0</v>
      </c>
      <c r="BD329">
        <v>0</v>
      </c>
      <c r="BE329">
        <v>0</v>
      </c>
      <c r="BF329">
        <v>0</v>
      </c>
      <c r="BG329">
        <v>0</v>
      </c>
      <c r="BH329">
        <v>1</v>
      </c>
      <c r="BI329">
        <v>1</v>
      </c>
      <c r="BJ329">
        <v>0.2</v>
      </c>
      <c r="BK329">
        <v>1</v>
      </c>
      <c r="BL329">
        <v>55.23</v>
      </c>
      <c r="BM329">
        <v>8.2799999999999994</v>
      </c>
      <c r="BN329">
        <v>63.51</v>
      </c>
      <c r="BO329">
        <v>63.51</v>
      </c>
      <c r="BQ329" t="s">
        <v>935</v>
      </c>
      <c r="BR329" t="s">
        <v>84</v>
      </c>
      <c r="BS329" s="3">
        <v>45784</v>
      </c>
      <c r="BT329" s="4">
        <v>0.37430555555555556</v>
      </c>
      <c r="BU329" t="s">
        <v>936</v>
      </c>
      <c r="BV329" t="s">
        <v>86</v>
      </c>
      <c r="BY329">
        <v>1200</v>
      </c>
      <c r="CA329" t="s">
        <v>937</v>
      </c>
      <c r="CC329" t="s">
        <v>98</v>
      </c>
      <c r="CD329">
        <v>1459</v>
      </c>
      <c r="CE329" t="s">
        <v>88</v>
      </c>
      <c r="CF329" s="3">
        <v>45785</v>
      </c>
      <c r="CI329">
        <v>1</v>
      </c>
      <c r="CJ329">
        <v>1</v>
      </c>
      <c r="CK329">
        <v>22</v>
      </c>
      <c r="CL329" t="s">
        <v>89</v>
      </c>
    </row>
    <row r="330" spans="1:90" x14ac:dyDescent="0.3">
      <c r="A330" t="s">
        <v>72</v>
      </c>
      <c r="B330" t="s">
        <v>73</v>
      </c>
      <c r="C330" t="s">
        <v>74</v>
      </c>
      <c r="E330" t="str">
        <f>"080065192142"</f>
        <v>080065192142</v>
      </c>
      <c r="F330" s="3">
        <v>45783</v>
      </c>
      <c r="G330">
        <v>202602</v>
      </c>
      <c r="H330" t="s">
        <v>75</v>
      </c>
      <c r="I330" t="s">
        <v>76</v>
      </c>
      <c r="J330" t="s">
        <v>77</v>
      </c>
      <c r="K330" t="s">
        <v>78</v>
      </c>
      <c r="L330" t="s">
        <v>130</v>
      </c>
      <c r="M330" t="s">
        <v>131</v>
      </c>
      <c r="N330" t="s">
        <v>909</v>
      </c>
      <c r="O330" t="s">
        <v>82</v>
      </c>
      <c r="P330" t="str">
        <f>"4170036996                    "</f>
        <v xml:space="preserve">4170036996                    </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77.349999999999994</v>
      </c>
      <c r="AR330">
        <v>0</v>
      </c>
      <c r="AS330">
        <v>0</v>
      </c>
      <c r="AT330">
        <v>0</v>
      </c>
      <c r="AU330">
        <v>0</v>
      </c>
      <c r="AV330">
        <v>0</v>
      </c>
      <c r="AW330">
        <v>0</v>
      </c>
      <c r="AX330">
        <v>0</v>
      </c>
      <c r="AY330">
        <v>0</v>
      </c>
      <c r="AZ330">
        <v>0</v>
      </c>
      <c r="BA330">
        <v>0</v>
      </c>
      <c r="BB330">
        <v>0</v>
      </c>
      <c r="BC330">
        <v>0</v>
      </c>
      <c r="BD330">
        <v>0</v>
      </c>
      <c r="BE330">
        <v>0</v>
      </c>
      <c r="BF330">
        <v>0</v>
      </c>
      <c r="BG330">
        <v>0</v>
      </c>
      <c r="BH330">
        <v>1</v>
      </c>
      <c r="BI330">
        <v>4</v>
      </c>
      <c r="BJ330">
        <v>6.8</v>
      </c>
      <c r="BK330">
        <v>7</v>
      </c>
      <c r="BL330">
        <v>247.35</v>
      </c>
      <c r="BM330">
        <v>37.1</v>
      </c>
      <c r="BN330">
        <v>284.45</v>
      </c>
      <c r="BO330">
        <v>284.45</v>
      </c>
      <c r="BQ330" t="s">
        <v>910</v>
      </c>
      <c r="BR330" t="s">
        <v>84</v>
      </c>
      <c r="BS330" s="3">
        <v>45784</v>
      </c>
      <c r="BT330" s="4">
        <v>0.35416666666666669</v>
      </c>
      <c r="BU330" t="s">
        <v>938</v>
      </c>
      <c r="BV330" t="s">
        <v>86</v>
      </c>
      <c r="BY330">
        <v>33880</v>
      </c>
      <c r="CA330" t="s">
        <v>712</v>
      </c>
      <c r="CC330" t="s">
        <v>131</v>
      </c>
      <c r="CD330">
        <v>7530</v>
      </c>
      <c r="CE330" t="s">
        <v>96</v>
      </c>
      <c r="CF330" s="3">
        <v>45785</v>
      </c>
      <c r="CI330">
        <v>1</v>
      </c>
      <c r="CJ330">
        <v>1</v>
      </c>
      <c r="CK330">
        <v>21</v>
      </c>
      <c r="CL330" t="s">
        <v>89</v>
      </c>
    </row>
    <row r="331" spans="1:90" x14ac:dyDescent="0.3">
      <c r="A331" t="s">
        <v>72</v>
      </c>
      <c r="B331" t="s">
        <v>73</v>
      </c>
      <c r="C331" t="s">
        <v>74</v>
      </c>
      <c r="E331" t="str">
        <f>"080065192307"</f>
        <v>080065192307</v>
      </c>
      <c r="F331" s="3">
        <v>45783</v>
      </c>
      <c r="G331">
        <v>202602</v>
      </c>
      <c r="H331" t="s">
        <v>75</v>
      </c>
      <c r="I331" t="s">
        <v>76</v>
      </c>
      <c r="J331" t="s">
        <v>77</v>
      </c>
      <c r="K331" t="s">
        <v>78</v>
      </c>
      <c r="L331" t="s">
        <v>136</v>
      </c>
      <c r="M331" t="s">
        <v>137</v>
      </c>
      <c r="N331" t="s">
        <v>735</v>
      </c>
      <c r="O331" t="s">
        <v>82</v>
      </c>
      <c r="P331" t="str">
        <f>"4170037064                    "</f>
        <v xml:space="preserve">4170037064                    </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22.11</v>
      </c>
      <c r="AR331">
        <v>0</v>
      </c>
      <c r="AS331">
        <v>0</v>
      </c>
      <c r="AT331">
        <v>0</v>
      </c>
      <c r="AU331">
        <v>0</v>
      </c>
      <c r="AV331">
        <v>0</v>
      </c>
      <c r="AW331">
        <v>0</v>
      </c>
      <c r="AX331">
        <v>0</v>
      </c>
      <c r="AY331">
        <v>0</v>
      </c>
      <c r="AZ331">
        <v>0</v>
      </c>
      <c r="BA331">
        <v>0</v>
      </c>
      <c r="BB331">
        <v>0</v>
      </c>
      <c r="BC331">
        <v>0</v>
      </c>
      <c r="BD331">
        <v>0</v>
      </c>
      <c r="BE331">
        <v>0</v>
      </c>
      <c r="BF331">
        <v>0</v>
      </c>
      <c r="BG331">
        <v>0</v>
      </c>
      <c r="BH331">
        <v>1</v>
      </c>
      <c r="BI331">
        <v>1</v>
      </c>
      <c r="BJ331">
        <v>0.2</v>
      </c>
      <c r="BK331">
        <v>1</v>
      </c>
      <c r="BL331">
        <v>70.709999999999994</v>
      </c>
      <c r="BM331">
        <v>10.61</v>
      </c>
      <c r="BN331">
        <v>81.319999999999993</v>
      </c>
      <c r="BO331">
        <v>81.319999999999993</v>
      </c>
      <c r="BQ331" t="s">
        <v>736</v>
      </c>
      <c r="BR331" t="s">
        <v>84</v>
      </c>
      <c r="BS331" s="3">
        <v>45784</v>
      </c>
      <c r="BT331" s="4">
        <v>0.37361111111111112</v>
      </c>
      <c r="BU331" t="s">
        <v>737</v>
      </c>
      <c r="BV331" t="s">
        <v>86</v>
      </c>
      <c r="BY331">
        <v>1200</v>
      </c>
      <c r="CA331" t="s">
        <v>258</v>
      </c>
      <c r="CC331" t="s">
        <v>137</v>
      </c>
      <c r="CD331" s="5" t="s">
        <v>738</v>
      </c>
      <c r="CE331" t="s">
        <v>88</v>
      </c>
      <c r="CF331" s="3">
        <v>45784</v>
      </c>
      <c r="CI331">
        <v>1</v>
      </c>
      <c r="CJ331">
        <v>1</v>
      </c>
      <c r="CK331">
        <v>21</v>
      </c>
      <c r="CL331" t="s">
        <v>89</v>
      </c>
    </row>
    <row r="332" spans="1:90" x14ac:dyDescent="0.3">
      <c r="A332" t="s">
        <v>72</v>
      </c>
      <c r="B332" t="s">
        <v>73</v>
      </c>
      <c r="C332" t="s">
        <v>74</v>
      </c>
      <c r="E332" t="str">
        <f>"080065192335"</f>
        <v>080065192335</v>
      </c>
      <c r="F332" s="3">
        <v>45783</v>
      </c>
      <c r="G332">
        <v>202602</v>
      </c>
      <c r="H332" t="s">
        <v>75</v>
      </c>
      <c r="I332" t="s">
        <v>76</v>
      </c>
      <c r="J332" t="s">
        <v>77</v>
      </c>
      <c r="K332" t="s">
        <v>78</v>
      </c>
      <c r="L332" t="s">
        <v>123</v>
      </c>
      <c r="M332" t="s">
        <v>123</v>
      </c>
      <c r="N332" t="s">
        <v>317</v>
      </c>
      <c r="O332" t="s">
        <v>82</v>
      </c>
      <c r="P332" t="str">
        <f>"4170037033                    "</f>
        <v xml:space="preserve">4170037033                    </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42.84</v>
      </c>
      <c r="AR332">
        <v>0</v>
      </c>
      <c r="AS332">
        <v>0</v>
      </c>
      <c r="AT332">
        <v>0</v>
      </c>
      <c r="AU332">
        <v>0</v>
      </c>
      <c r="AV332">
        <v>0</v>
      </c>
      <c r="AW332">
        <v>0</v>
      </c>
      <c r="AX332">
        <v>0</v>
      </c>
      <c r="AY332">
        <v>0</v>
      </c>
      <c r="AZ332">
        <v>0</v>
      </c>
      <c r="BA332">
        <v>0</v>
      </c>
      <c r="BB332">
        <v>0</v>
      </c>
      <c r="BC332">
        <v>0</v>
      </c>
      <c r="BD332">
        <v>0</v>
      </c>
      <c r="BE332">
        <v>0</v>
      </c>
      <c r="BF332">
        <v>0</v>
      </c>
      <c r="BG332">
        <v>0</v>
      </c>
      <c r="BH332">
        <v>1</v>
      </c>
      <c r="BI332">
        <v>1</v>
      </c>
      <c r="BJ332">
        <v>0.2</v>
      </c>
      <c r="BK332">
        <v>1</v>
      </c>
      <c r="BL332">
        <v>137</v>
      </c>
      <c r="BM332">
        <v>20.55</v>
      </c>
      <c r="BN332">
        <v>157.55000000000001</v>
      </c>
      <c r="BO332">
        <v>157.55000000000001</v>
      </c>
      <c r="BQ332" t="s">
        <v>318</v>
      </c>
      <c r="BR332" t="s">
        <v>84</v>
      </c>
      <c r="BS332" s="3">
        <v>45784</v>
      </c>
      <c r="BT332" s="4">
        <v>0.54166666666666663</v>
      </c>
      <c r="BU332" t="s">
        <v>329</v>
      </c>
      <c r="BV332" t="s">
        <v>86</v>
      </c>
      <c r="BY332">
        <v>1200</v>
      </c>
      <c r="CA332" t="s">
        <v>128</v>
      </c>
      <c r="CC332" t="s">
        <v>123</v>
      </c>
      <c r="CD332">
        <v>7646</v>
      </c>
      <c r="CE332" t="s">
        <v>88</v>
      </c>
      <c r="CF332" s="3">
        <v>45785</v>
      </c>
      <c r="CI332">
        <v>1</v>
      </c>
      <c r="CJ332">
        <v>1</v>
      </c>
      <c r="CK332">
        <v>23</v>
      </c>
      <c r="CL332" t="s">
        <v>89</v>
      </c>
    </row>
    <row r="333" spans="1:90" x14ac:dyDescent="0.3">
      <c r="A333" t="s">
        <v>72</v>
      </c>
      <c r="B333" t="s">
        <v>73</v>
      </c>
      <c r="C333" t="s">
        <v>74</v>
      </c>
      <c r="E333" t="str">
        <f>"080065192375"</f>
        <v>080065192375</v>
      </c>
      <c r="F333" s="3">
        <v>45783</v>
      </c>
      <c r="G333">
        <v>202602</v>
      </c>
      <c r="H333" t="s">
        <v>75</v>
      </c>
      <c r="I333" t="s">
        <v>76</v>
      </c>
      <c r="J333" t="s">
        <v>77</v>
      </c>
      <c r="K333" t="s">
        <v>78</v>
      </c>
      <c r="L333" t="s">
        <v>311</v>
      </c>
      <c r="M333" t="s">
        <v>312</v>
      </c>
      <c r="N333" t="s">
        <v>939</v>
      </c>
      <c r="O333" t="s">
        <v>82</v>
      </c>
      <c r="P333" t="str">
        <f>"4170037036                    "</f>
        <v xml:space="preserve">4170037036                    </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17.27</v>
      </c>
      <c r="AR333">
        <v>0</v>
      </c>
      <c r="AS333">
        <v>0</v>
      </c>
      <c r="AT333">
        <v>0</v>
      </c>
      <c r="AU333">
        <v>0</v>
      </c>
      <c r="AV333">
        <v>0</v>
      </c>
      <c r="AW333">
        <v>0</v>
      </c>
      <c r="AX333">
        <v>0</v>
      </c>
      <c r="AY333">
        <v>0</v>
      </c>
      <c r="AZ333">
        <v>0</v>
      </c>
      <c r="BA333">
        <v>0</v>
      </c>
      <c r="BB333">
        <v>0</v>
      </c>
      <c r="BC333">
        <v>0</v>
      </c>
      <c r="BD333">
        <v>0</v>
      </c>
      <c r="BE333">
        <v>0</v>
      </c>
      <c r="BF333">
        <v>0</v>
      </c>
      <c r="BG333">
        <v>0</v>
      </c>
      <c r="BH333">
        <v>1</v>
      </c>
      <c r="BI333">
        <v>8</v>
      </c>
      <c r="BJ333">
        <v>4.7</v>
      </c>
      <c r="BK333">
        <v>8</v>
      </c>
      <c r="BL333">
        <v>55.23</v>
      </c>
      <c r="BM333">
        <v>8.2799999999999994</v>
      </c>
      <c r="BN333">
        <v>63.51</v>
      </c>
      <c r="BO333">
        <v>63.51</v>
      </c>
      <c r="BQ333" t="s">
        <v>940</v>
      </c>
      <c r="BR333" t="s">
        <v>84</v>
      </c>
      <c r="BS333" s="3">
        <v>45784</v>
      </c>
      <c r="BT333" s="4">
        <v>0.42430555555555555</v>
      </c>
      <c r="BU333" t="s">
        <v>941</v>
      </c>
      <c r="BV333" t="s">
        <v>86</v>
      </c>
      <c r="BY333">
        <v>23600</v>
      </c>
      <c r="CA333" t="s">
        <v>942</v>
      </c>
      <c r="CC333" t="s">
        <v>312</v>
      </c>
      <c r="CD333">
        <v>1502</v>
      </c>
      <c r="CE333" t="s">
        <v>221</v>
      </c>
      <c r="CF333" s="3">
        <v>45784</v>
      </c>
      <c r="CI333">
        <v>1</v>
      </c>
      <c r="CJ333">
        <v>1</v>
      </c>
      <c r="CK333">
        <v>22</v>
      </c>
      <c r="CL333" t="s">
        <v>89</v>
      </c>
    </row>
    <row r="334" spans="1:90" x14ac:dyDescent="0.3">
      <c r="A334" t="s">
        <v>72</v>
      </c>
      <c r="B334" t="s">
        <v>73</v>
      </c>
      <c r="C334" t="s">
        <v>74</v>
      </c>
      <c r="E334" t="str">
        <f>"080065192433"</f>
        <v>080065192433</v>
      </c>
      <c r="F334" s="3">
        <v>45783</v>
      </c>
      <c r="G334">
        <v>202602</v>
      </c>
      <c r="H334" t="s">
        <v>75</v>
      </c>
      <c r="I334" t="s">
        <v>76</v>
      </c>
      <c r="J334" t="s">
        <v>77</v>
      </c>
      <c r="K334" t="s">
        <v>78</v>
      </c>
      <c r="L334" t="s">
        <v>90</v>
      </c>
      <c r="M334" t="s">
        <v>91</v>
      </c>
      <c r="N334" t="s">
        <v>598</v>
      </c>
      <c r="O334" t="s">
        <v>82</v>
      </c>
      <c r="P334" t="str">
        <f>"4170037056                    "</f>
        <v xml:space="preserve">4170037056                    </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55.26</v>
      </c>
      <c r="AR334">
        <v>0</v>
      </c>
      <c r="AS334">
        <v>0</v>
      </c>
      <c r="AT334">
        <v>0</v>
      </c>
      <c r="AU334">
        <v>0</v>
      </c>
      <c r="AV334">
        <v>0</v>
      </c>
      <c r="AW334">
        <v>0</v>
      </c>
      <c r="AX334">
        <v>0</v>
      </c>
      <c r="AY334">
        <v>0</v>
      </c>
      <c r="AZ334">
        <v>0</v>
      </c>
      <c r="BA334">
        <v>0</v>
      </c>
      <c r="BB334">
        <v>0</v>
      </c>
      <c r="BC334">
        <v>0</v>
      </c>
      <c r="BD334">
        <v>0</v>
      </c>
      <c r="BE334">
        <v>0</v>
      </c>
      <c r="BF334">
        <v>0</v>
      </c>
      <c r="BG334">
        <v>0</v>
      </c>
      <c r="BH334">
        <v>2</v>
      </c>
      <c r="BI334">
        <v>4</v>
      </c>
      <c r="BJ334">
        <v>4.7</v>
      </c>
      <c r="BK334">
        <v>5</v>
      </c>
      <c r="BL334">
        <v>176.7</v>
      </c>
      <c r="BM334">
        <v>26.51</v>
      </c>
      <c r="BN334">
        <v>203.21</v>
      </c>
      <c r="BO334">
        <v>203.21</v>
      </c>
      <c r="BQ334" t="s">
        <v>599</v>
      </c>
      <c r="BR334" t="s">
        <v>84</v>
      </c>
      <c r="BS334" s="3">
        <v>45784</v>
      </c>
      <c r="BT334" s="4">
        <v>0.43472222222222223</v>
      </c>
      <c r="BU334" t="s">
        <v>734</v>
      </c>
      <c r="BV334" t="s">
        <v>86</v>
      </c>
      <c r="BY334">
        <v>23400</v>
      </c>
      <c r="CA334" t="s">
        <v>943</v>
      </c>
      <c r="CC334" t="s">
        <v>91</v>
      </c>
      <c r="CD334">
        <v>6012</v>
      </c>
      <c r="CE334" t="s">
        <v>88</v>
      </c>
      <c r="CF334" s="3">
        <v>45784</v>
      </c>
      <c r="CI334">
        <v>1</v>
      </c>
      <c r="CJ334">
        <v>1</v>
      </c>
      <c r="CK334">
        <v>21</v>
      </c>
      <c r="CL334" t="s">
        <v>89</v>
      </c>
    </row>
    <row r="335" spans="1:90" x14ac:dyDescent="0.3">
      <c r="A335" t="s">
        <v>72</v>
      </c>
      <c r="B335" t="s">
        <v>73</v>
      </c>
      <c r="C335" t="s">
        <v>74</v>
      </c>
      <c r="E335" t="str">
        <f>"080065192864"</f>
        <v>080065192864</v>
      </c>
      <c r="F335" s="3">
        <v>45783</v>
      </c>
      <c r="G335">
        <v>202602</v>
      </c>
      <c r="H335" t="s">
        <v>75</v>
      </c>
      <c r="I335" t="s">
        <v>76</v>
      </c>
      <c r="J335" t="s">
        <v>77</v>
      </c>
      <c r="K335" t="s">
        <v>78</v>
      </c>
      <c r="L335" t="s">
        <v>117</v>
      </c>
      <c r="M335" t="s">
        <v>118</v>
      </c>
      <c r="N335" t="s">
        <v>722</v>
      </c>
      <c r="O335" t="s">
        <v>82</v>
      </c>
      <c r="P335" t="str">
        <f>"4170037069                    "</f>
        <v xml:space="preserve">4170037069                    </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17.27</v>
      </c>
      <c r="AR335">
        <v>0</v>
      </c>
      <c r="AS335">
        <v>0</v>
      </c>
      <c r="AT335">
        <v>0</v>
      </c>
      <c r="AU335">
        <v>0</v>
      </c>
      <c r="AV335">
        <v>0</v>
      </c>
      <c r="AW335">
        <v>0</v>
      </c>
      <c r="AX335">
        <v>0</v>
      </c>
      <c r="AY335">
        <v>0</v>
      </c>
      <c r="AZ335">
        <v>0</v>
      </c>
      <c r="BA335">
        <v>0</v>
      </c>
      <c r="BB335">
        <v>0</v>
      </c>
      <c r="BC335">
        <v>0</v>
      </c>
      <c r="BD335">
        <v>0</v>
      </c>
      <c r="BE335">
        <v>0</v>
      </c>
      <c r="BF335">
        <v>0</v>
      </c>
      <c r="BG335">
        <v>0</v>
      </c>
      <c r="BH335">
        <v>1</v>
      </c>
      <c r="BI335">
        <v>1</v>
      </c>
      <c r="BJ335">
        <v>0.2</v>
      </c>
      <c r="BK335">
        <v>1</v>
      </c>
      <c r="BL335">
        <v>55.23</v>
      </c>
      <c r="BM335">
        <v>8.2799999999999994</v>
      </c>
      <c r="BN335">
        <v>63.51</v>
      </c>
      <c r="BO335">
        <v>63.51</v>
      </c>
      <c r="BQ335" t="s">
        <v>723</v>
      </c>
      <c r="BR335" t="s">
        <v>84</v>
      </c>
      <c r="BS335" s="3">
        <v>45784</v>
      </c>
      <c r="BT335" s="4">
        <v>0.35486111111111113</v>
      </c>
      <c r="BU335" t="s">
        <v>891</v>
      </c>
      <c r="BV335" t="s">
        <v>86</v>
      </c>
      <c r="BY335">
        <v>1200</v>
      </c>
      <c r="CA335" t="s">
        <v>535</v>
      </c>
      <c r="CC335" t="s">
        <v>118</v>
      </c>
      <c r="CD335">
        <v>2094</v>
      </c>
      <c r="CE335" t="s">
        <v>88</v>
      </c>
      <c r="CF335" s="3">
        <v>45784</v>
      </c>
      <c r="CI335">
        <v>1</v>
      </c>
      <c r="CJ335">
        <v>1</v>
      </c>
      <c r="CK335">
        <v>22</v>
      </c>
      <c r="CL335" t="s">
        <v>89</v>
      </c>
    </row>
    <row r="336" spans="1:90" x14ac:dyDescent="0.3">
      <c r="A336" t="s">
        <v>72</v>
      </c>
      <c r="B336" t="s">
        <v>73</v>
      </c>
      <c r="C336" t="s">
        <v>74</v>
      </c>
      <c r="E336" t="str">
        <f>"080065192954"</f>
        <v>080065192954</v>
      </c>
      <c r="F336" s="3">
        <v>45783</v>
      </c>
      <c r="G336">
        <v>202602</v>
      </c>
      <c r="H336" t="s">
        <v>75</v>
      </c>
      <c r="I336" t="s">
        <v>76</v>
      </c>
      <c r="J336" t="s">
        <v>77</v>
      </c>
      <c r="K336" t="s">
        <v>78</v>
      </c>
      <c r="L336" t="s">
        <v>130</v>
      </c>
      <c r="M336" t="s">
        <v>131</v>
      </c>
      <c r="N336" t="s">
        <v>681</v>
      </c>
      <c r="O336" t="s">
        <v>82</v>
      </c>
      <c r="P336" t="str">
        <f>"4170037032                    "</f>
        <v xml:space="preserve">4170037032                    </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22.11</v>
      </c>
      <c r="AR336">
        <v>0</v>
      </c>
      <c r="AS336">
        <v>0</v>
      </c>
      <c r="AT336">
        <v>0</v>
      </c>
      <c r="AU336">
        <v>0</v>
      </c>
      <c r="AV336">
        <v>0</v>
      </c>
      <c r="AW336">
        <v>0</v>
      </c>
      <c r="AX336">
        <v>0</v>
      </c>
      <c r="AY336">
        <v>0</v>
      </c>
      <c r="AZ336">
        <v>0</v>
      </c>
      <c r="BA336">
        <v>0</v>
      </c>
      <c r="BB336">
        <v>0</v>
      </c>
      <c r="BC336">
        <v>0</v>
      </c>
      <c r="BD336">
        <v>0</v>
      </c>
      <c r="BE336">
        <v>0</v>
      </c>
      <c r="BF336">
        <v>0</v>
      </c>
      <c r="BG336">
        <v>0</v>
      </c>
      <c r="BH336">
        <v>1</v>
      </c>
      <c r="BI336">
        <v>1</v>
      </c>
      <c r="BJ336">
        <v>0.2</v>
      </c>
      <c r="BK336">
        <v>1</v>
      </c>
      <c r="BL336">
        <v>70.709999999999994</v>
      </c>
      <c r="BM336">
        <v>10.61</v>
      </c>
      <c r="BN336">
        <v>81.319999999999993</v>
      </c>
      <c r="BO336">
        <v>81.319999999999993</v>
      </c>
      <c r="BQ336" t="s">
        <v>682</v>
      </c>
      <c r="BR336" t="s">
        <v>84</v>
      </c>
      <c r="BS336" s="3">
        <v>45784</v>
      </c>
      <c r="BT336" s="4">
        <v>0.43055555555555558</v>
      </c>
      <c r="BU336" t="s">
        <v>683</v>
      </c>
      <c r="BV336" t="s">
        <v>86</v>
      </c>
      <c r="BY336">
        <v>1200</v>
      </c>
      <c r="CA336" t="s">
        <v>684</v>
      </c>
      <c r="CC336" t="s">
        <v>131</v>
      </c>
      <c r="CD336">
        <v>7800</v>
      </c>
      <c r="CE336" t="s">
        <v>88</v>
      </c>
      <c r="CF336" s="3">
        <v>45785</v>
      </c>
      <c r="CI336">
        <v>1</v>
      </c>
      <c r="CJ336">
        <v>1</v>
      </c>
      <c r="CK336">
        <v>21</v>
      </c>
      <c r="CL336" t="s">
        <v>89</v>
      </c>
    </row>
    <row r="337" spans="1:90" x14ac:dyDescent="0.3">
      <c r="A337" t="s">
        <v>72</v>
      </c>
      <c r="B337" t="s">
        <v>73</v>
      </c>
      <c r="C337" t="s">
        <v>74</v>
      </c>
      <c r="E337" t="str">
        <f>"080065193006"</f>
        <v>080065193006</v>
      </c>
      <c r="F337" s="3">
        <v>45783</v>
      </c>
      <c r="G337">
        <v>202602</v>
      </c>
      <c r="H337" t="s">
        <v>75</v>
      </c>
      <c r="I337" t="s">
        <v>76</v>
      </c>
      <c r="J337" t="s">
        <v>77</v>
      </c>
      <c r="K337" t="s">
        <v>78</v>
      </c>
      <c r="L337" t="s">
        <v>409</v>
      </c>
      <c r="M337" t="s">
        <v>410</v>
      </c>
      <c r="N337" t="s">
        <v>512</v>
      </c>
      <c r="O337" t="s">
        <v>82</v>
      </c>
      <c r="P337" t="str">
        <f>"4170037015                    "</f>
        <v xml:space="preserve">4170037015                    </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42.84</v>
      </c>
      <c r="AR337">
        <v>0</v>
      </c>
      <c r="AS337">
        <v>0</v>
      </c>
      <c r="AT337">
        <v>0</v>
      </c>
      <c r="AU337">
        <v>0</v>
      </c>
      <c r="AV337">
        <v>0</v>
      </c>
      <c r="AW337">
        <v>0</v>
      </c>
      <c r="AX337">
        <v>0</v>
      </c>
      <c r="AY337">
        <v>0</v>
      </c>
      <c r="AZ337">
        <v>0</v>
      </c>
      <c r="BA337">
        <v>0</v>
      </c>
      <c r="BB337">
        <v>0</v>
      </c>
      <c r="BC337">
        <v>0</v>
      </c>
      <c r="BD337">
        <v>0</v>
      </c>
      <c r="BE337">
        <v>0</v>
      </c>
      <c r="BF337">
        <v>0</v>
      </c>
      <c r="BG337">
        <v>0</v>
      </c>
      <c r="BH337">
        <v>1</v>
      </c>
      <c r="BI337">
        <v>1</v>
      </c>
      <c r="BJ337">
        <v>0.2</v>
      </c>
      <c r="BK337">
        <v>1</v>
      </c>
      <c r="BL337">
        <v>137</v>
      </c>
      <c r="BM337">
        <v>20.55</v>
      </c>
      <c r="BN337">
        <v>157.55000000000001</v>
      </c>
      <c r="BO337">
        <v>157.55000000000001</v>
      </c>
      <c r="BQ337" t="s">
        <v>513</v>
      </c>
      <c r="BR337" t="s">
        <v>84</v>
      </c>
      <c r="BS337" s="3">
        <v>45784</v>
      </c>
      <c r="BT337" s="4">
        <v>0.54166666666666663</v>
      </c>
      <c r="BU337" t="s">
        <v>539</v>
      </c>
      <c r="BV337" t="s">
        <v>86</v>
      </c>
      <c r="BY337">
        <v>1200</v>
      </c>
      <c r="CA337" t="s">
        <v>414</v>
      </c>
      <c r="CC337" t="s">
        <v>410</v>
      </c>
      <c r="CD337">
        <v>6850</v>
      </c>
      <c r="CE337" t="s">
        <v>88</v>
      </c>
      <c r="CF337" s="3">
        <v>45785</v>
      </c>
      <c r="CI337">
        <v>2</v>
      </c>
      <c r="CJ337">
        <v>1</v>
      </c>
      <c r="CK337">
        <v>23</v>
      </c>
      <c r="CL337" t="s">
        <v>89</v>
      </c>
    </row>
    <row r="338" spans="1:90" x14ac:dyDescent="0.3">
      <c r="A338" t="s">
        <v>72</v>
      </c>
      <c r="B338" t="s">
        <v>73</v>
      </c>
      <c r="C338" t="s">
        <v>74</v>
      </c>
      <c r="E338" t="str">
        <f>"080065193070"</f>
        <v>080065193070</v>
      </c>
      <c r="F338" s="3">
        <v>45783</v>
      </c>
      <c r="G338">
        <v>202602</v>
      </c>
      <c r="H338" t="s">
        <v>75</v>
      </c>
      <c r="I338" t="s">
        <v>76</v>
      </c>
      <c r="J338" t="s">
        <v>77</v>
      </c>
      <c r="K338" t="s">
        <v>78</v>
      </c>
      <c r="L338" t="s">
        <v>103</v>
      </c>
      <c r="M338" t="s">
        <v>104</v>
      </c>
      <c r="N338" t="s">
        <v>228</v>
      </c>
      <c r="O338" t="s">
        <v>82</v>
      </c>
      <c r="P338" t="str">
        <f>"4170037011                    "</f>
        <v xml:space="preserve">4170037011                    </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22.11</v>
      </c>
      <c r="AR338">
        <v>0</v>
      </c>
      <c r="AS338">
        <v>0</v>
      </c>
      <c r="AT338">
        <v>0</v>
      </c>
      <c r="AU338">
        <v>0</v>
      </c>
      <c r="AV338">
        <v>0</v>
      </c>
      <c r="AW338">
        <v>16.739999999999998</v>
      </c>
      <c r="AX338">
        <v>0</v>
      </c>
      <c r="AY338">
        <v>0</v>
      </c>
      <c r="AZ338">
        <v>0</v>
      </c>
      <c r="BA338">
        <v>0</v>
      </c>
      <c r="BB338">
        <v>0</v>
      </c>
      <c r="BC338">
        <v>0</v>
      </c>
      <c r="BD338">
        <v>0</v>
      </c>
      <c r="BE338">
        <v>0</v>
      </c>
      <c r="BF338">
        <v>0</v>
      </c>
      <c r="BG338">
        <v>0</v>
      </c>
      <c r="BH338">
        <v>1</v>
      </c>
      <c r="BI338">
        <v>1</v>
      </c>
      <c r="BJ338">
        <v>0.2</v>
      </c>
      <c r="BK338">
        <v>1</v>
      </c>
      <c r="BL338">
        <v>87.45</v>
      </c>
      <c r="BM338">
        <v>13.12</v>
      </c>
      <c r="BN338">
        <v>100.57</v>
      </c>
      <c r="BO338">
        <v>100.57</v>
      </c>
      <c r="BQ338" t="s">
        <v>229</v>
      </c>
      <c r="BR338" t="s">
        <v>84</v>
      </c>
      <c r="BS338" s="3">
        <v>45784</v>
      </c>
      <c r="BT338" s="4">
        <v>0.42291666666666666</v>
      </c>
      <c r="BU338" t="s">
        <v>944</v>
      </c>
      <c r="BV338" t="s">
        <v>86</v>
      </c>
      <c r="BY338">
        <v>1200</v>
      </c>
      <c r="BZ338" t="s">
        <v>30</v>
      </c>
      <c r="CA338" t="s">
        <v>945</v>
      </c>
      <c r="CC338" t="s">
        <v>104</v>
      </c>
      <c r="CD338">
        <v>3699</v>
      </c>
      <c r="CE338" t="s">
        <v>88</v>
      </c>
      <c r="CF338" s="3">
        <v>45784</v>
      </c>
      <c r="CI338">
        <v>1</v>
      </c>
      <c r="CJ338">
        <v>1</v>
      </c>
      <c r="CK338">
        <v>21</v>
      </c>
      <c r="CL338" t="s">
        <v>89</v>
      </c>
    </row>
    <row r="339" spans="1:90" x14ac:dyDescent="0.3">
      <c r="A339" t="s">
        <v>72</v>
      </c>
      <c r="B339" t="s">
        <v>73</v>
      </c>
      <c r="C339" t="s">
        <v>74</v>
      </c>
      <c r="E339" t="str">
        <f>"080065193123"</f>
        <v>080065193123</v>
      </c>
      <c r="F339" s="3">
        <v>45783</v>
      </c>
      <c r="G339">
        <v>202602</v>
      </c>
      <c r="H339" t="s">
        <v>75</v>
      </c>
      <c r="I339" t="s">
        <v>76</v>
      </c>
      <c r="J339" t="s">
        <v>77</v>
      </c>
      <c r="K339" t="s">
        <v>78</v>
      </c>
      <c r="L339" t="s">
        <v>130</v>
      </c>
      <c r="M339" t="s">
        <v>131</v>
      </c>
      <c r="N339" t="s">
        <v>699</v>
      </c>
      <c r="O339" t="s">
        <v>82</v>
      </c>
      <c r="P339" t="str">
        <f>"4170037001                    "</f>
        <v xml:space="preserve">4170037001                    </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22.11</v>
      </c>
      <c r="AR339">
        <v>0</v>
      </c>
      <c r="AS339">
        <v>0</v>
      </c>
      <c r="AT339">
        <v>0</v>
      </c>
      <c r="AU339">
        <v>0</v>
      </c>
      <c r="AV339">
        <v>0</v>
      </c>
      <c r="AW339">
        <v>0</v>
      </c>
      <c r="AX339">
        <v>0</v>
      </c>
      <c r="AY339">
        <v>0</v>
      </c>
      <c r="AZ339">
        <v>0</v>
      </c>
      <c r="BA339">
        <v>0</v>
      </c>
      <c r="BB339">
        <v>0</v>
      </c>
      <c r="BC339">
        <v>0</v>
      </c>
      <c r="BD339">
        <v>0</v>
      </c>
      <c r="BE339">
        <v>0</v>
      </c>
      <c r="BF339">
        <v>0</v>
      </c>
      <c r="BG339">
        <v>0</v>
      </c>
      <c r="BH339">
        <v>1</v>
      </c>
      <c r="BI339">
        <v>1</v>
      </c>
      <c r="BJ339">
        <v>0.2</v>
      </c>
      <c r="BK339">
        <v>1</v>
      </c>
      <c r="BL339">
        <v>70.709999999999994</v>
      </c>
      <c r="BM339">
        <v>10.61</v>
      </c>
      <c r="BN339">
        <v>81.319999999999993</v>
      </c>
      <c r="BO339">
        <v>81.319999999999993</v>
      </c>
      <c r="BQ339" t="s">
        <v>700</v>
      </c>
      <c r="BR339" t="s">
        <v>84</v>
      </c>
      <c r="BS339" s="3">
        <v>45784</v>
      </c>
      <c r="BT339" s="4">
        <v>0.41458333333333336</v>
      </c>
      <c r="BU339" t="s">
        <v>701</v>
      </c>
      <c r="BV339" t="s">
        <v>86</v>
      </c>
      <c r="BY339">
        <v>1200</v>
      </c>
      <c r="CA339" t="s">
        <v>330</v>
      </c>
      <c r="CC339" t="s">
        <v>131</v>
      </c>
      <c r="CD339">
        <v>7480</v>
      </c>
      <c r="CE339" t="s">
        <v>88</v>
      </c>
      <c r="CF339" s="3">
        <v>45785</v>
      </c>
      <c r="CI339">
        <v>1</v>
      </c>
      <c r="CJ339">
        <v>1</v>
      </c>
      <c r="CK339">
        <v>21</v>
      </c>
      <c r="CL339" t="s">
        <v>89</v>
      </c>
    </row>
    <row r="340" spans="1:90" x14ac:dyDescent="0.3">
      <c r="A340" t="s">
        <v>72</v>
      </c>
      <c r="B340" t="s">
        <v>73</v>
      </c>
      <c r="C340" t="s">
        <v>74</v>
      </c>
      <c r="E340" t="str">
        <f>"080065193179"</f>
        <v>080065193179</v>
      </c>
      <c r="F340" s="3">
        <v>45783</v>
      </c>
      <c r="G340">
        <v>202602</v>
      </c>
      <c r="H340" t="s">
        <v>75</v>
      </c>
      <c r="I340" t="s">
        <v>76</v>
      </c>
      <c r="J340" t="s">
        <v>77</v>
      </c>
      <c r="K340" t="s">
        <v>78</v>
      </c>
      <c r="L340" t="s">
        <v>946</v>
      </c>
      <c r="M340" t="s">
        <v>947</v>
      </c>
      <c r="N340" t="s">
        <v>948</v>
      </c>
      <c r="O340" t="s">
        <v>82</v>
      </c>
      <c r="P340" t="str">
        <f>"4170037006                    "</f>
        <v xml:space="preserve">4170037006                    </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81.540000000000006</v>
      </c>
      <c r="AR340">
        <v>0</v>
      </c>
      <c r="AS340">
        <v>0</v>
      </c>
      <c r="AT340">
        <v>0</v>
      </c>
      <c r="AU340">
        <v>0</v>
      </c>
      <c r="AV340">
        <v>0</v>
      </c>
      <c r="AW340">
        <v>0</v>
      </c>
      <c r="AX340">
        <v>0</v>
      </c>
      <c r="AY340">
        <v>0</v>
      </c>
      <c r="AZ340">
        <v>0</v>
      </c>
      <c r="BA340">
        <v>0</v>
      </c>
      <c r="BB340">
        <v>0</v>
      </c>
      <c r="BC340">
        <v>0</v>
      </c>
      <c r="BD340">
        <v>0</v>
      </c>
      <c r="BE340">
        <v>0</v>
      </c>
      <c r="BF340">
        <v>0</v>
      </c>
      <c r="BG340">
        <v>0</v>
      </c>
      <c r="BH340">
        <v>1</v>
      </c>
      <c r="BI340">
        <v>4</v>
      </c>
      <c r="BJ340">
        <v>1.7</v>
      </c>
      <c r="BK340">
        <v>4</v>
      </c>
      <c r="BL340">
        <v>260.74</v>
      </c>
      <c r="BM340">
        <v>39.11</v>
      </c>
      <c r="BN340">
        <v>299.85000000000002</v>
      </c>
      <c r="BO340">
        <v>299.85000000000002</v>
      </c>
      <c r="BQ340" t="s">
        <v>949</v>
      </c>
      <c r="BR340" t="s">
        <v>84</v>
      </c>
      <c r="BS340" s="3">
        <v>45785</v>
      </c>
      <c r="BT340" s="4">
        <v>0.42708333333333331</v>
      </c>
      <c r="BU340" t="s">
        <v>950</v>
      </c>
      <c r="BV340" t="s">
        <v>86</v>
      </c>
      <c r="BY340">
        <v>8550</v>
      </c>
      <c r="CA340" t="s">
        <v>951</v>
      </c>
      <c r="CC340" t="s">
        <v>947</v>
      </c>
      <c r="CD340">
        <v>4490</v>
      </c>
      <c r="CE340" t="s">
        <v>116</v>
      </c>
      <c r="CF340" s="3">
        <v>45785</v>
      </c>
      <c r="CI340">
        <v>5</v>
      </c>
      <c r="CJ340">
        <v>2</v>
      </c>
      <c r="CK340">
        <v>23</v>
      </c>
      <c r="CL340" t="s">
        <v>89</v>
      </c>
    </row>
    <row r="341" spans="1:90" x14ac:dyDescent="0.3">
      <c r="A341" t="s">
        <v>72</v>
      </c>
      <c r="B341" t="s">
        <v>73</v>
      </c>
      <c r="C341" t="s">
        <v>74</v>
      </c>
      <c r="E341" t="str">
        <f>"080065193235"</f>
        <v>080065193235</v>
      </c>
      <c r="F341" s="3">
        <v>45783</v>
      </c>
      <c r="G341">
        <v>202602</v>
      </c>
      <c r="H341" t="s">
        <v>75</v>
      </c>
      <c r="I341" t="s">
        <v>76</v>
      </c>
      <c r="J341" t="s">
        <v>77</v>
      </c>
      <c r="K341" t="s">
        <v>78</v>
      </c>
      <c r="L341" t="s">
        <v>103</v>
      </c>
      <c r="M341" t="s">
        <v>104</v>
      </c>
      <c r="N341" t="s">
        <v>952</v>
      </c>
      <c r="O341" t="s">
        <v>82</v>
      </c>
      <c r="P341" t="str">
        <f>"4170037060                    "</f>
        <v xml:space="preserve">4170037060                    </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99.44</v>
      </c>
      <c r="AR341">
        <v>0</v>
      </c>
      <c r="AS341">
        <v>0</v>
      </c>
      <c r="AT341">
        <v>0</v>
      </c>
      <c r="AU341">
        <v>0</v>
      </c>
      <c r="AV341">
        <v>0</v>
      </c>
      <c r="AW341">
        <v>0</v>
      </c>
      <c r="AX341">
        <v>0</v>
      </c>
      <c r="AY341">
        <v>0</v>
      </c>
      <c r="AZ341">
        <v>0</v>
      </c>
      <c r="BA341">
        <v>0</v>
      </c>
      <c r="BB341">
        <v>0</v>
      </c>
      <c r="BC341">
        <v>0</v>
      </c>
      <c r="BD341">
        <v>0</v>
      </c>
      <c r="BE341">
        <v>0</v>
      </c>
      <c r="BF341">
        <v>0</v>
      </c>
      <c r="BG341">
        <v>0</v>
      </c>
      <c r="BH341">
        <v>1</v>
      </c>
      <c r="BI341">
        <v>9</v>
      </c>
      <c r="BJ341">
        <v>3.4</v>
      </c>
      <c r="BK341">
        <v>9</v>
      </c>
      <c r="BL341">
        <v>318</v>
      </c>
      <c r="BM341">
        <v>47.7</v>
      </c>
      <c r="BN341">
        <v>365.7</v>
      </c>
      <c r="BO341">
        <v>365.7</v>
      </c>
      <c r="BQ341" t="s">
        <v>953</v>
      </c>
      <c r="BR341" t="s">
        <v>84</v>
      </c>
      <c r="BS341" s="3">
        <v>45784</v>
      </c>
      <c r="BT341" s="4">
        <v>0.38333333333333336</v>
      </c>
      <c r="BU341" t="s">
        <v>954</v>
      </c>
      <c r="BV341" t="s">
        <v>86</v>
      </c>
      <c r="BY341">
        <v>16965</v>
      </c>
      <c r="CA341" t="s">
        <v>108</v>
      </c>
      <c r="CC341" t="s">
        <v>104</v>
      </c>
      <c r="CD341">
        <v>3201</v>
      </c>
      <c r="CE341" t="s">
        <v>96</v>
      </c>
      <c r="CF341" s="3">
        <v>45784</v>
      </c>
      <c r="CI341">
        <v>1</v>
      </c>
      <c r="CJ341">
        <v>1</v>
      </c>
      <c r="CK341">
        <v>21</v>
      </c>
      <c r="CL341" t="s">
        <v>89</v>
      </c>
    </row>
    <row r="342" spans="1:90" x14ac:dyDescent="0.3">
      <c r="A342" t="s">
        <v>72</v>
      </c>
      <c r="B342" t="s">
        <v>73</v>
      </c>
      <c r="C342" t="s">
        <v>74</v>
      </c>
      <c r="E342" t="str">
        <f>"080065193280"</f>
        <v>080065193280</v>
      </c>
      <c r="F342" s="3">
        <v>45783</v>
      </c>
      <c r="G342">
        <v>202602</v>
      </c>
      <c r="H342" t="s">
        <v>75</v>
      </c>
      <c r="I342" t="s">
        <v>76</v>
      </c>
      <c r="J342" t="s">
        <v>77</v>
      </c>
      <c r="K342" t="s">
        <v>78</v>
      </c>
      <c r="L342" t="s">
        <v>350</v>
      </c>
      <c r="M342" t="s">
        <v>351</v>
      </c>
      <c r="N342" t="s">
        <v>459</v>
      </c>
      <c r="O342" t="s">
        <v>82</v>
      </c>
      <c r="P342" t="str">
        <f>"4170037061                    "</f>
        <v xml:space="preserve">4170037061                    </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33.159999999999997</v>
      </c>
      <c r="AR342">
        <v>0</v>
      </c>
      <c r="AS342">
        <v>0</v>
      </c>
      <c r="AT342">
        <v>0</v>
      </c>
      <c r="AU342">
        <v>0</v>
      </c>
      <c r="AV342">
        <v>0</v>
      </c>
      <c r="AW342">
        <v>0</v>
      </c>
      <c r="AX342">
        <v>0</v>
      </c>
      <c r="AY342">
        <v>0</v>
      </c>
      <c r="AZ342">
        <v>0</v>
      </c>
      <c r="BA342">
        <v>0</v>
      </c>
      <c r="BB342">
        <v>0</v>
      </c>
      <c r="BC342">
        <v>0</v>
      </c>
      <c r="BD342">
        <v>0</v>
      </c>
      <c r="BE342">
        <v>0</v>
      </c>
      <c r="BF342">
        <v>0</v>
      </c>
      <c r="BG342">
        <v>0</v>
      </c>
      <c r="BH342">
        <v>1</v>
      </c>
      <c r="BI342">
        <v>3</v>
      </c>
      <c r="BJ342">
        <v>1.4</v>
      </c>
      <c r="BK342">
        <v>3</v>
      </c>
      <c r="BL342">
        <v>106.04</v>
      </c>
      <c r="BM342">
        <v>15.91</v>
      </c>
      <c r="BN342">
        <v>121.95</v>
      </c>
      <c r="BO342">
        <v>121.95</v>
      </c>
      <c r="BQ342" t="s">
        <v>460</v>
      </c>
      <c r="BR342" t="s">
        <v>84</v>
      </c>
      <c r="BS342" s="3">
        <v>45784</v>
      </c>
      <c r="BT342" s="4">
        <v>0.33333333333333331</v>
      </c>
      <c r="BU342" t="s">
        <v>461</v>
      </c>
      <c r="BV342" t="s">
        <v>86</v>
      </c>
      <c r="BY342">
        <v>7000</v>
      </c>
      <c r="CA342" t="s">
        <v>462</v>
      </c>
      <c r="CC342" t="s">
        <v>351</v>
      </c>
      <c r="CD342">
        <v>4051</v>
      </c>
      <c r="CE342" t="s">
        <v>96</v>
      </c>
      <c r="CF342" s="3">
        <v>45785</v>
      </c>
      <c r="CI342">
        <v>1</v>
      </c>
      <c r="CJ342">
        <v>1</v>
      </c>
      <c r="CK342">
        <v>21</v>
      </c>
      <c r="CL342" t="s">
        <v>89</v>
      </c>
    </row>
    <row r="343" spans="1:90" x14ac:dyDescent="0.3">
      <c r="A343" t="s">
        <v>72</v>
      </c>
      <c r="B343" t="s">
        <v>73</v>
      </c>
      <c r="C343" t="s">
        <v>74</v>
      </c>
      <c r="E343" t="str">
        <f>"080065193363"</f>
        <v>080065193363</v>
      </c>
      <c r="F343" s="3">
        <v>45783</v>
      </c>
      <c r="G343">
        <v>202602</v>
      </c>
      <c r="H343" t="s">
        <v>75</v>
      </c>
      <c r="I343" t="s">
        <v>76</v>
      </c>
      <c r="J343" t="s">
        <v>77</v>
      </c>
      <c r="K343" t="s">
        <v>78</v>
      </c>
      <c r="L343" t="s">
        <v>123</v>
      </c>
      <c r="M343" t="s">
        <v>123</v>
      </c>
      <c r="N343" t="s">
        <v>955</v>
      </c>
      <c r="O343" t="s">
        <v>82</v>
      </c>
      <c r="P343" t="str">
        <f>"4170037042                    "</f>
        <v xml:space="preserve">4170037042                    </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158.91999999999999</v>
      </c>
      <c r="AR343">
        <v>0</v>
      </c>
      <c r="AS343">
        <v>0</v>
      </c>
      <c r="AT343">
        <v>0</v>
      </c>
      <c r="AU343">
        <v>0</v>
      </c>
      <c r="AV343">
        <v>0</v>
      </c>
      <c r="AW343">
        <v>0</v>
      </c>
      <c r="AX343">
        <v>0</v>
      </c>
      <c r="AY343">
        <v>0</v>
      </c>
      <c r="AZ343">
        <v>0</v>
      </c>
      <c r="BA343">
        <v>0</v>
      </c>
      <c r="BB343">
        <v>0</v>
      </c>
      <c r="BC343">
        <v>0</v>
      </c>
      <c r="BD343">
        <v>0</v>
      </c>
      <c r="BE343">
        <v>0</v>
      </c>
      <c r="BF343">
        <v>0</v>
      </c>
      <c r="BG343">
        <v>0</v>
      </c>
      <c r="BH343">
        <v>1</v>
      </c>
      <c r="BI343">
        <v>8</v>
      </c>
      <c r="BJ343">
        <v>5</v>
      </c>
      <c r="BK343">
        <v>8</v>
      </c>
      <c r="BL343">
        <v>508.2</v>
      </c>
      <c r="BM343">
        <v>76.23</v>
      </c>
      <c r="BN343">
        <v>584.42999999999995</v>
      </c>
      <c r="BO343">
        <v>584.42999999999995</v>
      </c>
      <c r="BQ343" t="s">
        <v>956</v>
      </c>
      <c r="BR343" t="s">
        <v>84</v>
      </c>
      <c r="BS343" s="3">
        <v>45784</v>
      </c>
      <c r="BT343" s="4">
        <v>0.4826388888888889</v>
      </c>
      <c r="BU343" t="s">
        <v>957</v>
      </c>
      <c r="BV343" t="s">
        <v>86</v>
      </c>
      <c r="BY343">
        <v>25088</v>
      </c>
      <c r="CA343" t="s">
        <v>128</v>
      </c>
      <c r="CC343" t="s">
        <v>123</v>
      </c>
      <c r="CD343">
        <v>7645</v>
      </c>
      <c r="CE343" t="s">
        <v>221</v>
      </c>
      <c r="CF343" s="3">
        <v>45785</v>
      </c>
      <c r="CI343">
        <v>1</v>
      </c>
      <c r="CJ343">
        <v>1</v>
      </c>
      <c r="CK343">
        <v>23</v>
      </c>
      <c r="CL343" t="s">
        <v>89</v>
      </c>
    </row>
    <row r="344" spans="1:90" x14ac:dyDescent="0.3">
      <c r="A344" t="s">
        <v>72</v>
      </c>
      <c r="B344" t="s">
        <v>73</v>
      </c>
      <c r="C344" t="s">
        <v>74</v>
      </c>
      <c r="E344" t="str">
        <f>"080065193440"</f>
        <v>080065193440</v>
      </c>
      <c r="F344" s="3">
        <v>45783</v>
      </c>
      <c r="G344">
        <v>202602</v>
      </c>
      <c r="H344" t="s">
        <v>75</v>
      </c>
      <c r="I344" t="s">
        <v>76</v>
      </c>
      <c r="J344" t="s">
        <v>77</v>
      </c>
      <c r="K344" t="s">
        <v>78</v>
      </c>
      <c r="L344" t="s">
        <v>79</v>
      </c>
      <c r="M344" t="s">
        <v>80</v>
      </c>
      <c r="N344" t="s">
        <v>958</v>
      </c>
      <c r="O344" t="s">
        <v>82</v>
      </c>
      <c r="P344" t="str">
        <f>"4170037049                    "</f>
        <v xml:space="preserve">4170037049                    </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66.3</v>
      </c>
      <c r="AR344">
        <v>0</v>
      </c>
      <c r="AS344">
        <v>0</v>
      </c>
      <c r="AT344">
        <v>0</v>
      </c>
      <c r="AU344">
        <v>0</v>
      </c>
      <c r="AV344">
        <v>0</v>
      </c>
      <c r="AW344">
        <v>0</v>
      </c>
      <c r="AX344">
        <v>0</v>
      </c>
      <c r="AY344">
        <v>0</v>
      </c>
      <c r="AZ344">
        <v>0</v>
      </c>
      <c r="BA344">
        <v>0</v>
      </c>
      <c r="BB344">
        <v>0</v>
      </c>
      <c r="BC344">
        <v>0</v>
      </c>
      <c r="BD344">
        <v>0</v>
      </c>
      <c r="BE344">
        <v>0</v>
      </c>
      <c r="BF344">
        <v>0</v>
      </c>
      <c r="BG344">
        <v>0</v>
      </c>
      <c r="BH344">
        <v>1</v>
      </c>
      <c r="BI344">
        <v>6</v>
      </c>
      <c r="BJ344">
        <v>5.9</v>
      </c>
      <c r="BK344">
        <v>6</v>
      </c>
      <c r="BL344">
        <v>212.02</v>
      </c>
      <c r="BM344">
        <v>31.8</v>
      </c>
      <c r="BN344">
        <v>243.82</v>
      </c>
      <c r="BO344">
        <v>243.82</v>
      </c>
      <c r="BQ344" t="s">
        <v>959</v>
      </c>
      <c r="BR344" t="s">
        <v>84</v>
      </c>
      <c r="BS344" s="3">
        <v>45784</v>
      </c>
      <c r="BT344" s="4">
        <v>0.53472222222222221</v>
      </c>
      <c r="BU344" t="s">
        <v>960</v>
      </c>
      <c r="BV344" t="s">
        <v>89</v>
      </c>
      <c r="BW344" t="s">
        <v>434</v>
      </c>
      <c r="BX344" t="s">
        <v>435</v>
      </c>
      <c r="BY344">
        <v>29600</v>
      </c>
      <c r="CA344" t="s">
        <v>160</v>
      </c>
      <c r="CC344" t="s">
        <v>80</v>
      </c>
      <c r="CD344">
        <v>3600</v>
      </c>
      <c r="CE344" t="s">
        <v>96</v>
      </c>
      <c r="CF344" s="3">
        <v>45785</v>
      </c>
      <c r="CI344">
        <v>1</v>
      </c>
      <c r="CJ344">
        <v>1</v>
      </c>
      <c r="CK344">
        <v>21</v>
      </c>
      <c r="CL344" t="s">
        <v>89</v>
      </c>
    </row>
    <row r="345" spans="1:90" x14ac:dyDescent="0.3">
      <c r="A345" t="s">
        <v>72</v>
      </c>
      <c r="B345" t="s">
        <v>73</v>
      </c>
      <c r="C345" t="s">
        <v>74</v>
      </c>
      <c r="E345" t="str">
        <f>"080065193725"</f>
        <v>080065193725</v>
      </c>
      <c r="F345" s="3">
        <v>45783</v>
      </c>
      <c r="G345">
        <v>202602</v>
      </c>
      <c r="H345" t="s">
        <v>75</v>
      </c>
      <c r="I345" t="s">
        <v>76</v>
      </c>
      <c r="J345" t="s">
        <v>77</v>
      </c>
      <c r="K345" t="s">
        <v>78</v>
      </c>
      <c r="L345" t="s">
        <v>130</v>
      </c>
      <c r="M345" t="s">
        <v>131</v>
      </c>
      <c r="N345" t="s">
        <v>961</v>
      </c>
      <c r="O345" t="s">
        <v>82</v>
      </c>
      <c r="P345" t="str">
        <f>"4170037067                    "</f>
        <v xml:space="preserve">4170037067                    </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22.11</v>
      </c>
      <c r="AR345">
        <v>0</v>
      </c>
      <c r="AS345">
        <v>0</v>
      </c>
      <c r="AT345">
        <v>0</v>
      </c>
      <c r="AU345">
        <v>0</v>
      </c>
      <c r="AV345">
        <v>0</v>
      </c>
      <c r="AW345">
        <v>0</v>
      </c>
      <c r="AX345">
        <v>0</v>
      </c>
      <c r="AY345">
        <v>0</v>
      </c>
      <c r="AZ345">
        <v>0</v>
      </c>
      <c r="BA345">
        <v>0</v>
      </c>
      <c r="BB345">
        <v>0</v>
      </c>
      <c r="BC345">
        <v>0</v>
      </c>
      <c r="BD345">
        <v>0</v>
      </c>
      <c r="BE345">
        <v>0</v>
      </c>
      <c r="BF345">
        <v>0</v>
      </c>
      <c r="BG345">
        <v>0</v>
      </c>
      <c r="BH345">
        <v>1</v>
      </c>
      <c r="BI345">
        <v>1</v>
      </c>
      <c r="BJ345">
        <v>0.2</v>
      </c>
      <c r="BK345">
        <v>1</v>
      </c>
      <c r="BL345">
        <v>70.709999999999994</v>
      </c>
      <c r="BM345">
        <v>10.61</v>
      </c>
      <c r="BN345">
        <v>81.319999999999993</v>
      </c>
      <c r="BO345">
        <v>81.319999999999993</v>
      </c>
      <c r="BQ345" t="s">
        <v>962</v>
      </c>
      <c r="BR345" t="s">
        <v>84</v>
      </c>
      <c r="BS345" s="3">
        <v>45784</v>
      </c>
      <c r="BT345" s="4">
        <v>0.43680555555555556</v>
      </c>
      <c r="BU345" t="s">
        <v>833</v>
      </c>
      <c r="BV345" t="s">
        <v>86</v>
      </c>
      <c r="BY345">
        <v>1200</v>
      </c>
      <c r="CA345" t="s">
        <v>242</v>
      </c>
      <c r="CC345" t="s">
        <v>131</v>
      </c>
      <c r="CD345">
        <v>8001</v>
      </c>
      <c r="CE345" t="s">
        <v>88</v>
      </c>
      <c r="CF345" s="3">
        <v>45785</v>
      </c>
      <c r="CI345">
        <v>1</v>
      </c>
      <c r="CJ345">
        <v>1</v>
      </c>
      <c r="CK345">
        <v>21</v>
      </c>
      <c r="CL345" t="s">
        <v>89</v>
      </c>
    </row>
    <row r="346" spans="1:90" x14ac:dyDescent="0.3">
      <c r="A346" t="s">
        <v>72</v>
      </c>
      <c r="B346" t="s">
        <v>73</v>
      </c>
      <c r="C346" t="s">
        <v>74</v>
      </c>
      <c r="E346" t="str">
        <f>"080065193848"</f>
        <v>080065193848</v>
      </c>
      <c r="F346" s="3">
        <v>45783</v>
      </c>
      <c r="G346">
        <v>202602</v>
      </c>
      <c r="H346" t="s">
        <v>75</v>
      </c>
      <c r="I346" t="s">
        <v>76</v>
      </c>
      <c r="J346" t="s">
        <v>77</v>
      </c>
      <c r="K346" t="s">
        <v>78</v>
      </c>
      <c r="L346" t="s">
        <v>567</v>
      </c>
      <c r="M346" t="s">
        <v>568</v>
      </c>
      <c r="N346" t="s">
        <v>963</v>
      </c>
      <c r="O346" t="s">
        <v>82</v>
      </c>
      <c r="P346" t="str">
        <f>"4170037009                    "</f>
        <v xml:space="preserve">4170037009                    </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42.84</v>
      </c>
      <c r="AR346">
        <v>0</v>
      </c>
      <c r="AS346">
        <v>0</v>
      </c>
      <c r="AT346">
        <v>0</v>
      </c>
      <c r="AU346">
        <v>0</v>
      </c>
      <c r="AV346">
        <v>0</v>
      </c>
      <c r="AW346">
        <v>0</v>
      </c>
      <c r="AX346">
        <v>0</v>
      </c>
      <c r="AY346">
        <v>0</v>
      </c>
      <c r="AZ346">
        <v>0</v>
      </c>
      <c r="BA346">
        <v>0</v>
      </c>
      <c r="BB346">
        <v>0</v>
      </c>
      <c r="BC346">
        <v>0</v>
      </c>
      <c r="BD346">
        <v>0</v>
      </c>
      <c r="BE346">
        <v>0</v>
      </c>
      <c r="BF346">
        <v>0</v>
      </c>
      <c r="BG346">
        <v>0</v>
      </c>
      <c r="BH346">
        <v>1</v>
      </c>
      <c r="BI346">
        <v>1</v>
      </c>
      <c r="BJ346">
        <v>0.2</v>
      </c>
      <c r="BK346">
        <v>1</v>
      </c>
      <c r="BL346">
        <v>137</v>
      </c>
      <c r="BM346">
        <v>20.55</v>
      </c>
      <c r="BN346">
        <v>157.55000000000001</v>
      </c>
      <c r="BO346">
        <v>157.55000000000001</v>
      </c>
      <c r="BQ346" t="s">
        <v>964</v>
      </c>
      <c r="BR346" t="s">
        <v>84</v>
      </c>
      <c r="BS346" s="3">
        <v>45784</v>
      </c>
      <c r="BT346" s="4">
        <v>0.53749999999999998</v>
      </c>
      <c r="BU346" t="s">
        <v>965</v>
      </c>
      <c r="BV346" t="s">
        <v>86</v>
      </c>
      <c r="BY346">
        <v>1200</v>
      </c>
      <c r="CA346" t="s">
        <v>966</v>
      </c>
      <c r="CC346" t="s">
        <v>568</v>
      </c>
      <c r="CD346" s="5" t="s">
        <v>573</v>
      </c>
      <c r="CE346" t="s">
        <v>88</v>
      </c>
      <c r="CF346" s="3">
        <v>45785</v>
      </c>
      <c r="CI346">
        <v>1</v>
      </c>
      <c r="CJ346">
        <v>1</v>
      </c>
      <c r="CK346">
        <v>23</v>
      </c>
      <c r="CL346" t="s">
        <v>89</v>
      </c>
    </row>
    <row r="347" spans="1:90" x14ac:dyDescent="0.3">
      <c r="A347" t="s">
        <v>72</v>
      </c>
      <c r="B347" t="s">
        <v>73</v>
      </c>
      <c r="C347" t="s">
        <v>74</v>
      </c>
      <c r="E347" t="str">
        <f>"080065193871"</f>
        <v>080065193871</v>
      </c>
      <c r="F347" s="3">
        <v>45783</v>
      </c>
      <c r="G347">
        <v>202602</v>
      </c>
      <c r="H347" t="s">
        <v>75</v>
      </c>
      <c r="I347" t="s">
        <v>76</v>
      </c>
      <c r="J347" t="s">
        <v>77</v>
      </c>
      <c r="K347" t="s">
        <v>78</v>
      </c>
      <c r="L347" t="s">
        <v>350</v>
      </c>
      <c r="M347" t="s">
        <v>351</v>
      </c>
      <c r="N347" t="s">
        <v>352</v>
      </c>
      <c r="O347" t="s">
        <v>82</v>
      </c>
      <c r="P347" t="str">
        <f>"4170037076                    "</f>
        <v xml:space="preserve">4170037076                    </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22.11</v>
      </c>
      <c r="AR347">
        <v>0</v>
      </c>
      <c r="AS347">
        <v>0</v>
      </c>
      <c r="AT347">
        <v>0</v>
      </c>
      <c r="AU347">
        <v>0</v>
      </c>
      <c r="AV347">
        <v>0</v>
      </c>
      <c r="AW347">
        <v>0</v>
      </c>
      <c r="AX347">
        <v>0</v>
      </c>
      <c r="AY347">
        <v>0</v>
      </c>
      <c r="AZ347">
        <v>0</v>
      </c>
      <c r="BA347">
        <v>0</v>
      </c>
      <c r="BB347">
        <v>0</v>
      </c>
      <c r="BC347">
        <v>0</v>
      </c>
      <c r="BD347">
        <v>0</v>
      </c>
      <c r="BE347">
        <v>0</v>
      </c>
      <c r="BF347">
        <v>0</v>
      </c>
      <c r="BG347">
        <v>0</v>
      </c>
      <c r="BH347">
        <v>1</v>
      </c>
      <c r="BI347">
        <v>1</v>
      </c>
      <c r="BJ347">
        <v>0.2</v>
      </c>
      <c r="BK347">
        <v>1</v>
      </c>
      <c r="BL347">
        <v>70.709999999999994</v>
      </c>
      <c r="BM347">
        <v>10.61</v>
      </c>
      <c r="BN347">
        <v>81.319999999999993</v>
      </c>
      <c r="BO347">
        <v>81.319999999999993</v>
      </c>
      <c r="BQ347" t="s">
        <v>353</v>
      </c>
      <c r="BR347" t="s">
        <v>84</v>
      </c>
      <c r="BS347" s="3">
        <v>45784</v>
      </c>
      <c r="BT347" s="4">
        <v>0.55277777777777781</v>
      </c>
      <c r="BU347" t="s">
        <v>354</v>
      </c>
      <c r="BV347" t="s">
        <v>89</v>
      </c>
      <c r="BW347" t="s">
        <v>434</v>
      </c>
      <c r="BX347" t="s">
        <v>435</v>
      </c>
      <c r="BY347">
        <v>1200</v>
      </c>
      <c r="CA347" t="s">
        <v>160</v>
      </c>
      <c r="CC347" t="s">
        <v>351</v>
      </c>
      <c r="CD347">
        <v>4000</v>
      </c>
      <c r="CE347" t="s">
        <v>88</v>
      </c>
      <c r="CF347" s="3">
        <v>45785</v>
      </c>
      <c r="CI347">
        <v>1</v>
      </c>
      <c r="CJ347">
        <v>1</v>
      </c>
      <c r="CK347">
        <v>21</v>
      </c>
      <c r="CL347" t="s">
        <v>89</v>
      </c>
    </row>
    <row r="348" spans="1:90" x14ac:dyDescent="0.3">
      <c r="A348" t="s">
        <v>72</v>
      </c>
      <c r="B348" t="s">
        <v>73</v>
      </c>
      <c r="C348" t="s">
        <v>74</v>
      </c>
      <c r="E348" t="str">
        <f>"080065193888"</f>
        <v>080065193888</v>
      </c>
      <c r="F348" s="3">
        <v>45783</v>
      </c>
      <c r="G348">
        <v>202602</v>
      </c>
      <c r="H348" t="s">
        <v>75</v>
      </c>
      <c r="I348" t="s">
        <v>76</v>
      </c>
      <c r="J348" t="s">
        <v>77</v>
      </c>
      <c r="K348" t="s">
        <v>78</v>
      </c>
      <c r="L348" t="s">
        <v>967</v>
      </c>
      <c r="M348" t="s">
        <v>967</v>
      </c>
      <c r="N348" t="s">
        <v>968</v>
      </c>
      <c r="O348" t="s">
        <v>82</v>
      </c>
      <c r="P348" t="str">
        <f>"4170037075                    "</f>
        <v xml:space="preserve">4170037075                    </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31.1</v>
      </c>
      <c r="AR348">
        <v>0</v>
      </c>
      <c r="AS348">
        <v>0</v>
      </c>
      <c r="AT348">
        <v>0</v>
      </c>
      <c r="AU348">
        <v>0</v>
      </c>
      <c r="AV348">
        <v>0</v>
      </c>
      <c r="AW348">
        <v>0</v>
      </c>
      <c r="AX348">
        <v>0</v>
      </c>
      <c r="AY348">
        <v>0</v>
      </c>
      <c r="AZ348">
        <v>0</v>
      </c>
      <c r="BA348">
        <v>0</v>
      </c>
      <c r="BB348">
        <v>0</v>
      </c>
      <c r="BC348">
        <v>0</v>
      </c>
      <c r="BD348">
        <v>0</v>
      </c>
      <c r="BE348">
        <v>0</v>
      </c>
      <c r="BF348">
        <v>0</v>
      </c>
      <c r="BG348">
        <v>0</v>
      </c>
      <c r="BH348">
        <v>1</v>
      </c>
      <c r="BI348">
        <v>2</v>
      </c>
      <c r="BJ348">
        <v>0.9</v>
      </c>
      <c r="BK348">
        <v>2</v>
      </c>
      <c r="BL348">
        <v>99.45</v>
      </c>
      <c r="BM348">
        <v>14.92</v>
      </c>
      <c r="BN348">
        <v>114.37</v>
      </c>
      <c r="BO348">
        <v>114.37</v>
      </c>
      <c r="BQ348" t="s">
        <v>969</v>
      </c>
      <c r="BR348" t="s">
        <v>84</v>
      </c>
      <c r="BS348" s="3">
        <v>45784</v>
      </c>
      <c r="BT348" s="4">
        <v>0.47222222222222221</v>
      </c>
      <c r="BU348" t="s">
        <v>970</v>
      </c>
      <c r="BV348" t="s">
        <v>86</v>
      </c>
      <c r="BY348">
        <v>4275</v>
      </c>
      <c r="CA348" t="s">
        <v>971</v>
      </c>
      <c r="CC348" t="s">
        <v>967</v>
      </c>
      <c r="CD348">
        <v>1490</v>
      </c>
      <c r="CE348" t="s">
        <v>116</v>
      </c>
      <c r="CF348" s="3">
        <v>45784</v>
      </c>
      <c r="CI348">
        <v>1</v>
      </c>
      <c r="CJ348">
        <v>1</v>
      </c>
      <c r="CK348">
        <v>24</v>
      </c>
      <c r="CL348" t="s">
        <v>89</v>
      </c>
    </row>
    <row r="349" spans="1:90" x14ac:dyDescent="0.3">
      <c r="A349" t="s">
        <v>72</v>
      </c>
      <c r="B349" t="s">
        <v>73</v>
      </c>
      <c r="C349" t="s">
        <v>74</v>
      </c>
      <c r="E349" t="str">
        <f>"080065193966"</f>
        <v>080065193966</v>
      </c>
      <c r="F349" s="3">
        <v>45783</v>
      </c>
      <c r="G349">
        <v>202602</v>
      </c>
      <c r="H349" t="s">
        <v>75</v>
      </c>
      <c r="I349" t="s">
        <v>76</v>
      </c>
      <c r="J349" t="s">
        <v>77</v>
      </c>
      <c r="K349" t="s">
        <v>78</v>
      </c>
      <c r="L349" t="s">
        <v>972</v>
      </c>
      <c r="M349" t="s">
        <v>973</v>
      </c>
      <c r="N349" t="s">
        <v>974</v>
      </c>
      <c r="O349" t="s">
        <v>82</v>
      </c>
      <c r="P349" t="str">
        <f>"4170037074                    "</f>
        <v xml:space="preserve">4170037074                    </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17.27</v>
      </c>
      <c r="AR349">
        <v>0</v>
      </c>
      <c r="AS349">
        <v>0</v>
      </c>
      <c r="AT349">
        <v>0</v>
      </c>
      <c r="AU349">
        <v>0</v>
      </c>
      <c r="AV349">
        <v>0</v>
      </c>
      <c r="AW349">
        <v>0</v>
      </c>
      <c r="AX349">
        <v>0</v>
      </c>
      <c r="AY349">
        <v>0</v>
      </c>
      <c r="AZ349">
        <v>0</v>
      </c>
      <c r="BA349">
        <v>0</v>
      </c>
      <c r="BB349">
        <v>0</v>
      </c>
      <c r="BC349">
        <v>0</v>
      </c>
      <c r="BD349">
        <v>0</v>
      </c>
      <c r="BE349">
        <v>0</v>
      </c>
      <c r="BF349">
        <v>0</v>
      </c>
      <c r="BG349">
        <v>0</v>
      </c>
      <c r="BH349">
        <v>1</v>
      </c>
      <c r="BI349">
        <v>1</v>
      </c>
      <c r="BJ349">
        <v>0.2</v>
      </c>
      <c r="BK349">
        <v>1</v>
      </c>
      <c r="BL349">
        <v>55.23</v>
      </c>
      <c r="BM349">
        <v>8.2799999999999994</v>
      </c>
      <c r="BN349">
        <v>63.51</v>
      </c>
      <c r="BO349">
        <v>63.51</v>
      </c>
      <c r="BQ349" t="s">
        <v>975</v>
      </c>
      <c r="BR349" t="s">
        <v>84</v>
      </c>
      <c r="BS349" s="3">
        <v>45784</v>
      </c>
      <c r="BT349" s="4">
        <v>0.42638888888888887</v>
      </c>
      <c r="BU349" t="s">
        <v>976</v>
      </c>
      <c r="BV349" t="s">
        <v>86</v>
      </c>
      <c r="BY349">
        <v>1200</v>
      </c>
      <c r="CA349" t="s">
        <v>977</v>
      </c>
      <c r="CC349" t="s">
        <v>973</v>
      </c>
      <c r="CD349">
        <v>1724</v>
      </c>
      <c r="CE349" t="s">
        <v>88</v>
      </c>
      <c r="CF349" s="3">
        <v>45784</v>
      </c>
      <c r="CI349">
        <v>1</v>
      </c>
      <c r="CJ349">
        <v>1</v>
      </c>
      <c r="CK349">
        <v>22</v>
      </c>
      <c r="CL349" t="s">
        <v>89</v>
      </c>
    </row>
    <row r="350" spans="1:90" x14ac:dyDescent="0.3">
      <c r="A350" t="s">
        <v>72</v>
      </c>
      <c r="B350" t="s">
        <v>73</v>
      </c>
      <c r="C350" t="s">
        <v>74</v>
      </c>
      <c r="E350" t="str">
        <f>"080065193980"</f>
        <v>080065193980</v>
      </c>
      <c r="F350" s="3">
        <v>45783</v>
      </c>
      <c r="G350">
        <v>202602</v>
      </c>
      <c r="H350" t="s">
        <v>75</v>
      </c>
      <c r="I350" t="s">
        <v>76</v>
      </c>
      <c r="J350" t="s">
        <v>77</v>
      </c>
      <c r="K350" t="s">
        <v>78</v>
      </c>
      <c r="L350" t="s">
        <v>117</v>
      </c>
      <c r="M350" t="s">
        <v>118</v>
      </c>
      <c r="N350" t="s">
        <v>978</v>
      </c>
      <c r="O350" t="s">
        <v>82</v>
      </c>
      <c r="P350" t="str">
        <f>"4170037066                    "</f>
        <v xml:space="preserve">4170037066                    </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17.27</v>
      </c>
      <c r="AR350">
        <v>0</v>
      </c>
      <c r="AS350">
        <v>0</v>
      </c>
      <c r="AT350">
        <v>0</v>
      </c>
      <c r="AU350">
        <v>0</v>
      </c>
      <c r="AV350">
        <v>0</v>
      </c>
      <c r="AW350">
        <v>0</v>
      </c>
      <c r="AX350">
        <v>0</v>
      </c>
      <c r="AY350">
        <v>0</v>
      </c>
      <c r="AZ350">
        <v>0</v>
      </c>
      <c r="BA350">
        <v>0</v>
      </c>
      <c r="BB350">
        <v>0</v>
      </c>
      <c r="BC350">
        <v>0</v>
      </c>
      <c r="BD350">
        <v>0</v>
      </c>
      <c r="BE350">
        <v>0</v>
      </c>
      <c r="BF350">
        <v>0</v>
      </c>
      <c r="BG350">
        <v>0</v>
      </c>
      <c r="BH350">
        <v>1</v>
      </c>
      <c r="BI350">
        <v>3</v>
      </c>
      <c r="BJ350">
        <v>4</v>
      </c>
      <c r="BK350">
        <v>4</v>
      </c>
      <c r="BL350">
        <v>55.23</v>
      </c>
      <c r="BM350">
        <v>8.2799999999999994</v>
      </c>
      <c r="BN350">
        <v>63.51</v>
      </c>
      <c r="BO350">
        <v>63.51</v>
      </c>
      <c r="BQ350" t="s">
        <v>979</v>
      </c>
      <c r="BR350" t="s">
        <v>84</v>
      </c>
      <c r="BS350" s="3">
        <v>45784</v>
      </c>
      <c r="BT350" s="4">
        <v>0.375</v>
      </c>
      <c r="BU350" t="s">
        <v>980</v>
      </c>
      <c r="BV350" t="s">
        <v>86</v>
      </c>
      <c r="BY350">
        <v>20216</v>
      </c>
      <c r="CA350" t="s">
        <v>981</v>
      </c>
      <c r="CC350" t="s">
        <v>118</v>
      </c>
      <c r="CD350">
        <v>2040</v>
      </c>
      <c r="CE350" t="s">
        <v>221</v>
      </c>
      <c r="CF350" s="3">
        <v>45784</v>
      </c>
      <c r="CI350">
        <v>1</v>
      </c>
      <c r="CJ350">
        <v>1</v>
      </c>
      <c r="CK350">
        <v>22</v>
      </c>
      <c r="CL350" t="s">
        <v>89</v>
      </c>
    </row>
    <row r="351" spans="1:90" x14ac:dyDescent="0.3">
      <c r="A351" t="s">
        <v>72</v>
      </c>
      <c r="B351" t="s">
        <v>73</v>
      </c>
      <c r="C351" t="s">
        <v>74</v>
      </c>
      <c r="E351" t="str">
        <f>"080065193987"</f>
        <v>080065193987</v>
      </c>
      <c r="F351" s="3">
        <v>45783</v>
      </c>
      <c r="G351">
        <v>202602</v>
      </c>
      <c r="H351" t="s">
        <v>75</v>
      </c>
      <c r="I351" t="s">
        <v>76</v>
      </c>
      <c r="J351" t="s">
        <v>77</v>
      </c>
      <c r="K351" t="s">
        <v>78</v>
      </c>
      <c r="L351" t="s">
        <v>463</v>
      </c>
      <c r="M351" t="s">
        <v>464</v>
      </c>
      <c r="N351" t="s">
        <v>585</v>
      </c>
      <c r="O351" t="s">
        <v>82</v>
      </c>
      <c r="P351" t="str">
        <f>"4170037081                    "</f>
        <v xml:space="preserve">4170037081                    </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22.11</v>
      </c>
      <c r="AR351">
        <v>0</v>
      </c>
      <c r="AS351">
        <v>0</v>
      </c>
      <c r="AT351">
        <v>0</v>
      </c>
      <c r="AU351">
        <v>0</v>
      </c>
      <c r="AV351">
        <v>0</v>
      </c>
      <c r="AW351">
        <v>0</v>
      </c>
      <c r="AX351">
        <v>0</v>
      </c>
      <c r="AY351">
        <v>0</v>
      </c>
      <c r="AZ351">
        <v>0</v>
      </c>
      <c r="BA351">
        <v>0</v>
      </c>
      <c r="BB351">
        <v>0</v>
      </c>
      <c r="BC351">
        <v>0</v>
      </c>
      <c r="BD351">
        <v>0</v>
      </c>
      <c r="BE351">
        <v>0</v>
      </c>
      <c r="BF351">
        <v>0</v>
      </c>
      <c r="BG351">
        <v>0</v>
      </c>
      <c r="BH351">
        <v>1</v>
      </c>
      <c r="BI351">
        <v>1</v>
      </c>
      <c r="BJ351">
        <v>0.2</v>
      </c>
      <c r="BK351">
        <v>1</v>
      </c>
      <c r="BL351">
        <v>70.709999999999994</v>
      </c>
      <c r="BM351">
        <v>10.61</v>
      </c>
      <c r="BN351">
        <v>81.319999999999993</v>
      </c>
      <c r="BO351">
        <v>81.319999999999993</v>
      </c>
      <c r="BQ351" t="s">
        <v>586</v>
      </c>
      <c r="BR351" t="s">
        <v>84</v>
      </c>
      <c r="BS351" s="3">
        <v>45784</v>
      </c>
      <c r="BT351" s="4">
        <v>0.71180555555555558</v>
      </c>
      <c r="BU351" t="s">
        <v>587</v>
      </c>
      <c r="BV351" t="s">
        <v>89</v>
      </c>
      <c r="BY351">
        <v>1200</v>
      </c>
      <c r="CA351" t="s">
        <v>588</v>
      </c>
      <c r="CC351" t="s">
        <v>464</v>
      </c>
      <c r="CD351">
        <v>5200</v>
      </c>
      <c r="CE351" t="s">
        <v>88</v>
      </c>
      <c r="CF351" s="3">
        <v>45785</v>
      </c>
      <c r="CI351">
        <v>1</v>
      </c>
      <c r="CJ351">
        <v>1</v>
      </c>
      <c r="CK351">
        <v>21</v>
      </c>
      <c r="CL351" t="s">
        <v>89</v>
      </c>
    </row>
    <row r="352" spans="1:90" x14ac:dyDescent="0.3">
      <c r="A352" t="s">
        <v>72</v>
      </c>
      <c r="B352" t="s">
        <v>73</v>
      </c>
      <c r="C352" t="s">
        <v>74</v>
      </c>
      <c r="E352" t="str">
        <f>"080065194020"</f>
        <v>080065194020</v>
      </c>
      <c r="F352" s="3">
        <v>45783</v>
      </c>
      <c r="G352">
        <v>202602</v>
      </c>
      <c r="H352" t="s">
        <v>75</v>
      </c>
      <c r="I352" t="s">
        <v>76</v>
      </c>
      <c r="J352" t="s">
        <v>77</v>
      </c>
      <c r="K352" t="s">
        <v>78</v>
      </c>
      <c r="L352" t="s">
        <v>287</v>
      </c>
      <c r="M352" t="s">
        <v>288</v>
      </c>
      <c r="N352" t="s">
        <v>289</v>
      </c>
      <c r="O352" t="s">
        <v>82</v>
      </c>
      <c r="P352" t="str">
        <f>"4170037019                    "</f>
        <v xml:space="preserve">4170037019                    </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42.84</v>
      </c>
      <c r="AR352">
        <v>0</v>
      </c>
      <c r="AS352">
        <v>0</v>
      </c>
      <c r="AT352">
        <v>0</v>
      </c>
      <c r="AU352">
        <v>0</v>
      </c>
      <c r="AV352">
        <v>0</v>
      </c>
      <c r="AW352">
        <v>0</v>
      </c>
      <c r="AX352">
        <v>0</v>
      </c>
      <c r="AY352">
        <v>0</v>
      </c>
      <c r="AZ352">
        <v>0</v>
      </c>
      <c r="BA352">
        <v>0</v>
      </c>
      <c r="BB352">
        <v>0</v>
      </c>
      <c r="BC352">
        <v>0</v>
      </c>
      <c r="BD352">
        <v>0</v>
      </c>
      <c r="BE352">
        <v>0</v>
      </c>
      <c r="BF352">
        <v>0</v>
      </c>
      <c r="BG352">
        <v>0</v>
      </c>
      <c r="BH352">
        <v>1</v>
      </c>
      <c r="BI352">
        <v>2</v>
      </c>
      <c r="BJ352">
        <v>1.1000000000000001</v>
      </c>
      <c r="BK352">
        <v>2</v>
      </c>
      <c r="BL352">
        <v>137</v>
      </c>
      <c r="BM352">
        <v>20.55</v>
      </c>
      <c r="BN352">
        <v>157.55000000000001</v>
      </c>
      <c r="BO352">
        <v>157.55000000000001</v>
      </c>
      <c r="BQ352" t="s">
        <v>290</v>
      </c>
      <c r="BR352" t="s">
        <v>84</v>
      </c>
      <c r="BS352" s="3">
        <v>45784</v>
      </c>
      <c r="BT352" s="4">
        <v>0.50555555555555554</v>
      </c>
      <c r="BU352" t="s">
        <v>982</v>
      </c>
      <c r="BV352" t="s">
        <v>86</v>
      </c>
      <c r="BY352">
        <v>5320</v>
      </c>
      <c r="CA352" t="s">
        <v>983</v>
      </c>
      <c r="CC352" t="s">
        <v>288</v>
      </c>
      <c r="CD352">
        <v>6715</v>
      </c>
      <c r="CE352" t="s">
        <v>116</v>
      </c>
      <c r="CF352" s="3">
        <v>45785</v>
      </c>
      <c r="CI352">
        <v>2</v>
      </c>
      <c r="CJ352">
        <v>1</v>
      </c>
      <c r="CK352">
        <v>23</v>
      </c>
      <c r="CL352" t="s">
        <v>89</v>
      </c>
    </row>
    <row r="353" spans="1:90" x14ac:dyDescent="0.3">
      <c r="A353" t="s">
        <v>72</v>
      </c>
      <c r="B353" t="s">
        <v>73</v>
      </c>
      <c r="C353" t="s">
        <v>74</v>
      </c>
      <c r="E353" t="str">
        <f>"080065194032"</f>
        <v>080065194032</v>
      </c>
      <c r="F353" s="3">
        <v>45783</v>
      </c>
      <c r="G353">
        <v>202602</v>
      </c>
      <c r="H353" t="s">
        <v>75</v>
      </c>
      <c r="I353" t="s">
        <v>76</v>
      </c>
      <c r="J353" t="s">
        <v>77</v>
      </c>
      <c r="K353" t="s">
        <v>78</v>
      </c>
      <c r="L353" t="s">
        <v>130</v>
      </c>
      <c r="M353" t="s">
        <v>131</v>
      </c>
      <c r="N353" t="s">
        <v>343</v>
      </c>
      <c r="O353" t="s">
        <v>82</v>
      </c>
      <c r="P353" t="str">
        <f>"4170037054                    "</f>
        <v xml:space="preserve">4170037054                    </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22.11</v>
      </c>
      <c r="AR353">
        <v>0</v>
      </c>
      <c r="AS353">
        <v>0</v>
      </c>
      <c r="AT353">
        <v>0</v>
      </c>
      <c r="AU353">
        <v>0</v>
      </c>
      <c r="AV353">
        <v>0</v>
      </c>
      <c r="AW353">
        <v>0</v>
      </c>
      <c r="AX353">
        <v>0</v>
      </c>
      <c r="AY353">
        <v>0</v>
      </c>
      <c r="AZ353">
        <v>0</v>
      </c>
      <c r="BA353">
        <v>0</v>
      </c>
      <c r="BB353">
        <v>0</v>
      </c>
      <c r="BC353">
        <v>0</v>
      </c>
      <c r="BD353">
        <v>0</v>
      </c>
      <c r="BE353">
        <v>0</v>
      </c>
      <c r="BF353">
        <v>0</v>
      </c>
      <c r="BG353">
        <v>0</v>
      </c>
      <c r="BH353">
        <v>1</v>
      </c>
      <c r="BI353">
        <v>1</v>
      </c>
      <c r="BJ353">
        <v>0.2</v>
      </c>
      <c r="BK353">
        <v>1</v>
      </c>
      <c r="BL353">
        <v>70.709999999999994</v>
      </c>
      <c r="BM353">
        <v>10.61</v>
      </c>
      <c r="BN353">
        <v>81.319999999999993</v>
      </c>
      <c r="BO353">
        <v>81.319999999999993</v>
      </c>
      <c r="BQ353" t="s">
        <v>344</v>
      </c>
      <c r="BR353" t="s">
        <v>84</v>
      </c>
      <c r="BS353" s="3">
        <v>45784</v>
      </c>
      <c r="BT353" s="4">
        <v>0.3923611111111111</v>
      </c>
      <c r="BU353" t="s">
        <v>345</v>
      </c>
      <c r="BV353" t="s">
        <v>86</v>
      </c>
      <c r="BY353">
        <v>1200</v>
      </c>
      <c r="CA353" t="s">
        <v>242</v>
      </c>
      <c r="CC353" t="s">
        <v>131</v>
      </c>
      <c r="CD353">
        <v>7441</v>
      </c>
      <c r="CE353" t="s">
        <v>88</v>
      </c>
      <c r="CF353" s="3">
        <v>45785</v>
      </c>
      <c r="CI353">
        <v>1</v>
      </c>
      <c r="CJ353">
        <v>1</v>
      </c>
      <c r="CK353">
        <v>21</v>
      </c>
      <c r="CL353" t="s">
        <v>89</v>
      </c>
    </row>
    <row r="354" spans="1:90" x14ac:dyDescent="0.3">
      <c r="A354" t="s">
        <v>72</v>
      </c>
      <c r="B354" t="s">
        <v>73</v>
      </c>
      <c r="C354" t="s">
        <v>74</v>
      </c>
      <c r="E354" t="str">
        <f>"080065194042"</f>
        <v>080065194042</v>
      </c>
      <c r="F354" s="3">
        <v>45783</v>
      </c>
      <c r="G354">
        <v>202602</v>
      </c>
      <c r="H354" t="s">
        <v>75</v>
      </c>
      <c r="I354" t="s">
        <v>76</v>
      </c>
      <c r="J354" t="s">
        <v>77</v>
      </c>
      <c r="K354" t="s">
        <v>78</v>
      </c>
      <c r="L354" t="s">
        <v>117</v>
      </c>
      <c r="M354" t="s">
        <v>118</v>
      </c>
      <c r="N354" t="s">
        <v>984</v>
      </c>
      <c r="O354" t="s">
        <v>82</v>
      </c>
      <c r="P354" t="str">
        <f>"4170037082                    "</f>
        <v xml:space="preserve">4170037082                    </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17.27</v>
      </c>
      <c r="AR354">
        <v>0</v>
      </c>
      <c r="AS354">
        <v>0</v>
      </c>
      <c r="AT354">
        <v>0</v>
      </c>
      <c r="AU354">
        <v>0</v>
      </c>
      <c r="AV354">
        <v>0</v>
      </c>
      <c r="AW354">
        <v>0</v>
      </c>
      <c r="AX354">
        <v>0</v>
      </c>
      <c r="AY354">
        <v>0</v>
      </c>
      <c r="AZ354">
        <v>0</v>
      </c>
      <c r="BA354">
        <v>0</v>
      </c>
      <c r="BB354">
        <v>0</v>
      </c>
      <c r="BC354">
        <v>0</v>
      </c>
      <c r="BD354">
        <v>0</v>
      </c>
      <c r="BE354">
        <v>0</v>
      </c>
      <c r="BF354">
        <v>0</v>
      </c>
      <c r="BG354">
        <v>0</v>
      </c>
      <c r="BH354">
        <v>1</v>
      </c>
      <c r="BI354">
        <v>1</v>
      </c>
      <c r="BJ354">
        <v>1.1000000000000001</v>
      </c>
      <c r="BK354">
        <v>2</v>
      </c>
      <c r="BL354">
        <v>55.23</v>
      </c>
      <c r="BM354">
        <v>8.2799999999999994</v>
      </c>
      <c r="BN354">
        <v>63.51</v>
      </c>
      <c r="BO354">
        <v>63.51</v>
      </c>
      <c r="BQ354" t="s">
        <v>985</v>
      </c>
      <c r="BR354" t="s">
        <v>84</v>
      </c>
      <c r="BS354" s="3">
        <v>45784</v>
      </c>
      <c r="BT354" s="4">
        <v>0.34722222222222221</v>
      </c>
      <c r="BU354" t="s">
        <v>986</v>
      </c>
      <c r="BV354" t="s">
        <v>86</v>
      </c>
      <c r="BY354">
        <v>5320</v>
      </c>
      <c r="CA354" t="s">
        <v>275</v>
      </c>
      <c r="CC354" t="s">
        <v>118</v>
      </c>
      <c r="CD354">
        <v>2013</v>
      </c>
      <c r="CE354" t="s">
        <v>116</v>
      </c>
      <c r="CF354" s="3">
        <v>45784</v>
      </c>
      <c r="CI354">
        <v>1</v>
      </c>
      <c r="CJ354">
        <v>1</v>
      </c>
      <c r="CK354">
        <v>22</v>
      </c>
      <c r="CL354" t="s">
        <v>89</v>
      </c>
    </row>
    <row r="355" spans="1:90" x14ac:dyDescent="0.3">
      <c r="A355" t="s">
        <v>72</v>
      </c>
      <c r="B355" t="s">
        <v>73</v>
      </c>
      <c r="C355" t="s">
        <v>74</v>
      </c>
      <c r="E355" t="str">
        <f>"080065194047"</f>
        <v>080065194047</v>
      </c>
      <c r="F355" s="3">
        <v>45783</v>
      </c>
      <c r="G355">
        <v>202602</v>
      </c>
      <c r="H355" t="s">
        <v>75</v>
      </c>
      <c r="I355" t="s">
        <v>76</v>
      </c>
      <c r="J355" t="s">
        <v>77</v>
      </c>
      <c r="K355" t="s">
        <v>78</v>
      </c>
      <c r="L355" t="s">
        <v>123</v>
      </c>
      <c r="M355" t="s">
        <v>123</v>
      </c>
      <c r="N355" t="s">
        <v>766</v>
      </c>
      <c r="O355" t="s">
        <v>82</v>
      </c>
      <c r="P355" t="str">
        <f>"4170037013                    "</f>
        <v xml:space="preserve">4170037013                    </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42.84</v>
      </c>
      <c r="AR355">
        <v>0</v>
      </c>
      <c r="AS355">
        <v>0</v>
      </c>
      <c r="AT355">
        <v>0</v>
      </c>
      <c r="AU355">
        <v>0</v>
      </c>
      <c r="AV355">
        <v>0</v>
      </c>
      <c r="AW355">
        <v>0</v>
      </c>
      <c r="AX355">
        <v>0</v>
      </c>
      <c r="AY355">
        <v>0</v>
      </c>
      <c r="AZ355">
        <v>0</v>
      </c>
      <c r="BA355">
        <v>0</v>
      </c>
      <c r="BB355">
        <v>0</v>
      </c>
      <c r="BC355">
        <v>0</v>
      </c>
      <c r="BD355">
        <v>0</v>
      </c>
      <c r="BE355">
        <v>0</v>
      </c>
      <c r="BF355">
        <v>0</v>
      </c>
      <c r="BG355">
        <v>0</v>
      </c>
      <c r="BH355">
        <v>1</v>
      </c>
      <c r="BI355">
        <v>1</v>
      </c>
      <c r="BJ355">
        <v>0.2</v>
      </c>
      <c r="BK355">
        <v>1</v>
      </c>
      <c r="BL355">
        <v>137</v>
      </c>
      <c r="BM355">
        <v>20.55</v>
      </c>
      <c r="BN355">
        <v>157.55000000000001</v>
      </c>
      <c r="BO355">
        <v>157.55000000000001</v>
      </c>
      <c r="BQ355" t="s">
        <v>767</v>
      </c>
      <c r="BR355" t="s">
        <v>84</v>
      </c>
      <c r="BS355" s="3">
        <v>45784</v>
      </c>
      <c r="BT355" s="4">
        <v>0.53472222222222221</v>
      </c>
      <c r="BU355" t="s">
        <v>768</v>
      </c>
      <c r="BV355" t="s">
        <v>86</v>
      </c>
      <c r="BY355">
        <v>1200</v>
      </c>
      <c r="BZ355" t="s">
        <v>127</v>
      </c>
      <c r="CA355" t="s">
        <v>128</v>
      </c>
      <c r="CC355" t="s">
        <v>123</v>
      </c>
      <c r="CD355">
        <v>7646</v>
      </c>
      <c r="CE355" t="s">
        <v>129</v>
      </c>
      <c r="CF355" s="3">
        <v>45785</v>
      </c>
      <c r="CI355">
        <v>1</v>
      </c>
      <c r="CJ355">
        <v>1</v>
      </c>
      <c r="CK355">
        <v>23</v>
      </c>
      <c r="CL355" t="s">
        <v>89</v>
      </c>
    </row>
    <row r="356" spans="1:90" x14ac:dyDescent="0.3">
      <c r="A356" t="s">
        <v>72</v>
      </c>
      <c r="B356" t="s">
        <v>73</v>
      </c>
      <c r="C356" t="s">
        <v>74</v>
      </c>
      <c r="E356" t="str">
        <f>"080065194072"</f>
        <v>080065194072</v>
      </c>
      <c r="F356" s="3">
        <v>45783</v>
      </c>
      <c r="G356">
        <v>202602</v>
      </c>
      <c r="H356" t="s">
        <v>75</v>
      </c>
      <c r="I356" t="s">
        <v>76</v>
      </c>
      <c r="J356" t="s">
        <v>77</v>
      </c>
      <c r="K356" t="s">
        <v>78</v>
      </c>
      <c r="L356" t="s">
        <v>90</v>
      </c>
      <c r="M356" t="s">
        <v>91</v>
      </c>
      <c r="N356" t="s">
        <v>563</v>
      </c>
      <c r="O356" t="s">
        <v>300</v>
      </c>
      <c r="P356" t="str">
        <f>"4170037027                    "</f>
        <v xml:space="preserve">4170037027                    </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56.88</v>
      </c>
      <c r="AR356">
        <v>0</v>
      </c>
      <c r="AS356">
        <v>0</v>
      </c>
      <c r="AT356">
        <v>0</v>
      </c>
      <c r="AU356">
        <v>0</v>
      </c>
      <c r="AV356">
        <v>0</v>
      </c>
      <c r="AW356">
        <v>0</v>
      </c>
      <c r="AX356">
        <v>0</v>
      </c>
      <c r="AY356">
        <v>0</v>
      </c>
      <c r="AZ356">
        <v>0</v>
      </c>
      <c r="BA356">
        <v>0</v>
      </c>
      <c r="BB356">
        <v>0</v>
      </c>
      <c r="BC356">
        <v>0</v>
      </c>
      <c r="BD356">
        <v>0</v>
      </c>
      <c r="BE356">
        <v>0</v>
      </c>
      <c r="BF356">
        <v>0</v>
      </c>
      <c r="BG356">
        <v>0</v>
      </c>
      <c r="BH356">
        <v>1</v>
      </c>
      <c r="BI356">
        <v>7</v>
      </c>
      <c r="BJ356">
        <v>22.1</v>
      </c>
      <c r="BK356">
        <v>23</v>
      </c>
      <c r="BL356">
        <v>187.47</v>
      </c>
      <c r="BM356">
        <v>28.12</v>
      </c>
      <c r="BN356">
        <v>215.59</v>
      </c>
      <c r="BO356">
        <v>215.59</v>
      </c>
      <c r="BQ356" t="s">
        <v>564</v>
      </c>
      <c r="BR356" t="s">
        <v>84</v>
      </c>
      <c r="BS356" s="3">
        <v>45785</v>
      </c>
      <c r="BT356" s="4">
        <v>0.3576388888888889</v>
      </c>
      <c r="BU356" t="s">
        <v>987</v>
      </c>
      <c r="BV356" t="s">
        <v>86</v>
      </c>
      <c r="BY356">
        <v>110592</v>
      </c>
      <c r="BZ356" t="s">
        <v>303</v>
      </c>
      <c r="CA356" t="s">
        <v>566</v>
      </c>
      <c r="CC356" t="s">
        <v>91</v>
      </c>
      <c r="CD356">
        <v>6001</v>
      </c>
      <c r="CE356" t="s">
        <v>221</v>
      </c>
      <c r="CF356" s="3">
        <v>45785</v>
      </c>
      <c r="CI356">
        <v>3</v>
      </c>
      <c r="CJ356">
        <v>2</v>
      </c>
      <c r="CK356">
        <v>41</v>
      </c>
      <c r="CL356" t="s">
        <v>89</v>
      </c>
    </row>
    <row r="357" spans="1:90" x14ac:dyDescent="0.3">
      <c r="A357" t="s">
        <v>72</v>
      </c>
      <c r="B357" t="s">
        <v>73</v>
      </c>
      <c r="C357" t="s">
        <v>74</v>
      </c>
      <c r="E357" t="str">
        <f>"080065194096"</f>
        <v>080065194096</v>
      </c>
      <c r="F357" s="3">
        <v>45783</v>
      </c>
      <c r="G357">
        <v>202602</v>
      </c>
      <c r="H357" t="s">
        <v>75</v>
      </c>
      <c r="I357" t="s">
        <v>76</v>
      </c>
      <c r="J357" t="s">
        <v>77</v>
      </c>
      <c r="K357" t="s">
        <v>78</v>
      </c>
      <c r="L357" t="s">
        <v>579</v>
      </c>
      <c r="M357" t="s">
        <v>580</v>
      </c>
      <c r="N357" t="s">
        <v>988</v>
      </c>
      <c r="O357" t="s">
        <v>300</v>
      </c>
      <c r="P357" t="str">
        <f>"4170037048                    "</f>
        <v xml:space="preserve">4170037048                    </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88.03</v>
      </c>
      <c r="AR357">
        <v>0</v>
      </c>
      <c r="AS357">
        <v>0</v>
      </c>
      <c r="AT357">
        <v>0</v>
      </c>
      <c r="AU357">
        <v>0</v>
      </c>
      <c r="AV357">
        <v>0</v>
      </c>
      <c r="AW357">
        <v>0</v>
      </c>
      <c r="AX357">
        <v>0</v>
      </c>
      <c r="AY357">
        <v>0</v>
      </c>
      <c r="AZ357">
        <v>0</v>
      </c>
      <c r="BA357">
        <v>0</v>
      </c>
      <c r="BB357">
        <v>0</v>
      </c>
      <c r="BC357">
        <v>0</v>
      </c>
      <c r="BD357">
        <v>0</v>
      </c>
      <c r="BE357">
        <v>0</v>
      </c>
      <c r="BF357">
        <v>0</v>
      </c>
      <c r="BG357">
        <v>0</v>
      </c>
      <c r="BH357">
        <v>1</v>
      </c>
      <c r="BI357">
        <v>20</v>
      </c>
      <c r="BJ357">
        <v>23.5</v>
      </c>
      <c r="BK357">
        <v>24</v>
      </c>
      <c r="BL357">
        <v>287.08</v>
      </c>
      <c r="BM357">
        <v>43.06</v>
      </c>
      <c r="BN357">
        <v>330.14</v>
      </c>
      <c r="BO357">
        <v>330.14</v>
      </c>
      <c r="BQ357" t="s">
        <v>989</v>
      </c>
      <c r="BR357" t="s">
        <v>84</v>
      </c>
      <c r="BS357" s="3">
        <v>45784</v>
      </c>
      <c r="BT357" s="4">
        <v>0.44513888888888886</v>
      </c>
      <c r="BU357" t="s">
        <v>990</v>
      </c>
      <c r="BV357" t="s">
        <v>86</v>
      </c>
      <c r="BY357">
        <v>117600</v>
      </c>
      <c r="BZ357" t="s">
        <v>303</v>
      </c>
      <c r="CA357" t="s">
        <v>991</v>
      </c>
      <c r="CC357" t="s">
        <v>580</v>
      </c>
      <c r="CD357">
        <v>1035</v>
      </c>
      <c r="CE357" t="s">
        <v>419</v>
      </c>
      <c r="CF357" s="3">
        <v>45784</v>
      </c>
      <c r="CI357">
        <v>1</v>
      </c>
      <c r="CJ357">
        <v>1</v>
      </c>
      <c r="CK357">
        <v>43</v>
      </c>
      <c r="CL357" t="s">
        <v>89</v>
      </c>
    </row>
    <row r="358" spans="1:90" x14ac:dyDescent="0.3">
      <c r="A358" t="s">
        <v>72</v>
      </c>
      <c r="B358" t="s">
        <v>73</v>
      </c>
      <c r="C358" t="s">
        <v>74</v>
      </c>
      <c r="E358" t="str">
        <f>"080065194344"</f>
        <v>080065194344</v>
      </c>
      <c r="F358" s="3">
        <v>45783</v>
      </c>
      <c r="G358">
        <v>202602</v>
      </c>
      <c r="H358" t="s">
        <v>75</v>
      </c>
      <c r="I358" t="s">
        <v>76</v>
      </c>
      <c r="J358" t="s">
        <v>77</v>
      </c>
      <c r="K358" t="s">
        <v>78</v>
      </c>
      <c r="L358" t="s">
        <v>463</v>
      </c>
      <c r="M358" t="s">
        <v>464</v>
      </c>
      <c r="N358" t="s">
        <v>585</v>
      </c>
      <c r="O358" t="s">
        <v>82</v>
      </c>
      <c r="P358" t="str">
        <f>"4170037053                    "</f>
        <v xml:space="preserve">4170037053                    </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22.11</v>
      </c>
      <c r="AR358">
        <v>0</v>
      </c>
      <c r="AS358">
        <v>0</v>
      </c>
      <c r="AT358">
        <v>0</v>
      </c>
      <c r="AU358">
        <v>0</v>
      </c>
      <c r="AV358">
        <v>0</v>
      </c>
      <c r="AW358">
        <v>0</v>
      </c>
      <c r="AX358">
        <v>0</v>
      </c>
      <c r="AY358">
        <v>0</v>
      </c>
      <c r="AZ358">
        <v>0</v>
      </c>
      <c r="BA358">
        <v>0</v>
      </c>
      <c r="BB358">
        <v>0</v>
      </c>
      <c r="BC358">
        <v>0</v>
      </c>
      <c r="BD358">
        <v>0</v>
      </c>
      <c r="BE358">
        <v>0</v>
      </c>
      <c r="BF358">
        <v>0</v>
      </c>
      <c r="BG358">
        <v>0</v>
      </c>
      <c r="BH358">
        <v>1</v>
      </c>
      <c r="BI358">
        <v>1</v>
      </c>
      <c r="BJ358">
        <v>0.2</v>
      </c>
      <c r="BK358">
        <v>1</v>
      </c>
      <c r="BL358">
        <v>70.709999999999994</v>
      </c>
      <c r="BM358">
        <v>10.61</v>
      </c>
      <c r="BN358">
        <v>81.319999999999993</v>
      </c>
      <c r="BO358">
        <v>81.319999999999993</v>
      </c>
      <c r="BQ358" t="s">
        <v>586</v>
      </c>
      <c r="BR358" t="s">
        <v>84</v>
      </c>
      <c r="BS358" s="3">
        <v>45784</v>
      </c>
      <c r="BT358" s="4">
        <v>0.46180555555555558</v>
      </c>
      <c r="BU358" t="s">
        <v>587</v>
      </c>
      <c r="BV358" t="s">
        <v>89</v>
      </c>
      <c r="BY358">
        <v>1200</v>
      </c>
      <c r="CA358" t="s">
        <v>588</v>
      </c>
      <c r="CC358" t="s">
        <v>464</v>
      </c>
      <c r="CD358">
        <v>5200</v>
      </c>
      <c r="CE358" t="s">
        <v>176</v>
      </c>
      <c r="CF358" s="3">
        <v>45785</v>
      </c>
      <c r="CI358">
        <v>1</v>
      </c>
      <c r="CJ358">
        <v>1</v>
      </c>
      <c r="CK358">
        <v>21</v>
      </c>
      <c r="CL358" t="s">
        <v>89</v>
      </c>
    </row>
    <row r="359" spans="1:90" x14ac:dyDescent="0.3">
      <c r="A359" t="s">
        <v>72</v>
      </c>
      <c r="B359" t="s">
        <v>73</v>
      </c>
      <c r="C359" t="s">
        <v>74</v>
      </c>
      <c r="E359" t="str">
        <f>"080065194387"</f>
        <v>080065194387</v>
      </c>
      <c r="F359" s="3">
        <v>45783</v>
      </c>
      <c r="G359">
        <v>202602</v>
      </c>
      <c r="H359" t="s">
        <v>75</v>
      </c>
      <c r="I359" t="s">
        <v>76</v>
      </c>
      <c r="J359" t="s">
        <v>77</v>
      </c>
      <c r="K359" t="s">
        <v>78</v>
      </c>
      <c r="L359" t="s">
        <v>136</v>
      </c>
      <c r="M359" t="s">
        <v>137</v>
      </c>
      <c r="N359" t="s">
        <v>992</v>
      </c>
      <c r="O359" t="s">
        <v>82</v>
      </c>
      <c r="P359" t="str">
        <f>"4170037010                    "</f>
        <v xml:space="preserve">4170037010                    </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22.11</v>
      </c>
      <c r="AR359">
        <v>0</v>
      </c>
      <c r="AS359">
        <v>0</v>
      </c>
      <c r="AT359">
        <v>0</v>
      </c>
      <c r="AU359">
        <v>0</v>
      </c>
      <c r="AV359">
        <v>0</v>
      </c>
      <c r="AW359">
        <v>0</v>
      </c>
      <c r="AX359">
        <v>0</v>
      </c>
      <c r="AY359">
        <v>0</v>
      </c>
      <c r="AZ359">
        <v>0</v>
      </c>
      <c r="BA359">
        <v>0</v>
      </c>
      <c r="BB359">
        <v>0</v>
      </c>
      <c r="BC359">
        <v>0</v>
      </c>
      <c r="BD359">
        <v>0</v>
      </c>
      <c r="BE359">
        <v>0</v>
      </c>
      <c r="BF359">
        <v>0</v>
      </c>
      <c r="BG359">
        <v>0</v>
      </c>
      <c r="BH359">
        <v>1</v>
      </c>
      <c r="BI359">
        <v>1</v>
      </c>
      <c r="BJ359">
        <v>0.2</v>
      </c>
      <c r="BK359">
        <v>1</v>
      </c>
      <c r="BL359">
        <v>70.709999999999994</v>
      </c>
      <c r="BM359">
        <v>10.61</v>
      </c>
      <c r="BN359">
        <v>81.319999999999993</v>
      </c>
      <c r="BO359">
        <v>81.319999999999993</v>
      </c>
      <c r="BQ359" t="s">
        <v>993</v>
      </c>
      <c r="BR359" t="s">
        <v>84</v>
      </c>
      <c r="BS359" s="3">
        <v>45784</v>
      </c>
      <c r="BT359" s="4">
        <v>0.40069444444444446</v>
      </c>
      <c r="BU359" t="s">
        <v>994</v>
      </c>
      <c r="BV359" t="s">
        <v>86</v>
      </c>
      <c r="BY359">
        <v>1200</v>
      </c>
      <c r="CA359" t="s">
        <v>141</v>
      </c>
      <c r="CC359" t="s">
        <v>137</v>
      </c>
      <c r="CD359" s="5" t="s">
        <v>142</v>
      </c>
      <c r="CE359" t="s">
        <v>88</v>
      </c>
      <c r="CF359" s="3">
        <v>45784</v>
      </c>
      <c r="CI359">
        <v>1</v>
      </c>
      <c r="CJ359">
        <v>1</v>
      </c>
      <c r="CK359">
        <v>21</v>
      </c>
      <c r="CL359" t="s">
        <v>89</v>
      </c>
    </row>
    <row r="360" spans="1:90" x14ac:dyDescent="0.3">
      <c r="A360" t="s">
        <v>72</v>
      </c>
      <c r="B360" t="s">
        <v>73</v>
      </c>
      <c r="C360" t="s">
        <v>74</v>
      </c>
      <c r="E360" t="str">
        <f>"080065194395"</f>
        <v>080065194395</v>
      </c>
      <c r="F360" s="3">
        <v>45783</v>
      </c>
      <c r="G360">
        <v>202602</v>
      </c>
      <c r="H360" t="s">
        <v>75</v>
      </c>
      <c r="I360" t="s">
        <v>76</v>
      </c>
      <c r="J360" t="s">
        <v>77</v>
      </c>
      <c r="K360" t="s">
        <v>78</v>
      </c>
      <c r="L360" t="s">
        <v>90</v>
      </c>
      <c r="M360" t="s">
        <v>91</v>
      </c>
      <c r="N360" t="s">
        <v>748</v>
      </c>
      <c r="O360" t="s">
        <v>82</v>
      </c>
      <c r="P360" t="str">
        <f>"4170037016                    "</f>
        <v xml:space="preserve">4170037016                    </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55.26</v>
      </c>
      <c r="AR360">
        <v>0</v>
      </c>
      <c r="AS360">
        <v>0</v>
      </c>
      <c r="AT360">
        <v>0</v>
      </c>
      <c r="AU360">
        <v>0</v>
      </c>
      <c r="AV360">
        <v>0</v>
      </c>
      <c r="AW360">
        <v>0</v>
      </c>
      <c r="AX360">
        <v>0</v>
      </c>
      <c r="AY360">
        <v>0</v>
      </c>
      <c r="AZ360">
        <v>0</v>
      </c>
      <c r="BA360">
        <v>0</v>
      </c>
      <c r="BB360">
        <v>0</v>
      </c>
      <c r="BC360">
        <v>0</v>
      </c>
      <c r="BD360">
        <v>0</v>
      </c>
      <c r="BE360">
        <v>0</v>
      </c>
      <c r="BF360">
        <v>0</v>
      </c>
      <c r="BG360">
        <v>0</v>
      </c>
      <c r="BH360">
        <v>1</v>
      </c>
      <c r="BI360">
        <v>2</v>
      </c>
      <c r="BJ360">
        <v>4.9000000000000004</v>
      </c>
      <c r="BK360">
        <v>5</v>
      </c>
      <c r="BL360">
        <v>176.7</v>
      </c>
      <c r="BM360">
        <v>26.51</v>
      </c>
      <c r="BN360">
        <v>203.21</v>
      </c>
      <c r="BO360">
        <v>203.21</v>
      </c>
      <c r="BQ360" t="s">
        <v>749</v>
      </c>
      <c r="BR360" t="s">
        <v>84</v>
      </c>
      <c r="BS360" s="3">
        <v>45784</v>
      </c>
      <c r="BT360" s="4">
        <v>0.375</v>
      </c>
      <c r="BU360" t="s">
        <v>995</v>
      </c>
      <c r="BV360" t="s">
        <v>86</v>
      </c>
      <c r="BY360">
        <v>24300</v>
      </c>
      <c r="CA360" t="s">
        <v>298</v>
      </c>
      <c r="CC360" t="s">
        <v>91</v>
      </c>
      <c r="CD360">
        <v>6045</v>
      </c>
      <c r="CE360" t="s">
        <v>221</v>
      </c>
      <c r="CF360" s="3">
        <v>45784</v>
      </c>
      <c r="CI360">
        <v>1</v>
      </c>
      <c r="CJ360">
        <v>1</v>
      </c>
      <c r="CK360">
        <v>21</v>
      </c>
      <c r="CL360" t="s">
        <v>89</v>
      </c>
    </row>
    <row r="361" spans="1:90" x14ac:dyDescent="0.3">
      <c r="A361" t="s">
        <v>72</v>
      </c>
      <c r="B361" t="s">
        <v>73</v>
      </c>
      <c r="C361" t="s">
        <v>74</v>
      </c>
      <c r="E361" t="str">
        <f>"080065194414"</f>
        <v>080065194414</v>
      </c>
      <c r="F361" s="3">
        <v>45783</v>
      </c>
      <c r="G361">
        <v>202602</v>
      </c>
      <c r="H361" t="s">
        <v>75</v>
      </c>
      <c r="I361" t="s">
        <v>76</v>
      </c>
      <c r="J361" t="s">
        <v>77</v>
      </c>
      <c r="K361" t="s">
        <v>78</v>
      </c>
      <c r="L361" t="s">
        <v>320</v>
      </c>
      <c r="M361" t="s">
        <v>321</v>
      </c>
      <c r="N361" t="s">
        <v>996</v>
      </c>
      <c r="O361" t="s">
        <v>82</v>
      </c>
      <c r="P361" t="str">
        <f>"4170037022                    "</f>
        <v xml:space="preserve">4170037022                    </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22.11</v>
      </c>
      <c r="AR361">
        <v>0</v>
      </c>
      <c r="AS361">
        <v>0</v>
      </c>
      <c r="AT361">
        <v>0</v>
      </c>
      <c r="AU361">
        <v>0</v>
      </c>
      <c r="AV361">
        <v>0</v>
      </c>
      <c r="AW361">
        <v>16.739999999999998</v>
      </c>
      <c r="AX361">
        <v>0</v>
      </c>
      <c r="AY361">
        <v>0</v>
      </c>
      <c r="AZ361">
        <v>0</v>
      </c>
      <c r="BA361">
        <v>0</v>
      </c>
      <c r="BB361">
        <v>0</v>
      </c>
      <c r="BC361">
        <v>0</v>
      </c>
      <c r="BD361">
        <v>0</v>
      </c>
      <c r="BE361">
        <v>0</v>
      </c>
      <c r="BF361">
        <v>0</v>
      </c>
      <c r="BG361">
        <v>0</v>
      </c>
      <c r="BH361">
        <v>1</v>
      </c>
      <c r="BI361">
        <v>1</v>
      </c>
      <c r="BJ361">
        <v>0.2</v>
      </c>
      <c r="BK361">
        <v>1</v>
      </c>
      <c r="BL361">
        <v>87.45</v>
      </c>
      <c r="BM361">
        <v>13.12</v>
      </c>
      <c r="BN361">
        <v>100.57</v>
      </c>
      <c r="BO361">
        <v>100.57</v>
      </c>
      <c r="BQ361" t="s">
        <v>997</v>
      </c>
      <c r="BR361" t="s">
        <v>84</v>
      </c>
      <c r="BS361" s="3">
        <v>45784</v>
      </c>
      <c r="BT361" s="4">
        <v>0.40625</v>
      </c>
      <c r="BU361" t="s">
        <v>998</v>
      </c>
      <c r="BV361" t="s">
        <v>86</v>
      </c>
      <c r="BY361">
        <v>1200</v>
      </c>
      <c r="BZ361" t="s">
        <v>30</v>
      </c>
      <c r="CA361" t="s">
        <v>326</v>
      </c>
      <c r="CC361" t="s">
        <v>321</v>
      </c>
      <c r="CD361">
        <v>4110</v>
      </c>
      <c r="CE361" t="s">
        <v>88</v>
      </c>
      <c r="CF361" s="3">
        <v>45785</v>
      </c>
      <c r="CI361">
        <v>1</v>
      </c>
      <c r="CJ361">
        <v>1</v>
      </c>
      <c r="CK361">
        <v>21</v>
      </c>
      <c r="CL361" t="s">
        <v>89</v>
      </c>
    </row>
    <row r="362" spans="1:90" x14ac:dyDescent="0.3">
      <c r="A362" t="s">
        <v>72</v>
      </c>
      <c r="B362" t="s">
        <v>73</v>
      </c>
      <c r="C362" t="s">
        <v>74</v>
      </c>
      <c r="E362" t="str">
        <f>"080065194461"</f>
        <v>080065194461</v>
      </c>
      <c r="F362" s="3">
        <v>45783</v>
      </c>
      <c r="G362">
        <v>202602</v>
      </c>
      <c r="H362" t="s">
        <v>75</v>
      </c>
      <c r="I362" t="s">
        <v>76</v>
      </c>
      <c r="J362" t="s">
        <v>77</v>
      </c>
      <c r="K362" t="s">
        <v>78</v>
      </c>
      <c r="L362" t="s">
        <v>97</v>
      </c>
      <c r="M362" t="s">
        <v>98</v>
      </c>
      <c r="N362" t="s">
        <v>999</v>
      </c>
      <c r="O362" t="s">
        <v>82</v>
      </c>
      <c r="P362" t="str">
        <f>"4170037007                    "</f>
        <v xml:space="preserve">4170037007                    </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17.27</v>
      </c>
      <c r="AR362">
        <v>0</v>
      </c>
      <c r="AS362">
        <v>0</v>
      </c>
      <c r="AT362">
        <v>0</v>
      </c>
      <c r="AU362">
        <v>0</v>
      </c>
      <c r="AV362">
        <v>0</v>
      </c>
      <c r="AW362">
        <v>0</v>
      </c>
      <c r="AX362">
        <v>0</v>
      </c>
      <c r="AY362">
        <v>0</v>
      </c>
      <c r="AZ362">
        <v>0</v>
      </c>
      <c r="BA362">
        <v>0</v>
      </c>
      <c r="BB362">
        <v>0</v>
      </c>
      <c r="BC362">
        <v>0</v>
      </c>
      <c r="BD362">
        <v>0</v>
      </c>
      <c r="BE362">
        <v>0</v>
      </c>
      <c r="BF362">
        <v>0</v>
      </c>
      <c r="BG362">
        <v>0</v>
      </c>
      <c r="BH362">
        <v>1</v>
      </c>
      <c r="BI362">
        <v>1</v>
      </c>
      <c r="BJ362">
        <v>0.2</v>
      </c>
      <c r="BK362">
        <v>1</v>
      </c>
      <c r="BL362">
        <v>55.23</v>
      </c>
      <c r="BM362">
        <v>8.2799999999999994</v>
      </c>
      <c r="BN362">
        <v>63.51</v>
      </c>
      <c r="BO362">
        <v>63.51</v>
      </c>
      <c r="BQ362" t="s">
        <v>1000</v>
      </c>
      <c r="BR362" t="s">
        <v>84</v>
      </c>
      <c r="BS362" s="3">
        <v>45784</v>
      </c>
      <c r="BT362" s="4">
        <v>0.34166666666666667</v>
      </c>
      <c r="BU362" t="s">
        <v>1001</v>
      </c>
      <c r="BV362" t="s">
        <v>86</v>
      </c>
      <c r="BY362">
        <v>1200</v>
      </c>
      <c r="CA362" t="s">
        <v>279</v>
      </c>
      <c r="CC362" t="s">
        <v>98</v>
      </c>
      <c r="CD362">
        <v>1460</v>
      </c>
      <c r="CE362" t="s">
        <v>88</v>
      </c>
      <c r="CF362" s="3">
        <v>45784</v>
      </c>
      <c r="CI362">
        <v>1</v>
      </c>
      <c r="CJ362">
        <v>1</v>
      </c>
      <c r="CK362">
        <v>22</v>
      </c>
      <c r="CL362" t="s">
        <v>89</v>
      </c>
    </row>
    <row r="363" spans="1:90" x14ac:dyDescent="0.3">
      <c r="A363" t="s">
        <v>72</v>
      </c>
      <c r="B363" t="s">
        <v>73</v>
      </c>
      <c r="C363" t="s">
        <v>74</v>
      </c>
      <c r="E363" t="str">
        <f>"080065194466"</f>
        <v>080065194466</v>
      </c>
      <c r="F363" s="3">
        <v>45783</v>
      </c>
      <c r="G363">
        <v>202602</v>
      </c>
      <c r="H363" t="s">
        <v>75</v>
      </c>
      <c r="I363" t="s">
        <v>76</v>
      </c>
      <c r="J363" t="s">
        <v>77</v>
      </c>
      <c r="K363" t="s">
        <v>78</v>
      </c>
      <c r="L363" t="s">
        <v>1002</v>
      </c>
      <c r="M363" t="s">
        <v>1003</v>
      </c>
      <c r="N363" t="s">
        <v>1004</v>
      </c>
      <c r="O363" t="s">
        <v>300</v>
      </c>
      <c r="P363" t="str">
        <f>"4170037065                    "</f>
        <v xml:space="preserve">4170037065                    </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69.55</v>
      </c>
      <c r="AR363">
        <v>0</v>
      </c>
      <c r="AS363">
        <v>0</v>
      </c>
      <c r="AT363">
        <v>0</v>
      </c>
      <c r="AU363">
        <v>0</v>
      </c>
      <c r="AV363">
        <v>0</v>
      </c>
      <c r="AW363">
        <v>0</v>
      </c>
      <c r="AX363">
        <v>0</v>
      </c>
      <c r="AY363">
        <v>0</v>
      </c>
      <c r="AZ363">
        <v>0</v>
      </c>
      <c r="BA363">
        <v>0</v>
      </c>
      <c r="BB363">
        <v>0</v>
      </c>
      <c r="BC363">
        <v>0</v>
      </c>
      <c r="BD363">
        <v>0</v>
      </c>
      <c r="BE363">
        <v>0</v>
      </c>
      <c r="BF363">
        <v>0</v>
      </c>
      <c r="BG363">
        <v>0</v>
      </c>
      <c r="BH363">
        <v>1</v>
      </c>
      <c r="BI363">
        <v>5</v>
      </c>
      <c r="BJ363">
        <v>17.7</v>
      </c>
      <c r="BK363">
        <v>18</v>
      </c>
      <c r="BL363">
        <v>227.98</v>
      </c>
      <c r="BM363">
        <v>34.200000000000003</v>
      </c>
      <c r="BN363">
        <v>262.18</v>
      </c>
      <c r="BO363">
        <v>262.18</v>
      </c>
      <c r="BQ363" t="s">
        <v>1005</v>
      </c>
      <c r="BR363" t="s">
        <v>84</v>
      </c>
      <c r="BS363" s="3">
        <v>45785</v>
      </c>
      <c r="BT363" s="4">
        <v>0.48472222222222222</v>
      </c>
      <c r="BU363" t="s">
        <v>1006</v>
      </c>
      <c r="BV363" t="s">
        <v>86</v>
      </c>
      <c r="BY363">
        <v>88320</v>
      </c>
      <c r="CA363" t="s">
        <v>1007</v>
      </c>
      <c r="CC363" t="s">
        <v>1003</v>
      </c>
      <c r="CD363">
        <v>5257</v>
      </c>
      <c r="CE363" t="s">
        <v>96</v>
      </c>
      <c r="CF363" s="3">
        <v>45800</v>
      </c>
      <c r="CI363">
        <v>3</v>
      </c>
      <c r="CJ363">
        <v>2</v>
      </c>
      <c r="CK363">
        <v>43</v>
      </c>
      <c r="CL363" t="s">
        <v>89</v>
      </c>
    </row>
    <row r="364" spans="1:90" x14ac:dyDescent="0.3">
      <c r="A364" t="s">
        <v>72</v>
      </c>
      <c r="B364" t="s">
        <v>73</v>
      </c>
      <c r="C364" t="s">
        <v>74</v>
      </c>
      <c r="E364" t="str">
        <f>"080065194484"</f>
        <v>080065194484</v>
      </c>
      <c r="F364" s="3">
        <v>45783</v>
      </c>
      <c r="G364">
        <v>202602</v>
      </c>
      <c r="H364" t="s">
        <v>75</v>
      </c>
      <c r="I364" t="s">
        <v>76</v>
      </c>
      <c r="J364" t="s">
        <v>77</v>
      </c>
      <c r="K364" t="s">
        <v>78</v>
      </c>
      <c r="L364" t="s">
        <v>130</v>
      </c>
      <c r="M364" t="s">
        <v>131</v>
      </c>
      <c r="N364" t="s">
        <v>343</v>
      </c>
      <c r="O364" t="s">
        <v>82</v>
      </c>
      <c r="P364" t="str">
        <f>"4170037052                    "</f>
        <v xml:space="preserve">4170037052                    </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22.11</v>
      </c>
      <c r="AR364">
        <v>0</v>
      </c>
      <c r="AS364">
        <v>0</v>
      </c>
      <c r="AT364">
        <v>0</v>
      </c>
      <c r="AU364">
        <v>0</v>
      </c>
      <c r="AV364">
        <v>0</v>
      </c>
      <c r="AW364">
        <v>0</v>
      </c>
      <c r="AX364">
        <v>0</v>
      </c>
      <c r="AY364">
        <v>0</v>
      </c>
      <c r="AZ364">
        <v>0</v>
      </c>
      <c r="BA364">
        <v>0</v>
      </c>
      <c r="BB364">
        <v>0</v>
      </c>
      <c r="BC364">
        <v>0</v>
      </c>
      <c r="BD364">
        <v>0</v>
      </c>
      <c r="BE364">
        <v>0</v>
      </c>
      <c r="BF364">
        <v>0</v>
      </c>
      <c r="BG364">
        <v>0</v>
      </c>
      <c r="BH364">
        <v>1</v>
      </c>
      <c r="BI364">
        <v>1</v>
      </c>
      <c r="BJ364">
        <v>0.2</v>
      </c>
      <c r="BK364">
        <v>1</v>
      </c>
      <c r="BL364">
        <v>70.709999999999994</v>
      </c>
      <c r="BM364">
        <v>10.61</v>
      </c>
      <c r="BN364">
        <v>81.319999999999993</v>
      </c>
      <c r="BO364">
        <v>81.319999999999993</v>
      </c>
      <c r="BQ364" t="s">
        <v>344</v>
      </c>
      <c r="BR364" t="s">
        <v>84</v>
      </c>
      <c r="BS364" s="3">
        <v>45784</v>
      </c>
      <c r="BT364" s="4">
        <v>0.3923611111111111</v>
      </c>
      <c r="BU364" t="s">
        <v>345</v>
      </c>
      <c r="BV364" t="s">
        <v>86</v>
      </c>
      <c r="BY364">
        <v>1200</v>
      </c>
      <c r="CA364" t="s">
        <v>242</v>
      </c>
      <c r="CC364" t="s">
        <v>131</v>
      </c>
      <c r="CD364">
        <v>7441</v>
      </c>
      <c r="CE364" t="s">
        <v>88</v>
      </c>
      <c r="CF364" s="3">
        <v>45785</v>
      </c>
      <c r="CI364">
        <v>1</v>
      </c>
      <c r="CJ364">
        <v>1</v>
      </c>
      <c r="CK364">
        <v>21</v>
      </c>
      <c r="CL364" t="s">
        <v>89</v>
      </c>
    </row>
    <row r="365" spans="1:90" x14ac:dyDescent="0.3">
      <c r="A365" t="s">
        <v>72</v>
      </c>
      <c r="B365" t="s">
        <v>73</v>
      </c>
      <c r="C365" t="s">
        <v>74</v>
      </c>
      <c r="E365" t="str">
        <f>"080065194506"</f>
        <v>080065194506</v>
      </c>
      <c r="F365" s="3">
        <v>45783</v>
      </c>
      <c r="G365">
        <v>202602</v>
      </c>
      <c r="H365" t="s">
        <v>75</v>
      </c>
      <c r="I365" t="s">
        <v>76</v>
      </c>
      <c r="J365" t="s">
        <v>77</v>
      </c>
      <c r="K365" t="s">
        <v>78</v>
      </c>
      <c r="L365" t="s">
        <v>177</v>
      </c>
      <c r="M365" t="s">
        <v>178</v>
      </c>
      <c r="N365" t="s">
        <v>393</v>
      </c>
      <c r="O365" t="s">
        <v>82</v>
      </c>
      <c r="P365" t="str">
        <f>"4170037037                    "</f>
        <v xml:space="preserve">4170037037                    </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60.78</v>
      </c>
      <c r="AR365">
        <v>0</v>
      </c>
      <c r="AS365">
        <v>0</v>
      </c>
      <c r="AT365">
        <v>0</v>
      </c>
      <c r="AU365">
        <v>0</v>
      </c>
      <c r="AV365">
        <v>0</v>
      </c>
      <c r="AW365">
        <v>0</v>
      </c>
      <c r="AX365">
        <v>0</v>
      </c>
      <c r="AY365">
        <v>0</v>
      </c>
      <c r="AZ365">
        <v>0</v>
      </c>
      <c r="BA365">
        <v>0</v>
      </c>
      <c r="BB365">
        <v>0</v>
      </c>
      <c r="BC365">
        <v>0</v>
      </c>
      <c r="BD365">
        <v>0</v>
      </c>
      <c r="BE365">
        <v>0</v>
      </c>
      <c r="BF365">
        <v>0</v>
      </c>
      <c r="BG365">
        <v>0</v>
      </c>
      <c r="BH365">
        <v>1</v>
      </c>
      <c r="BI365">
        <v>3</v>
      </c>
      <c r="BJ365">
        <v>5.4</v>
      </c>
      <c r="BK365">
        <v>5.5</v>
      </c>
      <c r="BL365">
        <v>194.36</v>
      </c>
      <c r="BM365">
        <v>29.15</v>
      </c>
      <c r="BN365">
        <v>223.51</v>
      </c>
      <c r="BO365">
        <v>223.51</v>
      </c>
      <c r="BQ365" t="s">
        <v>394</v>
      </c>
      <c r="BR365" t="s">
        <v>84</v>
      </c>
      <c r="BS365" s="3">
        <v>45784</v>
      </c>
      <c r="BT365" s="4">
        <v>0.3840277777777778</v>
      </c>
      <c r="BU365" t="s">
        <v>395</v>
      </c>
      <c r="BV365" t="s">
        <v>86</v>
      </c>
      <c r="BY365">
        <v>27000</v>
      </c>
      <c r="CA365" t="s">
        <v>182</v>
      </c>
      <c r="CC365" t="s">
        <v>178</v>
      </c>
      <c r="CD365">
        <v>6230</v>
      </c>
      <c r="CE365" t="s">
        <v>221</v>
      </c>
      <c r="CF365" s="3">
        <v>45784</v>
      </c>
      <c r="CI365">
        <v>1</v>
      </c>
      <c r="CJ365">
        <v>1</v>
      </c>
      <c r="CK365">
        <v>21</v>
      </c>
      <c r="CL365" t="s">
        <v>89</v>
      </c>
    </row>
    <row r="366" spans="1:90" x14ac:dyDescent="0.3">
      <c r="A366" t="s">
        <v>72</v>
      </c>
      <c r="B366" t="s">
        <v>73</v>
      </c>
      <c r="C366" t="s">
        <v>74</v>
      </c>
      <c r="E366" t="str">
        <f>"080065194556"</f>
        <v>080065194556</v>
      </c>
      <c r="F366" s="3">
        <v>45783</v>
      </c>
      <c r="G366">
        <v>202602</v>
      </c>
      <c r="H366" t="s">
        <v>75</v>
      </c>
      <c r="I366" t="s">
        <v>76</v>
      </c>
      <c r="J366" t="s">
        <v>77</v>
      </c>
      <c r="K366" t="s">
        <v>78</v>
      </c>
      <c r="L366" t="s">
        <v>360</v>
      </c>
      <c r="M366" t="s">
        <v>361</v>
      </c>
      <c r="N366" t="s">
        <v>362</v>
      </c>
      <c r="O366" t="s">
        <v>82</v>
      </c>
      <c r="P366" t="str">
        <f>"4170037057                    "</f>
        <v xml:space="preserve">4170037057                    </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100.88</v>
      </c>
      <c r="AR366">
        <v>0</v>
      </c>
      <c r="AS366">
        <v>0</v>
      </c>
      <c r="AT366">
        <v>0</v>
      </c>
      <c r="AU366">
        <v>0</v>
      </c>
      <c r="AV366">
        <v>0</v>
      </c>
      <c r="AW366">
        <v>0</v>
      </c>
      <c r="AX366">
        <v>0</v>
      </c>
      <c r="AY366">
        <v>0</v>
      </c>
      <c r="AZ366">
        <v>0</v>
      </c>
      <c r="BA366">
        <v>0</v>
      </c>
      <c r="BB366">
        <v>0</v>
      </c>
      <c r="BC366">
        <v>0</v>
      </c>
      <c r="BD366">
        <v>0</v>
      </c>
      <c r="BE366">
        <v>0</v>
      </c>
      <c r="BF366">
        <v>0</v>
      </c>
      <c r="BG366">
        <v>0</v>
      </c>
      <c r="BH366">
        <v>1</v>
      </c>
      <c r="BI366">
        <v>5</v>
      </c>
      <c r="BJ366">
        <v>1.1000000000000001</v>
      </c>
      <c r="BK366">
        <v>5</v>
      </c>
      <c r="BL366">
        <v>322.60000000000002</v>
      </c>
      <c r="BM366">
        <v>48.39</v>
      </c>
      <c r="BN366">
        <v>370.99</v>
      </c>
      <c r="BO366">
        <v>370.99</v>
      </c>
      <c r="BQ366" t="s">
        <v>363</v>
      </c>
      <c r="BR366" t="s">
        <v>84</v>
      </c>
      <c r="BS366" s="3">
        <v>45784</v>
      </c>
      <c r="BT366" s="4">
        <v>0.63124999999999998</v>
      </c>
      <c r="BU366" t="s">
        <v>1008</v>
      </c>
      <c r="BV366" t="s">
        <v>86</v>
      </c>
      <c r="BY366">
        <v>5320</v>
      </c>
      <c r="CA366" t="s">
        <v>365</v>
      </c>
      <c r="CC366" t="s">
        <v>361</v>
      </c>
      <c r="CD366">
        <v>7300</v>
      </c>
      <c r="CE366" t="s">
        <v>116</v>
      </c>
      <c r="CF366" s="3">
        <v>45786</v>
      </c>
      <c r="CI366">
        <v>1</v>
      </c>
      <c r="CJ366">
        <v>1</v>
      </c>
      <c r="CK366">
        <v>23</v>
      </c>
      <c r="CL366" t="s">
        <v>89</v>
      </c>
    </row>
    <row r="367" spans="1:90" x14ac:dyDescent="0.3">
      <c r="A367" t="s">
        <v>72</v>
      </c>
      <c r="B367" t="s">
        <v>73</v>
      </c>
      <c r="C367" t="s">
        <v>74</v>
      </c>
      <c r="E367" t="str">
        <f>"080065194953"</f>
        <v>080065194953</v>
      </c>
      <c r="F367" s="3">
        <v>45783</v>
      </c>
      <c r="G367">
        <v>202602</v>
      </c>
      <c r="H367" t="s">
        <v>75</v>
      </c>
      <c r="I367" t="s">
        <v>76</v>
      </c>
      <c r="J367" t="s">
        <v>77</v>
      </c>
      <c r="K367" t="s">
        <v>78</v>
      </c>
      <c r="L367" t="s">
        <v>143</v>
      </c>
      <c r="M367" t="s">
        <v>144</v>
      </c>
      <c r="N367" t="s">
        <v>1009</v>
      </c>
      <c r="O367" t="s">
        <v>82</v>
      </c>
      <c r="P367" t="str">
        <f>"4170036976                    "</f>
        <v xml:space="preserve">4170036976                    </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17.27</v>
      </c>
      <c r="AR367">
        <v>0</v>
      </c>
      <c r="AS367">
        <v>0</v>
      </c>
      <c r="AT367">
        <v>0</v>
      </c>
      <c r="AU367">
        <v>0</v>
      </c>
      <c r="AV367">
        <v>0</v>
      </c>
      <c r="AW367">
        <v>0</v>
      </c>
      <c r="AX367">
        <v>0</v>
      </c>
      <c r="AY367">
        <v>0</v>
      </c>
      <c r="AZ367">
        <v>0</v>
      </c>
      <c r="BA367">
        <v>0</v>
      </c>
      <c r="BB367">
        <v>0</v>
      </c>
      <c r="BC367">
        <v>0</v>
      </c>
      <c r="BD367">
        <v>0</v>
      </c>
      <c r="BE367">
        <v>0</v>
      </c>
      <c r="BF367">
        <v>0</v>
      </c>
      <c r="BG367">
        <v>0</v>
      </c>
      <c r="BH367">
        <v>1</v>
      </c>
      <c r="BI367">
        <v>4</v>
      </c>
      <c r="BJ367">
        <v>8</v>
      </c>
      <c r="BK367">
        <v>8</v>
      </c>
      <c r="BL367">
        <v>55.23</v>
      </c>
      <c r="BM367">
        <v>8.2799999999999994</v>
      </c>
      <c r="BN367">
        <v>63.51</v>
      </c>
      <c r="BO367">
        <v>63.51</v>
      </c>
      <c r="BQ367" t="s">
        <v>1010</v>
      </c>
      <c r="BR367" t="s">
        <v>84</v>
      </c>
      <c r="BS367" s="3">
        <v>45784</v>
      </c>
      <c r="BT367" s="4">
        <v>0.41666666666666669</v>
      </c>
      <c r="BU367" t="s">
        <v>1011</v>
      </c>
      <c r="BV367" t="s">
        <v>86</v>
      </c>
      <c r="BY367">
        <v>39750</v>
      </c>
      <c r="CA367" t="s">
        <v>1012</v>
      </c>
      <c r="CC367" t="s">
        <v>144</v>
      </c>
      <c r="CD367">
        <v>1406</v>
      </c>
      <c r="CE367" t="s">
        <v>221</v>
      </c>
      <c r="CF367" s="3">
        <v>45785</v>
      </c>
      <c r="CI367">
        <v>1</v>
      </c>
      <c r="CJ367">
        <v>1</v>
      </c>
      <c r="CK367">
        <v>22</v>
      </c>
      <c r="CL367" t="s">
        <v>89</v>
      </c>
    </row>
    <row r="368" spans="1:90" x14ac:dyDescent="0.3">
      <c r="A368" t="s">
        <v>72</v>
      </c>
      <c r="B368" t="s">
        <v>73</v>
      </c>
      <c r="C368" t="s">
        <v>74</v>
      </c>
      <c r="E368" t="str">
        <f>"080065194962"</f>
        <v>080065194962</v>
      </c>
      <c r="F368" s="3">
        <v>45783</v>
      </c>
      <c r="G368">
        <v>202602</v>
      </c>
      <c r="H368" t="s">
        <v>75</v>
      </c>
      <c r="I368" t="s">
        <v>76</v>
      </c>
      <c r="J368" t="s">
        <v>77</v>
      </c>
      <c r="K368" t="s">
        <v>78</v>
      </c>
      <c r="L368" t="s">
        <v>222</v>
      </c>
      <c r="M368" t="s">
        <v>223</v>
      </c>
      <c r="N368" t="s">
        <v>826</v>
      </c>
      <c r="O368" t="s">
        <v>82</v>
      </c>
      <c r="P368" t="str">
        <f>"4170037078                    "</f>
        <v xml:space="preserve">4170037078                    </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31.1</v>
      </c>
      <c r="AR368">
        <v>0</v>
      </c>
      <c r="AS368">
        <v>0</v>
      </c>
      <c r="AT368">
        <v>0</v>
      </c>
      <c r="AU368">
        <v>0</v>
      </c>
      <c r="AV368">
        <v>0</v>
      </c>
      <c r="AW368">
        <v>0</v>
      </c>
      <c r="AX368">
        <v>0</v>
      </c>
      <c r="AY368">
        <v>0</v>
      </c>
      <c r="AZ368">
        <v>0</v>
      </c>
      <c r="BA368">
        <v>0</v>
      </c>
      <c r="BB368">
        <v>0</v>
      </c>
      <c r="BC368">
        <v>0</v>
      </c>
      <c r="BD368">
        <v>0</v>
      </c>
      <c r="BE368">
        <v>0</v>
      </c>
      <c r="BF368">
        <v>0</v>
      </c>
      <c r="BG368">
        <v>0</v>
      </c>
      <c r="BH368">
        <v>1</v>
      </c>
      <c r="BI368">
        <v>1</v>
      </c>
      <c r="BJ368">
        <v>0.2</v>
      </c>
      <c r="BK368">
        <v>1</v>
      </c>
      <c r="BL368">
        <v>99.45</v>
      </c>
      <c r="BM368">
        <v>14.92</v>
      </c>
      <c r="BN368">
        <v>114.37</v>
      </c>
      <c r="BO368">
        <v>114.37</v>
      </c>
      <c r="BQ368" t="s">
        <v>1013</v>
      </c>
      <c r="BR368" t="s">
        <v>84</v>
      </c>
      <c r="BS368" s="3">
        <v>45784</v>
      </c>
      <c r="BT368" s="4">
        <v>0.41805555555555557</v>
      </c>
      <c r="BU368" t="s">
        <v>1014</v>
      </c>
      <c r="BV368" t="s">
        <v>86</v>
      </c>
      <c r="BY368">
        <v>1230</v>
      </c>
      <c r="CA368" t="s">
        <v>1015</v>
      </c>
      <c r="CC368" t="s">
        <v>223</v>
      </c>
      <c r="CD368">
        <v>1739</v>
      </c>
      <c r="CE368" t="s">
        <v>88</v>
      </c>
      <c r="CF368" s="3">
        <v>45784</v>
      </c>
      <c r="CI368">
        <v>1</v>
      </c>
      <c r="CJ368">
        <v>1</v>
      </c>
      <c r="CK368">
        <v>24</v>
      </c>
      <c r="CL368" t="s">
        <v>89</v>
      </c>
    </row>
    <row r="369" spans="1:90" x14ac:dyDescent="0.3">
      <c r="A369" t="s">
        <v>72</v>
      </c>
      <c r="B369" t="s">
        <v>73</v>
      </c>
      <c r="C369" t="s">
        <v>74</v>
      </c>
      <c r="E369" t="str">
        <f>"080065194989"</f>
        <v>080065194989</v>
      </c>
      <c r="F369" s="3">
        <v>45783</v>
      </c>
      <c r="G369">
        <v>202602</v>
      </c>
      <c r="H369" t="s">
        <v>75</v>
      </c>
      <c r="I369" t="s">
        <v>76</v>
      </c>
      <c r="J369" t="s">
        <v>77</v>
      </c>
      <c r="K369" t="s">
        <v>78</v>
      </c>
      <c r="L369" t="s">
        <v>1002</v>
      </c>
      <c r="M369" t="s">
        <v>1003</v>
      </c>
      <c r="N369" t="s">
        <v>1004</v>
      </c>
      <c r="O369" t="s">
        <v>82</v>
      </c>
      <c r="P369" t="str">
        <f>"4170037062                    "</f>
        <v xml:space="preserve">4170037062                    </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81.540000000000006</v>
      </c>
      <c r="AR369">
        <v>0</v>
      </c>
      <c r="AS369">
        <v>0</v>
      </c>
      <c r="AT369">
        <v>0</v>
      </c>
      <c r="AU369">
        <v>0</v>
      </c>
      <c r="AV369">
        <v>0</v>
      </c>
      <c r="AW369">
        <v>0</v>
      </c>
      <c r="AX369">
        <v>0</v>
      </c>
      <c r="AY369">
        <v>0</v>
      </c>
      <c r="AZ369">
        <v>0</v>
      </c>
      <c r="BA369">
        <v>0</v>
      </c>
      <c r="BB369">
        <v>0</v>
      </c>
      <c r="BC369">
        <v>0</v>
      </c>
      <c r="BD369">
        <v>0</v>
      </c>
      <c r="BE369">
        <v>0</v>
      </c>
      <c r="BF369">
        <v>0</v>
      </c>
      <c r="BG369">
        <v>0</v>
      </c>
      <c r="BH369">
        <v>1</v>
      </c>
      <c r="BI369">
        <v>2</v>
      </c>
      <c r="BJ369">
        <v>3.8</v>
      </c>
      <c r="BK369">
        <v>4</v>
      </c>
      <c r="BL369">
        <v>260.74</v>
      </c>
      <c r="BM369">
        <v>39.11</v>
      </c>
      <c r="BN369">
        <v>299.85000000000002</v>
      </c>
      <c r="BO369">
        <v>299.85000000000002</v>
      </c>
      <c r="BQ369" t="s">
        <v>1005</v>
      </c>
      <c r="BR369" t="s">
        <v>84</v>
      </c>
      <c r="BS369" s="3">
        <v>45784</v>
      </c>
      <c r="BT369" s="4">
        <v>0.46319444444444446</v>
      </c>
      <c r="BU369" t="s">
        <v>1016</v>
      </c>
      <c r="BV369" t="s">
        <v>86</v>
      </c>
      <c r="BY369">
        <v>19200</v>
      </c>
      <c r="CA369" t="s">
        <v>1007</v>
      </c>
      <c r="CC369" t="s">
        <v>1003</v>
      </c>
      <c r="CD369">
        <v>5257</v>
      </c>
      <c r="CE369" t="s">
        <v>221</v>
      </c>
      <c r="CF369" s="3">
        <v>45785</v>
      </c>
      <c r="CI369">
        <v>1</v>
      </c>
      <c r="CJ369">
        <v>1</v>
      </c>
      <c r="CK369">
        <v>23</v>
      </c>
      <c r="CL369" t="s">
        <v>89</v>
      </c>
    </row>
    <row r="370" spans="1:90" x14ac:dyDescent="0.3">
      <c r="A370" t="s">
        <v>72</v>
      </c>
      <c r="B370" t="s">
        <v>73</v>
      </c>
      <c r="C370" t="s">
        <v>74</v>
      </c>
      <c r="E370" t="str">
        <f>"080065195046"</f>
        <v>080065195046</v>
      </c>
      <c r="F370" s="3">
        <v>45783</v>
      </c>
      <c r="G370">
        <v>202602</v>
      </c>
      <c r="H370" t="s">
        <v>75</v>
      </c>
      <c r="I370" t="s">
        <v>76</v>
      </c>
      <c r="J370" t="s">
        <v>77</v>
      </c>
      <c r="K370" t="s">
        <v>78</v>
      </c>
      <c r="L370" t="s">
        <v>902</v>
      </c>
      <c r="M370" t="s">
        <v>903</v>
      </c>
      <c r="N370" t="s">
        <v>904</v>
      </c>
      <c r="O370" t="s">
        <v>82</v>
      </c>
      <c r="P370" t="str">
        <f>"4170037089                    "</f>
        <v xml:space="preserve">4170037089                    </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42.84</v>
      </c>
      <c r="AR370">
        <v>0</v>
      </c>
      <c r="AS370">
        <v>0</v>
      </c>
      <c r="AT370">
        <v>0</v>
      </c>
      <c r="AU370">
        <v>0</v>
      </c>
      <c r="AV370">
        <v>0</v>
      </c>
      <c r="AW370">
        <v>0</v>
      </c>
      <c r="AX370">
        <v>0</v>
      </c>
      <c r="AY370">
        <v>0</v>
      </c>
      <c r="AZ370">
        <v>0</v>
      </c>
      <c r="BA370">
        <v>0</v>
      </c>
      <c r="BB370">
        <v>0</v>
      </c>
      <c r="BC370">
        <v>0</v>
      </c>
      <c r="BD370">
        <v>0</v>
      </c>
      <c r="BE370">
        <v>0</v>
      </c>
      <c r="BF370">
        <v>0</v>
      </c>
      <c r="BG370">
        <v>0</v>
      </c>
      <c r="BH370">
        <v>1</v>
      </c>
      <c r="BI370">
        <v>1</v>
      </c>
      <c r="BJ370">
        <v>0.2</v>
      </c>
      <c r="BK370">
        <v>1</v>
      </c>
      <c r="BL370">
        <v>137</v>
      </c>
      <c r="BM370">
        <v>20.55</v>
      </c>
      <c r="BN370">
        <v>157.55000000000001</v>
      </c>
      <c r="BO370">
        <v>157.55000000000001</v>
      </c>
      <c r="BQ370" t="s">
        <v>905</v>
      </c>
      <c r="BR370" t="s">
        <v>84</v>
      </c>
      <c r="BS370" s="3">
        <v>45784</v>
      </c>
      <c r="BT370" s="4">
        <v>0.46250000000000002</v>
      </c>
      <c r="BU370" t="s">
        <v>906</v>
      </c>
      <c r="BV370" t="s">
        <v>86</v>
      </c>
      <c r="BY370">
        <v>1200</v>
      </c>
      <c r="CA370" t="s">
        <v>907</v>
      </c>
      <c r="CC370" t="s">
        <v>903</v>
      </c>
      <c r="CD370">
        <v>1028</v>
      </c>
      <c r="CE370" t="s">
        <v>88</v>
      </c>
      <c r="CF370" s="3">
        <v>45784</v>
      </c>
      <c r="CI370">
        <v>1</v>
      </c>
      <c r="CJ370">
        <v>1</v>
      </c>
      <c r="CK370">
        <v>23</v>
      </c>
      <c r="CL370" t="s">
        <v>89</v>
      </c>
    </row>
    <row r="371" spans="1:90" x14ac:dyDescent="0.3">
      <c r="A371" t="s">
        <v>72</v>
      </c>
      <c r="B371" t="s">
        <v>73</v>
      </c>
      <c r="C371" t="s">
        <v>74</v>
      </c>
      <c r="E371" t="str">
        <f>"080065195054"</f>
        <v>080065195054</v>
      </c>
      <c r="F371" s="3">
        <v>45783</v>
      </c>
      <c r="G371">
        <v>202602</v>
      </c>
      <c r="H371" t="s">
        <v>75</v>
      </c>
      <c r="I371" t="s">
        <v>76</v>
      </c>
      <c r="J371" t="s">
        <v>77</v>
      </c>
      <c r="K371" t="s">
        <v>78</v>
      </c>
      <c r="L371" t="s">
        <v>222</v>
      </c>
      <c r="M371" t="s">
        <v>223</v>
      </c>
      <c r="N371" t="s">
        <v>499</v>
      </c>
      <c r="O371" t="s">
        <v>82</v>
      </c>
      <c r="P371" t="str">
        <f>"4170037002                    "</f>
        <v xml:space="preserve">4170037002                    </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46.24</v>
      </c>
      <c r="AR371">
        <v>0</v>
      </c>
      <c r="AS371">
        <v>0</v>
      </c>
      <c r="AT371">
        <v>0</v>
      </c>
      <c r="AU371">
        <v>0</v>
      </c>
      <c r="AV371">
        <v>0</v>
      </c>
      <c r="AW371">
        <v>0</v>
      </c>
      <c r="AX371">
        <v>0</v>
      </c>
      <c r="AY371">
        <v>0</v>
      </c>
      <c r="AZ371">
        <v>0</v>
      </c>
      <c r="BA371">
        <v>0</v>
      </c>
      <c r="BB371">
        <v>0</v>
      </c>
      <c r="BC371">
        <v>0</v>
      </c>
      <c r="BD371">
        <v>0</v>
      </c>
      <c r="BE371">
        <v>0</v>
      </c>
      <c r="BF371">
        <v>0</v>
      </c>
      <c r="BG371">
        <v>0</v>
      </c>
      <c r="BH371">
        <v>1</v>
      </c>
      <c r="BI371">
        <v>3</v>
      </c>
      <c r="BJ371">
        <v>1.4</v>
      </c>
      <c r="BK371">
        <v>3</v>
      </c>
      <c r="BL371">
        <v>147.87</v>
      </c>
      <c r="BM371">
        <v>22.18</v>
      </c>
      <c r="BN371">
        <v>170.05</v>
      </c>
      <c r="BO371">
        <v>170.05</v>
      </c>
      <c r="BQ371" t="s">
        <v>1017</v>
      </c>
      <c r="BR371" t="s">
        <v>84</v>
      </c>
      <c r="BS371" s="3">
        <v>45784</v>
      </c>
      <c r="BT371" s="4">
        <v>0.41666666666666669</v>
      </c>
      <c r="BU371" t="s">
        <v>1018</v>
      </c>
      <c r="BV371" t="s">
        <v>86</v>
      </c>
      <c r="BY371">
        <v>7200</v>
      </c>
      <c r="CA371" t="s">
        <v>227</v>
      </c>
      <c r="CC371" t="s">
        <v>223</v>
      </c>
      <c r="CD371">
        <v>1754</v>
      </c>
      <c r="CE371" t="s">
        <v>221</v>
      </c>
      <c r="CF371" s="3">
        <v>45785</v>
      </c>
      <c r="CI371">
        <v>1</v>
      </c>
      <c r="CJ371">
        <v>1</v>
      </c>
      <c r="CK371">
        <v>24</v>
      </c>
      <c r="CL371" t="s">
        <v>89</v>
      </c>
    </row>
    <row r="372" spans="1:90" x14ac:dyDescent="0.3">
      <c r="A372" t="s">
        <v>72</v>
      </c>
      <c r="B372" t="s">
        <v>73</v>
      </c>
      <c r="C372" t="s">
        <v>74</v>
      </c>
      <c r="E372" t="str">
        <f>"080065195085"</f>
        <v>080065195085</v>
      </c>
      <c r="F372" s="3">
        <v>45783</v>
      </c>
      <c r="G372">
        <v>202602</v>
      </c>
      <c r="H372" t="s">
        <v>75</v>
      </c>
      <c r="I372" t="s">
        <v>76</v>
      </c>
      <c r="J372" t="s">
        <v>77</v>
      </c>
      <c r="K372" t="s">
        <v>78</v>
      </c>
      <c r="L372" t="s">
        <v>117</v>
      </c>
      <c r="M372" t="s">
        <v>118</v>
      </c>
      <c r="N372" t="s">
        <v>1019</v>
      </c>
      <c r="O372" t="s">
        <v>82</v>
      </c>
      <c r="P372" t="str">
        <f>"4170037088                    "</f>
        <v xml:space="preserve">4170037088                    </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17.27</v>
      </c>
      <c r="AR372">
        <v>0</v>
      </c>
      <c r="AS372">
        <v>0</v>
      </c>
      <c r="AT372">
        <v>0</v>
      </c>
      <c r="AU372">
        <v>0</v>
      </c>
      <c r="AV372">
        <v>0</v>
      </c>
      <c r="AW372">
        <v>0</v>
      </c>
      <c r="AX372">
        <v>0</v>
      </c>
      <c r="AY372">
        <v>0</v>
      </c>
      <c r="AZ372">
        <v>0</v>
      </c>
      <c r="BA372">
        <v>0</v>
      </c>
      <c r="BB372">
        <v>0</v>
      </c>
      <c r="BC372">
        <v>0</v>
      </c>
      <c r="BD372">
        <v>0</v>
      </c>
      <c r="BE372">
        <v>0</v>
      </c>
      <c r="BF372">
        <v>0</v>
      </c>
      <c r="BG372">
        <v>0</v>
      </c>
      <c r="BH372">
        <v>1</v>
      </c>
      <c r="BI372">
        <v>1</v>
      </c>
      <c r="BJ372">
        <v>0.2</v>
      </c>
      <c r="BK372">
        <v>1</v>
      </c>
      <c r="BL372">
        <v>55.23</v>
      </c>
      <c r="BM372">
        <v>8.2799999999999994</v>
      </c>
      <c r="BN372">
        <v>63.51</v>
      </c>
      <c r="BO372">
        <v>63.51</v>
      </c>
      <c r="BQ372" t="s">
        <v>1020</v>
      </c>
      <c r="BR372" t="s">
        <v>84</v>
      </c>
      <c r="BS372" s="3">
        <v>45784</v>
      </c>
      <c r="BT372" s="4">
        <v>0.34444444444444444</v>
      </c>
      <c r="BU372" t="s">
        <v>1021</v>
      </c>
      <c r="BV372" t="s">
        <v>86</v>
      </c>
      <c r="BY372">
        <v>1200</v>
      </c>
      <c r="CA372" t="s">
        <v>275</v>
      </c>
      <c r="CC372" t="s">
        <v>118</v>
      </c>
      <c r="CD372">
        <v>2013</v>
      </c>
      <c r="CE372" t="s">
        <v>88</v>
      </c>
      <c r="CF372" s="3">
        <v>45784</v>
      </c>
      <c r="CI372">
        <v>1</v>
      </c>
      <c r="CJ372">
        <v>1</v>
      </c>
      <c r="CK372">
        <v>22</v>
      </c>
      <c r="CL372" t="s">
        <v>89</v>
      </c>
    </row>
    <row r="373" spans="1:90" x14ac:dyDescent="0.3">
      <c r="A373" t="s">
        <v>72</v>
      </c>
      <c r="B373" t="s">
        <v>73</v>
      </c>
      <c r="C373" t="s">
        <v>74</v>
      </c>
      <c r="E373" t="str">
        <f>"080065195091"</f>
        <v>080065195091</v>
      </c>
      <c r="F373" s="3">
        <v>45783</v>
      </c>
      <c r="G373">
        <v>202602</v>
      </c>
      <c r="H373" t="s">
        <v>75</v>
      </c>
      <c r="I373" t="s">
        <v>76</v>
      </c>
      <c r="J373" t="s">
        <v>77</v>
      </c>
      <c r="K373" t="s">
        <v>78</v>
      </c>
      <c r="L373" t="s">
        <v>130</v>
      </c>
      <c r="M373" t="s">
        <v>131</v>
      </c>
      <c r="N373" t="s">
        <v>909</v>
      </c>
      <c r="O373" t="s">
        <v>82</v>
      </c>
      <c r="P373" t="str">
        <f>"4170037071                    "</f>
        <v xml:space="preserve">4170037071                    </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22.11</v>
      </c>
      <c r="AR373">
        <v>0</v>
      </c>
      <c r="AS373">
        <v>0</v>
      </c>
      <c r="AT373">
        <v>0</v>
      </c>
      <c r="AU373">
        <v>0</v>
      </c>
      <c r="AV373">
        <v>0</v>
      </c>
      <c r="AW373">
        <v>0</v>
      </c>
      <c r="AX373">
        <v>0</v>
      </c>
      <c r="AY373">
        <v>0</v>
      </c>
      <c r="AZ373">
        <v>0</v>
      </c>
      <c r="BA373">
        <v>0</v>
      </c>
      <c r="BB373">
        <v>0</v>
      </c>
      <c r="BC373">
        <v>0</v>
      </c>
      <c r="BD373">
        <v>0</v>
      </c>
      <c r="BE373">
        <v>0</v>
      </c>
      <c r="BF373">
        <v>0</v>
      </c>
      <c r="BG373">
        <v>0</v>
      </c>
      <c r="BH373">
        <v>1</v>
      </c>
      <c r="BI373">
        <v>1</v>
      </c>
      <c r="BJ373">
        <v>1.4</v>
      </c>
      <c r="BK373">
        <v>1.5</v>
      </c>
      <c r="BL373">
        <v>70.709999999999994</v>
      </c>
      <c r="BM373">
        <v>10.61</v>
      </c>
      <c r="BN373">
        <v>81.319999999999993</v>
      </c>
      <c r="BO373">
        <v>81.319999999999993</v>
      </c>
      <c r="BQ373" t="s">
        <v>910</v>
      </c>
      <c r="BR373" t="s">
        <v>84</v>
      </c>
      <c r="BS373" s="3">
        <v>45784</v>
      </c>
      <c r="BT373" s="4">
        <v>0.35416666666666669</v>
      </c>
      <c r="BU373" t="s">
        <v>938</v>
      </c>
      <c r="BV373" t="s">
        <v>86</v>
      </c>
      <c r="BY373">
        <v>7000</v>
      </c>
      <c r="CA373" t="s">
        <v>712</v>
      </c>
      <c r="CC373" t="s">
        <v>131</v>
      </c>
      <c r="CD373">
        <v>7530</v>
      </c>
      <c r="CE373" t="s">
        <v>116</v>
      </c>
      <c r="CF373" s="3">
        <v>45785</v>
      </c>
      <c r="CI373">
        <v>1</v>
      </c>
      <c r="CJ373">
        <v>1</v>
      </c>
      <c r="CK373">
        <v>21</v>
      </c>
      <c r="CL373" t="s">
        <v>89</v>
      </c>
    </row>
    <row r="374" spans="1:90" x14ac:dyDescent="0.3">
      <c r="A374" t="s">
        <v>72</v>
      </c>
      <c r="B374" t="s">
        <v>73</v>
      </c>
      <c r="C374" t="s">
        <v>74</v>
      </c>
      <c r="E374" t="str">
        <f>"080065195104"</f>
        <v>080065195104</v>
      </c>
      <c r="F374" s="3">
        <v>45783</v>
      </c>
      <c r="G374">
        <v>202602</v>
      </c>
      <c r="H374" t="s">
        <v>75</v>
      </c>
      <c r="I374" t="s">
        <v>76</v>
      </c>
      <c r="J374" t="s">
        <v>77</v>
      </c>
      <c r="K374" t="s">
        <v>78</v>
      </c>
      <c r="L374" t="s">
        <v>90</v>
      </c>
      <c r="M374" t="s">
        <v>91</v>
      </c>
      <c r="N374" t="s">
        <v>563</v>
      </c>
      <c r="O374" t="s">
        <v>82</v>
      </c>
      <c r="P374" t="str">
        <f>"4170037059                    "</f>
        <v xml:space="preserve">4170037059                    </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22.11</v>
      </c>
      <c r="AR374">
        <v>0</v>
      </c>
      <c r="AS374">
        <v>0</v>
      </c>
      <c r="AT374">
        <v>0</v>
      </c>
      <c r="AU374">
        <v>0</v>
      </c>
      <c r="AV374">
        <v>0</v>
      </c>
      <c r="AW374">
        <v>0</v>
      </c>
      <c r="AX374">
        <v>0</v>
      </c>
      <c r="AY374">
        <v>0</v>
      </c>
      <c r="AZ374">
        <v>0</v>
      </c>
      <c r="BA374">
        <v>0</v>
      </c>
      <c r="BB374">
        <v>0</v>
      </c>
      <c r="BC374">
        <v>0</v>
      </c>
      <c r="BD374">
        <v>0</v>
      </c>
      <c r="BE374">
        <v>0</v>
      </c>
      <c r="BF374">
        <v>0</v>
      </c>
      <c r="BG374">
        <v>0</v>
      </c>
      <c r="BH374">
        <v>1</v>
      </c>
      <c r="BI374">
        <v>1</v>
      </c>
      <c r="BJ374">
        <v>0.2</v>
      </c>
      <c r="BK374">
        <v>1</v>
      </c>
      <c r="BL374">
        <v>70.709999999999994</v>
      </c>
      <c r="BM374">
        <v>10.61</v>
      </c>
      <c r="BN374">
        <v>81.319999999999993</v>
      </c>
      <c r="BO374">
        <v>81.319999999999993</v>
      </c>
      <c r="BQ374" t="s">
        <v>564</v>
      </c>
      <c r="BR374" t="s">
        <v>84</v>
      </c>
      <c r="BS374" s="3">
        <v>45784</v>
      </c>
      <c r="BT374" s="4">
        <v>0.36805555555555558</v>
      </c>
      <c r="BU374" t="s">
        <v>780</v>
      </c>
      <c r="BV374" t="s">
        <v>86</v>
      </c>
      <c r="BY374">
        <v>1200</v>
      </c>
      <c r="CA374" t="s">
        <v>566</v>
      </c>
      <c r="CC374" t="s">
        <v>91</v>
      </c>
      <c r="CD374">
        <v>6001</v>
      </c>
      <c r="CE374" t="s">
        <v>88</v>
      </c>
      <c r="CF374" s="3">
        <v>45784</v>
      </c>
      <c r="CI374">
        <v>1</v>
      </c>
      <c r="CJ374">
        <v>1</v>
      </c>
      <c r="CK374">
        <v>21</v>
      </c>
      <c r="CL374" t="s">
        <v>89</v>
      </c>
    </row>
    <row r="375" spans="1:90" x14ac:dyDescent="0.3">
      <c r="A375" t="s">
        <v>72</v>
      </c>
      <c r="B375" t="s">
        <v>73</v>
      </c>
      <c r="C375" t="s">
        <v>74</v>
      </c>
      <c r="E375" t="str">
        <f>"080065195114"</f>
        <v>080065195114</v>
      </c>
      <c r="F375" s="3">
        <v>45783</v>
      </c>
      <c r="G375">
        <v>202602</v>
      </c>
      <c r="H375" t="s">
        <v>75</v>
      </c>
      <c r="I375" t="s">
        <v>76</v>
      </c>
      <c r="J375" t="s">
        <v>77</v>
      </c>
      <c r="K375" t="s">
        <v>78</v>
      </c>
      <c r="L375" t="s">
        <v>103</v>
      </c>
      <c r="M375" t="s">
        <v>104</v>
      </c>
      <c r="N375" t="s">
        <v>105</v>
      </c>
      <c r="O375" t="s">
        <v>82</v>
      </c>
      <c r="P375" t="str">
        <f>"4170037004                    "</f>
        <v xml:space="preserve">4170037004                    </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22.11</v>
      </c>
      <c r="AR375">
        <v>0</v>
      </c>
      <c r="AS375">
        <v>0</v>
      </c>
      <c r="AT375">
        <v>0</v>
      </c>
      <c r="AU375">
        <v>0</v>
      </c>
      <c r="AV375">
        <v>0</v>
      </c>
      <c r="AW375">
        <v>0</v>
      </c>
      <c r="AX375">
        <v>0</v>
      </c>
      <c r="AY375">
        <v>0</v>
      </c>
      <c r="AZ375">
        <v>0</v>
      </c>
      <c r="BA375">
        <v>0</v>
      </c>
      <c r="BB375">
        <v>0</v>
      </c>
      <c r="BC375">
        <v>0</v>
      </c>
      <c r="BD375">
        <v>0</v>
      </c>
      <c r="BE375">
        <v>0</v>
      </c>
      <c r="BF375">
        <v>0</v>
      </c>
      <c r="BG375">
        <v>0</v>
      </c>
      <c r="BH375">
        <v>1</v>
      </c>
      <c r="BI375">
        <v>2</v>
      </c>
      <c r="BJ375">
        <v>1.1000000000000001</v>
      </c>
      <c r="BK375">
        <v>2</v>
      </c>
      <c r="BL375">
        <v>70.709999999999994</v>
      </c>
      <c r="BM375">
        <v>10.61</v>
      </c>
      <c r="BN375">
        <v>81.319999999999993</v>
      </c>
      <c r="BO375">
        <v>81.319999999999993</v>
      </c>
      <c r="BQ375" t="s">
        <v>106</v>
      </c>
      <c r="BR375" t="s">
        <v>84</v>
      </c>
      <c r="BS375" s="3">
        <v>45784</v>
      </c>
      <c r="BT375" s="4">
        <v>0.42430555555555555</v>
      </c>
      <c r="BU375" t="s">
        <v>107</v>
      </c>
      <c r="BV375" t="s">
        <v>86</v>
      </c>
      <c r="BY375">
        <v>5320</v>
      </c>
      <c r="CA375" t="s">
        <v>108</v>
      </c>
      <c r="CC375" t="s">
        <v>104</v>
      </c>
      <c r="CD375">
        <v>3201</v>
      </c>
      <c r="CE375" t="s">
        <v>116</v>
      </c>
      <c r="CF375" s="3">
        <v>45784</v>
      </c>
      <c r="CI375">
        <v>1</v>
      </c>
      <c r="CJ375">
        <v>1</v>
      </c>
      <c r="CK375">
        <v>21</v>
      </c>
      <c r="CL375" t="s">
        <v>89</v>
      </c>
    </row>
    <row r="376" spans="1:90" x14ac:dyDescent="0.3">
      <c r="A376" t="s">
        <v>72</v>
      </c>
      <c r="B376" t="s">
        <v>73</v>
      </c>
      <c r="C376" t="s">
        <v>74</v>
      </c>
      <c r="E376" t="str">
        <f>"080065195123"</f>
        <v>080065195123</v>
      </c>
      <c r="F376" s="3">
        <v>45783</v>
      </c>
      <c r="G376">
        <v>202602</v>
      </c>
      <c r="H376" t="s">
        <v>75</v>
      </c>
      <c r="I376" t="s">
        <v>76</v>
      </c>
      <c r="J376" t="s">
        <v>77</v>
      </c>
      <c r="K376" t="s">
        <v>78</v>
      </c>
      <c r="L376" t="s">
        <v>350</v>
      </c>
      <c r="M376" t="s">
        <v>351</v>
      </c>
      <c r="N376" t="s">
        <v>459</v>
      </c>
      <c r="O376" t="s">
        <v>82</v>
      </c>
      <c r="P376" t="str">
        <f>"4170037090                    "</f>
        <v xml:space="preserve">4170037090                    </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22.11</v>
      </c>
      <c r="AR376">
        <v>0</v>
      </c>
      <c r="AS376">
        <v>0</v>
      </c>
      <c r="AT376">
        <v>0</v>
      </c>
      <c r="AU376">
        <v>0</v>
      </c>
      <c r="AV376">
        <v>0</v>
      </c>
      <c r="AW376">
        <v>0</v>
      </c>
      <c r="AX376">
        <v>0</v>
      </c>
      <c r="AY376">
        <v>0</v>
      </c>
      <c r="AZ376">
        <v>0</v>
      </c>
      <c r="BA376">
        <v>0</v>
      </c>
      <c r="BB376">
        <v>0</v>
      </c>
      <c r="BC376">
        <v>0</v>
      </c>
      <c r="BD376">
        <v>0</v>
      </c>
      <c r="BE376">
        <v>0</v>
      </c>
      <c r="BF376">
        <v>0</v>
      </c>
      <c r="BG376">
        <v>0</v>
      </c>
      <c r="BH376">
        <v>1</v>
      </c>
      <c r="BI376">
        <v>1</v>
      </c>
      <c r="BJ376">
        <v>0.2</v>
      </c>
      <c r="BK376">
        <v>1</v>
      </c>
      <c r="BL376">
        <v>70.709999999999994</v>
      </c>
      <c r="BM376">
        <v>10.61</v>
      </c>
      <c r="BN376">
        <v>81.319999999999993</v>
      </c>
      <c r="BO376">
        <v>81.319999999999993</v>
      </c>
      <c r="BQ376" t="s">
        <v>460</v>
      </c>
      <c r="BR376" t="s">
        <v>84</v>
      </c>
      <c r="BS376" s="3">
        <v>45784</v>
      </c>
      <c r="BT376" s="4">
        <v>0.32847222222222222</v>
      </c>
      <c r="BU376" t="s">
        <v>461</v>
      </c>
      <c r="BV376" t="s">
        <v>86</v>
      </c>
      <c r="BY376">
        <v>1200</v>
      </c>
      <c r="CA376" t="s">
        <v>462</v>
      </c>
      <c r="CC376" t="s">
        <v>351</v>
      </c>
      <c r="CD376">
        <v>4000</v>
      </c>
      <c r="CE376" t="s">
        <v>88</v>
      </c>
      <c r="CF376" s="3">
        <v>45785</v>
      </c>
      <c r="CI376">
        <v>1</v>
      </c>
      <c r="CJ376">
        <v>1</v>
      </c>
      <c r="CK376">
        <v>21</v>
      </c>
      <c r="CL376" t="s">
        <v>89</v>
      </c>
    </row>
    <row r="377" spans="1:90" x14ac:dyDescent="0.3">
      <c r="A377" t="s">
        <v>72</v>
      </c>
      <c r="B377" t="s">
        <v>73</v>
      </c>
      <c r="C377" t="s">
        <v>74</v>
      </c>
      <c r="E377" t="str">
        <f>"080065195136"</f>
        <v>080065195136</v>
      </c>
      <c r="F377" s="3">
        <v>45783</v>
      </c>
      <c r="G377">
        <v>202602</v>
      </c>
      <c r="H377" t="s">
        <v>75</v>
      </c>
      <c r="I377" t="s">
        <v>76</v>
      </c>
      <c r="J377" t="s">
        <v>77</v>
      </c>
      <c r="K377" t="s">
        <v>78</v>
      </c>
      <c r="L377" t="s">
        <v>374</v>
      </c>
      <c r="M377" t="s">
        <v>375</v>
      </c>
      <c r="N377" t="s">
        <v>376</v>
      </c>
      <c r="O377" t="s">
        <v>82</v>
      </c>
      <c r="P377" t="str">
        <f>"4170037087                    "</f>
        <v xml:space="preserve">4170037087                    </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42.84</v>
      </c>
      <c r="AR377">
        <v>0</v>
      </c>
      <c r="AS377">
        <v>0</v>
      </c>
      <c r="AT377">
        <v>0</v>
      </c>
      <c r="AU377">
        <v>0</v>
      </c>
      <c r="AV377">
        <v>0</v>
      </c>
      <c r="AW377">
        <v>0</v>
      </c>
      <c r="AX377">
        <v>0</v>
      </c>
      <c r="AY377">
        <v>0</v>
      </c>
      <c r="AZ377">
        <v>0</v>
      </c>
      <c r="BA377">
        <v>0</v>
      </c>
      <c r="BB377">
        <v>0</v>
      </c>
      <c r="BC377">
        <v>0</v>
      </c>
      <c r="BD377">
        <v>0</v>
      </c>
      <c r="BE377">
        <v>0</v>
      </c>
      <c r="BF377">
        <v>0</v>
      </c>
      <c r="BG377">
        <v>0</v>
      </c>
      <c r="BH377">
        <v>1</v>
      </c>
      <c r="BI377">
        <v>1</v>
      </c>
      <c r="BJ377">
        <v>0.2</v>
      </c>
      <c r="BK377">
        <v>1</v>
      </c>
      <c r="BL377">
        <v>137</v>
      </c>
      <c r="BM377">
        <v>20.55</v>
      </c>
      <c r="BN377">
        <v>157.55000000000001</v>
      </c>
      <c r="BO377">
        <v>157.55000000000001</v>
      </c>
      <c r="BQ377" t="s">
        <v>377</v>
      </c>
      <c r="BR377" t="s">
        <v>84</v>
      </c>
      <c r="BS377" s="3">
        <v>45784</v>
      </c>
      <c r="BT377" s="4">
        <v>0.40833333333333333</v>
      </c>
      <c r="BU377" t="s">
        <v>378</v>
      </c>
      <c r="BV377" t="s">
        <v>86</v>
      </c>
      <c r="BY377">
        <v>1200</v>
      </c>
      <c r="CA377" t="s">
        <v>379</v>
      </c>
      <c r="CC377" t="s">
        <v>375</v>
      </c>
      <c r="CD377">
        <v>7130</v>
      </c>
      <c r="CE377" t="s">
        <v>88</v>
      </c>
      <c r="CF377" s="3">
        <v>45785</v>
      </c>
      <c r="CI377">
        <v>1</v>
      </c>
      <c r="CJ377">
        <v>1</v>
      </c>
      <c r="CK377">
        <v>23</v>
      </c>
      <c r="CL377" t="s">
        <v>89</v>
      </c>
    </row>
    <row r="378" spans="1:90" x14ac:dyDescent="0.3">
      <c r="A378" t="s">
        <v>72</v>
      </c>
      <c r="B378" t="s">
        <v>73</v>
      </c>
      <c r="C378" t="s">
        <v>74</v>
      </c>
      <c r="E378" t="str">
        <f>"080065195198"</f>
        <v>080065195198</v>
      </c>
      <c r="F378" s="3">
        <v>45783</v>
      </c>
      <c r="G378">
        <v>202602</v>
      </c>
      <c r="H378" t="s">
        <v>75</v>
      </c>
      <c r="I378" t="s">
        <v>76</v>
      </c>
      <c r="J378" t="s">
        <v>77</v>
      </c>
      <c r="K378" t="s">
        <v>78</v>
      </c>
      <c r="L378" t="s">
        <v>409</v>
      </c>
      <c r="M378" t="s">
        <v>410</v>
      </c>
      <c r="N378" t="s">
        <v>1022</v>
      </c>
      <c r="O378" t="s">
        <v>82</v>
      </c>
      <c r="P378" t="str">
        <f>"4170037072                    "</f>
        <v xml:space="preserve">4170037072                    </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129.9</v>
      </c>
      <c r="AR378">
        <v>0</v>
      </c>
      <c r="AS378">
        <v>0</v>
      </c>
      <c r="AT378">
        <v>0</v>
      </c>
      <c r="AU378">
        <v>0</v>
      </c>
      <c r="AV378">
        <v>0</v>
      </c>
      <c r="AW378">
        <v>0</v>
      </c>
      <c r="AX378">
        <v>0</v>
      </c>
      <c r="AY378">
        <v>0</v>
      </c>
      <c r="AZ378">
        <v>0</v>
      </c>
      <c r="BA378">
        <v>0</v>
      </c>
      <c r="BB378">
        <v>0</v>
      </c>
      <c r="BC378">
        <v>0</v>
      </c>
      <c r="BD378">
        <v>0</v>
      </c>
      <c r="BE378">
        <v>0</v>
      </c>
      <c r="BF378">
        <v>0</v>
      </c>
      <c r="BG378">
        <v>0</v>
      </c>
      <c r="BH378">
        <v>1</v>
      </c>
      <c r="BI378">
        <v>3</v>
      </c>
      <c r="BJ378">
        <v>6.2</v>
      </c>
      <c r="BK378">
        <v>6.5</v>
      </c>
      <c r="BL378">
        <v>415.4</v>
      </c>
      <c r="BM378">
        <v>62.31</v>
      </c>
      <c r="BN378">
        <v>477.71</v>
      </c>
      <c r="BO378">
        <v>477.71</v>
      </c>
      <c r="BQ378" t="s">
        <v>1023</v>
      </c>
      <c r="BR378" t="s">
        <v>84</v>
      </c>
      <c r="BS378" s="3">
        <v>45784</v>
      </c>
      <c r="BT378" s="4">
        <v>0.57013888888888886</v>
      </c>
      <c r="BU378" t="s">
        <v>1024</v>
      </c>
      <c r="BV378" t="s">
        <v>86</v>
      </c>
      <c r="BY378">
        <v>31008</v>
      </c>
      <c r="CA378" t="s">
        <v>414</v>
      </c>
      <c r="CC378" t="s">
        <v>410</v>
      </c>
      <c r="CD378">
        <v>6849</v>
      </c>
      <c r="CE378" t="s">
        <v>221</v>
      </c>
      <c r="CF378" s="3">
        <v>45785</v>
      </c>
      <c r="CI378">
        <v>2</v>
      </c>
      <c r="CJ378">
        <v>1</v>
      </c>
      <c r="CK378">
        <v>23</v>
      </c>
      <c r="CL378" t="s">
        <v>89</v>
      </c>
    </row>
    <row r="379" spans="1:90" x14ac:dyDescent="0.3">
      <c r="A379" t="s">
        <v>72</v>
      </c>
      <c r="B379" t="s">
        <v>73</v>
      </c>
      <c r="C379" t="s">
        <v>74</v>
      </c>
      <c r="E379" t="str">
        <f>"080065195225"</f>
        <v>080065195225</v>
      </c>
      <c r="F379" s="3">
        <v>45783</v>
      </c>
      <c r="G379">
        <v>202602</v>
      </c>
      <c r="H379" t="s">
        <v>75</v>
      </c>
      <c r="I379" t="s">
        <v>76</v>
      </c>
      <c r="J379" t="s">
        <v>77</v>
      </c>
      <c r="K379" t="s">
        <v>78</v>
      </c>
      <c r="L379" t="s">
        <v>123</v>
      </c>
      <c r="M379" t="s">
        <v>123</v>
      </c>
      <c r="N379" t="s">
        <v>766</v>
      </c>
      <c r="O379" t="s">
        <v>82</v>
      </c>
      <c r="P379" t="str">
        <f>"4170037093                    "</f>
        <v xml:space="preserve">4170037093                    </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158.91999999999999</v>
      </c>
      <c r="AR379">
        <v>0</v>
      </c>
      <c r="AS379">
        <v>0</v>
      </c>
      <c r="AT379">
        <v>0</v>
      </c>
      <c r="AU379">
        <v>0</v>
      </c>
      <c r="AV379">
        <v>0</v>
      </c>
      <c r="AW379">
        <v>0</v>
      </c>
      <c r="AX379">
        <v>0</v>
      </c>
      <c r="AY379">
        <v>0</v>
      </c>
      <c r="AZ379">
        <v>0</v>
      </c>
      <c r="BA379">
        <v>0</v>
      </c>
      <c r="BB379">
        <v>0</v>
      </c>
      <c r="BC379">
        <v>0</v>
      </c>
      <c r="BD379">
        <v>0</v>
      </c>
      <c r="BE379">
        <v>0</v>
      </c>
      <c r="BF379">
        <v>0</v>
      </c>
      <c r="BG379">
        <v>0</v>
      </c>
      <c r="BH379">
        <v>1</v>
      </c>
      <c r="BI379">
        <v>8</v>
      </c>
      <c r="BJ379">
        <v>4.8</v>
      </c>
      <c r="BK379">
        <v>8</v>
      </c>
      <c r="BL379">
        <v>508.2</v>
      </c>
      <c r="BM379">
        <v>76.23</v>
      </c>
      <c r="BN379">
        <v>584.42999999999995</v>
      </c>
      <c r="BO379">
        <v>584.42999999999995</v>
      </c>
      <c r="BQ379" t="s">
        <v>767</v>
      </c>
      <c r="BR379" t="s">
        <v>84</v>
      </c>
      <c r="BS379" s="3">
        <v>45784</v>
      </c>
      <c r="BT379" s="4">
        <v>0.53472222222222221</v>
      </c>
      <c r="BU379" t="s">
        <v>768</v>
      </c>
      <c r="BV379" t="s">
        <v>86</v>
      </c>
      <c r="BY379">
        <v>23751</v>
      </c>
      <c r="CA379" t="s">
        <v>128</v>
      </c>
      <c r="CC379" t="s">
        <v>123</v>
      </c>
      <c r="CD379">
        <v>7646</v>
      </c>
      <c r="CE379" t="s">
        <v>96</v>
      </c>
      <c r="CF379" s="3">
        <v>45785</v>
      </c>
      <c r="CI379">
        <v>1</v>
      </c>
      <c r="CJ379">
        <v>1</v>
      </c>
      <c r="CK379">
        <v>23</v>
      </c>
      <c r="CL379" t="s">
        <v>89</v>
      </c>
    </row>
    <row r="380" spans="1:90" x14ac:dyDescent="0.3">
      <c r="A380" t="s">
        <v>72</v>
      </c>
      <c r="B380" t="s">
        <v>73</v>
      </c>
      <c r="C380" t="s">
        <v>74</v>
      </c>
      <c r="E380" t="str">
        <f>"080065195281"</f>
        <v>080065195281</v>
      </c>
      <c r="F380" s="3">
        <v>45783</v>
      </c>
      <c r="G380">
        <v>202602</v>
      </c>
      <c r="H380" t="s">
        <v>75</v>
      </c>
      <c r="I380" t="s">
        <v>76</v>
      </c>
      <c r="J380" t="s">
        <v>77</v>
      </c>
      <c r="K380" t="s">
        <v>78</v>
      </c>
      <c r="L380" t="s">
        <v>624</v>
      </c>
      <c r="M380" t="s">
        <v>625</v>
      </c>
      <c r="N380" t="s">
        <v>481</v>
      </c>
      <c r="O380" t="s">
        <v>82</v>
      </c>
      <c r="P380" t="str">
        <f>"4170037086                    "</f>
        <v xml:space="preserve">4170037086                    </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62.19</v>
      </c>
      <c r="AR380">
        <v>0</v>
      </c>
      <c r="AS380">
        <v>0</v>
      </c>
      <c r="AT380">
        <v>0</v>
      </c>
      <c r="AU380">
        <v>0</v>
      </c>
      <c r="AV380">
        <v>0</v>
      </c>
      <c r="AW380">
        <v>0</v>
      </c>
      <c r="AX380">
        <v>0</v>
      </c>
      <c r="AY380">
        <v>0</v>
      </c>
      <c r="AZ380">
        <v>0</v>
      </c>
      <c r="BA380">
        <v>0</v>
      </c>
      <c r="BB380">
        <v>0</v>
      </c>
      <c r="BC380">
        <v>0</v>
      </c>
      <c r="BD380">
        <v>0</v>
      </c>
      <c r="BE380">
        <v>0</v>
      </c>
      <c r="BF380">
        <v>0</v>
      </c>
      <c r="BG380">
        <v>0</v>
      </c>
      <c r="BH380">
        <v>1</v>
      </c>
      <c r="BI380">
        <v>2</v>
      </c>
      <c r="BJ380">
        <v>2.9</v>
      </c>
      <c r="BK380">
        <v>3</v>
      </c>
      <c r="BL380">
        <v>198.87</v>
      </c>
      <c r="BM380">
        <v>29.83</v>
      </c>
      <c r="BN380">
        <v>228.7</v>
      </c>
      <c r="BO380">
        <v>228.7</v>
      </c>
      <c r="BQ380" t="s">
        <v>1025</v>
      </c>
      <c r="BR380" t="s">
        <v>84</v>
      </c>
      <c r="BS380" s="3">
        <v>45784</v>
      </c>
      <c r="BT380" s="4">
        <v>0.35694444444444445</v>
      </c>
      <c r="BU380" t="s">
        <v>1026</v>
      </c>
      <c r="BV380" t="s">
        <v>86</v>
      </c>
      <c r="BY380">
        <v>14280</v>
      </c>
      <c r="CA380" t="s">
        <v>629</v>
      </c>
      <c r="CC380" t="s">
        <v>625</v>
      </c>
      <c r="CD380">
        <v>1947</v>
      </c>
      <c r="CE380" t="s">
        <v>221</v>
      </c>
      <c r="CF380" s="3">
        <v>45785</v>
      </c>
      <c r="CI380">
        <v>1</v>
      </c>
      <c r="CJ380">
        <v>1</v>
      </c>
      <c r="CK380">
        <v>23</v>
      </c>
      <c r="CL380" t="s">
        <v>89</v>
      </c>
    </row>
    <row r="381" spans="1:90" x14ac:dyDescent="0.3">
      <c r="A381" t="s">
        <v>72</v>
      </c>
      <c r="B381" t="s">
        <v>73</v>
      </c>
      <c r="C381" t="s">
        <v>74</v>
      </c>
      <c r="E381" t="str">
        <f>"080065195529"</f>
        <v>080065195529</v>
      </c>
      <c r="F381" s="3">
        <v>45783</v>
      </c>
      <c r="G381">
        <v>202602</v>
      </c>
      <c r="H381" t="s">
        <v>75</v>
      </c>
      <c r="I381" t="s">
        <v>76</v>
      </c>
      <c r="J381" t="s">
        <v>77</v>
      </c>
      <c r="K381" t="s">
        <v>78</v>
      </c>
      <c r="L381" t="s">
        <v>103</v>
      </c>
      <c r="M381" t="s">
        <v>104</v>
      </c>
      <c r="N381" t="s">
        <v>633</v>
      </c>
      <c r="O381" t="s">
        <v>82</v>
      </c>
      <c r="P381" t="str">
        <f>"4170037096                    "</f>
        <v xml:space="preserve">4170037096                    </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22.11</v>
      </c>
      <c r="AR381">
        <v>0</v>
      </c>
      <c r="AS381">
        <v>0</v>
      </c>
      <c r="AT381">
        <v>0</v>
      </c>
      <c r="AU381">
        <v>0</v>
      </c>
      <c r="AV381">
        <v>0</v>
      </c>
      <c r="AW381">
        <v>0</v>
      </c>
      <c r="AX381">
        <v>0</v>
      </c>
      <c r="AY381">
        <v>0</v>
      </c>
      <c r="AZ381">
        <v>0</v>
      </c>
      <c r="BA381">
        <v>0</v>
      </c>
      <c r="BB381">
        <v>0</v>
      </c>
      <c r="BC381">
        <v>0</v>
      </c>
      <c r="BD381">
        <v>0</v>
      </c>
      <c r="BE381">
        <v>0</v>
      </c>
      <c r="BF381">
        <v>0</v>
      </c>
      <c r="BG381">
        <v>0</v>
      </c>
      <c r="BH381">
        <v>1</v>
      </c>
      <c r="BI381">
        <v>1</v>
      </c>
      <c r="BJ381">
        <v>0.2</v>
      </c>
      <c r="BK381">
        <v>1</v>
      </c>
      <c r="BL381">
        <v>70.709999999999994</v>
      </c>
      <c r="BM381">
        <v>10.61</v>
      </c>
      <c r="BN381">
        <v>81.319999999999993</v>
      </c>
      <c r="BO381">
        <v>81.319999999999993</v>
      </c>
      <c r="BQ381" t="s">
        <v>634</v>
      </c>
      <c r="BR381" t="s">
        <v>84</v>
      </c>
      <c r="BS381" s="3">
        <v>45784</v>
      </c>
      <c r="BT381" s="4">
        <v>0.66319444444444442</v>
      </c>
      <c r="BU381" t="s">
        <v>1027</v>
      </c>
      <c r="BV381" t="s">
        <v>86</v>
      </c>
      <c r="BY381">
        <v>1200</v>
      </c>
      <c r="CA381" t="s">
        <v>440</v>
      </c>
      <c r="CC381" t="s">
        <v>104</v>
      </c>
      <c r="CD381">
        <v>3212</v>
      </c>
      <c r="CE381" t="s">
        <v>88</v>
      </c>
      <c r="CF381" s="3">
        <v>45785</v>
      </c>
      <c r="CI381">
        <v>2</v>
      </c>
      <c r="CJ381">
        <v>1</v>
      </c>
      <c r="CK381">
        <v>21</v>
      </c>
      <c r="CL381" t="s">
        <v>89</v>
      </c>
    </row>
    <row r="382" spans="1:90" x14ac:dyDescent="0.3">
      <c r="A382" t="s">
        <v>72</v>
      </c>
      <c r="B382" t="s">
        <v>73</v>
      </c>
      <c r="C382" t="s">
        <v>74</v>
      </c>
      <c r="E382" t="str">
        <f>"080065195552"</f>
        <v>080065195552</v>
      </c>
      <c r="F382" s="3">
        <v>45783</v>
      </c>
      <c r="G382">
        <v>202602</v>
      </c>
      <c r="H382" t="s">
        <v>75</v>
      </c>
      <c r="I382" t="s">
        <v>76</v>
      </c>
      <c r="J382" t="s">
        <v>77</v>
      </c>
      <c r="K382" t="s">
        <v>78</v>
      </c>
      <c r="L382" t="s">
        <v>130</v>
      </c>
      <c r="M382" t="s">
        <v>131</v>
      </c>
      <c r="N382" t="s">
        <v>709</v>
      </c>
      <c r="O382" t="s">
        <v>82</v>
      </c>
      <c r="P382" t="str">
        <f>"4170037097                    "</f>
        <v xml:space="preserve">4170037097                    </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22.11</v>
      </c>
      <c r="AR382">
        <v>0</v>
      </c>
      <c r="AS382">
        <v>0</v>
      </c>
      <c r="AT382">
        <v>0</v>
      </c>
      <c r="AU382">
        <v>0</v>
      </c>
      <c r="AV382">
        <v>0</v>
      </c>
      <c r="AW382">
        <v>0</v>
      </c>
      <c r="AX382">
        <v>0</v>
      </c>
      <c r="AY382">
        <v>0</v>
      </c>
      <c r="AZ382">
        <v>0</v>
      </c>
      <c r="BA382">
        <v>0</v>
      </c>
      <c r="BB382">
        <v>0</v>
      </c>
      <c r="BC382">
        <v>0</v>
      </c>
      <c r="BD382">
        <v>0</v>
      </c>
      <c r="BE382">
        <v>0</v>
      </c>
      <c r="BF382">
        <v>0</v>
      </c>
      <c r="BG382">
        <v>0</v>
      </c>
      <c r="BH382">
        <v>1</v>
      </c>
      <c r="BI382">
        <v>1</v>
      </c>
      <c r="BJ382">
        <v>0.2</v>
      </c>
      <c r="BK382">
        <v>1</v>
      </c>
      <c r="BL382">
        <v>70.709999999999994</v>
      </c>
      <c r="BM382">
        <v>10.61</v>
      </c>
      <c r="BN382">
        <v>81.319999999999993</v>
      </c>
      <c r="BO382">
        <v>81.319999999999993</v>
      </c>
      <c r="BQ382" t="s">
        <v>710</v>
      </c>
      <c r="BR382" t="s">
        <v>84</v>
      </c>
      <c r="BS382" s="3">
        <v>45784</v>
      </c>
      <c r="BT382" s="4">
        <v>0.33333333333333331</v>
      </c>
      <c r="BU382" t="s">
        <v>711</v>
      </c>
      <c r="BV382" t="s">
        <v>86</v>
      </c>
      <c r="BY382">
        <v>1200</v>
      </c>
      <c r="CA382" t="s">
        <v>712</v>
      </c>
      <c r="CC382" t="s">
        <v>131</v>
      </c>
      <c r="CD382">
        <v>7530</v>
      </c>
      <c r="CE382" t="s">
        <v>88</v>
      </c>
      <c r="CF382" s="3">
        <v>45785</v>
      </c>
      <c r="CI382">
        <v>1</v>
      </c>
      <c r="CJ382">
        <v>1</v>
      </c>
      <c r="CK382">
        <v>21</v>
      </c>
      <c r="CL382" t="s">
        <v>89</v>
      </c>
    </row>
    <row r="383" spans="1:90" x14ac:dyDescent="0.3">
      <c r="A383" t="s">
        <v>72</v>
      </c>
      <c r="B383" t="s">
        <v>73</v>
      </c>
      <c r="C383" t="s">
        <v>74</v>
      </c>
      <c r="E383" t="str">
        <f>"080065195566"</f>
        <v>080065195566</v>
      </c>
      <c r="F383" s="3">
        <v>45783</v>
      </c>
      <c r="G383">
        <v>202602</v>
      </c>
      <c r="H383" t="s">
        <v>75</v>
      </c>
      <c r="I383" t="s">
        <v>76</v>
      </c>
      <c r="J383" t="s">
        <v>77</v>
      </c>
      <c r="K383" t="s">
        <v>78</v>
      </c>
      <c r="L383" t="s">
        <v>489</v>
      </c>
      <c r="M383" t="s">
        <v>490</v>
      </c>
      <c r="N383" t="s">
        <v>491</v>
      </c>
      <c r="O383" t="s">
        <v>82</v>
      </c>
      <c r="P383" t="str">
        <f>"4170037095                    "</f>
        <v xml:space="preserve">4170037095                    </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42.84</v>
      </c>
      <c r="AR383">
        <v>0</v>
      </c>
      <c r="AS383">
        <v>0</v>
      </c>
      <c r="AT383">
        <v>0</v>
      </c>
      <c r="AU383">
        <v>0</v>
      </c>
      <c r="AV383">
        <v>0</v>
      </c>
      <c r="AW383">
        <v>0</v>
      </c>
      <c r="AX383">
        <v>0</v>
      </c>
      <c r="AY383">
        <v>0</v>
      </c>
      <c r="AZ383">
        <v>0</v>
      </c>
      <c r="BA383">
        <v>0</v>
      </c>
      <c r="BB383">
        <v>0</v>
      </c>
      <c r="BC383">
        <v>0</v>
      </c>
      <c r="BD383">
        <v>0</v>
      </c>
      <c r="BE383">
        <v>0</v>
      </c>
      <c r="BF383">
        <v>0</v>
      </c>
      <c r="BG383">
        <v>0</v>
      </c>
      <c r="BH383">
        <v>1</v>
      </c>
      <c r="BI383">
        <v>1</v>
      </c>
      <c r="BJ383">
        <v>0.2</v>
      </c>
      <c r="BK383">
        <v>1</v>
      </c>
      <c r="BL383">
        <v>137</v>
      </c>
      <c r="BM383">
        <v>20.55</v>
      </c>
      <c r="BN383">
        <v>157.55000000000001</v>
      </c>
      <c r="BO383">
        <v>157.55000000000001</v>
      </c>
      <c r="BQ383" t="s">
        <v>492</v>
      </c>
      <c r="BR383" t="s">
        <v>84</v>
      </c>
      <c r="BS383" s="3">
        <v>45784</v>
      </c>
      <c r="BT383" s="4">
        <v>0.5083333333333333</v>
      </c>
      <c r="BU383" t="s">
        <v>1028</v>
      </c>
      <c r="BV383" t="s">
        <v>86</v>
      </c>
      <c r="BY383">
        <v>1200</v>
      </c>
      <c r="CA383" t="s">
        <v>913</v>
      </c>
      <c r="CC383" t="s">
        <v>490</v>
      </c>
      <c r="CD383">
        <v>2740</v>
      </c>
      <c r="CE383" t="s">
        <v>88</v>
      </c>
      <c r="CF383" s="3">
        <v>45789</v>
      </c>
      <c r="CI383">
        <v>1</v>
      </c>
      <c r="CJ383">
        <v>1</v>
      </c>
      <c r="CK383">
        <v>23</v>
      </c>
      <c r="CL383" t="s">
        <v>89</v>
      </c>
    </row>
    <row r="384" spans="1:90" x14ac:dyDescent="0.3">
      <c r="A384" t="s">
        <v>72</v>
      </c>
      <c r="B384" t="s">
        <v>73</v>
      </c>
      <c r="C384" t="s">
        <v>74</v>
      </c>
      <c r="E384" t="str">
        <f>"080065195612"</f>
        <v>080065195612</v>
      </c>
      <c r="F384" s="3">
        <v>45783</v>
      </c>
      <c r="G384">
        <v>202602</v>
      </c>
      <c r="H384" t="s">
        <v>75</v>
      </c>
      <c r="I384" t="s">
        <v>76</v>
      </c>
      <c r="J384" t="s">
        <v>77</v>
      </c>
      <c r="K384" t="s">
        <v>78</v>
      </c>
      <c r="L384" t="s">
        <v>90</v>
      </c>
      <c r="M384" t="s">
        <v>91</v>
      </c>
      <c r="N384" t="s">
        <v>371</v>
      </c>
      <c r="O384" t="s">
        <v>82</v>
      </c>
      <c r="P384" t="str">
        <f>"4170037108                    "</f>
        <v xml:space="preserve">4170037108                    </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38.68</v>
      </c>
      <c r="AR384">
        <v>0</v>
      </c>
      <c r="AS384">
        <v>0</v>
      </c>
      <c r="AT384">
        <v>0</v>
      </c>
      <c r="AU384">
        <v>0</v>
      </c>
      <c r="AV384">
        <v>0</v>
      </c>
      <c r="AW384">
        <v>0</v>
      </c>
      <c r="AX384">
        <v>0</v>
      </c>
      <c r="AY384">
        <v>0</v>
      </c>
      <c r="AZ384">
        <v>0</v>
      </c>
      <c r="BA384">
        <v>0</v>
      </c>
      <c r="BB384">
        <v>0</v>
      </c>
      <c r="BC384">
        <v>0</v>
      </c>
      <c r="BD384">
        <v>0</v>
      </c>
      <c r="BE384">
        <v>0</v>
      </c>
      <c r="BF384">
        <v>0</v>
      </c>
      <c r="BG384">
        <v>0</v>
      </c>
      <c r="BH384">
        <v>1</v>
      </c>
      <c r="BI384">
        <v>2</v>
      </c>
      <c r="BJ384">
        <v>3.4</v>
      </c>
      <c r="BK384">
        <v>3.5</v>
      </c>
      <c r="BL384">
        <v>123.7</v>
      </c>
      <c r="BM384">
        <v>18.559999999999999</v>
      </c>
      <c r="BN384">
        <v>142.26</v>
      </c>
      <c r="BO384">
        <v>142.26</v>
      </c>
      <c r="BQ384" t="s">
        <v>372</v>
      </c>
      <c r="BR384" t="s">
        <v>84</v>
      </c>
      <c r="BS384" s="3">
        <v>45784</v>
      </c>
      <c r="BT384" s="4">
        <v>0.42708333333333331</v>
      </c>
      <c r="BU384" t="s">
        <v>373</v>
      </c>
      <c r="BV384" t="s">
        <v>86</v>
      </c>
      <c r="BY384">
        <v>16965</v>
      </c>
      <c r="CA384" t="s">
        <v>298</v>
      </c>
      <c r="CC384" t="s">
        <v>91</v>
      </c>
      <c r="CD384">
        <v>6001</v>
      </c>
      <c r="CE384" t="s">
        <v>96</v>
      </c>
      <c r="CF384" s="3">
        <v>45784</v>
      </c>
      <c r="CI384">
        <v>1</v>
      </c>
      <c r="CJ384">
        <v>1</v>
      </c>
      <c r="CK384">
        <v>21</v>
      </c>
      <c r="CL384" t="s">
        <v>89</v>
      </c>
    </row>
    <row r="385" spans="1:90" x14ac:dyDescent="0.3">
      <c r="A385" t="s">
        <v>72</v>
      </c>
      <c r="B385" t="s">
        <v>73</v>
      </c>
      <c r="C385" t="s">
        <v>74</v>
      </c>
      <c r="E385" t="str">
        <f>"080065195629"</f>
        <v>080065195629</v>
      </c>
      <c r="F385" s="3">
        <v>45783</v>
      </c>
      <c r="G385">
        <v>202602</v>
      </c>
      <c r="H385" t="s">
        <v>75</v>
      </c>
      <c r="I385" t="s">
        <v>76</v>
      </c>
      <c r="J385" t="s">
        <v>77</v>
      </c>
      <c r="K385" t="s">
        <v>78</v>
      </c>
      <c r="L385" t="s">
        <v>103</v>
      </c>
      <c r="M385" t="s">
        <v>104</v>
      </c>
      <c r="N385" t="s">
        <v>105</v>
      </c>
      <c r="O385" t="s">
        <v>82</v>
      </c>
      <c r="P385" t="str">
        <f>"4170037103                    "</f>
        <v xml:space="preserve">4170037103                    </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22.11</v>
      </c>
      <c r="AR385">
        <v>0</v>
      </c>
      <c r="AS385">
        <v>0</v>
      </c>
      <c r="AT385">
        <v>0</v>
      </c>
      <c r="AU385">
        <v>0</v>
      </c>
      <c r="AV385">
        <v>0</v>
      </c>
      <c r="AW385">
        <v>0</v>
      </c>
      <c r="AX385">
        <v>0</v>
      </c>
      <c r="AY385">
        <v>0</v>
      </c>
      <c r="AZ385">
        <v>0</v>
      </c>
      <c r="BA385">
        <v>0</v>
      </c>
      <c r="BB385">
        <v>0</v>
      </c>
      <c r="BC385">
        <v>0</v>
      </c>
      <c r="BD385">
        <v>0</v>
      </c>
      <c r="BE385">
        <v>0</v>
      </c>
      <c r="BF385">
        <v>0</v>
      </c>
      <c r="BG385">
        <v>0</v>
      </c>
      <c r="BH385">
        <v>1</v>
      </c>
      <c r="BI385">
        <v>1</v>
      </c>
      <c r="BJ385">
        <v>1.9</v>
      </c>
      <c r="BK385">
        <v>2</v>
      </c>
      <c r="BL385">
        <v>70.709999999999994</v>
      </c>
      <c r="BM385">
        <v>10.61</v>
      </c>
      <c r="BN385">
        <v>81.319999999999993</v>
      </c>
      <c r="BO385">
        <v>81.319999999999993</v>
      </c>
      <c r="BQ385" t="s">
        <v>106</v>
      </c>
      <c r="BR385" t="s">
        <v>84</v>
      </c>
      <c r="BS385" s="3">
        <v>45784</v>
      </c>
      <c r="BT385" s="4">
        <v>0.42499999999999999</v>
      </c>
      <c r="BU385" t="s">
        <v>1029</v>
      </c>
      <c r="BV385" t="s">
        <v>86</v>
      </c>
      <c r="BY385">
        <v>9600</v>
      </c>
      <c r="CA385" t="s">
        <v>108</v>
      </c>
      <c r="CC385" t="s">
        <v>104</v>
      </c>
      <c r="CD385">
        <v>3201</v>
      </c>
      <c r="CE385" t="s">
        <v>116</v>
      </c>
      <c r="CF385" s="3">
        <v>45784</v>
      </c>
      <c r="CI385">
        <v>1</v>
      </c>
      <c r="CJ385">
        <v>1</v>
      </c>
      <c r="CK385">
        <v>21</v>
      </c>
      <c r="CL385" t="s">
        <v>89</v>
      </c>
    </row>
    <row r="386" spans="1:90" x14ac:dyDescent="0.3">
      <c r="A386" t="s">
        <v>72</v>
      </c>
      <c r="B386" t="s">
        <v>73</v>
      </c>
      <c r="C386" t="s">
        <v>74</v>
      </c>
      <c r="E386" t="str">
        <f>"080065195659"</f>
        <v>080065195659</v>
      </c>
      <c r="F386" s="3">
        <v>45783</v>
      </c>
      <c r="G386">
        <v>202602</v>
      </c>
      <c r="H386" t="s">
        <v>75</v>
      </c>
      <c r="I386" t="s">
        <v>76</v>
      </c>
      <c r="J386" t="s">
        <v>77</v>
      </c>
      <c r="K386" t="s">
        <v>78</v>
      </c>
      <c r="L386" t="s">
        <v>75</v>
      </c>
      <c r="M386" t="s">
        <v>76</v>
      </c>
      <c r="N386" t="s">
        <v>1030</v>
      </c>
      <c r="O386" t="s">
        <v>82</v>
      </c>
      <c r="P386" t="str">
        <f>"4170037084                    "</f>
        <v xml:space="preserve">4170037084                    </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17.27</v>
      </c>
      <c r="AR386">
        <v>0</v>
      </c>
      <c r="AS386">
        <v>0</v>
      </c>
      <c r="AT386">
        <v>0</v>
      </c>
      <c r="AU386">
        <v>0</v>
      </c>
      <c r="AV386">
        <v>0</v>
      </c>
      <c r="AW386">
        <v>0</v>
      </c>
      <c r="AX386">
        <v>0</v>
      </c>
      <c r="AY386">
        <v>0</v>
      </c>
      <c r="AZ386">
        <v>0</v>
      </c>
      <c r="BA386">
        <v>0</v>
      </c>
      <c r="BB386">
        <v>0</v>
      </c>
      <c r="BC386">
        <v>0</v>
      </c>
      <c r="BD386">
        <v>0</v>
      </c>
      <c r="BE386">
        <v>0</v>
      </c>
      <c r="BF386">
        <v>0</v>
      </c>
      <c r="BG386">
        <v>0</v>
      </c>
      <c r="BH386">
        <v>1</v>
      </c>
      <c r="BI386">
        <v>1</v>
      </c>
      <c r="BJ386">
        <v>1.1000000000000001</v>
      </c>
      <c r="BK386">
        <v>2</v>
      </c>
      <c r="BL386">
        <v>55.23</v>
      </c>
      <c r="BM386">
        <v>8.2799999999999994</v>
      </c>
      <c r="BN386">
        <v>63.51</v>
      </c>
      <c r="BO386">
        <v>63.51</v>
      </c>
      <c r="BQ386" t="s">
        <v>1031</v>
      </c>
      <c r="BR386" t="s">
        <v>84</v>
      </c>
      <c r="BS386" s="3">
        <v>45784</v>
      </c>
      <c r="BT386" s="4">
        <v>0.29166666666666669</v>
      </c>
      <c r="BU386" t="s">
        <v>1032</v>
      </c>
      <c r="BV386" t="s">
        <v>86</v>
      </c>
      <c r="BY386">
        <v>5320</v>
      </c>
      <c r="CA386" t="s">
        <v>115</v>
      </c>
      <c r="CC386" t="s">
        <v>76</v>
      </c>
      <c r="CD386">
        <v>1600</v>
      </c>
      <c r="CE386" t="s">
        <v>116</v>
      </c>
      <c r="CF386" s="3">
        <v>45784</v>
      </c>
      <c r="CI386">
        <v>1</v>
      </c>
      <c r="CJ386">
        <v>1</v>
      </c>
      <c r="CK386">
        <v>22</v>
      </c>
      <c r="CL386" t="s">
        <v>89</v>
      </c>
    </row>
    <row r="387" spans="1:90" x14ac:dyDescent="0.3">
      <c r="A387" t="s">
        <v>72</v>
      </c>
      <c r="B387" t="s">
        <v>73</v>
      </c>
      <c r="C387" t="s">
        <v>74</v>
      </c>
      <c r="E387" t="str">
        <f>"080065195895"</f>
        <v>080065195895</v>
      </c>
      <c r="F387" s="3">
        <v>45783</v>
      </c>
      <c r="G387">
        <v>202602</v>
      </c>
      <c r="H387" t="s">
        <v>75</v>
      </c>
      <c r="I387" t="s">
        <v>76</v>
      </c>
      <c r="J387" t="s">
        <v>77</v>
      </c>
      <c r="K387" t="s">
        <v>78</v>
      </c>
      <c r="L387" t="s">
        <v>409</v>
      </c>
      <c r="M387" t="s">
        <v>410</v>
      </c>
      <c r="N387" t="s">
        <v>411</v>
      </c>
      <c r="O387" t="s">
        <v>82</v>
      </c>
      <c r="P387" t="str">
        <f>"4170037106                    "</f>
        <v xml:space="preserve">4170037106                    </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178.27</v>
      </c>
      <c r="AR387">
        <v>0</v>
      </c>
      <c r="AS387">
        <v>0</v>
      </c>
      <c r="AT387">
        <v>0</v>
      </c>
      <c r="AU387">
        <v>0</v>
      </c>
      <c r="AV387">
        <v>0</v>
      </c>
      <c r="AW387">
        <v>0</v>
      </c>
      <c r="AX387">
        <v>0</v>
      </c>
      <c r="AY387">
        <v>0</v>
      </c>
      <c r="AZ387">
        <v>0</v>
      </c>
      <c r="BA387">
        <v>0</v>
      </c>
      <c r="BB387">
        <v>0</v>
      </c>
      <c r="BC387">
        <v>0</v>
      </c>
      <c r="BD387">
        <v>0</v>
      </c>
      <c r="BE387">
        <v>0</v>
      </c>
      <c r="BF387">
        <v>0</v>
      </c>
      <c r="BG387">
        <v>0</v>
      </c>
      <c r="BH387">
        <v>1</v>
      </c>
      <c r="BI387">
        <v>5</v>
      </c>
      <c r="BJ387">
        <v>8.9</v>
      </c>
      <c r="BK387">
        <v>9</v>
      </c>
      <c r="BL387">
        <v>570.07000000000005</v>
      </c>
      <c r="BM387">
        <v>85.51</v>
      </c>
      <c r="BN387">
        <v>655.58</v>
      </c>
      <c r="BO387">
        <v>655.58</v>
      </c>
      <c r="BQ387" t="s">
        <v>412</v>
      </c>
      <c r="BR387" t="s">
        <v>84</v>
      </c>
      <c r="BS387" s="3">
        <v>45784</v>
      </c>
      <c r="BT387" s="4">
        <v>0.56388888888888888</v>
      </c>
      <c r="BU387" t="s">
        <v>1033</v>
      </c>
      <c r="BV387" t="s">
        <v>86</v>
      </c>
      <c r="BY387">
        <v>44640</v>
      </c>
      <c r="CA387" t="s">
        <v>414</v>
      </c>
      <c r="CC387" t="s">
        <v>410</v>
      </c>
      <c r="CD387">
        <v>6850</v>
      </c>
      <c r="CE387" t="s">
        <v>96</v>
      </c>
      <c r="CF387" s="3">
        <v>45785</v>
      </c>
      <c r="CI387">
        <v>2</v>
      </c>
      <c r="CJ387">
        <v>1</v>
      </c>
      <c r="CK387">
        <v>23</v>
      </c>
      <c r="CL387" t="s">
        <v>89</v>
      </c>
    </row>
    <row r="388" spans="1:90" x14ac:dyDescent="0.3">
      <c r="A388" t="s">
        <v>72</v>
      </c>
      <c r="B388" t="s">
        <v>73</v>
      </c>
      <c r="C388" t="s">
        <v>74</v>
      </c>
      <c r="E388" t="str">
        <f>"080011507196"</f>
        <v>080011507196</v>
      </c>
      <c r="F388" s="3">
        <v>45783</v>
      </c>
      <c r="G388">
        <v>202602</v>
      </c>
      <c r="H388" t="s">
        <v>463</v>
      </c>
      <c r="I388" t="s">
        <v>464</v>
      </c>
      <c r="J388" t="s">
        <v>1034</v>
      </c>
      <c r="K388" t="s">
        <v>78</v>
      </c>
      <c r="L388" t="s">
        <v>75</v>
      </c>
      <c r="M388" t="s">
        <v>76</v>
      </c>
      <c r="N388" t="s">
        <v>1035</v>
      </c>
      <c r="O388" t="s">
        <v>82</v>
      </c>
      <c r="P388" t="str">
        <f>"ZA1001380949                  "</f>
        <v xml:space="preserve">ZA1001380949                  </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93.92</v>
      </c>
      <c r="AR388">
        <v>0</v>
      </c>
      <c r="AS388">
        <v>0</v>
      </c>
      <c r="AT388">
        <v>0</v>
      </c>
      <c r="AU388">
        <v>0</v>
      </c>
      <c r="AV388">
        <v>0</v>
      </c>
      <c r="AW388">
        <v>0</v>
      </c>
      <c r="AX388">
        <v>0</v>
      </c>
      <c r="AY388">
        <v>0</v>
      </c>
      <c r="AZ388">
        <v>0</v>
      </c>
      <c r="BA388">
        <v>0</v>
      </c>
      <c r="BB388">
        <v>0</v>
      </c>
      <c r="BC388">
        <v>0</v>
      </c>
      <c r="BD388">
        <v>0</v>
      </c>
      <c r="BE388">
        <v>0</v>
      </c>
      <c r="BF388">
        <v>0</v>
      </c>
      <c r="BG388">
        <v>0</v>
      </c>
      <c r="BH388">
        <v>1</v>
      </c>
      <c r="BI388">
        <v>2</v>
      </c>
      <c r="BJ388">
        <v>8.3000000000000007</v>
      </c>
      <c r="BK388">
        <v>8.5</v>
      </c>
      <c r="BL388">
        <v>300.33999999999997</v>
      </c>
      <c r="BM388">
        <v>45.05</v>
      </c>
      <c r="BN388">
        <v>345.39</v>
      </c>
      <c r="BO388">
        <v>345.39</v>
      </c>
      <c r="BP388" t="s">
        <v>1036</v>
      </c>
      <c r="BQ388" t="s">
        <v>1037</v>
      </c>
      <c r="BR388" t="s">
        <v>1038</v>
      </c>
      <c r="BS388" s="3">
        <v>45784</v>
      </c>
      <c r="BT388" s="4">
        <v>0.35625000000000001</v>
      </c>
      <c r="BU388" t="s">
        <v>1039</v>
      </c>
      <c r="BV388" t="s">
        <v>86</v>
      </c>
      <c r="BY388">
        <v>41736</v>
      </c>
      <c r="BZ388" t="s">
        <v>127</v>
      </c>
      <c r="CA388" t="s">
        <v>484</v>
      </c>
      <c r="CC388" t="s">
        <v>76</v>
      </c>
      <c r="CD388">
        <v>1619</v>
      </c>
      <c r="CE388" t="s">
        <v>1040</v>
      </c>
      <c r="CF388" s="3">
        <v>45784</v>
      </c>
      <c r="CI388">
        <v>1</v>
      </c>
      <c r="CJ388">
        <v>1</v>
      </c>
      <c r="CK388">
        <v>21</v>
      </c>
      <c r="CL388" t="s">
        <v>89</v>
      </c>
    </row>
    <row r="389" spans="1:90" x14ac:dyDescent="0.3">
      <c r="A389" t="s">
        <v>72</v>
      </c>
      <c r="B389" t="s">
        <v>73</v>
      </c>
      <c r="C389" t="s">
        <v>74</v>
      </c>
      <c r="E389" t="str">
        <f>"080065197174"</f>
        <v>080065197174</v>
      </c>
      <c r="F389" s="3">
        <v>45783</v>
      </c>
      <c r="G389">
        <v>202602</v>
      </c>
      <c r="H389" t="s">
        <v>75</v>
      </c>
      <c r="I389" t="s">
        <v>76</v>
      </c>
      <c r="J389" t="s">
        <v>77</v>
      </c>
      <c r="K389" t="s">
        <v>78</v>
      </c>
      <c r="L389" t="s">
        <v>75</v>
      </c>
      <c r="M389" t="s">
        <v>76</v>
      </c>
      <c r="N389" t="s">
        <v>346</v>
      </c>
      <c r="O389" t="s">
        <v>82</v>
      </c>
      <c r="P389" t="str">
        <f>"4170037105                    "</f>
        <v xml:space="preserve">4170037105                    </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17.27</v>
      </c>
      <c r="AR389">
        <v>0</v>
      </c>
      <c r="AS389">
        <v>0</v>
      </c>
      <c r="AT389">
        <v>0</v>
      </c>
      <c r="AU389">
        <v>0</v>
      </c>
      <c r="AV389">
        <v>0</v>
      </c>
      <c r="AW389">
        <v>0</v>
      </c>
      <c r="AX389">
        <v>0</v>
      </c>
      <c r="AY389">
        <v>0</v>
      </c>
      <c r="AZ389">
        <v>0</v>
      </c>
      <c r="BA389">
        <v>0</v>
      </c>
      <c r="BB389">
        <v>0</v>
      </c>
      <c r="BC389">
        <v>0</v>
      </c>
      <c r="BD389">
        <v>0</v>
      </c>
      <c r="BE389">
        <v>0</v>
      </c>
      <c r="BF389">
        <v>0</v>
      </c>
      <c r="BG389">
        <v>0</v>
      </c>
      <c r="BH389">
        <v>1</v>
      </c>
      <c r="BI389">
        <v>1</v>
      </c>
      <c r="BJ389">
        <v>0.2</v>
      </c>
      <c r="BK389">
        <v>1</v>
      </c>
      <c r="BL389">
        <v>55.23</v>
      </c>
      <c r="BM389">
        <v>8.2799999999999994</v>
      </c>
      <c r="BN389">
        <v>63.51</v>
      </c>
      <c r="BO389">
        <v>63.51</v>
      </c>
      <c r="BQ389" t="s">
        <v>347</v>
      </c>
      <c r="BR389" t="s">
        <v>84</v>
      </c>
      <c r="BS389" s="3">
        <v>45784</v>
      </c>
      <c r="BT389" s="4">
        <v>0.37847222222222221</v>
      </c>
      <c r="BU389" t="s">
        <v>348</v>
      </c>
      <c r="BV389" t="s">
        <v>86</v>
      </c>
      <c r="BY389">
        <v>1200</v>
      </c>
      <c r="CA389" t="s">
        <v>349</v>
      </c>
      <c r="CC389" t="s">
        <v>76</v>
      </c>
      <c r="CD389">
        <v>1619</v>
      </c>
      <c r="CE389" t="s">
        <v>88</v>
      </c>
      <c r="CF389" s="3">
        <v>45785</v>
      </c>
      <c r="CI389">
        <v>1</v>
      </c>
      <c r="CJ389">
        <v>1</v>
      </c>
      <c r="CK389">
        <v>22</v>
      </c>
      <c r="CL389" t="s">
        <v>89</v>
      </c>
    </row>
    <row r="390" spans="1:90" x14ac:dyDescent="0.3">
      <c r="A390" t="s">
        <v>72</v>
      </c>
      <c r="B390" t="s">
        <v>73</v>
      </c>
      <c r="C390" t="s">
        <v>74</v>
      </c>
      <c r="E390" t="str">
        <f>"080065197187"</f>
        <v>080065197187</v>
      </c>
      <c r="F390" s="3">
        <v>45783</v>
      </c>
      <c r="G390">
        <v>202602</v>
      </c>
      <c r="H390" t="s">
        <v>75</v>
      </c>
      <c r="I390" t="s">
        <v>76</v>
      </c>
      <c r="J390" t="s">
        <v>77</v>
      </c>
      <c r="K390" t="s">
        <v>78</v>
      </c>
      <c r="L390" t="s">
        <v>350</v>
      </c>
      <c r="M390" t="s">
        <v>351</v>
      </c>
      <c r="N390" t="s">
        <v>352</v>
      </c>
      <c r="O390" t="s">
        <v>82</v>
      </c>
      <c r="P390" t="str">
        <f>"4170037107                    "</f>
        <v xml:space="preserve">4170037107                    </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22.11</v>
      </c>
      <c r="AR390">
        <v>0</v>
      </c>
      <c r="AS390">
        <v>0</v>
      </c>
      <c r="AT390">
        <v>0</v>
      </c>
      <c r="AU390">
        <v>0</v>
      </c>
      <c r="AV390">
        <v>0</v>
      </c>
      <c r="AW390">
        <v>0</v>
      </c>
      <c r="AX390">
        <v>0</v>
      </c>
      <c r="AY390">
        <v>0</v>
      </c>
      <c r="AZ390">
        <v>0</v>
      </c>
      <c r="BA390">
        <v>0</v>
      </c>
      <c r="BB390">
        <v>0</v>
      </c>
      <c r="BC390">
        <v>0</v>
      </c>
      <c r="BD390">
        <v>0</v>
      </c>
      <c r="BE390">
        <v>0</v>
      </c>
      <c r="BF390">
        <v>0</v>
      </c>
      <c r="BG390">
        <v>0</v>
      </c>
      <c r="BH390">
        <v>1</v>
      </c>
      <c r="BI390">
        <v>1</v>
      </c>
      <c r="BJ390">
        <v>0.2</v>
      </c>
      <c r="BK390">
        <v>1</v>
      </c>
      <c r="BL390">
        <v>70.709999999999994</v>
      </c>
      <c r="BM390">
        <v>10.61</v>
      </c>
      <c r="BN390">
        <v>81.319999999999993</v>
      </c>
      <c r="BO390">
        <v>81.319999999999993</v>
      </c>
      <c r="BQ390" t="s">
        <v>353</v>
      </c>
      <c r="BR390" t="s">
        <v>84</v>
      </c>
      <c r="BS390" s="3">
        <v>45784</v>
      </c>
      <c r="BT390" s="4">
        <v>0.36041666666666666</v>
      </c>
      <c r="BU390" t="s">
        <v>354</v>
      </c>
      <c r="BV390" t="s">
        <v>86</v>
      </c>
      <c r="BY390">
        <v>1200</v>
      </c>
      <c r="CA390" t="s">
        <v>160</v>
      </c>
      <c r="CC390" t="s">
        <v>351</v>
      </c>
      <c r="CD390">
        <v>4000</v>
      </c>
      <c r="CE390" t="s">
        <v>88</v>
      </c>
      <c r="CF390" s="3">
        <v>45785</v>
      </c>
      <c r="CI390">
        <v>1</v>
      </c>
      <c r="CJ390">
        <v>1</v>
      </c>
      <c r="CK390">
        <v>21</v>
      </c>
      <c r="CL390" t="s">
        <v>89</v>
      </c>
    </row>
    <row r="391" spans="1:90" x14ac:dyDescent="0.3">
      <c r="A391" t="s">
        <v>72</v>
      </c>
      <c r="B391" t="s">
        <v>73</v>
      </c>
      <c r="C391" t="s">
        <v>74</v>
      </c>
      <c r="E391" t="str">
        <f>"080065197213"</f>
        <v>080065197213</v>
      </c>
      <c r="F391" s="3">
        <v>45783</v>
      </c>
      <c r="G391">
        <v>202602</v>
      </c>
      <c r="H391" t="s">
        <v>75</v>
      </c>
      <c r="I391" t="s">
        <v>76</v>
      </c>
      <c r="J391" t="s">
        <v>77</v>
      </c>
      <c r="K391" t="s">
        <v>78</v>
      </c>
      <c r="L391" t="s">
        <v>320</v>
      </c>
      <c r="M391" t="s">
        <v>321</v>
      </c>
      <c r="N391" t="s">
        <v>499</v>
      </c>
      <c r="O391" t="s">
        <v>82</v>
      </c>
      <c r="P391" t="str">
        <f>"4170037118                    "</f>
        <v xml:space="preserve">4170037118                    </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22.11</v>
      </c>
      <c r="AR391">
        <v>0</v>
      </c>
      <c r="AS391">
        <v>0</v>
      </c>
      <c r="AT391">
        <v>0</v>
      </c>
      <c r="AU391">
        <v>0</v>
      </c>
      <c r="AV391">
        <v>0</v>
      </c>
      <c r="AW391">
        <v>0</v>
      </c>
      <c r="AX391">
        <v>0</v>
      </c>
      <c r="AY391">
        <v>0</v>
      </c>
      <c r="AZ391">
        <v>0</v>
      </c>
      <c r="BA391">
        <v>0</v>
      </c>
      <c r="BB391">
        <v>0</v>
      </c>
      <c r="BC391">
        <v>0</v>
      </c>
      <c r="BD391">
        <v>0</v>
      </c>
      <c r="BE391">
        <v>0</v>
      </c>
      <c r="BF391">
        <v>0</v>
      </c>
      <c r="BG391">
        <v>0</v>
      </c>
      <c r="BH391">
        <v>1</v>
      </c>
      <c r="BI391">
        <v>1</v>
      </c>
      <c r="BJ391">
        <v>0.2</v>
      </c>
      <c r="BK391">
        <v>1</v>
      </c>
      <c r="BL391">
        <v>70.709999999999994</v>
      </c>
      <c r="BM391">
        <v>10.61</v>
      </c>
      <c r="BN391">
        <v>81.319999999999993</v>
      </c>
      <c r="BO391">
        <v>81.319999999999993</v>
      </c>
      <c r="BQ391" t="s">
        <v>500</v>
      </c>
      <c r="BR391" t="s">
        <v>84</v>
      </c>
      <c r="BS391" s="3">
        <v>45784</v>
      </c>
      <c r="BT391" s="4">
        <v>0.5</v>
      </c>
      <c r="BU391" t="s">
        <v>623</v>
      </c>
      <c r="BV391" t="s">
        <v>89</v>
      </c>
      <c r="BW391" t="s">
        <v>296</v>
      </c>
      <c r="BX391" t="s">
        <v>325</v>
      </c>
      <c r="BY391">
        <v>1200</v>
      </c>
      <c r="CA391" t="s">
        <v>326</v>
      </c>
      <c r="CC391" t="s">
        <v>321</v>
      </c>
      <c r="CD391">
        <v>4133</v>
      </c>
      <c r="CE391" t="s">
        <v>88</v>
      </c>
      <c r="CF391" s="3">
        <v>45785</v>
      </c>
      <c r="CI391">
        <v>1</v>
      </c>
      <c r="CJ391">
        <v>1</v>
      </c>
      <c r="CK391">
        <v>21</v>
      </c>
      <c r="CL391" t="s">
        <v>89</v>
      </c>
    </row>
    <row r="392" spans="1:90" x14ac:dyDescent="0.3">
      <c r="A392" t="s">
        <v>72</v>
      </c>
      <c r="B392" t="s">
        <v>73</v>
      </c>
      <c r="C392" t="s">
        <v>74</v>
      </c>
      <c r="E392" t="str">
        <f>"080065197237"</f>
        <v>080065197237</v>
      </c>
      <c r="F392" s="3">
        <v>45783</v>
      </c>
      <c r="G392">
        <v>202602</v>
      </c>
      <c r="H392" t="s">
        <v>75</v>
      </c>
      <c r="I392" t="s">
        <v>76</v>
      </c>
      <c r="J392" t="s">
        <v>77</v>
      </c>
      <c r="K392" t="s">
        <v>78</v>
      </c>
      <c r="L392" t="s">
        <v>90</v>
      </c>
      <c r="M392" t="s">
        <v>91</v>
      </c>
      <c r="N392" t="s">
        <v>1041</v>
      </c>
      <c r="O392" t="s">
        <v>82</v>
      </c>
      <c r="P392" t="str">
        <f>"4170037111                    "</f>
        <v xml:space="preserve">4170037111                    </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22.11</v>
      </c>
      <c r="AR392">
        <v>0</v>
      </c>
      <c r="AS392">
        <v>0</v>
      </c>
      <c r="AT392">
        <v>0</v>
      </c>
      <c r="AU392">
        <v>0</v>
      </c>
      <c r="AV392">
        <v>0</v>
      </c>
      <c r="AW392">
        <v>0</v>
      </c>
      <c r="AX392">
        <v>0</v>
      </c>
      <c r="AY392">
        <v>0</v>
      </c>
      <c r="AZ392">
        <v>0</v>
      </c>
      <c r="BA392">
        <v>0</v>
      </c>
      <c r="BB392">
        <v>0</v>
      </c>
      <c r="BC392">
        <v>0</v>
      </c>
      <c r="BD392">
        <v>0</v>
      </c>
      <c r="BE392">
        <v>0</v>
      </c>
      <c r="BF392">
        <v>0</v>
      </c>
      <c r="BG392">
        <v>0</v>
      </c>
      <c r="BH392">
        <v>1</v>
      </c>
      <c r="BI392">
        <v>1</v>
      </c>
      <c r="BJ392">
        <v>0.2</v>
      </c>
      <c r="BK392">
        <v>1</v>
      </c>
      <c r="BL392">
        <v>70.709999999999994</v>
      </c>
      <c r="BM392">
        <v>10.61</v>
      </c>
      <c r="BN392">
        <v>81.319999999999993</v>
      </c>
      <c r="BO392">
        <v>81.319999999999993</v>
      </c>
      <c r="BQ392" t="s">
        <v>1042</v>
      </c>
      <c r="BR392" t="s">
        <v>84</v>
      </c>
      <c r="BS392" s="3">
        <v>45784</v>
      </c>
      <c r="BT392" s="4">
        <v>0.44097222222222221</v>
      </c>
      <c r="BU392" t="s">
        <v>1043</v>
      </c>
      <c r="BV392" t="s">
        <v>89</v>
      </c>
      <c r="BW392" t="s">
        <v>296</v>
      </c>
      <c r="BX392" t="s">
        <v>297</v>
      </c>
      <c r="BY392">
        <v>1200</v>
      </c>
      <c r="CA392" t="s">
        <v>298</v>
      </c>
      <c r="CC392" t="s">
        <v>91</v>
      </c>
      <c r="CD392">
        <v>6001</v>
      </c>
      <c r="CE392" t="s">
        <v>88</v>
      </c>
      <c r="CF392" s="3">
        <v>45784</v>
      </c>
      <c r="CI392">
        <v>1</v>
      </c>
      <c r="CJ392">
        <v>1</v>
      </c>
      <c r="CK392">
        <v>21</v>
      </c>
      <c r="CL392" t="s">
        <v>89</v>
      </c>
    </row>
    <row r="393" spans="1:90" x14ac:dyDescent="0.3">
      <c r="A393" t="s">
        <v>72</v>
      </c>
      <c r="B393" t="s">
        <v>73</v>
      </c>
      <c r="C393" t="s">
        <v>74</v>
      </c>
      <c r="E393" t="str">
        <f>"080065197270"</f>
        <v>080065197270</v>
      </c>
      <c r="F393" s="3">
        <v>45783</v>
      </c>
      <c r="G393">
        <v>202602</v>
      </c>
      <c r="H393" t="s">
        <v>75</v>
      </c>
      <c r="I393" t="s">
        <v>76</v>
      </c>
      <c r="J393" t="s">
        <v>77</v>
      </c>
      <c r="K393" t="s">
        <v>78</v>
      </c>
      <c r="L393" t="s">
        <v>972</v>
      </c>
      <c r="M393" t="s">
        <v>973</v>
      </c>
      <c r="N393" t="s">
        <v>1044</v>
      </c>
      <c r="O393" t="s">
        <v>82</v>
      </c>
      <c r="P393" t="str">
        <f>"4170037018                    "</f>
        <v xml:space="preserve">4170037018                    </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17.27</v>
      </c>
      <c r="AR393">
        <v>0</v>
      </c>
      <c r="AS393">
        <v>0</v>
      </c>
      <c r="AT393">
        <v>0</v>
      </c>
      <c r="AU393">
        <v>0</v>
      </c>
      <c r="AV393">
        <v>0</v>
      </c>
      <c r="AW393">
        <v>0</v>
      </c>
      <c r="AX393">
        <v>0</v>
      </c>
      <c r="AY393">
        <v>0</v>
      </c>
      <c r="AZ393">
        <v>0</v>
      </c>
      <c r="BA393">
        <v>0</v>
      </c>
      <c r="BB393">
        <v>0</v>
      </c>
      <c r="BC393">
        <v>0</v>
      </c>
      <c r="BD393">
        <v>0</v>
      </c>
      <c r="BE393">
        <v>0</v>
      </c>
      <c r="BF393">
        <v>0</v>
      </c>
      <c r="BG393">
        <v>0</v>
      </c>
      <c r="BH393">
        <v>1</v>
      </c>
      <c r="BI393">
        <v>4</v>
      </c>
      <c r="BJ393">
        <v>3.8</v>
      </c>
      <c r="BK393">
        <v>4</v>
      </c>
      <c r="BL393">
        <v>55.23</v>
      </c>
      <c r="BM393">
        <v>8.2799999999999994</v>
      </c>
      <c r="BN393">
        <v>63.51</v>
      </c>
      <c r="BO393">
        <v>63.51</v>
      </c>
      <c r="BQ393" t="s">
        <v>1025</v>
      </c>
      <c r="BR393" t="s">
        <v>84</v>
      </c>
      <c r="BS393" s="3">
        <v>45784</v>
      </c>
      <c r="BT393" s="4">
        <v>0.40972222222222221</v>
      </c>
      <c r="BU393" t="s">
        <v>1045</v>
      </c>
      <c r="BV393" t="s">
        <v>86</v>
      </c>
      <c r="BY393">
        <v>19152</v>
      </c>
      <c r="CA393" t="s">
        <v>981</v>
      </c>
      <c r="CC393" t="s">
        <v>973</v>
      </c>
      <c r="CD393">
        <v>1724</v>
      </c>
      <c r="CE393" t="s">
        <v>221</v>
      </c>
      <c r="CF393" s="3">
        <v>45784</v>
      </c>
      <c r="CI393">
        <v>1</v>
      </c>
      <c r="CJ393">
        <v>1</v>
      </c>
      <c r="CK393">
        <v>22</v>
      </c>
      <c r="CL393" t="s">
        <v>89</v>
      </c>
    </row>
    <row r="394" spans="1:90" x14ac:dyDescent="0.3">
      <c r="A394" t="s">
        <v>72</v>
      </c>
      <c r="B394" t="s">
        <v>73</v>
      </c>
      <c r="C394" t="s">
        <v>74</v>
      </c>
      <c r="E394" t="str">
        <f>"080065197359"</f>
        <v>080065197359</v>
      </c>
      <c r="F394" s="3">
        <v>45783</v>
      </c>
      <c r="G394">
        <v>202602</v>
      </c>
      <c r="H394" t="s">
        <v>75</v>
      </c>
      <c r="I394" t="s">
        <v>76</v>
      </c>
      <c r="J394" t="s">
        <v>77</v>
      </c>
      <c r="K394" t="s">
        <v>78</v>
      </c>
      <c r="L394" t="s">
        <v>350</v>
      </c>
      <c r="M394" t="s">
        <v>351</v>
      </c>
      <c r="N394" t="s">
        <v>459</v>
      </c>
      <c r="O394" t="s">
        <v>82</v>
      </c>
      <c r="P394" t="str">
        <f>"4170037079                    "</f>
        <v xml:space="preserve">4170037079                    </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22.11</v>
      </c>
      <c r="AR394">
        <v>0</v>
      </c>
      <c r="AS394">
        <v>0</v>
      </c>
      <c r="AT394">
        <v>0</v>
      </c>
      <c r="AU394">
        <v>0</v>
      </c>
      <c r="AV394">
        <v>0</v>
      </c>
      <c r="AW394">
        <v>0</v>
      </c>
      <c r="AX394">
        <v>0</v>
      </c>
      <c r="AY394">
        <v>0</v>
      </c>
      <c r="AZ394">
        <v>0</v>
      </c>
      <c r="BA394">
        <v>0</v>
      </c>
      <c r="BB394">
        <v>0</v>
      </c>
      <c r="BC394">
        <v>0</v>
      </c>
      <c r="BD394">
        <v>0</v>
      </c>
      <c r="BE394">
        <v>0</v>
      </c>
      <c r="BF394">
        <v>0</v>
      </c>
      <c r="BG394">
        <v>0</v>
      </c>
      <c r="BH394">
        <v>1</v>
      </c>
      <c r="BI394">
        <v>2</v>
      </c>
      <c r="BJ394">
        <v>1.5</v>
      </c>
      <c r="BK394">
        <v>2</v>
      </c>
      <c r="BL394">
        <v>70.709999999999994</v>
      </c>
      <c r="BM394">
        <v>10.61</v>
      </c>
      <c r="BN394">
        <v>81.319999999999993</v>
      </c>
      <c r="BO394">
        <v>81.319999999999993</v>
      </c>
      <c r="BQ394" t="s">
        <v>460</v>
      </c>
      <c r="BR394" t="s">
        <v>84</v>
      </c>
      <c r="BS394" s="3">
        <v>45784</v>
      </c>
      <c r="BT394" s="4">
        <v>0.32847222222222222</v>
      </c>
      <c r="BU394" t="s">
        <v>461</v>
      </c>
      <c r="BV394" t="s">
        <v>86</v>
      </c>
      <c r="BY394">
        <v>7392</v>
      </c>
      <c r="CA394" t="s">
        <v>462</v>
      </c>
      <c r="CC394" t="s">
        <v>351</v>
      </c>
      <c r="CD394">
        <v>4051</v>
      </c>
      <c r="CE394" t="s">
        <v>221</v>
      </c>
      <c r="CF394" s="3">
        <v>45785</v>
      </c>
      <c r="CI394">
        <v>1</v>
      </c>
      <c r="CJ394">
        <v>1</v>
      </c>
      <c r="CK394">
        <v>21</v>
      </c>
      <c r="CL394" t="s">
        <v>89</v>
      </c>
    </row>
    <row r="395" spans="1:90" x14ac:dyDescent="0.3">
      <c r="A395" t="s">
        <v>72</v>
      </c>
      <c r="B395" t="s">
        <v>73</v>
      </c>
      <c r="C395" t="s">
        <v>74</v>
      </c>
      <c r="E395" t="str">
        <f>"080065197388"</f>
        <v>080065197388</v>
      </c>
      <c r="F395" s="3">
        <v>45783</v>
      </c>
      <c r="G395">
        <v>202602</v>
      </c>
      <c r="H395" t="s">
        <v>75</v>
      </c>
      <c r="I395" t="s">
        <v>76</v>
      </c>
      <c r="J395" t="s">
        <v>77</v>
      </c>
      <c r="K395" t="s">
        <v>78</v>
      </c>
      <c r="L395" t="s">
        <v>350</v>
      </c>
      <c r="M395" t="s">
        <v>351</v>
      </c>
      <c r="N395" t="s">
        <v>352</v>
      </c>
      <c r="O395" t="s">
        <v>300</v>
      </c>
      <c r="P395" t="str">
        <f>"4170037104                    "</f>
        <v xml:space="preserve">4170037104                    </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42.76</v>
      </c>
      <c r="AR395">
        <v>0</v>
      </c>
      <c r="AS395">
        <v>0</v>
      </c>
      <c r="AT395">
        <v>0</v>
      </c>
      <c r="AU395">
        <v>0</v>
      </c>
      <c r="AV395">
        <v>0</v>
      </c>
      <c r="AW395">
        <v>0</v>
      </c>
      <c r="AX395">
        <v>0</v>
      </c>
      <c r="AY395">
        <v>0</v>
      </c>
      <c r="AZ395">
        <v>0</v>
      </c>
      <c r="BA395">
        <v>0</v>
      </c>
      <c r="BB395">
        <v>0</v>
      </c>
      <c r="BC395">
        <v>0</v>
      </c>
      <c r="BD395">
        <v>0</v>
      </c>
      <c r="BE395">
        <v>0</v>
      </c>
      <c r="BF395">
        <v>0</v>
      </c>
      <c r="BG395">
        <v>0</v>
      </c>
      <c r="BH395">
        <v>1</v>
      </c>
      <c r="BI395">
        <v>4</v>
      </c>
      <c r="BJ395">
        <v>2.6</v>
      </c>
      <c r="BK395">
        <v>4</v>
      </c>
      <c r="BL395">
        <v>142.31</v>
      </c>
      <c r="BM395">
        <v>21.35</v>
      </c>
      <c r="BN395">
        <v>163.66</v>
      </c>
      <c r="BO395">
        <v>163.66</v>
      </c>
      <c r="BQ395" t="s">
        <v>353</v>
      </c>
      <c r="BR395" t="s">
        <v>84</v>
      </c>
      <c r="BS395" s="3">
        <v>45784</v>
      </c>
      <c r="BT395" s="4">
        <v>0.49027777777777776</v>
      </c>
      <c r="BU395" t="s">
        <v>623</v>
      </c>
      <c r="BV395" t="s">
        <v>86</v>
      </c>
      <c r="BY395">
        <v>12768</v>
      </c>
      <c r="CA395" t="s">
        <v>1046</v>
      </c>
      <c r="CC395" t="s">
        <v>351</v>
      </c>
      <c r="CD395">
        <v>4000</v>
      </c>
      <c r="CE395" t="s">
        <v>1047</v>
      </c>
      <c r="CF395" s="3">
        <v>45785</v>
      </c>
      <c r="CI395">
        <v>1</v>
      </c>
      <c r="CJ395">
        <v>1</v>
      </c>
      <c r="CK395">
        <v>41</v>
      </c>
      <c r="CL395" t="s">
        <v>89</v>
      </c>
    </row>
    <row r="396" spans="1:90" x14ac:dyDescent="0.3">
      <c r="A396" t="s">
        <v>72</v>
      </c>
      <c r="B396" t="s">
        <v>73</v>
      </c>
      <c r="C396" t="s">
        <v>74</v>
      </c>
      <c r="E396" t="str">
        <f>"080065197495"</f>
        <v>080065197495</v>
      </c>
      <c r="F396" s="3">
        <v>45783</v>
      </c>
      <c r="G396">
        <v>202602</v>
      </c>
      <c r="H396" t="s">
        <v>75</v>
      </c>
      <c r="I396" t="s">
        <v>76</v>
      </c>
      <c r="J396" t="s">
        <v>77</v>
      </c>
      <c r="K396" t="s">
        <v>78</v>
      </c>
      <c r="L396" t="s">
        <v>75</v>
      </c>
      <c r="M396" t="s">
        <v>76</v>
      </c>
      <c r="N396" t="s">
        <v>601</v>
      </c>
      <c r="O396" t="s">
        <v>300</v>
      </c>
      <c r="P396" t="str">
        <f>"4170037101                    "</f>
        <v xml:space="preserve">4170037101                    </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136.21</v>
      </c>
      <c r="AR396">
        <v>0</v>
      </c>
      <c r="AS396">
        <v>0</v>
      </c>
      <c r="AT396">
        <v>0</v>
      </c>
      <c r="AU396">
        <v>0</v>
      </c>
      <c r="AV396">
        <v>0</v>
      </c>
      <c r="AW396">
        <v>0</v>
      </c>
      <c r="AX396">
        <v>0</v>
      </c>
      <c r="AY396">
        <v>0</v>
      </c>
      <c r="AZ396">
        <v>0</v>
      </c>
      <c r="BA396">
        <v>0</v>
      </c>
      <c r="BB396">
        <v>0</v>
      </c>
      <c r="BC396">
        <v>0</v>
      </c>
      <c r="BD396">
        <v>0</v>
      </c>
      <c r="BE396">
        <v>0</v>
      </c>
      <c r="BF396">
        <v>0</v>
      </c>
      <c r="BG396">
        <v>0</v>
      </c>
      <c r="BH396">
        <v>1</v>
      </c>
      <c r="BI396">
        <v>60</v>
      </c>
      <c r="BJ396">
        <v>121.2</v>
      </c>
      <c r="BK396">
        <v>122</v>
      </c>
      <c r="BL396">
        <v>441.14</v>
      </c>
      <c r="BM396">
        <v>66.17</v>
      </c>
      <c r="BN396">
        <v>507.31</v>
      </c>
      <c r="BO396">
        <v>507.31</v>
      </c>
      <c r="BQ396" t="s">
        <v>603</v>
      </c>
      <c r="BR396" t="s">
        <v>84</v>
      </c>
      <c r="BS396" s="3">
        <v>45785</v>
      </c>
      <c r="BT396" s="4">
        <v>0.5</v>
      </c>
      <c r="BU396" t="s">
        <v>1048</v>
      </c>
      <c r="BV396" t="s">
        <v>89</v>
      </c>
      <c r="BW396" t="s">
        <v>148</v>
      </c>
      <c r="BX396" t="s">
        <v>858</v>
      </c>
      <c r="BY396">
        <v>605880</v>
      </c>
      <c r="CA396" t="s">
        <v>1049</v>
      </c>
      <c r="CC396" t="s">
        <v>76</v>
      </c>
      <c r="CD396">
        <v>1645</v>
      </c>
      <c r="CE396" t="s">
        <v>546</v>
      </c>
      <c r="CF396" s="3">
        <v>45785</v>
      </c>
      <c r="CI396">
        <v>1</v>
      </c>
      <c r="CJ396">
        <v>2</v>
      </c>
      <c r="CK396">
        <v>42</v>
      </c>
      <c r="CL396" t="s">
        <v>89</v>
      </c>
    </row>
    <row r="397" spans="1:90" x14ac:dyDescent="0.3">
      <c r="A397" t="s">
        <v>72</v>
      </c>
      <c r="B397" t="s">
        <v>73</v>
      </c>
      <c r="C397" t="s">
        <v>74</v>
      </c>
      <c r="E397" t="str">
        <f>"080065197752"</f>
        <v>080065197752</v>
      </c>
      <c r="F397" s="3">
        <v>45783</v>
      </c>
      <c r="G397">
        <v>202602</v>
      </c>
      <c r="H397" t="s">
        <v>75</v>
      </c>
      <c r="I397" t="s">
        <v>76</v>
      </c>
      <c r="J397" t="s">
        <v>77</v>
      </c>
      <c r="K397" t="s">
        <v>78</v>
      </c>
      <c r="L397" t="s">
        <v>672</v>
      </c>
      <c r="M397" t="s">
        <v>673</v>
      </c>
      <c r="N397" t="s">
        <v>674</v>
      </c>
      <c r="O397" t="s">
        <v>82</v>
      </c>
      <c r="P397" t="str">
        <f>"4170037116                    "</f>
        <v xml:space="preserve">4170037116                    </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42.84</v>
      </c>
      <c r="AR397">
        <v>0</v>
      </c>
      <c r="AS397">
        <v>0</v>
      </c>
      <c r="AT397">
        <v>0</v>
      </c>
      <c r="AU397">
        <v>0</v>
      </c>
      <c r="AV397">
        <v>0</v>
      </c>
      <c r="AW397">
        <v>0</v>
      </c>
      <c r="AX397">
        <v>0</v>
      </c>
      <c r="AY397">
        <v>0</v>
      </c>
      <c r="AZ397">
        <v>0</v>
      </c>
      <c r="BA397">
        <v>0</v>
      </c>
      <c r="BB397">
        <v>0</v>
      </c>
      <c r="BC397">
        <v>0</v>
      </c>
      <c r="BD397">
        <v>0</v>
      </c>
      <c r="BE397">
        <v>0</v>
      </c>
      <c r="BF397">
        <v>0</v>
      </c>
      <c r="BG397">
        <v>0</v>
      </c>
      <c r="BH397">
        <v>1</v>
      </c>
      <c r="BI397">
        <v>1</v>
      </c>
      <c r="BJ397">
        <v>0.2</v>
      </c>
      <c r="BK397">
        <v>1</v>
      </c>
      <c r="BL397">
        <v>137</v>
      </c>
      <c r="BM397">
        <v>20.55</v>
      </c>
      <c r="BN397">
        <v>157.55000000000001</v>
      </c>
      <c r="BO397">
        <v>157.55000000000001</v>
      </c>
      <c r="BQ397" t="s">
        <v>675</v>
      </c>
      <c r="BR397" t="s">
        <v>84</v>
      </c>
      <c r="BS397" s="3">
        <v>45784</v>
      </c>
      <c r="BT397" s="4">
        <v>0.40347222222222223</v>
      </c>
      <c r="BU397" t="s">
        <v>676</v>
      </c>
      <c r="BV397" t="s">
        <v>86</v>
      </c>
      <c r="BY397">
        <v>1200</v>
      </c>
      <c r="CA397" t="s">
        <v>677</v>
      </c>
      <c r="CC397" t="s">
        <v>673</v>
      </c>
      <c r="CD397">
        <v>2531</v>
      </c>
      <c r="CE397" t="s">
        <v>88</v>
      </c>
      <c r="CF397" s="3">
        <v>45785</v>
      </c>
      <c r="CI397">
        <v>1</v>
      </c>
      <c r="CJ397">
        <v>1</v>
      </c>
      <c r="CK397">
        <v>23</v>
      </c>
      <c r="CL397" t="s">
        <v>89</v>
      </c>
    </row>
    <row r="398" spans="1:90" x14ac:dyDescent="0.3">
      <c r="A398" t="s">
        <v>72</v>
      </c>
      <c r="B398" t="s">
        <v>73</v>
      </c>
      <c r="C398" t="s">
        <v>74</v>
      </c>
      <c r="E398" t="str">
        <f>"080065197777"</f>
        <v>080065197777</v>
      </c>
      <c r="F398" s="3">
        <v>45783</v>
      </c>
      <c r="G398">
        <v>202602</v>
      </c>
      <c r="H398" t="s">
        <v>75</v>
      </c>
      <c r="I398" t="s">
        <v>76</v>
      </c>
      <c r="J398" t="s">
        <v>77</v>
      </c>
      <c r="K398" t="s">
        <v>78</v>
      </c>
      <c r="L398" t="s">
        <v>463</v>
      </c>
      <c r="M398" t="s">
        <v>464</v>
      </c>
      <c r="N398" t="s">
        <v>883</v>
      </c>
      <c r="O398" t="s">
        <v>82</v>
      </c>
      <c r="P398" t="str">
        <f>"4170037127                    "</f>
        <v xml:space="preserve">4170037127                    </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22.11</v>
      </c>
      <c r="AR398">
        <v>0</v>
      </c>
      <c r="AS398">
        <v>0</v>
      </c>
      <c r="AT398">
        <v>0</v>
      </c>
      <c r="AU398">
        <v>0</v>
      </c>
      <c r="AV398">
        <v>0</v>
      </c>
      <c r="AW398">
        <v>0</v>
      </c>
      <c r="AX398">
        <v>0</v>
      </c>
      <c r="AY398">
        <v>0</v>
      </c>
      <c r="AZ398">
        <v>0</v>
      </c>
      <c r="BA398">
        <v>0</v>
      </c>
      <c r="BB398">
        <v>0</v>
      </c>
      <c r="BC398">
        <v>0</v>
      </c>
      <c r="BD398">
        <v>0</v>
      </c>
      <c r="BE398">
        <v>0</v>
      </c>
      <c r="BF398">
        <v>0</v>
      </c>
      <c r="BG398">
        <v>0</v>
      </c>
      <c r="BH398">
        <v>1</v>
      </c>
      <c r="BI398">
        <v>1</v>
      </c>
      <c r="BJ398">
        <v>0.2</v>
      </c>
      <c r="BK398">
        <v>1</v>
      </c>
      <c r="BL398">
        <v>70.709999999999994</v>
      </c>
      <c r="BM398">
        <v>10.61</v>
      </c>
      <c r="BN398">
        <v>81.319999999999993</v>
      </c>
      <c r="BO398">
        <v>81.319999999999993</v>
      </c>
      <c r="BQ398" t="s">
        <v>884</v>
      </c>
      <c r="BR398" t="s">
        <v>84</v>
      </c>
      <c r="BS398" s="3">
        <v>45784</v>
      </c>
      <c r="BT398" s="4">
        <v>0.52083333333333337</v>
      </c>
      <c r="BU398" t="s">
        <v>885</v>
      </c>
      <c r="BV398" t="s">
        <v>89</v>
      </c>
      <c r="BY398">
        <v>1200</v>
      </c>
      <c r="CC398" t="s">
        <v>464</v>
      </c>
      <c r="CD398">
        <v>5201</v>
      </c>
      <c r="CE398" t="s">
        <v>88</v>
      </c>
      <c r="CF398" s="3">
        <v>45785</v>
      </c>
      <c r="CI398">
        <v>1</v>
      </c>
      <c r="CJ398">
        <v>1</v>
      </c>
      <c r="CK398">
        <v>21</v>
      </c>
      <c r="CL398" t="s">
        <v>89</v>
      </c>
    </row>
    <row r="399" spans="1:90" x14ac:dyDescent="0.3">
      <c r="A399" t="s">
        <v>72</v>
      </c>
      <c r="B399" t="s">
        <v>73</v>
      </c>
      <c r="C399" t="s">
        <v>74</v>
      </c>
      <c r="E399" t="str">
        <f>"080065197796"</f>
        <v>080065197796</v>
      </c>
      <c r="F399" s="3">
        <v>45783</v>
      </c>
      <c r="G399">
        <v>202602</v>
      </c>
      <c r="H399" t="s">
        <v>75</v>
      </c>
      <c r="I399" t="s">
        <v>76</v>
      </c>
      <c r="J399" t="s">
        <v>77</v>
      </c>
      <c r="K399" t="s">
        <v>78</v>
      </c>
      <c r="L399" t="s">
        <v>130</v>
      </c>
      <c r="M399" t="s">
        <v>131</v>
      </c>
      <c r="N399" t="s">
        <v>709</v>
      </c>
      <c r="O399" t="s">
        <v>82</v>
      </c>
      <c r="P399" t="str">
        <f>"4170037128                    "</f>
        <v xml:space="preserve">4170037128                    </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22.11</v>
      </c>
      <c r="AR399">
        <v>0</v>
      </c>
      <c r="AS399">
        <v>0</v>
      </c>
      <c r="AT399">
        <v>0</v>
      </c>
      <c r="AU399">
        <v>0</v>
      </c>
      <c r="AV399">
        <v>0</v>
      </c>
      <c r="AW399">
        <v>0</v>
      </c>
      <c r="AX399">
        <v>0</v>
      </c>
      <c r="AY399">
        <v>0</v>
      </c>
      <c r="AZ399">
        <v>0</v>
      </c>
      <c r="BA399">
        <v>0</v>
      </c>
      <c r="BB399">
        <v>0</v>
      </c>
      <c r="BC399">
        <v>0</v>
      </c>
      <c r="BD399">
        <v>0</v>
      </c>
      <c r="BE399">
        <v>0</v>
      </c>
      <c r="BF399">
        <v>0</v>
      </c>
      <c r="BG399">
        <v>0</v>
      </c>
      <c r="BH399">
        <v>1</v>
      </c>
      <c r="BI399">
        <v>1</v>
      </c>
      <c r="BJ399">
        <v>0.2</v>
      </c>
      <c r="BK399">
        <v>1</v>
      </c>
      <c r="BL399">
        <v>70.709999999999994</v>
      </c>
      <c r="BM399">
        <v>10.61</v>
      </c>
      <c r="BN399">
        <v>81.319999999999993</v>
      </c>
      <c r="BO399">
        <v>81.319999999999993</v>
      </c>
      <c r="BQ399" t="s">
        <v>710</v>
      </c>
      <c r="BR399" t="s">
        <v>84</v>
      </c>
      <c r="BS399" s="3">
        <v>45784</v>
      </c>
      <c r="BT399" s="4">
        <v>0.33333333333333331</v>
      </c>
      <c r="BU399" t="s">
        <v>1050</v>
      </c>
      <c r="BV399" t="s">
        <v>86</v>
      </c>
      <c r="BY399">
        <v>1200</v>
      </c>
      <c r="CC399" t="s">
        <v>131</v>
      </c>
      <c r="CD399">
        <v>7530</v>
      </c>
      <c r="CE399" t="s">
        <v>88</v>
      </c>
      <c r="CF399" s="3">
        <v>45785</v>
      </c>
      <c r="CI399">
        <v>1</v>
      </c>
      <c r="CJ399">
        <v>1</v>
      </c>
      <c r="CK399">
        <v>21</v>
      </c>
      <c r="CL399" t="s">
        <v>89</v>
      </c>
    </row>
    <row r="400" spans="1:90" x14ac:dyDescent="0.3">
      <c r="A400" t="s">
        <v>72</v>
      </c>
      <c r="B400" t="s">
        <v>73</v>
      </c>
      <c r="C400" t="s">
        <v>74</v>
      </c>
      <c r="E400" t="str">
        <f>"080065197815"</f>
        <v>080065197815</v>
      </c>
      <c r="F400" s="3">
        <v>45783</v>
      </c>
      <c r="G400">
        <v>202602</v>
      </c>
      <c r="H400" t="s">
        <v>75</v>
      </c>
      <c r="I400" t="s">
        <v>76</v>
      </c>
      <c r="J400" t="s">
        <v>77</v>
      </c>
      <c r="K400" t="s">
        <v>78</v>
      </c>
      <c r="L400" t="s">
        <v>90</v>
      </c>
      <c r="M400" t="s">
        <v>91</v>
      </c>
      <c r="N400" t="s">
        <v>109</v>
      </c>
      <c r="O400" t="s">
        <v>82</v>
      </c>
      <c r="P400" t="str">
        <f>"4170037112                    "</f>
        <v xml:space="preserve">4170037112                    </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22.11</v>
      </c>
      <c r="AR400">
        <v>0</v>
      </c>
      <c r="AS400">
        <v>0</v>
      </c>
      <c r="AT400">
        <v>0</v>
      </c>
      <c r="AU400">
        <v>0</v>
      </c>
      <c r="AV400">
        <v>0</v>
      </c>
      <c r="AW400">
        <v>0</v>
      </c>
      <c r="AX400">
        <v>0</v>
      </c>
      <c r="AY400">
        <v>0</v>
      </c>
      <c r="AZ400">
        <v>0</v>
      </c>
      <c r="BA400">
        <v>0</v>
      </c>
      <c r="BB400">
        <v>0</v>
      </c>
      <c r="BC400">
        <v>0</v>
      </c>
      <c r="BD400">
        <v>0</v>
      </c>
      <c r="BE400">
        <v>0</v>
      </c>
      <c r="BF400">
        <v>0</v>
      </c>
      <c r="BG400">
        <v>0</v>
      </c>
      <c r="BH400">
        <v>1</v>
      </c>
      <c r="BI400">
        <v>1</v>
      </c>
      <c r="BJ400">
        <v>0.2</v>
      </c>
      <c r="BK400">
        <v>1</v>
      </c>
      <c r="BL400">
        <v>70.709999999999994</v>
      </c>
      <c r="BM400">
        <v>10.61</v>
      </c>
      <c r="BN400">
        <v>81.319999999999993</v>
      </c>
      <c r="BO400">
        <v>81.319999999999993</v>
      </c>
      <c r="BQ400" t="s">
        <v>110</v>
      </c>
      <c r="BR400" t="s">
        <v>84</v>
      </c>
      <c r="BS400" s="3">
        <v>45784</v>
      </c>
      <c r="BT400" s="4">
        <v>0.42430555555555555</v>
      </c>
      <c r="BU400" t="s">
        <v>111</v>
      </c>
      <c r="BV400" t="s">
        <v>86</v>
      </c>
      <c r="BY400">
        <v>1200</v>
      </c>
      <c r="CA400" t="s">
        <v>95</v>
      </c>
      <c r="CC400" t="s">
        <v>91</v>
      </c>
      <c r="CD400">
        <v>6001</v>
      </c>
      <c r="CE400" t="s">
        <v>88</v>
      </c>
      <c r="CF400" s="3">
        <v>45784</v>
      </c>
      <c r="CI400">
        <v>1</v>
      </c>
      <c r="CJ400">
        <v>1</v>
      </c>
      <c r="CK400">
        <v>21</v>
      </c>
      <c r="CL400" t="s">
        <v>89</v>
      </c>
    </row>
    <row r="401" spans="1:90" x14ac:dyDescent="0.3">
      <c r="A401" t="s">
        <v>72</v>
      </c>
      <c r="B401" t="s">
        <v>73</v>
      </c>
      <c r="C401" t="s">
        <v>74</v>
      </c>
      <c r="E401" t="str">
        <f>"080065197866"</f>
        <v>080065197866</v>
      </c>
      <c r="F401" s="3">
        <v>45783</v>
      </c>
      <c r="G401">
        <v>202602</v>
      </c>
      <c r="H401" t="s">
        <v>75</v>
      </c>
      <c r="I401" t="s">
        <v>76</v>
      </c>
      <c r="J401" t="s">
        <v>77</v>
      </c>
      <c r="K401" t="s">
        <v>78</v>
      </c>
      <c r="L401" t="s">
        <v>123</v>
      </c>
      <c r="M401" t="s">
        <v>123</v>
      </c>
      <c r="N401" t="s">
        <v>766</v>
      </c>
      <c r="O401" t="s">
        <v>82</v>
      </c>
      <c r="P401" t="str">
        <f>"4170037110                    "</f>
        <v xml:space="preserve">4170037110                    </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42.84</v>
      </c>
      <c r="AR401">
        <v>0</v>
      </c>
      <c r="AS401">
        <v>0</v>
      </c>
      <c r="AT401">
        <v>0</v>
      </c>
      <c r="AU401">
        <v>0</v>
      </c>
      <c r="AV401">
        <v>0</v>
      </c>
      <c r="AW401">
        <v>0</v>
      </c>
      <c r="AX401">
        <v>0</v>
      </c>
      <c r="AY401">
        <v>0</v>
      </c>
      <c r="AZ401">
        <v>0</v>
      </c>
      <c r="BA401">
        <v>0</v>
      </c>
      <c r="BB401">
        <v>0</v>
      </c>
      <c r="BC401">
        <v>0</v>
      </c>
      <c r="BD401">
        <v>0</v>
      </c>
      <c r="BE401">
        <v>0</v>
      </c>
      <c r="BF401">
        <v>0</v>
      </c>
      <c r="BG401">
        <v>0</v>
      </c>
      <c r="BH401">
        <v>1</v>
      </c>
      <c r="BI401">
        <v>2</v>
      </c>
      <c r="BJ401">
        <v>0.9</v>
      </c>
      <c r="BK401">
        <v>2</v>
      </c>
      <c r="BL401">
        <v>137</v>
      </c>
      <c r="BM401">
        <v>20.55</v>
      </c>
      <c r="BN401">
        <v>157.55000000000001</v>
      </c>
      <c r="BO401">
        <v>157.55000000000001</v>
      </c>
      <c r="BQ401" t="s">
        <v>767</v>
      </c>
      <c r="BR401" t="s">
        <v>84</v>
      </c>
      <c r="BS401" s="3">
        <v>45784</v>
      </c>
      <c r="BT401" s="4">
        <v>0.53472222222222221</v>
      </c>
      <c r="BU401" t="s">
        <v>768</v>
      </c>
      <c r="BV401" t="s">
        <v>86</v>
      </c>
      <c r="BY401">
        <v>4275</v>
      </c>
      <c r="CA401" t="s">
        <v>128</v>
      </c>
      <c r="CC401" t="s">
        <v>123</v>
      </c>
      <c r="CD401">
        <v>7646</v>
      </c>
      <c r="CE401" t="s">
        <v>116</v>
      </c>
      <c r="CF401" s="3">
        <v>45785</v>
      </c>
      <c r="CI401">
        <v>1</v>
      </c>
      <c r="CJ401">
        <v>1</v>
      </c>
      <c r="CK401">
        <v>23</v>
      </c>
      <c r="CL401" t="s">
        <v>89</v>
      </c>
    </row>
    <row r="402" spans="1:90" x14ac:dyDescent="0.3">
      <c r="A402" t="s">
        <v>72</v>
      </c>
      <c r="B402" t="s">
        <v>73</v>
      </c>
      <c r="C402" t="s">
        <v>74</v>
      </c>
      <c r="E402" t="str">
        <f>"080065197908"</f>
        <v>080065197908</v>
      </c>
      <c r="F402" s="3">
        <v>45783</v>
      </c>
      <c r="G402">
        <v>202602</v>
      </c>
      <c r="H402" t="s">
        <v>75</v>
      </c>
      <c r="I402" t="s">
        <v>76</v>
      </c>
      <c r="J402" t="s">
        <v>77</v>
      </c>
      <c r="K402" t="s">
        <v>78</v>
      </c>
      <c r="L402" t="s">
        <v>130</v>
      </c>
      <c r="M402" t="s">
        <v>131</v>
      </c>
      <c r="N402" t="s">
        <v>665</v>
      </c>
      <c r="O402" t="s">
        <v>82</v>
      </c>
      <c r="P402" t="str">
        <f>"4170037123                    "</f>
        <v xml:space="preserve">4170037123                    </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22.11</v>
      </c>
      <c r="AR402">
        <v>0</v>
      </c>
      <c r="AS402">
        <v>0</v>
      </c>
      <c r="AT402">
        <v>0</v>
      </c>
      <c r="AU402">
        <v>0</v>
      </c>
      <c r="AV402">
        <v>0</v>
      </c>
      <c r="AW402">
        <v>0</v>
      </c>
      <c r="AX402">
        <v>0</v>
      </c>
      <c r="AY402">
        <v>0</v>
      </c>
      <c r="AZ402">
        <v>0</v>
      </c>
      <c r="BA402">
        <v>0</v>
      </c>
      <c r="BB402">
        <v>0</v>
      </c>
      <c r="BC402">
        <v>0</v>
      </c>
      <c r="BD402">
        <v>0</v>
      </c>
      <c r="BE402">
        <v>0</v>
      </c>
      <c r="BF402">
        <v>0</v>
      </c>
      <c r="BG402">
        <v>0</v>
      </c>
      <c r="BH402">
        <v>1</v>
      </c>
      <c r="BI402">
        <v>2</v>
      </c>
      <c r="BJ402">
        <v>0.9</v>
      </c>
      <c r="BK402">
        <v>2</v>
      </c>
      <c r="BL402">
        <v>70.709999999999994</v>
      </c>
      <c r="BM402">
        <v>10.61</v>
      </c>
      <c r="BN402">
        <v>81.319999999999993</v>
      </c>
      <c r="BO402">
        <v>81.319999999999993</v>
      </c>
      <c r="BQ402" t="s">
        <v>666</v>
      </c>
      <c r="BR402" t="s">
        <v>84</v>
      </c>
      <c r="BS402" s="3">
        <v>45784</v>
      </c>
      <c r="BT402" s="4">
        <v>0.41041666666666665</v>
      </c>
      <c r="BU402" t="s">
        <v>1051</v>
      </c>
      <c r="BV402" t="s">
        <v>86</v>
      </c>
      <c r="BY402">
        <v>4275</v>
      </c>
      <c r="CA402" t="s">
        <v>389</v>
      </c>
      <c r="CC402" t="s">
        <v>131</v>
      </c>
      <c r="CD402">
        <v>7535</v>
      </c>
      <c r="CE402" t="s">
        <v>116</v>
      </c>
      <c r="CF402" s="3">
        <v>45785</v>
      </c>
      <c r="CI402">
        <v>1</v>
      </c>
      <c r="CJ402">
        <v>1</v>
      </c>
      <c r="CK402">
        <v>21</v>
      </c>
      <c r="CL402" t="s">
        <v>89</v>
      </c>
    </row>
    <row r="403" spans="1:90" x14ac:dyDescent="0.3">
      <c r="A403" t="s">
        <v>72</v>
      </c>
      <c r="B403" t="s">
        <v>73</v>
      </c>
      <c r="C403" t="s">
        <v>74</v>
      </c>
      <c r="E403" t="str">
        <f>"080065198615"</f>
        <v>080065198615</v>
      </c>
      <c r="F403" s="3">
        <v>45783</v>
      </c>
      <c r="G403">
        <v>202602</v>
      </c>
      <c r="H403" t="s">
        <v>75</v>
      </c>
      <c r="I403" t="s">
        <v>76</v>
      </c>
      <c r="J403" t="s">
        <v>77</v>
      </c>
      <c r="K403" t="s">
        <v>78</v>
      </c>
      <c r="L403" t="s">
        <v>117</v>
      </c>
      <c r="M403" t="s">
        <v>118</v>
      </c>
      <c r="N403" t="s">
        <v>1052</v>
      </c>
      <c r="O403" t="s">
        <v>82</v>
      </c>
      <c r="P403" t="str">
        <f>"4170037109                    "</f>
        <v xml:space="preserve">4170037109                    </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17.27</v>
      </c>
      <c r="AR403">
        <v>0</v>
      </c>
      <c r="AS403">
        <v>0</v>
      </c>
      <c r="AT403">
        <v>0</v>
      </c>
      <c r="AU403">
        <v>0</v>
      </c>
      <c r="AV403">
        <v>0</v>
      </c>
      <c r="AW403">
        <v>0</v>
      </c>
      <c r="AX403">
        <v>0</v>
      </c>
      <c r="AY403">
        <v>0</v>
      </c>
      <c r="AZ403">
        <v>0</v>
      </c>
      <c r="BA403">
        <v>0</v>
      </c>
      <c r="BB403">
        <v>0</v>
      </c>
      <c r="BC403">
        <v>0</v>
      </c>
      <c r="BD403">
        <v>0</v>
      </c>
      <c r="BE403">
        <v>0</v>
      </c>
      <c r="BF403">
        <v>0</v>
      </c>
      <c r="BG403">
        <v>0</v>
      </c>
      <c r="BH403">
        <v>1</v>
      </c>
      <c r="BI403">
        <v>1</v>
      </c>
      <c r="BJ403">
        <v>0.2</v>
      </c>
      <c r="BK403">
        <v>1</v>
      </c>
      <c r="BL403">
        <v>55.23</v>
      </c>
      <c r="BM403">
        <v>8.2799999999999994</v>
      </c>
      <c r="BN403">
        <v>63.51</v>
      </c>
      <c r="BO403">
        <v>63.51</v>
      </c>
      <c r="BQ403" t="s">
        <v>1053</v>
      </c>
      <c r="BR403" t="s">
        <v>84</v>
      </c>
      <c r="BS403" s="3">
        <v>45784</v>
      </c>
      <c r="BT403" s="4">
        <v>0.38194444444444442</v>
      </c>
      <c r="BU403" t="s">
        <v>1054</v>
      </c>
      <c r="BV403" t="s">
        <v>86</v>
      </c>
      <c r="BY403">
        <v>1200</v>
      </c>
      <c r="CA403" t="s">
        <v>275</v>
      </c>
      <c r="CC403" t="s">
        <v>118</v>
      </c>
      <c r="CD403">
        <v>2001</v>
      </c>
      <c r="CE403" t="s">
        <v>88</v>
      </c>
      <c r="CF403" s="3">
        <v>45784</v>
      </c>
      <c r="CI403">
        <v>1</v>
      </c>
      <c r="CJ403">
        <v>1</v>
      </c>
      <c r="CK403">
        <v>22</v>
      </c>
      <c r="CL403" t="s">
        <v>89</v>
      </c>
    </row>
    <row r="404" spans="1:90" x14ac:dyDescent="0.3">
      <c r="A404" t="s">
        <v>72</v>
      </c>
      <c r="B404" t="s">
        <v>73</v>
      </c>
      <c r="C404" t="s">
        <v>74</v>
      </c>
      <c r="E404" t="str">
        <f>"080065198688"</f>
        <v>080065198688</v>
      </c>
      <c r="F404" s="3">
        <v>45783</v>
      </c>
      <c r="G404">
        <v>202602</v>
      </c>
      <c r="H404" t="s">
        <v>75</v>
      </c>
      <c r="I404" t="s">
        <v>76</v>
      </c>
      <c r="J404" t="s">
        <v>77</v>
      </c>
      <c r="K404" t="s">
        <v>78</v>
      </c>
      <c r="L404" t="s">
        <v>136</v>
      </c>
      <c r="M404" t="s">
        <v>137</v>
      </c>
      <c r="N404" t="s">
        <v>735</v>
      </c>
      <c r="O404" t="s">
        <v>82</v>
      </c>
      <c r="P404" t="str">
        <f>"4170037117                    "</f>
        <v xml:space="preserve">4170037117                    </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22.11</v>
      </c>
      <c r="AR404">
        <v>0</v>
      </c>
      <c r="AS404">
        <v>0</v>
      </c>
      <c r="AT404">
        <v>0</v>
      </c>
      <c r="AU404">
        <v>0</v>
      </c>
      <c r="AV404">
        <v>0</v>
      </c>
      <c r="AW404">
        <v>0</v>
      </c>
      <c r="AX404">
        <v>0</v>
      </c>
      <c r="AY404">
        <v>0</v>
      </c>
      <c r="AZ404">
        <v>0</v>
      </c>
      <c r="BA404">
        <v>0</v>
      </c>
      <c r="BB404">
        <v>0</v>
      </c>
      <c r="BC404">
        <v>0</v>
      </c>
      <c r="BD404">
        <v>0</v>
      </c>
      <c r="BE404">
        <v>0</v>
      </c>
      <c r="BF404">
        <v>0</v>
      </c>
      <c r="BG404">
        <v>0</v>
      </c>
      <c r="BH404">
        <v>1</v>
      </c>
      <c r="BI404">
        <v>2</v>
      </c>
      <c r="BJ404">
        <v>1.9</v>
      </c>
      <c r="BK404">
        <v>2</v>
      </c>
      <c r="BL404">
        <v>70.709999999999994</v>
      </c>
      <c r="BM404">
        <v>10.61</v>
      </c>
      <c r="BN404">
        <v>81.319999999999993</v>
      </c>
      <c r="BO404">
        <v>81.319999999999993</v>
      </c>
      <c r="BQ404" t="s">
        <v>736</v>
      </c>
      <c r="BR404" t="s">
        <v>84</v>
      </c>
      <c r="BS404" s="3">
        <v>45784</v>
      </c>
      <c r="BT404" s="4">
        <v>0.37361111111111112</v>
      </c>
      <c r="BU404" t="s">
        <v>737</v>
      </c>
      <c r="BV404" t="s">
        <v>86</v>
      </c>
      <c r="BY404">
        <v>9600</v>
      </c>
      <c r="CA404" t="s">
        <v>258</v>
      </c>
      <c r="CC404" t="s">
        <v>137</v>
      </c>
      <c r="CD404" s="5" t="s">
        <v>738</v>
      </c>
      <c r="CE404" t="s">
        <v>116</v>
      </c>
      <c r="CF404" s="3">
        <v>45784</v>
      </c>
      <c r="CI404">
        <v>1</v>
      </c>
      <c r="CJ404">
        <v>1</v>
      </c>
      <c r="CK404">
        <v>21</v>
      </c>
      <c r="CL404" t="s">
        <v>89</v>
      </c>
    </row>
    <row r="405" spans="1:90" x14ac:dyDescent="0.3">
      <c r="A405" t="s">
        <v>72</v>
      </c>
      <c r="B405" t="s">
        <v>73</v>
      </c>
      <c r="C405" t="s">
        <v>74</v>
      </c>
      <c r="E405" t="str">
        <f>"080065198725"</f>
        <v>080065198725</v>
      </c>
      <c r="F405" s="3">
        <v>45783</v>
      </c>
      <c r="G405">
        <v>202602</v>
      </c>
      <c r="H405" t="s">
        <v>75</v>
      </c>
      <c r="I405" t="s">
        <v>76</v>
      </c>
      <c r="J405" t="s">
        <v>77</v>
      </c>
      <c r="K405" t="s">
        <v>78</v>
      </c>
      <c r="L405" t="s">
        <v>648</v>
      </c>
      <c r="M405" t="s">
        <v>649</v>
      </c>
      <c r="N405" t="s">
        <v>1055</v>
      </c>
      <c r="O405" t="s">
        <v>82</v>
      </c>
      <c r="P405" t="str">
        <f>"4170037115                    "</f>
        <v xml:space="preserve">4170037115                    </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17.27</v>
      </c>
      <c r="AR405">
        <v>0</v>
      </c>
      <c r="AS405">
        <v>0</v>
      </c>
      <c r="AT405">
        <v>0</v>
      </c>
      <c r="AU405">
        <v>0</v>
      </c>
      <c r="AV405">
        <v>0</v>
      </c>
      <c r="AW405">
        <v>0</v>
      </c>
      <c r="AX405">
        <v>0</v>
      </c>
      <c r="AY405">
        <v>0</v>
      </c>
      <c r="AZ405">
        <v>0</v>
      </c>
      <c r="BA405">
        <v>0</v>
      </c>
      <c r="BB405">
        <v>0</v>
      </c>
      <c r="BC405">
        <v>0</v>
      </c>
      <c r="BD405">
        <v>0</v>
      </c>
      <c r="BE405">
        <v>0</v>
      </c>
      <c r="BF405">
        <v>0</v>
      </c>
      <c r="BG405">
        <v>0</v>
      </c>
      <c r="BH405">
        <v>1</v>
      </c>
      <c r="BI405">
        <v>4</v>
      </c>
      <c r="BJ405">
        <v>5.5</v>
      </c>
      <c r="BK405">
        <v>6</v>
      </c>
      <c r="BL405">
        <v>55.23</v>
      </c>
      <c r="BM405">
        <v>8.2799999999999994</v>
      </c>
      <c r="BN405">
        <v>63.51</v>
      </c>
      <c r="BO405">
        <v>63.51</v>
      </c>
      <c r="BQ405" t="s">
        <v>1056</v>
      </c>
      <c r="BR405" t="s">
        <v>84</v>
      </c>
      <c r="BS405" s="3">
        <v>45784</v>
      </c>
      <c r="BT405" s="4">
        <v>0.35486111111111113</v>
      </c>
      <c r="BU405" t="s">
        <v>1057</v>
      </c>
      <c r="BV405" t="s">
        <v>86</v>
      </c>
      <c r="BY405">
        <v>27744</v>
      </c>
      <c r="CA405" t="s">
        <v>698</v>
      </c>
      <c r="CC405" t="s">
        <v>649</v>
      </c>
      <c r="CD405">
        <v>1559</v>
      </c>
      <c r="CE405" t="s">
        <v>221</v>
      </c>
      <c r="CF405" s="3">
        <v>45784</v>
      </c>
      <c r="CI405">
        <v>1</v>
      </c>
      <c r="CJ405">
        <v>1</v>
      </c>
      <c r="CK405">
        <v>22</v>
      </c>
      <c r="CL405" t="s">
        <v>89</v>
      </c>
    </row>
    <row r="406" spans="1:90" x14ac:dyDescent="0.3">
      <c r="A406" t="s">
        <v>72</v>
      </c>
      <c r="B406" t="s">
        <v>73</v>
      </c>
      <c r="C406" t="s">
        <v>74</v>
      </c>
      <c r="E406" t="str">
        <f>"080065198755"</f>
        <v>080065198755</v>
      </c>
      <c r="F406" s="3">
        <v>45783</v>
      </c>
      <c r="G406">
        <v>202602</v>
      </c>
      <c r="H406" t="s">
        <v>75</v>
      </c>
      <c r="I406" t="s">
        <v>76</v>
      </c>
      <c r="J406" t="s">
        <v>77</v>
      </c>
      <c r="K406" t="s">
        <v>78</v>
      </c>
      <c r="L406" t="s">
        <v>463</v>
      </c>
      <c r="M406" t="s">
        <v>464</v>
      </c>
      <c r="N406" t="s">
        <v>585</v>
      </c>
      <c r="O406" t="s">
        <v>82</v>
      </c>
      <c r="P406" t="str">
        <f>"4170037114                    "</f>
        <v xml:space="preserve">4170037114                    </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55.26</v>
      </c>
      <c r="AR406">
        <v>0</v>
      </c>
      <c r="AS406">
        <v>0</v>
      </c>
      <c r="AT406">
        <v>0</v>
      </c>
      <c r="AU406">
        <v>0</v>
      </c>
      <c r="AV406">
        <v>0</v>
      </c>
      <c r="AW406">
        <v>0</v>
      </c>
      <c r="AX406">
        <v>0</v>
      </c>
      <c r="AY406">
        <v>0</v>
      </c>
      <c r="AZ406">
        <v>0</v>
      </c>
      <c r="BA406">
        <v>0</v>
      </c>
      <c r="BB406">
        <v>0</v>
      </c>
      <c r="BC406">
        <v>0</v>
      </c>
      <c r="BD406">
        <v>0</v>
      </c>
      <c r="BE406">
        <v>0</v>
      </c>
      <c r="BF406">
        <v>0</v>
      </c>
      <c r="BG406">
        <v>0</v>
      </c>
      <c r="BH406">
        <v>1</v>
      </c>
      <c r="BI406">
        <v>5</v>
      </c>
      <c r="BJ406">
        <v>3.2</v>
      </c>
      <c r="BK406">
        <v>5</v>
      </c>
      <c r="BL406">
        <v>176.7</v>
      </c>
      <c r="BM406">
        <v>26.51</v>
      </c>
      <c r="BN406">
        <v>203.21</v>
      </c>
      <c r="BO406">
        <v>203.21</v>
      </c>
      <c r="BQ406" t="s">
        <v>586</v>
      </c>
      <c r="BR406" t="s">
        <v>84</v>
      </c>
      <c r="BS406" s="3">
        <v>45784</v>
      </c>
      <c r="BT406" s="4">
        <v>0.46180555555555558</v>
      </c>
      <c r="BU406" t="s">
        <v>587</v>
      </c>
      <c r="BV406" t="s">
        <v>89</v>
      </c>
      <c r="BY406">
        <v>16128</v>
      </c>
      <c r="CA406" t="s">
        <v>588</v>
      </c>
      <c r="CC406" t="s">
        <v>464</v>
      </c>
      <c r="CD406">
        <v>5201</v>
      </c>
      <c r="CE406" t="s">
        <v>221</v>
      </c>
      <c r="CF406" s="3">
        <v>45785</v>
      </c>
      <c r="CI406">
        <v>1</v>
      </c>
      <c r="CJ406">
        <v>1</v>
      </c>
      <c r="CK406">
        <v>21</v>
      </c>
      <c r="CL406" t="s">
        <v>89</v>
      </c>
    </row>
    <row r="407" spans="1:90" x14ac:dyDescent="0.3">
      <c r="A407" t="s">
        <v>72</v>
      </c>
      <c r="B407" t="s">
        <v>73</v>
      </c>
      <c r="C407" t="s">
        <v>74</v>
      </c>
      <c r="E407" t="str">
        <f>"080065198974"</f>
        <v>080065198974</v>
      </c>
      <c r="F407" s="3">
        <v>45783</v>
      </c>
      <c r="G407">
        <v>202602</v>
      </c>
      <c r="H407" t="s">
        <v>75</v>
      </c>
      <c r="I407" t="s">
        <v>76</v>
      </c>
      <c r="J407" t="s">
        <v>77</v>
      </c>
      <c r="K407" t="s">
        <v>78</v>
      </c>
      <c r="L407" t="s">
        <v>79</v>
      </c>
      <c r="M407" t="s">
        <v>80</v>
      </c>
      <c r="N407" t="s">
        <v>415</v>
      </c>
      <c r="O407" t="s">
        <v>82</v>
      </c>
      <c r="P407" t="str">
        <f>"4170037133                    "</f>
        <v xml:space="preserve">4170037133                    </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44.21</v>
      </c>
      <c r="AR407">
        <v>0</v>
      </c>
      <c r="AS407">
        <v>0</v>
      </c>
      <c r="AT407">
        <v>0</v>
      </c>
      <c r="AU407">
        <v>0</v>
      </c>
      <c r="AV407">
        <v>0</v>
      </c>
      <c r="AW407">
        <v>0</v>
      </c>
      <c r="AX407">
        <v>0</v>
      </c>
      <c r="AY407">
        <v>0</v>
      </c>
      <c r="AZ407">
        <v>0</v>
      </c>
      <c r="BA407">
        <v>0</v>
      </c>
      <c r="BB407">
        <v>0</v>
      </c>
      <c r="BC407">
        <v>0</v>
      </c>
      <c r="BD407">
        <v>0</v>
      </c>
      <c r="BE407">
        <v>0</v>
      </c>
      <c r="BF407">
        <v>0</v>
      </c>
      <c r="BG407">
        <v>0</v>
      </c>
      <c r="BH407">
        <v>1</v>
      </c>
      <c r="BI407">
        <v>3</v>
      </c>
      <c r="BJ407">
        <v>3.8</v>
      </c>
      <c r="BK407">
        <v>4</v>
      </c>
      <c r="BL407">
        <v>141.37</v>
      </c>
      <c r="BM407">
        <v>21.21</v>
      </c>
      <c r="BN407">
        <v>162.58000000000001</v>
      </c>
      <c r="BO407">
        <v>162.58000000000001</v>
      </c>
      <c r="BQ407" t="s">
        <v>416</v>
      </c>
      <c r="BR407" t="s">
        <v>84</v>
      </c>
      <c r="BS407" s="3">
        <v>45784</v>
      </c>
      <c r="BT407" s="4">
        <v>0.38194444444444442</v>
      </c>
      <c r="BU407" t="s">
        <v>896</v>
      </c>
      <c r="BV407" t="s">
        <v>86</v>
      </c>
      <c r="BY407">
        <v>19227</v>
      </c>
      <c r="CA407" t="s">
        <v>87</v>
      </c>
      <c r="CC407" t="s">
        <v>80</v>
      </c>
      <c r="CD407">
        <v>3610</v>
      </c>
      <c r="CE407" t="s">
        <v>96</v>
      </c>
      <c r="CF407" s="3">
        <v>45785</v>
      </c>
      <c r="CI407">
        <v>1</v>
      </c>
      <c r="CJ407">
        <v>1</v>
      </c>
      <c r="CK407">
        <v>21</v>
      </c>
      <c r="CL407" t="s">
        <v>89</v>
      </c>
    </row>
    <row r="408" spans="1:90" x14ac:dyDescent="0.3">
      <c r="A408" t="s">
        <v>72</v>
      </c>
      <c r="B408" t="s">
        <v>73</v>
      </c>
      <c r="C408" t="s">
        <v>74</v>
      </c>
      <c r="E408" t="str">
        <f>"080065199021"</f>
        <v>080065199021</v>
      </c>
      <c r="F408" s="3">
        <v>45783</v>
      </c>
      <c r="G408">
        <v>202602</v>
      </c>
      <c r="H408" t="s">
        <v>75</v>
      </c>
      <c r="I408" t="s">
        <v>76</v>
      </c>
      <c r="J408" t="s">
        <v>77</v>
      </c>
      <c r="K408" t="s">
        <v>78</v>
      </c>
      <c r="L408" t="s">
        <v>75</v>
      </c>
      <c r="M408" t="s">
        <v>76</v>
      </c>
      <c r="N408" t="s">
        <v>247</v>
      </c>
      <c r="O408" t="s">
        <v>82</v>
      </c>
      <c r="P408" t="str">
        <f>"4170037138                    "</f>
        <v xml:space="preserve">4170037138                    </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17.27</v>
      </c>
      <c r="AR408">
        <v>0</v>
      </c>
      <c r="AS408">
        <v>0</v>
      </c>
      <c r="AT408">
        <v>0</v>
      </c>
      <c r="AU408">
        <v>0</v>
      </c>
      <c r="AV408">
        <v>0</v>
      </c>
      <c r="AW408">
        <v>0</v>
      </c>
      <c r="AX408">
        <v>0</v>
      </c>
      <c r="AY408">
        <v>0</v>
      </c>
      <c r="AZ408">
        <v>0</v>
      </c>
      <c r="BA408">
        <v>0</v>
      </c>
      <c r="BB408">
        <v>0</v>
      </c>
      <c r="BC408">
        <v>0</v>
      </c>
      <c r="BD408">
        <v>0</v>
      </c>
      <c r="BE408">
        <v>0</v>
      </c>
      <c r="BF408">
        <v>0</v>
      </c>
      <c r="BG408">
        <v>0</v>
      </c>
      <c r="BH408">
        <v>1</v>
      </c>
      <c r="BI408">
        <v>1</v>
      </c>
      <c r="BJ408">
        <v>0.2</v>
      </c>
      <c r="BK408">
        <v>1</v>
      </c>
      <c r="BL408">
        <v>55.23</v>
      </c>
      <c r="BM408">
        <v>8.2799999999999994</v>
      </c>
      <c r="BN408">
        <v>63.51</v>
      </c>
      <c r="BO408">
        <v>63.51</v>
      </c>
      <c r="BQ408" t="s">
        <v>248</v>
      </c>
      <c r="BR408" t="s">
        <v>84</v>
      </c>
      <c r="BS408" s="3">
        <v>45784</v>
      </c>
      <c r="BT408" s="4">
        <v>0.41666666666666669</v>
      </c>
      <c r="BU408" t="s">
        <v>249</v>
      </c>
      <c r="BV408" t="s">
        <v>86</v>
      </c>
      <c r="BY408">
        <v>1200</v>
      </c>
      <c r="CA408" t="s">
        <v>115</v>
      </c>
      <c r="CC408" t="s">
        <v>76</v>
      </c>
      <c r="CD408">
        <v>1624</v>
      </c>
      <c r="CE408" t="s">
        <v>88</v>
      </c>
      <c r="CF408" s="3">
        <v>45784</v>
      </c>
      <c r="CI408">
        <v>1</v>
      </c>
      <c r="CJ408">
        <v>1</v>
      </c>
      <c r="CK408">
        <v>22</v>
      </c>
      <c r="CL408" t="s">
        <v>89</v>
      </c>
    </row>
    <row r="409" spans="1:90" x14ac:dyDescent="0.3">
      <c r="A409" t="s">
        <v>72</v>
      </c>
      <c r="B409" t="s">
        <v>73</v>
      </c>
      <c r="C409" t="s">
        <v>74</v>
      </c>
      <c r="E409" t="str">
        <f>"080065199083"</f>
        <v>080065199083</v>
      </c>
      <c r="F409" s="3">
        <v>45783</v>
      </c>
      <c r="G409">
        <v>202602</v>
      </c>
      <c r="H409" t="s">
        <v>75</v>
      </c>
      <c r="I409" t="s">
        <v>76</v>
      </c>
      <c r="J409" t="s">
        <v>77</v>
      </c>
      <c r="K409" t="s">
        <v>78</v>
      </c>
      <c r="L409" t="s">
        <v>90</v>
      </c>
      <c r="M409" t="s">
        <v>91</v>
      </c>
      <c r="N409" t="s">
        <v>748</v>
      </c>
      <c r="O409" t="s">
        <v>82</v>
      </c>
      <c r="P409" t="str">
        <f>"4170037132                    "</f>
        <v xml:space="preserve">4170037132                    </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22.11</v>
      </c>
      <c r="AR409">
        <v>0</v>
      </c>
      <c r="AS409">
        <v>0</v>
      </c>
      <c r="AT409">
        <v>0</v>
      </c>
      <c r="AU409">
        <v>0</v>
      </c>
      <c r="AV409">
        <v>0</v>
      </c>
      <c r="AW409">
        <v>0</v>
      </c>
      <c r="AX409">
        <v>0</v>
      </c>
      <c r="AY409">
        <v>0</v>
      </c>
      <c r="AZ409">
        <v>0</v>
      </c>
      <c r="BA409">
        <v>0</v>
      </c>
      <c r="BB409">
        <v>0</v>
      </c>
      <c r="BC409">
        <v>0</v>
      </c>
      <c r="BD409">
        <v>0</v>
      </c>
      <c r="BE409">
        <v>0</v>
      </c>
      <c r="BF409">
        <v>0</v>
      </c>
      <c r="BG409">
        <v>0</v>
      </c>
      <c r="BH409">
        <v>1</v>
      </c>
      <c r="BI409">
        <v>2</v>
      </c>
      <c r="BJ409">
        <v>1.9</v>
      </c>
      <c r="BK409">
        <v>2</v>
      </c>
      <c r="BL409">
        <v>70.709999999999994</v>
      </c>
      <c r="BM409">
        <v>10.61</v>
      </c>
      <c r="BN409">
        <v>81.319999999999993</v>
      </c>
      <c r="BO409">
        <v>81.319999999999993</v>
      </c>
      <c r="BQ409" t="s">
        <v>749</v>
      </c>
      <c r="BR409" t="s">
        <v>84</v>
      </c>
      <c r="BS409" s="3">
        <v>45784</v>
      </c>
      <c r="BT409" s="4">
        <v>0.375</v>
      </c>
      <c r="BU409" t="s">
        <v>995</v>
      </c>
      <c r="BV409" t="s">
        <v>86</v>
      </c>
      <c r="BY409">
        <v>9600</v>
      </c>
      <c r="CA409" t="s">
        <v>298</v>
      </c>
      <c r="CC409" t="s">
        <v>91</v>
      </c>
      <c r="CD409">
        <v>6045</v>
      </c>
      <c r="CE409" t="s">
        <v>116</v>
      </c>
      <c r="CF409" s="3">
        <v>45784</v>
      </c>
      <c r="CI409">
        <v>1</v>
      </c>
      <c r="CJ409">
        <v>1</v>
      </c>
      <c r="CK409">
        <v>21</v>
      </c>
      <c r="CL409" t="s">
        <v>89</v>
      </c>
    </row>
    <row r="410" spans="1:90" x14ac:dyDescent="0.3">
      <c r="A410" t="s">
        <v>72</v>
      </c>
      <c r="B410" t="s">
        <v>73</v>
      </c>
      <c r="C410" t="s">
        <v>74</v>
      </c>
      <c r="E410" t="str">
        <f>"080065199435"</f>
        <v>080065199435</v>
      </c>
      <c r="F410" s="3">
        <v>45783</v>
      </c>
      <c r="G410">
        <v>202602</v>
      </c>
      <c r="H410" t="s">
        <v>75</v>
      </c>
      <c r="I410" t="s">
        <v>76</v>
      </c>
      <c r="J410" t="s">
        <v>77</v>
      </c>
      <c r="K410" t="s">
        <v>78</v>
      </c>
      <c r="L410" t="s">
        <v>90</v>
      </c>
      <c r="M410" t="s">
        <v>91</v>
      </c>
      <c r="N410" t="s">
        <v>563</v>
      </c>
      <c r="O410" t="s">
        <v>300</v>
      </c>
      <c r="P410" t="str">
        <f>"4170037047                    "</f>
        <v xml:space="preserve">4170037047                    </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180.46</v>
      </c>
      <c r="AR410">
        <v>0</v>
      </c>
      <c r="AS410">
        <v>0</v>
      </c>
      <c r="AT410">
        <v>0</v>
      </c>
      <c r="AU410">
        <v>0</v>
      </c>
      <c r="AV410">
        <v>0</v>
      </c>
      <c r="AW410">
        <v>0</v>
      </c>
      <c r="AX410">
        <v>0</v>
      </c>
      <c r="AY410">
        <v>0</v>
      </c>
      <c r="AZ410">
        <v>0</v>
      </c>
      <c r="BA410">
        <v>0</v>
      </c>
      <c r="BB410">
        <v>0</v>
      </c>
      <c r="BC410">
        <v>0</v>
      </c>
      <c r="BD410">
        <v>0</v>
      </c>
      <c r="BE410">
        <v>0</v>
      </c>
      <c r="BF410">
        <v>0</v>
      </c>
      <c r="BG410">
        <v>0</v>
      </c>
      <c r="BH410">
        <v>4</v>
      </c>
      <c r="BI410">
        <v>57</v>
      </c>
      <c r="BJ410">
        <v>92.2</v>
      </c>
      <c r="BK410">
        <v>93</v>
      </c>
      <c r="BL410">
        <v>582.65</v>
      </c>
      <c r="BM410">
        <v>87.4</v>
      </c>
      <c r="BN410">
        <v>670.05</v>
      </c>
      <c r="BO410">
        <v>670.05</v>
      </c>
      <c r="BQ410" t="s">
        <v>564</v>
      </c>
      <c r="BR410" t="s">
        <v>84</v>
      </c>
      <c r="BS410" s="3">
        <v>45785</v>
      </c>
      <c r="BT410" s="4">
        <v>0.38680555555555557</v>
      </c>
      <c r="BU410" t="s">
        <v>1058</v>
      </c>
      <c r="BV410" t="s">
        <v>86</v>
      </c>
      <c r="BY410">
        <v>345355</v>
      </c>
      <c r="CC410" t="s">
        <v>91</v>
      </c>
      <c r="CD410">
        <v>6001</v>
      </c>
      <c r="CE410" t="s">
        <v>550</v>
      </c>
      <c r="CF410" s="3">
        <v>45785</v>
      </c>
      <c r="CI410">
        <v>3</v>
      </c>
      <c r="CJ410">
        <v>2</v>
      </c>
      <c r="CK410">
        <v>41</v>
      </c>
      <c r="CL410" t="s">
        <v>89</v>
      </c>
    </row>
    <row r="411" spans="1:90" x14ac:dyDescent="0.3">
      <c r="A411" t="s">
        <v>72</v>
      </c>
      <c r="B411" t="s">
        <v>73</v>
      </c>
      <c r="C411" t="s">
        <v>74</v>
      </c>
      <c r="E411" t="str">
        <f>"080065199719"</f>
        <v>080065199719</v>
      </c>
      <c r="F411" s="3">
        <v>45783</v>
      </c>
      <c r="G411">
        <v>202602</v>
      </c>
      <c r="H411" t="s">
        <v>75</v>
      </c>
      <c r="I411" t="s">
        <v>76</v>
      </c>
      <c r="J411" t="s">
        <v>77</v>
      </c>
      <c r="K411" t="s">
        <v>78</v>
      </c>
      <c r="L411" t="s">
        <v>350</v>
      </c>
      <c r="M411" t="s">
        <v>351</v>
      </c>
      <c r="N411" t="s">
        <v>459</v>
      </c>
      <c r="O411" t="s">
        <v>82</v>
      </c>
      <c r="P411" t="str">
        <f>"4170037124                    "</f>
        <v xml:space="preserve">4170037124                    </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66.3</v>
      </c>
      <c r="AR411">
        <v>0</v>
      </c>
      <c r="AS411">
        <v>0</v>
      </c>
      <c r="AT411">
        <v>0</v>
      </c>
      <c r="AU411">
        <v>0</v>
      </c>
      <c r="AV411">
        <v>0</v>
      </c>
      <c r="AW411">
        <v>0</v>
      </c>
      <c r="AX411">
        <v>0</v>
      </c>
      <c r="AY411">
        <v>0</v>
      </c>
      <c r="AZ411">
        <v>0</v>
      </c>
      <c r="BA411">
        <v>0</v>
      </c>
      <c r="BB411">
        <v>0</v>
      </c>
      <c r="BC411">
        <v>0</v>
      </c>
      <c r="BD411">
        <v>0</v>
      </c>
      <c r="BE411">
        <v>0</v>
      </c>
      <c r="BF411">
        <v>0</v>
      </c>
      <c r="BG411">
        <v>0</v>
      </c>
      <c r="BH411">
        <v>1</v>
      </c>
      <c r="BI411">
        <v>6</v>
      </c>
      <c r="BJ411">
        <v>4.0999999999999996</v>
      </c>
      <c r="BK411">
        <v>6</v>
      </c>
      <c r="BL411">
        <v>212.02</v>
      </c>
      <c r="BM411">
        <v>31.8</v>
      </c>
      <c r="BN411">
        <v>243.82</v>
      </c>
      <c r="BO411">
        <v>243.82</v>
      </c>
      <c r="BQ411" t="s">
        <v>460</v>
      </c>
      <c r="BR411" t="s">
        <v>84</v>
      </c>
      <c r="BS411" s="3">
        <v>45784</v>
      </c>
      <c r="BT411" s="4">
        <v>0.32847222222222222</v>
      </c>
      <c r="BU411" t="s">
        <v>461</v>
      </c>
      <c r="BV411" t="s">
        <v>86</v>
      </c>
      <c r="BY411">
        <v>20358</v>
      </c>
      <c r="CA411" t="s">
        <v>462</v>
      </c>
      <c r="CC411" t="s">
        <v>351</v>
      </c>
      <c r="CD411">
        <v>4051</v>
      </c>
      <c r="CE411" t="s">
        <v>96</v>
      </c>
      <c r="CF411" s="3">
        <v>45785</v>
      </c>
      <c r="CI411">
        <v>1</v>
      </c>
      <c r="CJ411">
        <v>1</v>
      </c>
      <c r="CK411">
        <v>21</v>
      </c>
      <c r="CL411" t="s">
        <v>89</v>
      </c>
    </row>
    <row r="412" spans="1:90" x14ac:dyDescent="0.3">
      <c r="A412" t="s">
        <v>72</v>
      </c>
      <c r="B412" t="s">
        <v>73</v>
      </c>
      <c r="C412" t="s">
        <v>74</v>
      </c>
      <c r="E412" t="str">
        <f>"080065199779"</f>
        <v>080065199779</v>
      </c>
      <c r="F412" s="3">
        <v>45783</v>
      </c>
      <c r="G412">
        <v>202602</v>
      </c>
      <c r="H412" t="s">
        <v>75</v>
      </c>
      <c r="I412" t="s">
        <v>76</v>
      </c>
      <c r="J412" t="s">
        <v>77</v>
      </c>
      <c r="K412" t="s">
        <v>78</v>
      </c>
      <c r="L412" t="s">
        <v>672</v>
      </c>
      <c r="M412" t="s">
        <v>673</v>
      </c>
      <c r="N412" t="s">
        <v>674</v>
      </c>
      <c r="O412" t="s">
        <v>300</v>
      </c>
      <c r="P412" t="str">
        <f>"4170037120                    "</f>
        <v xml:space="preserve">4170037120                    </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84.95</v>
      </c>
      <c r="AR412">
        <v>0</v>
      </c>
      <c r="AS412">
        <v>0</v>
      </c>
      <c r="AT412">
        <v>0</v>
      </c>
      <c r="AU412">
        <v>0</v>
      </c>
      <c r="AV412">
        <v>0</v>
      </c>
      <c r="AW412">
        <v>0</v>
      </c>
      <c r="AX412">
        <v>0</v>
      </c>
      <c r="AY412">
        <v>0</v>
      </c>
      <c r="AZ412">
        <v>0</v>
      </c>
      <c r="BA412">
        <v>0</v>
      </c>
      <c r="BB412">
        <v>0</v>
      </c>
      <c r="BC412">
        <v>0</v>
      </c>
      <c r="BD412">
        <v>0</v>
      </c>
      <c r="BE412">
        <v>0</v>
      </c>
      <c r="BF412">
        <v>0</v>
      </c>
      <c r="BG412">
        <v>0</v>
      </c>
      <c r="BH412">
        <v>1</v>
      </c>
      <c r="BI412">
        <v>13</v>
      </c>
      <c r="BJ412">
        <v>22.1</v>
      </c>
      <c r="BK412">
        <v>23</v>
      </c>
      <c r="BL412">
        <v>277.23</v>
      </c>
      <c r="BM412">
        <v>41.58</v>
      </c>
      <c r="BN412">
        <v>318.81</v>
      </c>
      <c r="BO412">
        <v>318.81</v>
      </c>
      <c r="BQ412" t="s">
        <v>675</v>
      </c>
      <c r="BR412" t="s">
        <v>84</v>
      </c>
      <c r="BS412" s="3">
        <v>45784</v>
      </c>
      <c r="BT412" s="4">
        <v>0.40208333333333335</v>
      </c>
      <c r="BU412" t="s">
        <v>1059</v>
      </c>
      <c r="BV412" t="s">
        <v>86</v>
      </c>
      <c r="BY412">
        <v>110400</v>
      </c>
      <c r="CA412" t="s">
        <v>677</v>
      </c>
      <c r="CC412" t="s">
        <v>673</v>
      </c>
      <c r="CD412">
        <v>2531</v>
      </c>
      <c r="CE412" t="s">
        <v>96</v>
      </c>
      <c r="CF412" s="3">
        <v>45785</v>
      </c>
      <c r="CI412">
        <v>1</v>
      </c>
      <c r="CJ412">
        <v>1</v>
      </c>
      <c r="CK412">
        <v>43</v>
      </c>
      <c r="CL412" t="s">
        <v>89</v>
      </c>
    </row>
    <row r="413" spans="1:90" x14ac:dyDescent="0.3">
      <c r="A413" t="s">
        <v>72</v>
      </c>
      <c r="B413" t="s">
        <v>73</v>
      </c>
      <c r="C413" t="s">
        <v>74</v>
      </c>
      <c r="E413" t="str">
        <f>"080065199845"</f>
        <v>080065199845</v>
      </c>
      <c r="F413" s="3">
        <v>45783</v>
      </c>
      <c r="G413">
        <v>202602</v>
      </c>
      <c r="H413" t="s">
        <v>75</v>
      </c>
      <c r="I413" t="s">
        <v>76</v>
      </c>
      <c r="J413" t="s">
        <v>77</v>
      </c>
      <c r="K413" t="s">
        <v>78</v>
      </c>
      <c r="L413" t="s">
        <v>130</v>
      </c>
      <c r="M413" t="s">
        <v>131</v>
      </c>
      <c r="N413" t="s">
        <v>239</v>
      </c>
      <c r="O413" t="s">
        <v>82</v>
      </c>
      <c r="P413" t="str">
        <f>"4170037141                    "</f>
        <v xml:space="preserve">4170037141                    </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22.11</v>
      </c>
      <c r="AR413">
        <v>0</v>
      </c>
      <c r="AS413">
        <v>0</v>
      </c>
      <c r="AT413">
        <v>0</v>
      </c>
      <c r="AU413">
        <v>0</v>
      </c>
      <c r="AV413">
        <v>0</v>
      </c>
      <c r="AW413">
        <v>0</v>
      </c>
      <c r="AX413">
        <v>0</v>
      </c>
      <c r="AY413">
        <v>0</v>
      </c>
      <c r="AZ413">
        <v>0</v>
      </c>
      <c r="BA413">
        <v>0</v>
      </c>
      <c r="BB413">
        <v>0</v>
      </c>
      <c r="BC413">
        <v>0</v>
      </c>
      <c r="BD413">
        <v>0</v>
      </c>
      <c r="BE413">
        <v>0</v>
      </c>
      <c r="BF413">
        <v>0</v>
      </c>
      <c r="BG413">
        <v>0</v>
      </c>
      <c r="BH413">
        <v>1</v>
      </c>
      <c r="BI413">
        <v>1</v>
      </c>
      <c r="BJ413">
        <v>0.2</v>
      </c>
      <c r="BK413">
        <v>1</v>
      </c>
      <c r="BL413">
        <v>70.709999999999994</v>
      </c>
      <c r="BM413">
        <v>10.61</v>
      </c>
      <c r="BN413">
        <v>81.319999999999993</v>
      </c>
      <c r="BO413">
        <v>81.319999999999993</v>
      </c>
      <c r="BQ413" t="s">
        <v>240</v>
      </c>
      <c r="BR413" t="s">
        <v>84</v>
      </c>
      <c r="BS413" s="3">
        <v>45784</v>
      </c>
      <c r="BT413" s="4">
        <v>0.38541666666666669</v>
      </c>
      <c r="BU413" t="s">
        <v>241</v>
      </c>
      <c r="BV413" t="s">
        <v>86</v>
      </c>
      <c r="BY413">
        <v>1200</v>
      </c>
      <c r="CA413" t="s">
        <v>242</v>
      </c>
      <c r="CC413" t="s">
        <v>131</v>
      </c>
      <c r="CD413">
        <v>7441</v>
      </c>
      <c r="CE413" t="s">
        <v>88</v>
      </c>
      <c r="CF413" s="3">
        <v>45785</v>
      </c>
      <c r="CI413">
        <v>1</v>
      </c>
      <c r="CJ413">
        <v>1</v>
      </c>
      <c r="CK413">
        <v>21</v>
      </c>
      <c r="CL413" t="s">
        <v>89</v>
      </c>
    </row>
    <row r="414" spans="1:90" x14ac:dyDescent="0.3">
      <c r="A414" t="s">
        <v>72</v>
      </c>
      <c r="B414" t="s">
        <v>73</v>
      </c>
      <c r="C414" t="s">
        <v>74</v>
      </c>
      <c r="E414" t="str">
        <f>"080065199866"</f>
        <v>080065199866</v>
      </c>
      <c r="F414" s="3">
        <v>45783</v>
      </c>
      <c r="G414">
        <v>202602</v>
      </c>
      <c r="H414" t="s">
        <v>75</v>
      </c>
      <c r="I414" t="s">
        <v>76</v>
      </c>
      <c r="J414" t="s">
        <v>77</v>
      </c>
      <c r="K414" t="s">
        <v>78</v>
      </c>
      <c r="L414" t="s">
        <v>97</v>
      </c>
      <c r="M414" t="s">
        <v>98</v>
      </c>
      <c r="N414" t="s">
        <v>99</v>
      </c>
      <c r="O414" t="s">
        <v>82</v>
      </c>
      <c r="P414" t="str">
        <f>"4170037126                    "</f>
        <v xml:space="preserve">4170037126                    </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17.27</v>
      </c>
      <c r="AR414">
        <v>0</v>
      </c>
      <c r="AS414">
        <v>0</v>
      </c>
      <c r="AT414">
        <v>0</v>
      </c>
      <c r="AU414">
        <v>0</v>
      </c>
      <c r="AV414">
        <v>0</v>
      </c>
      <c r="AW414">
        <v>0</v>
      </c>
      <c r="AX414">
        <v>0</v>
      </c>
      <c r="AY414">
        <v>0</v>
      </c>
      <c r="AZ414">
        <v>0</v>
      </c>
      <c r="BA414">
        <v>0</v>
      </c>
      <c r="BB414">
        <v>0</v>
      </c>
      <c r="BC414">
        <v>0</v>
      </c>
      <c r="BD414">
        <v>0</v>
      </c>
      <c r="BE414">
        <v>0</v>
      </c>
      <c r="BF414">
        <v>0</v>
      </c>
      <c r="BG414">
        <v>0</v>
      </c>
      <c r="BH414">
        <v>1</v>
      </c>
      <c r="BI414">
        <v>1</v>
      </c>
      <c r="BJ414">
        <v>0.2</v>
      </c>
      <c r="BK414">
        <v>1</v>
      </c>
      <c r="BL414">
        <v>55.23</v>
      </c>
      <c r="BM414">
        <v>8.2799999999999994</v>
      </c>
      <c r="BN414">
        <v>63.51</v>
      </c>
      <c r="BO414">
        <v>63.51</v>
      </c>
      <c r="BQ414" t="s">
        <v>100</v>
      </c>
      <c r="BR414" t="s">
        <v>84</v>
      </c>
      <c r="BS414" s="3">
        <v>45784</v>
      </c>
      <c r="BT414" s="4">
        <v>0.33124999999999999</v>
      </c>
      <c r="BU414" t="s">
        <v>286</v>
      </c>
      <c r="BV414" t="s">
        <v>86</v>
      </c>
      <c r="BY414">
        <v>1200</v>
      </c>
      <c r="CA414" t="s">
        <v>279</v>
      </c>
      <c r="CC414" t="s">
        <v>98</v>
      </c>
      <c r="CD414">
        <v>1459</v>
      </c>
      <c r="CE414" t="s">
        <v>88</v>
      </c>
      <c r="CF414" s="3">
        <v>45784</v>
      </c>
      <c r="CI414">
        <v>1</v>
      </c>
      <c r="CJ414">
        <v>1</v>
      </c>
      <c r="CK414">
        <v>22</v>
      </c>
      <c r="CL414" t="s">
        <v>89</v>
      </c>
    </row>
    <row r="415" spans="1:90" x14ac:dyDescent="0.3">
      <c r="A415" t="s">
        <v>72</v>
      </c>
      <c r="B415" t="s">
        <v>73</v>
      </c>
      <c r="C415" t="s">
        <v>74</v>
      </c>
      <c r="E415" t="str">
        <f>"080065200053"</f>
        <v>080065200053</v>
      </c>
      <c r="F415" s="3">
        <v>45783</v>
      </c>
      <c r="G415">
        <v>202602</v>
      </c>
      <c r="H415" t="s">
        <v>75</v>
      </c>
      <c r="I415" t="s">
        <v>76</v>
      </c>
      <c r="J415" t="s">
        <v>77</v>
      </c>
      <c r="K415" t="s">
        <v>78</v>
      </c>
      <c r="L415" t="s">
        <v>130</v>
      </c>
      <c r="M415" t="s">
        <v>131</v>
      </c>
      <c r="N415" t="s">
        <v>909</v>
      </c>
      <c r="O415" t="s">
        <v>300</v>
      </c>
      <c r="P415" t="str">
        <f>"4170037131                    "</f>
        <v xml:space="preserve">4170037131                    </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48.06</v>
      </c>
      <c r="AR415">
        <v>0</v>
      </c>
      <c r="AS415">
        <v>0</v>
      </c>
      <c r="AT415">
        <v>0</v>
      </c>
      <c r="AU415">
        <v>0</v>
      </c>
      <c r="AV415">
        <v>0</v>
      </c>
      <c r="AW415">
        <v>0</v>
      </c>
      <c r="AX415">
        <v>0</v>
      </c>
      <c r="AY415">
        <v>0</v>
      </c>
      <c r="AZ415">
        <v>0</v>
      </c>
      <c r="BA415">
        <v>0</v>
      </c>
      <c r="BB415">
        <v>0</v>
      </c>
      <c r="BC415">
        <v>0</v>
      </c>
      <c r="BD415">
        <v>0</v>
      </c>
      <c r="BE415">
        <v>0</v>
      </c>
      <c r="BF415">
        <v>0</v>
      </c>
      <c r="BG415">
        <v>0</v>
      </c>
      <c r="BH415">
        <v>1</v>
      </c>
      <c r="BI415">
        <v>6</v>
      </c>
      <c r="BJ415">
        <v>17.7</v>
      </c>
      <c r="BK415">
        <v>18</v>
      </c>
      <c r="BL415">
        <v>159.25</v>
      </c>
      <c r="BM415">
        <v>23.89</v>
      </c>
      <c r="BN415">
        <v>183.14</v>
      </c>
      <c r="BO415">
        <v>183.14</v>
      </c>
      <c r="BQ415" t="s">
        <v>910</v>
      </c>
      <c r="BR415" t="s">
        <v>84</v>
      </c>
      <c r="BS415" s="3">
        <v>45785</v>
      </c>
      <c r="BT415" s="4">
        <v>0.34722222222222221</v>
      </c>
      <c r="BU415" t="s">
        <v>911</v>
      </c>
      <c r="BV415" t="s">
        <v>86</v>
      </c>
      <c r="BY415">
        <v>88320</v>
      </c>
      <c r="CA415" t="s">
        <v>712</v>
      </c>
      <c r="CC415" t="s">
        <v>131</v>
      </c>
      <c r="CD415">
        <v>7530</v>
      </c>
      <c r="CE415" t="s">
        <v>96</v>
      </c>
      <c r="CF415" s="3">
        <v>45786</v>
      </c>
      <c r="CI415">
        <v>3</v>
      </c>
      <c r="CJ415">
        <v>2</v>
      </c>
      <c r="CK415">
        <v>41</v>
      </c>
      <c r="CL415" t="s">
        <v>89</v>
      </c>
    </row>
    <row r="416" spans="1:90" x14ac:dyDescent="0.3">
      <c r="A416" t="s">
        <v>72</v>
      </c>
      <c r="B416" t="s">
        <v>73</v>
      </c>
      <c r="C416" t="s">
        <v>74</v>
      </c>
      <c r="E416" t="str">
        <f>"080065200133"</f>
        <v>080065200133</v>
      </c>
      <c r="F416" s="3">
        <v>45783</v>
      </c>
      <c r="G416">
        <v>202602</v>
      </c>
      <c r="H416" t="s">
        <v>75</v>
      </c>
      <c r="I416" t="s">
        <v>76</v>
      </c>
      <c r="J416" t="s">
        <v>77</v>
      </c>
      <c r="K416" t="s">
        <v>78</v>
      </c>
      <c r="L416" t="s">
        <v>75</v>
      </c>
      <c r="M416" t="s">
        <v>76</v>
      </c>
      <c r="N416" t="s">
        <v>390</v>
      </c>
      <c r="O416" t="s">
        <v>82</v>
      </c>
      <c r="P416" t="str">
        <f>"4170037125                    "</f>
        <v xml:space="preserve">4170037125                    </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17.27</v>
      </c>
      <c r="AR416">
        <v>0</v>
      </c>
      <c r="AS416">
        <v>0</v>
      </c>
      <c r="AT416">
        <v>0</v>
      </c>
      <c r="AU416">
        <v>0</v>
      </c>
      <c r="AV416">
        <v>0</v>
      </c>
      <c r="AW416">
        <v>0</v>
      </c>
      <c r="AX416">
        <v>0</v>
      </c>
      <c r="AY416">
        <v>0</v>
      </c>
      <c r="AZ416">
        <v>0</v>
      </c>
      <c r="BA416">
        <v>0</v>
      </c>
      <c r="BB416">
        <v>0</v>
      </c>
      <c r="BC416">
        <v>0</v>
      </c>
      <c r="BD416">
        <v>0</v>
      </c>
      <c r="BE416">
        <v>0</v>
      </c>
      <c r="BF416">
        <v>0</v>
      </c>
      <c r="BG416">
        <v>0</v>
      </c>
      <c r="BH416">
        <v>1</v>
      </c>
      <c r="BI416">
        <v>1</v>
      </c>
      <c r="BJ416">
        <v>0.2</v>
      </c>
      <c r="BK416">
        <v>1</v>
      </c>
      <c r="BL416">
        <v>55.23</v>
      </c>
      <c r="BM416">
        <v>8.2799999999999994</v>
      </c>
      <c r="BN416">
        <v>63.51</v>
      </c>
      <c r="BO416">
        <v>63.51</v>
      </c>
      <c r="BQ416" t="s">
        <v>391</v>
      </c>
      <c r="BR416" t="s">
        <v>84</v>
      </c>
      <c r="BS416" s="3">
        <v>45784</v>
      </c>
      <c r="BT416" s="4">
        <v>0.34027777777777779</v>
      </c>
      <c r="BU416" t="s">
        <v>1060</v>
      </c>
      <c r="BV416" t="s">
        <v>86</v>
      </c>
      <c r="BY416">
        <v>1200</v>
      </c>
      <c r="CA416" t="s">
        <v>115</v>
      </c>
      <c r="CC416" t="s">
        <v>76</v>
      </c>
      <c r="CD416">
        <v>1600</v>
      </c>
      <c r="CE416" t="s">
        <v>88</v>
      </c>
      <c r="CF416" s="3">
        <v>45784</v>
      </c>
      <c r="CI416">
        <v>1</v>
      </c>
      <c r="CJ416">
        <v>1</v>
      </c>
      <c r="CK416">
        <v>22</v>
      </c>
      <c r="CL416" t="s">
        <v>89</v>
      </c>
    </row>
    <row r="417" spans="1:90" x14ac:dyDescent="0.3">
      <c r="A417" t="s">
        <v>72</v>
      </c>
      <c r="B417" t="s">
        <v>73</v>
      </c>
      <c r="C417" t="s">
        <v>74</v>
      </c>
      <c r="E417" t="str">
        <f>"080065201302"</f>
        <v>080065201302</v>
      </c>
      <c r="F417" s="3">
        <v>45783</v>
      </c>
      <c r="G417">
        <v>202602</v>
      </c>
      <c r="H417" t="s">
        <v>75</v>
      </c>
      <c r="I417" t="s">
        <v>76</v>
      </c>
      <c r="J417" t="s">
        <v>77</v>
      </c>
      <c r="K417" t="s">
        <v>78</v>
      </c>
      <c r="L417" t="s">
        <v>97</v>
      </c>
      <c r="M417" t="s">
        <v>98</v>
      </c>
      <c r="N417" t="s">
        <v>1061</v>
      </c>
      <c r="O417" t="s">
        <v>82</v>
      </c>
      <c r="P417" t="str">
        <f>"4170037137                    "</f>
        <v xml:space="preserve">4170037137                    </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17.27</v>
      </c>
      <c r="AR417">
        <v>0</v>
      </c>
      <c r="AS417">
        <v>0</v>
      </c>
      <c r="AT417">
        <v>0</v>
      </c>
      <c r="AU417">
        <v>0</v>
      </c>
      <c r="AV417">
        <v>0</v>
      </c>
      <c r="AW417">
        <v>0</v>
      </c>
      <c r="AX417">
        <v>0</v>
      </c>
      <c r="AY417">
        <v>0</v>
      </c>
      <c r="AZ417">
        <v>0</v>
      </c>
      <c r="BA417">
        <v>0</v>
      </c>
      <c r="BB417">
        <v>0</v>
      </c>
      <c r="BC417">
        <v>0</v>
      </c>
      <c r="BD417">
        <v>0</v>
      </c>
      <c r="BE417">
        <v>0</v>
      </c>
      <c r="BF417">
        <v>0</v>
      </c>
      <c r="BG417">
        <v>0</v>
      </c>
      <c r="BH417">
        <v>1</v>
      </c>
      <c r="BI417">
        <v>1</v>
      </c>
      <c r="BJ417">
        <v>0.2</v>
      </c>
      <c r="BK417">
        <v>1</v>
      </c>
      <c r="BL417">
        <v>55.23</v>
      </c>
      <c r="BM417">
        <v>8.2799999999999994</v>
      </c>
      <c r="BN417">
        <v>63.51</v>
      </c>
      <c r="BO417">
        <v>63.51</v>
      </c>
      <c r="BQ417" t="s">
        <v>1062</v>
      </c>
      <c r="BR417" t="s">
        <v>84</v>
      </c>
      <c r="BS417" s="3">
        <v>45784</v>
      </c>
      <c r="BT417" s="4">
        <v>0.44305555555555554</v>
      </c>
      <c r="BU417" t="s">
        <v>1063</v>
      </c>
      <c r="BV417" t="s">
        <v>89</v>
      </c>
      <c r="BW417" t="s">
        <v>148</v>
      </c>
      <c r="BX417" t="s">
        <v>1064</v>
      </c>
      <c r="BY417">
        <v>1200</v>
      </c>
      <c r="CA417" t="s">
        <v>1065</v>
      </c>
      <c r="CC417" t="s">
        <v>98</v>
      </c>
      <c r="CD417">
        <v>1459</v>
      </c>
      <c r="CE417" t="s">
        <v>88</v>
      </c>
      <c r="CF417" s="3">
        <v>45784</v>
      </c>
      <c r="CI417">
        <v>1</v>
      </c>
      <c r="CJ417">
        <v>1</v>
      </c>
      <c r="CK417">
        <v>22</v>
      </c>
      <c r="CL417" t="s">
        <v>89</v>
      </c>
    </row>
    <row r="418" spans="1:90" x14ac:dyDescent="0.3">
      <c r="A418" t="s">
        <v>72</v>
      </c>
      <c r="B418" t="s">
        <v>73</v>
      </c>
      <c r="C418" t="s">
        <v>74</v>
      </c>
      <c r="E418" t="str">
        <f>"080065201361"</f>
        <v>080065201361</v>
      </c>
      <c r="F418" s="3">
        <v>45783</v>
      </c>
      <c r="G418">
        <v>202602</v>
      </c>
      <c r="H418" t="s">
        <v>75</v>
      </c>
      <c r="I418" t="s">
        <v>76</v>
      </c>
      <c r="J418" t="s">
        <v>77</v>
      </c>
      <c r="K418" t="s">
        <v>78</v>
      </c>
      <c r="L418" t="s">
        <v>123</v>
      </c>
      <c r="M418" t="s">
        <v>123</v>
      </c>
      <c r="N418" t="s">
        <v>766</v>
      </c>
      <c r="O418" t="s">
        <v>300</v>
      </c>
      <c r="P418" t="str">
        <f>"4170037136                    "</f>
        <v xml:space="preserve">4170037136                    </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106.52</v>
      </c>
      <c r="AR418">
        <v>0</v>
      </c>
      <c r="AS418">
        <v>0</v>
      </c>
      <c r="AT418">
        <v>0</v>
      </c>
      <c r="AU418">
        <v>0</v>
      </c>
      <c r="AV418">
        <v>0</v>
      </c>
      <c r="AW418">
        <v>0</v>
      </c>
      <c r="AX418">
        <v>0</v>
      </c>
      <c r="AY418">
        <v>0</v>
      </c>
      <c r="AZ418">
        <v>0</v>
      </c>
      <c r="BA418">
        <v>0</v>
      </c>
      <c r="BB418">
        <v>0</v>
      </c>
      <c r="BC418">
        <v>0</v>
      </c>
      <c r="BD418">
        <v>0</v>
      </c>
      <c r="BE418">
        <v>0</v>
      </c>
      <c r="BF418">
        <v>0</v>
      </c>
      <c r="BG418">
        <v>0</v>
      </c>
      <c r="BH418">
        <v>1</v>
      </c>
      <c r="BI418">
        <v>30</v>
      </c>
      <c r="BJ418">
        <v>17.7</v>
      </c>
      <c r="BK418">
        <v>30</v>
      </c>
      <c r="BL418">
        <v>346.19</v>
      </c>
      <c r="BM418">
        <v>51.93</v>
      </c>
      <c r="BN418">
        <v>398.12</v>
      </c>
      <c r="BO418">
        <v>398.12</v>
      </c>
      <c r="BQ418" t="s">
        <v>767</v>
      </c>
      <c r="BR418" t="s">
        <v>84</v>
      </c>
      <c r="BS418" s="3">
        <v>45785</v>
      </c>
      <c r="BT418" s="4">
        <v>0.57638888888888884</v>
      </c>
      <c r="BU418" t="s">
        <v>768</v>
      </c>
      <c r="BV418" t="s">
        <v>86</v>
      </c>
      <c r="BY418">
        <v>88320</v>
      </c>
      <c r="CA418" t="s">
        <v>128</v>
      </c>
      <c r="CC418" t="s">
        <v>123</v>
      </c>
      <c r="CD418">
        <v>7646</v>
      </c>
      <c r="CE418" t="s">
        <v>96</v>
      </c>
      <c r="CF418" s="3">
        <v>45786</v>
      </c>
      <c r="CI418">
        <v>3</v>
      </c>
      <c r="CJ418">
        <v>2</v>
      </c>
      <c r="CK418">
        <v>43</v>
      </c>
      <c r="CL418" t="s">
        <v>89</v>
      </c>
    </row>
    <row r="419" spans="1:90" x14ac:dyDescent="0.3">
      <c r="A419" t="s">
        <v>72</v>
      </c>
      <c r="B419" t="s">
        <v>73</v>
      </c>
      <c r="C419" t="s">
        <v>74</v>
      </c>
      <c r="E419" t="str">
        <f>"080065201416"</f>
        <v>080065201416</v>
      </c>
      <c r="F419" s="3">
        <v>45783</v>
      </c>
      <c r="G419">
        <v>202602</v>
      </c>
      <c r="H419" t="s">
        <v>75</v>
      </c>
      <c r="I419" t="s">
        <v>76</v>
      </c>
      <c r="J419" t="s">
        <v>77</v>
      </c>
      <c r="K419" t="s">
        <v>78</v>
      </c>
      <c r="L419" t="s">
        <v>130</v>
      </c>
      <c r="M419" t="s">
        <v>131</v>
      </c>
      <c r="N419" t="s">
        <v>1066</v>
      </c>
      <c r="O419" t="s">
        <v>82</v>
      </c>
      <c r="P419" t="str">
        <f>"4170037140                    "</f>
        <v xml:space="preserve">4170037140                    </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22.11</v>
      </c>
      <c r="AR419">
        <v>0</v>
      </c>
      <c r="AS419">
        <v>0</v>
      </c>
      <c r="AT419">
        <v>0</v>
      </c>
      <c r="AU419">
        <v>0</v>
      </c>
      <c r="AV419">
        <v>0</v>
      </c>
      <c r="AW419">
        <v>0</v>
      </c>
      <c r="AX419">
        <v>0</v>
      </c>
      <c r="AY419">
        <v>0</v>
      </c>
      <c r="AZ419">
        <v>0</v>
      </c>
      <c r="BA419">
        <v>0</v>
      </c>
      <c r="BB419">
        <v>0</v>
      </c>
      <c r="BC419">
        <v>0</v>
      </c>
      <c r="BD419">
        <v>0</v>
      </c>
      <c r="BE419">
        <v>0</v>
      </c>
      <c r="BF419">
        <v>0</v>
      </c>
      <c r="BG419">
        <v>0</v>
      </c>
      <c r="BH419">
        <v>1</v>
      </c>
      <c r="BI419">
        <v>2</v>
      </c>
      <c r="BJ419">
        <v>1.9</v>
      </c>
      <c r="BK419">
        <v>2</v>
      </c>
      <c r="BL419">
        <v>70.709999999999994</v>
      </c>
      <c r="BM419">
        <v>10.61</v>
      </c>
      <c r="BN419">
        <v>81.319999999999993</v>
      </c>
      <c r="BO419">
        <v>81.319999999999993</v>
      </c>
      <c r="BQ419" t="s">
        <v>1067</v>
      </c>
      <c r="BR419" t="s">
        <v>84</v>
      </c>
      <c r="BS419" s="3">
        <v>45784</v>
      </c>
      <c r="BT419" s="4">
        <v>0.40416666666666667</v>
      </c>
      <c r="BU419" t="s">
        <v>1068</v>
      </c>
      <c r="BV419" t="s">
        <v>86</v>
      </c>
      <c r="BY419">
        <v>9600</v>
      </c>
      <c r="CA419" t="s">
        <v>712</v>
      </c>
      <c r="CC419" t="s">
        <v>131</v>
      </c>
      <c r="CD419">
        <v>7561</v>
      </c>
      <c r="CE419" t="s">
        <v>96</v>
      </c>
      <c r="CF419" s="3">
        <v>45785</v>
      </c>
      <c r="CI419">
        <v>1</v>
      </c>
      <c r="CJ419">
        <v>1</v>
      </c>
      <c r="CK419">
        <v>21</v>
      </c>
      <c r="CL419" t="s">
        <v>89</v>
      </c>
    </row>
    <row r="420" spans="1:90" x14ac:dyDescent="0.3">
      <c r="A420" t="s">
        <v>72</v>
      </c>
      <c r="B420" t="s">
        <v>73</v>
      </c>
      <c r="C420" t="s">
        <v>74</v>
      </c>
      <c r="E420" t="str">
        <f>"080065201937"</f>
        <v>080065201937</v>
      </c>
      <c r="F420" s="3">
        <v>45783</v>
      </c>
      <c r="G420">
        <v>202602</v>
      </c>
      <c r="H420" t="s">
        <v>75</v>
      </c>
      <c r="I420" t="s">
        <v>76</v>
      </c>
      <c r="J420" t="s">
        <v>77</v>
      </c>
      <c r="K420" t="s">
        <v>78</v>
      </c>
      <c r="L420" t="s">
        <v>75</v>
      </c>
      <c r="M420" t="s">
        <v>76</v>
      </c>
      <c r="N420" t="s">
        <v>346</v>
      </c>
      <c r="O420" t="s">
        <v>82</v>
      </c>
      <c r="P420" t="str">
        <f>"4170037099                    "</f>
        <v xml:space="preserve">4170037099                    </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17.27</v>
      </c>
      <c r="AR420">
        <v>0</v>
      </c>
      <c r="AS420">
        <v>0</v>
      </c>
      <c r="AT420">
        <v>0</v>
      </c>
      <c r="AU420">
        <v>0</v>
      </c>
      <c r="AV420">
        <v>0</v>
      </c>
      <c r="AW420">
        <v>0</v>
      </c>
      <c r="AX420">
        <v>0</v>
      </c>
      <c r="AY420">
        <v>0</v>
      </c>
      <c r="AZ420">
        <v>0</v>
      </c>
      <c r="BA420">
        <v>0</v>
      </c>
      <c r="BB420">
        <v>0</v>
      </c>
      <c r="BC420">
        <v>0</v>
      </c>
      <c r="BD420">
        <v>0</v>
      </c>
      <c r="BE420">
        <v>0</v>
      </c>
      <c r="BF420">
        <v>0</v>
      </c>
      <c r="BG420">
        <v>0</v>
      </c>
      <c r="BH420">
        <v>1</v>
      </c>
      <c r="BI420">
        <v>1</v>
      </c>
      <c r="BJ420">
        <v>0.2</v>
      </c>
      <c r="BK420">
        <v>1</v>
      </c>
      <c r="BL420">
        <v>55.23</v>
      </c>
      <c r="BM420">
        <v>8.2799999999999994</v>
      </c>
      <c r="BN420">
        <v>63.51</v>
      </c>
      <c r="BO420">
        <v>63.51</v>
      </c>
      <c r="BQ420" t="s">
        <v>347</v>
      </c>
      <c r="BR420" t="s">
        <v>84</v>
      </c>
      <c r="BS420" s="3">
        <v>45784</v>
      </c>
      <c r="BT420" s="4">
        <v>0.37847222222222221</v>
      </c>
      <c r="BU420" t="s">
        <v>348</v>
      </c>
      <c r="BV420" t="s">
        <v>86</v>
      </c>
      <c r="BY420">
        <v>1200</v>
      </c>
      <c r="CA420" t="s">
        <v>349</v>
      </c>
      <c r="CC420" t="s">
        <v>76</v>
      </c>
      <c r="CD420">
        <v>1619</v>
      </c>
      <c r="CE420" t="s">
        <v>88</v>
      </c>
      <c r="CF420" s="3">
        <v>45785</v>
      </c>
      <c r="CI420">
        <v>1</v>
      </c>
      <c r="CJ420">
        <v>1</v>
      </c>
      <c r="CK420">
        <v>22</v>
      </c>
      <c r="CL420" t="s">
        <v>89</v>
      </c>
    </row>
    <row r="421" spans="1:90" x14ac:dyDescent="0.3">
      <c r="A421" t="s">
        <v>72</v>
      </c>
      <c r="B421" t="s">
        <v>73</v>
      </c>
      <c r="C421" t="s">
        <v>74</v>
      </c>
      <c r="E421" t="str">
        <f>"080065201967"</f>
        <v>080065201967</v>
      </c>
      <c r="F421" s="3">
        <v>45783</v>
      </c>
      <c r="G421">
        <v>202602</v>
      </c>
      <c r="H421" t="s">
        <v>75</v>
      </c>
      <c r="I421" t="s">
        <v>76</v>
      </c>
      <c r="J421" t="s">
        <v>77</v>
      </c>
      <c r="K421" t="s">
        <v>78</v>
      </c>
      <c r="L421" t="s">
        <v>232</v>
      </c>
      <c r="M421" t="s">
        <v>233</v>
      </c>
      <c r="N421" t="s">
        <v>1069</v>
      </c>
      <c r="O421" t="s">
        <v>82</v>
      </c>
      <c r="P421" t="str">
        <f>"4170036681                    "</f>
        <v xml:space="preserve">4170036681                    </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22.11</v>
      </c>
      <c r="AR421">
        <v>0</v>
      </c>
      <c r="AS421">
        <v>0</v>
      </c>
      <c r="AT421">
        <v>0</v>
      </c>
      <c r="AU421">
        <v>0</v>
      </c>
      <c r="AV421">
        <v>0</v>
      </c>
      <c r="AW421">
        <v>0</v>
      </c>
      <c r="AX421">
        <v>0</v>
      </c>
      <c r="AY421">
        <v>0</v>
      </c>
      <c r="AZ421">
        <v>0</v>
      </c>
      <c r="BA421">
        <v>0</v>
      </c>
      <c r="BB421">
        <v>0</v>
      </c>
      <c r="BC421">
        <v>0</v>
      </c>
      <c r="BD421">
        <v>0</v>
      </c>
      <c r="BE421">
        <v>0</v>
      </c>
      <c r="BF421">
        <v>0</v>
      </c>
      <c r="BG421">
        <v>0</v>
      </c>
      <c r="BH421">
        <v>1</v>
      </c>
      <c r="BI421">
        <v>1.3</v>
      </c>
      <c r="BJ421">
        <v>0.9</v>
      </c>
      <c r="BK421">
        <v>1.5</v>
      </c>
      <c r="BL421">
        <v>70.709999999999994</v>
      </c>
      <c r="BM421">
        <v>10.61</v>
      </c>
      <c r="BN421">
        <v>81.319999999999993</v>
      </c>
      <c r="BO421">
        <v>81.319999999999993</v>
      </c>
      <c r="BQ421" t="s">
        <v>1070</v>
      </c>
      <c r="BR421" t="s">
        <v>84</v>
      </c>
      <c r="BS421" s="3">
        <v>45784</v>
      </c>
      <c r="BT421" s="4">
        <v>0.39305555555555555</v>
      </c>
      <c r="BU421" t="s">
        <v>257</v>
      </c>
      <c r="BV421" t="s">
        <v>86</v>
      </c>
      <c r="BY421">
        <v>4368.32</v>
      </c>
      <c r="CA421" t="s">
        <v>258</v>
      </c>
      <c r="CC421" t="s">
        <v>233</v>
      </c>
      <c r="CD421" s="5" t="s">
        <v>238</v>
      </c>
      <c r="CE421" t="s">
        <v>116</v>
      </c>
      <c r="CF421" s="3">
        <v>45784</v>
      </c>
      <c r="CI421">
        <v>1</v>
      </c>
      <c r="CJ421">
        <v>1</v>
      </c>
      <c r="CK421">
        <v>21</v>
      </c>
      <c r="CL421" t="s">
        <v>89</v>
      </c>
    </row>
    <row r="422" spans="1:90" x14ac:dyDescent="0.3">
      <c r="A422" t="s">
        <v>72</v>
      </c>
      <c r="B422" t="s">
        <v>73</v>
      </c>
      <c r="C422" t="s">
        <v>74</v>
      </c>
      <c r="E422" t="str">
        <f>"080065202036"</f>
        <v>080065202036</v>
      </c>
      <c r="F422" s="3">
        <v>45783</v>
      </c>
      <c r="G422">
        <v>202602</v>
      </c>
      <c r="H422" t="s">
        <v>75</v>
      </c>
      <c r="I422" t="s">
        <v>76</v>
      </c>
      <c r="J422" t="s">
        <v>77</v>
      </c>
      <c r="K422" t="s">
        <v>78</v>
      </c>
      <c r="L422" t="s">
        <v>222</v>
      </c>
      <c r="M422" t="s">
        <v>223</v>
      </c>
      <c r="N422" t="s">
        <v>224</v>
      </c>
      <c r="O422" t="s">
        <v>82</v>
      </c>
      <c r="P422" t="str">
        <f>"4170037134                    "</f>
        <v xml:space="preserve">4170037134                    </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31.1</v>
      </c>
      <c r="AR422">
        <v>0</v>
      </c>
      <c r="AS422">
        <v>0</v>
      </c>
      <c r="AT422">
        <v>0</v>
      </c>
      <c r="AU422">
        <v>0</v>
      </c>
      <c r="AV422">
        <v>0</v>
      </c>
      <c r="AW422">
        <v>0</v>
      </c>
      <c r="AX422">
        <v>0</v>
      </c>
      <c r="AY422">
        <v>0</v>
      </c>
      <c r="AZ422">
        <v>0</v>
      </c>
      <c r="BA422">
        <v>0</v>
      </c>
      <c r="BB422">
        <v>0</v>
      </c>
      <c r="BC422">
        <v>0</v>
      </c>
      <c r="BD422">
        <v>0</v>
      </c>
      <c r="BE422">
        <v>0</v>
      </c>
      <c r="BF422">
        <v>0</v>
      </c>
      <c r="BG422">
        <v>0</v>
      </c>
      <c r="BH422">
        <v>1</v>
      </c>
      <c r="BI422">
        <v>1</v>
      </c>
      <c r="BJ422">
        <v>0.8</v>
      </c>
      <c r="BK422">
        <v>1</v>
      </c>
      <c r="BL422">
        <v>99.45</v>
      </c>
      <c r="BM422">
        <v>14.92</v>
      </c>
      <c r="BN422">
        <v>114.37</v>
      </c>
      <c r="BO422">
        <v>114.37</v>
      </c>
      <c r="BQ422" t="s">
        <v>225</v>
      </c>
      <c r="BR422" t="s">
        <v>84</v>
      </c>
      <c r="BS422" s="3">
        <v>45784</v>
      </c>
      <c r="BT422" s="4">
        <v>0.39305555555555555</v>
      </c>
      <c r="BU422" t="s">
        <v>655</v>
      </c>
      <c r="BV422" t="s">
        <v>86</v>
      </c>
      <c r="BY422">
        <v>3840</v>
      </c>
      <c r="CA422" t="s">
        <v>227</v>
      </c>
      <c r="CC422" t="s">
        <v>223</v>
      </c>
      <c r="CD422">
        <v>1754</v>
      </c>
      <c r="CE422" t="s">
        <v>221</v>
      </c>
      <c r="CF422" s="3">
        <v>45785</v>
      </c>
      <c r="CI422">
        <v>1</v>
      </c>
      <c r="CJ422">
        <v>1</v>
      </c>
      <c r="CK422">
        <v>24</v>
      </c>
      <c r="CL422" t="s">
        <v>89</v>
      </c>
    </row>
    <row r="423" spans="1:90" x14ac:dyDescent="0.3">
      <c r="A423" t="s">
        <v>72</v>
      </c>
      <c r="B423" t="s">
        <v>73</v>
      </c>
      <c r="C423" t="s">
        <v>74</v>
      </c>
      <c r="E423" t="str">
        <f>"080065202072"</f>
        <v>080065202072</v>
      </c>
      <c r="F423" s="3">
        <v>45783</v>
      </c>
      <c r="G423">
        <v>202602</v>
      </c>
      <c r="H423" t="s">
        <v>75</v>
      </c>
      <c r="I423" t="s">
        <v>76</v>
      </c>
      <c r="J423" t="s">
        <v>77</v>
      </c>
      <c r="K423" t="s">
        <v>78</v>
      </c>
      <c r="L423" t="s">
        <v>136</v>
      </c>
      <c r="M423" t="s">
        <v>137</v>
      </c>
      <c r="N423" t="s">
        <v>735</v>
      </c>
      <c r="O423" t="s">
        <v>82</v>
      </c>
      <c r="P423" t="str">
        <f>"4170037135                    "</f>
        <v xml:space="preserve">4170037135                    </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27.64</v>
      </c>
      <c r="AR423">
        <v>0</v>
      </c>
      <c r="AS423">
        <v>0</v>
      </c>
      <c r="AT423">
        <v>0</v>
      </c>
      <c r="AU423">
        <v>0</v>
      </c>
      <c r="AV423">
        <v>0</v>
      </c>
      <c r="AW423">
        <v>0</v>
      </c>
      <c r="AX423">
        <v>0</v>
      </c>
      <c r="AY423">
        <v>0</v>
      </c>
      <c r="AZ423">
        <v>0</v>
      </c>
      <c r="BA423">
        <v>0</v>
      </c>
      <c r="BB423">
        <v>0</v>
      </c>
      <c r="BC423">
        <v>0</v>
      </c>
      <c r="BD423">
        <v>0</v>
      </c>
      <c r="BE423">
        <v>0</v>
      </c>
      <c r="BF423">
        <v>0</v>
      </c>
      <c r="BG423">
        <v>0</v>
      </c>
      <c r="BH423">
        <v>1</v>
      </c>
      <c r="BI423">
        <v>1</v>
      </c>
      <c r="BJ423">
        <v>2.4</v>
      </c>
      <c r="BK423">
        <v>2.5</v>
      </c>
      <c r="BL423">
        <v>88.38</v>
      </c>
      <c r="BM423">
        <v>13.26</v>
      </c>
      <c r="BN423">
        <v>101.64</v>
      </c>
      <c r="BO423">
        <v>101.64</v>
      </c>
      <c r="BQ423" t="s">
        <v>736</v>
      </c>
      <c r="BR423" t="s">
        <v>84</v>
      </c>
      <c r="BS423" s="3">
        <v>45784</v>
      </c>
      <c r="BT423" s="4">
        <v>0.37361111111111112</v>
      </c>
      <c r="BU423" t="s">
        <v>737</v>
      </c>
      <c r="BV423" t="s">
        <v>86</v>
      </c>
      <c r="BY423">
        <v>11776</v>
      </c>
      <c r="CA423" t="s">
        <v>258</v>
      </c>
      <c r="CC423" t="s">
        <v>137</v>
      </c>
      <c r="CD423" s="5" t="s">
        <v>738</v>
      </c>
      <c r="CE423" t="s">
        <v>221</v>
      </c>
      <c r="CF423" s="3">
        <v>45784</v>
      </c>
      <c r="CI423">
        <v>1</v>
      </c>
      <c r="CJ423">
        <v>1</v>
      </c>
      <c r="CK423">
        <v>21</v>
      </c>
      <c r="CL423" t="s">
        <v>89</v>
      </c>
    </row>
    <row r="424" spans="1:90" x14ac:dyDescent="0.3">
      <c r="A424" t="s">
        <v>72</v>
      </c>
      <c r="B424" t="s">
        <v>73</v>
      </c>
      <c r="C424" t="s">
        <v>74</v>
      </c>
      <c r="E424" t="str">
        <f>"080065202121"</f>
        <v>080065202121</v>
      </c>
      <c r="F424" s="3">
        <v>45783</v>
      </c>
      <c r="G424">
        <v>202602</v>
      </c>
      <c r="H424" t="s">
        <v>75</v>
      </c>
      <c r="I424" t="s">
        <v>76</v>
      </c>
      <c r="J424" t="s">
        <v>77</v>
      </c>
      <c r="K424" t="s">
        <v>78</v>
      </c>
      <c r="L424" t="s">
        <v>130</v>
      </c>
      <c r="M424" t="s">
        <v>131</v>
      </c>
      <c r="N424" t="s">
        <v>1066</v>
      </c>
      <c r="O424" t="s">
        <v>82</v>
      </c>
      <c r="P424" t="str">
        <f>"4170037139                    "</f>
        <v xml:space="preserve">4170037139                    </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99.44</v>
      </c>
      <c r="AR424">
        <v>0</v>
      </c>
      <c r="AS424">
        <v>0</v>
      </c>
      <c r="AT424">
        <v>0</v>
      </c>
      <c r="AU424">
        <v>0</v>
      </c>
      <c r="AV424">
        <v>0</v>
      </c>
      <c r="AW424">
        <v>0</v>
      </c>
      <c r="AX424">
        <v>0</v>
      </c>
      <c r="AY424">
        <v>0</v>
      </c>
      <c r="AZ424">
        <v>0</v>
      </c>
      <c r="BA424">
        <v>0</v>
      </c>
      <c r="BB424">
        <v>0</v>
      </c>
      <c r="BC424">
        <v>0</v>
      </c>
      <c r="BD424">
        <v>0</v>
      </c>
      <c r="BE424">
        <v>0</v>
      </c>
      <c r="BF424">
        <v>0</v>
      </c>
      <c r="BG424">
        <v>0</v>
      </c>
      <c r="BH424">
        <v>1</v>
      </c>
      <c r="BI424">
        <v>8</v>
      </c>
      <c r="BJ424">
        <v>8.9</v>
      </c>
      <c r="BK424">
        <v>9</v>
      </c>
      <c r="BL424">
        <v>318</v>
      </c>
      <c r="BM424">
        <v>47.7</v>
      </c>
      <c r="BN424">
        <v>365.7</v>
      </c>
      <c r="BO424">
        <v>365.7</v>
      </c>
      <c r="BQ424" t="s">
        <v>1067</v>
      </c>
      <c r="BR424" t="s">
        <v>84</v>
      </c>
      <c r="BS424" s="3">
        <v>45784</v>
      </c>
      <c r="BT424" s="4">
        <v>0.40416666666666667</v>
      </c>
      <c r="BU424" t="s">
        <v>1068</v>
      </c>
      <c r="BV424" t="s">
        <v>86</v>
      </c>
      <c r="BY424">
        <v>44640</v>
      </c>
      <c r="CA424" t="s">
        <v>712</v>
      </c>
      <c r="CC424" t="s">
        <v>131</v>
      </c>
      <c r="CD424">
        <v>7561</v>
      </c>
      <c r="CE424" t="s">
        <v>96</v>
      </c>
      <c r="CF424" s="3">
        <v>45785</v>
      </c>
      <c r="CI424">
        <v>1</v>
      </c>
      <c r="CJ424">
        <v>1</v>
      </c>
      <c r="CK424">
        <v>21</v>
      </c>
      <c r="CL424" t="s">
        <v>89</v>
      </c>
    </row>
    <row r="425" spans="1:90" x14ac:dyDescent="0.3">
      <c r="A425" t="s">
        <v>72</v>
      </c>
      <c r="B425" t="s">
        <v>73</v>
      </c>
      <c r="C425" t="s">
        <v>74</v>
      </c>
      <c r="E425" t="str">
        <f>"080065202146"</f>
        <v>080065202146</v>
      </c>
      <c r="F425" s="3">
        <v>45783</v>
      </c>
      <c r="G425">
        <v>202602</v>
      </c>
      <c r="H425" t="s">
        <v>75</v>
      </c>
      <c r="I425" t="s">
        <v>76</v>
      </c>
      <c r="J425" t="s">
        <v>77</v>
      </c>
      <c r="K425" t="s">
        <v>78</v>
      </c>
      <c r="L425" t="s">
        <v>79</v>
      </c>
      <c r="M425" t="s">
        <v>80</v>
      </c>
      <c r="N425" t="s">
        <v>452</v>
      </c>
      <c r="O425" t="s">
        <v>82</v>
      </c>
      <c r="P425" t="str">
        <f>"4170037098                    "</f>
        <v xml:space="preserve">4170037098                    </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22.11</v>
      </c>
      <c r="AR425">
        <v>0</v>
      </c>
      <c r="AS425">
        <v>0</v>
      </c>
      <c r="AT425">
        <v>0</v>
      </c>
      <c r="AU425">
        <v>0</v>
      </c>
      <c r="AV425">
        <v>0</v>
      </c>
      <c r="AW425">
        <v>0</v>
      </c>
      <c r="AX425">
        <v>0</v>
      </c>
      <c r="AY425">
        <v>0</v>
      </c>
      <c r="AZ425">
        <v>0</v>
      </c>
      <c r="BA425">
        <v>0</v>
      </c>
      <c r="BB425">
        <v>0</v>
      </c>
      <c r="BC425">
        <v>0</v>
      </c>
      <c r="BD425">
        <v>0</v>
      </c>
      <c r="BE425">
        <v>0</v>
      </c>
      <c r="BF425">
        <v>0</v>
      </c>
      <c r="BG425">
        <v>0</v>
      </c>
      <c r="BH425">
        <v>1</v>
      </c>
      <c r="BI425">
        <v>1</v>
      </c>
      <c r="BJ425">
        <v>0.2</v>
      </c>
      <c r="BK425">
        <v>1</v>
      </c>
      <c r="BL425">
        <v>70.709999999999994</v>
      </c>
      <c r="BM425">
        <v>10.61</v>
      </c>
      <c r="BN425">
        <v>81.319999999999993</v>
      </c>
      <c r="BO425">
        <v>81.319999999999993</v>
      </c>
      <c r="BQ425" t="s">
        <v>453</v>
      </c>
      <c r="BR425" t="s">
        <v>84</v>
      </c>
      <c r="BS425" s="3">
        <v>45784</v>
      </c>
      <c r="BT425" s="4">
        <v>0.43263888888888891</v>
      </c>
      <c r="BU425" t="s">
        <v>1071</v>
      </c>
      <c r="BV425" t="s">
        <v>86</v>
      </c>
      <c r="BY425">
        <v>1200</v>
      </c>
      <c r="CA425" t="s">
        <v>160</v>
      </c>
      <c r="CC425" t="s">
        <v>80</v>
      </c>
      <c r="CD425">
        <v>3610</v>
      </c>
      <c r="CE425" t="s">
        <v>88</v>
      </c>
      <c r="CF425" s="3">
        <v>45785</v>
      </c>
      <c r="CI425">
        <v>1</v>
      </c>
      <c r="CJ425">
        <v>1</v>
      </c>
      <c r="CK425">
        <v>21</v>
      </c>
      <c r="CL425" t="s">
        <v>89</v>
      </c>
    </row>
    <row r="426" spans="1:90" x14ac:dyDescent="0.3">
      <c r="A426" t="s">
        <v>72</v>
      </c>
      <c r="B426" t="s">
        <v>73</v>
      </c>
      <c r="C426" t="s">
        <v>74</v>
      </c>
      <c r="E426" t="str">
        <f>"080065202315"</f>
        <v>080065202315</v>
      </c>
      <c r="F426" s="3">
        <v>45783</v>
      </c>
      <c r="G426">
        <v>202602</v>
      </c>
      <c r="H426" t="s">
        <v>75</v>
      </c>
      <c r="I426" t="s">
        <v>76</v>
      </c>
      <c r="J426" t="s">
        <v>77</v>
      </c>
      <c r="K426" t="s">
        <v>78</v>
      </c>
      <c r="L426" t="s">
        <v>463</v>
      </c>
      <c r="M426" t="s">
        <v>464</v>
      </c>
      <c r="N426" t="s">
        <v>883</v>
      </c>
      <c r="O426" t="s">
        <v>82</v>
      </c>
      <c r="P426" t="str">
        <f>"4170037144                    "</f>
        <v xml:space="preserve">4170037144                    </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22.11</v>
      </c>
      <c r="AR426">
        <v>0</v>
      </c>
      <c r="AS426">
        <v>0</v>
      </c>
      <c r="AT426">
        <v>0</v>
      </c>
      <c r="AU426">
        <v>0</v>
      </c>
      <c r="AV426">
        <v>0</v>
      </c>
      <c r="AW426">
        <v>0</v>
      </c>
      <c r="AX426">
        <v>0</v>
      </c>
      <c r="AY426">
        <v>0</v>
      </c>
      <c r="AZ426">
        <v>0</v>
      </c>
      <c r="BA426">
        <v>0</v>
      </c>
      <c r="BB426">
        <v>0</v>
      </c>
      <c r="BC426">
        <v>0</v>
      </c>
      <c r="BD426">
        <v>0</v>
      </c>
      <c r="BE426">
        <v>0</v>
      </c>
      <c r="BF426">
        <v>0</v>
      </c>
      <c r="BG426">
        <v>0</v>
      </c>
      <c r="BH426">
        <v>1</v>
      </c>
      <c r="BI426">
        <v>2</v>
      </c>
      <c r="BJ426">
        <v>1.1000000000000001</v>
      </c>
      <c r="BK426">
        <v>2</v>
      </c>
      <c r="BL426">
        <v>70.709999999999994</v>
      </c>
      <c r="BM426">
        <v>10.61</v>
      </c>
      <c r="BN426">
        <v>81.319999999999993</v>
      </c>
      <c r="BO426">
        <v>81.319999999999993</v>
      </c>
      <c r="BQ426" t="s">
        <v>884</v>
      </c>
      <c r="BR426" t="s">
        <v>84</v>
      </c>
      <c r="BS426" s="3">
        <v>45784</v>
      </c>
      <c r="BT426" s="4">
        <v>0.52083333333333337</v>
      </c>
      <c r="BU426" t="s">
        <v>885</v>
      </c>
      <c r="BV426" t="s">
        <v>89</v>
      </c>
      <c r="BY426">
        <v>5320</v>
      </c>
      <c r="CC426" t="s">
        <v>464</v>
      </c>
      <c r="CD426">
        <v>5201</v>
      </c>
      <c r="CE426" t="s">
        <v>96</v>
      </c>
      <c r="CF426" s="3">
        <v>45785</v>
      </c>
      <c r="CI426">
        <v>1</v>
      </c>
      <c r="CJ426">
        <v>1</v>
      </c>
      <c r="CK426">
        <v>21</v>
      </c>
      <c r="CL426" t="s">
        <v>89</v>
      </c>
    </row>
    <row r="427" spans="1:90" x14ac:dyDescent="0.3">
      <c r="A427" t="s">
        <v>72</v>
      </c>
      <c r="B427" t="s">
        <v>73</v>
      </c>
      <c r="C427" t="s">
        <v>74</v>
      </c>
      <c r="E427" t="str">
        <f>"080065202374"</f>
        <v>080065202374</v>
      </c>
      <c r="F427" s="3">
        <v>45783</v>
      </c>
      <c r="G427">
        <v>202602</v>
      </c>
      <c r="H427" t="s">
        <v>75</v>
      </c>
      <c r="I427" t="s">
        <v>76</v>
      </c>
      <c r="J427" t="s">
        <v>77</v>
      </c>
      <c r="K427" t="s">
        <v>78</v>
      </c>
      <c r="L427" t="s">
        <v>90</v>
      </c>
      <c r="M427" t="s">
        <v>91</v>
      </c>
      <c r="N427" t="s">
        <v>563</v>
      </c>
      <c r="O427" t="s">
        <v>82</v>
      </c>
      <c r="P427" t="str">
        <f>"4170037145                    "</f>
        <v xml:space="preserve">4170037145                    </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22.11</v>
      </c>
      <c r="AR427">
        <v>0</v>
      </c>
      <c r="AS427">
        <v>0</v>
      </c>
      <c r="AT427">
        <v>0</v>
      </c>
      <c r="AU427">
        <v>0</v>
      </c>
      <c r="AV427">
        <v>0</v>
      </c>
      <c r="AW427">
        <v>0</v>
      </c>
      <c r="AX427">
        <v>0</v>
      </c>
      <c r="AY427">
        <v>0</v>
      </c>
      <c r="AZ427">
        <v>0</v>
      </c>
      <c r="BA427">
        <v>0</v>
      </c>
      <c r="BB427">
        <v>0</v>
      </c>
      <c r="BC427">
        <v>0</v>
      </c>
      <c r="BD427">
        <v>0</v>
      </c>
      <c r="BE427">
        <v>0</v>
      </c>
      <c r="BF427">
        <v>0</v>
      </c>
      <c r="BG427">
        <v>0</v>
      </c>
      <c r="BH427">
        <v>1</v>
      </c>
      <c r="BI427">
        <v>2</v>
      </c>
      <c r="BJ427">
        <v>1.1000000000000001</v>
      </c>
      <c r="BK427">
        <v>2</v>
      </c>
      <c r="BL427">
        <v>70.709999999999994</v>
      </c>
      <c r="BM427">
        <v>10.61</v>
      </c>
      <c r="BN427">
        <v>81.319999999999993</v>
      </c>
      <c r="BO427">
        <v>81.319999999999993</v>
      </c>
      <c r="BQ427" t="s">
        <v>564</v>
      </c>
      <c r="BR427" t="s">
        <v>84</v>
      </c>
      <c r="BS427" s="3">
        <v>45784</v>
      </c>
      <c r="BT427" s="4">
        <v>0.36805555555555558</v>
      </c>
      <c r="BU427" t="s">
        <v>780</v>
      </c>
      <c r="BV427" t="s">
        <v>86</v>
      </c>
      <c r="BY427">
        <v>5320</v>
      </c>
      <c r="CA427" t="s">
        <v>566</v>
      </c>
      <c r="CC427" t="s">
        <v>91</v>
      </c>
      <c r="CD427">
        <v>6001</v>
      </c>
      <c r="CE427" t="s">
        <v>116</v>
      </c>
      <c r="CF427" s="3">
        <v>45784</v>
      </c>
      <c r="CI427">
        <v>1</v>
      </c>
      <c r="CJ427">
        <v>1</v>
      </c>
      <c r="CK427">
        <v>21</v>
      </c>
      <c r="CL427" t="s">
        <v>89</v>
      </c>
    </row>
    <row r="428" spans="1:90" x14ac:dyDescent="0.3">
      <c r="A428" t="s">
        <v>72</v>
      </c>
      <c r="B428" t="s">
        <v>73</v>
      </c>
      <c r="C428" t="s">
        <v>74</v>
      </c>
      <c r="E428" t="str">
        <f>"080065202404"</f>
        <v>080065202404</v>
      </c>
      <c r="F428" s="3">
        <v>45783</v>
      </c>
      <c r="G428">
        <v>202602</v>
      </c>
      <c r="H428" t="s">
        <v>75</v>
      </c>
      <c r="I428" t="s">
        <v>76</v>
      </c>
      <c r="J428" t="s">
        <v>77</v>
      </c>
      <c r="K428" t="s">
        <v>78</v>
      </c>
      <c r="L428" t="s">
        <v>90</v>
      </c>
      <c r="M428" t="s">
        <v>91</v>
      </c>
      <c r="N428" t="s">
        <v>563</v>
      </c>
      <c r="O428" t="s">
        <v>82</v>
      </c>
      <c r="P428" t="str">
        <f>"4170037143                    "</f>
        <v xml:space="preserve">4170037143                    </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44.21</v>
      </c>
      <c r="AR428">
        <v>0</v>
      </c>
      <c r="AS428">
        <v>0</v>
      </c>
      <c r="AT428">
        <v>0</v>
      </c>
      <c r="AU428">
        <v>0</v>
      </c>
      <c r="AV428">
        <v>0</v>
      </c>
      <c r="AW428">
        <v>0</v>
      </c>
      <c r="AX428">
        <v>0</v>
      </c>
      <c r="AY428">
        <v>0</v>
      </c>
      <c r="AZ428">
        <v>0</v>
      </c>
      <c r="BA428">
        <v>0</v>
      </c>
      <c r="BB428">
        <v>0</v>
      </c>
      <c r="BC428">
        <v>0</v>
      </c>
      <c r="BD428">
        <v>0</v>
      </c>
      <c r="BE428">
        <v>0</v>
      </c>
      <c r="BF428">
        <v>0</v>
      </c>
      <c r="BG428">
        <v>0</v>
      </c>
      <c r="BH428">
        <v>1</v>
      </c>
      <c r="BI428">
        <v>4</v>
      </c>
      <c r="BJ428">
        <v>0.7</v>
      </c>
      <c r="BK428">
        <v>4</v>
      </c>
      <c r="BL428">
        <v>141.37</v>
      </c>
      <c r="BM428">
        <v>21.21</v>
      </c>
      <c r="BN428">
        <v>162.58000000000001</v>
      </c>
      <c r="BO428">
        <v>162.58000000000001</v>
      </c>
      <c r="BQ428" t="s">
        <v>564</v>
      </c>
      <c r="BR428" t="s">
        <v>84</v>
      </c>
      <c r="BS428" s="3">
        <v>45784</v>
      </c>
      <c r="BT428" s="4">
        <v>0.36805555555555558</v>
      </c>
      <c r="BU428" t="s">
        <v>780</v>
      </c>
      <c r="BV428" t="s">
        <v>86</v>
      </c>
      <c r="BY428">
        <v>3744</v>
      </c>
      <c r="CA428" t="s">
        <v>566</v>
      </c>
      <c r="CC428" t="s">
        <v>91</v>
      </c>
      <c r="CD428">
        <v>6001</v>
      </c>
      <c r="CE428" t="s">
        <v>221</v>
      </c>
      <c r="CF428" s="3">
        <v>45784</v>
      </c>
      <c r="CI428">
        <v>1</v>
      </c>
      <c r="CJ428">
        <v>1</v>
      </c>
      <c r="CK428">
        <v>21</v>
      </c>
      <c r="CL428" t="s">
        <v>89</v>
      </c>
    </row>
    <row r="429" spans="1:90" x14ac:dyDescent="0.3">
      <c r="A429" t="s">
        <v>72</v>
      </c>
      <c r="B429" t="s">
        <v>73</v>
      </c>
      <c r="C429" t="s">
        <v>74</v>
      </c>
      <c r="E429" t="str">
        <f>"080011508180"</f>
        <v>080011508180</v>
      </c>
      <c r="F429" s="3">
        <v>45784</v>
      </c>
      <c r="G429">
        <v>202602</v>
      </c>
      <c r="H429" t="s">
        <v>177</v>
      </c>
      <c r="I429" t="s">
        <v>178</v>
      </c>
      <c r="J429" t="s">
        <v>1072</v>
      </c>
      <c r="K429" t="s">
        <v>78</v>
      </c>
      <c r="L429" t="s">
        <v>75</v>
      </c>
      <c r="M429" t="s">
        <v>76</v>
      </c>
      <c r="N429" t="s">
        <v>1035</v>
      </c>
      <c r="O429" t="s">
        <v>300</v>
      </c>
      <c r="P429" t="str">
        <f>"ZA1001381544                  "</f>
        <v xml:space="preserve">ZA1001381544                  </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101.1</v>
      </c>
      <c r="AR429">
        <v>0</v>
      </c>
      <c r="AS429">
        <v>0</v>
      </c>
      <c r="AT429">
        <v>0</v>
      </c>
      <c r="AU429">
        <v>0</v>
      </c>
      <c r="AV429">
        <v>0</v>
      </c>
      <c r="AW429">
        <v>0</v>
      </c>
      <c r="AX429">
        <v>0</v>
      </c>
      <c r="AY429">
        <v>0</v>
      </c>
      <c r="AZ429">
        <v>0</v>
      </c>
      <c r="BA429">
        <v>0</v>
      </c>
      <c r="BB429">
        <v>0</v>
      </c>
      <c r="BC429">
        <v>0</v>
      </c>
      <c r="BD429">
        <v>0</v>
      </c>
      <c r="BE429">
        <v>0</v>
      </c>
      <c r="BF429">
        <v>0</v>
      </c>
      <c r="BG429">
        <v>0</v>
      </c>
      <c r="BH429">
        <v>1</v>
      </c>
      <c r="BI429">
        <v>50</v>
      </c>
      <c r="BJ429">
        <v>29.9</v>
      </c>
      <c r="BK429">
        <v>50</v>
      </c>
      <c r="BL429">
        <v>336.45</v>
      </c>
      <c r="BM429">
        <v>50.47</v>
      </c>
      <c r="BN429">
        <v>386.92</v>
      </c>
      <c r="BO429">
        <v>386.92</v>
      </c>
      <c r="BP429" t="s">
        <v>1073</v>
      </c>
      <c r="BQ429" t="s">
        <v>1037</v>
      </c>
      <c r="BR429" t="s">
        <v>1074</v>
      </c>
      <c r="BS429" s="3">
        <v>45786</v>
      </c>
      <c r="BT429" s="4">
        <v>0.41666666666666669</v>
      </c>
      <c r="BU429" t="s">
        <v>1075</v>
      </c>
      <c r="BV429" t="s">
        <v>86</v>
      </c>
      <c r="BY429">
        <v>149600</v>
      </c>
      <c r="BZ429" t="s">
        <v>303</v>
      </c>
      <c r="CC429" t="s">
        <v>76</v>
      </c>
      <c r="CD429">
        <v>1600</v>
      </c>
      <c r="CE429" t="s">
        <v>419</v>
      </c>
      <c r="CF429" s="3">
        <v>45786</v>
      </c>
      <c r="CI429">
        <v>3</v>
      </c>
      <c r="CJ429">
        <v>2</v>
      </c>
      <c r="CK429">
        <v>41</v>
      </c>
      <c r="CL429" t="s">
        <v>89</v>
      </c>
    </row>
    <row r="430" spans="1:90" x14ac:dyDescent="0.3">
      <c r="A430" t="s">
        <v>72</v>
      </c>
      <c r="B430" t="s">
        <v>73</v>
      </c>
      <c r="C430" t="s">
        <v>74</v>
      </c>
      <c r="E430" t="str">
        <f>"RR080064928190"</f>
        <v>RR080064928190</v>
      </c>
      <c r="F430" s="3">
        <v>45784</v>
      </c>
      <c r="G430">
        <v>202602</v>
      </c>
      <c r="H430" t="s">
        <v>1076</v>
      </c>
      <c r="I430" t="s">
        <v>1077</v>
      </c>
      <c r="J430" t="s">
        <v>1078</v>
      </c>
      <c r="K430" t="s">
        <v>78</v>
      </c>
      <c r="L430" t="s">
        <v>1076</v>
      </c>
      <c r="M430" t="s">
        <v>1077</v>
      </c>
      <c r="N430" t="s">
        <v>1078</v>
      </c>
      <c r="O430" t="s">
        <v>300</v>
      </c>
      <c r="P430" t="str">
        <f>"4170035014                    "</f>
        <v xml:space="preserve">4170035014                    </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31.91</v>
      </c>
      <c r="AR430">
        <v>0</v>
      </c>
      <c r="AS430">
        <v>0</v>
      </c>
      <c r="AT430">
        <v>0</v>
      </c>
      <c r="AU430">
        <v>0</v>
      </c>
      <c r="AV430">
        <v>0</v>
      </c>
      <c r="AW430">
        <v>0</v>
      </c>
      <c r="AX430">
        <v>0</v>
      </c>
      <c r="AY430">
        <v>0</v>
      </c>
      <c r="AZ430">
        <v>0</v>
      </c>
      <c r="BA430">
        <v>0</v>
      </c>
      <c r="BB430">
        <v>0</v>
      </c>
      <c r="BC430">
        <v>0</v>
      </c>
      <c r="BD430">
        <v>0</v>
      </c>
      <c r="BE430">
        <v>0</v>
      </c>
      <c r="BF430">
        <v>0</v>
      </c>
      <c r="BG430">
        <v>0</v>
      </c>
      <c r="BH430">
        <v>1</v>
      </c>
      <c r="BI430">
        <v>1</v>
      </c>
      <c r="BJ430">
        <v>1.7</v>
      </c>
      <c r="BK430">
        <v>2</v>
      </c>
      <c r="BL430">
        <v>110</v>
      </c>
      <c r="BM430">
        <v>16.5</v>
      </c>
      <c r="BN430">
        <v>126.5</v>
      </c>
      <c r="BO430">
        <v>126.5</v>
      </c>
      <c r="BQ430" t="s">
        <v>1079</v>
      </c>
      <c r="BR430" t="s">
        <v>1079</v>
      </c>
      <c r="BS430" s="3">
        <v>45784</v>
      </c>
      <c r="BT430" s="4">
        <v>0.625</v>
      </c>
      <c r="BU430" t="s">
        <v>1080</v>
      </c>
      <c r="BV430" t="s">
        <v>86</v>
      </c>
      <c r="BY430">
        <v>8512</v>
      </c>
      <c r="BZ430" t="s">
        <v>303</v>
      </c>
      <c r="CA430" t="s">
        <v>1081</v>
      </c>
      <c r="CC430" t="s">
        <v>1077</v>
      </c>
      <c r="CD430">
        <v>1540</v>
      </c>
      <c r="CE430" t="s">
        <v>408</v>
      </c>
      <c r="CF430" s="3">
        <v>45785</v>
      </c>
      <c r="CI430">
        <v>1</v>
      </c>
      <c r="CJ430">
        <v>0</v>
      </c>
      <c r="CK430">
        <v>42</v>
      </c>
      <c r="CL430" t="s">
        <v>89</v>
      </c>
    </row>
    <row r="431" spans="1:90" x14ac:dyDescent="0.3">
      <c r="A431" t="s">
        <v>72</v>
      </c>
      <c r="B431" t="s">
        <v>73</v>
      </c>
      <c r="C431" t="s">
        <v>74</v>
      </c>
      <c r="E431" t="str">
        <f>"080065214645"</f>
        <v>080065214645</v>
      </c>
      <c r="F431" s="3">
        <v>45784</v>
      </c>
      <c r="G431">
        <v>202602</v>
      </c>
      <c r="H431" t="s">
        <v>75</v>
      </c>
      <c r="I431" t="s">
        <v>76</v>
      </c>
      <c r="J431" t="s">
        <v>77</v>
      </c>
      <c r="K431" t="s">
        <v>78</v>
      </c>
      <c r="L431" t="s">
        <v>350</v>
      </c>
      <c r="M431" t="s">
        <v>351</v>
      </c>
      <c r="N431" t="s">
        <v>1082</v>
      </c>
      <c r="O431" t="s">
        <v>82</v>
      </c>
      <c r="P431" t="str">
        <f>"4170037195                    "</f>
        <v xml:space="preserve">4170037195                    </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21.38</v>
      </c>
      <c r="AR431">
        <v>0</v>
      </c>
      <c r="AS431">
        <v>0</v>
      </c>
      <c r="AT431">
        <v>0</v>
      </c>
      <c r="AU431">
        <v>0</v>
      </c>
      <c r="AV431">
        <v>0</v>
      </c>
      <c r="AW431">
        <v>0</v>
      </c>
      <c r="AX431">
        <v>0</v>
      </c>
      <c r="AY431">
        <v>0</v>
      </c>
      <c r="AZ431">
        <v>0</v>
      </c>
      <c r="BA431">
        <v>0</v>
      </c>
      <c r="BB431">
        <v>0</v>
      </c>
      <c r="BC431">
        <v>0</v>
      </c>
      <c r="BD431">
        <v>0</v>
      </c>
      <c r="BE431">
        <v>0</v>
      </c>
      <c r="BF431">
        <v>0</v>
      </c>
      <c r="BG431">
        <v>0</v>
      </c>
      <c r="BH431">
        <v>1</v>
      </c>
      <c r="BI431">
        <v>1</v>
      </c>
      <c r="BJ431">
        <v>0.2</v>
      </c>
      <c r="BK431">
        <v>1</v>
      </c>
      <c r="BL431">
        <v>69.98</v>
      </c>
      <c r="BM431">
        <v>10.5</v>
      </c>
      <c r="BN431">
        <v>80.48</v>
      </c>
      <c r="BO431">
        <v>80.48</v>
      </c>
      <c r="BQ431" t="s">
        <v>1083</v>
      </c>
      <c r="BR431" t="s">
        <v>84</v>
      </c>
      <c r="BS431" s="3">
        <v>45785</v>
      </c>
      <c r="BT431" s="4">
        <v>0.38055555555555554</v>
      </c>
      <c r="BU431" t="s">
        <v>1084</v>
      </c>
      <c r="BV431" t="s">
        <v>86</v>
      </c>
      <c r="BY431">
        <v>1200</v>
      </c>
      <c r="CA431" t="s">
        <v>1085</v>
      </c>
      <c r="CC431" t="s">
        <v>351</v>
      </c>
      <c r="CD431">
        <v>4001</v>
      </c>
      <c r="CE431" t="s">
        <v>176</v>
      </c>
      <c r="CF431" s="3">
        <v>45786</v>
      </c>
      <c r="CI431">
        <v>1</v>
      </c>
      <c r="CJ431">
        <v>1</v>
      </c>
      <c r="CK431">
        <v>21</v>
      </c>
      <c r="CL431" t="s">
        <v>89</v>
      </c>
    </row>
    <row r="432" spans="1:90" x14ac:dyDescent="0.3">
      <c r="A432" t="s">
        <v>72</v>
      </c>
      <c r="B432" t="s">
        <v>73</v>
      </c>
      <c r="C432" t="s">
        <v>74</v>
      </c>
      <c r="E432" t="str">
        <f>"080065214731"</f>
        <v>080065214731</v>
      </c>
      <c r="F432" s="3">
        <v>45784</v>
      </c>
      <c r="G432">
        <v>202602</v>
      </c>
      <c r="H432" t="s">
        <v>75</v>
      </c>
      <c r="I432" t="s">
        <v>76</v>
      </c>
      <c r="J432" t="s">
        <v>77</v>
      </c>
      <c r="K432" t="s">
        <v>78</v>
      </c>
      <c r="L432" t="s">
        <v>75</v>
      </c>
      <c r="M432" t="s">
        <v>76</v>
      </c>
      <c r="N432" t="s">
        <v>183</v>
      </c>
      <c r="O432" t="s">
        <v>82</v>
      </c>
      <c r="P432" t="str">
        <f>"4170037189                    "</f>
        <v xml:space="preserve">4170037189                    </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16.7</v>
      </c>
      <c r="AR432">
        <v>0</v>
      </c>
      <c r="AS432">
        <v>0</v>
      </c>
      <c r="AT432">
        <v>0</v>
      </c>
      <c r="AU432">
        <v>0</v>
      </c>
      <c r="AV432">
        <v>0</v>
      </c>
      <c r="AW432">
        <v>0</v>
      </c>
      <c r="AX432">
        <v>0</v>
      </c>
      <c r="AY432">
        <v>0</v>
      </c>
      <c r="AZ432">
        <v>0</v>
      </c>
      <c r="BA432">
        <v>0</v>
      </c>
      <c r="BB432">
        <v>0</v>
      </c>
      <c r="BC432">
        <v>0</v>
      </c>
      <c r="BD432">
        <v>0</v>
      </c>
      <c r="BE432">
        <v>0</v>
      </c>
      <c r="BF432">
        <v>0</v>
      </c>
      <c r="BG432">
        <v>0</v>
      </c>
      <c r="BH432">
        <v>1</v>
      </c>
      <c r="BI432">
        <v>1</v>
      </c>
      <c r="BJ432">
        <v>0.2</v>
      </c>
      <c r="BK432">
        <v>1</v>
      </c>
      <c r="BL432">
        <v>54.66</v>
      </c>
      <c r="BM432">
        <v>8.1999999999999993</v>
      </c>
      <c r="BN432">
        <v>62.86</v>
      </c>
      <c r="BO432">
        <v>62.86</v>
      </c>
      <c r="BQ432" t="s">
        <v>184</v>
      </c>
      <c r="BR432" t="s">
        <v>84</v>
      </c>
      <c r="BS432" s="3">
        <v>45785</v>
      </c>
      <c r="BT432" s="4">
        <v>0.3125</v>
      </c>
      <c r="BU432" t="s">
        <v>1086</v>
      </c>
      <c r="BV432" t="s">
        <v>86</v>
      </c>
      <c r="BY432">
        <v>1200</v>
      </c>
      <c r="CA432" t="s">
        <v>115</v>
      </c>
      <c r="CC432" t="s">
        <v>76</v>
      </c>
      <c r="CD432">
        <v>1600</v>
      </c>
      <c r="CE432" t="s">
        <v>88</v>
      </c>
      <c r="CF432" s="3">
        <v>45785</v>
      </c>
      <c r="CI432">
        <v>1</v>
      </c>
      <c r="CJ432">
        <v>1</v>
      </c>
      <c r="CK432">
        <v>22</v>
      </c>
      <c r="CL432" t="s">
        <v>89</v>
      </c>
    </row>
    <row r="433" spans="1:90" x14ac:dyDescent="0.3">
      <c r="A433" t="s">
        <v>72</v>
      </c>
      <c r="B433" t="s">
        <v>73</v>
      </c>
      <c r="C433" t="s">
        <v>74</v>
      </c>
      <c r="E433" t="str">
        <f>"080065214742"</f>
        <v>080065214742</v>
      </c>
      <c r="F433" s="3">
        <v>45784</v>
      </c>
      <c r="G433">
        <v>202602</v>
      </c>
      <c r="H433" t="s">
        <v>75</v>
      </c>
      <c r="I433" t="s">
        <v>76</v>
      </c>
      <c r="J433" t="s">
        <v>77</v>
      </c>
      <c r="K433" t="s">
        <v>78</v>
      </c>
      <c r="L433" t="s">
        <v>409</v>
      </c>
      <c r="M433" t="s">
        <v>410</v>
      </c>
      <c r="N433" t="s">
        <v>1022</v>
      </c>
      <c r="O433" t="s">
        <v>82</v>
      </c>
      <c r="P433" t="str">
        <f>"4170037180                    "</f>
        <v xml:space="preserve">4170037180                    </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41.43</v>
      </c>
      <c r="AR433">
        <v>0</v>
      </c>
      <c r="AS433">
        <v>0</v>
      </c>
      <c r="AT433">
        <v>0</v>
      </c>
      <c r="AU433">
        <v>0</v>
      </c>
      <c r="AV433">
        <v>0</v>
      </c>
      <c r="AW433">
        <v>0</v>
      </c>
      <c r="AX433">
        <v>0</v>
      </c>
      <c r="AY433">
        <v>0</v>
      </c>
      <c r="AZ433">
        <v>0</v>
      </c>
      <c r="BA433">
        <v>0</v>
      </c>
      <c r="BB433">
        <v>0</v>
      </c>
      <c r="BC433">
        <v>0</v>
      </c>
      <c r="BD433">
        <v>0</v>
      </c>
      <c r="BE433">
        <v>0</v>
      </c>
      <c r="BF433">
        <v>0</v>
      </c>
      <c r="BG433">
        <v>0</v>
      </c>
      <c r="BH433">
        <v>1</v>
      </c>
      <c r="BI433">
        <v>1</v>
      </c>
      <c r="BJ433">
        <v>1.4</v>
      </c>
      <c r="BK433">
        <v>1.5</v>
      </c>
      <c r="BL433">
        <v>135.59</v>
      </c>
      <c r="BM433">
        <v>20.34</v>
      </c>
      <c r="BN433">
        <v>155.93</v>
      </c>
      <c r="BO433">
        <v>155.93</v>
      </c>
      <c r="BQ433" t="s">
        <v>1023</v>
      </c>
      <c r="BR433" t="s">
        <v>84</v>
      </c>
      <c r="BS433" s="3">
        <v>45785</v>
      </c>
      <c r="BT433" s="4">
        <v>0.54374999999999996</v>
      </c>
      <c r="BU433" t="s">
        <v>1087</v>
      </c>
      <c r="BV433" t="s">
        <v>86</v>
      </c>
      <c r="BY433">
        <v>7000</v>
      </c>
      <c r="CA433" t="s">
        <v>1088</v>
      </c>
      <c r="CC433" t="s">
        <v>410</v>
      </c>
      <c r="CD433">
        <v>6849</v>
      </c>
      <c r="CE433" t="s">
        <v>116</v>
      </c>
      <c r="CF433" s="3">
        <v>45786</v>
      </c>
      <c r="CI433">
        <v>2</v>
      </c>
      <c r="CJ433">
        <v>1</v>
      </c>
      <c r="CK433">
        <v>23</v>
      </c>
      <c r="CL433" t="s">
        <v>89</v>
      </c>
    </row>
    <row r="434" spans="1:90" x14ac:dyDescent="0.3">
      <c r="A434" t="s">
        <v>72</v>
      </c>
      <c r="B434" t="s">
        <v>73</v>
      </c>
      <c r="C434" t="s">
        <v>74</v>
      </c>
      <c r="E434" t="str">
        <f>"080065214758"</f>
        <v>080065214758</v>
      </c>
      <c r="F434" s="3">
        <v>45784</v>
      </c>
      <c r="G434">
        <v>202602</v>
      </c>
      <c r="H434" t="s">
        <v>75</v>
      </c>
      <c r="I434" t="s">
        <v>76</v>
      </c>
      <c r="J434" t="s">
        <v>77</v>
      </c>
      <c r="K434" t="s">
        <v>78</v>
      </c>
      <c r="L434" t="s">
        <v>90</v>
      </c>
      <c r="M434" t="s">
        <v>91</v>
      </c>
      <c r="N434" t="s">
        <v>1041</v>
      </c>
      <c r="O434" t="s">
        <v>82</v>
      </c>
      <c r="P434" t="str">
        <f>"4170037193                    "</f>
        <v xml:space="preserve">4170037193                    </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21.38</v>
      </c>
      <c r="AR434">
        <v>0</v>
      </c>
      <c r="AS434">
        <v>0</v>
      </c>
      <c r="AT434">
        <v>0</v>
      </c>
      <c r="AU434">
        <v>0</v>
      </c>
      <c r="AV434">
        <v>0</v>
      </c>
      <c r="AW434">
        <v>0</v>
      </c>
      <c r="AX434">
        <v>0</v>
      </c>
      <c r="AY434">
        <v>0</v>
      </c>
      <c r="AZ434">
        <v>0</v>
      </c>
      <c r="BA434">
        <v>0</v>
      </c>
      <c r="BB434">
        <v>0</v>
      </c>
      <c r="BC434">
        <v>0</v>
      </c>
      <c r="BD434">
        <v>0</v>
      </c>
      <c r="BE434">
        <v>0</v>
      </c>
      <c r="BF434">
        <v>0</v>
      </c>
      <c r="BG434">
        <v>0</v>
      </c>
      <c r="BH434">
        <v>1</v>
      </c>
      <c r="BI434">
        <v>1</v>
      </c>
      <c r="BJ434">
        <v>0.2</v>
      </c>
      <c r="BK434">
        <v>1</v>
      </c>
      <c r="BL434">
        <v>69.98</v>
      </c>
      <c r="BM434">
        <v>10.5</v>
      </c>
      <c r="BN434">
        <v>80.48</v>
      </c>
      <c r="BO434">
        <v>80.48</v>
      </c>
      <c r="BQ434" t="s">
        <v>1042</v>
      </c>
      <c r="BR434" t="s">
        <v>84</v>
      </c>
      <c r="BS434" s="3">
        <v>45785</v>
      </c>
      <c r="BT434" s="4">
        <v>0.43541666666666667</v>
      </c>
      <c r="BU434" t="s">
        <v>1089</v>
      </c>
      <c r="BV434" t="s">
        <v>86</v>
      </c>
      <c r="BY434">
        <v>1200</v>
      </c>
      <c r="BZ434" t="s">
        <v>127</v>
      </c>
      <c r="CA434" t="s">
        <v>298</v>
      </c>
      <c r="CC434" t="s">
        <v>91</v>
      </c>
      <c r="CD434">
        <v>6001</v>
      </c>
      <c r="CE434" t="s">
        <v>129</v>
      </c>
      <c r="CF434" s="3">
        <v>45785</v>
      </c>
      <c r="CI434">
        <v>1</v>
      </c>
      <c r="CJ434">
        <v>1</v>
      </c>
      <c r="CK434">
        <v>21</v>
      </c>
      <c r="CL434" t="s">
        <v>89</v>
      </c>
    </row>
    <row r="435" spans="1:90" x14ac:dyDescent="0.3">
      <c r="A435" t="s">
        <v>72</v>
      </c>
      <c r="B435" t="s">
        <v>73</v>
      </c>
      <c r="C435" t="s">
        <v>74</v>
      </c>
      <c r="E435" t="str">
        <f>"080065214782"</f>
        <v>080065214782</v>
      </c>
      <c r="F435" s="3">
        <v>45784</v>
      </c>
      <c r="G435">
        <v>202602</v>
      </c>
      <c r="H435" t="s">
        <v>75</v>
      </c>
      <c r="I435" t="s">
        <v>76</v>
      </c>
      <c r="J435" t="s">
        <v>77</v>
      </c>
      <c r="K435" t="s">
        <v>78</v>
      </c>
      <c r="L435" t="s">
        <v>136</v>
      </c>
      <c r="M435" t="s">
        <v>137</v>
      </c>
      <c r="N435" t="s">
        <v>1090</v>
      </c>
      <c r="O435" t="s">
        <v>82</v>
      </c>
      <c r="P435" t="str">
        <f>"4170037168                    "</f>
        <v xml:space="preserve">4170037168                    </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21.38</v>
      </c>
      <c r="AR435">
        <v>0</v>
      </c>
      <c r="AS435">
        <v>0</v>
      </c>
      <c r="AT435">
        <v>0</v>
      </c>
      <c r="AU435">
        <v>0</v>
      </c>
      <c r="AV435">
        <v>0</v>
      </c>
      <c r="AW435">
        <v>0</v>
      </c>
      <c r="AX435">
        <v>0</v>
      </c>
      <c r="AY435">
        <v>0</v>
      </c>
      <c r="AZ435">
        <v>0</v>
      </c>
      <c r="BA435">
        <v>0</v>
      </c>
      <c r="BB435">
        <v>0</v>
      </c>
      <c r="BC435">
        <v>0</v>
      </c>
      <c r="BD435">
        <v>0</v>
      </c>
      <c r="BE435">
        <v>0</v>
      </c>
      <c r="BF435">
        <v>0</v>
      </c>
      <c r="BG435">
        <v>0</v>
      </c>
      <c r="BH435">
        <v>1</v>
      </c>
      <c r="BI435">
        <v>1</v>
      </c>
      <c r="BJ435">
        <v>1.9</v>
      </c>
      <c r="BK435">
        <v>2</v>
      </c>
      <c r="BL435">
        <v>69.98</v>
      </c>
      <c r="BM435">
        <v>10.5</v>
      </c>
      <c r="BN435">
        <v>80.48</v>
      </c>
      <c r="BO435">
        <v>80.48</v>
      </c>
      <c r="BQ435" t="s">
        <v>1091</v>
      </c>
      <c r="BR435" t="s">
        <v>84</v>
      </c>
      <c r="BS435" s="3">
        <v>45785</v>
      </c>
      <c r="BT435" s="4">
        <v>0.42291666666666666</v>
      </c>
      <c r="BU435" t="s">
        <v>1092</v>
      </c>
      <c r="BV435" t="s">
        <v>86</v>
      </c>
      <c r="BY435">
        <v>9600</v>
      </c>
      <c r="CA435" t="s">
        <v>1093</v>
      </c>
      <c r="CC435" t="s">
        <v>137</v>
      </c>
      <c r="CD435" s="5" t="s">
        <v>738</v>
      </c>
      <c r="CE435" t="s">
        <v>116</v>
      </c>
      <c r="CF435" s="3">
        <v>45785</v>
      </c>
      <c r="CI435">
        <v>1</v>
      </c>
      <c r="CJ435">
        <v>1</v>
      </c>
      <c r="CK435">
        <v>21</v>
      </c>
      <c r="CL435" t="s">
        <v>89</v>
      </c>
    </row>
    <row r="436" spans="1:90" x14ac:dyDescent="0.3">
      <c r="A436" t="s">
        <v>72</v>
      </c>
      <c r="B436" t="s">
        <v>73</v>
      </c>
      <c r="C436" t="s">
        <v>74</v>
      </c>
      <c r="E436" t="str">
        <f>"080065214918"</f>
        <v>080065214918</v>
      </c>
      <c r="F436" s="3">
        <v>45784</v>
      </c>
      <c r="G436">
        <v>202602</v>
      </c>
      <c r="H436" t="s">
        <v>75</v>
      </c>
      <c r="I436" t="s">
        <v>76</v>
      </c>
      <c r="J436" t="s">
        <v>77</v>
      </c>
      <c r="K436" t="s">
        <v>78</v>
      </c>
      <c r="L436" t="s">
        <v>79</v>
      </c>
      <c r="M436" t="s">
        <v>80</v>
      </c>
      <c r="N436" t="s">
        <v>880</v>
      </c>
      <c r="O436" t="s">
        <v>82</v>
      </c>
      <c r="P436" t="str">
        <f>"4170037170                    "</f>
        <v xml:space="preserve">4170037170                    </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21.38</v>
      </c>
      <c r="AR436">
        <v>0</v>
      </c>
      <c r="AS436">
        <v>0</v>
      </c>
      <c r="AT436">
        <v>0</v>
      </c>
      <c r="AU436">
        <v>0</v>
      </c>
      <c r="AV436">
        <v>0</v>
      </c>
      <c r="AW436">
        <v>0</v>
      </c>
      <c r="AX436">
        <v>0</v>
      </c>
      <c r="AY436">
        <v>0</v>
      </c>
      <c r="AZ436">
        <v>0</v>
      </c>
      <c r="BA436">
        <v>0</v>
      </c>
      <c r="BB436">
        <v>0</v>
      </c>
      <c r="BC436">
        <v>0</v>
      </c>
      <c r="BD436">
        <v>0</v>
      </c>
      <c r="BE436">
        <v>0</v>
      </c>
      <c r="BF436">
        <v>0</v>
      </c>
      <c r="BG436">
        <v>0</v>
      </c>
      <c r="BH436">
        <v>1</v>
      </c>
      <c r="BI436">
        <v>1</v>
      </c>
      <c r="BJ436">
        <v>1.1000000000000001</v>
      </c>
      <c r="BK436">
        <v>1.5</v>
      </c>
      <c r="BL436">
        <v>69.98</v>
      </c>
      <c r="BM436">
        <v>10.5</v>
      </c>
      <c r="BN436">
        <v>80.48</v>
      </c>
      <c r="BO436">
        <v>80.48</v>
      </c>
      <c r="BQ436" t="s">
        <v>881</v>
      </c>
      <c r="BR436" t="s">
        <v>84</v>
      </c>
      <c r="BS436" s="3">
        <v>45785</v>
      </c>
      <c r="BT436" s="4">
        <v>0.38194444444444442</v>
      </c>
      <c r="BU436" t="s">
        <v>882</v>
      </c>
      <c r="BV436" t="s">
        <v>86</v>
      </c>
      <c r="BY436">
        <v>5320</v>
      </c>
      <c r="CA436" t="s">
        <v>160</v>
      </c>
      <c r="CC436" t="s">
        <v>80</v>
      </c>
      <c r="CD436">
        <v>3620</v>
      </c>
      <c r="CE436" t="s">
        <v>116</v>
      </c>
      <c r="CF436" s="3">
        <v>45786</v>
      </c>
      <c r="CI436">
        <v>1</v>
      </c>
      <c r="CJ436">
        <v>1</v>
      </c>
      <c r="CK436">
        <v>21</v>
      </c>
      <c r="CL436" t="s">
        <v>89</v>
      </c>
    </row>
    <row r="437" spans="1:90" x14ac:dyDescent="0.3">
      <c r="A437" t="s">
        <v>72</v>
      </c>
      <c r="B437" t="s">
        <v>73</v>
      </c>
      <c r="C437" t="s">
        <v>74</v>
      </c>
      <c r="E437" t="str">
        <f>"080065214921"</f>
        <v>080065214921</v>
      </c>
      <c r="F437" s="3">
        <v>45784</v>
      </c>
      <c r="G437">
        <v>202602</v>
      </c>
      <c r="H437" t="s">
        <v>75</v>
      </c>
      <c r="I437" t="s">
        <v>76</v>
      </c>
      <c r="J437" t="s">
        <v>77</v>
      </c>
      <c r="K437" t="s">
        <v>78</v>
      </c>
      <c r="L437" t="s">
        <v>130</v>
      </c>
      <c r="M437" t="s">
        <v>131</v>
      </c>
      <c r="N437" t="s">
        <v>699</v>
      </c>
      <c r="O437" t="s">
        <v>82</v>
      </c>
      <c r="P437" t="str">
        <f>"4170037194                    "</f>
        <v xml:space="preserve">4170037194                    </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c r="AQ437">
        <v>21.38</v>
      </c>
      <c r="AR437">
        <v>0</v>
      </c>
      <c r="AS437">
        <v>0</v>
      </c>
      <c r="AT437">
        <v>0</v>
      </c>
      <c r="AU437">
        <v>0</v>
      </c>
      <c r="AV437">
        <v>0</v>
      </c>
      <c r="AW437">
        <v>0</v>
      </c>
      <c r="AX437">
        <v>0</v>
      </c>
      <c r="AY437">
        <v>0</v>
      </c>
      <c r="AZ437">
        <v>0</v>
      </c>
      <c r="BA437">
        <v>0</v>
      </c>
      <c r="BB437">
        <v>0</v>
      </c>
      <c r="BC437">
        <v>0</v>
      </c>
      <c r="BD437">
        <v>0</v>
      </c>
      <c r="BE437">
        <v>0</v>
      </c>
      <c r="BF437">
        <v>0</v>
      </c>
      <c r="BG437">
        <v>0</v>
      </c>
      <c r="BH437">
        <v>1</v>
      </c>
      <c r="BI437">
        <v>1</v>
      </c>
      <c r="BJ437">
        <v>0.2</v>
      </c>
      <c r="BK437">
        <v>1</v>
      </c>
      <c r="BL437">
        <v>69.98</v>
      </c>
      <c r="BM437">
        <v>10.5</v>
      </c>
      <c r="BN437">
        <v>80.48</v>
      </c>
      <c r="BO437">
        <v>80.48</v>
      </c>
      <c r="BQ437" t="s">
        <v>700</v>
      </c>
      <c r="BR437" t="s">
        <v>84</v>
      </c>
      <c r="BS437" s="3">
        <v>45785</v>
      </c>
      <c r="BT437" s="4">
        <v>0.42291666666666666</v>
      </c>
      <c r="BU437" t="s">
        <v>701</v>
      </c>
      <c r="BV437" t="s">
        <v>86</v>
      </c>
      <c r="BY437">
        <v>1200</v>
      </c>
      <c r="CA437" t="s">
        <v>330</v>
      </c>
      <c r="CC437" t="s">
        <v>131</v>
      </c>
      <c r="CD437">
        <v>7480</v>
      </c>
      <c r="CE437" t="s">
        <v>88</v>
      </c>
      <c r="CF437" s="3">
        <v>45786</v>
      </c>
      <c r="CI437">
        <v>1</v>
      </c>
      <c r="CJ437">
        <v>1</v>
      </c>
      <c r="CK437">
        <v>21</v>
      </c>
      <c r="CL437" t="s">
        <v>89</v>
      </c>
    </row>
    <row r="438" spans="1:90" x14ac:dyDescent="0.3">
      <c r="A438" t="s">
        <v>72</v>
      </c>
      <c r="B438" t="s">
        <v>73</v>
      </c>
      <c r="C438" t="s">
        <v>74</v>
      </c>
      <c r="E438" t="str">
        <f>"080065214955"</f>
        <v>080065214955</v>
      </c>
      <c r="F438" s="3">
        <v>45784</v>
      </c>
      <c r="G438">
        <v>202602</v>
      </c>
      <c r="H438" t="s">
        <v>75</v>
      </c>
      <c r="I438" t="s">
        <v>76</v>
      </c>
      <c r="J438" t="s">
        <v>77</v>
      </c>
      <c r="K438" t="s">
        <v>78</v>
      </c>
      <c r="L438" t="s">
        <v>130</v>
      </c>
      <c r="M438" t="s">
        <v>131</v>
      </c>
      <c r="N438" t="s">
        <v>615</v>
      </c>
      <c r="O438" t="s">
        <v>82</v>
      </c>
      <c r="P438" t="str">
        <f>"4170037199                    "</f>
        <v xml:space="preserve">4170037199                    </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21.38</v>
      </c>
      <c r="AR438">
        <v>0</v>
      </c>
      <c r="AS438">
        <v>0</v>
      </c>
      <c r="AT438">
        <v>0</v>
      </c>
      <c r="AU438">
        <v>0</v>
      </c>
      <c r="AV438">
        <v>0</v>
      </c>
      <c r="AW438">
        <v>0</v>
      </c>
      <c r="AX438">
        <v>0</v>
      </c>
      <c r="AY438">
        <v>0</v>
      </c>
      <c r="AZ438">
        <v>0</v>
      </c>
      <c r="BA438">
        <v>0</v>
      </c>
      <c r="BB438">
        <v>0</v>
      </c>
      <c r="BC438">
        <v>0</v>
      </c>
      <c r="BD438">
        <v>0</v>
      </c>
      <c r="BE438">
        <v>0</v>
      </c>
      <c r="BF438">
        <v>0</v>
      </c>
      <c r="BG438">
        <v>0</v>
      </c>
      <c r="BH438">
        <v>1</v>
      </c>
      <c r="BI438">
        <v>1</v>
      </c>
      <c r="BJ438">
        <v>0.2</v>
      </c>
      <c r="BK438">
        <v>1</v>
      </c>
      <c r="BL438">
        <v>69.98</v>
      </c>
      <c r="BM438">
        <v>10.5</v>
      </c>
      <c r="BN438">
        <v>80.48</v>
      </c>
      <c r="BO438">
        <v>80.48</v>
      </c>
      <c r="BQ438" t="s">
        <v>616</v>
      </c>
      <c r="BR438" t="s">
        <v>84</v>
      </c>
      <c r="BS438" s="3">
        <v>45785</v>
      </c>
      <c r="BT438" s="4">
        <v>0.43611111111111112</v>
      </c>
      <c r="BU438" t="s">
        <v>1094</v>
      </c>
      <c r="BV438" t="s">
        <v>86</v>
      </c>
      <c r="BY438">
        <v>1200</v>
      </c>
      <c r="CA438" t="s">
        <v>330</v>
      </c>
      <c r="CC438" t="s">
        <v>131</v>
      </c>
      <c r="CD438">
        <v>7460</v>
      </c>
      <c r="CE438" t="s">
        <v>88</v>
      </c>
      <c r="CF438" s="3">
        <v>45786</v>
      </c>
      <c r="CI438">
        <v>1</v>
      </c>
      <c r="CJ438">
        <v>1</v>
      </c>
      <c r="CK438">
        <v>21</v>
      </c>
      <c r="CL438" t="s">
        <v>89</v>
      </c>
    </row>
    <row r="439" spans="1:90" x14ac:dyDescent="0.3">
      <c r="A439" t="s">
        <v>72</v>
      </c>
      <c r="B439" t="s">
        <v>73</v>
      </c>
      <c r="C439" t="s">
        <v>74</v>
      </c>
      <c r="E439" t="str">
        <f>"080065214959"</f>
        <v>080065214959</v>
      </c>
      <c r="F439" s="3">
        <v>45784</v>
      </c>
      <c r="G439">
        <v>202602</v>
      </c>
      <c r="H439" t="s">
        <v>75</v>
      </c>
      <c r="I439" t="s">
        <v>76</v>
      </c>
      <c r="J439" t="s">
        <v>77</v>
      </c>
      <c r="K439" t="s">
        <v>78</v>
      </c>
      <c r="L439" t="s">
        <v>130</v>
      </c>
      <c r="M439" t="s">
        <v>131</v>
      </c>
      <c r="N439" t="s">
        <v>665</v>
      </c>
      <c r="O439" t="s">
        <v>82</v>
      </c>
      <c r="P439" t="str">
        <f>"4170037164                    "</f>
        <v xml:space="preserve">4170037164                    </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21.38</v>
      </c>
      <c r="AR439">
        <v>0</v>
      </c>
      <c r="AS439">
        <v>0</v>
      </c>
      <c r="AT439">
        <v>0</v>
      </c>
      <c r="AU439">
        <v>0</v>
      </c>
      <c r="AV439">
        <v>0</v>
      </c>
      <c r="AW439">
        <v>0</v>
      </c>
      <c r="AX439">
        <v>0</v>
      </c>
      <c r="AY439">
        <v>0</v>
      </c>
      <c r="AZ439">
        <v>0</v>
      </c>
      <c r="BA439">
        <v>0</v>
      </c>
      <c r="BB439">
        <v>0</v>
      </c>
      <c r="BC439">
        <v>0</v>
      </c>
      <c r="BD439">
        <v>0</v>
      </c>
      <c r="BE439">
        <v>0</v>
      </c>
      <c r="BF439">
        <v>0</v>
      </c>
      <c r="BG439">
        <v>0</v>
      </c>
      <c r="BH439">
        <v>1</v>
      </c>
      <c r="BI439">
        <v>2</v>
      </c>
      <c r="BJ439">
        <v>1.7</v>
      </c>
      <c r="BK439">
        <v>2</v>
      </c>
      <c r="BL439">
        <v>69.98</v>
      </c>
      <c r="BM439">
        <v>10.5</v>
      </c>
      <c r="BN439">
        <v>80.48</v>
      </c>
      <c r="BO439">
        <v>80.48</v>
      </c>
      <c r="BQ439" t="s">
        <v>666</v>
      </c>
      <c r="BR439" t="s">
        <v>84</v>
      </c>
      <c r="BS439" s="3">
        <v>45785</v>
      </c>
      <c r="BT439" s="4">
        <v>0.37986111111111109</v>
      </c>
      <c r="BU439" t="s">
        <v>1095</v>
      </c>
      <c r="BV439" t="s">
        <v>86</v>
      </c>
      <c r="BY439">
        <v>8512</v>
      </c>
      <c r="CA439" t="s">
        <v>389</v>
      </c>
      <c r="CC439" t="s">
        <v>131</v>
      </c>
      <c r="CD439">
        <v>7535</v>
      </c>
      <c r="CE439" t="s">
        <v>116</v>
      </c>
      <c r="CF439" s="3">
        <v>45786</v>
      </c>
      <c r="CI439">
        <v>1</v>
      </c>
      <c r="CJ439">
        <v>1</v>
      </c>
      <c r="CK439">
        <v>21</v>
      </c>
      <c r="CL439" t="s">
        <v>89</v>
      </c>
    </row>
    <row r="440" spans="1:90" x14ac:dyDescent="0.3">
      <c r="A440" t="s">
        <v>72</v>
      </c>
      <c r="B440" t="s">
        <v>73</v>
      </c>
      <c r="C440" t="s">
        <v>74</v>
      </c>
      <c r="E440" t="str">
        <f>"080065214992"</f>
        <v>080065214992</v>
      </c>
      <c r="F440" s="3">
        <v>45784</v>
      </c>
      <c r="G440">
        <v>202602</v>
      </c>
      <c r="H440" t="s">
        <v>75</v>
      </c>
      <c r="I440" t="s">
        <v>76</v>
      </c>
      <c r="J440" t="s">
        <v>77</v>
      </c>
      <c r="K440" t="s">
        <v>78</v>
      </c>
      <c r="L440" t="s">
        <v>117</v>
      </c>
      <c r="M440" t="s">
        <v>118</v>
      </c>
      <c r="N440" t="s">
        <v>1096</v>
      </c>
      <c r="O440" t="s">
        <v>82</v>
      </c>
      <c r="P440" t="str">
        <f>"4170037178                    "</f>
        <v xml:space="preserve">4170037178                    </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16.7</v>
      </c>
      <c r="AR440">
        <v>0</v>
      </c>
      <c r="AS440">
        <v>0</v>
      </c>
      <c r="AT440">
        <v>0</v>
      </c>
      <c r="AU440">
        <v>0</v>
      </c>
      <c r="AV440">
        <v>0</v>
      </c>
      <c r="AW440">
        <v>0</v>
      </c>
      <c r="AX440">
        <v>0</v>
      </c>
      <c r="AY440">
        <v>0</v>
      </c>
      <c r="AZ440">
        <v>0</v>
      </c>
      <c r="BA440">
        <v>0</v>
      </c>
      <c r="BB440">
        <v>0</v>
      </c>
      <c r="BC440">
        <v>0</v>
      </c>
      <c r="BD440">
        <v>0</v>
      </c>
      <c r="BE440">
        <v>0</v>
      </c>
      <c r="BF440">
        <v>0</v>
      </c>
      <c r="BG440">
        <v>0</v>
      </c>
      <c r="BH440">
        <v>1</v>
      </c>
      <c r="BI440">
        <v>1</v>
      </c>
      <c r="BJ440">
        <v>0.2</v>
      </c>
      <c r="BK440">
        <v>1</v>
      </c>
      <c r="BL440">
        <v>54.66</v>
      </c>
      <c r="BM440">
        <v>8.1999999999999993</v>
      </c>
      <c r="BN440">
        <v>62.86</v>
      </c>
      <c r="BO440">
        <v>62.86</v>
      </c>
      <c r="BQ440" t="s">
        <v>1097</v>
      </c>
      <c r="BR440" t="s">
        <v>84</v>
      </c>
      <c r="BS440" s="3">
        <v>45785</v>
      </c>
      <c r="BT440" s="4">
        <v>0.41666666666666669</v>
      </c>
      <c r="BU440" t="s">
        <v>1033</v>
      </c>
      <c r="BV440" t="s">
        <v>86</v>
      </c>
      <c r="BY440">
        <v>1200</v>
      </c>
      <c r="CA440" t="s">
        <v>1098</v>
      </c>
      <c r="CC440" t="s">
        <v>118</v>
      </c>
      <c r="CD440">
        <v>2091</v>
      </c>
      <c r="CE440" t="s">
        <v>88</v>
      </c>
      <c r="CF440" s="3">
        <v>45785</v>
      </c>
      <c r="CI440">
        <v>1</v>
      </c>
      <c r="CJ440">
        <v>1</v>
      </c>
      <c r="CK440">
        <v>22</v>
      </c>
      <c r="CL440" t="s">
        <v>89</v>
      </c>
    </row>
    <row r="441" spans="1:90" x14ac:dyDescent="0.3">
      <c r="A441" t="s">
        <v>72</v>
      </c>
      <c r="B441" t="s">
        <v>73</v>
      </c>
      <c r="C441" t="s">
        <v>74</v>
      </c>
      <c r="E441" t="str">
        <f>"080065215067"</f>
        <v>080065215067</v>
      </c>
      <c r="F441" s="3">
        <v>45784</v>
      </c>
      <c r="G441">
        <v>202602</v>
      </c>
      <c r="H441" t="s">
        <v>75</v>
      </c>
      <c r="I441" t="s">
        <v>76</v>
      </c>
      <c r="J441" t="s">
        <v>77</v>
      </c>
      <c r="K441" t="s">
        <v>78</v>
      </c>
      <c r="L441" t="s">
        <v>1099</v>
      </c>
      <c r="M441" t="s">
        <v>1100</v>
      </c>
      <c r="N441" t="s">
        <v>1101</v>
      </c>
      <c r="O441" t="s">
        <v>82</v>
      </c>
      <c r="P441" t="str">
        <f>"4170037187                    "</f>
        <v xml:space="preserve">4170037187                    </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41.43</v>
      </c>
      <c r="AR441">
        <v>0</v>
      </c>
      <c r="AS441">
        <v>0</v>
      </c>
      <c r="AT441">
        <v>0</v>
      </c>
      <c r="AU441">
        <v>0</v>
      </c>
      <c r="AV441">
        <v>0</v>
      </c>
      <c r="AW441">
        <v>0</v>
      </c>
      <c r="AX441">
        <v>0</v>
      </c>
      <c r="AY441">
        <v>0</v>
      </c>
      <c r="AZ441">
        <v>0</v>
      </c>
      <c r="BA441">
        <v>0</v>
      </c>
      <c r="BB441">
        <v>0</v>
      </c>
      <c r="BC441">
        <v>0</v>
      </c>
      <c r="BD441">
        <v>0</v>
      </c>
      <c r="BE441">
        <v>0</v>
      </c>
      <c r="BF441">
        <v>0</v>
      </c>
      <c r="BG441">
        <v>0</v>
      </c>
      <c r="BH441">
        <v>1</v>
      </c>
      <c r="BI441">
        <v>1</v>
      </c>
      <c r="BJ441">
        <v>0.2</v>
      </c>
      <c r="BK441">
        <v>1</v>
      </c>
      <c r="BL441">
        <v>135.59</v>
      </c>
      <c r="BM441">
        <v>20.34</v>
      </c>
      <c r="BN441">
        <v>155.93</v>
      </c>
      <c r="BO441">
        <v>155.93</v>
      </c>
      <c r="BQ441" t="s">
        <v>1102</v>
      </c>
      <c r="BR441" t="s">
        <v>84</v>
      </c>
      <c r="BS441" s="3">
        <v>45785</v>
      </c>
      <c r="BT441" s="4">
        <v>0.39791666666666664</v>
      </c>
      <c r="BU441" t="s">
        <v>1103</v>
      </c>
      <c r="BV441" t="s">
        <v>86</v>
      </c>
      <c r="BY441">
        <v>1200</v>
      </c>
      <c r="CA441" t="s">
        <v>1104</v>
      </c>
      <c r="CC441" t="s">
        <v>1100</v>
      </c>
      <c r="CD441" s="5" t="s">
        <v>1105</v>
      </c>
      <c r="CE441" t="s">
        <v>88</v>
      </c>
      <c r="CF441" s="3">
        <v>45786</v>
      </c>
      <c r="CI441">
        <v>1</v>
      </c>
      <c r="CJ441">
        <v>1</v>
      </c>
      <c r="CK441">
        <v>23</v>
      </c>
      <c r="CL441" t="s">
        <v>89</v>
      </c>
    </row>
    <row r="442" spans="1:90" x14ac:dyDescent="0.3">
      <c r="A442" t="s">
        <v>72</v>
      </c>
      <c r="B442" t="s">
        <v>73</v>
      </c>
      <c r="C442" t="s">
        <v>74</v>
      </c>
      <c r="E442" t="str">
        <f>"080065215161"</f>
        <v>080065215161</v>
      </c>
      <c r="F442" s="3">
        <v>45784</v>
      </c>
      <c r="G442">
        <v>202602</v>
      </c>
      <c r="H442" t="s">
        <v>75</v>
      </c>
      <c r="I442" t="s">
        <v>76</v>
      </c>
      <c r="J442" t="s">
        <v>77</v>
      </c>
      <c r="K442" t="s">
        <v>78</v>
      </c>
      <c r="L442" t="s">
        <v>130</v>
      </c>
      <c r="M442" t="s">
        <v>131</v>
      </c>
      <c r="N442" t="s">
        <v>343</v>
      </c>
      <c r="O442" t="s">
        <v>82</v>
      </c>
      <c r="P442" t="str">
        <f>"4170037167                    "</f>
        <v xml:space="preserve">4170037167                    </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21.38</v>
      </c>
      <c r="AR442">
        <v>0</v>
      </c>
      <c r="AS442">
        <v>0</v>
      </c>
      <c r="AT442">
        <v>0</v>
      </c>
      <c r="AU442">
        <v>0</v>
      </c>
      <c r="AV442">
        <v>0</v>
      </c>
      <c r="AW442">
        <v>0</v>
      </c>
      <c r="AX442">
        <v>0</v>
      </c>
      <c r="AY442">
        <v>0</v>
      </c>
      <c r="AZ442">
        <v>0</v>
      </c>
      <c r="BA442">
        <v>0</v>
      </c>
      <c r="BB442">
        <v>0</v>
      </c>
      <c r="BC442">
        <v>0</v>
      </c>
      <c r="BD442">
        <v>0</v>
      </c>
      <c r="BE442">
        <v>0</v>
      </c>
      <c r="BF442">
        <v>0</v>
      </c>
      <c r="BG442">
        <v>0</v>
      </c>
      <c r="BH442">
        <v>1</v>
      </c>
      <c r="BI442">
        <v>1</v>
      </c>
      <c r="BJ442">
        <v>0.2</v>
      </c>
      <c r="BK442">
        <v>1</v>
      </c>
      <c r="BL442">
        <v>69.98</v>
      </c>
      <c r="BM442">
        <v>10.5</v>
      </c>
      <c r="BN442">
        <v>80.48</v>
      </c>
      <c r="BO442">
        <v>80.48</v>
      </c>
      <c r="BQ442" t="s">
        <v>344</v>
      </c>
      <c r="BR442" t="s">
        <v>84</v>
      </c>
      <c r="BS442" s="3">
        <v>45785</v>
      </c>
      <c r="BT442" s="4">
        <v>0.37847222222222221</v>
      </c>
      <c r="BU442" t="s">
        <v>345</v>
      </c>
      <c r="BV442" t="s">
        <v>86</v>
      </c>
      <c r="BY442">
        <v>1200</v>
      </c>
      <c r="CA442" t="s">
        <v>242</v>
      </c>
      <c r="CC442" t="s">
        <v>131</v>
      </c>
      <c r="CD442">
        <v>7441</v>
      </c>
      <c r="CE442" t="s">
        <v>88</v>
      </c>
      <c r="CF442" s="3">
        <v>45786</v>
      </c>
      <c r="CI442">
        <v>1</v>
      </c>
      <c r="CJ442">
        <v>1</v>
      </c>
      <c r="CK442">
        <v>21</v>
      </c>
      <c r="CL442" t="s">
        <v>89</v>
      </c>
    </row>
    <row r="443" spans="1:90" x14ac:dyDescent="0.3">
      <c r="A443" t="s">
        <v>72</v>
      </c>
      <c r="B443" t="s">
        <v>73</v>
      </c>
      <c r="C443" t="s">
        <v>74</v>
      </c>
      <c r="E443" t="str">
        <f>"080065215239"</f>
        <v>080065215239</v>
      </c>
      <c r="F443" s="3">
        <v>45784</v>
      </c>
      <c r="G443">
        <v>202602</v>
      </c>
      <c r="H443" t="s">
        <v>75</v>
      </c>
      <c r="I443" t="s">
        <v>76</v>
      </c>
      <c r="J443" t="s">
        <v>77</v>
      </c>
      <c r="K443" t="s">
        <v>78</v>
      </c>
      <c r="L443" t="s">
        <v>75</v>
      </c>
      <c r="M443" t="s">
        <v>76</v>
      </c>
      <c r="N443" t="s">
        <v>850</v>
      </c>
      <c r="O443" t="s">
        <v>82</v>
      </c>
      <c r="P443" t="str">
        <f>"4170037150                    "</f>
        <v xml:space="preserve">4170037150                    </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16.7</v>
      </c>
      <c r="AR443">
        <v>0</v>
      </c>
      <c r="AS443">
        <v>0</v>
      </c>
      <c r="AT443">
        <v>0</v>
      </c>
      <c r="AU443">
        <v>0</v>
      </c>
      <c r="AV443">
        <v>0</v>
      </c>
      <c r="AW443">
        <v>0</v>
      </c>
      <c r="AX443">
        <v>0</v>
      </c>
      <c r="AY443">
        <v>0</v>
      </c>
      <c r="AZ443">
        <v>0</v>
      </c>
      <c r="BA443">
        <v>0</v>
      </c>
      <c r="BB443">
        <v>0</v>
      </c>
      <c r="BC443">
        <v>0</v>
      </c>
      <c r="BD443">
        <v>0</v>
      </c>
      <c r="BE443">
        <v>0</v>
      </c>
      <c r="BF443">
        <v>0</v>
      </c>
      <c r="BG443">
        <v>0</v>
      </c>
      <c r="BH443">
        <v>1</v>
      </c>
      <c r="BI443">
        <v>1</v>
      </c>
      <c r="BJ443">
        <v>0.2</v>
      </c>
      <c r="BK443">
        <v>1</v>
      </c>
      <c r="BL443">
        <v>54.66</v>
      </c>
      <c r="BM443">
        <v>8.1999999999999993</v>
      </c>
      <c r="BN443">
        <v>62.86</v>
      </c>
      <c r="BO443">
        <v>62.86</v>
      </c>
      <c r="BQ443" t="s">
        <v>851</v>
      </c>
      <c r="BR443" t="s">
        <v>84</v>
      </c>
      <c r="BS443" s="3">
        <v>45785</v>
      </c>
      <c r="BT443" s="4">
        <v>0.37430555555555556</v>
      </c>
      <c r="BU443" t="s">
        <v>1106</v>
      </c>
      <c r="BV443" t="s">
        <v>86</v>
      </c>
      <c r="BY443">
        <v>1200</v>
      </c>
      <c r="CA443" t="s">
        <v>853</v>
      </c>
      <c r="CC443" t="s">
        <v>76</v>
      </c>
      <c r="CD443">
        <v>1666</v>
      </c>
      <c r="CE443" t="s">
        <v>88</v>
      </c>
      <c r="CF443" s="3">
        <v>45786</v>
      </c>
      <c r="CI443">
        <v>1</v>
      </c>
      <c r="CJ443">
        <v>1</v>
      </c>
      <c r="CK443">
        <v>22</v>
      </c>
      <c r="CL443" t="s">
        <v>89</v>
      </c>
    </row>
    <row r="444" spans="1:90" x14ac:dyDescent="0.3">
      <c r="A444" t="s">
        <v>72</v>
      </c>
      <c r="B444" t="s">
        <v>73</v>
      </c>
      <c r="C444" t="s">
        <v>74</v>
      </c>
      <c r="E444" t="str">
        <f>"080065215298"</f>
        <v>080065215298</v>
      </c>
      <c r="F444" s="3">
        <v>45784</v>
      </c>
      <c r="G444">
        <v>202602</v>
      </c>
      <c r="H444" t="s">
        <v>75</v>
      </c>
      <c r="I444" t="s">
        <v>76</v>
      </c>
      <c r="J444" t="s">
        <v>77</v>
      </c>
      <c r="K444" t="s">
        <v>78</v>
      </c>
      <c r="L444" t="s">
        <v>177</v>
      </c>
      <c r="M444" t="s">
        <v>178</v>
      </c>
      <c r="N444" t="s">
        <v>393</v>
      </c>
      <c r="O444" t="s">
        <v>82</v>
      </c>
      <c r="P444" t="str">
        <f>"4170037183                    "</f>
        <v xml:space="preserve">4170037183                    </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21.38</v>
      </c>
      <c r="AR444">
        <v>0</v>
      </c>
      <c r="AS444">
        <v>0</v>
      </c>
      <c r="AT444">
        <v>0</v>
      </c>
      <c r="AU444">
        <v>0</v>
      </c>
      <c r="AV444">
        <v>0</v>
      </c>
      <c r="AW444">
        <v>0</v>
      </c>
      <c r="AX444">
        <v>0</v>
      </c>
      <c r="AY444">
        <v>0</v>
      </c>
      <c r="AZ444">
        <v>0</v>
      </c>
      <c r="BA444">
        <v>0</v>
      </c>
      <c r="BB444">
        <v>0</v>
      </c>
      <c r="BC444">
        <v>0</v>
      </c>
      <c r="BD444">
        <v>0</v>
      </c>
      <c r="BE444">
        <v>0</v>
      </c>
      <c r="BF444">
        <v>0</v>
      </c>
      <c r="BG444">
        <v>0</v>
      </c>
      <c r="BH444">
        <v>1</v>
      </c>
      <c r="BI444">
        <v>1</v>
      </c>
      <c r="BJ444">
        <v>0.2</v>
      </c>
      <c r="BK444">
        <v>1</v>
      </c>
      <c r="BL444">
        <v>69.98</v>
      </c>
      <c r="BM444">
        <v>10.5</v>
      </c>
      <c r="BN444">
        <v>80.48</v>
      </c>
      <c r="BO444">
        <v>80.48</v>
      </c>
      <c r="BQ444" t="s">
        <v>394</v>
      </c>
      <c r="BR444" t="s">
        <v>84</v>
      </c>
      <c r="BS444" s="3">
        <v>45785</v>
      </c>
      <c r="BT444" s="4">
        <v>0.33333333333333331</v>
      </c>
      <c r="BU444" t="s">
        <v>395</v>
      </c>
      <c r="BV444" t="s">
        <v>86</v>
      </c>
      <c r="BY444">
        <v>1200</v>
      </c>
      <c r="CA444" t="s">
        <v>182</v>
      </c>
      <c r="CC444" t="s">
        <v>178</v>
      </c>
      <c r="CD444">
        <v>6230</v>
      </c>
      <c r="CE444" t="s">
        <v>88</v>
      </c>
      <c r="CF444" s="3">
        <v>45785</v>
      </c>
      <c r="CI444">
        <v>1</v>
      </c>
      <c r="CJ444">
        <v>1</v>
      </c>
      <c r="CK444">
        <v>21</v>
      </c>
      <c r="CL444" t="s">
        <v>89</v>
      </c>
    </row>
    <row r="445" spans="1:90" x14ac:dyDescent="0.3">
      <c r="A445" t="s">
        <v>72</v>
      </c>
      <c r="B445" t="s">
        <v>73</v>
      </c>
      <c r="C445" t="s">
        <v>74</v>
      </c>
      <c r="E445" t="str">
        <f>"080065215337"</f>
        <v>080065215337</v>
      </c>
      <c r="F445" s="3">
        <v>45784</v>
      </c>
      <c r="G445">
        <v>202602</v>
      </c>
      <c r="H445" t="s">
        <v>75</v>
      </c>
      <c r="I445" t="s">
        <v>76</v>
      </c>
      <c r="J445" t="s">
        <v>77</v>
      </c>
      <c r="K445" t="s">
        <v>78</v>
      </c>
      <c r="L445" t="s">
        <v>624</v>
      </c>
      <c r="M445" t="s">
        <v>625</v>
      </c>
      <c r="N445" t="s">
        <v>626</v>
      </c>
      <c r="O445" t="s">
        <v>82</v>
      </c>
      <c r="P445" t="str">
        <f>"4170037163                    "</f>
        <v xml:space="preserve">4170037163                    </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41.43</v>
      </c>
      <c r="AR445">
        <v>0</v>
      </c>
      <c r="AS445">
        <v>0</v>
      </c>
      <c r="AT445">
        <v>0</v>
      </c>
      <c r="AU445">
        <v>0</v>
      </c>
      <c r="AV445">
        <v>0</v>
      </c>
      <c r="AW445">
        <v>0</v>
      </c>
      <c r="AX445">
        <v>0</v>
      </c>
      <c r="AY445">
        <v>0</v>
      </c>
      <c r="AZ445">
        <v>0</v>
      </c>
      <c r="BA445">
        <v>0</v>
      </c>
      <c r="BB445">
        <v>0</v>
      </c>
      <c r="BC445">
        <v>0</v>
      </c>
      <c r="BD445">
        <v>0</v>
      </c>
      <c r="BE445">
        <v>0</v>
      </c>
      <c r="BF445">
        <v>0</v>
      </c>
      <c r="BG445">
        <v>0</v>
      </c>
      <c r="BH445">
        <v>1</v>
      </c>
      <c r="BI445">
        <v>1</v>
      </c>
      <c r="BJ445">
        <v>0.2</v>
      </c>
      <c r="BK445">
        <v>1</v>
      </c>
      <c r="BL445">
        <v>135.59</v>
      </c>
      <c r="BM445">
        <v>20.34</v>
      </c>
      <c r="BN445">
        <v>155.93</v>
      </c>
      <c r="BO445">
        <v>155.93</v>
      </c>
      <c r="BQ445" t="s">
        <v>627</v>
      </c>
      <c r="BR445" t="s">
        <v>84</v>
      </c>
      <c r="BS445" s="3">
        <v>45785</v>
      </c>
      <c r="BT445" s="4">
        <v>0.37430555555555556</v>
      </c>
      <c r="BU445" t="s">
        <v>1107</v>
      </c>
      <c r="BV445" t="s">
        <v>86</v>
      </c>
      <c r="BY445">
        <v>1200</v>
      </c>
      <c r="CA445" t="s">
        <v>629</v>
      </c>
      <c r="CC445" t="s">
        <v>625</v>
      </c>
      <c r="CD445">
        <v>1947</v>
      </c>
      <c r="CE445" t="s">
        <v>88</v>
      </c>
      <c r="CF445" s="3">
        <v>45785</v>
      </c>
      <c r="CI445">
        <v>1</v>
      </c>
      <c r="CJ445">
        <v>1</v>
      </c>
      <c r="CK445">
        <v>23</v>
      </c>
      <c r="CL445" t="s">
        <v>89</v>
      </c>
    </row>
    <row r="446" spans="1:90" x14ac:dyDescent="0.3">
      <c r="A446" t="s">
        <v>72</v>
      </c>
      <c r="B446" t="s">
        <v>73</v>
      </c>
      <c r="C446" t="s">
        <v>74</v>
      </c>
      <c r="E446" t="str">
        <f>"080065215886"</f>
        <v>080065215886</v>
      </c>
      <c r="F446" s="3">
        <v>45784</v>
      </c>
      <c r="G446">
        <v>202602</v>
      </c>
      <c r="H446" t="s">
        <v>75</v>
      </c>
      <c r="I446" t="s">
        <v>76</v>
      </c>
      <c r="J446" t="s">
        <v>77</v>
      </c>
      <c r="K446" t="s">
        <v>78</v>
      </c>
      <c r="L446" t="s">
        <v>123</v>
      </c>
      <c r="M446" t="s">
        <v>123</v>
      </c>
      <c r="N446" t="s">
        <v>317</v>
      </c>
      <c r="O446" t="s">
        <v>82</v>
      </c>
      <c r="P446" t="str">
        <f>"4170037174                    "</f>
        <v xml:space="preserve">4170037174                    </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69.489999999999995</v>
      </c>
      <c r="AR446">
        <v>0</v>
      </c>
      <c r="AS446">
        <v>0</v>
      </c>
      <c r="AT446">
        <v>0</v>
      </c>
      <c r="AU446">
        <v>0</v>
      </c>
      <c r="AV446">
        <v>0</v>
      </c>
      <c r="AW446">
        <v>0</v>
      </c>
      <c r="AX446">
        <v>0</v>
      </c>
      <c r="AY446">
        <v>0</v>
      </c>
      <c r="AZ446">
        <v>0</v>
      </c>
      <c r="BA446">
        <v>0</v>
      </c>
      <c r="BB446">
        <v>0</v>
      </c>
      <c r="BC446">
        <v>0</v>
      </c>
      <c r="BD446">
        <v>0</v>
      </c>
      <c r="BE446">
        <v>0</v>
      </c>
      <c r="BF446">
        <v>0</v>
      </c>
      <c r="BG446">
        <v>0</v>
      </c>
      <c r="BH446">
        <v>1</v>
      </c>
      <c r="BI446">
        <v>2</v>
      </c>
      <c r="BJ446">
        <v>3.4</v>
      </c>
      <c r="BK446">
        <v>3.5</v>
      </c>
      <c r="BL446">
        <v>227.43</v>
      </c>
      <c r="BM446">
        <v>34.11</v>
      </c>
      <c r="BN446">
        <v>261.54000000000002</v>
      </c>
      <c r="BO446">
        <v>261.54000000000002</v>
      </c>
      <c r="BQ446" t="s">
        <v>318</v>
      </c>
      <c r="BR446" t="s">
        <v>84</v>
      </c>
      <c r="BS446" s="3">
        <v>45785</v>
      </c>
      <c r="BT446" s="4">
        <v>0.53749999999999998</v>
      </c>
      <c r="BU446" t="s">
        <v>319</v>
      </c>
      <c r="BV446" t="s">
        <v>86</v>
      </c>
      <c r="BY446">
        <v>17136</v>
      </c>
      <c r="CA446" t="s">
        <v>128</v>
      </c>
      <c r="CC446" t="s">
        <v>123</v>
      </c>
      <c r="CD446">
        <v>7646</v>
      </c>
      <c r="CE446" t="s">
        <v>221</v>
      </c>
      <c r="CF446" s="3">
        <v>45786</v>
      </c>
      <c r="CI446">
        <v>1</v>
      </c>
      <c r="CJ446">
        <v>1</v>
      </c>
      <c r="CK446">
        <v>23</v>
      </c>
      <c r="CL446" t="s">
        <v>89</v>
      </c>
    </row>
    <row r="447" spans="1:90" x14ac:dyDescent="0.3">
      <c r="A447" t="s">
        <v>72</v>
      </c>
      <c r="B447" t="s">
        <v>73</v>
      </c>
      <c r="C447" t="s">
        <v>74</v>
      </c>
      <c r="E447" t="str">
        <f>"080065215926"</f>
        <v>080065215926</v>
      </c>
      <c r="F447" s="3">
        <v>45784</v>
      </c>
      <c r="G447">
        <v>202602</v>
      </c>
      <c r="H447" t="s">
        <v>75</v>
      </c>
      <c r="I447" t="s">
        <v>76</v>
      </c>
      <c r="J447" t="s">
        <v>77</v>
      </c>
      <c r="K447" t="s">
        <v>78</v>
      </c>
      <c r="L447" t="s">
        <v>374</v>
      </c>
      <c r="M447" t="s">
        <v>375</v>
      </c>
      <c r="N447" t="s">
        <v>376</v>
      </c>
      <c r="O447" t="s">
        <v>82</v>
      </c>
      <c r="P447" t="str">
        <f>"4170037201                    "</f>
        <v xml:space="preserve">4170037201                    </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134.97</v>
      </c>
      <c r="AR447">
        <v>0</v>
      </c>
      <c r="AS447">
        <v>0</v>
      </c>
      <c r="AT447">
        <v>0</v>
      </c>
      <c r="AU447">
        <v>0</v>
      </c>
      <c r="AV447">
        <v>0</v>
      </c>
      <c r="AW447">
        <v>0</v>
      </c>
      <c r="AX447">
        <v>0</v>
      </c>
      <c r="AY447">
        <v>0</v>
      </c>
      <c r="AZ447">
        <v>0</v>
      </c>
      <c r="BA447">
        <v>0</v>
      </c>
      <c r="BB447">
        <v>0</v>
      </c>
      <c r="BC447">
        <v>0</v>
      </c>
      <c r="BD447">
        <v>0</v>
      </c>
      <c r="BE447">
        <v>0</v>
      </c>
      <c r="BF447">
        <v>0</v>
      </c>
      <c r="BG447">
        <v>0</v>
      </c>
      <c r="BH447">
        <v>2</v>
      </c>
      <c r="BI447">
        <v>7</v>
      </c>
      <c r="BJ447">
        <v>3.8</v>
      </c>
      <c r="BK447">
        <v>7</v>
      </c>
      <c r="BL447">
        <v>441.73</v>
      </c>
      <c r="BM447">
        <v>66.260000000000005</v>
      </c>
      <c r="BN447">
        <v>507.99</v>
      </c>
      <c r="BO447">
        <v>507.99</v>
      </c>
      <c r="BQ447" t="s">
        <v>377</v>
      </c>
      <c r="BR447" t="s">
        <v>84</v>
      </c>
      <c r="BS447" s="3">
        <v>45785</v>
      </c>
      <c r="BT447" s="4">
        <v>0.42569444444444443</v>
      </c>
      <c r="BU447" t="s">
        <v>378</v>
      </c>
      <c r="BV447" t="s">
        <v>86</v>
      </c>
      <c r="BY447">
        <v>19200</v>
      </c>
      <c r="CA447" t="s">
        <v>379</v>
      </c>
      <c r="CC447" t="s">
        <v>375</v>
      </c>
      <c r="CD447">
        <v>7130</v>
      </c>
      <c r="CE447" t="s">
        <v>96</v>
      </c>
      <c r="CF447" s="3">
        <v>45786</v>
      </c>
      <c r="CI447">
        <v>1</v>
      </c>
      <c r="CJ447">
        <v>1</v>
      </c>
      <c r="CK447">
        <v>23</v>
      </c>
      <c r="CL447" t="s">
        <v>89</v>
      </c>
    </row>
    <row r="448" spans="1:90" x14ac:dyDescent="0.3">
      <c r="A448" t="s">
        <v>72</v>
      </c>
      <c r="B448" t="s">
        <v>73</v>
      </c>
      <c r="C448" t="s">
        <v>74</v>
      </c>
      <c r="E448" t="str">
        <f>"080065215989"</f>
        <v>080065215989</v>
      </c>
      <c r="F448" s="3">
        <v>45784</v>
      </c>
      <c r="G448">
        <v>202602</v>
      </c>
      <c r="H448" t="s">
        <v>75</v>
      </c>
      <c r="I448" t="s">
        <v>76</v>
      </c>
      <c r="J448" t="s">
        <v>77</v>
      </c>
      <c r="K448" t="s">
        <v>78</v>
      </c>
      <c r="L448" t="s">
        <v>232</v>
      </c>
      <c r="M448" t="s">
        <v>233</v>
      </c>
      <c r="N448" t="s">
        <v>1108</v>
      </c>
      <c r="O448" t="s">
        <v>82</v>
      </c>
      <c r="P448" t="str">
        <f>"4170037198                    "</f>
        <v xml:space="preserve">4170037198                    </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21.38</v>
      </c>
      <c r="AR448">
        <v>0</v>
      </c>
      <c r="AS448">
        <v>0</v>
      </c>
      <c r="AT448">
        <v>0</v>
      </c>
      <c r="AU448">
        <v>0</v>
      </c>
      <c r="AV448">
        <v>0</v>
      </c>
      <c r="AW448">
        <v>0</v>
      </c>
      <c r="AX448">
        <v>0</v>
      </c>
      <c r="AY448">
        <v>0</v>
      </c>
      <c r="AZ448">
        <v>0</v>
      </c>
      <c r="BA448">
        <v>0</v>
      </c>
      <c r="BB448">
        <v>0</v>
      </c>
      <c r="BC448">
        <v>0</v>
      </c>
      <c r="BD448">
        <v>0</v>
      </c>
      <c r="BE448">
        <v>0</v>
      </c>
      <c r="BF448">
        <v>0</v>
      </c>
      <c r="BG448">
        <v>0</v>
      </c>
      <c r="BH448">
        <v>1</v>
      </c>
      <c r="BI448">
        <v>1</v>
      </c>
      <c r="BJ448">
        <v>0.2</v>
      </c>
      <c r="BK448">
        <v>1</v>
      </c>
      <c r="BL448">
        <v>69.98</v>
      </c>
      <c r="BM448">
        <v>10.5</v>
      </c>
      <c r="BN448">
        <v>80.48</v>
      </c>
      <c r="BO448">
        <v>80.48</v>
      </c>
      <c r="BQ448" t="s">
        <v>1109</v>
      </c>
      <c r="BR448" t="s">
        <v>84</v>
      </c>
      <c r="BS448" s="3">
        <v>45785</v>
      </c>
      <c r="BT448" s="4">
        <v>0.35486111111111113</v>
      </c>
      <c r="BU448" t="s">
        <v>1110</v>
      </c>
      <c r="BV448" t="s">
        <v>86</v>
      </c>
      <c r="BY448">
        <v>1200</v>
      </c>
      <c r="CA448" t="s">
        <v>237</v>
      </c>
      <c r="CC448" t="s">
        <v>233</v>
      </c>
      <c r="CD448" s="5" t="s">
        <v>238</v>
      </c>
      <c r="CE448" t="s">
        <v>176</v>
      </c>
      <c r="CF448" s="3">
        <v>45785</v>
      </c>
      <c r="CI448">
        <v>1</v>
      </c>
      <c r="CJ448">
        <v>1</v>
      </c>
      <c r="CK448">
        <v>21</v>
      </c>
      <c r="CL448" t="s">
        <v>89</v>
      </c>
    </row>
    <row r="449" spans="1:90" x14ac:dyDescent="0.3">
      <c r="A449" t="s">
        <v>72</v>
      </c>
      <c r="B449" t="s">
        <v>73</v>
      </c>
      <c r="C449" t="s">
        <v>74</v>
      </c>
      <c r="E449" t="str">
        <f>"080065216049"</f>
        <v>080065216049</v>
      </c>
      <c r="F449" s="3">
        <v>45784</v>
      </c>
      <c r="G449">
        <v>202602</v>
      </c>
      <c r="H449" t="s">
        <v>75</v>
      </c>
      <c r="I449" t="s">
        <v>76</v>
      </c>
      <c r="J449" t="s">
        <v>77</v>
      </c>
      <c r="K449" t="s">
        <v>78</v>
      </c>
      <c r="L449" t="s">
        <v>136</v>
      </c>
      <c r="M449" t="s">
        <v>137</v>
      </c>
      <c r="N449" t="s">
        <v>735</v>
      </c>
      <c r="O449" t="s">
        <v>82</v>
      </c>
      <c r="P449" t="str">
        <f>"4170037151                    "</f>
        <v xml:space="preserve">4170037151                    </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21.38</v>
      </c>
      <c r="AR449">
        <v>0</v>
      </c>
      <c r="AS449">
        <v>0</v>
      </c>
      <c r="AT449">
        <v>0</v>
      </c>
      <c r="AU449">
        <v>0</v>
      </c>
      <c r="AV449">
        <v>0</v>
      </c>
      <c r="AW449">
        <v>0</v>
      </c>
      <c r="AX449">
        <v>0</v>
      </c>
      <c r="AY449">
        <v>0</v>
      </c>
      <c r="AZ449">
        <v>0</v>
      </c>
      <c r="BA449">
        <v>0</v>
      </c>
      <c r="BB449">
        <v>0</v>
      </c>
      <c r="BC449">
        <v>0</v>
      </c>
      <c r="BD449">
        <v>0</v>
      </c>
      <c r="BE449">
        <v>0</v>
      </c>
      <c r="BF449">
        <v>0</v>
      </c>
      <c r="BG449">
        <v>0</v>
      </c>
      <c r="BH449">
        <v>1</v>
      </c>
      <c r="BI449">
        <v>1</v>
      </c>
      <c r="BJ449">
        <v>0.2</v>
      </c>
      <c r="BK449">
        <v>1</v>
      </c>
      <c r="BL449">
        <v>69.98</v>
      </c>
      <c r="BM449">
        <v>10.5</v>
      </c>
      <c r="BN449">
        <v>80.48</v>
      </c>
      <c r="BO449">
        <v>80.48</v>
      </c>
      <c r="BQ449" t="s">
        <v>736</v>
      </c>
      <c r="BR449" t="s">
        <v>84</v>
      </c>
      <c r="BS449" s="3">
        <v>45785</v>
      </c>
      <c r="BT449" s="4">
        <v>0.37916666666666665</v>
      </c>
      <c r="BU449" t="s">
        <v>739</v>
      </c>
      <c r="BV449" t="s">
        <v>86</v>
      </c>
      <c r="BY449">
        <v>1200</v>
      </c>
      <c r="CA449" t="s">
        <v>258</v>
      </c>
      <c r="CC449" t="s">
        <v>137</v>
      </c>
      <c r="CD449" s="5" t="s">
        <v>738</v>
      </c>
      <c r="CE449" t="s">
        <v>176</v>
      </c>
      <c r="CF449" s="3">
        <v>45785</v>
      </c>
      <c r="CI449">
        <v>1</v>
      </c>
      <c r="CJ449">
        <v>1</v>
      </c>
      <c r="CK449">
        <v>21</v>
      </c>
      <c r="CL449" t="s">
        <v>89</v>
      </c>
    </row>
    <row r="450" spans="1:90" x14ac:dyDescent="0.3">
      <c r="A450" t="s">
        <v>72</v>
      </c>
      <c r="B450" t="s">
        <v>73</v>
      </c>
      <c r="C450" t="s">
        <v>74</v>
      </c>
      <c r="E450" t="str">
        <f>"080065216102"</f>
        <v>080065216102</v>
      </c>
      <c r="F450" s="3">
        <v>45784</v>
      </c>
      <c r="G450">
        <v>202602</v>
      </c>
      <c r="H450" t="s">
        <v>75</v>
      </c>
      <c r="I450" t="s">
        <v>76</v>
      </c>
      <c r="J450" t="s">
        <v>77</v>
      </c>
      <c r="K450" t="s">
        <v>78</v>
      </c>
      <c r="L450" t="s">
        <v>90</v>
      </c>
      <c r="M450" t="s">
        <v>91</v>
      </c>
      <c r="N450" t="s">
        <v>92</v>
      </c>
      <c r="O450" t="s">
        <v>82</v>
      </c>
      <c r="P450" t="str">
        <f>"4170037149                    "</f>
        <v xml:space="preserve">4170037149                    </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21.38</v>
      </c>
      <c r="AR450">
        <v>0</v>
      </c>
      <c r="AS450">
        <v>0</v>
      </c>
      <c r="AT450">
        <v>0</v>
      </c>
      <c r="AU450">
        <v>0</v>
      </c>
      <c r="AV450">
        <v>0</v>
      </c>
      <c r="AW450">
        <v>0</v>
      </c>
      <c r="AX450">
        <v>0</v>
      </c>
      <c r="AY450">
        <v>0</v>
      </c>
      <c r="AZ450">
        <v>0</v>
      </c>
      <c r="BA450">
        <v>0</v>
      </c>
      <c r="BB450">
        <v>0</v>
      </c>
      <c r="BC450">
        <v>0</v>
      </c>
      <c r="BD450">
        <v>0</v>
      </c>
      <c r="BE450">
        <v>0</v>
      </c>
      <c r="BF450">
        <v>0</v>
      </c>
      <c r="BG450">
        <v>0</v>
      </c>
      <c r="BH450">
        <v>1</v>
      </c>
      <c r="BI450">
        <v>1</v>
      </c>
      <c r="BJ450">
        <v>0.2</v>
      </c>
      <c r="BK450">
        <v>1</v>
      </c>
      <c r="BL450">
        <v>69.98</v>
      </c>
      <c r="BM450">
        <v>10.5</v>
      </c>
      <c r="BN450">
        <v>80.48</v>
      </c>
      <c r="BO450">
        <v>80.48</v>
      </c>
      <c r="BQ450" t="s">
        <v>93</v>
      </c>
      <c r="BR450" t="s">
        <v>84</v>
      </c>
      <c r="BS450" s="3">
        <v>45785</v>
      </c>
      <c r="BT450" s="4">
        <v>0.38263888888888886</v>
      </c>
      <c r="BU450" t="s">
        <v>94</v>
      </c>
      <c r="BV450" t="s">
        <v>86</v>
      </c>
      <c r="BY450">
        <v>1200</v>
      </c>
      <c r="CA450" t="s">
        <v>95</v>
      </c>
      <c r="CC450" t="s">
        <v>91</v>
      </c>
      <c r="CD450">
        <v>6001</v>
      </c>
      <c r="CE450" t="s">
        <v>176</v>
      </c>
      <c r="CF450" s="3">
        <v>45785</v>
      </c>
      <c r="CI450">
        <v>1</v>
      </c>
      <c r="CJ450">
        <v>1</v>
      </c>
      <c r="CK450">
        <v>21</v>
      </c>
      <c r="CL450" t="s">
        <v>89</v>
      </c>
    </row>
    <row r="451" spans="1:90" x14ac:dyDescent="0.3">
      <c r="A451" t="s">
        <v>72</v>
      </c>
      <c r="B451" t="s">
        <v>73</v>
      </c>
      <c r="C451" t="s">
        <v>74</v>
      </c>
      <c r="E451" t="str">
        <f>"080065216138"</f>
        <v>080065216138</v>
      </c>
      <c r="F451" s="3">
        <v>45784</v>
      </c>
      <c r="G451">
        <v>202602</v>
      </c>
      <c r="H451" t="s">
        <v>75</v>
      </c>
      <c r="I451" t="s">
        <v>76</v>
      </c>
      <c r="J451" t="s">
        <v>77</v>
      </c>
      <c r="K451" t="s">
        <v>78</v>
      </c>
      <c r="L451" t="s">
        <v>79</v>
      </c>
      <c r="M451" t="s">
        <v>80</v>
      </c>
      <c r="N451" t="s">
        <v>1111</v>
      </c>
      <c r="O451" t="s">
        <v>82</v>
      </c>
      <c r="P451" t="str">
        <f>"4170037202                    "</f>
        <v xml:space="preserve">4170037202                    </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21.38</v>
      </c>
      <c r="AR451">
        <v>0</v>
      </c>
      <c r="AS451">
        <v>0</v>
      </c>
      <c r="AT451">
        <v>0</v>
      </c>
      <c r="AU451">
        <v>0</v>
      </c>
      <c r="AV451">
        <v>0</v>
      </c>
      <c r="AW451">
        <v>0</v>
      </c>
      <c r="AX451">
        <v>0</v>
      </c>
      <c r="AY451">
        <v>0</v>
      </c>
      <c r="AZ451">
        <v>0</v>
      </c>
      <c r="BA451">
        <v>0</v>
      </c>
      <c r="BB451">
        <v>0</v>
      </c>
      <c r="BC451">
        <v>0</v>
      </c>
      <c r="BD451">
        <v>0</v>
      </c>
      <c r="BE451">
        <v>0</v>
      </c>
      <c r="BF451">
        <v>0</v>
      </c>
      <c r="BG451">
        <v>0</v>
      </c>
      <c r="BH451">
        <v>1</v>
      </c>
      <c r="BI451">
        <v>1</v>
      </c>
      <c r="BJ451">
        <v>0.2</v>
      </c>
      <c r="BK451">
        <v>1</v>
      </c>
      <c r="BL451">
        <v>69.98</v>
      </c>
      <c r="BM451">
        <v>10.5</v>
      </c>
      <c r="BN451">
        <v>80.48</v>
      </c>
      <c r="BO451">
        <v>80.48</v>
      </c>
      <c r="BQ451" t="s">
        <v>1112</v>
      </c>
      <c r="BR451" t="s">
        <v>84</v>
      </c>
      <c r="BS451" s="3">
        <v>45785</v>
      </c>
      <c r="BT451" s="4">
        <v>0.34166666666666667</v>
      </c>
      <c r="BU451" t="s">
        <v>1113</v>
      </c>
      <c r="BV451" t="s">
        <v>86</v>
      </c>
      <c r="BY451">
        <v>1200</v>
      </c>
      <c r="CA451" t="s">
        <v>160</v>
      </c>
      <c r="CC451" t="s">
        <v>80</v>
      </c>
      <c r="CD451">
        <v>3610</v>
      </c>
      <c r="CE451" t="s">
        <v>176</v>
      </c>
      <c r="CF451" s="3">
        <v>45786</v>
      </c>
      <c r="CI451">
        <v>1</v>
      </c>
      <c r="CJ451">
        <v>1</v>
      </c>
      <c r="CK451">
        <v>21</v>
      </c>
      <c r="CL451" t="s">
        <v>89</v>
      </c>
    </row>
    <row r="452" spans="1:90" x14ac:dyDescent="0.3">
      <c r="A452" t="s">
        <v>72</v>
      </c>
      <c r="B452" t="s">
        <v>73</v>
      </c>
      <c r="C452" t="s">
        <v>74</v>
      </c>
      <c r="E452" t="str">
        <f>"080065216173"</f>
        <v>080065216173</v>
      </c>
      <c r="F452" s="3">
        <v>45784</v>
      </c>
      <c r="G452">
        <v>202602</v>
      </c>
      <c r="H452" t="s">
        <v>75</v>
      </c>
      <c r="I452" t="s">
        <v>76</v>
      </c>
      <c r="J452" t="s">
        <v>77</v>
      </c>
      <c r="K452" t="s">
        <v>78</v>
      </c>
      <c r="L452" t="s">
        <v>130</v>
      </c>
      <c r="M452" t="s">
        <v>131</v>
      </c>
      <c r="N452" t="s">
        <v>327</v>
      </c>
      <c r="O452" t="s">
        <v>82</v>
      </c>
      <c r="P452" t="str">
        <f>"4170037158                    "</f>
        <v xml:space="preserve">4170037158                    </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21.38</v>
      </c>
      <c r="AR452">
        <v>0</v>
      </c>
      <c r="AS452">
        <v>0</v>
      </c>
      <c r="AT452">
        <v>0</v>
      </c>
      <c r="AU452">
        <v>0</v>
      </c>
      <c r="AV452">
        <v>0</v>
      </c>
      <c r="AW452">
        <v>0</v>
      </c>
      <c r="AX452">
        <v>0</v>
      </c>
      <c r="AY452">
        <v>0</v>
      </c>
      <c r="AZ452">
        <v>0</v>
      </c>
      <c r="BA452">
        <v>0</v>
      </c>
      <c r="BB452">
        <v>0</v>
      </c>
      <c r="BC452">
        <v>0</v>
      </c>
      <c r="BD452">
        <v>0</v>
      </c>
      <c r="BE452">
        <v>0</v>
      </c>
      <c r="BF452">
        <v>0</v>
      </c>
      <c r="BG452">
        <v>0</v>
      </c>
      <c r="BH452">
        <v>1</v>
      </c>
      <c r="BI452">
        <v>1</v>
      </c>
      <c r="BJ452">
        <v>0.2</v>
      </c>
      <c r="BK452">
        <v>1</v>
      </c>
      <c r="BL452">
        <v>69.98</v>
      </c>
      <c r="BM452">
        <v>10.5</v>
      </c>
      <c r="BN452">
        <v>80.48</v>
      </c>
      <c r="BO452">
        <v>80.48</v>
      </c>
      <c r="BQ452" t="s">
        <v>328</v>
      </c>
      <c r="BR452" t="s">
        <v>84</v>
      </c>
      <c r="BS452" s="3">
        <v>45785</v>
      </c>
      <c r="BT452" s="4">
        <v>0.37222222222222223</v>
      </c>
      <c r="BU452" t="s">
        <v>329</v>
      </c>
      <c r="BV452" t="s">
        <v>86</v>
      </c>
      <c r="BY452">
        <v>1200</v>
      </c>
      <c r="CA452" t="s">
        <v>330</v>
      </c>
      <c r="CC452" t="s">
        <v>131</v>
      </c>
      <c r="CD452">
        <v>7480</v>
      </c>
      <c r="CE452" t="s">
        <v>176</v>
      </c>
      <c r="CF452" s="3">
        <v>45786</v>
      </c>
      <c r="CI452">
        <v>1</v>
      </c>
      <c r="CJ452">
        <v>1</v>
      </c>
      <c r="CK452">
        <v>21</v>
      </c>
      <c r="CL452" t="s">
        <v>89</v>
      </c>
    </row>
    <row r="453" spans="1:90" x14ac:dyDescent="0.3">
      <c r="A453" t="s">
        <v>72</v>
      </c>
      <c r="B453" t="s">
        <v>73</v>
      </c>
      <c r="C453" t="s">
        <v>74</v>
      </c>
      <c r="E453" t="str">
        <f>"080065216203"</f>
        <v>080065216203</v>
      </c>
      <c r="F453" s="3">
        <v>45784</v>
      </c>
      <c r="G453">
        <v>202602</v>
      </c>
      <c r="H453" t="s">
        <v>75</v>
      </c>
      <c r="I453" t="s">
        <v>76</v>
      </c>
      <c r="J453" t="s">
        <v>77</v>
      </c>
      <c r="K453" t="s">
        <v>78</v>
      </c>
      <c r="L453" t="s">
        <v>232</v>
      </c>
      <c r="M453" t="s">
        <v>233</v>
      </c>
      <c r="N453" t="s">
        <v>1108</v>
      </c>
      <c r="O453" t="s">
        <v>82</v>
      </c>
      <c r="P453" t="str">
        <f>"4170037204                    "</f>
        <v xml:space="preserve">4170037204                    </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21.38</v>
      </c>
      <c r="AR453">
        <v>0</v>
      </c>
      <c r="AS453">
        <v>0</v>
      </c>
      <c r="AT453">
        <v>0</v>
      </c>
      <c r="AU453">
        <v>0</v>
      </c>
      <c r="AV453">
        <v>0</v>
      </c>
      <c r="AW453">
        <v>0</v>
      </c>
      <c r="AX453">
        <v>0</v>
      </c>
      <c r="AY453">
        <v>0</v>
      </c>
      <c r="AZ453">
        <v>0</v>
      </c>
      <c r="BA453">
        <v>0</v>
      </c>
      <c r="BB453">
        <v>0</v>
      </c>
      <c r="BC453">
        <v>0</v>
      </c>
      <c r="BD453">
        <v>0</v>
      </c>
      <c r="BE453">
        <v>0</v>
      </c>
      <c r="BF453">
        <v>0</v>
      </c>
      <c r="BG453">
        <v>0</v>
      </c>
      <c r="BH453">
        <v>1</v>
      </c>
      <c r="BI453">
        <v>1</v>
      </c>
      <c r="BJ453">
        <v>0.2</v>
      </c>
      <c r="BK453">
        <v>1</v>
      </c>
      <c r="BL453">
        <v>69.98</v>
      </c>
      <c r="BM453">
        <v>10.5</v>
      </c>
      <c r="BN453">
        <v>80.48</v>
      </c>
      <c r="BO453">
        <v>80.48</v>
      </c>
      <c r="BQ453" t="s">
        <v>1109</v>
      </c>
      <c r="BR453" t="s">
        <v>84</v>
      </c>
      <c r="BS453" s="3">
        <v>45785</v>
      </c>
      <c r="BT453" s="4">
        <v>0.35486111111111113</v>
      </c>
      <c r="BU453" t="s">
        <v>1110</v>
      </c>
      <c r="BV453" t="s">
        <v>86</v>
      </c>
      <c r="BY453">
        <v>1200</v>
      </c>
      <c r="CA453" t="s">
        <v>237</v>
      </c>
      <c r="CC453" t="s">
        <v>233</v>
      </c>
      <c r="CD453" s="5" t="s">
        <v>238</v>
      </c>
      <c r="CE453" t="s">
        <v>88</v>
      </c>
      <c r="CF453" s="3">
        <v>45785</v>
      </c>
      <c r="CI453">
        <v>1</v>
      </c>
      <c r="CJ453">
        <v>1</v>
      </c>
      <c r="CK453">
        <v>21</v>
      </c>
      <c r="CL453" t="s">
        <v>89</v>
      </c>
    </row>
    <row r="454" spans="1:90" x14ac:dyDescent="0.3">
      <c r="A454" t="s">
        <v>72</v>
      </c>
      <c r="B454" t="s">
        <v>73</v>
      </c>
      <c r="C454" t="s">
        <v>74</v>
      </c>
      <c r="E454" t="str">
        <f>"080065216236"</f>
        <v>080065216236</v>
      </c>
      <c r="F454" s="3">
        <v>45784</v>
      </c>
      <c r="G454">
        <v>202602</v>
      </c>
      <c r="H454" t="s">
        <v>75</v>
      </c>
      <c r="I454" t="s">
        <v>76</v>
      </c>
      <c r="J454" t="s">
        <v>77</v>
      </c>
      <c r="K454" t="s">
        <v>78</v>
      </c>
      <c r="L454" t="s">
        <v>143</v>
      </c>
      <c r="M454" t="s">
        <v>144</v>
      </c>
      <c r="N454" t="s">
        <v>1114</v>
      </c>
      <c r="O454" t="s">
        <v>82</v>
      </c>
      <c r="P454" t="str">
        <f>"4170037179                    "</f>
        <v xml:space="preserve">4170037179                    </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16.7</v>
      </c>
      <c r="AR454">
        <v>0</v>
      </c>
      <c r="AS454">
        <v>0</v>
      </c>
      <c r="AT454">
        <v>0</v>
      </c>
      <c r="AU454">
        <v>0</v>
      </c>
      <c r="AV454">
        <v>0</v>
      </c>
      <c r="AW454">
        <v>0</v>
      </c>
      <c r="AX454">
        <v>0</v>
      </c>
      <c r="AY454">
        <v>0</v>
      </c>
      <c r="AZ454">
        <v>0</v>
      </c>
      <c r="BA454">
        <v>0</v>
      </c>
      <c r="BB454">
        <v>0</v>
      </c>
      <c r="BC454">
        <v>0</v>
      </c>
      <c r="BD454">
        <v>0</v>
      </c>
      <c r="BE454">
        <v>0</v>
      </c>
      <c r="BF454">
        <v>0</v>
      </c>
      <c r="BG454">
        <v>0</v>
      </c>
      <c r="BH454">
        <v>1</v>
      </c>
      <c r="BI454">
        <v>1</v>
      </c>
      <c r="BJ454">
        <v>0.2</v>
      </c>
      <c r="BK454">
        <v>1</v>
      </c>
      <c r="BL454">
        <v>54.66</v>
      </c>
      <c r="BM454">
        <v>8.1999999999999993</v>
      </c>
      <c r="BN454">
        <v>62.86</v>
      </c>
      <c r="BO454">
        <v>62.86</v>
      </c>
      <c r="BQ454" t="s">
        <v>1115</v>
      </c>
      <c r="BR454" t="s">
        <v>84</v>
      </c>
      <c r="BS454" s="3">
        <v>45785</v>
      </c>
      <c r="BT454" s="4">
        <v>0.4201388888888889</v>
      </c>
      <c r="BU454" t="s">
        <v>1116</v>
      </c>
      <c r="BV454" t="s">
        <v>86</v>
      </c>
      <c r="BY454">
        <v>1200</v>
      </c>
      <c r="CA454" t="s">
        <v>765</v>
      </c>
      <c r="CC454" t="s">
        <v>144</v>
      </c>
      <c r="CD454">
        <v>1428</v>
      </c>
      <c r="CE454" t="s">
        <v>88</v>
      </c>
      <c r="CF454" s="3">
        <v>45785</v>
      </c>
      <c r="CI454">
        <v>1</v>
      </c>
      <c r="CJ454">
        <v>1</v>
      </c>
      <c r="CK454">
        <v>22</v>
      </c>
      <c r="CL454" t="s">
        <v>89</v>
      </c>
    </row>
    <row r="455" spans="1:90" x14ac:dyDescent="0.3">
      <c r="A455" t="s">
        <v>72</v>
      </c>
      <c r="B455" t="s">
        <v>73</v>
      </c>
      <c r="C455" t="s">
        <v>74</v>
      </c>
      <c r="E455" t="str">
        <f>"080065216265"</f>
        <v>080065216265</v>
      </c>
      <c r="F455" s="3">
        <v>45784</v>
      </c>
      <c r="G455">
        <v>202602</v>
      </c>
      <c r="H455" t="s">
        <v>75</v>
      </c>
      <c r="I455" t="s">
        <v>76</v>
      </c>
      <c r="J455" t="s">
        <v>77</v>
      </c>
      <c r="K455" t="s">
        <v>78</v>
      </c>
      <c r="L455" t="s">
        <v>90</v>
      </c>
      <c r="M455" t="s">
        <v>91</v>
      </c>
      <c r="N455" t="s">
        <v>92</v>
      </c>
      <c r="O455" t="s">
        <v>82</v>
      </c>
      <c r="P455" t="str">
        <f>"4170037148                    "</f>
        <v xml:space="preserve">4170037148                    </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21.38</v>
      </c>
      <c r="AR455">
        <v>0</v>
      </c>
      <c r="AS455">
        <v>0</v>
      </c>
      <c r="AT455">
        <v>0</v>
      </c>
      <c r="AU455">
        <v>0</v>
      </c>
      <c r="AV455">
        <v>0</v>
      </c>
      <c r="AW455">
        <v>0</v>
      </c>
      <c r="AX455">
        <v>0</v>
      </c>
      <c r="AY455">
        <v>0</v>
      </c>
      <c r="AZ455">
        <v>0</v>
      </c>
      <c r="BA455">
        <v>0</v>
      </c>
      <c r="BB455">
        <v>0</v>
      </c>
      <c r="BC455">
        <v>0</v>
      </c>
      <c r="BD455">
        <v>0</v>
      </c>
      <c r="BE455">
        <v>0</v>
      </c>
      <c r="BF455">
        <v>0</v>
      </c>
      <c r="BG455">
        <v>0</v>
      </c>
      <c r="BH455">
        <v>1</v>
      </c>
      <c r="BI455">
        <v>1</v>
      </c>
      <c r="BJ455">
        <v>0.2</v>
      </c>
      <c r="BK455">
        <v>1</v>
      </c>
      <c r="BL455">
        <v>69.98</v>
      </c>
      <c r="BM455">
        <v>10.5</v>
      </c>
      <c r="BN455">
        <v>80.48</v>
      </c>
      <c r="BO455">
        <v>80.48</v>
      </c>
      <c r="BQ455" t="s">
        <v>93</v>
      </c>
      <c r="BR455" t="s">
        <v>84</v>
      </c>
      <c r="BS455" s="3">
        <v>45785</v>
      </c>
      <c r="BT455" s="4">
        <v>0.38263888888888886</v>
      </c>
      <c r="BU455" t="s">
        <v>94</v>
      </c>
      <c r="BV455" t="s">
        <v>86</v>
      </c>
      <c r="BY455">
        <v>1200</v>
      </c>
      <c r="CA455" t="s">
        <v>95</v>
      </c>
      <c r="CC455" t="s">
        <v>91</v>
      </c>
      <c r="CD455">
        <v>6001</v>
      </c>
      <c r="CE455" t="s">
        <v>88</v>
      </c>
      <c r="CF455" s="3">
        <v>45785</v>
      </c>
      <c r="CI455">
        <v>1</v>
      </c>
      <c r="CJ455">
        <v>1</v>
      </c>
      <c r="CK455">
        <v>21</v>
      </c>
      <c r="CL455" t="s">
        <v>89</v>
      </c>
    </row>
    <row r="456" spans="1:90" x14ac:dyDescent="0.3">
      <c r="A456" t="s">
        <v>72</v>
      </c>
      <c r="B456" t="s">
        <v>73</v>
      </c>
      <c r="C456" t="s">
        <v>74</v>
      </c>
      <c r="E456" t="str">
        <f>"080065216485"</f>
        <v>080065216485</v>
      </c>
      <c r="F456" s="3">
        <v>45784</v>
      </c>
      <c r="G456">
        <v>202602</v>
      </c>
      <c r="H456" t="s">
        <v>75</v>
      </c>
      <c r="I456" t="s">
        <v>76</v>
      </c>
      <c r="J456" t="s">
        <v>77</v>
      </c>
      <c r="K456" t="s">
        <v>78</v>
      </c>
      <c r="L456" t="s">
        <v>130</v>
      </c>
      <c r="M456" t="s">
        <v>131</v>
      </c>
      <c r="N456" t="s">
        <v>499</v>
      </c>
      <c r="O456" t="s">
        <v>82</v>
      </c>
      <c r="P456" t="str">
        <f>"4170037154                    "</f>
        <v xml:space="preserve">4170037154                    </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21.38</v>
      </c>
      <c r="AR456">
        <v>0</v>
      </c>
      <c r="AS456">
        <v>0</v>
      </c>
      <c r="AT456">
        <v>0</v>
      </c>
      <c r="AU456">
        <v>0</v>
      </c>
      <c r="AV456">
        <v>0</v>
      </c>
      <c r="AW456">
        <v>0</v>
      </c>
      <c r="AX456">
        <v>0</v>
      </c>
      <c r="AY456">
        <v>0</v>
      </c>
      <c r="AZ456">
        <v>0</v>
      </c>
      <c r="BA456">
        <v>0</v>
      </c>
      <c r="BB456">
        <v>0</v>
      </c>
      <c r="BC456">
        <v>0</v>
      </c>
      <c r="BD456">
        <v>0</v>
      </c>
      <c r="BE456">
        <v>0</v>
      </c>
      <c r="BF456">
        <v>0</v>
      </c>
      <c r="BG456">
        <v>0</v>
      </c>
      <c r="BH456">
        <v>1</v>
      </c>
      <c r="BI456">
        <v>1</v>
      </c>
      <c r="BJ456">
        <v>0.2</v>
      </c>
      <c r="BK456">
        <v>1</v>
      </c>
      <c r="BL456">
        <v>69.98</v>
      </c>
      <c r="BM456">
        <v>10.5</v>
      </c>
      <c r="BN456">
        <v>80.48</v>
      </c>
      <c r="BO456">
        <v>80.48</v>
      </c>
      <c r="BQ456" t="s">
        <v>500</v>
      </c>
      <c r="BR456" t="s">
        <v>84</v>
      </c>
      <c r="BS456" s="3">
        <v>45785</v>
      </c>
      <c r="BT456" s="4">
        <v>0.41666666666666669</v>
      </c>
      <c r="BU456" t="s">
        <v>1117</v>
      </c>
      <c r="BV456" t="s">
        <v>86</v>
      </c>
      <c r="BY456">
        <v>1200</v>
      </c>
      <c r="CC456" t="s">
        <v>131</v>
      </c>
      <c r="CD456">
        <v>7700</v>
      </c>
      <c r="CE456" t="s">
        <v>88</v>
      </c>
      <c r="CF456" s="3">
        <v>45786</v>
      </c>
      <c r="CI456">
        <v>1</v>
      </c>
      <c r="CJ456">
        <v>1</v>
      </c>
      <c r="CK456">
        <v>21</v>
      </c>
      <c r="CL456" t="s">
        <v>89</v>
      </c>
    </row>
    <row r="457" spans="1:90" x14ac:dyDescent="0.3">
      <c r="A457" t="s">
        <v>72</v>
      </c>
      <c r="B457" t="s">
        <v>73</v>
      </c>
      <c r="C457" t="s">
        <v>74</v>
      </c>
      <c r="E457" t="str">
        <f>"080065216502"</f>
        <v>080065216502</v>
      </c>
      <c r="F457" s="3">
        <v>45784</v>
      </c>
      <c r="G457">
        <v>202602</v>
      </c>
      <c r="H457" t="s">
        <v>75</v>
      </c>
      <c r="I457" t="s">
        <v>76</v>
      </c>
      <c r="J457" t="s">
        <v>77</v>
      </c>
      <c r="K457" t="s">
        <v>78</v>
      </c>
      <c r="L457" t="s">
        <v>143</v>
      </c>
      <c r="M457" t="s">
        <v>144</v>
      </c>
      <c r="N457" t="s">
        <v>1118</v>
      </c>
      <c r="O457" t="s">
        <v>82</v>
      </c>
      <c r="P457" t="str">
        <f>"4170037157                    "</f>
        <v xml:space="preserve">4170037157                    </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16.7</v>
      </c>
      <c r="AR457">
        <v>0</v>
      </c>
      <c r="AS457">
        <v>0</v>
      </c>
      <c r="AT457">
        <v>0</v>
      </c>
      <c r="AU457">
        <v>0</v>
      </c>
      <c r="AV457">
        <v>0</v>
      </c>
      <c r="AW457">
        <v>0</v>
      </c>
      <c r="AX457">
        <v>0</v>
      </c>
      <c r="AY457">
        <v>0</v>
      </c>
      <c r="AZ457">
        <v>0</v>
      </c>
      <c r="BA457">
        <v>0</v>
      </c>
      <c r="BB457">
        <v>0</v>
      </c>
      <c r="BC457">
        <v>0</v>
      </c>
      <c r="BD457">
        <v>0</v>
      </c>
      <c r="BE457">
        <v>0</v>
      </c>
      <c r="BF457">
        <v>0</v>
      </c>
      <c r="BG457">
        <v>0</v>
      </c>
      <c r="BH457">
        <v>1</v>
      </c>
      <c r="BI457">
        <v>1</v>
      </c>
      <c r="BJ457">
        <v>0.2</v>
      </c>
      <c r="BK457">
        <v>1</v>
      </c>
      <c r="BL457">
        <v>54.66</v>
      </c>
      <c r="BM457">
        <v>8.1999999999999993</v>
      </c>
      <c r="BN457">
        <v>62.86</v>
      </c>
      <c r="BO457">
        <v>62.86</v>
      </c>
      <c r="BQ457" t="s">
        <v>1119</v>
      </c>
      <c r="BR457" t="s">
        <v>84</v>
      </c>
      <c r="BS457" s="3">
        <v>45785</v>
      </c>
      <c r="BT457" s="4">
        <v>0.35416666666666669</v>
      </c>
      <c r="BU457" t="s">
        <v>746</v>
      </c>
      <c r="BV457" t="s">
        <v>86</v>
      </c>
      <c r="BY457">
        <v>1200</v>
      </c>
      <c r="CA457" t="s">
        <v>765</v>
      </c>
      <c r="CC457" t="s">
        <v>144</v>
      </c>
      <c r="CD457">
        <v>1422</v>
      </c>
      <c r="CE457" t="s">
        <v>88</v>
      </c>
      <c r="CF457" s="3">
        <v>45785</v>
      </c>
      <c r="CI457">
        <v>1</v>
      </c>
      <c r="CJ457">
        <v>1</v>
      </c>
      <c r="CK457">
        <v>22</v>
      </c>
      <c r="CL457" t="s">
        <v>89</v>
      </c>
    </row>
    <row r="458" spans="1:90" x14ac:dyDescent="0.3">
      <c r="A458" t="s">
        <v>72</v>
      </c>
      <c r="B458" t="s">
        <v>73</v>
      </c>
      <c r="C458" t="s">
        <v>74</v>
      </c>
      <c r="E458" t="str">
        <f>"080065216519"</f>
        <v>080065216519</v>
      </c>
      <c r="F458" s="3">
        <v>45784</v>
      </c>
      <c r="G458">
        <v>202602</v>
      </c>
      <c r="H458" t="s">
        <v>75</v>
      </c>
      <c r="I458" t="s">
        <v>76</v>
      </c>
      <c r="J458" t="s">
        <v>77</v>
      </c>
      <c r="K458" t="s">
        <v>78</v>
      </c>
      <c r="L458" t="s">
        <v>143</v>
      </c>
      <c r="M458" t="s">
        <v>144</v>
      </c>
      <c r="N458" t="s">
        <v>762</v>
      </c>
      <c r="O458" t="s">
        <v>82</v>
      </c>
      <c r="P458" t="str">
        <f>"4170037152                    "</f>
        <v xml:space="preserve">4170037152                    </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16.7</v>
      </c>
      <c r="AR458">
        <v>0</v>
      </c>
      <c r="AS458">
        <v>0</v>
      </c>
      <c r="AT458">
        <v>0</v>
      </c>
      <c r="AU458">
        <v>0</v>
      </c>
      <c r="AV458">
        <v>0</v>
      </c>
      <c r="AW458">
        <v>0</v>
      </c>
      <c r="AX458">
        <v>0</v>
      </c>
      <c r="AY458">
        <v>0</v>
      </c>
      <c r="AZ458">
        <v>0</v>
      </c>
      <c r="BA458">
        <v>0</v>
      </c>
      <c r="BB458">
        <v>0</v>
      </c>
      <c r="BC458">
        <v>0</v>
      </c>
      <c r="BD458">
        <v>0</v>
      </c>
      <c r="BE458">
        <v>0</v>
      </c>
      <c r="BF458">
        <v>0</v>
      </c>
      <c r="BG458">
        <v>0</v>
      </c>
      <c r="BH458">
        <v>1</v>
      </c>
      <c r="BI458">
        <v>1</v>
      </c>
      <c r="BJ458">
        <v>0.2</v>
      </c>
      <c r="BK458">
        <v>1</v>
      </c>
      <c r="BL458">
        <v>54.66</v>
      </c>
      <c r="BM458">
        <v>8.1999999999999993</v>
      </c>
      <c r="BN458">
        <v>62.86</v>
      </c>
      <c r="BO458">
        <v>62.86</v>
      </c>
      <c r="BQ458" t="s">
        <v>763</v>
      </c>
      <c r="BR458" t="s">
        <v>84</v>
      </c>
      <c r="BS458" s="3">
        <v>45785</v>
      </c>
      <c r="BT458" s="4">
        <v>0.40277777777777779</v>
      </c>
      <c r="BU458" t="s">
        <v>1120</v>
      </c>
      <c r="BV458" t="s">
        <v>86</v>
      </c>
      <c r="BY458">
        <v>1200</v>
      </c>
      <c r="CA458" t="s">
        <v>765</v>
      </c>
      <c r="CC458" t="s">
        <v>144</v>
      </c>
      <c r="CD458">
        <v>1428</v>
      </c>
      <c r="CE458" t="s">
        <v>88</v>
      </c>
      <c r="CF458" s="3">
        <v>45785</v>
      </c>
      <c r="CI458">
        <v>1</v>
      </c>
      <c r="CJ458">
        <v>1</v>
      </c>
      <c r="CK458">
        <v>22</v>
      </c>
      <c r="CL458" t="s">
        <v>89</v>
      </c>
    </row>
    <row r="459" spans="1:90" x14ac:dyDescent="0.3">
      <c r="A459" t="s">
        <v>72</v>
      </c>
      <c r="B459" t="s">
        <v>73</v>
      </c>
      <c r="C459" t="s">
        <v>74</v>
      </c>
      <c r="E459" t="str">
        <f>"080065216539"</f>
        <v>080065216539</v>
      </c>
      <c r="F459" s="3">
        <v>45784</v>
      </c>
      <c r="G459">
        <v>202602</v>
      </c>
      <c r="H459" t="s">
        <v>75</v>
      </c>
      <c r="I459" t="s">
        <v>76</v>
      </c>
      <c r="J459" t="s">
        <v>77</v>
      </c>
      <c r="K459" t="s">
        <v>78</v>
      </c>
      <c r="L459" t="s">
        <v>130</v>
      </c>
      <c r="M459" t="s">
        <v>131</v>
      </c>
      <c r="N459" t="s">
        <v>909</v>
      </c>
      <c r="O459" t="s">
        <v>82</v>
      </c>
      <c r="P459" t="str">
        <f>"4170037161                    "</f>
        <v xml:space="preserve">4170037161                    </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21.38</v>
      </c>
      <c r="AR459">
        <v>0</v>
      </c>
      <c r="AS459">
        <v>0</v>
      </c>
      <c r="AT459">
        <v>0</v>
      </c>
      <c r="AU459">
        <v>0</v>
      </c>
      <c r="AV459">
        <v>0</v>
      </c>
      <c r="AW459">
        <v>0</v>
      </c>
      <c r="AX459">
        <v>0</v>
      </c>
      <c r="AY459">
        <v>0</v>
      </c>
      <c r="AZ459">
        <v>0</v>
      </c>
      <c r="BA459">
        <v>0</v>
      </c>
      <c r="BB459">
        <v>0</v>
      </c>
      <c r="BC459">
        <v>0</v>
      </c>
      <c r="BD459">
        <v>0</v>
      </c>
      <c r="BE459">
        <v>0</v>
      </c>
      <c r="BF459">
        <v>0</v>
      </c>
      <c r="BG459">
        <v>0</v>
      </c>
      <c r="BH459">
        <v>1</v>
      </c>
      <c r="BI459">
        <v>1</v>
      </c>
      <c r="BJ459">
        <v>0.2</v>
      </c>
      <c r="BK459">
        <v>1</v>
      </c>
      <c r="BL459">
        <v>69.98</v>
      </c>
      <c r="BM459">
        <v>10.5</v>
      </c>
      <c r="BN459">
        <v>80.48</v>
      </c>
      <c r="BO459">
        <v>80.48</v>
      </c>
      <c r="BQ459" t="s">
        <v>910</v>
      </c>
      <c r="BR459" t="s">
        <v>84</v>
      </c>
      <c r="BS459" s="3">
        <v>45785</v>
      </c>
      <c r="BT459" s="4">
        <v>0.34722222222222221</v>
      </c>
      <c r="BU459" t="s">
        <v>911</v>
      </c>
      <c r="BV459" t="s">
        <v>86</v>
      </c>
      <c r="BY459">
        <v>1200</v>
      </c>
      <c r="CA459" t="s">
        <v>712</v>
      </c>
      <c r="CC459" t="s">
        <v>131</v>
      </c>
      <c r="CD459">
        <v>7530</v>
      </c>
      <c r="CE459" t="s">
        <v>88</v>
      </c>
      <c r="CF459" s="3">
        <v>45786</v>
      </c>
      <c r="CI459">
        <v>1</v>
      </c>
      <c r="CJ459">
        <v>1</v>
      </c>
      <c r="CK459">
        <v>21</v>
      </c>
      <c r="CL459" t="s">
        <v>89</v>
      </c>
    </row>
    <row r="460" spans="1:90" x14ac:dyDescent="0.3">
      <c r="A460" t="s">
        <v>72</v>
      </c>
      <c r="B460" t="s">
        <v>73</v>
      </c>
      <c r="C460" t="s">
        <v>74</v>
      </c>
      <c r="E460" t="str">
        <f>"080065216638"</f>
        <v>080065216638</v>
      </c>
      <c r="F460" s="3">
        <v>45784</v>
      </c>
      <c r="G460">
        <v>202602</v>
      </c>
      <c r="H460" t="s">
        <v>75</v>
      </c>
      <c r="I460" t="s">
        <v>76</v>
      </c>
      <c r="J460" t="s">
        <v>77</v>
      </c>
      <c r="K460" t="s">
        <v>78</v>
      </c>
      <c r="L460" t="s">
        <v>350</v>
      </c>
      <c r="M460" t="s">
        <v>351</v>
      </c>
      <c r="N460" t="s">
        <v>459</v>
      </c>
      <c r="O460" t="s">
        <v>82</v>
      </c>
      <c r="P460" t="str">
        <f>"4170037181                    "</f>
        <v xml:space="preserve">4170037181                    </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21.38</v>
      </c>
      <c r="AR460">
        <v>0</v>
      </c>
      <c r="AS460">
        <v>0</v>
      </c>
      <c r="AT460">
        <v>0</v>
      </c>
      <c r="AU460">
        <v>0</v>
      </c>
      <c r="AV460">
        <v>0</v>
      </c>
      <c r="AW460">
        <v>0</v>
      </c>
      <c r="AX460">
        <v>0</v>
      </c>
      <c r="AY460">
        <v>0</v>
      </c>
      <c r="AZ460">
        <v>0</v>
      </c>
      <c r="BA460">
        <v>0</v>
      </c>
      <c r="BB460">
        <v>0</v>
      </c>
      <c r="BC460">
        <v>0</v>
      </c>
      <c r="BD460">
        <v>0</v>
      </c>
      <c r="BE460">
        <v>0</v>
      </c>
      <c r="BF460">
        <v>0</v>
      </c>
      <c r="BG460">
        <v>0</v>
      </c>
      <c r="BH460">
        <v>1</v>
      </c>
      <c r="BI460">
        <v>1</v>
      </c>
      <c r="BJ460">
        <v>0.2</v>
      </c>
      <c r="BK460">
        <v>1</v>
      </c>
      <c r="BL460">
        <v>69.98</v>
      </c>
      <c r="BM460">
        <v>10.5</v>
      </c>
      <c r="BN460">
        <v>80.48</v>
      </c>
      <c r="BO460">
        <v>80.48</v>
      </c>
      <c r="BQ460" t="s">
        <v>460</v>
      </c>
      <c r="BR460" t="s">
        <v>84</v>
      </c>
      <c r="BS460" s="3">
        <v>45785</v>
      </c>
      <c r="BT460" s="4">
        <v>0.33680555555555558</v>
      </c>
      <c r="BU460" t="s">
        <v>1121</v>
      </c>
      <c r="BV460" t="s">
        <v>86</v>
      </c>
      <c r="BY460">
        <v>1200</v>
      </c>
      <c r="BZ460" t="s">
        <v>127</v>
      </c>
      <c r="CA460" t="s">
        <v>462</v>
      </c>
      <c r="CC460" t="s">
        <v>351</v>
      </c>
      <c r="CD460">
        <v>4051</v>
      </c>
      <c r="CE460" t="s">
        <v>129</v>
      </c>
      <c r="CF460" s="3">
        <v>45786</v>
      </c>
      <c r="CI460">
        <v>1</v>
      </c>
      <c r="CJ460">
        <v>1</v>
      </c>
      <c r="CK460">
        <v>21</v>
      </c>
      <c r="CL460" t="s">
        <v>89</v>
      </c>
    </row>
    <row r="461" spans="1:90" x14ac:dyDescent="0.3">
      <c r="A461" t="s">
        <v>72</v>
      </c>
      <c r="B461" t="s">
        <v>73</v>
      </c>
      <c r="C461" t="s">
        <v>74</v>
      </c>
      <c r="E461" t="str">
        <f>"080065216718"</f>
        <v>080065216718</v>
      </c>
      <c r="F461" s="3">
        <v>45784</v>
      </c>
      <c r="G461">
        <v>202602</v>
      </c>
      <c r="H461" t="s">
        <v>75</v>
      </c>
      <c r="I461" t="s">
        <v>76</v>
      </c>
      <c r="J461" t="s">
        <v>77</v>
      </c>
      <c r="K461" t="s">
        <v>78</v>
      </c>
      <c r="L461" t="s">
        <v>463</v>
      </c>
      <c r="M461" t="s">
        <v>464</v>
      </c>
      <c r="N461" t="s">
        <v>585</v>
      </c>
      <c r="O461" t="s">
        <v>82</v>
      </c>
      <c r="P461" t="str">
        <f>"4170037213                    "</f>
        <v xml:space="preserve">4170037213                    </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21.38</v>
      </c>
      <c r="AR461">
        <v>0</v>
      </c>
      <c r="AS461">
        <v>0</v>
      </c>
      <c r="AT461">
        <v>0</v>
      </c>
      <c r="AU461">
        <v>0</v>
      </c>
      <c r="AV461">
        <v>0</v>
      </c>
      <c r="AW461">
        <v>0</v>
      </c>
      <c r="AX461">
        <v>0</v>
      </c>
      <c r="AY461">
        <v>0</v>
      </c>
      <c r="AZ461">
        <v>0</v>
      </c>
      <c r="BA461">
        <v>0</v>
      </c>
      <c r="BB461">
        <v>0</v>
      </c>
      <c r="BC461">
        <v>0</v>
      </c>
      <c r="BD461">
        <v>0</v>
      </c>
      <c r="BE461">
        <v>0</v>
      </c>
      <c r="BF461">
        <v>0</v>
      </c>
      <c r="BG461">
        <v>0</v>
      </c>
      <c r="BH461">
        <v>1</v>
      </c>
      <c r="BI461">
        <v>2</v>
      </c>
      <c r="BJ461">
        <v>1.1000000000000001</v>
      </c>
      <c r="BK461">
        <v>2</v>
      </c>
      <c r="BL461">
        <v>69.98</v>
      </c>
      <c r="BM461">
        <v>10.5</v>
      </c>
      <c r="BN461">
        <v>80.48</v>
      </c>
      <c r="BO461">
        <v>80.48</v>
      </c>
      <c r="BQ461" t="s">
        <v>586</v>
      </c>
      <c r="BR461" t="s">
        <v>84</v>
      </c>
      <c r="BS461" s="3">
        <v>45785</v>
      </c>
      <c r="BT461" s="4">
        <v>0.48749999999999999</v>
      </c>
      <c r="BU461" t="s">
        <v>587</v>
      </c>
      <c r="BV461" t="s">
        <v>89</v>
      </c>
      <c r="BY461">
        <v>5320</v>
      </c>
      <c r="CA461" t="s">
        <v>588</v>
      </c>
      <c r="CC461" t="s">
        <v>464</v>
      </c>
      <c r="CD461">
        <v>5201</v>
      </c>
      <c r="CE461" t="s">
        <v>116</v>
      </c>
      <c r="CF461" s="3">
        <v>45786</v>
      </c>
      <c r="CI461">
        <v>1</v>
      </c>
      <c r="CJ461">
        <v>1</v>
      </c>
      <c r="CK461">
        <v>21</v>
      </c>
      <c r="CL461" t="s">
        <v>89</v>
      </c>
    </row>
    <row r="462" spans="1:90" x14ac:dyDescent="0.3">
      <c r="A462" t="s">
        <v>72</v>
      </c>
      <c r="B462" t="s">
        <v>73</v>
      </c>
      <c r="C462" t="s">
        <v>74</v>
      </c>
      <c r="E462" t="str">
        <f>"080065216784"</f>
        <v>080065216784</v>
      </c>
      <c r="F462" s="3">
        <v>45784</v>
      </c>
      <c r="G462">
        <v>202602</v>
      </c>
      <c r="H462" t="s">
        <v>75</v>
      </c>
      <c r="I462" t="s">
        <v>76</v>
      </c>
      <c r="J462" t="s">
        <v>77</v>
      </c>
      <c r="K462" t="s">
        <v>78</v>
      </c>
      <c r="L462" t="s">
        <v>374</v>
      </c>
      <c r="M462" t="s">
        <v>375</v>
      </c>
      <c r="N462" t="s">
        <v>376</v>
      </c>
      <c r="O462" t="s">
        <v>82</v>
      </c>
      <c r="P462" t="str">
        <f>"4170037200                    "</f>
        <v xml:space="preserve">4170037200                    </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60.14</v>
      </c>
      <c r="AR462">
        <v>0</v>
      </c>
      <c r="AS462">
        <v>0</v>
      </c>
      <c r="AT462">
        <v>0</v>
      </c>
      <c r="AU462">
        <v>0</v>
      </c>
      <c r="AV462">
        <v>0</v>
      </c>
      <c r="AW462">
        <v>0</v>
      </c>
      <c r="AX462">
        <v>0</v>
      </c>
      <c r="AY462">
        <v>0</v>
      </c>
      <c r="AZ462">
        <v>0</v>
      </c>
      <c r="BA462">
        <v>0</v>
      </c>
      <c r="BB462">
        <v>0</v>
      </c>
      <c r="BC462">
        <v>0</v>
      </c>
      <c r="BD462">
        <v>0</v>
      </c>
      <c r="BE462">
        <v>0</v>
      </c>
      <c r="BF462">
        <v>0</v>
      </c>
      <c r="BG462">
        <v>0</v>
      </c>
      <c r="BH462">
        <v>1</v>
      </c>
      <c r="BI462">
        <v>3</v>
      </c>
      <c r="BJ462">
        <v>1.9</v>
      </c>
      <c r="BK462">
        <v>3</v>
      </c>
      <c r="BL462">
        <v>196.82</v>
      </c>
      <c r="BM462">
        <v>29.52</v>
      </c>
      <c r="BN462">
        <v>226.34</v>
      </c>
      <c r="BO462">
        <v>226.34</v>
      </c>
      <c r="BQ462" t="s">
        <v>377</v>
      </c>
      <c r="BR462" t="s">
        <v>84</v>
      </c>
      <c r="BS462" s="3">
        <v>45785</v>
      </c>
      <c r="BT462" s="4">
        <v>0.42569444444444443</v>
      </c>
      <c r="BU462" t="s">
        <v>378</v>
      </c>
      <c r="BV462" t="s">
        <v>86</v>
      </c>
      <c r="BY462">
        <v>9600</v>
      </c>
      <c r="CA462" t="s">
        <v>379</v>
      </c>
      <c r="CC462" t="s">
        <v>375</v>
      </c>
      <c r="CD462">
        <v>7130</v>
      </c>
      <c r="CE462" t="s">
        <v>96</v>
      </c>
      <c r="CF462" s="3">
        <v>45786</v>
      </c>
      <c r="CI462">
        <v>1</v>
      </c>
      <c r="CJ462">
        <v>1</v>
      </c>
      <c r="CK462">
        <v>23</v>
      </c>
      <c r="CL462" t="s">
        <v>89</v>
      </c>
    </row>
    <row r="463" spans="1:90" x14ac:dyDescent="0.3">
      <c r="A463" t="s">
        <v>72</v>
      </c>
      <c r="B463" t="s">
        <v>73</v>
      </c>
      <c r="C463" t="s">
        <v>74</v>
      </c>
      <c r="E463" t="str">
        <f>"080065218244"</f>
        <v>080065218244</v>
      </c>
      <c r="F463" s="3">
        <v>45784</v>
      </c>
      <c r="G463">
        <v>202602</v>
      </c>
      <c r="H463" t="s">
        <v>75</v>
      </c>
      <c r="I463" t="s">
        <v>76</v>
      </c>
      <c r="J463" t="s">
        <v>77</v>
      </c>
      <c r="K463" t="s">
        <v>78</v>
      </c>
      <c r="L463" t="s">
        <v>350</v>
      </c>
      <c r="M463" t="s">
        <v>351</v>
      </c>
      <c r="N463" t="s">
        <v>876</v>
      </c>
      <c r="O463" t="s">
        <v>300</v>
      </c>
      <c r="P463" t="str">
        <f>"4170037176                    "</f>
        <v xml:space="preserve">4170037176                    </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138.66</v>
      </c>
      <c r="AR463">
        <v>0</v>
      </c>
      <c r="AS463">
        <v>0</v>
      </c>
      <c r="AT463">
        <v>0</v>
      </c>
      <c r="AU463">
        <v>0</v>
      </c>
      <c r="AV463">
        <v>0</v>
      </c>
      <c r="AW463">
        <v>0</v>
      </c>
      <c r="AX463">
        <v>0</v>
      </c>
      <c r="AY463">
        <v>0</v>
      </c>
      <c r="AZ463">
        <v>0</v>
      </c>
      <c r="BA463">
        <v>0</v>
      </c>
      <c r="BB463">
        <v>0</v>
      </c>
      <c r="BC463">
        <v>0</v>
      </c>
      <c r="BD463">
        <v>0</v>
      </c>
      <c r="BE463">
        <v>0</v>
      </c>
      <c r="BF463">
        <v>0</v>
      </c>
      <c r="BG463">
        <v>0</v>
      </c>
      <c r="BH463">
        <v>2</v>
      </c>
      <c r="BI463">
        <v>36</v>
      </c>
      <c r="BJ463">
        <v>71.8</v>
      </c>
      <c r="BK463">
        <v>72</v>
      </c>
      <c r="BL463">
        <v>459.37</v>
      </c>
      <c r="BM463">
        <v>68.91</v>
      </c>
      <c r="BN463">
        <v>528.28</v>
      </c>
      <c r="BO463">
        <v>528.28</v>
      </c>
      <c r="BQ463" t="s">
        <v>877</v>
      </c>
      <c r="BR463" t="s">
        <v>84</v>
      </c>
      <c r="BS463" s="3">
        <v>45785</v>
      </c>
      <c r="BT463" s="4">
        <v>0.77361111111111114</v>
      </c>
      <c r="BU463" t="s">
        <v>1122</v>
      </c>
      <c r="BV463" t="s">
        <v>86</v>
      </c>
      <c r="BY463">
        <v>358800</v>
      </c>
      <c r="CA463" t="s">
        <v>1085</v>
      </c>
      <c r="CC463" t="s">
        <v>351</v>
      </c>
      <c r="CD463">
        <v>4001</v>
      </c>
      <c r="CE463" t="s">
        <v>96</v>
      </c>
      <c r="CF463" s="3">
        <v>45786</v>
      </c>
      <c r="CI463">
        <v>1</v>
      </c>
      <c r="CJ463">
        <v>1</v>
      </c>
      <c r="CK463">
        <v>41</v>
      </c>
      <c r="CL463" t="s">
        <v>89</v>
      </c>
    </row>
    <row r="464" spans="1:90" x14ac:dyDescent="0.3">
      <c r="A464" t="s">
        <v>72</v>
      </c>
      <c r="B464" t="s">
        <v>73</v>
      </c>
      <c r="C464" t="s">
        <v>74</v>
      </c>
      <c r="E464" t="str">
        <f>"080065218291"</f>
        <v>080065218291</v>
      </c>
      <c r="F464" s="3">
        <v>45784</v>
      </c>
      <c r="G464">
        <v>202602</v>
      </c>
      <c r="H464" t="s">
        <v>75</v>
      </c>
      <c r="I464" t="s">
        <v>76</v>
      </c>
      <c r="J464" t="s">
        <v>77</v>
      </c>
      <c r="K464" t="s">
        <v>78</v>
      </c>
      <c r="L464" t="s">
        <v>350</v>
      </c>
      <c r="M464" t="s">
        <v>351</v>
      </c>
      <c r="N464" t="s">
        <v>352</v>
      </c>
      <c r="O464" t="s">
        <v>82</v>
      </c>
      <c r="P464" t="str">
        <f>"4170037169                    "</f>
        <v xml:space="preserve">4170037169                    </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21.38</v>
      </c>
      <c r="AR464">
        <v>0</v>
      </c>
      <c r="AS464">
        <v>0</v>
      </c>
      <c r="AT464">
        <v>0</v>
      </c>
      <c r="AU464">
        <v>0</v>
      </c>
      <c r="AV464">
        <v>0</v>
      </c>
      <c r="AW464">
        <v>0</v>
      </c>
      <c r="AX464">
        <v>0</v>
      </c>
      <c r="AY464">
        <v>0</v>
      </c>
      <c r="AZ464">
        <v>0</v>
      </c>
      <c r="BA464">
        <v>0</v>
      </c>
      <c r="BB464">
        <v>0</v>
      </c>
      <c r="BC464">
        <v>0</v>
      </c>
      <c r="BD464">
        <v>0</v>
      </c>
      <c r="BE464">
        <v>0</v>
      </c>
      <c r="BF464">
        <v>0</v>
      </c>
      <c r="BG464">
        <v>0</v>
      </c>
      <c r="BH464">
        <v>1</v>
      </c>
      <c r="BI464">
        <v>1</v>
      </c>
      <c r="BJ464">
        <v>1.2</v>
      </c>
      <c r="BK464">
        <v>1.5</v>
      </c>
      <c r="BL464">
        <v>69.98</v>
      </c>
      <c r="BM464">
        <v>10.5</v>
      </c>
      <c r="BN464">
        <v>80.48</v>
      </c>
      <c r="BO464">
        <v>80.48</v>
      </c>
      <c r="BQ464" t="s">
        <v>353</v>
      </c>
      <c r="BR464" t="s">
        <v>84</v>
      </c>
      <c r="BS464" s="3">
        <v>45785</v>
      </c>
      <c r="BT464" s="4">
        <v>0.37430555555555556</v>
      </c>
      <c r="BU464" t="s">
        <v>354</v>
      </c>
      <c r="BV464" t="s">
        <v>86</v>
      </c>
      <c r="BY464">
        <v>5880</v>
      </c>
      <c r="CA464" t="s">
        <v>160</v>
      </c>
      <c r="CC464" t="s">
        <v>351</v>
      </c>
      <c r="CD464">
        <v>4000</v>
      </c>
      <c r="CE464" t="s">
        <v>221</v>
      </c>
      <c r="CF464" s="3">
        <v>45786</v>
      </c>
      <c r="CI464">
        <v>1</v>
      </c>
      <c r="CJ464">
        <v>1</v>
      </c>
      <c r="CK464">
        <v>21</v>
      </c>
      <c r="CL464" t="s">
        <v>89</v>
      </c>
    </row>
    <row r="465" spans="1:90" x14ac:dyDescent="0.3">
      <c r="A465" t="s">
        <v>72</v>
      </c>
      <c r="B465" t="s">
        <v>73</v>
      </c>
      <c r="C465" t="s">
        <v>74</v>
      </c>
      <c r="E465" t="str">
        <f>"R080065104280"</f>
        <v>R080065104280</v>
      </c>
      <c r="F465" s="3">
        <v>45784</v>
      </c>
      <c r="G465">
        <v>202602</v>
      </c>
      <c r="H465" t="s">
        <v>75</v>
      </c>
      <c r="I465" t="s">
        <v>76</v>
      </c>
      <c r="J465" t="s">
        <v>1123</v>
      </c>
      <c r="K465" t="s">
        <v>78</v>
      </c>
      <c r="L465" t="s">
        <v>130</v>
      </c>
      <c r="M465" t="s">
        <v>131</v>
      </c>
      <c r="N465" t="s">
        <v>1066</v>
      </c>
      <c r="O465" t="s">
        <v>82</v>
      </c>
      <c r="P465" t="str">
        <f>"4170036619                    "</f>
        <v xml:space="preserve">4170036619                    </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21.38</v>
      </c>
      <c r="AR465">
        <v>0</v>
      </c>
      <c r="AS465">
        <v>0</v>
      </c>
      <c r="AT465">
        <v>0</v>
      </c>
      <c r="AU465">
        <v>0</v>
      </c>
      <c r="AV465">
        <v>0</v>
      </c>
      <c r="AW465">
        <v>0</v>
      </c>
      <c r="AX465">
        <v>0</v>
      </c>
      <c r="AY465">
        <v>0</v>
      </c>
      <c r="AZ465">
        <v>0</v>
      </c>
      <c r="BA465">
        <v>0</v>
      </c>
      <c r="BB465">
        <v>0</v>
      </c>
      <c r="BC465">
        <v>0</v>
      </c>
      <c r="BD465">
        <v>0</v>
      </c>
      <c r="BE465">
        <v>0</v>
      </c>
      <c r="BF465">
        <v>0</v>
      </c>
      <c r="BG465">
        <v>0</v>
      </c>
      <c r="BH465">
        <v>1</v>
      </c>
      <c r="BI465">
        <v>1</v>
      </c>
      <c r="BJ465">
        <v>0.2</v>
      </c>
      <c r="BK465">
        <v>1</v>
      </c>
      <c r="BL465">
        <v>69.98</v>
      </c>
      <c r="BM465">
        <v>10.5</v>
      </c>
      <c r="BN465">
        <v>80.48</v>
      </c>
      <c r="BO465">
        <v>80.48</v>
      </c>
      <c r="BQ465" t="s">
        <v>1124</v>
      </c>
      <c r="BR465" t="s">
        <v>84</v>
      </c>
      <c r="BS465" s="3">
        <v>45785</v>
      </c>
      <c r="BT465" s="4">
        <v>0.39583333333333331</v>
      </c>
      <c r="BU465" t="s">
        <v>1068</v>
      </c>
      <c r="BV465" t="s">
        <v>86</v>
      </c>
      <c r="BY465">
        <v>1200</v>
      </c>
      <c r="BZ465" t="s">
        <v>127</v>
      </c>
      <c r="CA465" t="s">
        <v>712</v>
      </c>
      <c r="CC465" t="s">
        <v>131</v>
      </c>
      <c r="CD465">
        <v>7560</v>
      </c>
      <c r="CE465" t="s">
        <v>88</v>
      </c>
      <c r="CF465" s="3">
        <v>45789</v>
      </c>
      <c r="CI465">
        <v>1</v>
      </c>
      <c r="CJ465">
        <v>1</v>
      </c>
      <c r="CK465">
        <v>21</v>
      </c>
      <c r="CL465" t="s">
        <v>89</v>
      </c>
    </row>
    <row r="466" spans="1:90" x14ac:dyDescent="0.3">
      <c r="A466" t="s">
        <v>72</v>
      </c>
      <c r="B466" t="s">
        <v>73</v>
      </c>
      <c r="C466" t="s">
        <v>74</v>
      </c>
      <c r="E466" t="str">
        <f>"080065219226"</f>
        <v>080065219226</v>
      </c>
      <c r="F466" s="3">
        <v>45784</v>
      </c>
      <c r="G466">
        <v>202602</v>
      </c>
      <c r="H466" t="s">
        <v>75</v>
      </c>
      <c r="I466" t="s">
        <v>76</v>
      </c>
      <c r="J466" t="s">
        <v>77</v>
      </c>
      <c r="K466" t="s">
        <v>78</v>
      </c>
      <c r="L466" t="s">
        <v>972</v>
      </c>
      <c r="M466" t="s">
        <v>973</v>
      </c>
      <c r="N466" t="s">
        <v>974</v>
      </c>
      <c r="O466" t="s">
        <v>82</v>
      </c>
      <c r="P466" t="str">
        <f>"4170037217                    "</f>
        <v xml:space="preserve">4170037217                    </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16.7</v>
      </c>
      <c r="AR466">
        <v>0</v>
      </c>
      <c r="AS466">
        <v>0</v>
      </c>
      <c r="AT466">
        <v>0</v>
      </c>
      <c r="AU466">
        <v>0</v>
      </c>
      <c r="AV466">
        <v>0</v>
      </c>
      <c r="AW466">
        <v>0</v>
      </c>
      <c r="AX466">
        <v>0</v>
      </c>
      <c r="AY466">
        <v>0</v>
      </c>
      <c r="AZ466">
        <v>0</v>
      </c>
      <c r="BA466">
        <v>0</v>
      </c>
      <c r="BB466">
        <v>0</v>
      </c>
      <c r="BC466">
        <v>0</v>
      </c>
      <c r="BD466">
        <v>0</v>
      </c>
      <c r="BE466">
        <v>0</v>
      </c>
      <c r="BF466">
        <v>0</v>
      </c>
      <c r="BG466">
        <v>0</v>
      </c>
      <c r="BH466">
        <v>1</v>
      </c>
      <c r="BI466">
        <v>1</v>
      </c>
      <c r="BJ466">
        <v>0.2</v>
      </c>
      <c r="BK466">
        <v>1</v>
      </c>
      <c r="BL466">
        <v>54.66</v>
      </c>
      <c r="BM466">
        <v>8.1999999999999993</v>
      </c>
      <c r="BN466">
        <v>62.86</v>
      </c>
      <c r="BO466">
        <v>62.86</v>
      </c>
      <c r="BQ466" t="s">
        <v>975</v>
      </c>
      <c r="BR466" t="s">
        <v>84</v>
      </c>
      <c r="BS466" s="3">
        <v>45785</v>
      </c>
      <c r="BT466" s="4">
        <v>0.36805555555555558</v>
      </c>
      <c r="BU466" t="s">
        <v>1125</v>
      </c>
      <c r="BV466" t="s">
        <v>86</v>
      </c>
      <c r="BY466">
        <v>1200</v>
      </c>
      <c r="CA466" t="s">
        <v>1126</v>
      </c>
      <c r="CC466" t="s">
        <v>973</v>
      </c>
      <c r="CD466">
        <v>1724</v>
      </c>
      <c r="CE466" t="s">
        <v>88</v>
      </c>
      <c r="CF466" s="3">
        <v>45785</v>
      </c>
      <c r="CI466">
        <v>1</v>
      </c>
      <c r="CJ466">
        <v>1</v>
      </c>
      <c r="CK466">
        <v>22</v>
      </c>
      <c r="CL466" t="s">
        <v>89</v>
      </c>
    </row>
    <row r="467" spans="1:90" x14ac:dyDescent="0.3">
      <c r="A467" t="s">
        <v>72</v>
      </c>
      <c r="B467" t="s">
        <v>73</v>
      </c>
      <c r="C467" t="s">
        <v>74</v>
      </c>
      <c r="E467" t="str">
        <f>"080065219229"</f>
        <v>080065219229</v>
      </c>
      <c r="F467" s="3">
        <v>45784</v>
      </c>
      <c r="G467">
        <v>202602</v>
      </c>
      <c r="H467" t="s">
        <v>75</v>
      </c>
      <c r="I467" t="s">
        <v>76</v>
      </c>
      <c r="J467" t="s">
        <v>77</v>
      </c>
      <c r="K467" t="s">
        <v>78</v>
      </c>
      <c r="L467" t="s">
        <v>130</v>
      </c>
      <c r="M467" t="s">
        <v>131</v>
      </c>
      <c r="N467" t="s">
        <v>1066</v>
      </c>
      <c r="O467" t="s">
        <v>82</v>
      </c>
      <c r="P467" t="str">
        <f>"4170037147                    "</f>
        <v xml:space="preserve">4170037147                    </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117.53</v>
      </c>
      <c r="AR467">
        <v>0</v>
      </c>
      <c r="AS467">
        <v>0</v>
      </c>
      <c r="AT467">
        <v>0</v>
      </c>
      <c r="AU467">
        <v>0</v>
      </c>
      <c r="AV467">
        <v>0</v>
      </c>
      <c r="AW467">
        <v>0</v>
      </c>
      <c r="AX467">
        <v>0</v>
      </c>
      <c r="AY467">
        <v>0</v>
      </c>
      <c r="AZ467">
        <v>0</v>
      </c>
      <c r="BA467">
        <v>0</v>
      </c>
      <c r="BB467">
        <v>0</v>
      </c>
      <c r="BC467">
        <v>0</v>
      </c>
      <c r="BD467">
        <v>0</v>
      </c>
      <c r="BE467">
        <v>0</v>
      </c>
      <c r="BF467">
        <v>0</v>
      </c>
      <c r="BG467">
        <v>0</v>
      </c>
      <c r="BH467">
        <v>1</v>
      </c>
      <c r="BI467">
        <v>11</v>
      </c>
      <c r="BJ467">
        <v>8.9</v>
      </c>
      <c r="BK467">
        <v>11</v>
      </c>
      <c r="BL467">
        <v>384.65</v>
      </c>
      <c r="BM467">
        <v>57.7</v>
      </c>
      <c r="BN467">
        <v>442.35</v>
      </c>
      <c r="BO467">
        <v>442.35</v>
      </c>
      <c r="BQ467" t="s">
        <v>1067</v>
      </c>
      <c r="BR467" t="s">
        <v>84</v>
      </c>
      <c r="BS467" s="3">
        <v>45785</v>
      </c>
      <c r="BT467" s="4">
        <v>0.39583333333333331</v>
      </c>
      <c r="BU467" t="s">
        <v>1068</v>
      </c>
      <c r="BV467" t="s">
        <v>86</v>
      </c>
      <c r="BY467">
        <v>44640</v>
      </c>
      <c r="CA467" t="s">
        <v>712</v>
      </c>
      <c r="CC467" t="s">
        <v>131</v>
      </c>
      <c r="CD467">
        <v>7561</v>
      </c>
      <c r="CE467" t="s">
        <v>96</v>
      </c>
      <c r="CF467" s="3">
        <v>45786</v>
      </c>
      <c r="CI467">
        <v>1</v>
      </c>
      <c r="CJ467">
        <v>1</v>
      </c>
      <c r="CK467">
        <v>21</v>
      </c>
      <c r="CL467" t="s">
        <v>89</v>
      </c>
    </row>
    <row r="468" spans="1:90" x14ac:dyDescent="0.3">
      <c r="A468" t="s">
        <v>72</v>
      </c>
      <c r="B468" t="s">
        <v>73</v>
      </c>
      <c r="C468" t="s">
        <v>74</v>
      </c>
      <c r="E468" t="str">
        <f>"080065219246"</f>
        <v>080065219246</v>
      </c>
      <c r="F468" s="3">
        <v>45784</v>
      </c>
      <c r="G468">
        <v>202602</v>
      </c>
      <c r="H468" t="s">
        <v>75</v>
      </c>
      <c r="I468" t="s">
        <v>76</v>
      </c>
      <c r="J468" t="s">
        <v>77</v>
      </c>
      <c r="K468" t="s">
        <v>78</v>
      </c>
      <c r="L468" t="s">
        <v>143</v>
      </c>
      <c r="M468" t="s">
        <v>144</v>
      </c>
      <c r="N468" t="s">
        <v>1127</v>
      </c>
      <c r="O468" t="s">
        <v>82</v>
      </c>
      <c r="P468" t="str">
        <f>"4170037207                    "</f>
        <v xml:space="preserve">4170037207                    </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16.7</v>
      </c>
      <c r="AR468">
        <v>0</v>
      </c>
      <c r="AS468">
        <v>0</v>
      </c>
      <c r="AT468">
        <v>0</v>
      </c>
      <c r="AU468">
        <v>0</v>
      </c>
      <c r="AV468">
        <v>0</v>
      </c>
      <c r="AW468">
        <v>0</v>
      </c>
      <c r="AX468">
        <v>0</v>
      </c>
      <c r="AY468">
        <v>0</v>
      </c>
      <c r="AZ468">
        <v>0</v>
      </c>
      <c r="BA468">
        <v>0</v>
      </c>
      <c r="BB468">
        <v>0</v>
      </c>
      <c r="BC468">
        <v>0</v>
      </c>
      <c r="BD468">
        <v>0</v>
      </c>
      <c r="BE468">
        <v>0</v>
      </c>
      <c r="BF468">
        <v>0</v>
      </c>
      <c r="BG468">
        <v>0</v>
      </c>
      <c r="BH468">
        <v>1</v>
      </c>
      <c r="BI468">
        <v>1</v>
      </c>
      <c r="BJ468">
        <v>0.2</v>
      </c>
      <c r="BK468">
        <v>1</v>
      </c>
      <c r="BL468">
        <v>54.66</v>
      </c>
      <c r="BM468">
        <v>8.1999999999999993</v>
      </c>
      <c r="BN468">
        <v>62.86</v>
      </c>
      <c r="BO468">
        <v>62.86</v>
      </c>
      <c r="BQ468" t="s">
        <v>1128</v>
      </c>
      <c r="BR468" t="s">
        <v>84</v>
      </c>
      <c r="BS468" s="3">
        <v>45785</v>
      </c>
      <c r="BT468" s="4">
        <v>0.44305555555555554</v>
      </c>
      <c r="BU468" t="s">
        <v>1129</v>
      </c>
      <c r="BV468" t="s">
        <v>89</v>
      </c>
      <c r="BW468" t="s">
        <v>148</v>
      </c>
      <c r="BX468" t="s">
        <v>1130</v>
      </c>
      <c r="BY468">
        <v>1200</v>
      </c>
      <c r="CA468" t="s">
        <v>150</v>
      </c>
      <c r="CC468" t="s">
        <v>144</v>
      </c>
      <c r="CD468">
        <v>1429</v>
      </c>
      <c r="CE468" t="s">
        <v>88</v>
      </c>
      <c r="CF468" s="3">
        <v>45785</v>
      </c>
      <c r="CI468">
        <v>1</v>
      </c>
      <c r="CJ468">
        <v>1</v>
      </c>
      <c r="CK468">
        <v>22</v>
      </c>
      <c r="CL468" t="s">
        <v>89</v>
      </c>
    </row>
    <row r="469" spans="1:90" x14ac:dyDescent="0.3">
      <c r="A469" t="s">
        <v>72</v>
      </c>
      <c r="B469" t="s">
        <v>73</v>
      </c>
      <c r="C469" t="s">
        <v>74</v>
      </c>
      <c r="E469" t="str">
        <f>"080065219277"</f>
        <v>080065219277</v>
      </c>
      <c r="F469" s="3">
        <v>45784</v>
      </c>
      <c r="G469">
        <v>202602</v>
      </c>
      <c r="H469" t="s">
        <v>75</v>
      </c>
      <c r="I469" t="s">
        <v>76</v>
      </c>
      <c r="J469" t="s">
        <v>77</v>
      </c>
      <c r="K469" t="s">
        <v>78</v>
      </c>
      <c r="L469" t="s">
        <v>136</v>
      </c>
      <c r="M469" t="s">
        <v>137</v>
      </c>
      <c r="N469" t="s">
        <v>499</v>
      </c>
      <c r="O469" t="s">
        <v>82</v>
      </c>
      <c r="P469" t="str">
        <f>"4170037208                    "</f>
        <v xml:space="preserve">4170037208                    </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21.38</v>
      </c>
      <c r="AR469">
        <v>0</v>
      </c>
      <c r="AS469">
        <v>0</v>
      </c>
      <c r="AT469">
        <v>0</v>
      </c>
      <c r="AU469">
        <v>0</v>
      </c>
      <c r="AV469">
        <v>0</v>
      </c>
      <c r="AW469">
        <v>0</v>
      </c>
      <c r="AX469">
        <v>0</v>
      </c>
      <c r="AY469">
        <v>0</v>
      </c>
      <c r="AZ469">
        <v>0</v>
      </c>
      <c r="BA469">
        <v>0</v>
      </c>
      <c r="BB469">
        <v>0</v>
      </c>
      <c r="BC469">
        <v>0</v>
      </c>
      <c r="BD469">
        <v>0</v>
      </c>
      <c r="BE469">
        <v>0</v>
      </c>
      <c r="BF469">
        <v>0</v>
      </c>
      <c r="BG469">
        <v>0</v>
      </c>
      <c r="BH469">
        <v>1</v>
      </c>
      <c r="BI469">
        <v>1</v>
      </c>
      <c r="BJ469">
        <v>0.2</v>
      </c>
      <c r="BK469">
        <v>1</v>
      </c>
      <c r="BL469">
        <v>69.98</v>
      </c>
      <c r="BM469">
        <v>10.5</v>
      </c>
      <c r="BN469">
        <v>80.48</v>
      </c>
      <c r="BO469">
        <v>80.48</v>
      </c>
      <c r="BQ469" t="s">
        <v>500</v>
      </c>
      <c r="BR469" t="s">
        <v>84</v>
      </c>
      <c r="BS469" s="3">
        <v>45785</v>
      </c>
      <c r="BT469" s="4">
        <v>0.41041666666666665</v>
      </c>
      <c r="BU469" t="s">
        <v>501</v>
      </c>
      <c r="BV469" t="s">
        <v>86</v>
      </c>
      <c r="BY469">
        <v>1200</v>
      </c>
      <c r="CA469" t="s">
        <v>141</v>
      </c>
      <c r="CC469" t="s">
        <v>137</v>
      </c>
      <c r="CD469" s="5" t="s">
        <v>142</v>
      </c>
      <c r="CE469" t="s">
        <v>88</v>
      </c>
      <c r="CF469" s="3">
        <v>45785</v>
      </c>
      <c r="CI469">
        <v>1</v>
      </c>
      <c r="CJ469">
        <v>1</v>
      </c>
      <c r="CK469">
        <v>21</v>
      </c>
      <c r="CL469" t="s">
        <v>89</v>
      </c>
    </row>
    <row r="470" spans="1:90" x14ac:dyDescent="0.3">
      <c r="A470" t="s">
        <v>72</v>
      </c>
      <c r="B470" t="s">
        <v>73</v>
      </c>
      <c r="C470" t="s">
        <v>74</v>
      </c>
      <c r="E470" t="str">
        <f>"080065219295"</f>
        <v>080065219295</v>
      </c>
      <c r="F470" s="3">
        <v>45784</v>
      </c>
      <c r="G470">
        <v>202602</v>
      </c>
      <c r="H470" t="s">
        <v>75</v>
      </c>
      <c r="I470" t="s">
        <v>76</v>
      </c>
      <c r="J470" t="s">
        <v>77</v>
      </c>
      <c r="K470" t="s">
        <v>78</v>
      </c>
      <c r="L470" t="s">
        <v>130</v>
      </c>
      <c r="M470" t="s">
        <v>131</v>
      </c>
      <c r="N470" t="s">
        <v>496</v>
      </c>
      <c r="O470" t="s">
        <v>82</v>
      </c>
      <c r="P470" t="str">
        <f>"4170037211                    "</f>
        <v xml:space="preserve">4170037211                    </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21.38</v>
      </c>
      <c r="AR470">
        <v>0</v>
      </c>
      <c r="AS470">
        <v>0</v>
      </c>
      <c r="AT470">
        <v>0</v>
      </c>
      <c r="AU470">
        <v>0</v>
      </c>
      <c r="AV470">
        <v>0</v>
      </c>
      <c r="AW470">
        <v>0</v>
      </c>
      <c r="AX470">
        <v>0</v>
      </c>
      <c r="AY470">
        <v>0</v>
      </c>
      <c r="AZ470">
        <v>0</v>
      </c>
      <c r="BA470">
        <v>0</v>
      </c>
      <c r="BB470">
        <v>0</v>
      </c>
      <c r="BC470">
        <v>0</v>
      </c>
      <c r="BD470">
        <v>0</v>
      </c>
      <c r="BE470">
        <v>0</v>
      </c>
      <c r="BF470">
        <v>0</v>
      </c>
      <c r="BG470">
        <v>0</v>
      </c>
      <c r="BH470">
        <v>1</v>
      </c>
      <c r="BI470">
        <v>1</v>
      </c>
      <c r="BJ470">
        <v>1.4</v>
      </c>
      <c r="BK470">
        <v>1.5</v>
      </c>
      <c r="BL470">
        <v>69.98</v>
      </c>
      <c r="BM470">
        <v>10.5</v>
      </c>
      <c r="BN470">
        <v>80.48</v>
      </c>
      <c r="BO470">
        <v>80.48</v>
      </c>
      <c r="BQ470" t="s">
        <v>497</v>
      </c>
      <c r="BR470" t="s">
        <v>84</v>
      </c>
      <c r="BS470" s="3">
        <v>45785</v>
      </c>
      <c r="BT470" s="4">
        <v>0.37986111111111109</v>
      </c>
      <c r="BU470" t="s">
        <v>1131</v>
      </c>
      <c r="BV470" t="s">
        <v>86</v>
      </c>
      <c r="BY470">
        <v>7000</v>
      </c>
      <c r="CA470" t="s">
        <v>242</v>
      </c>
      <c r="CC470" t="s">
        <v>131</v>
      </c>
      <c r="CD470">
        <v>8001</v>
      </c>
      <c r="CE470" t="s">
        <v>116</v>
      </c>
      <c r="CF470" s="3">
        <v>45786</v>
      </c>
      <c r="CI470">
        <v>1</v>
      </c>
      <c r="CJ470">
        <v>1</v>
      </c>
      <c r="CK470">
        <v>21</v>
      </c>
      <c r="CL470" t="s">
        <v>89</v>
      </c>
    </row>
    <row r="471" spans="1:90" x14ac:dyDescent="0.3">
      <c r="A471" t="s">
        <v>72</v>
      </c>
      <c r="B471" t="s">
        <v>73</v>
      </c>
      <c r="C471" t="s">
        <v>74</v>
      </c>
      <c r="E471" t="str">
        <f>"080065219362"</f>
        <v>080065219362</v>
      </c>
      <c r="F471" s="3">
        <v>45784</v>
      </c>
      <c r="G471">
        <v>202602</v>
      </c>
      <c r="H471" t="s">
        <v>75</v>
      </c>
      <c r="I471" t="s">
        <v>76</v>
      </c>
      <c r="J471" t="s">
        <v>77</v>
      </c>
      <c r="K471" t="s">
        <v>78</v>
      </c>
      <c r="L471" t="s">
        <v>232</v>
      </c>
      <c r="M471" t="s">
        <v>233</v>
      </c>
      <c r="N471" t="s">
        <v>1108</v>
      </c>
      <c r="O471" t="s">
        <v>82</v>
      </c>
      <c r="P471" t="str">
        <f>"4170037216                    "</f>
        <v xml:space="preserve">4170037216                    </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26.73</v>
      </c>
      <c r="AR471">
        <v>0</v>
      </c>
      <c r="AS471">
        <v>0</v>
      </c>
      <c r="AT471">
        <v>0</v>
      </c>
      <c r="AU471">
        <v>0</v>
      </c>
      <c r="AV471">
        <v>0</v>
      </c>
      <c r="AW471">
        <v>0</v>
      </c>
      <c r="AX471">
        <v>0</v>
      </c>
      <c r="AY471">
        <v>0</v>
      </c>
      <c r="AZ471">
        <v>0</v>
      </c>
      <c r="BA471">
        <v>0</v>
      </c>
      <c r="BB471">
        <v>0</v>
      </c>
      <c r="BC471">
        <v>0</v>
      </c>
      <c r="BD471">
        <v>0</v>
      </c>
      <c r="BE471">
        <v>0</v>
      </c>
      <c r="BF471">
        <v>0</v>
      </c>
      <c r="BG471">
        <v>0</v>
      </c>
      <c r="BH471">
        <v>1</v>
      </c>
      <c r="BI471">
        <v>1</v>
      </c>
      <c r="BJ471">
        <v>2.2000000000000002</v>
      </c>
      <c r="BK471">
        <v>2.5</v>
      </c>
      <c r="BL471">
        <v>87.47</v>
      </c>
      <c r="BM471">
        <v>13.12</v>
      </c>
      <c r="BN471">
        <v>100.59</v>
      </c>
      <c r="BO471">
        <v>100.59</v>
      </c>
      <c r="BQ471" t="s">
        <v>1109</v>
      </c>
      <c r="BR471" t="s">
        <v>84</v>
      </c>
      <c r="BS471" s="3">
        <v>45785</v>
      </c>
      <c r="BT471" s="4">
        <v>0.35555555555555557</v>
      </c>
      <c r="BU471" t="s">
        <v>1110</v>
      </c>
      <c r="BV471" t="s">
        <v>86</v>
      </c>
      <c r="BY471">
        <v>10830</v>
      </c>
      <c r="CA471" t="s">
        <v>237</v>
      </c>
      <c r="CC471" t="s">
        <v>233</v>
      </c>
      <c r="CD471" s="5" t="s">
        <v>238</v>
      </c>
      <c r="CE471" t="s">
        <v>116</v>
      </c>
      <c r="CF471" s="3">
        <v>45785</v>
      </c>
      <c r="CI471">
        <v>1</v>
      </c>
      <c r="CJ471">
        <v>1</v>
      </c>
      <c r="CK471">
        <v>21</v>
      </c>
      <c r="CL471" t="s">
        <v>89</v>
      </c>
    </row>
    <row r="472" spans="1:90" x14ac:dyDescent="0.3">
      <c r="A472" t="s">
        <v>72</v>
      </c>
      <c r="B472" t="s">
        <v>73</v>
      </c>
      <c r="C472" t="s">
        <v>74</v>
      </c>
      <c r="E472" t="str">
        <f>"080065219663"</f>
        <v>080065219663</v>
      </c>
      <c r="F472" s="3">
        <v>45784</v>
      </c>
      <c r="G472">
        <v>202602</v>
      </c>
      <c r="H472" t="s">
        <v>75</v>
      </c>
      <c r="I472" t="s">
        <v>76</v>
      </c>
      <c r="J472" t="s">
        <v>77</v>
      </c>
      <c r="K472" t="s">
        <v>78</v>
      </c>
      <c r="L472" t="s">
        <v>1132</v>
      </c>
      <c r="M472" t="s">
        <v>1133</v>
      </c>
      <c r="N472" t="s">
        <v>1134</v>
      </c>
      <c r="O472" t="s">
        <v>82</v>
      </c>
      <c r="P472" t="str">
        <f>"4170037165                    "</f>
        <v xml:space="preserve">4170037165                    </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41.43</v>
      </c>
      <c r="AR472">
        <v>0</v>
      </c>
      <c r="AS472">
        <v>0</v>
      </c>
      <c r="AT472">
        <v>0</v>
      </c>
      <c r="AU472">
        <v>0</v>
      </c>
      <c r="AV472">
        <v>0</v>
      </c>
      <c r="AW472">
        <v>0</v>
      </c>
      <c r="AX472">
        <v>0</v>
      </c>
      <c r="AY472">
        <v>0</v>
      </c>
      <c r="AZ472">
        <v>0</v>
      </c>
      <c r="BA472">
        <v>0</v>
      </c>
      <c r="BB472">
        <v>0</v>
      </c>
      <c r="BC472">
        <v>0</v>
      </c>
      <c r="BD472">
        <v>0</v>
      </c>
      <c r="BE472">
        <v>0</v>
      </c>
      <c r="BF472">
        <v>0</v>
      </c>
      <c r="BG472">
        <v>0</v>
      </c>
      <c r="BH472">
        <v>1</v>
      </c>
      <c r="BI472">
        <v>1</v>
      </c>
      <c r="BJ472">
        <v>0.2</v>
      </c>
      <c r="BK472">
        <v>1</v>
      </c>
      <c r="BL472">
        <v>135.59</v>
      </c>
      <c r="BM472">
        <v>20.34</v>
      </c>
      <c r="BN472">
        <v>155.93</v>
      </c>
      <c r="BO472">
        <v>155.93</v>
      </c>
      <c r="BQ472" t="s">
        <v>1135</v>
      </c>
      <c r="BR472" t="s">
        <v>84</v>
      </c>
      <c r="BS472" s="3">
        <v>45786</v>
      </c>
      <c r="BT472" s="4">
        <v>0.48680555555555555</v>
      </c>
      <c r="BU472" t="s">
        <v>1136</v>
      </c>
      <c r="BV472" t="s">
        <v>89</v>
      </c>
      <c r="BY472">
        <v>1200</v>
      </c>
      <c r="CA472" t="s">
        <v>1137</v>
      </c>
      <c r="CC472" t="s">
        <v>1133</v>
      </c>
      <c r="CD472" s="5" t="s">
        <v>1138</v>
      </c>
      <c r="CE472" t="s">
        <v>88</v>
      </c>
      <c r="CF472" s="3">
        <v>45789</v>
      </c>
      <c r="CI472">
        <v>1</v>
      </c>
      <c r="CJ472">
        <v>2</v>
      </c>
      <c r="CK472">
        <v>23</v>
      </c>
      <c r="CL472" t="s">
        <v>89</v>
      </c>
    </row>
    <row r="473" spans="1:90" x14ac:dyDescent="0.3">
      <c r="A473" t="s">
        <v>72</v>
      </c>
      <c r="B473" t="s">
        <v>73</v>
      </c>
      <c r="C473" t="s">
        <v>74</v>
      </c>
      <c r="E473" t="str">
        <f>"080065219726"</f>
        <v>080065219726</v>
      </c>
      <c r="F473" s="3">
        <v>45784</v>
      </c>
      <c r="G473">
        <v>202602</v>
      </c>
      <c r="H473" t="s">
        <v>75</v>
      </c>
      <c r="I473" t="s">
        <v>76</v>
      </c>
      <c r="J473" t="s">
        <v>77</v>
      </c>
      <c r="K473" t="s">
        <v>78</v>
      </c>
      <c r="L473" t="s">
        <v>136</v>
      </c>
      <c r="M473" t="s">
        <v>137</v>
      </c>
      <c r="N473" t="s">
        <v>1139</v>
      </c>
      <c r="O473" t="s">
        <v>82</v>
      </c>
      <c r="P473" t="str">
        <f>"4170037159                    "</f>
        <v xml:space="preserve">4170037159                    </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21.38</v>
      </c>
      <c r="AR473">
        <v>0</v>
      </c>
      <c r="AS473">
        <v>0</v>
      </c>
      <c r="AT473">
        <v>0</v>
      </c>
      <c r="AU473">
        <v>0</v>
      </c>
      <c r="AV473">
        <v>0</v>
      </c>
      <c r="AW473">
        <v>0</v>
      </c>
      <c r="AX473">
        <v>0</v>
      </c>
      <c r="AY473">
        <v>0</v>
      </c>
      <c r="AZ473">
        <v>0</v>
      </c>
      <c r="BA473">
        <v>0</v>
      </c>
      <c r="BB473">
        <v>0</v>
      </c>
      <c r="BC473">
        <v>0</v>
      </c>
      <c r="BD473">
        <v>0</v>
      </c>
      <c r="BE473">
        <v>0</v>
      </c>
      <c r="BF473">
        <v>0</v>
      </c>
      <c r="BG473">
        <v>0</v>
      </c>
      <c r="BH473">
        <v>1</v>
      </c>
      <c r="BI473">
        <v>1</v>
      </c>
      <c r="BJ473">
        <v>0.2</v>
      </c>
      <c r="BK473">
        <v>1</v>
      </c>
      <c r="BL473">
        <v>69.98</v>
      </c>
      <c r="BM473">
        <v>10.5</v>
      </c>
      <c r="BN473">
        <v>80.48</v>
      </c>
      <c r="BO473">
        <v>80.48</v>
      </c>
      <c r="BQ473" t="s">
        <v>1140</v>
      </c>
      <c r="BR473" t="s">
        <v>84</v>
      </c>
      <c r="BS473" s="3">
        <v>45785</v>
      </c>
      <c r="BT473" s="4">
        <v>0.3923611111111111</v>
      </c>
      <c r="BU473" t="s">
        <v>1141</v>
      </c>
      <c r="BV473" t="s">
        <v>86</v>
      </c>
      <c r="BY473">
        <v>1200</v>
      </c>
      <c r="CA473" t="s">
        <v>141</v>
      </c>
      <c r="CC473" t="s">
        <v>137</v>
      </c>
      <c r="CD473" s="5" t="s">
        <v>142</v>
      </c>
      <c r="CE473" t="s">
        <v>88</v>
      </c>
      <c r="CF473" s="3">
        <v>45785</v>
      </c>
      <c r="CI473">
        <v>1</v>
      </c>
      <c r="CJ473">
        <v>1</v>
      </c>
      <c r="CK473">
        <v>21</v>
      </c>
      <c r="CL473" t="s">
        <v>89</v>
      </c>
    </row>
    <row r="474" spans="1:90" x14ac:dyDescent="0.3">
      <c r="A474" t="s">
        <v>72</v>
      </c>
      <c r="B474" t="s">
        <v>73</v>
      </c>
      <c r="C474" t="s">
        <v>74</v>
      </c>
      <c r="E474" t="str">
        <f>"080065219760"</f>
        <v>080065219760</v>
      </c>
      <c r="F474" s="3">
        <v>45784</v>
      </c>
      <c r="G474">
        <v>202602</v>
      </c>
      <c r="H474" t="s">
        <v>75</v>
      </c>
      <c r="I474" t="s">
        <v>76</v>
      </c>
      <c r="J474" t="s">
        <v>77</v>
      </c>
      <c r="K474" t="s">
        <v>78</v>
      </c>
      <c r="L474" t="s">
        <v>479</v>
      </c>
      <c r="M474" t="s">
        <v>480</v>
      </c>
      <c r="N474" t="s">
        <v>793</v>
      </c>
      <c r="O474" t="s">
        <v>82</v>
      </c>
      <c r="P474" t="str">
        <f>"4170037155                    "</f>
        <v xml:space="preserve">4170037155                    </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16.7</v>
      </c>
      <c r="AR474">
        <v>0</v>
      </c>
      <c r="AS474">
        <v>0</v>
      </c>
      <c r="AT474">
        <v>0</v>
      </c>
      <c r="AU474">
        <v>0</v>
      </c>
      <c r="AV474">
        <v>0</v>
      </c>
      <c r="AW474">
        <v>0</v>
      </c>
      <c r="AX474">
        <v>0</v>
      </c>
      <c r="AY474">
        <v>0</v>
      </c>
      <c r="AZ474">
        <v>0</v>
      </c>
      <c r="BA474">
        <v>0</v>
      </c>
      <c r="BB474">
        <v>0</v>
      </c>
      <c r="BC474">
        <v>0</v>
      </c>
      <c r="BD474">
        <v>0</v>
      </c>
      <c r="BE474">
        <v>0</v>
      </c>
      <c r="BF474">
        <v>0</v>
      </c>
      <c r="BG474">
        <v>0</v>
      </c>
      <c r="BH474">
        <v>1</v>
      </c>
      <c r="BI474">
        <v>1</v>
      </c>
      <c r="BJ474">
        <v>0.2</v>
      </c>
      <c r="BK474">
        <v>1</v>
      </c>
      <c r="BL474">
        <v>54.66</v>
      </c>
      <c r="BM474">
        <v>8.1999999999999993</v>
      </c>
      <c r="BN474">
        <v>62.86</v>
      </c>
      <c r="BO474">
        <v>62.86</v>
      </c>
      <c r="BQ474" t="s">
        <v>794</v>
      </c>
      <c r="BR474" t="s">
        <v>84</v>
      </c>
      <c r="BS474" s="3">
        <v>45785</v>
      </c>
      <c r="BT474" s="4">
        <v>0.46041666666666664</v>
      </c>
      <c r="BU474" t="s">
        <v>1142</v>
      </c>
      <c r="BV474" t="s">
        <v>89</v>
      </c>
      <c r="BW474" t="s">
        <v>148</v>
      </c>
      <c r="BX474" t="s">
        <v>1143</v>
      </c>
      <c r="BY474">
        <v>1200</v>
      </c>
      <c r="BZ474" t="s">
        <v>127</v>
      </c>
      <c r="CC474" t="s">
        <v>480</v>
      </c>
      <c r="CD474">
        <v>2163</v>
      </c>
      <c r="CE474" t="s">
        <v>88</v>
      </c>
      <c r="CF474" s="3">
        <v>45786</v>
      </c>
      <c r="CI474">
        <v>1</v>
      </c>
      <c r="CJ474">
        <v>1</v>
      </c>
      <c r="CK474">
        <v>22</v>
      </c>
      <c r="CL474" t="s">
        <v>89</v>
      </c>
    </row>
    <row r="475" spans="1:90" x14ac:dyDescent="0.3">
      <c r="A475" t="s">
        <v>72</v>
      </c>
      <c r="B475" t="s">
        <v>73</v>
      </c>
      <c r="C475" t="s">
        <v>74</v>
      </c>
      <c r="E475" t="str">
        <f>"080065219798"</f>
        <v>080065219798</v>
      </c>
      <c r="F475" s="3">
        <v>45784</v>
      </c>
      <c r="G475">
        <v>202602</v>
      </c>
      <c r="H475" t="s">
        <v>75</v>
      </c>
      <c r="I475" t="s">
        <v>76</v>
      </c>
      <c r="J475" t="s">
        <v>77</v>
      </c>
      <c r="K475" t="s">
        <v>78</v>
      </c>
      <c r="L475" t="s">
        <v>136</v>
      </c>
      <c r="M475" t="s">
        <v>137</v>
      </c>
      <c r="N475" t="s">
        <v>886</v>
      </c>
      <c r="O475" t="s">
        <v>82</v>
      </c>
      <c r="P475" t="str">
        <f>"4170037221                    "</f>
        <v xml:space="preserve">4170037221                    </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21.38</v>
      </c>
      <c r="AR475">
        <v>0</v>
      </c>
      <c r="AS475">
        <v>0</v>
      </c>
      <c r="AT475">
        <v>0</v>
      </c>
      <c r="AU475">
        <v>0</v>
      </c>
      <c r="AV475">
        <v>0</v>
      </c>
      <c r="AW475">
        <v>0</v>
      </c>
      <c r="AX475">
        <v>0</v>
      </c>
      <c r="AY475">
        <v>0</v>
      </c>
      <c r="AZ475">
        <v>0</v>
      </c>
      <c r="BA475">
        <v>0</v>
      </c>
      <c r="BB475">
        <v>0</v>
      </c>
      <c r="BC475">
        <v>0</v>
      </c>
      <c r="BD475">
        <v>0</v>
      </c>
      <c r="BE475">
        <v>0</v>
      </c>
      <c r="BF475">
        <v>0</v>
      </c>
      <c r="BG475">
        <v>0</v>
      </c>
      <c r="BH475">
        <v>1</v>
      </c>
      <c r="BI475">
        <v>1</v>
      </c>
      <c r="BJ475">
        <v>0.9</v>
      </c>
      <c r="BK475">
        <v>1</v>
      </c>
      <c r="BL475">
        <v>69.98</v>
      </c>
      <c r="BM475">
        <v>10.5</v>
      </c>
      <c r="BN475">
        <v>80.48</v>
      </c>
      <c r="BO475">
        <v>80.48</v>
      </c>
      <c r="BQ475" t="s">
        <v>887</v>
      </c>
      <c r="BR475" t="s">
        <v>84</v>
      </c>
      <c r="BS475" s="3">
        <v>45785</v>
      </c>
      <c r="BT475" s="4">
        <v>0.3888888888888889</v>
      </c>
      <c r="BU475" t="s">
        <v>888</v>
      </c>
      <c r="BV475" t="s">
        <v>86</v>
      </c>
      <c r="BY475">
        <v>4600</v>
      </c>
      <c r="CA475" t="s">
        <v>889</v>
      </c>
      <c r="CC475" t="s">
        <v>137</v>
      </c>
      <c r="CD475" s="5" t="s">
        <v>738</v>
      </c>
      <c r="CE475" t="s">
        <v>176</v>
      </c>
      <c r="CF475" s="3">
        <v>45785</v>
      </c>
      <c r="CI475">
        <v>1</v>
      </c>
      <c r="CJ475">
        <v>1</v>
      </c>
      <c r="CK475">
        <v>21</v>
      </c>
      <c r="CL475" t="s">
        <v>89</v>
      </c>
    </row>
    <row r="476" spans="1:90" x14ac:dyDescent="0.3">
      <c r="A476" t="s">
        <v>72</v>
      </c>
      <c r="B476" t="s">
        <v>73</v>
      </c>
      <c r="C476" t="s">
        <v>74</v>
      </c>
      <c r="E476" t="str">
        <f>"080065219835"</f>
        <v>080065219835</v>
      </c>
      <c r="F476" s="3">
        <v>45784</v>
      </c>
      <c r="G476">
        <v>202602</v>
      </c>
      <c r="H476" t="s">
        <v>75</v>
      </c>
      <c r="I476" t="s">
        <v>76</v>
      </c>
      <c r="J476" t="s">
        <v>77</v>
      </c>
      <c r="K476" t="s">
        <v>78</v>
      </c>
      <c r="L476" t="s">
        <v>75</v>
      </c>
      <c r="M476" t="s">
        <v>76</v>
      </c>
      <c r="N476" t="s">
        <v>1144</v>
      </c>
      <c r="O476" t="s">
        <v>82</v>
      </c>
      <c r="P476" t="str">
        <f>"4170037175                    "</f>
        <v xml:space="preserve">4170037175                    </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16.7</v>
      </c>
      <c r="AR476">
        <v>0</v>
      </c>
      <c r="AS476">
        <v>0</v>
      </c>
      <c r="AT476">
        <v>0</v>
      </c>
      <c r="AU476">
        <v>0</v>
      </c>
      <c r="AV476">
        <v>0</v>
      </c>
      <c r="AW476">
        <v>0</v>
      </c>
      <c r="AX476">
        <v>0</v>
      </c>
      <c r="AY476">
        <v>0</v>
      </c>
      <c r="AZ476">
        <v>0</v>
      </c>
      <c r="BA476">
        <v>0</v>
      </c>
      <c r="BB476">
        <v>0</v>
      </c>
      <c r="BC476">
        <v>0</v>
      </c>
      <c r="BD476">
        <v>0</v>
      </c>
      <c r="BE476">
        <v>0</v>
      </c>
      <c r="BF476">
        <v>0</v>
      </c>
      <c r="BG476">
        <v>0</v>
      </c>
      <c r="BH476">
        <v>1</v>
      </c>
      <c r="BI476">
        <v>1</v>
      </c>
      <c r="BJ476">
        <v>1.9</v>
      </c>
      <c r="BK476">
        <v>2</v>
      </c>
      <c r="BL476">
        <v>54.66</v>
      </c>
      <c r="BM476">
        <v>8.1999999999999993</v>
      </c>
      <c r="BN476">
        <v>62.86</v>
      </c>
      <c r="BO476">
        <v>62.86</v>
      </c>
      <c r="BQ476" t="s">
        <v>1145</v>
      </c>
      <c r="BR476" t="s">
        <v>84</v>
      </c>
      <c r="BS476" s="3">
        <v>45785</v>
      </c>
      <c r="BT476" s="4">
        <v>0.3263888888888889</v>
      </c>
      <c r="BU476" t="s">
        <v>1146</v>
      </c>
      <c r="BV476" t="s">
        <v>86</v>
      </c>
      <c r="BY476">
        <v>9600</v>
      </c>
      <c r="CA476" t="s">
        <v>115</v>
      </c>
      <c r="CC476" t="s">
        <v>76</v>
      </c>
      <c r="CD476">
        <v>1600</v>
      </c>
      <c r="CE476" t="s">
        <v>176</v>
      </c>
      <c r="CF476" s="3">
        <v>45785</v>
      </c>
      <c r="CI476">
        <v>1</v>
      </c>
      <c r="CJ476">
        <v>1</v>
      </c>
      <c r="CK476">
        <v>22</v>
      </c>
      <c r="CL476" t="s">
        <v>89</v>
      </c>
    </row>
    <row r="477" spans="1:90" x14ac:dyDescent="0.3">
      <c r="A477" t="s">
        <v>72</v>
      </c>
      <c r="B477" t="s">
        <v>73</v>
      </c>
      <c r="C477" t="s">
        <v>74</v>
      </c>
      <c r="E477" t="str">
        <f>"080065219879"</f>
        <v>080065219879</v>
      </c>
      <c r="F477" s="3">
        <v>45784</v>
      </c>
      <c r="G477">
        <v>202602</v>
      </c>
      <c r="H477" t="s">
        <v>75</v>
      </c>
      <c r="I477" t="s">
        <v>76</v>
      </c>
      <c r="J477" t="s">
        <v>77</v>
      </c>
      <c r="K477" t="s">
        <v>78</v>
      </c>
      <c r="L477" t="s">
        <v>232</v>
      </c>
      <c r="M477" t="s">
        <v>233</v>
      </c>
      <c r="N477" t="s">
        <v>1147</v>
      </c>
      <c r="O477" t="s">
        <v>82</v>
      </c>
      <c r="P477" t="str">
        <f>"4170037160                    "</f>
        <v xml:space="preserve">4170037160                    </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21.38</v>
      </c>
      <c r="AR477">
        <v>0</v>
      </c>
      <c r="AS477">
        <v>0</v>
      </c>
      <c r="AT477">
        <v>0</v>
      </c>
      <c r="AU477">
        <v>0</v>
      </c>
      <c r="AV477">
        <v>0</v>
      </c>
      <c r="AW477">
        <v>0</v>
      </c>
      <c r="AX477">
        <v>0</v>
      </c>
      <c r="AY477">
        <v>0</v>
      </c>
      <c r="AZ477">
        <v>0</v>
      </c>
      <c r="BA477">
        <v>0</v>
      </c>
      <c r="BB477">
        <v>0</v>
      </c>
      <c r="BC477">
        <v>0</v>
      </c>
      <c r="BD477">
        <v>0</v>
      </c>
      <c r="BE477">
        <v>0</v>
      </c>
      <c r="BF477">
        <v>0</v>
      </c>
      <c r="BG477">
        <v>0</v>
      </c>
      <c r="BH477">
        <v>1</v>
      </c>
      <c r="BI477">
        <v>2</v>
      </c>
      <c r="BJ477">
        <v>1.1000000000000001</v>
      </c>
      <c r="BK477">
        <v>2</v>
      </c>
      <c r="BL477">
        <v>69.98</v>
      </c>
      <c r="BM477">
        <v>10.5</v>
      </c>
      <c r="BN477">
        <v>80.48</v>
      </c>
      <c r="BO477">
        <v>80.48</v>
      </c>
      <c r="BQ477" t="s">
        <v>1148</v>
      </c>
      <c r="BR477" t="s">
        <v>84</v>
      </c>
      <c r="BS477" s="3">
        <v>45785</v>
      </c>
      <c r="BT477" s="4">
        <v>0.36180555555555555</v>
      </c>
      <c r="BU477" t="s">
        <v>1149</v>
      </c>
      <c r="BV477" t="s">
        <v>86</v>
      </c>
      <c r="BY477">
        <v>5320</v>
      </c>
      <c r="CA477" t="s">
        <v>1150</v>
      </c>
      <c r="CC477" t="s">
        <v>233</v>
      </c>
      <c r="CD477" s="5" t="s">
        <v>238</v>
      </c>
      <c r="CE477" t="s">
        <v>116</v>
      </c>
      <c r="CF477" s="3">
        <v>45786</v>
      </c>
      <c r="CI477">
        <v>1</v>
      </c>
      <c r="CJ477">
        <v>1</v>
      </c>
      <c r="CK477">
        <v>21</v>
      </c>
      <c r="CL477" t="s">
        <v>89</v>
      </c>
    </row>
    <row r="478" spans="1:90" x14ac:dyDescent="0.3">
      <c r="A478" t="s">
        <v>72</v>
      </c>
      <c r="B478" t="s">
        <v>73</v>
      </c>
      <c r="C478" t="s">
        <v>74</v>
      </c>
      <c r="E478" t="str">
        <f>"080065220115"</f>
        <v>080065220115</v>
      </c>
      <c r="F478" s="3">
        <v>45784</v>
      </c>
      <c r="G478">
        <v>202602</v>
      </c>
      <c r="H478" t="s">
        <v>75</v>
      </c>
      <c r="I478" t="s">
        <v>76</v>
      </c>
      <c r="J478" t="s">
        <v>77</v>
      </c>
      <c r="K478" t="s">
        <v>78</v>
      </c>
      <c r="L478" t="s">
        <v>320</v>
      </c>
      <c r="M478" t="s">
        <v>321</v>
      </c>
      <c r="N478" t="s">
        <v>996</v>
      </c>
      <c r="O478" t="s">
        <v>82</v>
      </c>
      <c r="P478" t="str">
        <f>"4170037177                    "</f>
        <v xml:space="preserve">4170037177                    </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69.459999999999994</v>
      </c>
      <c r="AR478">
        <v>0</v>
      </c>
      <c r="AS478">
        <v>0</v>
      </c>
      <c r="AT478">
        <v>0</v>
      </c>
      <c r="AU478">
        <v>0</v>
      </c>
      <c r="AV478">
        <v>0</v>
      </c>
      <c r="AW478">
        <v>16.739999999999998</v>
      </c>
      <c r="AX478">
        <v>0</v>
      </c>
      <c r="AY478">
        <v>0</v>
      </c>
      <c r="AZ478">
        <v>0</v>
      </c>
      <c r="BA478">
        <v>0</v>
      </c>
      <c r="BB478">
        <v>0</v>
      </c>
      <c r="BC478">
        <v>0</v>
      </c>
      <c r="BD478">
        <v>0</v>
      </c>
      <c r="BE478">
        <v>0</v>
      </c>
      <c r="BF478">
        <v>0</v>
      </c>
      <c r="BG478">
        <v>0</v>
      </c>
      <c r="BH478">
        <v>1</v>
      </c>
      <c r="BI478">
        <v>3</v>
      </c>
      <c r="BJ478">
        <v>6.4</v>
      </c>
      <c r="BK478">
        <v>6.5</v>
      </c>
      <c r="BL478">
        <v>244.06</v>
      </c>
      <c r="BM478">
        <v>36.61</v>
      </c>
      <c r="BN478">
        <v>280.67</v>
      </c>
      <c r="BO478">
        <v>280.67</v>
      </c>
      <c r="BQ478" t="s">
        <v>997</v>
      </c>
      <c r="BR478" t="s">
        <v>84</v>
      </c>
      <c r="BS478" s="3">
        <v>45785</v>
      </c>
      <c r="BT478" s="4">
        <v>0.50138888888888888</v>
      </c>
      <c r="BU478" t="s">
        <v>1151</v>
      </c>
      <c r="BV478" t="s">
        <v>89</v>
      </c>
      <c r="BW478" t="s">
        <v>296</v>
      </c>
      <c r="BX478" t="s">
        <v>325</v>
      </c>
      <c r="BY478">
        <v>31824</v>
      </c>
      <c r="BZ478" t="s">
        <v>30</v>
      </c>
      <c r="CA478" t="s">
        <v>326</v>
      </c>
      <c r="CC478" t="s">
        <v>321</v>
      </c>
      <c r="CD478">
        <v>4110</v>
      </c>
      <c r="CE478" t="s">
        <v>221</v>
      </c>
      <c r="CF478" s="3">
        <v>45786</v>
      </c>
      <c r="CI478">
        <v>1</v>
      </c>
      <c r="CJ478">
        <v>1</v>
      </c>
      <c r="CK478">
        <v>21</v>
      </c>
      <c r="CL478" t="s">
        <v>89</v>
      </c>
    </row>
    <row r="479" spans="1:90" x14ac:dyDescent="0.3">
      <c r="A479" t="s">
        <v>72</v>
      </c>
      <c r="B479" t="s">
        <v>73</v>
      </c>
      <c r="C479" t="s">
        <v>74</v>
      </c>
      <c r="E479" t="str">
        <f>"080065220160"</f>
        <v>080065220160</v>
      </c>
      <c r="F479" s="3">
        <v>45784</v>
      </c>
      <c r="G479">
        <v>202602</v>
      </c>
      <c r="H479" t="s">
        <v>75</v>
      </c>
      <c r="I479" t="s">
        <v>76</v>
      </c>
      <c r="J479" t="s">
        <v>77</v>
      </c>
      <c r="K479" t="s">
        <v>78</v>
      </c>
      <c r="L479" t="s">
        <v>79</v>
      </c>
      <c r="M479" t="s">
        <v>80</v>
      </c>
      <c r="N479" t="s">
        <v>415</v>
      </c>
      <c r="O479" t="s">
        <v>82</v>
      </c>
      <c r="P479" t="str">
        <f>"4170037226                    "</f>
        <v xml:space="preserve">4170037226                    </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37.409999999999997</v>
      </c>
      <c r="AR479">
        <v>0</v>
      </c>
      <c r="AS479">
        <v>0</v>
      </c>
      <c r="AT479">
        <v>0</v>
      </c>
      <c r="AU479">
        <v>0</v>
      </c>
      <c r="AV479">
        <v>0</v>
      </c>
      <c r="AW479">
        <v>0</v>
      </c>
      <c r="AX479">
        <v>0</v>
      </c>
      <c r="AY479">
        <v>0</v>
      </c>
      <c r="AZ479">
        <v>0</v>
      </c>
      <c r="BA479">
        <v>0</v>
      </c>
      <c r="BB479">
        <v>0</v>
      </c>
      <c r="BC479">
        <v>0</v>
      </c>
      <c r="BD479">
        <v>0</v>
      </c>
      <c r="BE479">
        <v>0</v>
      </c>
      <c r="BF479">
        <v>0</v>
      </c>
      <c r="BG479">
        <v>0</v>
      </c>
      <c r="BH479">
        <v>1</v>
      </c>
      <c r="BI479">
        <v>2</v>
      </c>
      <c r="BJ479">
        <v>3.4</v>
      </c>
      <c r="BK479">
        <v>3.5</v>
      </c>
      <c r="BL479">
        <v>122.43</v>
      </c>
      <c r="BM479">
        <v>18.36</v>
      </c>
      <c r="BN479">
        <v>140.79</v>
      </c>
      <c r="BO479">
        <v>140.79</v>
      </c>
      <c r="BQ479" t="s">
        <v>416</v>
      </c>
      <c r="BR479" t="s">
        <v>84</v>
      </c>
      <c r="BS479" s="3">
        <v>45785</v>
      </c>
      <c r="BT479" s="4">
        <v>0.54097222222222219</v>
      </c>
      <c r="BU479" t="s">
        <v>1152</v>
      </c>
      <c r="BV479" t="s">
        <v>86</v>
      </c>
      <c r="BY479">
        <v>16965</v>
      </c>
      <c r="CA479" t="s">
        <v>87</v>
      </c>
      <c r="CC479" t="s">
        <v>80</v>
      </c>
      <c r="CD479">
        <v>3610</v>
      </c>
      <c r="CE479" t="s">
        <v>96</v>
      </c>
      <c r="CF479" s="3">
        <v>45786</v>
      </c>
      <c r="CI479">
        <v>1</v>
      </c>
      <c r="CJ479">
        <v>1</v>
      </c>
      <c r="CK479">
        <v>21</v>
      </c>
      <c r="CL479" t="s">
        <v>89</v>
      </c>
    </row>
    <row r="480" spans="1:90" x14ac:dyDescent="0.3">
      <c r="A480" t="s">
        <v>72</v>
      </c>
      <c r="B480" t="s">
        <v>73</v>
      </c>
      <c r="C480" t="s">
        <v>74</v>
      </c>
      <c r="E480" t="str">
        <f>"080065220199"</f>
        <v>080065220199</v>
      </c>
      <c r="F480" s="3">
        <v>45784</v>
      </c>
      <c r="G480">
        <v>202602</v>
      </c>
      <c r="H480" t="s">
        <v>75</v>
      </c>
      <c r="I480" t="s">
        <v>76</v>
      </c>
      <c r="J480" t="s">
        <v>77</v>
      </c>
      <c r="K480" t="s">
        <v>78</v>
      </c>
      <c r="L480" t="s">
        <v>117</v>
      </c>
      <c r="M480" t="s">
        <v>118</v>
      </c>
      <c r="N480" t="s">
        <v>1153</v>
      </c>
      <c r="O480" t="s">
        <v>82</v>
      </c>
      <c r="P480" t="str">
        <f>"4170037225                    "</f>
        <v xml:space="preserve">4170037225                    </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16.7</v>
      </c>
      <c r="AR480">
        <v>0</v>
      </c>
      <c r="AS480">
        <v>0</v>
      </c>
      <c r="AT480">
        <v>0</v>
      </c>
      <c r="AU480">
        <v>0</v>
      </c>
      <c r="AV480">
        <v>0</v>
      </c>
      <c r="AW480">
        <v>0</v>
      </c>
      <c r="AX480">
        <v>0</v>
      </c>
      <c r="AY480">
        <v>0</v>
      </c>
      <c r="AZ480">
        <v>0</v>
      </c>
      <c r="BA480">
        <v>0</v>
      </c>
      <c r="BB480">
        <v>0</v>
      </c>
      <c r="BC480">
        <v>0</v>
      </c>
      <c r="BD480">
        <v>0</v>
      </c>
      <c r="BE480">
        <v>0</v>
      </c>
      <c r="BF480">
        <v>0</v>
      </c>
      <c r="BG480">
        <v>0</v>
      </c>
      <c r="BH480">
        <v>1</v>
      </c>
      <c r="BI480">
        <v>1</v>
      </c>
      <c r="BJ480">
        <v>0.2</v>
      </c>
      <c r="BK480">
        <v>1</v>
      </c>
      <c r="BL480">
        <v>54.66</v>
      </c>
      <c r="BM480">
        <v>8.1999999999999993</v>
      </c>
      <c r="BN480">
        <v>62.86</v>
      </c>
      <c r="BO480">
        <v>62.86</v>
      </c>
      <c r="BQ480" t="s">
        <v>1154</v>
      </c>
      <c r="BR480" t="s">
        <v>84</v>
      </c>
      <c r="BS480" s="3">
        <v>45785</v>
      </c>
      <c r="BT480" s="4">
        <v>0.41388888888888886</v>
      </c>
      <c r="BU480" t="s">
        <v>1155</v>
      </c>
      <c r="BV480" t="s">
        <v>86</v>
      </c>
      <c r="BY480">
        <v>1200</v>
      </c>
      <c r="CA480" t="s">
        <v>605</v>
      </c>
      <c r="CC480" t="s">
        <v>118</v>
      </c>
      <c r="CD480">
        <v>2065</v>
      </c>
      <c r="CE480" t="s">
        <v>88</v>
      </c>
      <c r="CF480" s="3">
        <v>45786</v>
      </c>
      <c r="CI480">
        <v>1</v>
      </c>
      <c r="CJ480">
        <v>1</v>
      </c>
      <c r="CK480">
        <v>22</v>
      </c>
      <c r="CL480" t="s">
        <v>89</v>
      </c>
    </row>
    <row r="481" spans="1:90" x14ac:dyDescent="0.3">
      <c r="A481" t="s">
        <v>72</v>
      </c>
      <c r="B481" t="s">
        <v>73</v>
      </c>
      <c r="C481" t="s">
        <v>74</v>
      </c>
      <c r="E481" t="str">
        <f>"080065220231"</f>
        <v>080065220231</v>
      </c>
      <c r="F481" s="3">
        <v>45784</v>
      </c>
      <c r="G481">
        <v>202602</v>
      </c>
      <c r="H481" t="s">
        <v>75</v>
      </c>
      <c r="I481" t="s">
        <v>76</v>
      </c>
      <c r="J481" t="s">
        <v>77</v>
      </c>
      <c r="K481" t="s">
        <v>78</v>
      </c>
      <c r="L481" t="s">
        <v>130</v>
      </c>
      <c r="M481" t="s">
        <v>131</v>
      </c>
      <c r="N481" t="s">
        <v>343</v>
      </c>
      <c r="O481" t="s">
        <v>82</v>
      </c>
      <c r="P481" t="str">
        <f>"4170037231                    "</f>
        <v xml:space="preserve">4170037231                    </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21.38</v>
      </c>
      <c r="AR481">
        <v>0</v>
      </c>
      <c r="AS481">
        <v>0</v>
      </c>
      <c r="AT481">
        <v>0</v>
      </c>
      <c r="AU481">
        <v>0</v>
      </c>
      <c r="AV481">
        <v>0</v>
      </c>
      <c r="AW481">
        <v>0</v>
      </c>
      <c r="AX481">
        <v>0</v>
      </c>
      <c r="AY481">
        <v>0</v>
      </c>
      <c r="AZ481">
        <v>0</v>
      </c>
      <c r="BA481">
        <v>0</v>
      </c>
      <c r="BB481">
        <v>0</v>
      </c>
      <c r="BC481">
        <v>0</v>
      </c>
      <c r="BD481">
        <v>0</v>
      </c>
      <c r="BE481">
        <v>0</v>
      </c>
      <c r="BF481">
        <v>0</v>
      </c>
      <c r="BG481">
        <v>0</v>
      </c>
      <c r="BH481">
        <v>1</v>
      </c>
      <c r="BI481">
        <v>1</v>
      </c>
      <c r="BJ481">
        <v>0.2</v>
      </c>
      <c r="BK481">
        <v>1</v>
      </c>
      <c r="BL481">
        <v>69.98</v>
      </c>
      <c r="BM481">
        <v>10.5</v>
      </c>
      <c r="BN481">
        <v>80.48</v>
      </c>
      <c r="BO481">
        <v>80.48</v>
      </c>
      <c r="BQ481" t="s">
        <v>344</v>
      </c>
      <c r="BR481" t="s">
        <v>84</v>
      </c>
      <c r="BS481" s="3">
        <v>45785</v>
      </c>
      <c r="BT481" s="4">
        <v>0.37847222222222221</v>
      </c>
      <c r="BU481" t="s">
        <v>345</v>
      </c>
      <c r="BV481" t="s">
        <v>86</v>
      </c>
      <c r="BY481">
        <v>1200</v>
      </c>
      <c r="CA481" t="s">
        <v>242</v>
      </c>
      <c r="CC481" t="s">
        <v>131</v>
      </c>
      <c r="CD481">
        <v>7441</v>
      </c>
      <c r="CE481" t="s">
        <v>88</v>
      </c>
      <c r="CF481" s="3">
        <v>45786</v>
      </c>
      <c r="CI481">
        <v>1</v>
      </c>
      <c r="CJ481">
        <v>1</v>
      </c>
      <c r="CK481">
        <v>21</v>
      </c>
      <c r="CL481" t="s">
        <v>89</v>
      </c>
    </row>
    <row r="482" spans="1:90" x14ac:dyDescent="0.3">
      <c r="A482" t="s">
        <v>72</v>
      </c>
      <c r="B482" t="s">
        <v>73</v>
      </c>
      <c r="C482" t="s">
        <v>74</v>
      </c>
      <c r="E482" t="str">
        <f>"080065221072"</f>
        <v>080065221072</v>
      </c>
      <c r="F482" s="3">
        <v>45784</v>
      </c>
      <c r="G482">
        <v>202602</v>
      </c>
      <c r="H482" t="s">
        <v>75</v>
      </c>
      <c r="I482" t="s">
        <v>76</v>
      </c>
      <c r="J482" t="s">
        <v>77</v>
      </c>
      <c r="K482" t="s">
        <v>78</v>
      </c>
      <c r="L482" t="s">
        <v>177</v>
      </c>
      <c r="M482" t="s">
        <v>178</v>
      </c>
      <c r="N482" t="s">
        <v>393</v>
      </c>
      <c r="O482" t="s">
        <v>82</v>
      </c>
      <c r="P482" t="str">
        <f>"4170037182                    "</f>
        <v xml:space="preserve">4170037182                    </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101.51</v>
      </c>
      <c r="AR482">
        <v>0</v>
      </c>
      <c r="AS482">
        <v>0</v>
      </c>
      <c r="AT482">
        <v>0</v>
      </c>
      <c r="AU482">
        <v>0</v>
      </c>
      <c r="AV482">
        <v>0</v>
      </c>
      <c r="AW482">
        <v>0</v>
      </c>
      <c r="AX482">
        <v>0</v>
      </c>
      <c r="AY482">
        <v>0</v>
      </c>
      <c r="AZ482">
        <v>0</v>
      </c>
      <c r="BA482">
        <v>0</v>
      </c>
      <c r="BB482">
        <v>0</v>
      </c>
      <c r="BC482">
        <v>0</v>
      </c>
      <c r="BD482">
        <v>0</v>
      </c>
      <c r="BE482">
        <v>0</v>
      </c>
      <c r="BF482">
        <v>0</v>
      </c>
      <c r="BG482">
        <v>0</v>
      </c>
      <c r="BH482">
        <v>1</v>
      </c>
      <c r="BI482">
        <v>5</v>
      </c>
      <c r="BJ482">
        <v>9.3000000000000007</v>
      </c>
      <c r="BK482">
        <v>9.5</v>
      </c>
      <c r="BL482">
        <v>332.21</v>
      </c>
      <c r="BM482">
        <v>49.83</v>
      </c>
      <c r="BN482">
        <v>382.04</v>
      </c>
      <c r="BO482">
        <v>382.04</v>
      </c>
      <c r="BQ482" t="s">
        <v>394</v>
      </c>
      <c r="BR482" t="s">
        <v>84</v>
      </c>
      <c r="BS482" s="3">
        <v>45785</v>
      </c>
      <c r="BT482" s="4">
        <v>0.33402777777777776</v>
      </c>
      <c r="BU482" t="s">
        <v>395</v>
      </c>
      <c r="BV482" t="s">
        <v>86</v>
      </c>
      <c r="BY482">
        <v>46656</v>
      </c>
      <c r="CA482" t="s">
        <v>182</v>
      </c>
      <c r="CC482" t="s">
        <v>178</v>
      </c>
      <c r="CD482">
        <v>6230</v>
      </c>
      <c r="CE482" t="s">
        <v>221</v>
      </c>
      <c r="CF482" s="3">
        <v>45785</v>
      </c>
      <c r="CI482">
        <v>1</v>
      </c>
      <c r="CJ482">
        <v>1</v>
      </c>
      <c r="CK482">
        <v>21</v>
      </c>
      <c r="CL482" t="s">
        <v>89</v>
      </c>
    </row>
    <row r="483" spans="1:90" x14ac:dyDescent="0.3">
      <c r="A483" t="s">
        <v>72</v>
      </c>
      <c r="B483" t="s">
        <v>73</v>
      </c>
      <c r="C483" t="s">
        <v>74</v>
      </c>
      <c r="E483" t="str">
        <f>"080065221115"</f>
        <v>080065221115</v>
      </c>
      <c r="F483" s="3">
        <v>45784</v>
      </c>
      <c r="G483">
        <v>202602</v>
      </c>
      <c r="H483" t="s">
        <v>75</v>
      </c>
      <c r="I483" t="s">
        <v>76</v>
      </c>
      <c r="J483" t="s">
        <v>77</v>
      </c>
      <c r="K483" t="s">
        <v>78</v>
      </c>
      <c r="L483" t="s">
        <v>103</v>
      </c>
      <c r="M483" t="s">
        <v>104</v>
      </c>
      <c r="N483" t="s">
        <v>105</v>
      </c>
      <c r="O483" t="s">
        <v>82</v>
      </c>
      <c r="P483" t="str">
        <f>"4170037219                    "</f>
        <v xml:space="preserve">4170037219                    </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128.22</v>
      </c>
      <c r="AR483">
        <v>0</v>
      </c>
      <c r="AS483">
        <v>0</v>
      </c>
      <c r="AT483">
        <v>0</v>
      </c>
      <c r="AU483">
        <v>0</v>
      </c>
      <c r="AV483">
        <v>0</v>
      </c>
      <c r="AW483">
        <v>0</v>
      </c>
      <c r="AX483">
        <v>0</v>
      </c>
      <c r="AY483">
        <v>0</v>
      </c>
      <c r="AZ483">
        <v>0</v>
      </c>
      <c r="BA483">
        <v>0</v>
      </c>
      <c r="BB483">
        <v>0</v>
      </c>
      <c r="BC483">
        <v>0</v>
      </c>
      <c r="BD483">
        <v>0</v>
      </c>
      <c r="BE483">
        <v>0</v>
      </c>
      <c r="BF483">
        <v>0</v>
      </c>
      <c r="BG483">
        <v>0</v>
      </c>
      <c r="BH483">
        <v>1</v>
      </c>
      <c r="BI483">
        <v>12</v>
      </c>
      <c r="BJ483">
        <v>3.4</v>
      </c>
      <c r="BK483">
        <v>12</v>
      </c>
      <c r="BL483">
        <v>419.62</v>
      </c>
      <c r="BM483">
        <v>62.94</v>
      </c>
      <c r="BN483">
        <v>482.56</v>
      </c>
      <c r="BO483">
        <v>482.56</v>
      </c>
      <c r="BQ483" t="s">
        <v>106</v>
      </c>
      <c r="BR483" t="s">
        <v>84</v>
      </c>
      <c r="BS483" s="3">
        <v>45785</v>
      </c>
      <c r="BT483" s="4">
        <v>0.46875</v>
      </c>
      <c r="BU483" t="s">
        <v>107</v>
      </c>
      <c r="BV483" t="s">
        <v>86</v>
      </c>
      <c r="BY483">
        <v>16965</v>
      </c>
      <c r="CA483" t="s">
        <v>108</v>
      </c>
      <c r="CC483" t="s">
        <v>104</v>
      </c>
      <c r="CD483">
        <v>3201</v>
      </c>
      <c r="CE483" t="s">
        <v>96</v>
      </c>
      <c r="CF483" s="3">
        <v>45786</v>
      </c>
      <c r="CI483">
        <v>1</v>
      </c>
      <c r="CJ483">
        <v>1</v>
      </c>
      <c r="CK483">
        <v>21</v>
      </c>
      <c r="CL483" t="s">
        <v>89</v>
      </c>
    </row>
    <row r="484" spans="1:90" x14ac:dyDescent="0.3">
      <c r="A484" t="s">
        <v>72</v>
      </c>
      <c r="B484" t="s">
        <v>73</v>
      </c>
      <c r="C484" t="s">
        <v>74</v>
      </c>
      <c r="E484" t="str">
        <f>"080065221146"</f>
        <v>080065221146</v>
      </c>
      <c r="F484" s="3">
        <v>45784</v>
      </c>
      <c r="G484">
        <v>202602</v>
      </c>
      <c r="H484" t="s">
        <v>75</v>
      </c>
      <c r="I484" t="s">
        <v>76</v>
      </c>
      <c r="J484" t="s">
        <v>77</v>
      </c>
      <c r="K484" t="s">
        <v>78</v>
      </c>
      <c r="L484" t="s">
        <v>232</v>
      </c>
      <c r="M484" t="s">
        <v>233</v>
      </c>
      <c r="N484" t="s">
        <v>1108</v>
      </c>
      <c r="O484" t="s">
        <v>82</v>
      </c>
      <c r="P484" t="str">
        <f>"4170037224                    "</f>
        <v xml:space="preserve">4170037224                    </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21.38</v>
      </c>
      <c r="AR484">
        <v>0</v>
      </c>
      <c r="AS484">
        <v>0</v>
      </c>
      <c r="AT484">
        <v>0</v>
      </c>
      <c r="AU484">
        <v>0</v>
      </c>
      <c r="AV484">
        <v>0</v>
      </c>
      <c r="AW484">
        <v>0</v>
      </c>
      <c r="AX484">
        <v>0</v>
      </c>
      <c r="AY484">
        <v>0</v>
      </c>
      <c r="AZ484">
        <v>0</v>
      </c>
      <c r="BA484">
        <v>0</v>
      </c>
      <c r="BB484">
        <v>0</v>
      </c>
      <c r="BC484">
        <v>0</v>
      </c>
      <c r="BD484">
        <v>0</v>
      </c>
      <c r="BE484">
        <v>0</v>
      </c>
      <c r="BF484">
        <v>0</v>
      </c>
      <c r="BG484">
        <v>0</v>
      </c>
      <c r="BH484">
        <v>1</v>
      </c>
      <c r="BI484">
        <v>1</v>
      </c>
      <c r="BJ484">
        <v>1.9</v>
      </c>
      <c r="BK484">
        <v>2</v>
      </c>
      <c r="BL484">
        <v>69.98</v>
      </c>
      <c r="BM484">
        <v>10.5</v>
      </c>
      <c r="BN484">
        <v>80.48</v>
      </c>
      <c r="BO484">
        <v>80.48</v>
      </c>
      <c r="BQ484" t="s">
        <v>1109</v>
      </c>
      <c r="BR484" t="s">
        <v>84</v>
      </c>
      <c r="BS484" s="3">
        <v>45785</v>
      </c>
      <c r="BT484" s="4">
        <v>0.35486111111111113</v>
      </c>
      <c r="BU484" t="s">
        <v>1110</v>
      </c>
      <c r="BV484" t="s">
        <v>86</v>
      </c>
      <c r="BY484">
        <v>9600</v>
      </c>
      <c r="CA484" t="s">
        <v>237</v>
      </c>
      <c r="CC484" t="s">
        <v>233</v>
      </c>
      <c r="CD484" s="5" t="s">
        <v>238</v>
      </c>
      <c r="CE484" t="s">
        <v>116</v>
      </c>
      <c r="CF484" s="3">
        <v>45785</v>
      </c>
      <c r="CI484">
        <v>1</v>
      </c>
      <c r="CJ484">
        <v>1</v>
      </c>
      <c r="CK484">
        <v>21</v>
      </c>
      <c r="CL484" t="s">
        <v>89</v>
      </c>
    </row>
    <row r="485" spans="1:90" x14ac:dyDescent="0.3">
      <c r="A485" t="s">
        <v>72</v>
      </c>
      <c r="B485" t="s">
        <v>73</v>
      </c>
      <c r="C485" t="s">
        <v>74</v>
      </c>
      <c r="E485" t="str">
        <f>"080065221177"</f>
        <v>080065221177</v>
      </c>
      <c r="F485" s="3">
        <v>45784</v>
      </c>
      <c r="G485">
        <v>202602</v>
      </c>
      <c r="H485" t="s">
        <v>75</v>
      </c>
      <c r="I485" t="s">
        <v>76</v>
      </c>
      <c r="J485" t="s">
        <v>77</v>
      </c>
      <c r="K485" t="s">
        <v>78</v>
      </c>
      <c r="L485" t="s">
        <v>103</v>
      </c>
      <c r="M485" t="s">
        <v>104</v>
      </c>
      <c r="N485" t="s">
        <v>105</v>
      </c>
      <c r="O485" t="s">
        <v>82</v>
      </c>
      <c r="P485" t="str">
        <f>"4170037218                    "</f>
        <v xml:space="preserve">4170037218                    </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21.38</v>
      </c>
      <c r="AR485">
        <v>0</v>
      </c>
      <c r="AS485">
        <v>0</v>
      </c>
      <c r="AT485">
        <v>0</v>
      </c>
      <c r="AU485">
        <v>0</v>
      </c>
      <c r="AV485">
        <v>0</v>
      </c>
      <c r="AW485">
        <v>0</v>
      </c>
      <c r="AX485">
        <v>0</v>
      </c>
      <c r="AY485">
        <v>0</v>
      </c>
      <c r="AZ485">
        <v>0</v>
      </c>
      <c r="BA485">
        <v>0</v>
      </c>
      <c r="BB485">
        <v>0</v>
      </c>
      <c r="BC485">
        <v>0</v>
      </c>
      <c r="BD485">
        <v>0</v>
      </c>
      <c r="BE485">
        <v>0</v>
      </c>
      <c r="BF485">
        <v>0</v>
      </c>
      <c r="BG485">
        <v>0</v>
      </c>
      <c r="BH485">
        <v>1</v>
      </c>
      <c r="BI485">
        <v>1</v>
      </c>
      <c r="BJ485">
        <v>0.2</v>
      </c>
      <c r="BK485">
        <v>1</v>
      </c>
      <c r="BL485">
        <v>69.98</v>
      </c>
      <c r="BM485">
        <v>10.5</v>
      </c>
      <c r="BN485">
        <v>80.48</v>
      </c>
      <c r="BO485">
        <v>80.48</v>
      </c>
      <c r="BQ485" t="s">
        <v>106</v>
      </c>
      <c r="BR485" t="s">
        <v>84</v>
      </c>
      <c r="BS485" s="3">
        <v>45785</v>
      </c>
      <c r="BT485" s="4">
        <v>0.46875</v>
      </c>
      <c r="BU485" t="s">
        <v>107</v>
      </c>
      <c r="BV485" t="s">
        <v>86</v>
      </c>
      <c r="BY485">
        <v>1200</v>
      </c>
      <c r="CA485" t="s">
        <v>108</v>
      </c>
      <c r="CC485" t="s">
        <v>104</v>
      </c>
      <c r="CD485">
        <v>3201</v>
      </c>
      <c r="CE485" t="s">
        <v>88</v>
      </c>
      <c r="CF485" s="3">
        <v>45786</v>
      </c>
      <c r="CI485">
        <v>1</v>
      </c>
      <c r="CJ485">
        <v>1</v>
      </c>
      <c r="CK485">
        <v>21</v>
      </c>
      <c r="CL485" t="s">
        <v>89</v>
      </c>
    </row>
    <row r="486" spans="1:90" x14ac:dyDescent="0.3">
      <c r="A486" t="s">
        <v>72</v>
      </c>
      <c r="B486" t="s">
        <v>73</v>
      </c>
      <c r="C486" t="s">
        <v>74</v>
      </c>
      <c r="E486" t="str">
        <f>"080065222773"</f>
        <v>080065222773</v>
      </c>
      <c r="F486" s="3">
        <v>45784</v>
      </c>
      <c r="G486">
        <v>202602</v>
      </c>
      <c r="H486" t="s">
        <v>75</v>
      </c>
      <c r="I486" t="s">
        <v>76</v>
      </c>
      <c r="J486" t="s">
        <v>77</v>
      </c>
      <c r="K486" t="s">
        <v>78</v>
      </c>
      <c r="L486" t="s">
        <v>215</v>
      </c>
      <c r="M486" t="s">
        <v>216</v>
      </c>
      <c r="N486" t="s">
        <v>217</v>
      </c>
      <c r="O486" t="s">
        <v>82</v>
      </c>
      <c r="P486" t="str">
        <f>"4170037238                    "</f>
        <v xml:space="preserve">4170037238                    </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41.43</v>
      </c>
      <c r="AR486">
        <v>0</v>
      </c>
      <c r="AS486">
        <v>0</v>
      </c>
      <c r="AT486">
        <v>0</v>
      </c>
      <c r="AU486">
        <v>0</v>
      </c>
      <c r="AV486">
        <v>0</v>
      </c>
      <c r="AW486">
        <v>0</v>
      </c>
      <c r="AX486">
        <v>0</v>
      </c>
      <c r="AY486">
        <v>0</v>
      </c>
      <c r="AZ486">
        <v>0</v>
      </c>
      <c r="BA486">
        <v>0</v>
      </c>
      <c r="BB486">
        <v>0</v>
      </c>
      <c r="BC486">
        <v>0</v>
      </c>
      <c r="BD486">
        <v>0</v>
      </c>
      <c r="BE486">
        <v>0</v>
      </c>
      <c r="BF486">
        <v>0</v>
      </c>
      <c r="BG486">
        <v>0</v>
      </c>
      <c r="BH486">
        <v>1</v>
      </c>
      <c r="BI486">
        <v>1</v>
      </c>
      <c r="BJ486">
        <v>0.2</v>
      </c>
      <c r="BK486">
        <v>1</v>
      </c>
      <c r="BL486">
        <v>135.59</v>
      </c>
      <c r="BM486">
        <v>20.34</v>
      </c>
      <c r="BN486">
        <v>155.93</v>
      </c>
      <c r="BO486">
        <v>155.93</v>
      </c>
      <c r="BQ486" t="s">
        <v>218</v>
      </c>
      <c r="BR486" t="s">
        <v>84</v>
      </c>
      <c r="BS486" s="3">
        <v>45786</v>
      </c>
      <c r="BT486" s="4">
        <v>0.2951388888888889</v>
      </c>
      <c r="BU486" t="s">
        <v>1156</v>
      </c>
      <c r="BV486" t="s">
        <v>89</v>
      </c>
      <c r="BW486" t="s">
        <v>434</v>
      </c>
      <c r="BX486" t="s">
        <v>435</v>
      </c>
      <c r="BY486">
        <v>1200</v>
      </c>
      <c r="CC486" t="s">
        <v>216</v>
      </c>
      <c r="CD486">
        <v>4449</v>
      </c>
      <c r="CE486" t="s">
        <v>88</v>
      </c>
      <c r="CF486" s="3">
        <v>45786</v>
      </c>
      <c r="CI486">
        <v>1</v>
      </c>
      <c r="CJ486">
        <v>2</v>
      </c>
      <c r="CK486">
        <v>23</v>
      </c>
      <c r="CL486" t="s">
        <v>89</v>
      </c>
    </row>
    <row r="487" spans="1:90" x14ac:dyDescent="0.3">
      <c r="A487" t="s">
        <v>72</v>
      </c>
      <c r="B487" t="s">
        <v>73</v>
      </c>
      <c r="C487" t="s">
        <v>74</v>
      </c>
      <c r="E487" t="str">
        <f>"080065222799"</f>
        <v>080065222799</v>
      </c>
      <c r="F487" s="3">
        <v>45784</v>
      </c>
      <c r="G487">
        <v>202602</v>
      </c>
      <c r="H487" t="s">
        <v>75</v>
      </c>
      <c r="I487" t="s">
        <v>76</v>
      </c>
      <c r="J487" t="s">
        <v>77</v>
      </c>
      <c r="K487" t="s">
        <v>78</v>
      </c>
      <c r="L487" t="s">
        <v>90</v>
      </c>
      <c r="M487" t="s">
        <v>91</v>
      </c>
      <c r="N487" t="s">
        <v>371</v>
      </c>
      <c r="O487" t="s">
        <v>82</v>
      </c>
      <c r="P487" t="str">
        <f>"4170037220                    "</f>
        <v xml:space="preserve">4170037220                    </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32.07</v>
      </c>
      <c r="AR487">
        <v>0</v>
      </c>
      <c r="AS487">
        <v>0</v>
      </c>
      <c r="AT487">
        <v>0</v>
      </c>
      <c r="AU487">
        <v>0</v>
      </c>
      <c r="AV487">
        <v>0</v>
      </c>
      <c r="AW487">
        <v>0</v>
      </c>
      <c r="AX487">
        <v>0</v>
      </c>
      <c r="AY487">
        <v>0</v>
      </c>
      <c r="AZ487">
        <v>0</v>
      </c>
      <c r="BA487">
        <v>0</v>
      </c>
      <c r="BB487">
        <v>0</v>
      </c>
      <c r="BC487">
        <v>0</v>
      </c>
      <c r="BD487">
        <v>0</v>
      </c>
      <c r="BE487">
        <v>0</v>
      </c>
      <c r="BF487">
        <v>0</v>
      </c>
      <c r="BG487">
        <v>0</v>
      </c>
      <c r="BH487">
        <v>1</v>
      </c>
      <c r="BI487">
        <v>3</v>
      </c>
      <c r="BJ487">
        <v>1.5</v>
      </c>
      <c r="BK487">
        <v>3</v>
      </c>
      <c r="BL487">
        <v>104.95</v>
      </c>
      <c r="BM487">
        <v>15.74</v>
      </c>
      <c r="BN487">
        <v>120.69</v>
      </c>
      <c r="BO487">
        <v>120.69</v>
      </c>
      <c r="BQ487" t="s">
        <v>372</v>
      </c>
      <c r="BR487" t="s">
        <v>84</v>
      </c>
      <c r="BS487" s="3">
        <v>45785</v>
      </c>
      <c r="BT487" s="4">
        <v>0.43055555555555558</v>
      </c>
      <c r="BU487" t="s">
        <v>373</v>
      </c>
      <c r="BV487" t="s">
        <v>86</v>
      </c>
      <c r="BY487">
        <v>7400</v>
      </c>
      <c r="CA487" t="s">
        <v>298</v>
      </c>
      <c r="CC487" t="s">
        <v>91</v>
      </c>
      <c r="CD487">
        <v>6001</v>
      </c>
      <c r="CE487" t="s">
        <v>176</v>
      </c>
      <c r="CF487" s="3">
        <v>45785</v>
      </c>
      <c r="CI487">
        <v>1</v>
      </c>
      <c r="CJ487">
        <v>1</v>
      </c>
      <c r="CK487">
        <v>21</v>
      </c>
      <c r="CL487" t="s">
        <v>89</v>
      </c>
    </row>
    <row r="488" spans="1:90" x14ac:dyDescent="0.3">
      <c r="A488" t="s">
        <v>72</v>
      </c>
      <c r="B488" t="s">
        <v>73</v>
      </c>
      <c r="C488" t="s">
        <v>74</v>
      </c>
      <c r="E488" t="str">
        <f>"080065222840"</f>
        <v>080065222840</v>
      </c>
      <c r="F488" s="3">
        <v>45784</v>
      </c>
      <c r="G488">
        <v>202602</v>
      </c>
      <c r="H488" t="s">
        <v>75</v>
      </c>
      <c r="I488" t="s">
        <v>76</v>
      </c>
      <c r="J488" t="s">
        <v>77</v>
      </c>
      <c r="K488" t="s">
        <v>78</v>
      </c>
      <c r="L488" t="s">
        <v>75</v>
      </c>
      <c r="M488" t="s">
        <v>76</v>
      </c>
      <c r="N488" t="s">
        <v>601</v>
      </c>
      <c r="O488" t="s">
        <v>82</v>
      </c>
      <c r="P488" t="str">
        <f>"4170037227                    "</f>
        <v xml:space="preserve">4170037227                    </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16.7</v>
      </c>
      <c r="AR488">
        <v>0</v>
      </c>
      <c r="AS488">
        <v>0</v>
      </c>
      <c r="AT488">
        <v>0</v>
      </c>
      <c r="AU488">
        <v>0</v>
      </c>
      <c r="AV488">
        <v>0</v>
      </c>
      <c r="AW488">
        <v>0</v>
      </c>
      <c r="AX488">
        <v>0</v>
      </c>
      <c r="AY488">
        <v>0</v>
      </c>
      <c r="AZ488">
        <v>0</v>
      </c>
      <c r="BA488">
        <v>0</v>
      </c>
      <c r="BB488">
        <v>0</v>
      </c>
      <c r="BC488">
        <v>0</v>
      </c>
      <c r="BD488">
        <v>0</v>
      </c>
      <c r="BE488">
        <v>0</v>
      </c>
      <c r="BF488">
        <v>0</v>
      </c>
      <c r="BG488">
        <v>0</v>
      </c>
      <c r="BH488">
        <v>1</v>
      </c>
      <c r="BI488">
        <v>2</v>
      </c>
      <c r="BJ488">
        <v>1.1000000000000001</v>
      </c>
      <c r="BK488">
        <v>2</v>
      </c>
      <c r="BL488">
        <v>54.66</v>
      </c>
      <c r="BM488">
        <v>8.1999999999999993</v>
      </c>
      <c r="BN488">
        <v>62.86</v>
      </c>
      <c r="BO488">
        <v>62.86</v>
      </c>
      <c r="BQ488" t="s">
        <v>603</v>
      </c>
      <c r="BR488" t="s">
        <v>84</v>
      </c>
      <c r="BS488" s="3">
        <v>45785</v>
      </c>
      <c r="BT488" s="4">
        <v>0.36458333333333331</v>
      </c>
      <c r="BU488" t="s">
        <v>623</v>
      </c>
      <c r="BV488" t="s">
        <v>86</v>
      </c>
      <c r="BY488">
        <v>5320</v>
      </c>
      <c r="CA488" t="s">
        <v>605</v>
      </c>
      <c r="CC488" t="s">
        <v>76</v>
      </c>
      <c r="CD488">
        <v>1645</v>
      </c>
      <c r="CE488" t="s">
        <v>176</v>
      </c>
      <c r="CF488" s="3">
        <v>45786</v>
      </c>
      <c r="CI488">
        <v>1</v>
      </c>
      <c r="CJ488">
        <v>1</v>
      </c>
      <c r="CK488">
        <v>22</v>
      </c>
      <c r="CL488" t="s">
        <v>89</v>
      </c>
    </row>
    <row r="489" spans="1:90" x14ac:dyDescent="0.3">
      <c r="A489" t="s">
        <v>72</v>
      </c>
      <c r="B489" t="s">
        <v>73</v>
      </c>
      <c r="C489" t="s">
        <v>74</v>
      </c>
      <c r="E489" t="str">
        <f>"080065222875"</f>
        <v>080065222875</v>
      </c>
      <c r="F489" s="3">
        <v>45784</v>
      </c>
      <c r="G489">
        <v>202602</v>
      </c>
      <c r="H489" t="s">
        <v>75</v>
      </c>
      <c r="I489" t="s">
        <v>76</v>
      </c>
      <c r="J489" t="s">
        <v>77</v>
      </c>
      <c r="K489" t="s">
        <v>78</v>
      </c>
      <c r="L489" t="s">
        <v>90</v>
      </c>
      <c r="M489" t="s">
        <v>91</v>
      </c>
      <c r="N489" t="s">
        <v>1157</v>
      </c>
      <c r="O489" t="s">
        <v>82</v>
      </c>
      <c r="P489" t="str">
        <f>"4170037228                    "</f>
        <v xml:space="preserve">4170037228                    </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21.38</v>
      </c>
      <c r="AR489">
        <v>0</v>
      </c>
      <c r="AS489">
        <v>0</v>
      </c>
      <c r="AT489">
        <v>0</v>
      </c>
      <c r="AU489">
        <v>0</v>
      </c>
      <c r="AV489">
        <v>0</v>
      </c>
      <c r="AW489">
        <v>0</v>
      </c>
      <c r="AX489">
        <v>0</v>
      </c>
      <c r="AY489">
        <v>0</v>
      </c>
      <c r="AZ489">
        <v>0</v>
      </c>
      <c r="BA489">
        <v>0</v>
      </c>
      <c r="BB489">
        <v>0</v>
      </c>
      <c r="BC489">
        <v>0</v>
      </c>
      <c r="BD489">
        <v>0</v>
      </c>
      <c r="BE489">
        <v>0</v>
      </c>
      <c r="BF489">
        <v>0</v>
      </c>
      <c r="BG489">
        <v>0</v>
      </c>
      <c r="BH489">
        <v>1</v>
      </c>
      <c r="BI489">
        <v>2</v>
      </c>
      <c r="BJ489">
        <v>0.9</v>
      </c>
      <c r="BK489">
        <v>2</v>
      </c>
      <c r="BL489">
        <v>69.98</v>
      </c>
      <c r="BM489">
        <v>10.5</v>
      </c>
      <c r="BN489">
        <v>80.48</v>
      </c>
      <c r="BO489">
        <v>80.48</v>
      </c>
      <c r="BQ489" t="s">
        <v>1158</v>
      </c>
      <c r="BR489" t="s">
        <v>84</v>
      </c>
      <c r="BS489" s="3">
        <v>45785</v>
      </c>
      <c r="BT489" s="4">
        <v>0.42569444444444443</v>
      </c>
      <c r="BU489" t="s">
        <v>1159</v>
      </c>
      <c r="BV489" t="s">
        <v>86</v>
      </c>
      <c r="BY489">
        <v>4275</v>
      </c>
      <c r="CA489" t="s">
        <v>824</v>
      </c>
      <c r="CC489" t="s">
        <v>91</v>
      </c>
      <c r="CD489">
        <v>6001</v>
      </c>
      <c r="CE489" t="s">
        <v>176</v>
      </c>
      <c r="CF489" s="3">
        <v>45785</v>
      </c>
      <c r="CI489">
        <v>1</v>
      </c>
      <c r="CJ489">
        <v>1</v>
      </c>
      <c r="CK489">
        <v>21</v>
      </c>
      <c r="CL489" t="s">
        <v>89</v>
      </c>
    </row>
    <row r="490" spans="1:90" x14ac:dyDescent="0.3">
      <c r="A490" t="s">
        <v>72</v>
      </c>
      <c r="B490" t="s">
        <v>73</v>
      </c>
      <c r="C490" t="s">
        <v>74</v>
      </c>
      <c r="E490" t="str">
        <f>"080065222905"</f>
        <v>080065222905</v>
      </c>
      <c r="F490" s="3">
        <v>45784</v>
      </c>
      <c r="G490">
        <v>202602</v>
      </c>
      <c r="H490" t="s">
        <v>75</v>
      </c>
      <c r="I490" t="s">
        <v>76</v>
      </c>
      <c r="J490" t="s">
        <v>77</v>
      </c>
      <c r="K490" t="s">
        <v>78</v>
      </c>
      <c r="L490" t="s">
        <v>130</v>
      </c>
      <c r="M490" t="s">
        <v>131</v>
      </c>
      <c r="N490" t="s">
        <v>343</v>
      </c>
      <c r="O490" t="s">
        <v>82</v>
      </c>
      <c r="P490" t="str">
        <f>"4170037229                    "</f>
        <v xml:space="preserve">4170037229                    </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21.38</v>
      </c>
      <c r="AR490">
        <v>0</v>
      </c>
      <c r="AS490">
        <v>0</v>
      </c>
      <c r="AT490">
        <v>0</v>
      </c>
      <c r="AU490">
        <v>0</v>
      </c>
      <c r="AV490">
        <v>0</v>
      </c>
      <c r="AW490">
        <v>0</v>
      </c>
      <c r="AX490">
        <v>0</v>
      </c>
      <c r="AY490">
        <v>0</v>
      </c>
      <c r="AZ490">
        <v>0</v>
      </c>
      <c r="BA490">
        <v>0</v>
      </c>
      <c r="BB490">
        <v>0</v>
      </c>
      <c r="BC490">
        <v>0</v>
      </c>
      <c r="BD490">
        <v>0</v>
      </c>
      <c r="BE490">
        <v>0</v>
      </c>
      <c r="BF490">
        <v>0</v>
      </c>
      <c r="BG490">
        <v>0</v>
      </c>
      <c r="BH490">
        <v>1</v>
      </c>
      <c r="BI490">
        <v>1</v>
      </c>
      <c r="BJ490">
        <v>1.7</v>
      </c>
      <c r="BK490">
        <v>2</v>
      </c>
      <c r="BL490">
        <v>69.98</v>
      </c>
      <c r="BM490">
        <v>10.5</v>
      </c>
      <c r="BN490">
        <v>80.48</v>
      </c>
      <c r="BO490">
        <v>80.48</v>
      </c>
      <c r="BQ490" t="s">
        <v>344</v>
      </c>
      <c r="BR490" t="s">
        <v>84</v>
      </c>
      <c r="BS490" s="3">
        <v>45785</v>
      </c>
      <c r="BT490" s="4">
        <v>0.37847222222222221</v>
      </c>
      <c r="BU490" t="s">
        <v>345</v>
      </c>
      <c r="BV490" t="s">
        <v>86</v>
      </c>
      <c r="BY490">
        <v>8550</v>
      </c>
      <c r="CA490" t="s">
        <v>242</v>
      </c>
      <c r="CC490" t="s">
        <v>131</v>
      </c>
      <c r="CD490">
        <v>7441</v>
      </c>
      <c r="CE490" t="s">
        <v>116</v>
      </c>
      <c r="CF490" s="3">
        <v>45786</v>
      </c>
      <c r="CI490">
        <v>1</v>
      </c>
      <c r="CJ490">
        <v>1</v>
      </c>
      <c r="CK490">
        <v>21</v>
      </c>
      <c r="CL490" t="s">
        <v>89</v>
      </c>
    </row>
    <row r="491" spans="1:90" x14ac:dyDescent="0.3">
      <c r="A491" t="s">
        <v>72</v>
      </c>
      <c r="B491" t="s">
        <v>73</v>
      </c>
      <c r="C491" t="s">
        <v>74</v>
      </c>
      <c r="E491" t="str">
        <f>"080065223534"</f>
        <v>080065223534</v>
      </c>
      <c r="F491" s="3">
        <v>45784</v>
      </c>
      <c r="G491">
        <v>202602</v>
      </c>
      <c r="H491" t="s">
        <v>75</v>
      </c>
      <c r="I491" t="s">
        <v>76</v>
      </c>
      <c r="J491" t="s">
        <v>77</v>
      </c>
      <c r="K491" t="s">
        <v>78</v>
      </c>
      <c r="L491" t="s">
        <v>117</v>
      </c>
      <c r="M491" t="s">
        <v>118</v>
      </c>
      <c r="N491" t="s">
        <v>1160</v>
      </c>
      <c r="O491" t="s">
        <v>300</v>
      </c>
      <c r="P491" t="str">
        <f>"4170037234                    "</f>
        <v xml:space="preserve">4170037234                    </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40.299999999999997</v>
      </c>
      <c r="AR491">
        <v>0</v>
      </c>
      <c r="AS491">
        <v>0</v>
      </c>
      <c r="AT491">
        <v>0</v>
      </c>
      <c r="AU491">
        <v>0</v>
      </c>
      <c r="AV491">
        <v>0</v>
      </c>
      <c r="AW491">
        <v>0</v>
      </c>
      <c r="AX491">
        <v>0</v>
      </c>
      <c r="AY491">
        <v>0</v>
      </c>
      <c r="AZ491">
        <v>0</v>
      </c>
      <c r="BA491">
        <v>0</v>
      </c>
      <c r="BB491">
        <v>0</v>
      </c>
      <c r="BC491">
        <v>0</v>
      </c>
      <c r="BD491">
        <v>0</v>
      </c>
      <c r="BE491">
        <v>0</v>
      </c>
      <c r="BF491">
        <v>0</v>
      </c>
      <c r="BG491">
        <v>0</v>
      </c>
      <c r="BH491">
        <v>1</v>
      </c>
      <c r="BI491">
        <v>12</v>
      </c>
      <c r="BJ491">
        <v>23.3</v>
      </c>
      <c r="BK491">
        <v>24</v>
      </c>
      <c r="BL491">
        <v>137.47</v>
      </c>
      <c r="BM491">
        <v>20.62</v>
      </c>
      <c r="BN491">
        <v>158.09</v>
      </c>
      <c r="BO491">
        <v>158.09</v>
      </c>
      <c r="BQ491" t="s">
        <v>1161</v>
      </c>
      <c r="BR491" t="s">
        <v>84</v>
      </c>
      <c r="BS491" s="3">
        <v>45785</v>
      </c>
      <c r="BT491" s="4">
        <v>0.3611111111111111</v>
      </c>
      <c r="BU491" t="s">
        <v>1162</v>
      </c>
      <c r="BV491" t="s">
        <v>86</v>
      </c>
      <c r="BY491">
        <v>116288</v>
      </c>
      <c r="CA491" t="s">
        <v>535</v>
      </c>
      <c r="CC491" t="s">
        <v>118</v>
      </c>
      <c r="CD491">
        <v>2094</v>
      </c>
      <c r="CE491" t="s">
        <v>96</v>
      </c>
      <c r="CF491" s="3">
        <v>45786</v>
      </c>
      <c r="CI491">
        <v>1</v>
      </c>
      <c r="CJ491">
        <v>1</v>
      </c>
      <c r="CK491">
        <v>42</v>
      </c>
      <c r="CL491" t="s">
        <v>89</v>
      </c>
    </row>
    <row r="492" spans="1:90" x14ac:dyDescent="0.3">
      <c r="A492" t="s">
        <v>72</v>
      </c>
      <c r="B492" t="s">
        <v>73</v>
      </c>
      <c r="C492" t="s">
        <v>74</v>
      </c>
      <c r="E492" t="str">
        <f>"080065224493"</f>
        <v>080065224493</v>
      </c>
      <c r="F492" s="3">
        <v>45784</v>
      </c>
      <c r="G492">
        <v>202602</v>
      </c>
      <c r="H492" t="s">
        <v>75</v>
      </c>
      <c r="I492" t="s">
        <v>76</v>
      </c>
      <c r="J492" t="s">
        <v>77</v>
      </c>
      <c r="K492" t="s">
        <v>78</v>
      </c>
      <c r="L492" t="s">
        <v>1163</v>
      </c>
      <c r="M492" t="s">
        <v>1164</v>
      </c>
      <c r="N492" t="s">
        <v>1165</v>
      </c>
      <c r="O492" t="s">
        <v>82</v>
      </c>
      <c r="P492" t="str">
        <f>"4170037240                    "</f>
        <v xml:space="preserve">4170037240                    </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60.14</v>
      </c>
      <c r="AR492">
        <v>0</v>
      </c>
      <c r="AS492">
        <v>0</v>
      </c>
      <c r="AT492">
        <v>0</v>
      </c>
      <c r="AU492">
        <v>0</v>
      </c>
      <c r="AV492">
        <v>0</v>
      </c>
      <c r="AW492">
        <v>0</v>
      </c>
      <c r="AX492">
        <v>0</v>
      </c>
      <c r="AY492">
        <v>0</v>
      </c>
      <c r="AZ492">
        <v>0</v>
      </c>
      <c r="BA492">
        <v>0</v>
      </c>
      <c r="BB492">
        <v>0</v>
      </c>
      <c r="BC492">
        <v>0</v>
      </c>
      <c r="BD492">
        <v>0</v>
      </c>
      <c r="BE492">
        <v>0</v>
      </c>
      <c r="BF492">
        <v>0</v>
      </c>
      <c r="BG492">
        <v>0</v>
      </c>
      <c r="BH492">
        <v>1</v>
      </c>
      <c r="BI492">
        <v>3</v>
      </c>
      <c r="BJ492">
        <v>1.9</v>
      </c>
      <c r="BK492">
        <v>3</v>
      </c>
      <c r="BL492">
        <v>196.82</v>
      </c>
      <c r="BM492">
        <v>29.52</v>
      </c>
      <c r="BN492">
        <v>226.34</v>
      </c>
      <c r="BO492">
        <v>226.34</v>
      </c>
      <c r="BQ492" t="s">
        <v>1166</v>
      </c>
      <c r="BR492" t="s">
        <v>84</v>
      </c>
      <c r="BS492" s="3">
        <v>45786</v>
      </c>
      <c r="BT492" s="4">
        <v>0.5180555555555556</v>
      </c>
      <c r="BU492" t="s">
        <v>1167</v>
      </c>
      <c r="BV492" t="s">
        <v>86</v>
      </c>
      <c r="BY492">
        <v>9600</v>
      </c>
      <c r="CC492" t="s">
        <v>1164</v>
      </c>
      <c r="CD492">
        <v>6335</v>
      </c>
      <c r="CE492" t="s">
        <v>116</v>
      </c>
      <c r="CF492" s="3">
        <v>45790</v>
      </c>
      <c r="CI492">
        <v>2</v>
      </c>
      <c r="CJ492">
        <v>2</v>
      </c>
      <c r="CK492">
        <v>23</v>
      </c>
      <c r="CL492" t="s">
        <v>89</v>
      </c>
    </row>
    <row r="493" spans="1:90" x14ac:dyDescent="0.3">
      <c r="A493" t="s">
        <v>72</v>
      </c>
      <c r="B493" t="s">
        <v>73</v>
      </c>
      <c r="C493" t="s">
        <v>74</v>
      </c>
      <c r="E493" t="str">
        <f>"080065224521"</f>
        <v>080065224521</v>
      </c>
      <c r="F493" s="3">
        <v>45784</v>
      </c>
      <c r="G493">
        <v>202602</v>
      </c>
      <c r="H493" t="s">
        <v>75</v>
      </c>
      <c r="I493" t="s">
        <v>76</v>
      </c>
      <c r="J493" t="s">
        <v>77</v>
      </c>
      <c r="K493" t="s">
        <v>78</v>
      </c>
      <c r="L493" t="s">
        <v>103</v>
      </c>
      <c r="M493" t="s">
        <v>104</v>
      </c>
      <c r="N493" t="s">
        <v>686</v>
      </c>
      <c r="O493" t="s">
        <v>82</v>
      </c>
      <c r="P493" t="str">
        <f>"4170037246                    "</f>
        <v xml:space="preserve">4170037246                    </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21.38</v>
      </c>
      <c r="AR493">
        <v>0</v>
      </c>
      <c r="AS493">
        <v>0</v>
      </c>
      <c r="AT493">
        <v>0</v>
      </c>
      <c r="AU493">
        <v>0</v>
      </c>
      <c r="AV493">
        <v>0</v>
      </c>
      <c r="AW493">
        <v>0</v>
      </c>
      <c r="AX493">
        <v>0</v>
      </c>
      <c r="AY493">
        <v>0</v>
      </c>
      <c r="AZ493">
        <v>0</v>
      </c>
      <c r="BA493">
        <v>0</v>
      </c>
      <c r="BB493">
        <v>0</v>
      </c>
      <c r="BC493">
        <v>0</v>
      </c>
      <c r="BD493">
        <v>0</v>
      </c>
      <c r="BE493">
        <v>0</v>
      </c>
      <c r="BF493">
        <v>0</v>
      </c>
      <c r="BG493">
        <v>0</v>
      </c>
      <c r="BH493">
        <v>1</v>
      </c>
      <c r="BI493">
        <v>1</v>
      </c>
      <c r="BJ493">
        <v>0.2</v>
      </c>
      <c r="BK493">
        <v>1</v>
      </c>
      <c r="BL493">
        <v>69.98</v>
      </c>
      <c r="BM493">
        <v>10.5</v>
      </c>
      <c r="BN493">
        <v>80.48</v>
      </c>
      <c r="BO493">
        <v>80.48</v>
      </c>
      <c r="BQ493" t="s">
        <v>687</v>
      </c>
      <c r="BR493" t="s">
        <v>84</v>
      </c>
      <c r="BS493" s="3">
        <v>45785</v>
      </c>
      <c r="BT493" s="4">
        <v>0.41666666666666669</v>
      </c>
      <c r="BU493" t="s">
        <v>1168</v>
      </c>
      <c r="BV493" t="s">
        <v>86</v>
      </c>
      <c r="BY493">
        <v>1200</v>
      </c>
      <c r="CA493" t="s">
        <v>1169</v>
      </c>
      <c r="CC493" t="s">
        <v>104</v>
      </c>
      <c r="CD493">
        <v>3201</v>
      </c>
      <c r="CE493" t="s">
        <v>88</v>
      </c>
      <c r="CF493" s="3">
        <v>45786</v>
      </c>
      <c r="CI493">
        <v>1</v>
      </c>
      <c r="CJ493">
        <v>1</v>
      </c>
      <c r="CK493">
        <v>21</v>
      </c>
      <c r="CL493" t="s">
        <v>89</v>
      </c>
    </row>
    <row r="494" spans="1:90" x14ac:dyDescent="0.3">
      <c r="A494" t="s">
        <v>72</v>
      </c>
      <c r="B494" t="s">
        <v>73</v>
      </c>
      <c r="C494" t="s">
        <v>74</v>
      </c>
      <c r="E494" t="str">
        <f>"080065224533"</f>
        <v>080065224533</v>
      </c>
      <c r="F494" s="3">
        <v>45784</v>
      </c>
      <c r="G494">
        <v>202602</v>
      </c>
      <c r="H494" t="s">
        <v>75</v>
      </c>
      <c r="I494" t="s">
        <v>76</v>
      </c>
      <c r="J494" t="s">
        <v>77</v>
      </c>
      <c r="K494" t="s">
        <v>78</v>
      </c>
      <c r="L494" t="s">
        <v>117</v>
      </c>
      <c r="M494" t="s">
        <v>118</v>
      </c>
      <c r="N494" t="s">
        <v>272</v>
      </c>
      <c r="O494" t="s">
        <v>82</v>
      </c>
      <c r="P494" t="str">
        <f>"4170037250                    "</f>
        <v xml:space="preserve">4170037250                    </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16.7</v>
      </c>
      <c r="AR494">
        <v>0</v>
      </c>
      <c r="AS494">
        <v>0</v>
      </c>
      <c r="AT494">
        <v>0</v>
      </c>
      <c r="AU494">
        <v>0</v>
      </c>
      <c r="AV494">
        <v>0</v>
      </c>
      <c r="AW494">
        <v>0</v>
      </c>
      <c r="AX494">
        <v>0</v>
      </c>
      <c r="AY494">
        <v>0</v>
      </c>
      <c r="AZ494">
        <v>0</v>
      </c>
      <c r="BA494">
        <v>0</v>
      </c>
      <c r="BB494">
        <v>0</v>
      </c>
      <c r="BC494">
        <v>0</v>
      </c>
      <c r="BD494">
        <v>0</v>
      </c>
      <c r="BE494">
        <v>0</v>
      </c>
      <c r="BF494">
        <v>0</v>
      </c>
      <c r="BG494">
        <v>0</v>
      </c>
      <c r="BH494">
        <v>1</v>
      </c>
      <c r="BI494">
        <v>1</v>
      </c>
      <c r="BJ494">
        <v>0.2</v>
      </c>
      <c r="BK494">
        <v>1</v>
      </c>
      <c r="BL494">
        <v>54.66</v>
      </c>
      <c r="BM494">
        <v>8.1999999999999993</v>
      </c>
      <c r="BN494">
        <v>62.86</v>
      </c>
      <c r="BO494">
        <v>62.86</v>
      </c>
      <c r="BQ494" t="s">
        <v>273</v>
      </c>
      <c r="BR494" t="s">
        <v>84</v>
      </c>
      <c r="BS494" s="3">
        <v>45785</v>
      </c>
      <c r="BT494" s="4">
        <v>0.34375</v>
      </c>
      <c r="BU494" t="s">
        <v>274</v>
      </c>
      <c r="BV494" t="s">
        <v>86</v>
      </c>
      <c r="BY494">
        <v>1200</v>
      </c>
      <c r="CA494" t="s">
        <v>275</v>
      </c>
      <c r="CC494" t="s">
        <v>118</v>
      </c>
      <c r="CD494">
        <v>2013</v>
      </c>
      <c r="CE494" t="s">
        <v>88</v>
      </c>
      <c r="CF494" s="3">
        <v>45786</v>
      </c>
      <c r="CI494">
        <v>1</v>
      </c>
      <c r="CJ494">
        <v>1</v>
      </c>
      <c r="CK494">
        <v>22</v>
      </c>
      <c r="CL494" t="s">
        <v>89</v>
      </c>
    </row>
    <row r="495" spans="1:90" x14ac:dyDescent="0.3">
      <c r="A495" t="s">
        <v>72</v>
      </c>
      <c r="B495" t="s">
        <v>73</v>
      </c>
      <c r="C495" t="s">
        <v>74</v>
      </c>
      <c r="E495" t="str">
        <f>"080065224545"</f>
        <v>080065224545</v>
      </c>
      <c r="F495" s="3">
        <v>45784</v>
      </c>
      <c r="G495">
        <v>202602</v>
      </c>
      <c r="H495" t="s">
        <v>75</v>
      </c>
      <c r="I495" t="s">
        <v>76</v>
      </c>
      <c r="J495" t="s">
        <v>77</v>
      </c>
      <c r="K495" t="s">
        <v>78</v>
      </c>
      <c r="L495" t="s">
        <v>90</v>
      </c>
      <c r="M495" t="s">
        <v>91</v>
      </c>
      <c r="N495" t="s">
        <v>371</v>
      </c>
      <c r="O495" t="s">
        <v>82</v>
      </c>
      <c r="P495" t="str">
        <f>"4170037243                    "</f>
        <v xml:space="preserve">4170037243                    </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21.38</v>
      </c>
      <c r="AR495">
        <v>0</v>
      </c>
      <c r="AS495">
        <v>0</v>
      </c>
      <c r="AT495">
        <v>0</v>
      </c>
      <c r="AU495">
        <v>0</v>
      </c>
      <c r="AV495">
        <v>0</v>
      </c>
      <c r="AW495">
        <v>0</v>
      </c>
      <c r="AX495">
        <v>0</v>
      </c>
      <c r="AY495">
        <v>0</v>
      </c>
      <c r="AZ495">
        <v>0</v>
      </c>
      <c r="BA495">
        <v>0</v>
      </c>
      <c r="BB495">
        <v>0</v>
      </c>
      <c r="BC495">
        <v>0</v>
      </c>
      <c r="BD495">
        <v>0</v>
      </c>
      <c r="BE495">
        <v>0</v>
      </c>
      <c r="BF495">
        <v>0</v>
      </c>
      <c r="BG495">
        <v>0</v>
      </c>
      <c r="BH495">
        <v>1</v>
      </c>
      <c r="BI495">
        <v>1</v>
      </c>
      <c r="BJ495">
        <v>0.2</v>
      </c>
      <c r="BK495">
        <v>1</v>
      </c>
      <c r="BL495">
        <v>69.98</v>
      </c>
      <c r="BM495">
        <v>10.5</v>
      </c>
      <c r="BN495">
        <v>80.48</v>
      </c>
      <c r="BO495">
        <v>80.48</v>
      </c>
      <c r="BQ495" t="s">
        <v>372</v>
      </c>
      <c r="BR495" t="s">
        <v>84</v>
      </c>
      <c r="BS495" s="3">
        <v>45785</v>
      </c>
      <c r="BT495" s="4">
        <v>0.43055555555555558</v>
      </c>
      <c r="BU495" t="s">
        <v>373</v>
      </c>
      <c r="BV495" t="s">
        <v>86</v>
      </c>
      <c r="BY495">
        <v>1200</v>
      </c>
      <c r="CA495" t="s">
        <v>298</v>
      </c>
      <c r="CC495" t="s">
        <v>91</v>
      </c>
      <c r="CD495">
        <v>6001</v>
      </c>
      <c r="CE495" t="s">
        <v>88</v>
      </c>
      <c r="CF495" s="3">
        <v>45785</v>
      </c>
      <c r="CI495">
        <v>1</v>
      </c>
      <c r="CJ495">
        <v>1</v>
      </c>
      <c r="CK495">
        <v>21</v>
      </c>
      <c r="CL495" t="s">
        <v>89</v>
      </c>
    </row>
    <row r="496" spans="1:90" x14ac:dyDescent="0.3">
      <c r="A496" t="s">
        <v>72</v>
      </c>
      <c r="B496" t="s">
        <v>73</v>
      </c>
      <c r="C496" t="s">
        <v>74</v>
      </c>
      <c r="E496" t="str">
        <f>"080065224579"</f>
        <v>080065224579</v>
      </c>
      <c r="F496" s="3">
        <v>45784</v>
      </c>
      <c r="G496">
        <v>202602</v>
      </c>
      <c r="H496" t="s">
        <v>75</v>
      </c>
      <c r="I496" t="s">
        <v>76</v>
      </c>
      <c r="J496" t="s">
        <v>77</v>
      </c>
      <c r="K496" t="s">
        <v>78</v>
      </c>
      <c r="L496" t="s">
        <v>409</v>
      </c>
      <c r="M496" t="s">
        <v>410</v>
      </c>
      <c r="N496" t="s">
        <v>512</v>
      </c>
      <c r="O496" t="s">
        <v>82</v>
      </c>
      <c r="P496" t="str">
        <f>"4170037242                    "</f>
        <v xml:space="preserve">4170037242                    </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41.43</v>
      </c>
      <c r="AR496">
        <v>0</v>
      </c>
      <c r="AS496">
        <v>0</v>
      </c>
      <c r="AT496">
        <v>0</v>
      </c>
      <c r="AU496">
        <v>0</v>
      </c>
      <c r="AV496">
        <v>0</v>
      </c>
      <c r="AW496">
        <v>0</v>
      </c>
      <c r="AX496">
        <v>0</v>
      </c>
      <c r="AY496">
        <v>0</v>
      </c>
      <c r="AZ496">
        <v>0</v>
      </c>
      <c r="BA496">
        <v>0</v>
      </c>
      <c r="BB496">
        <v>0</v>
      </c>
      <c r="BC496">
        <v>0</v>
      </c>
      <c r="BD496">
        <v>0</v>
      </c>
      <c r="BE496">
        <v>0</v>
      </c>
      <c r="BF496">
        <v>0</v>
      </c>
      <c r="BG496">
        <v>0</v>
      </c>
      <c r="BH496">
        <v>1</v>
      </c>
      <c r="BI496">
        <v>1</v>
      </c>
      <c r="BJ496">
        <v>0.2</v>
      </c>
      <c r="BK496">
        <v>1</v>
      </c>
      <c r="BL496">
        <v>135.59</v>
      </c>
      <c r="BM496">
        <v>20.34</v>
      </c>
      <c r="BN496">
        <v>155.93</v>
      </c>
      <c r="BO496">
        <v>155.93</v>
      </c>
      <c r="BQ496" t="s">
        <v>513</v>
      </c>
      <c r="BR496" t="s">
        <v>84</v>
      </c>
      <c r="BS496" s="3">
        <v>45785</v>
      </c>
      <c r="BT496" s="4">
        <v>0.53888888888888886</v>
      </c>
      <c r="BU496" t="s">
        <v>1170</v>
      </c>
      <c r="BV496" t="s">
        <v>86</v>
      </c>
      <c r="BY496">
        <v>1200</v>
      </c>
      <c r="CA496" t="s">
        <v>1088</v>
      </c>
      <c r="CC496" t="s">
        <v>410</v>
      </c>
      <c r="CD496">
        <v>6850</v>
      </c>
      <c r="CE496" t="s">
        <v>88</v>
      </c>
      <c r="CF496" s="3">
        <v>45786</v>
      </c>
      <c r="CI496">
        <v>2</v>
      </c>
      <c r="CJ496">
        <v>1</v>
      </c>
      <c r="CK496">
        <v>23</v>
      </c>
      <c r="CL496" t="s">
        <v>89</v>
      </c>
    </row>
    <row r="497" spans="1:90" x14ac:dyDescent="0.3">
      <c r="A497" t="s">
        <v>72</v>
      </c>
      <c r="B497" t="s">
        <v>73</v>
      </c>
      <c r="C497" t="s">
        <v>74</v>
      </c>
      <c r="E497" t="str">
        <f>"080065225448"</f>
        <v>080065225448</v>
      </c>
      <c r="F497" s="3">
        <v>45784</v>
      </c>
      <c r="G497">
        <v>202602</v>
      </c>
      <c r="H497" t="s">
        <v>75</v>
      </c>
      <c r="I497" t="s">
        <v>76</v>
      </c>
      <c r="J497" t="s">
        <v>77</v>
      </c>
      <c r="K497" t="s">
        <v>78</v>
      </c>
      <c r="L497" t="s">
        <v>350</v>
      </c>
      <c r="M497" t="s">
        <v>351</v>
      </c>
      <c r="N497" t="s">
        <v>1171</v>
      </c>
      <c r="O497" t="s">
        <v>82</v>
      </c>
      <c r="P497" t="str">
        <f>"4170037252                    "</f>
        <v xml:space="preserve">4170037252                    </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64.12</v>
      </c>
      <c r="AR497">
        <v>0</v>
      </c>
      <c r="AS497">
        <v>0</v>
      </c>
      <c r="AT497">
        <v>0</v>
      </c>
      <c r="AU497">
        <v>0</v>
      </c>
      <c r="AV497">
        <v>0</v>
      </c>
      <c r="AW497">
        <v>0</v>
      </c>
      <c r="AX497">
        <v>0</v>
      </c>
      <c r="AY497">
        <v>0</v>
      </c>
      <c r="AZ497">
        <v>0</v>
      </c>
      <c r="BA497">
        <v>0</v>
      </c>
      <c r="BB497">
        <v>0</v>
      </c>
      <c r="BC497">
        <v>0</v>
      </c>
      <c r="BD497">
        <v>0</v>
      </c>
      <c r="BE497">
        <v>0</v>
      </c>
      <c r="BF497">
        <v>0</v>
      </c>
      <c r="BG497">
        <v>0</v>
      </c>
      <c r="BH497">
        <v>1</v>
      </c>
      <c r="BI497">
        <v>6</v>
      </c>
      <c r="BJ497">
        <v>5.5</v>
      </c>
      <c r="BK497">
        <v>6</v>
      </c>
      <c r="BL497">
        <v>209.84</v>
      </c>
      <c r="BM497">
        <v>31.48</v>
      </c>
      <c r="BN497">
        <v>241.32</v>
      </c>
      <c r="BO497">
        <v>241.32</v>
      </c>
      <c r="BQ497" t="s">
        <v>1172</v>
      </c>
      <c r="BR497" t="s">
        <v>84</v>
      </c>
      <c r="BS497" s="3">
        <v>45785</v>
      </c>
      <c r="BT497" s="4">
        <v>0.58819444444444446</v>
      </c>
      <c r="BU497" t="s">
        <v>1173</v>
      </c>
      <c r="BV497" t="s">
        <v>89</v>
      </c>
      <c r="BW497" t="s">
        <v>296</v>
      </c>
      <c r="BX497" t="s">
        <v>325</v>
      </c>
      <c r="BY497">
        <v>27324</v>
      </c>
      <c r="CA497" t="s">
        <v>1174</v>
      </c>
      <c r="CC497" t="s">
        <v>351</v>
      </c>
      <c r="CD497">
        <v>4080</v>
      </c>
      <c r="CE497" t="s">
        <v>221</v>
      </c>
      <c r="CF497" s="3">
        <v>45786</v>
      </c>
      <c r="CI497">
        <v>1</v>
      </c>
      <c r="CJ497">
        <v>1</v>
      </c>
      <c r="CK497">
        <v>21</v>
      </c>
      <c r="CL497" t="s">
        <v>89</v>
      </c>
    </row>
    <row r="498" spans="1:90" x14ac:dyDescent="0.3">
      <c r="A498" t="s">
        <v>72</v>
      </c>
      <c r="B498" t="s">
        <v>73</v>
      </c>
      <c r="C498" t="s">
        <v>74</v>
      </c>
      <c r="E498" t="str">
        <f>"080065225488"</f>
        <v>080065225488</v>
      </c>
      <c r="F498" s="3">
        <v>45784</v>
      </c>
      <c r="G498">
        <v>202602</v>
      </c>
      <c r="H498" t="s">
        <v>75</v>
      </c>
      <c r="I498" t="s">
        <v>76</v>
      </c>
      <c r="J498" t="s">
        <v>77</v>
      </c>
      <c r="K498" t="s">
        <v>78</v>
      </c>
      <c r="L498" t="s">
        <v>130</v>
      </c>
      <c r="M498" t="s">
        <v>131</v>
      </c>
      <c r="N498" t="s">
        <v>709</v>
      </c>
      <c r="O498" t="s">
        <v>82</v>
      </c>
      <c r="P498" t="str">
        <f>"4170037251                    "</f>
        <v xml:space="preserve">4170037251                    </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21.38</v>
      </c>
      <c r="AR498">
        <v>0</v>
      </c>
      <c r="AS498">
        <v>0</v>
      </c>
      <c r="AT498">
        <v>0</v>
      </c>
      <c r="AU498">
        <v>0</v>
      </c>
      <c r="AV498">
        <v>0</v>
      </c>
      <c r="AW498">
        <v>0</v>
      </c>
      <c r="AX498">
        <v>0</v>
      </c>
      <c r="AY498">
        <v>0</v>
      </c>
      <c r="AZ498">
        <v>0</v>
      </c>
      <c r="BA498">
        <v>0</v>
      </c>
      <c r="BB498">
        <v>0</v>
      </c>
      <c r="BC498">
        <v>0</v>
      </c>
      <c r="BD498">
        <v>0</v>
      </c>
      <c r="BE498">
        <v>0</v>
      </c>
      <c r="BF498">
        <v>0</v>
      </c>
      <c r="BG498">
        <v>0</v>
      </c>
      <c r="BH498">
        <v>1</v>
      </c>
      <c r="BI498">
        <v>2</v>
      </c>
      <c r="BJ498">
        <v>2</v>
      </c>
      <c r="BK498">
        <v>2</v>
      </c>
      <c r="BL498">
        <v>69.98</v>
      </c>
      <c r="BM498">
        <v>10.5</v>
      </c>
      <c r="BN498">
        <v>80.48</v>
      </c>
      <c r="BO498">
        <v>80.48</v>
      </c>
      <c r="BQ498" t="s">
        <v>710</v>
      </c>
      <c r="BR498" t="s">
        <v>84</v>
      </c>
      <c r="BS498" s="3">
        <v>45785</v>
      </c>
      <c r="BT498" s="4">
        <v>0.33611111111111114</v>
      </c>
      <c r="BU498" t="s">
        <v>711</v>
      </c>
      <c r="BV498" t="s">
        <v>86</v>
      </c>
      <c r="BY498">
        <v>10240</v>
      </c>
      <c r="CA498" t="s">
        <v>712</v>
      </c>
      <c r="CC498" t="s">
        <v>131</v>
      </c>
      <c r="CD498">
        <v>7530</v>
      </c>
      <c r="CE498" t="s">
        <v>221</v>
      </c>
      <c r="CF498" s="3">
        <v>45786</v>
      </c>
      <c r="CI498">
        <v>1</v>
      </c>
      <c r="CJ498">
        <v>1</v>
      </c>
      <c r="CK498">
        <v>21</v>
      </c>
      <c r="CL498" t="s">
        <v>89</v>
      </c>
    </row>
    <row r="499" spans="1:90" x14ac:dyDescent="0.3">
      <c r="A499" t="s">
        <v>72</v>
      </c>
      <c r="B499" t="s">
        <v>73</v>
      </c>
      <c r="C499" t="s">
        <v>74</v>
      </c>
      <c r="E499" t="str">
        <f>"080065225588"</f>
        <v>080065225588</v>
      </c>
      <c r="F499" s="3">
        <v>45784</v>
      </c>
      <c r="G499">
        <v>202602</v>
      </c>
      <c r="H499" t="s">
        <v>75</v>
      </c>
      <c r="I499" t="s">
        <v>76</v>
      </c>
      <c r="J499" t="s">
        <v>77</v>
      </c>
      <c r="K499" t="s">
        <v>78</v>
      </c>
      <c r="L499" t="s">
        <v>75</v>
      </c>
      <c r="M499" t="s">
        <v>76</v>
      </c>
      <c r="N499" t="s">
        <v>1175</v>
      </c>
      <c r="O499" t="s">
        <v>82</v>
      </c>
      <c r="P499" t="str">
        <f>"4170037247                    "</f>
        <v xml:space="preserve">4170037247                    </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16.7</v>
      </c>
      <c r="AR499">
        <v>0</v>
      </c>
      <c r="AS499">
        <v>0</v>
      </c>
      <c r="AT499">
        <v>0</v>
      </c>
      <c r="AU499">
        <v>0</v>
      </c>
      <c r="AV499">
        <v>0</v>
      </c>
      <c r="AW499">
        <v>0</v>
      </c>
      <c r="AX499">
        <v>0</v>
      </c>
      <c r="AY499">
        <v>0</v>
      </c>
      <c r="AZ499">
        <v>0</v>
      </c>
      <c r="BA499">
        <v>0</v>
      </c>
      <c r="BB499">
        <v>0</v>
      </c>
      <c r="BC499">
        <v>0</v>
      </c>
      <c r="BD499">
        <v>0</v>
      </c>
      <c r="BE499">
        <v>0</v>
      </c>
      <c r="BF499">
        <v>0</v>
      </c>
      <c r="BG499">
        <v>0</v>
      </c>
      <c r="BH499">
        <v>1</v>
      </c>
      <c r="BI499">
        <v>1</v>
      </c>
      <c r="BJ499">
        <v>1.9</v>
      </c>
      <c r="BK499">
        <v>2</v>
      </c>
      <c r="BL499">
        <v>54.66</v>
      </c>
      <c r="BM499">
        <v>8.1999999999999993</v>
      </c>
      <c r="BN499">
        <v>62.86</v>
      </c>
      <c r="BO499">
        <v>62.86</v>
      </c>
      <c r="BQ499" t="s">
        <v>1176</v>
      </c>
      <c r="BR499" t="s">
        <v>84</v>
      </c>
      <c r="BS499" s="3">
        <v>45785</v>
      </c>
      <c r="BT499" s="4">
        <v>0.36041666666666666</v>
      </c>
      <c r="BU499" t="s">
        <v>1177</v>
      </c>
      <c r="BV499" t="s">
        <v>86</v>
      </c>
      <c r="BY499">
        <v>9600</v>
      </c>
      <c r="CA499" t="s">
        <v>1178</v>
      </c>
      <c r="CC499" t="s">
        <v>76</v>
      </c>
      <c r="CD499">
        <v>1685</v>
      </c>
      <c r="CE499" t="s">
        <v>116</v>
      </c>
      <c r="CF499" s="3">
        <v>45786</v>
      </c>
      <c r="CI499">
        <v>1</v>
      </c>
      <c r="CJ499">
        <v>1</v>
      </c>
      <c r="CK499">
        <v>22</v>
      </c>
      <c r="CL499" t="s">
        <v>89</v>
      </c>
    </row>
    <row r="500" spans="1:90" x14ac:dyDescent="0.3">
      <c r="A500" t="s">
        <v>72</v>
      </c>
      <c r="B500" t="s">
        <v>73</v>
      </c>
      <c r="C500" t="s">
        <v>74</v>
      </c>
      <c r="E500" t="str">
        <f>"080065225625"</f>
        <v>080065225625</v>
      </c>
      <c r="F500" s="3">
        <v>45784</v>
      </c>
      <c r="G500">
        <v>202602</v>
      </c>
      <c r="H500" t="s">
        <v>75</v>
      </c>
      <c r="I500" t="s">
        <v>76</v>
      </c>
      <c r="J500" t="s">
        <v>77</v>
      </c>
      <c r="K500" t="s">
        <v>78</v>
      </c>
      <c r="L500" t="s">
        <v>672</v>
      </c>
      <c r="M500" t="s">
        <v>673</v>
      </c>
      <c r="N500" t="s">
        <v>674</v>
      </c>
      <c r="O500" t="s">
        <v>82</v>
      </c>
      <c r="P500" t="str">
        <f>"4170037254                    "</f>
        <v xml:space="preserve">4170037254                    </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41.43</v>
      </c>
      <c r="AR500">
        <v>0</v>
      </c>
      <c r="AS500">
        <v>0</v>
      </c>
      <c r="AT500">
        <v>0</v>
      </c>
      <c r="AU500">
        <v>0</v>
      </c>
      <c r="AV500">
        <v>0</v>
      </c>
      <c r="AW500">
        <v>0</v>
      </c>
      <c r="AX500">
        <v>0</v>
      </c>
      <c r="AY500">
        <v>0</v>
      </c>
      <c r="AZ500">
        <v>0</v>
      </c>
      <c r="BA500">
        <v>0</v>
      </c>
      <c r="BB500">
        <v>0</v>
      </c>
      <c r="BC500">
        <v>0</v>
      </c>
      <c r="BD500">
        <v>0</v>
      </c>
      <c r="BE500">
        <v>0</v>
      </c>
      <c r="BF500">
        <v>0</v>
      </c>
      <c r="BG500">
        <v>0</v>
      </c>
      <c r="BH500">
        <v>1</v>
      </c>
      <c r="BI500">
        <v>2</v>
      </c>
      <c r="BJ500">
        <v>1.4</v>
      </c>
      <c r="BK500">
        <v>2</v>
      </c>
      <c r="BL500">
        <v>135.59</v>
      </c>
      <c r="BM500">
        <v>20.34</v>
      </c>
      <c r="BN500">
        <v>155.93</v>
      </c>
      <c r="BO500">
        <v>155.93</v>
      </c>
      <c r="BQ500" t="s">
        <v>675</v>
      </c>
      <c r="BR500" t="s">
        <v>84</v>
      </c>
      <c r="BS500" s="3">
        <v>45785</v>
      </c>
      <c r="BT500" s="4">
        <v>0.45</v>
      </c>
      <c r="BU500" t="s">
        <v>702</v>
      </c>
      <c r="BV500" t="s">
        <v>86</v>
      </c>
      <c r="BY500">
        <v>7000</v>
      </c>
      <c r="CA500" t="s">
        <v>1179</v>
      </c>
      <c r="CC500" t="s">
        <v>673</v>
      </c>
      <c r="CD500">
        <v>2531</v>
      </c>
      <c r="CE500" t="s">
        <v>116</v>
      </c>
      <c r="CF500" s="3">
        <v>45786</v>
      </c>
      <c r="CI500">
        <v>1</v>
      </c>
      <c r="CJ500">
        <v>1</v>
      </c>
      <c r="CK500">
        <v>23</v>
      </c>
      <c r="CL500" t="s">
        <v>89</v>
      </c>
    </row>
    <row r="501" spans="1:90" x14ac:dyDescent="0.3">
      <c r="A501" t="s">
        <v>72</v>
      </c>
      <c r="B501" t="s">
        <v>73</v>
      </c>
      <c r="C501" t="s">
        <v>74</v>
      </c>
      <c r="E501" t="str">
        <f>"080065225661"</f>
        <v>080065225661</v>
      </c>
      <c r="F501" s="3">
        <v>45784</v>
      </c>
      <c r="G501">
        <v>202602</v>
      </c>
      <c r="H501" t="s">
        <v>75</v>
      </c>
      <c r="I501" t="s">
        <v>76</v>
      </c>
      <c r="J501" t="s">
        <v>77</v>
      </c>
      <c r="K501" t="s">
        <v>78</v>
      </c>
      <c r="L501" t="s">
        <v>103</v>
      </c>
      <c r="M501" t="s">
        <v>104</v>
      </c>
      <c r="N501" t="s">
        <v>105</v>
      </c>
      <c r="O501" t="s">
        <v>82</v>
      </c>
      <c r="P501" t="str">
        <f>"4170037249                    "</f>
        <v xml:space="preserve">4170037249                    </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21.38</v>
      </c>
      <c r="AR501">
        <v>0</v>
      </c>
      <c r="AS501">
        <v>0</v>
      </c>
      <c r="AT501">
        <v>0</v>
      </c>
      <c r="AU501">
        <v>0</v>
      </c>
      <c r="AV501">
        <v>0</v>
      </c>
      <c r="AW501">
        <v>0</v>
      </c>
      <c r="AX501">
        <v>0</v>
      </c>
      <c r="AY501">
        <v>0</v>
      </c>
      <c r="AZ501">
        <v>0</v>
      </c>
      <c r="BA501">
        <v>0</v>
      </c>
      <c r="BB501">
        <v>0</v>
      </c>
      <c r="BC501">
        <v>0</v>
      </c>
      <c r="BD501">
        <v>0</v>
      </c>
      <c r="BE501">
        <v>0</v>
      </c>
      <c r="BF501">
        <v>0</v>
      </c>
      <c r="BG501">
        <v>0</v>
      </c>
      <c r="BH501">
        <v>1</v>
      </c>
      <c r="BI501">
        <v>1</v>
      </c>
      <c r="BJ501">
        <v>0.6</v>
      </c>
      <c r="BK501">
        <v>1</v>
      </c>
      <c r="BL501">
        <v>69.98</v>
      </c>
      <c r="BM501">
        <v>10.5</v>
      </c>
      <c r="BN501">
        <v>80.48</v>
      </c>
      <c r="BO501">
        <v>80.48</v>
      </c>
      <c r="BQ501" t="s">
        <v>106</v>
      </c>
      <c r="BR501" t="s">
        <v>84</v>
      </c>
      <c r="BS501" s="3">
        <v>45785</v>
      </c>
      <c r="BT501" s="4">
        <v>0.46597222222222223</v>
      </c>
      <c r="BU501" t="s">
        <v>1180</v>
      </c>
      <c r="BV501" t="s">
        <v>86</v>
      </c>
      <c r="BY501">
        <v>3192</v>
      </c>
      <c r="CC501" t="s">
        <v>104</v>
      </c>
      <c r="CD501">
        <v>3201</v>
      </c>
      <c r="CE501" t="s">
        <v>116</v>
      </c>
      <c r="CF501" s="3">
        <v>45786</v>
      </c>
      <c r="CI501">
        <v>1</v>
      </c>
      <c r="CJ501">
        <v>1</v>
      </c>
      <c r="CK501">
        <v>21</v>
      </c>
      <c r="CL501" t="s">
        <v>89</v>
      </c>
    </row>
    <row r="502" spans="1:90" x14ac:dyDescent="0.3">
      <c r="A502" t="s">
        <v>72</v>
      </c>
      <c r="B502" t="s">
        <v>73</v>
      </c>
      <c r="C502" t="s">
        <v>74</v>
      </c>
      <c r="E502" t="str">
        <f>"080065225665"</f>
        <v>080065225665</v>
      </c>
      <c r="F502" s="3">
        <v>45784</v>
      </c>
      <c r="G502">
        <v>202602</v>
      </c>
      <c r="H502" t="s">
        <v>75</v>
      </c>
      <c r="I502" t="s">
        <v>76</v>
      </c>
      <c r="J502" t="s">
        <v>77</v>
      </c>
      <c r="K502" t="s">
        <v>78</v>
      </c>
      <c r="L502" t="s">
        <v>130</v>
      </c>
      <c r="M502" t="s">
        <v>131</v>
      </c>
      <c r="N502" t="s">
        <v>1181</v>
      </c>
      <c r="O502" t="s">
        <v>82</v>
      </c>
      <c r="P502" t="str">
        <f>"4170037253                    "</f>
        <v xml:space="preserve">4170037253                    </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21.38</v>
      </c>
      <c r="AR502">
        <v>0</v>
      </c>
      <c r="AS502">
        <v>0</v>
      </c>
      <c r="AT502">
        <v>0</v>
      </c>
      <c r="AU502">
        <v>0</v>
      </c>
      <c r="AV502">
        <v>0</v>
      </c>
      <c r="AW502">
        <v>0</v>
      </c>
      <c r="AX502">
        <v>0</v>
      </c>
      <c r="AY502">
        <v>0</v>
      </c>
      <c r="AZ502">
        <v>0</v>
      </c>
      <c r="BA502">
        <v>0</v>
      </c>
      <c r="BB502">
        <v>0</v>
      </c>
      <c r="BC502">
        <v>0</v>
      </c>
      <c r="BD502">
        <v>0</v>
      </c>
      <c r="BE502">
        <v>0</v>
      </c>
      <c r="BF502">
        <v>0</v>
      </c>
      <c r="BG502">
        <v>0</v>
      </c>
      <c r="BH502">
        <v>1</v>
      </c>
      <c r="BI502">
        <v>1</v>
      </c>
      <c r="BJ502">
        <v>0.6</v>
      </c>
      <c r="BK502">
        <v>1</v>
      </c>
      <c r="BL502">
        <v>69.98</v>
      </c>
      <c r="BM502">
        <v>10.5</v>
      </c>
      <c r="BN502">
        <v>80.48</v>
      </c>
      <c r="BO502">
        <v>80.48</v>
      </c>
      <c r="BQ502" t="s">
        <v>1182</v>
      </c>
      <c r="BR502" t="s">
        <v>84</v>
      </c>
      <c r="BS502" s="3">
        <v>45785</v>
      </c>
      <c r="BT502" s="4">
        <v>0.3527777777777778</v>
      </c>
      <c r="BU502" t="s">
        <v>1183</v>
      </c>
      <c r="BV502" t="s">
        <v>86</v>
      </c>
      <c r="BY502">
        <v>3192</v>
      </c>
      <c r="CA502" t="s">
        <v>712</v>
      </c>
      <c r="CC502" t="s">
        <v>131</v>
      </c>
      <c r="CD502">
        <v>7530</v>
      </c>
      <c r="CE502" t="s">
        <v>116</v>
      </c>
      <c r="CF502" s="3">
        <v>45786</v>
      </c>
      <c r="CI502">
        <v>1</v>
      </c>
      <c r="CJ502">
        <v>1</v>
      </c>
      <c r="CK502">
        <v>21</v>
      </c>
      <c r="CL502" t="s">
        <v>89</v>
      </c>
    </row>
    <row r="503" spans="1:90" x14ac:dyDescent="0.3">
      <c r="A503" t="s">
        <v>72</v>
      </c>
      <c r="B503" t="s">
        <v>73</v>
      </c>
      <c r="C503" t="s">
        <v>74</v>
      </c>
      <c r="E503" t="str">
        <f>"080065226683"</f>
        <v>080065226683</v>
      </c>
      <c r="F503" s="3">
        <v>45784</v>
      </c>
      <c r="G503">
        <v>202602</v>
      </c>
      <c r="H503" t="s">
        <v>75</v>
      </c>
      <c r="I503" t="s">
        <v>76</v>
      </c>
      <c r="J503" t="s">
        <v>77</v>
      </c>
      <c r="K503" t="s">
        <v>78</v>
      </c>
      <c r="L503" t="s">
        <v>215</v>
      </c>
      <c r="M503" t="s">
        <v>216</v>
      </c>
      <c r="N503" t="s">
        <v>1184</v>
      </c>
      <c r="O503" t="s">
        <v>82</v>
      </c>
      <c r="P503" t="str">
        <f>"4170037238                    "</f>
        <v xml:space="preserve">4170037238                    </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41.43</v>
      </c>
      <c r="AR503">
        <v>0</v>
      </c>
      <c r="AS503">
        <v>0</v>
      </c>
      <c r="AT503">
        <v>0</v>
      </c>
      <c r="AU503">
        <v>0</v>
      </c>
      <c r="AV503">
        <v>0</v>
      </c>
      <c r="AW503">
        <v>0</v>
      </c>
      <c r="AX503">
        <v>0</v>
      </c>
      <c r="AY503">
        <v>0</v>
      </c>
      <c r="AZ503">
        <v>0</v>
      </c>
      <c r="BA503">
        <v>0</v>
      </c>
      <c r="BB503">
        <v>0</v>
      </c>
      <c r="BC503">
        <v>0</v>
      </c>
      <c r="BD503">
        <v>0</v>
      </c>
      <c r="BE503">
        <v>0</v>
      </c>
      <c r="BF503">
        <v>0</v>
      </c>
      <c r="BG503">
        <v>0</v>
      </c>
      <c r="BH503">
        <v>1</v>
      </c>
      <c r="BI503">
        <v>1</v>
      </c>
      <c r="BJ503">
        <v>0.2</v>
      </c>
      <c r="BK503">
        <v>1</v>
      </c>
      <c r="BL503">
        <v>135.59</v>
      </c>
      <c r="BM503">
        <v>20.34</v>
      </c>
      <c r="BN503">
        <v>155.93</v>
      </c>
      <c r="BO503">
        <v>155.93</v>
      </c>
      <c r="BQ503" t="s">
        <v>218</v>
      </c>
      <c r="BR503" t="s">
        <v>84</v>
      </c>
      <c r="BS503" s="3">
        <v>45785</v>
      </c>
      <c r="BT503" s="4">
        <v>0.5541666666666667</v>
      </c>
      <c r="BU503" t="s">
        <v>219</v>
      </c>
      <c r="BV503" t="s">
        <v>86</v>
      </c>
      <c r="BY503">
        <v>1200</v>
      </c>
      <c r="CA503" t="s">
        <v>220</v>
      </c>
      <c r="CC503" t="s">
        <v>216</v>
      </c>
      <c r="CD503">
        <v>4449</v>
      </c>
      <c r="CE503" t="s">
        <v>88</v>
      </c>
      <c r="CF503" s="3">
        <v>45786</v>
      </c>
      <c r="CI503">
        <v>1</v>
      </c>
      <c r="CJ503">
        <v>1</v>
      </c>
      <c r="CK503">
        <v>23</v>
      </c>
      <c r="CL503" t="s">
        <v>89</v>
      </c>
    </row>
    <row r="504" spans="1:90" x14ac:dyDescent="0.3">
      <c r="A504" t="s">
        <v>72</v>
      </c>
      <c r="B504" t="s">
        <v>73</v>
      </c>
      <c r="C504" t="s">
        <v>74</v>
      </c>
      <c r="E504" t="str">
        <f>"080065226758"</f>
        <v>080065226758</v>
      </c>
      <c r="F504" s="3">
        <v>45784</v>
      </c>
      <c r="G504">
        <v>202602</v>
      </c>
      <c r="H504" t="s">
        <v>75</v>
      </c>
      <c r="I504" t="s">
        <v>76</v>
      </c>
      <c r="J504" t="s">
        <v>77</v>
      </c>
      <c r="K504" t="s">
        <v>78</v>
      </c>
      <c r="L504" t="s">
        <v>463</v>
      </c>
      <c r="M504" t="s">
        <v>464</v>
      </c>
      <c r="N504" t="s">
        <v>585</v>
      </c>
      <c r="O504" t="s">
        <v>82</v>
      </c>
      <c r="P504" t="str">
        <f>"4170037263                    "</f>
        <v xml:space="preserve">4170037263                    </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21.38</v>
      </c>
      <c r="AR504">
        <v>0</v>
      </c>
      <c r="AS504">
        <v>0</v>
      </c>
      <c r="AT504">
        <v>0</v>
      </c>
      <c r="AU504">
        <v>0</v>
      </c>
      <c r="AV504">
        <v>0</v>
      </c>
      <c r="AW504">
        <v>0</v>
      </c>
      <c r="AX504">
        <v>0</v>
      </c>
      <c r="AY504">
        <v>0</v>
      </c>
      <c r="AZ504">
        <v>0</v>
      </c>
      <c r="BA504">
        <v>0</v>
      </c>
      <c r="BB504">
        <v>0</v>
      </c>
      <c r="BC504">
        <v>0</v>
      </c>
      <c r="BD504">
        <v>0</v>
      </c>
      <c r="BE504">
        <v>0</v>
      </c>
      <c r="BF504">
        <v>0</v>
      </c>
      <c r="BG504">
        <v>0</v>
      </c>
      <c r="BH504">
        <v>1</v>
      </c>
      <c r="BI504">
        <v>1</v>
      </c>
      <c r="BJ504">
        <v>0.2</v>
      </c>
      <c r="BK504">
        <v>1</v>
      </c>
      <c r="BL504">
        <v>69.98</v>
      </c>
      <c r="BM504">
        <v>10.5</v>
      </c>
      <c r="BN504">
        <v>80.48</v>
      </c>
      <c r="BO504">
        <v>80.48</v>
      </c>
      <c r="BQ504" t="s">
        <v>586</v>
      </c>
      <c r="BR504" t="s">
        <v>84</v>
      </c>
      <c r="BS504" s="3">
        <v>45785</v>
      </c>
      <c r="BT504" s="4">
        <v>0.48819444444444443</v>
      </c>
      <c r="BU504" t="s">
        <v>587</v>
      </c>
      <c r="BV504" t="s">
        <v>89</v>
      </c>
      <c r="BY504">
        <v>1200</v>
      </c>
      <c r="CA504" t="s">
        <v>588</v>
      </c>
      <c r="CC504" t="s">
        <v>464</v>
      </c>
      <c r="CD504">
        <v>5200</v>
      </c>
      <c r="CE504" t="s">
        <v>88</v>
      </c>
      <c r="CF504" s="3">
        <v>45786</v>
      </c>
      <c r="CI504">
        <v>1</v>
      </c>
      <c r="CJ504">
        <v>1</v>
      </c>
      <c r="CK504">
        <v>21</v>
      </c>
      <c r="CL504" t="s">
        <v>89</v>
      </c>
    </row>
    <row r="505" spans="1:90" x14ac:dyDescent="0.3">
      <c r="A505" t="s">
        <v>72</v>
      </c>
      <c r="B505" t="s">
        <v>73</v>
      </c>
      <c r="C505" t="s">
        <v>74</v>
      </c>
      <c r="E505" t="str">
        <f>"080065226793"</f>
        <v>080065226793</v>
      </c>
      <c r="F505" s="3">
        <v>45784</v>
      </c>
      <c r="G505">
        <v>202602</v>
      </c>
      <c r="H505" t="s">
        <v>75</v>
      </c>
      <c r="I505" t="s">
        <v>76</v>
      </c>
      <c r="J505" t="s">
        <v>77</v>
      </c>
      <c r="K505" t="s">
        <v>78</v>
      </c>
      <c r="L505" t="s">
        <v>331</v>
      </c>
      <c r="M505" t="s">
        <v>332</v>
      </c>
      <c r="N505" t="s">
        <v>499</v>
      </c>
      <c r="O505" t="s">
        <v>82</v>
      </c>
      <c r="P505" t="str">
        <f>"4170037261                    "</f>
        <v xml:space="preserve">4170037261                    </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16.7</v>
      </c>
      <c r="AR505">
        <v>0</v>
      </c>
      <c r="AS505">
        <v>0</v>
      </c>
      <c r="AT505">
        <v>0</v>
      </c>
      <c r="AU505">
        <v>0</v>
      </c>
      <c r="AV505">
        <v>0</v>
      </c>
      <c r="AW505">
        <v>0</v>
      </c>
      <c r="AX505">
        <v>0</v>
      </c>
      <c r="AY505">
        <v>0</v>
      </c>
      <c r="AZ505">
        <v>0</v>
      </c>
      <c r="BA505">
        <v>0</v>
      </c>
      <c r="BB505">
        <v>0</v>
      </c>
      <c r="BC505">
        <v>0</v>
      </c>
      <c r="BD505">
        <v>0</v>
      </c>
      <c r="BE505">
        <v>0</v>
      </c>
      <c r="BF505">
        <v>0</v>
      </c>
      <c r="BG505">
        <v>0</v>
      </c>
      <c r="BH505">
        <v>1</v>
      </c>
      <c r="BI505">
        <v>1</v>
      </c>
      <c r="BJ505">
        <v>0.2</v>
      </c>
      <c r="BK505">
        <v>1</v>
      </c>
      <c r="BL505">
        <v>54.66</v>
      </c>
      <c r="BM505">
        <v>8.1999999999999993</v>
      </c>
      <c r="BN505">
        <v>62.86</v>
      </c>
      <c r="BO505">
        <v>62.86</v>
      </c>
      <c r="BQ505" t="s">
        <v>500</v>
      </c>
      <c r="BR505" t="s">
        <v>84</v>
      </c>
      <c r="BS505" s="3">
        <v>45785</v>
      </c>
      <c r="BT505" s="4">
        <v>0.38958333333333334</v>
      </c>
      <c r="BU505" t="s">
        <v>1185</v>
      </c>
      <c r="BV505" t="s">
        <v>86</v>
      </c>
      <c r="BY505">
        <v>1200</v>
      </c>
      <c r="CA505" t="s">
        <v>336</v>
      </c>
      <c r="CC505" t="s">
        <v>332</v>
      </c>
      <c r="CD505">
        <v>1451</v>
      </c>
      <c r="CE505" t="s">
        <v>88</v>
      </c>
      <c r="CF505" s="3">
        <v>45785</v>
      </c>
      <c r="CI505">
        <v>1</v>
      </c>
      <c r="CJ505">
        <v>1</v>
      </c>
      <c r="CK505">
        <v>22</v>
      </c>
      <c r="CL505" t="s">
        <v>89</v>
      </c>
    </row>
    <row r="506" spans="1:90" x14ac:dyDescent="0.3">
      <c r="A506" t="s">
        <v>72</v>
      </c>
      <c r="B506" t="s">
        <v>73</v>
      </c>
      <c r="C506" t="s">
        <v>74</v>
      </c>
      <c r="E506" t="str">
        <f>"080065226800"</f>
        <v>080065226800</v>
      </c>
      <c r="F506" s="3">
        <v>45784</v>
      </c>
      <c r="G506">
        <v>202602</v>
      </c>
      <c r="H506" t="s">
        <v>75</v>
      </c>
      <c r="I506" t="s">
        <v>76</v>
      </c>
      <c r="J506" t="s">
        <v>77</v>
      </c>
      <c r="K506" t="s">
        <v>78</v>
      </c>
      <c r="L506" t="s">
        <v>143</v>
      </c>
      <c r="M506" t="s">
        <v>144</v>
      </c>
      <c r="N506" t="s">
        <v>547</v>
      </c>
      <c r="O506" t="s">
        <v>82</v>
      </c>
      <c r="P506" t="str">
        <f>"4170037262                    "</f>
        <v xml:space="preserve">4170037262                    </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16.7</v>
      </c>
      <c r="AR506">
        <v>0</v>
      </c>
      <c r="AS506">
        <v>0</v>
      </c>
      <c r="AT506">
        <v>0</v>
      </c>
      <c r="AU506">
        <v>0</v>
      </c>
      <c r="AV506">
        <v>0</v>
      </c>
      <c r="AW506">
        <v>0</v>
      </c>
      <c r="AX506">
        <v>0</v>
      </c>
      <c r="AY506">
        <v>0</v>
      </c>
      <c r="AZ506">
        <v>0</v>
      </c>
      <c r="BA506">
        <v>0</v>
      </c>
      <c r="BB506">
        <v>0</v>
      </c>
      <c r="BC506">
        <v>0</v>
      </c>
      <c r="BD506">
        <v>0</v>
      </c>
      <c r="BE506">
        <v>0</v>
      </c>
      <c r="BF506">
        <v>0</v>
      </c>
      <c r="BG506">
        <v>0</v>
      </c>
      <c r="BH506">
        <v>1</v>
      </c>
      <c r="BI506">
        <v>4</v>
      </c>
      <c r="BJ506">
        <v>1.6</v>
      </c>
      <c r="BK506">
        <v>4</v>
      </c>
      <c r="BL506">
        <v>54.66</v>
      </c>
      <c r="BM506">
        <v>8.1999999999999993</v>
      </c>
      <c r="BN506">
        <v>62.86</v>
      </c>
      <c r="BO506">
        <v>62.86</v>
      </c>
      <c r="BQ506" t="s">
        <v>548</v>
      </c>
      <c r="BR506" t="s">
        <v>84</v>
      </c>
      <c r="BS506" s="3">
        <v>45785</v>
      </c>
      <c r="BT506" s="4">
        <v>0.32708333333333334</v>
      </c>
      <c r="BU506" t="s">
        <v>407</v>
      </c>
      <c r="BV506" t="s">
        <v>86</v>
      </c>
      <c r="BY506">
        <v>8208</v>
      </c>
      <c r="BZ506" t="s">
        <v>127</v>
      </c>
      <c r="CA506" t="s">
        <v>825</v>
      </c>
      <c r="CC506" t="s">
        <v>144</v>
      </c>
      <c r="CD506">
        <v>1401</v>
      </c>
      <c r="CE506" t="s">
        <v>221</v>
      </c>
      <c r="CF506" s="3">
        <v>45785</v>
      </c>
      <c r="CI506">
        <v>1</v>
      </c>
      <c r="CJ506">
        <v>1</v>
      </c>
      <c r="CK506">
        <v>22</v>
      </c>
      <c r="CL506" t="s">
        <v>89</v>
      </c>
    </row>
    <row r="507" spans="1:90" x14ac:dyDescent="0.3">
      <c r="A507" t="s">
        <v>72</v>
      </c>
      <c r="B507" t="s">
        <v>73</v>
      </c>
      <c r="C507" t="s">
        <v>74</v>
      </c>
      <c r="E507" t="str">
        <f>"080065226818"</f>
        <v>080065226818</v>
      </c>
      <c r="F507" s="3">
        <v>45784</v>
      </c>
      <c r="G507">
        <v>202602</v>
      </c>
      <c r="H507" t="s">
        <v>75</v>
      </c>
      <c r="I507" t="s">
        <v>76</v>
      </c>
      <c r="J507" t="s">
        <v>77</v>
      </c>
      <c r="K507" t="s">
        <v>78</v>
      </c>
      <c r="L507" t="s">
        <v>130</v>
      </c>
      <c r="M507" t="s">
        <v>131</v>
      </c>
      <c r="N507" t="s">
        <v>709</v>
      </c>
      <c r="O507" t="s">
        <v>82</v>
      </c>
      <c r="P507" t="str">
        <f>"4170037256                    "</f>
        <v xml:space="preserve">4170037256                    </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21.38</v>
      </c>
      <c r="AR507">
        <v>0</v>
      </c>
      <c r="AS507">
        <v>0</v>
      </c>
      <c r="AT507">
        <v>0</v>
      </c>
      <c r="AU507">
        <v>0</v>
      </c>
      <c r="AV507">
        <v>0</v>
      </c>
      <c r="AW507">
        <v>0</v>
      </c>
      <c r="AX507">
        <v>0</v>
      </c>
      <c r="AY507">
        <v>0</v>
      </c>
      <c r="AZ507">
        <v>0</v>
      </c>
      <c r="BA507">
        <v>0</v>
      </c>
      <c r="BB507">
        <v>0</v>
      </c>
      <c r="BC507">
        <v>0</v>
      </c>
      <c r="BD507">
        <v>0</v>
      </c>
      <c r="BE507">
        <v>0</v>
      </c>
      <c r="BF507">
        <v>0</v>
      </c>
      <c r="BG507">
        <v>0</v>
      </c>
      <c r="BH507">
        <v>1</v>
      </c>
      <c r="BI507">
        <v>1</v>
      </c>
      <c r="BJ507">
        <v>0.2</v>
      </c>
      <c r="BK507">
        <v>1</v>
      </c>
      <c r="BL507">
        <v>69.98</v>
      </c>
      <c r="BM507">
        <v>10.5</v>
      </c>
      <c r="BN507">
        <v>80.48</v>
      </c>
      <c r="BO507">
        <v>80.48</v>
      </c>
      <c r="BQ507" t="s">
        <v>710</v>
      </c>
      <c r="BR507" t="s">
        <v>84</v>
      </c>
      <c r="BS507" s="3">
        <v>45785</v>
      </c>
      <c r="BT507" s="4">
        <v>0.33333333333333331</v>
      </c>
      <c r="BU507" t="s">
        <v>711</v>
      </c>
      <c r="BV507" t="s">
        <v>86</v>
      </c>
      <c r="BY507">
        <v>1200</v>
      </c>
      <c r="CA507" t="s">
        <v>712</v>
      </c>
      <c r="CC507" t="s">
        <v>131</v>
      </c>
      <c r="CD507">
        <v>7530</v>
      </c>
      <c r="CE507" t="s">
        <v>88</v>
      </c>
      <c r="CF507" s="3">
        <v>45786</v>
      </c>
      <c r="CI507">
        <v>1</v>
      </c>
      <c r="CJ507">
        <v>1</v>
      </c>
      <c r="CK507">
        <v>21</v>
      </c>
      <c r="CL507" t="s">
        <v>89</v>
      </c>
    </row>
    <row r="508" spans="1:90" x14ac:dyDescent="0.3">
      <c r="A508" t="s">
        <v>72</v>
      </c>
      <c r="B508" t="s">
        <v>73</v>
      </c>
      <c r="C508" t="s">
        <v>74</v>
      </c>
      <c r="E508" t="str">
        <f>"080065226832"</f>
        <v>080065226832</v>
      </c>
      <c r="F508" s="3">
        <v>45784</v>
      </c>
      <c r="G508">
        <v>202602</v>
      </c>
      <c r="H508" t="s">
        <v>75</v>
      </c>
      <c r="I508" t="s">
        <v>76</v>
      </c>
      <c r="J508" t="s">
        <v>77</v>
      </c>
      <c r="K508" t="s">
        <v>78</v>
      </c>
      <c r="L508" t="s">
        <v>479</v>
      </c>
      <c r="M508" t="s">
        <v>480</v>
      </c>
      <c r="N508" t="s">
        <v>793</v>
      </c>
      <c r="O508" t="s">
        <v>82</v>
      </c>
      <c r="P508" t="str">
        <f>"4170037255                    "</f>
        <v xml:space="preserve">4170037255                    </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16.7</v>
      </c>
      <c r="AR508">
        <v>0</v>
      </c>
      <c r="AS508">
        <v>0</v>
      </c>
      <c r="AT508">
        <v>0</v>
      </c>
      <c r="AU508">
        <v>0</v>
      </c>
      <c r="AV508">
        <v>0</v>
      </c>
      <c r="AW508">
        <v>0</v>
      </c>
      <c r="AX508">
        <v>0</v>
      </c>
      <c r="AY508">
        <v>0</v>
      </c>
      <c r="AZ508">
        <v>0</v>
      </c>
      <c r="BA508">
        <v>0</v>
      </c>
      <c r="BB508">
        <v>0</v>
      </c>
      <c r="BC508">
        <v>0</v>
      </c>
      <c r="BD508">
        <v>0</v>
      </c>
      <c r="BE508">
        <v>0</v>
      </c>
      <c r="BF508">
        <v>0</v>
      </c>
      <c r="BG508">
        <v>0</v>
      </c>
      <c r="BH508">
        <v>1</v>
      </c>
      <c r="BI508">
        <v>1</v>
      </c>
      <c r="BJ508">
        <v>1.2</v>
      </c>
      <c r="BK508">
        <v>2</v>
      </c>
      <c r="BL508">
        <v>54.66</v>
      </c>
      <c r="BM508">
        <v>8.1999999999999993</v>
      </c>
      <c r="BN508">
        <v>62.86</v>
      </c>
      <c r="BO508">
        <v>62.86</v>
      </c>
      <c r="BQ508" t="s">
        <v>794</v>
      </c>
      <c r="BR508" t="s">
        <v>84</v>
      </c>
      <c r="BS508" s="3">
        <v>45785</v>
      </c>
      <c r="BT508" s="4">
        <v>0.46111111111111114</v>
      </c>
      <c r="BU508" t="s">
        <v>1142</v>
      </c>
      <c r="BV508" t="s">
        <v>89</v>
      </c>
      <c r="BW508" t="s">
        <v>148</v>
      </c>
      <c r="BX508" t="s">
        <v>1143</v>
      </c>
      <c r="BY508">
        <v>6048</v>
      </c>
      <c r="CC508" t="s">
        <v>480</v>
      </c>
      <c r="CD508">
        <v>2163</v>
      </c>
      <c r="CE508" t="s">
        <v>221</v>
      </c>
      <c r="CF508" s="3">
        <v>45786</v>
      </c>
      <c r="CI508">
        <v>1</v>
      </c>
      <c r="CJ508">
        <v>1</v>
      </c>
      <c r="CK508">
        <v>22</v>
      </c>
      <c r="CL508" t="s">
        <v>89</v>
      </c>
    </row>
    <row r="509" spans="1:90" x14ac:dyDescent="0.3">
      <c r="A509" t="s">
        <v>72</v>
      </c>
      <c r="B509" t="s">
        <v>73</v>
      </c>
      <c r="C509" t="s">
        <v>74</v>
      </c>
      <c r="E509" t="str">
        <f>"080065226857"</f>
        <v>080065226857</v>
      </c>
      <c r="F509" s="3">
        <v>45784</v>
      </c>
      <c r="G509">
        <v>202602</v>
      </c>
      <c r="H509" t="s">
        <v>75</v>
      </c>
      <c r="I509" t="s">
        <v>76</v>
      </c>
      <c r="J509" t="s">
        <v>77</v>
      </c>
      <c r="K509" t="s">
        <v>78</v>
      </c>
      <c r="L509" t="s">
        <v>350</v>
      </c>
      <c r="M509" t="s">
        <v>351</v>
      </c>
      <c r="N509" t="s">
        <v>1186</v>
      </c>
      <c r="O509" t="s">
        <v>82</v>
      </c>
      <c r="P509" t="str">
        <f>"4170037260                    "</f>
        <v xml:space="preserve">4170037260                    </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21.38</v>
      </c>
      <c r="AR509">
        <v>0</v>
      </c>
      <c r="AS509">
        <v>0</v>
      </c>
      <c r="AT509">
        <v>0</v>
      </c>
      <c r="AU509">
        <v>0</v>
      </c>
      <c r="AV509">
        <v>0</v>
      </c>
      <c r="AW509">
        <v>0</v>
      </c>
      <c r="AX509">
        <v>0</v>
      </c>
      <c r="AY509">
        <v>0</v>
      </c>
      <c r="AZ509">
        <v>0</v>
      </c>
      <c r="BA509">
        <v>0</v>
      </c>
      <c r="BB509">
        <v>0</v>
      </c>
      <c r="BC509">
        <v>0</v>
      </c>
      <c r="BD509">
        <v>0</v>
      </c>
      <c r="BE509">
        <v>0</v>
      </c>
      <c r="BF509">
        <v>0</v>
      </c>
      <c r="BG509">
        <v>0</v>
      </c>
      <c r="BH509">
        <v>1</v>
      </c>
      <c r="BI509">
        <v>1</v>
      </c>
      <c r="BJ509">
        <v>0.2</v>
      </c>
      <c r="BK509">
        <v>1</v>
      </c>
      <c r="BL509">
        <v>69.98</v>
      </c>
      <c r="BM509">
        <v>10.5</v>
      </c>
      <c r="BN509">
        <v>80.48</v>
      </c>
      <c r="BO509">
        <v>80.48</v>
      </c>
      <c r="BQ509" t="s">
        <v>1187</v>
      </c>
      <c r="BR509" t="s">
        <v>84</v>
      </c>
      <c r="BS509" s="3">
        <v>45785</v>
      </c>
      <c r="BT509" s="4">
        <v>0.41041666666666665</v>
      </c>
      <c r="BU509" t="s">
        <v>1188</v>
      </c>
      <c r="BV509" t="s">
        <v>86</v>
      </c>
      <c r="BY509">
        <v>1200</v>
      </c>
      <c r="CA509" t="s">
        <v>1085</v>
      </c>
      <c r="CC509" t="s">
        <v>351</v>
      </c>
      <c r="CD509">
        <v>4001</v>
      </c>
      <c r="CE509" t="s">
        <v>88</v>
      </c>
      <c r="CF509" s="3">
        <v>45786</v>
      </c>
      <c r="CI509">
        <v>1</v>
      </c>
      <c r="CJ509">
        <v>1</v>
      </c>
      <c r="CK509">
        <v>21</v>
      </c>
      <c r="CL509" t="s">
        <v>89</v>
      </c>
    </row>
    <row r="510" spans="1:90" x14ac:dyDescent="0.3">
      <c r="A510" t="s">
        <v>72</v>
      </c>
      <c r="B510" t="s">
        <v>73</v>
      </c>
      <c r="C510" t="s">
        <v>74</v>
      </c>
      <c r="E510" t="str">
        <f>"080065227664"</f>
        <v>080065227664</v>
      </c>
      <c r="F510" s="3">
        <v>45784</v>
      </c>
      <c r="G510">
        <v>202602</v>
      </c>
      <c r="H510" t="s">
        <v>75</v>
      </c>
      <c r="I510" t="s">
        <v>76</v>
      </c>
      <c r="J510" t="s">
        <v>77</v>
      </c>
      <c r="K510" t="s">
        <v>78</v>
      </c>
      <c r="L510" t="s">
        <v>117</v>
      </c>
      <c r="M510" t="s">
        <v>118</v>
      </c>
      <c r="N510" t="s">
        <v>1189</v>
      </c>
      <c r="O510" t="s">
        <v>82</v>
      </c>
      <c r="P510" t="str">
        <f>"4170037265                    "</f>
        <v xml:space="preserve">4170037265                    </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16.7</v>
      </c>
      <c r="AR510">
        <v>0</v>
      </c>
      <c r="AS510">
        <v>0</v>
      </c>
      <c r="AT510">
        <v>0</v>
      </c>
      <c r="AU510">
        <v>0</v>
      </c>
      <c r="AV510">
        <v>0</v>
      </c>
      <c r="AW510">
        <v>0</v>
      </c>
      <c r="AX510">
        <v>0</v>
      </c>
      <c r="AY510">
        <v>0</v>
      </c>
      <c r="AZ510">
        <v>0</v>
      </c>
      <c r="BA510">
        <v>0</v>
      </c>
      <c r="BB510">
        <v>0</v>
      </c>
      <c r="BC510">
        <v>0</v>
      </c>
      <c r="BD510">
        <v>0</v>
      </c>
      <c r="BE510">
        <v>0</v>
      </c>
      <c r="BF510">
        <v>0</v>
      </c>
      <c r="BG510">
        <v>0</v>
      </c>
      <c r="BH510">
        <v>1</v>
      </c>
      <c r="BI510">
        <v>1</v>
      </c>
      <c r="BJ510">
        <v>0.2</v>
      </c>
      <c r="BK510">
        <v>1</v>
      </c>
      <c r="BL510">
        <v>54.66</v>
      </c>
      <c r="BM510">
        <v>8.1999999999999993</v>
      </c>
      <c r="BN510">
        <v>62.86</v>
      </c>
      <c r="BO510">
        <v>62.86</v>
      </c>
      <c r="BQ510" t="s">
        <v>1190</v>
      </c>
      <c r="BR510" t="s">
        <v>84</v>
      </c>
      <c r="BS510" s="3">
        <v>45785</v>
      </c>
      <c r="BT510" s="4">
        <v>0.46527777777777779</v>
      </c>
      <c r="BU510" t="s">
        <v>1191</v>
      </c>
      <c r="BV510" t="s">
        <v>89</v>
      </c>
      <c r="BW510" t="s">
        <v>148</v>
      </c>
      <c r="BX510" t="s">
        <v>760</v>
      </c>
      <c r="BY510">
        <v>1200</v>
      </c>
      <c r="CA510" t="s">
        <v>1192</v>
      </c>
      <c r="CC510" t="s">
        <v>118</v>
      </c>
      <c r="CD510">
        <v>2169</v>
      </c>
      <c r="CE510" t="s">
        <v>1193</v>
      </c>
      <c r="CF510" s="3">
        <v>45786</v>
      </c>
      <c r="CI510">
        <v>1</v>
      </c>
      <c r="CJ510">
        <v>1</v>
      </c>
      <c r="CK510">
        <v>22</v>
      </c>
      <c r="CL510" t="s">
        <v>89</v>
      </c>
    </row>
    <row r="511" spans="1:90" x14ac:dyDescent="0.3">
      <c r="A511" t="s">
        <v>72</v>
      </c>
      <c r="B511" t="s">
        <v>73</v>
      </c>
      <c r="C511" t="s">
        <v>74</v>
      </c>
      <c r="E511" t="str">
        <f>"080065227697"</f>
        <v>080065227697</v>
      </c>
      <c r="F511" s="3">
        <v>45784</v>
      </c>
      <c r="G511">
        <v>202602</v>
      </c>
      <c r="H511" t="s">
        <v>75</v>
      </c>
      <c r="I511" t="s">
        <v>76</v>
      </c>
      <c r="J511" t="s">
        <v>77</v>
      </c>
      <c r="K511" t="s">
        <v>78</v>
      </c>
      <c r="L511" t="s">
        <v>75</v>
      </c>
      <c r="M511" t="s">
        <v>76</v>
      </c>
      <c r="N511" t="s">
        <v>601</v>
      </c>
      <c r="O511" t="s">
        <v>82</v>
      </c>
      <c r="P511" t="str">
        <f>"4170037258                    "</f>
        <v xml:space="preserve">4170037258                    </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16.7</v>
      </c>
      <c r="AR511">
        <v>0</v>
      </c>
      <c r="AS511">
        <v>0</v>
      </c>
      <c r="AT511">
        <v>0</v>
      </c>
      <c r="AU511">
        <v>0</v>
      </c>
      <c r="AV511">
        <v>0</v>
      </c>
      <c r="AW511">
        <v>0</v>
      </c>
      <c r="AX511">
        <v>0</v>
      </c>
      <c r="AY511">
        <v>0</v>
      </c>
      <c r="AZ511">
        <v>0</v>
      </c>
      <c r="BA511">
        <v>0</v>
      </c>
      <c r="BB511">
        <v>0</v>
      </c>
      <c r="BC511">
        <v>0</v>
      </c>
      <c r="BD511">
        <v>0</v>
      </c>
      <c r="BE511">
        <v>0</v>
      </c>
      <c r="BF511">
        <v>0</v>
      </c>
      <c r="BG511">
        <v>0</v>
      </c>
      <c r="BH511">
        <v>1</v>
      </c>
      <c r="BI511">
        <v>6</v>
      </c>
      <c r="BJ511">
        <v>3.5</v>
      </c>
      <c r="BK511">
        <v>6</v>
      </c>
      <c r="BL511">
        <v>54.66</v>
      </c>
      <c r="BM511">
        <v>8.1999999999999993</v>
      </c>
      <c r="BN511">
        <v>62.86</v>
      </c>
      <c r="BO511">
        <v>62.86</v>
      </c>
      <c r="BQ511" t="s">
        <v>603</v>
      </c>
      <c r="BR511" t="s">
        <v>84</v>
      </c>
      <c r="BS511" s="3">
        <v>45785</v>
      </c>
      <c r="BT511" s="4">
        <v>0.36458333333333331</v>
      </c>
      <c r="BU511" t="s">
        <v>604</v>
      </c>
      <c r="BV511" t="s">
        <v>86</v>
      </c>
      <c r="BY511">
        <v>17280</v>
      </c>
      <c r="CA511" t="s">
        <v>605</v>
      </c>
      <c r="CC511" t="s">
        <v>76</v>
      </c>
      <c r="CD511">
        <v>1645</v>
      </c>
      <c r="CE511" t="s">
        <v>221</v>
      </c>
      <c r="CF511" s="3">
        <v>45786</v>
      </c>
      <c r="CI511">
        <v>1</v>
      </c>
      <c r="CJ511">
        <v>1</v>
      </c>
      <c r="CK511">
        <v>22</v>
      </c>
      <c r="CL511" t="s">
        <v>89</v>
      </c>
    </row>
    <row r="512" spans="1:90" x14ac:dyDescent="0.3">
      <c r="A512" t="s">
        <v>72</v>
      </c>
      <c r="B512" t="s">
        <v>73</v>
      </c>
      <c r="C512" t="s">
        <v>74</v>
      </c>
      <c r="E512" t="str">
        <f>"080065228965"</f>
        <v>080065228965</v>
      </c>
      <c r="F512" s="3">
        <v>45784</v>
      </c>
      <c r="G512">
        <v>202602</v>
      </c>
      <c r="H512" t="s">
        <v>75</v>
      </c>
      <c r="I512" t="s">
        <v>76</v>
      </c>
      <c r="J512" t="s">
        <v>77</v>
      </c>
      <c r="K512" t="s">
        <v>78</v>
      </c>
      <c r="L512" t="s">
        <v>320</v>
      </c>
      <c r="M512" t="s">
        <v>321</v>
      </c>
      <c r="N512" t="s">
        <v>1194</v>
      </c>
      <c r="O512" t="s">
        <v>82</v>
      </c>
      <c r="P512" t="str">
        <f>"4170037257                    "</f>
        <v xml:space="preserve">4170037257                    </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133.56</v>
      </c>
      <c r="AR512">
        <v>0</v>
      </c>
      <c r="AS512">
        <v>0</v>
      </c>
      <c r="AT512">
        <v>0</v>
      </c>
      <c r="AU512">
        <v>0</v>
      </c>
      <c r="AV512">
        <v>0</v>
      </c>
      <c r="AW512">
        <v>0</v>
      </c>
      <c r="AX512">
        <v>0</v>
      </c>
      <c r="AY512">
        <v>0</v>
      </c>
      <c r="AZ512">
        <v>0</v>
      </c>
      <c r="BA512">
        <v>0</v>
      </c>
      <c r="BB512">
        <v>0</v>
      </c>
      <c r="BC512">
        <v>0</v>
      </c>
      <c r="BD512">
        <v>0</v>
      </c>
      <c r="BE512">
        <v>0</v>
      </c>
      <c r="BF512">
        <v>0</v>
      </c>
      <c r="BG512">
        <v>0</v>
      </c>
      <c r="BH512">
        <v>3</v>
      </c>
      <c r="BI512">
        <v>9</v>
      </c>
      <c r="BJ512">
        <v>12.5</v>
      </c>
      <c r="BK512">
        <v>12.5</v>
      </c>
      <c r="BL512">
        <v>437.1</v>
      </c>
      <c r="BM512">
        <v>65.569999999999993</v>
      </c>
      <c r="BN512">
        <v>502.67</v>
      </c>
      <c r="BO512">
        <v>502.67</v>
      </c>
      <c r="BQ512" t="s">
        <v>1195</v>
      </c>
      <c r="BR512" t="s">
        <v>84</v>
      </c>
      <c r="BS512" s="3">
        <v>45785</v>
      </c>
      <c r="BT512" s="4">
        <v>0.7583333333333333</v>
      </c>
      <c r="BU512" t="s">
        <v>1196</v>
      </c>
      <c r="BV512" t="s">
        <v>89</v>
      </c>
      <c r="BW512" t="s">
        <v>296</v>
      </c>
      <c r="BX512" t="s">
        <v>325</v>
      </c>
      <c r="BY512">
        <v>20776</v>
      </c>
      <c r="CA512" t="s">
        <v>326</v>
      </c>
      <c r="CC512" t="s">
        <v>321</v>
      </c>
      <c r="CD512">
        <v>4113</v>
      </c>
      <c r="CE512" t="s">
        <v>576</v>
      </c>
      <c r="CF512" s="3">
        <v>45786</v>
      </c>
      <c r="CI512">
        <v>1</v>
      </c>
      <c r="CJ512">
        <v>1</v>
      </c>
      <c r="CK512">
        <v>21</v>
      </c>
      <c r="CL512" t="s">
        <v>89</v>
      </c>
    </row>
    <row r="513" spans="1:90" x14ac:dyDescent="0.3">
      <c r="A513" t="s">
        <v>72</v>
      </c>
      <c r="B513" t="s">
        <v>73</v>
      </c>
      <c r="C513" t="s">
        <v>74</v>
      </c>
      <c r="E513" t="str">
        <f>"080065229187"</f>
        <v>080065229187</v>
      </c>
      <c r="F513" s="3">
        <v>45784</v>
      </c>
      <c r="G513">
        <v>202602</v>
      </c>
      <c r="H513" t="s">
        <v>75</v>
      </c>
      <c r="I513" t="s">
        <v>76</v>
      </c>
      <c r="J513" t="s">
        <v>77</v>
      </c>
      <c r="K513" t="s">
        <v>78</v>
      </c>
      <c r="L513" t="s">
        <v>97</v>
      </c>
      <c r="M513" t="s">
        <v>98</v>
      </c>
      <c r="N513" t="s">
        <v>284</v>
      </c>
      <c r="O513" t="s">
        <v>82</v>
      </c>
      <c r="P513" t="str">
        <f>"4170037269                    "</f>
        <v xml:space="preserve">4170037269                    </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16.7</v>
      </c>
      <c r="AR513">
        <v>0</v>
      </c>
      <c r="AS513">
        <v>0</v>
      </c>
      <c r="AT513">
        <v>0</v>
      </c>
      <c r="AU513">
        <v>0</v>
      </c>
      <c r="AV513">
        <v>0</v>
      </c>
      <c r="AW513">
        <v>0</v>
      </c>
      <c r="AX513">
        <v>0</v>
      </c>
      <c r="AY513">
        <v>0</v>
      </c>
      <c r="AZ513">
        <v>0</v>
      </c>
      <c r="BA513">
        <v>0</v>
      </c>
      <c r="BB513">
        <v>0</v>
      </c>
      <c r="BC513">
        <v>0</v>
      </c>
      <c r="BD513">
        <v>0</v>
      </c>
      <c r="BE513">
        <v>0</v>
      </c>
      <c r="BF513">
        <v>0</v>
      </c>
      <c r="BG513">
        <v>0</v>
      </c>
      <c r="BH513">
        <v>1</v>
      </c>
      <c r="BI513">
        <v>3</v>
      </c>
      <c r="BJ513">
        <v>1.4</v>
      </c>
      <c r="BK513">
        <v>3</v>
      </c>
      <c r="BL513">
        <v>54.66</v>
      </c>
      <c r="BM513">
        <v>8.1999999999999993</v>
      </c>
      <c r="BN513">
        <v>62.86</v>
      </c>
      <c r="BO513">
        <v>62.86</v>
      </c>
      <c r="BQ513" t="s">
        <v>285</v>
      </c>
      <c r="BR513" t="s">
        <v>84</v>
      </c>
      <c r="BS513" s="3">
        <v>45785</v>
      </c>
      <c r="BT513" s="4">
        <v>0.3298611111111111</v>
      </c>
      <c r="BU513" t="s">
        <v>1197</v>
      </c>
      <c r="BV513" t="s">
        <v>86</v>
      </c>
      <c r="BY513">
        <v>7098</v>
      </c>
      <c r="CA513" t="s">
        <v>279</v>
      </c>
      <c r="CC513" t="s">
        <v>98</v>
      </c>
      <c r="CD513">
        <v>1459</v>
      </c>
      <c r="CE513" t="s">
        <v>221</v>
      </c>
      <c r="CF513" s="3">
        <v>45785</v>
      </c>
      <c r="CI513">
        <v>1</v>
      </c>
      <c r="CJ513">
        <v>1</v>
      </c>
      <c r="CK513">
        <v>22</v>
      </c>
      <c r="CL513" t="s">
        <v>89</v>
      </c>
    </row>
    <row r="514" spans="1:90" x14ac:dyDescent="0.3">
      <c r="A514" t="s">
        <v>72</v>
      </c>
      <c r="B514" t="s">
        <v>73</v>
      </c>
      <c r="C514" t="s">
        <v>74</v>
      </c>
      <c r="E514" t="str">
        <f>"080065229201"</f>
        <v>080065229201</v>
      </c>
      <c r="F514" s="3">
        <v>45784</v>
      </c>
      <c r="G514">
        <v>202602</v>
      </c>
      <c r="H514" t="s">
        <v>75</v>
      </c>
      <c r="I514" t="s">
        <v>76</v>
      </c>
      <c r="J514" t="s">
        <v>77</v>
      </c>
      <c r="K514" t="s">
        <v>78</v>
      </c>
      <c r="L514" t="s">
        <v>90</v>
      </c>
      <c r="M514" t="s">
        <v>91</v>
      </c>
      <c r="N514" t="s">
        <v>748</v>
      </c>
      <c r="O514" t="s">
        <v>300</v>
      </c>
      <c r="P514" t="str">
        <f>"4170037266                    "</f>
        <v xml:space="preserve">4170037266                    </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70.37</v>
      </c>
      <c r="AR514">
        <v>0</v>
      </c>
      <c r="AS514">
        <v>0</v>
      </c>
      <c r="AT514">
        <v>0</v>
      </c>
      <c r="AU514">
        <v>0</v>
      </c>
      <c r="AV514">
        <v>0</v>
      </c>
      <c r="AW514">
        <v>0</v>
      </c>
      <c r="AX514">
        <v>0</v>
      </c>
      <c r="AY514">
        <v>0</v>
      </c>
      <c r="AZ514">
        <v>0</v>
      </c>
      <c r="BA514">
        <v>0</v>
      </c>
      <c r="BB514">
        <v>0</v>
      </c>
      <c r="BC514">
        <v>0</v>
      </c>
      <c r="BD514">
        <v>0</v>
      </c>
      <c r="BE514">
        <v>0</v>
      </c>
      <c r="BF514">
        <v>0</v>
      </c>
      <c r="BG514">
        <v>0</v>
      </c>
      <c r="BH514">
        <v>1</v>
      </c>
      <c r="BI514">
        <v>16</v>
      </c>
      <c r="BJ514">
        <v>31.6</v>
      </c>
      <c r="BK514">
        <v>32</v>
      </c>
      <c r="BL514">
        <v>235.88</v>
      </c>
      <c r="BM514">
        <v>35.380000000000003</v>
      </c>
      <c r="BN514">
        <v>271.26</v>
      </c>
      <c r="BO514">
        <v>271.26</v>
      </c>
      <c r="BQ514" t="s">
        <v>1198</v>
      </c>
      <c r="BR514" t="s">
        <v>84</v>
      </c>
      <c r="BS514" s="3">
        <v>45786</v>
      </c>
      <c r="BT514" s="4">
        <v>0.47222222222222221</v>
      </c>
      <c r="BU514" t="s">
        <v>1199</v>
      </c>
      <c r="BV514" t="s">
        <v>86</v>
      </c>
      <c r="BY514">
        <v>157920</v>
      </c>
      <c r="CA514" t="s">
        <v>1200</v>
      </c>
      <c r="CC514" t="s">
        <v>91</v>
      </c>
      <c r="CD514">
        <v>6045</v>
      </c>
      <c r="CE514" t="s">
        <v>176</v>
      </c>
      <c r="CF514" s="3">
        <v>45786</v>
      </c>
      <c r="CI514">
        <v>3</v>
      </c>
      <c r="CJ514">
        <v>2</v>
      </c>
      <c r="CK514">
        <v>41</v>
      </c>
      <c r="CL514" t="s">
        <v>89</v>
      </c>
    </row>
    <row r="515" spans="1:90" x14ac:dyDescent="0.3">
      <c r="A515" t="s">
        <v>72</v>
      </c>
      <c r="B515" t="s">
        <v>73</v>
      </c>
      <c r="C515" t="s">
        <v>74</v>
      </c>
      <c r="E515" t="str">
        <f>"080065229209"</f>
        <v>080065229209</v>
      </c>
      <c r="F515" s="3">
        <v>45784</v>
      </c>
      <c r="G515">
        <v>202602</v>
      </c>
      <c r="H515" t="s">
        <v>75</v>
      </c>
      <c r="I515" t="s">
        <v>76</v>
      </c>
      <c r="J515" t="s">
        <v>77</v>
      </c>
      <c r="K515" t="s">
        <v>78</v>
      </c>
      <c r="L515" t="s">
        <v>75</v>
      </c>
      <c r="M515" t="s">
        <v>76</v>
      </c>
      <c r="N515" t="s">
        <v>390</v>
      </c>
      <c r="O515" t="s">
        <v>82</v>
      </c>
      <c r="P515" t="str">
        <f>"4170037268                    "</f>
        <v xml:space="preserve">4170037268                    </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16.7</v>
      </c>
      <c r="AR515">
        <v>0</v>
      </c>
      <c r="AS515">
        <v>0</v>
      </c>
      <c r="AT515">
        <v>0</v>
      </c>
      <c r="AU515">
        <v>0</v>
      </c>
      <c r="AV515">
        <v>0</v>
      </c>
      <c r="AW515">
        <v>0</v>
      </c>
      <c r="AX515">
        <v>0</v>
      </c>
      <c r="AY515">
        <v>0</v>
      </c>
      <c r="AZ515">
        <v>0</v>
      </c>
      <c r="BA515">
        <v>0</v>
      </c>
      <c r="BB515">
        <v>0</v>
      </c>
      <c r="BC515">
        <v>0</v>
      </c>
      <c r="BD515">
        <v>0</v>
      </c>
      <c r="BE515">
        <v>0</v>
      </c>
      <c r="BF515">
        <v>0</v>
      </c>
      <c r="BG515">
        <v>0</v>
      </c>
      <c r="BH515">
        <v>1</v>
      </c>
      <c r="BI515">
        <v>1</v>
      </c>
      <c r="BJ515">
        <v>0.2</v>
      </c>
      <c r="BK515">
        <v>1</v>
      </c>
      <c r="BL515">
        <v>54.66</v>
      </c>
      <c r="BM515">
        <v>8.1999999999999993</v>
      </c>
      <c r="BN515">
        <v>62.86</v>
      </c>
      <c r="BO515">
        <v>62.86</v>
      </c>
      <c r="BQ515" t="s">
        <v>391</v>
      </c>
      <c r="BR515" t="s">
        <v>84</v>
      </c>
      <c r="BS515" s="3">
        <v>45785</v>
      </c>
      <c r="BT515" s="4">
        <v>0.3527777777777778</v>
      </c>
      <c r="BU515" t="s">
        <v>392</v>
      </c>
      <c r="BV515" t="s">
        <v>86</v>
      </c>
      <c r="BY515">
        <v>1200</v>
      </c>
      <c r="CA515" t="s">
        <v>115</v>
      </c>
      <c r="CC515" t="s">
        <v>76</v>
      </c>
      <c r="CD515">
        <v>1600</v>
      </c>
      <c r="CE515" t="s">
        <v>176</v>
      </c>
      <c r="CF515" s="3">
        <v>45785</v>
      </c>
      <c r="CI515">
        <v>1</v>
      </c>
      <c r="CJ515">
        <v>1</v>
      </c>
      <c r="CK515">
        <v>22</v>
      </c>
      <c r="CL515" t="s">
        <v>89</v>
      </c>
    </row>
    <row r="516" spans="1:90" x14ac:dyDescent="0.3">
      <c r="A516" t="s">
        <v>72</v>
      </c>
      <c r="B516" t="s">
        <v>73</v>
      </c>
      <c r="C516" t="s">
        <v>74</v>
      </c>
      <c r="E516" t="str">
        <f>"080065230077"</f>
        <v>080065230077</v>
      </c>
      <c r="F516" s="3">
        <v>45784</v>
      </c>
      <c r="G516">
        <v>202602</v>
      </c>
      <c r="H516" t="s">
        <v>75</v>
      </c>
      <c r="I516" t="s">
        <v>76</v>
      </c>
      <c r="J516" t="s">
        <v>77</v>
      </c>
      <c r="K516" t="s">
        <v>78</v>
      </c>
      <c r="L516" t="s">
        <v>90</v>
      </c>
      <c r="M516" t="s">
        <v>91</v>
      </c>
      <c r="N516" t="s">
        <v>385</v>
      </c>
      <c r="O516" t="s">
        <v>300</v>
      </c>
      <c r="P516" t="str">
        <f>"4170037273                    "</f>
        <v xml:space="preserve">4170037273                    </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184.76</v>
      </c>
      <c r="AR516">
        <v>0</v>
      </c>
      <c r="AS516">
        <v>0</v>
      </c>
      <c r="AT516">
        <v>0</v>
      </c>
      <c r="AU516">
        <v>0</v>
      </c>
      <c r="AV516">
        <v>0</v>
      </c>
      <c r="AW516">
        <v>0</v>
      </c>
      <c r="AX516">
        <v>0</v>
      </c>
      <c r="AY516">
        <v>0</v>
      </c>
      <c r="AZ516">
        <v>0</v>
      </c>
      <c r="BA516">
        <v>0</v>
      </c>
      <c r="BB516">
        <v>0</v>
      </c>
      <c r="BC516">
        <v>0</v>
      </c>
      <c r="BD516">
        <v>0</v>
      </c>
      <c r="BE516">
        <v>0</v>
      </c>
      <c r="BF516">
        <v>0</v>
      </c>
      <c r="BG516">
        <v>0</v>
      </c>
      <c r="BH516">
        <v>5</v>
      </c>
      <c r="BI516">
        <v>47</v>
      </c>
      <c r="BJ516">
        <v>98.9</v>
      </c>
      <c r="BK516">
        <v>99</v>
      </c>
      <c r="BL516">
        <v>610.23</v>
      </c>
      <c r="BM516">
        <v>91.53</v>
      </c>
      <c r="BN516">
        <v>701.76</v>
      </c>
      <c r="BO516">
        <v>701.76</v>
      </c>
      <c r="BQ516" t="s">
        <v>386</v>
      </c>
      <c r="BR516" t="s">
        <v>84</v>
      </c>
      <c r="BS516" s="3">
        <v>45786</v>
      </c>
      <c r="BT516" s="4">
        <v>0.40625</v>
      </c>
      <c r="BU516" t="s">
        <v>1201</v>
      </c>
      <c r="BV516" t="s">
        <v>86</v>
      </c>
      <c r="BY516">
        <v>270432</v>
      </c>
      <c r="CC516" t="s">
        <v>91</v>
      </c>
      <c r="CD516">
        <v>6056</v>
      </c>
      <c r="CE516" t="s">
        <v>116</v>
      </c>
      <c r="CF516" s="3">
        <v>45786</v>
      </c>
      <c r="CI516">
        <v>3</v>
      </c>
      <c r="CJ516">
        <v>2</v>
      </c>
      <c r="CK516">
        <v>41</v>
      </c>
      <c r="CL516" t="s">
        <v>89</v>
      </c>
    </row>
    <row r="517" spans="1:90" x14ac:dyDescent="0.3">
      <c r="A517" t="s">
        <v>72</v>
      </c>
      <c r="B517" t="s">
        <v>73</v>
      </c>
      <c r="C517" t="s">
        <v>74</v>
      </c>
      <c r="E517" t="str">
        <f>"080065242117"</f>
        <v>080065242117</v>
      </c>
      <c r="F517" s="3">
        <v>45785</v>
      </c>
      <c r="G517">
        <v>202602</v>
      </c>
      <c r="H517" t="s">
        <v>75</v>
      </c>
      <c r="I517" t="s">
        <v>76</v>
      </c>
      <c r="J517" t="s">
        <v>77</v>
      </c>
      <c r="K517" t="s">
        <v>78</v>
      </c>
      <c r="L517" t="s">
        <v>130</v>
      </c>
      <c r="M517" t="s">
        <v>131</v>
      </c>
      <c r="N517" t="s">
        <v>1066</v>
      </c>
      <c r="O517" t="s">
        <v>300</v>
      </c>
      <c r="P517" t="str">
        <f>"4170037276                    "</f>
        <v xml:space="preserve">4170037276                    </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92.57</v>
      </c>
      <c r="AR517">
        <v>0</v>
      </c>
      <c r="AS517">
        <v>0</v>
      </c>
      <c r="AT517">
        <v>0</v>
      </c>
      <c r="AU517">
        <v>0</v>
      </c>
      <c r="AV517">
        <v>0</v>
      </c>
      <c r="AW517">
        <v>0</v>
      </c>
      <c r="AX517">
        <v>0</v>
      </c>
      <c r="AY517">
        <v>0</v>
      </c>
      <c r="AZ517">
        <v>0</v>
      </c>
      <c r="BA517">
        <v>0</v>
      </c>
      <c r="BB517">
        <v>0</v>
      </c>
      <c r="BC517">
        <v>0</v>
      </c>
      <c r="BD517">
        <v>0</v>
      </c>
      <c r="BE517">
        <v>0</v>
      </c>
      <c r="BF517">
        <v>0</v>
      </c>
      <c r="BG517">
        <v>0</v>
      </c>
      <c r="BH517">
        <v>1</v>
      </c>
      <c r="BI517">
        <v>15</v>
      </c>
      <c r="BJ517">
        <v>44.2</v>
      </c>
      <c r="BK517">
        <v>45</v>
      </c>
      <c r="BL517">
        <v>308.52</v>
      </c>
      <c r="BM517">
        <v>46.28</v>
      </c>
      <c r="BN517">
        <v>354.8</v>
      </c>
      <c r="BO517">
        <v>354.8</v>
      </c>
      <c r="BQ517" t="s">
        <v>1067</v>
      </c>
      <c r="BR517" t="s">
        <v>84</v>
      </c>
      <c r="BS517" s="3">
        <v>45789</v>
      </c>
      <c r="BT517" s="4">
        <v>0.41319444444444442</v>
      </c>
      <c r="BU517" t="s">
        <v>1202</v>
      </c>
      <c r="BV517" t="s">
        <v>86</v>
      </c>
      <c r="BY517">
        <v>220800</v>
      </c>
      <c r="CA517" t="s">
        <v>712</v>
      </c>
      <c r="CC517" t="s">
        <v>131</v>
      </c>
      <c r="CD517">
        <v>7561</v>
      </c>
      <c r="CE517" t="s">
        <v>96</v>
      </c>
      <c r="CF517" s="3">
        <v>45790</v>
      </c>
      <c r="CI517">
        <v>3</v>
      </c>
      <c r="CJ517">
        <v>2</v>
      </c>
      <c r="CK517">
        <v>41</v>
      </c>
      <c r="CL517" t="s">
        <v>89</v>
      </c>
    </row>
    <row r="518" spans="1:90" x14ac:dyDescent="0.3">
      <c r="A518" t="s">
        <v>72</v>
      </c>
      <c r="B518" t="s">
        <v>73</v>
      </c>
      <c r="C518" t="s">
        <v>74</v>
      </c>
      <c r="E518" t="str">
        <f>"080065242121"</f>
        <v>080065242121</v>
      </c>
      <c r="F518" s="3">
        <v>45785</v>
      </c>
      <c r="G518">
        <v>202602</v>
      </c>
      <c r="H518" t="s">
        <v>75</v>
      </c>
      <c r="I518" t="s">
        <v>76</v>
      </c>
      <c r="J518" t="s">
        <v>77</v>
      </c>
      <c r="K518" t="s">
        <v>78</v>
      </c>
      <c r="L518" t="s">
        <v>1203</v>
      </c>
      <c r="M518" t="s">
        <v>1204</v>
      </c>
      <c r="N518" t="s">
        <v>1205</v>
      </c>
      <c r="O518" t="s">
        <v>82</v>
      </c>
      <c r="P518" t="str">
        <f>"4170037305                    "</f>
        <v xml:space="preserve">4170037305                    </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41.43</v>
      </c>
      <c r="AR518">
        <v>0</v>
      </c>
      <c r="AS518">
        <v>0</v>
      </c>
      <c r="AT518">
        <v>0</v>
      </c>
      <c r="AU518">
        <v>0</v>
      </c>
      <c r="AV518">
        <v>0</v>
      </c>
      <c r="AW518">
        <v>0</v>
      </c>
      <c r="AX518">
        <v>0</v>
      </c>
      <c r="AY518">
        <v>0</v>
      </c>
      <c r="AZ518">
        <v>0</v>
      </c>
      <c r="BA518">
        <v>0</v>
      </c>
      <c r="BB518">
        <v>0</v>
      </c>
      <c r="BC518">
        <v>0</v>
      </c>
      <c r="BD518">
        <v>0</v>
      </c>
      <c r="BE518">
        <v>0</v>
      </c>
      <c r="BF518">
        <v>0</v>
      </c>
      <c r="BG518">
        <v>0</v>
      </c>
      <c r="BH518">
        <v>1</v>
      </c>
      <c r="BI518">
        <v>1</v>
      </c>
      <c r="BJ518">
        <v>0.2</v>
      </c>
      <c r="BK518">
        <v>1</v>
      </c>
      <c r="BL518">
        <v>135.59</v>
      </c>
      <c r="BM518">
        <v>20.34</v>
      </c>
      <c r="BN518">
        <v>155.93</v>
      </c>
      <c r="BO518">
        <v>155.93</v>
      </c>
      <c r="BQ518" t="s">
        <v>1206</v>
      </c>
      <c r="BR518" t="s">
        <v>84</v>
      </c>
      <c r="BS518" s="3">
        <v>45786</v>
      </c>
      <c r="BT518" s="4">
        <v>0.60763888888888884</v>
      </c>
      <c r="BU518" t="s">
        <v>1207</v>
      </c>
      <c r="BV518" t="s">
        <v>86</v>
      </c>
      <c r="BY518">
        <v>1200</v>
      </c>
      <c r="CA518" t="s">
        <v>1208</v>
      </c>
      <c r="CC518" t="s">
        <v>1204</v>
      </c>
      <c r="CD518">
        <v>6500</v>
      </c>
      <c r="CE518" t="s">
        <v>88</v>
      </c>
      <c r="CF518" s="3">
        <v>45789</v>
      </c>
      <c r="CI518">
        <v>1</v>
      </c>
      <c r="CJ518">
        <v>1</v>
      </c>
      <c r="CK518">
        <v>23</v>
      </c>
      <c r="CL518" t="s">
        <v>89</v>
      </c>
    </row>
    <row r="519" spans="1:90" x14ac:dyDescent="0.3">
      <c r="A519" t="s">
        <v>72</v>
      </c>
      <c r="B519" t="s">
        <v>73</v>
      </c>
      <c r="C519" t="s">
        <v>74</v>
      </c>
      <c r="E519" t="str">
        <f>"080065242147"</f>
        <v>080065242147</v>
      </c>
      <c r="F519" s="3">
        <v>45785</v>
      </c>
      <c r="G519">
        <v>202602</v>
      </c>
      <c r="H519" t="s">
        <v>75</v>
      </c>
      <c r="I519" t="s">
        <v>76</v>
      </c>
      <c r="J519" t="s">
        <v>77</v>
      </c>
      <c r="K519" t="s">
        <v>78</v>
      </c>
      <c r="L519" t="s">
        <v>287</v>
      </c>
      <c r="M519" t="s">
        <v>288</v>
      </c>
      <c r="N519" t="s">
        <v>289</v>
      </c>
      <c r="O519" t="s">
        <v>300</v>
      </c>
      <c r="P519" t="str">
        <f>"4170037308                    "</f>
        <v xml:space="preserve">4170037308                    </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105.98</v>
      </c>
      <c r="AR519">
        <v>0</v>
      </c>
      <c r="AS519">
        <v>0</v>
      </c>
      <c r="AT519">
        <v>0</v>
      </c>
      <c r="AU519">
        <v>0</v>
      </c>
      <c r="AV519">
        <v>0</v>
      </c>
      <c r="AW519">
        <v>0</v>
      </c>
      <c r="AX519">
        <v>0</v>
      </c>
      <c r="AY519">
        <v>0</v>
      </c>
      <c r="AZ519">
        <v>0</v>
      </c>
      <c r="BA519">
        <v>0</v>
      </c>
      <c r="BB519">
        <v>0</v>
      </c>
      <c r="BC519">
        <v>0</v>
      </c>
      <c r="BD519">
        <v>0</v>
      </c>
      <c r="BE519">
        <v>0</v>
      </c>
      <c r="BF519">
        <v>0</v>
      </c>
      <c r="BG519">
        <v>0</v>
      </c>
      <c r="BH519">
        <v>1</v>
      </c>
      <c r="BI519">
        <v>10</v>
      </c>
      <c r="BJ519">
        <v>30.9</v>
      </c>
      <c r="BK519">
        <v>31</v>
      </c>
      <c r="BL519">
        <v>352.42</v>
      </c>
      <c r="BM519">
        <v>52.86</v>
      </c>
      <c r="BN519">
        <v>405.28</v>
      </c>
      <c r="BO519">
        <v>405.28</v>
      </c>
      <c r="BQ519" t="s">
        <v>290</v>
      </c>
      <c r="BR519" t="s">
        <v>84</v>
      </c>
      <c r="BS519" s="3">
        <v>45787</v>
      </c>
      <c r="BT519" s="4">
        <v>0.52708333333333335</v>
      </c>
      <c r="BU519" t="s">
        <v>1209</v>
      </c>
      <c r="BV519" t="s">
        <v>86</v>
      </c>
      <c r="BY519">
        <v>154560</v>
      </c>
      <c r="CA519" t="s">
        <v>292</v>
      </c>
      <c r="CC519" t="s">
        <v>288</v>
      </c>
      <c r="CD519">
        <v>6715</v>
      </c>
      <c r="CE519" t="s">
        <v>96</v>
      </c>
      <c r="CF519" s="3">
        <v>45790</v>
      </c>
      <c r="CI519">
        <v>4</v>
      </c>
      <c r="CJ519">
        <v>1</v>
      </c>
      <c r="CK519">
        <v>43</v>
      </c>
      <c r="CL519" t="s">
        <v>89</v>
      </c>
    </row>
    <row r="520" spans="1:90" x14ac:dyDescent="0.3">
      <c r="A520" t="s">
        <v>72</v>
      </c>
      <c r="B520" t="s">
        <v>73</v>
      </c>
      <c r="C520" t="s">
        <v>74</v>
      </c>
      <c r="E520" t="str">
        <f>"080065242185"</f>
        <v>080065242185</v>
      </c>
      <c r="F520" s="3">
        <v>45785</v>
      </c>
      <c r="G520">
        <v>202602</v>
      </c>
      <c r="H520" t="s">
        <v>75</v>
      </c>
      <c r="I520" t="s">
        <v>76</v>
      </c>
      <c r="J520" t="s">
        <v>77</v>
      </c>
      <c r="K520" t="s">
        <v>78</v>
      </c>
      <c r="L520" t="s">
        <v>103</v>
      </c>
      <c r="M520" t="s">
        <v>104</v>
      </c>
      <c r="N520" t="s">
        <v>686</v>
      </c>
      <c r="O520" t="s">
        <v>82</v>
      </c>
      <c r="P520" t="str">
        <f>"4170037315                    "</f>
        <v xml:space="preserve">4170037315                    </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21.38</v>
      </c>
      <c r="AR520">
        <v>0</v>
      </c>
      <c r="AS520">
        <v>0</v>
      </c>
      <c r="AT520">
        <v>0</v>
      </c>
      <c r="AU520">
        <v>0</v>
      </c>
      <c r="AV520">
        <v>0</v>
      </c>
      <c r="AW520">
        <v>0</v>
      </c>
      <c r="AX520">
        <v>0</v>
      </c>
      <c r="AY520">
        <v>0</v>
      </c>
      <c r="AZ520">
        <v>0</v>
      </c>
      <c r="BA520">
        <v>0</v>
      </c>
      <c r="BB520">
        <v>0</v>
      </c>
      <c r="BC520">
        <v>0</v>
      </c>
      <c r="BD520">
        <v>0</v>
      </c>
      <c r="BE520">
        <v>0</v>
      </c>
      <c r="BF520">
        <v>0</v>
      </c>
      <c r="BG520">
        <v>0</v>
      </c>
      <c r="BH520">
        <v>1</v>
      </c>
      <c r="BI520">
        <v>1</v>
      </c>
      <c r="BJ520">
        <v>0.2</v>
      </c>
      <c r="BK520">
        <v>1</v>
      </c>
      <c r="BL520">
        <v>69.98</v>
      </c>
      <c r="BM520">
        <v>10.5</v>
      </c>
      <c r="BN520">
        <v>80.48</v>
      </c>
      <c r="BO520">
        <v>80.48</v>
      </c>
      <c r="BQ520" t="s">
        <v>687</v>
      </c>
      <c r="BR520" t="s">
        <v>84</v>
      </c>
      <c r="BS520" s="3">
        <v>45786</v>
      </c>
      <c r="BT520" s="4">
        <v>0.42430555555555555</v>
      </c>
      <c r="BU520" t="s">
        <v>1210</v>
      </c>
      <c r="BV520" t="s">
        <v>86</v>
      </c>
      <c r="BY520">
        <v>1200</v>
      </c>
      <c r="BZ520" t="s">
        <v>127</v>
      </c>
      <c r="CA520" t="s">
        <v>1169</v>
      </c>
      <c r="CC520" t="s">
        <v>104</v>
      </c>
      <c r="CD520">
        <v>3201</v>
      </c>
      <c r="CE520" t="s">
        <v>88</v>
      </c>
      <c r="CF520" s="3">
        <v>45787</v>
      </c>
      <c r="CI520">
        <v>1</v>
      </c>
      <c r="CJ520">
        <v>1</v>
      </c>
      <c r="CK520">
        <v>21</v>
      </c>
      <c r="CL520" t="s">
        <v>89</v>
      </c>
    </row>
    <row r="521" spans="1:90" x14ac:dyDescent="0.3">
      <c r="A521" t="s">
        <v>72</v>
      </c>
      <c r="B521" t="s">
        <v>73</v>
      </c>
      <c r="C521" t="s">
        <v>74</v>
      </c>
      <c r="E521" t="str">
        <f>"080065242216"</f>
        <v>080065242216</v>
      </c>
      <c r="F521" s="3">
        <v>45785</v>
      </c>
      <c r="G521">
        <v>202602</v>
      </c>
      <c r="H521" t="s">
        <v>75</v>
      </c>
      <c r="I521" t="s">
        <v>76</v>
      </c>
      <c r="J521" t="s">
        <v>77</v>
      </c>
      <c r="K521" t="s">
        <v>78</v>
      </c>
      <c r="L521" t="s">
        <v>90</v>
      </c>
      <c r="M521" t="s">
        <v>91</v>
      </c>
      <c r="N521" t="s">
        <v>1211</v>
      </c>
      <c r="O521" t="s">
        <v>82</v>
      </c>
      <c r="P521" t="str">
        <f>"4170037292                    "</f>
        <v xml:space="preserve">4170037292                    </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21.38</v>
      </c>
      <c r="AR521">
        <v>0</v>
      </c>
      <c r="AS521">
        <v>0</v>
      </c>
      <c r="AT521">
        <v>0</v>
      </c>
      <c r="AU521">
        <v>0</v>
      </c>
      <c r="AV521">
        <v>0</v>
      </c>
      <c r="AW521">
        <v>0</v>
      </c>
      <c r="AX521">
        <v>0</v>
      </c>
      <c r="AY521">
        <v>0</v>
      </c>
      <c r="AZ521">
        <v>0</v>
      </c>
      <c r="BA521">
        <v>0</v>
      </c>
      <c r="BB521">
        <v>0</v>
      </c>
      <c r="BC521">
        <v>0</v>
      </c>
      <c r="BD521">
        <v>0</v>
      </c>
      <c r="BE521">
        <v>0</v>
      </c>
      <c r="BF521">
        <v>0</v>
      </c>
      <c r="BG521">
        <v>0</v>
      </c>
      <c r="BH521">
        <v>1</v>
      </c>
      <c r="BI521">
        <v>1</v>
      </c>
      <c r="BJ521">
        <v>0.2</v>
      </c>
      <c r="BK521">
        <v>1</v>
      </c>
      <c r="BL521">
        <v>69.98</v>
      </c>
      <c r="BM521">
        <v>10.5</v>
      </c>
      <c r="BN521">
        <v>80.48</v>
      </c>
      <c r="BO521">
        <v>80.48</v>
      </c>
      <c r="BQ521" t="s">
        <v>1212</v>
      </c>
      <c r="BR521" t="s">
        <v>84</v>
      </c>
      <c r="BS521" s="3">
        <v>45786</v>
      </c>
      <c r="BT521" s="4">
        <v>0.42291666666666666</v>
      </c>
      <c r="BU521" t="s">
        <v>1213</v>
      </c>
      <c r="BV521" t="s">
        <v>86</v>
      </c>
      <c r="BY521">
        <v>1200</v>
      </c>
      <c r="BZ521" t="s">
        <v>127</v>
      </c>
      <c r="CA521" t="s">
        <v>943</v>
      </c>
      <c r="CC521" t="s">
        <v>91</v>
      </c>
      <c r="CD521">
        <v>6012</v>
      </c>
      <c r="CE521" t="s">
        <v>88</v>
      </c>
      <c r="CF521" s="3">
        <v>45786</v>
      </c>
      <c r="CI521">
        <v>1</v>
      </c>
      <c r="CJ521">
        <v>1</v>
      </c>
      <c r="CK521">
        <v>21</v>
      </c>
      <c r="CL521" t="s">
        <v>89</v>
      </c>
    </row>
    <row r="522" spans="1:90" x14ac:dyDescent="0.3">
      <c r="A522" t="s">
        <v>72</v>
      </c>
      <c r="B522" t="s">
        <v>73</v>
      </c>
      <c r="C522" t="s">
        <v>74</v>
      </c>
      <c r="E522" t="str">
        <f>"080065242234"</f>
        <v>080065242234</v>
      </c>
      <c r="F522" s="3">
        <v>45785</v>
      </c>
      <c r="G522">
        <v>202602</v>
      </c>
      <c r="H522" t="s">
        <v>75</v>
      </c>
      <c r="I522" t="s">
        <v>76</v>
      </c>
      <c r="J522" t="s">
        <v>77</v>
      </c>
      <c r="K522" t="s">
        <v>78</v>
      </c>
      <c r="L522" t="s">
        <v>1214</v>
      </c>
      <c r="M522" t="s">
        <v>1215</v>
      </c>
      <c r="N522" t="s">
        <v>1216</v>
      </c>
      <c r="O522" t="s">
        <v>82</v>
      </c>
      <c r="P522" t="str">
        <f>"4170037309                    "</f>
        <v xml:space="preserve">4170037309                    </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32.07</v>
      </c>
      <c r="AR522">
        <v>0</v>
      </c>
      <c r="AS522">
        <v>0</v>
      </c>
      <c r="AT522">
        <v>0</v>
      </c>
      <c r="AU522">
        <v>0</v>
      </c>
      <c r="AV522">
        <v>0</v>
      </c>
      <c r="AW522">
        <v>0</v>
      </c>
      <c r="AX522">
        <v>0</v>
      </c>
      <c r="AY522">
        <v>0</v>
      </c>
      <c r="AZ522">
        <v>0</v>
      </c>
      <c r="BA522">
        <v>0</v>
      </c>
      <c r="BB522">
        <v>0</v>
      </c>
      <c r="BC522">
        <v>0</v>
      </c>
      <c r="BD522">
        <v>0</v>
      </c>
      <c r="BE522">
        <v>0</v>
      </c>
      <c r="BF522">
        <v>0</v>
      </c>
      <c r="BG522">
        <v>0</v>
      </c>
      <c r="BH522">
        <v>1</v>
      </c>
      <c r="BI522">
        <v>2</v>
      </c>
      <c r="BJ522">
        <v>2.7</v>
      </c>
      <c r="BK522">
        <v>3</v>
      </c>
      <c r="BL522">
        <v>104.95</v>
      </c>
      <c r="BM522">
        <v>15.74</v>
      </c>
      <c r="BN522">
        <v>120.69</v>
      </c>
      <c r="BO522">
        <v>120.69</v>
      </c>
      <c r="BQ522" t="s">
        <v>1217</v>
      </c>
      <c r="BR522" t="s">
        <v>84</v>
      </c>
      <c r="BS522" s="3">
        <v>45786</v>
      </c>
      <c r="BT522" s="4">
        <v>0.37569444444444444</v>
      </c>
      <c r="BU522" t="s">
        <v>1218</v>
      </c>
      <c r="BV522" t="s">
        <v>86</v>
      </c>
      <c r="BY522">
        <v>13680</v>
      </c>
      <c r="BZ522" t="s">
        <v>127</v>
      </c>
      <c r="CA522" t="s">
        <v>1219</v>
      </c>
      <c r="CC522" t="s">
        <v>1215</v>
      </c>
      <c r="CD522">
        <v>4302</v>
      </c>
      <c r="CE522" t="s">
        <v>221</v>
      </c>
      <c r="CF522" s="3">
        <v>45789</v>
      </c>
      <c r="CI522">
        <v>1</v>
      </c>
      <c r="CJ522">
        <v>1</v>
      </c>
      <c r="CK522">
        <v>21</v>
      </c>
      <c r="CL522" t="s">
        <v>89</v>
      </c>
    </row>
    <row r="523" spans="1:90" x14ac:dyDescent="0.3">
      <c r="A523" t="s">
        <v>72</v>
      </c>
      <c r="B523" t="s">
        <v>73</v>
      </c>
      <c r="C523" t="s">
        <v>74</v>
      </c>
      <c r="E523" t="str">
        <f>"080065242248"</f>
        <v>080065242248</v>
      </c>
      <c r="F523" s="3">
        <v>45785</v>
      </c>
      <c r="G523">
        <v>202602</v>
      </c>
      <c r="H523" t="s">
        <v>75</v>
      </c>
      <c r="I523" t="s">
        <v>76</v>
      </c>
      <c r="J523" t="s">
        <v>77</v>
      </c>
      <c r="K523" t="s">
        <v>78</v>
      </c>
      <c r="L523" t="s">
        <v>445</v>
      </c>
      <c r="M523" t="s">
        <v>446</v>
      </c>
      <c r="N523" t="s">
        <v>1220</v>
      </c>
      <c r="O523" t="s">
        <v>82</v>
      </c>
      <c r="P523" t="str">
        <f>"4170037325                    "</f>
        <v xml:space="preserve">4170037325                    </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41.43</v>
      </c>
      <c r="AR523">
        <v>0</v>
      </c>
      <c r="AS523">
        <v>0</v>
      </c>
      <c r="AT523">
        <v>0</v>
      </c>
      <c r="AU523">
        <v>0</v>
      </c>
      <c r="AV523">
        <v>0</v>
      </c>
      <c r="AW523">
        <v>0</v>
      </c>
      <c r="AX523">
        <v>0</v>
      </c>
      <c r="AY523">
        <v>0</v>
      </c>
      <c r="AZ523">
        <v>0</v>
      </c>
      <c r="BA523">
        <v>0</v>
      </c>
      <c r="BB523">
        <v>0</v>
      </c>
      <c r="BC523">
        <v>0</v>
      </c>
      <c r="BD523">
        <v>0</v>
      </c>
      <c r="BE523">
        <v>0</v>
      </c>
      <c r="BF523">
        <v>0</v>
      </c>
      <c r="BG523">
        <v>0</v>
      </c>
      <c r="BH523">
        <v>1</v>
      </c>
      <c r="BI523">
        <v>1</v>
      </c>
      <c r="BJ523">
        <v>0.2</v>
      </c>
      <c r="BK523">
        <v>1</v>
      </c>
      <c r="BL523">
        <v>135.59</v>
      </c>
      <c r="BM523">
        <v>20.34</v>
      </c>
      <c r="BN523">
        <v>155.93</v>
      </c>
      <c r="BO523">
        <v>155.93</v>
      </c>
      <c r="BQ523" t="s">
        <v>1221</v>
      </c>
      <c r="BR523" t="s">
        <v>84</v>
      </c>
      <c r="BS523" s="3">
        <v>45789</v>
      </c>
      <c r="BT523" s="4">
        <v>0.59236111111111112</v>
      </c>
      <c r="BU523" t="s">
        <v>1222</v>
      </c>
      <c r="BV523" t="s">
        <v>89</v>
      </c>
      <c r="BW523" t="s">
        <v>434</v>
      </c>
      <c r="BX523" t="s">
        <v>435</v>
      </c>
      <c r="BY523">
        <v>1200</v>
      </c>
      <c r="BZ523" t="s">
        <v>127</v>
      </c>
      <c r="CA523" t="s">
        <v>1223</v>
      </c>
      <c r="CC523" t="s">
        <v>446</v>
      </c>
      <c r="CD523">
        <v>4420</v>
      </c>
      <c r="CE523" t="s">
        <v>88</v>
      </c>
      <c r="CF523" s="3">
        <v>45790</v>
      </c>
      <c r="CI523">
        <v>1</v>
      </c>
      <c r="CJ523">
        <v>2</v>
      </c>
      <c r="CK523">
        <v>23</v>
      </c>
      <c r="CL523" t="s">
        <v>89</v>
      </c>
    </row>
    <row r="524" spans="1:90" x14ac:dyDescent="0.3">
      <c r="A524" t="s">
        <v>72</v>
      </c>
      <c r="B524" t="s">
        <v>73</v>
      </c>
      <c r="C524" t="s">
        <v>74</v>
      </c>
      <c r="E524" t="str">
        <f>"080065242277"</f>
        <v>080065242277</v>
      </c>
      <c r="F524" s="3">
        <v>45785</v>
      </c>
      <c r="G524">
        <v>202602</v>
      </c>
      <c r="H524" t="s">
        <v>75</v>
      </c>
      <c r="I524" t="s">
        <v>76</v>
      </c>
      <c r="J524" t="s">
        <v>77</v>
      </c>
      <c r="K524" t="s">
        <v>78</v>
      </c>
      <c r="L524" t="s">
        <v>90</v>
      </c>
      <c r="M524" t="s">
        <v>91</v>
      </c>
      <c r="N524" t="s">
        <v>1211</v>
      </c>
      <c r="O524" t="s">
        <v>82</v>
      </c>
      <c r="P524" t="str">
        <f>"4170037293                    "</f>
        <v xml:space="preserve">4170037293                    </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21.38</v>
      </c>
      <c r="AR524">
        <v>0</v>
      </c>
      <c r="AS524">
        <v>0</v>
      </c>
      <c r="AT524">
        <v>0</v>
      </c>
      <c r="AU524">
        <v>0</v>
      </c>
      <c r="AV524">
        <v>0</v>
      </c>
      <c r="AW524">
        <v>0</v>
      </c>
      <c r="AX524">
        <v>0</v>
      </c>
      <c r="AY524">
        <v>0</v>
      </c>
      <c r="AZ524">
        <v>0</v>
      </c>
      <c r="BA524">
        <v>0</v>
      </c>
      <c r="BB524">
        <v>0</v>
      </c>
      <c r="BC524">
        <v>0</v>
      </c>
      <c r="BD524">
        <v>0</v>
      </c>
      <c r="BE524">
        <v>0</v>
      </c>
      <c r="BF524">
        <v>0</v>
      </c>
      <c r="BG524">
        <v>0</v>
      </c>
      <c r="BH524">
        <v>1</v>
      </c>
      <c r="BI524">
        <v>1</v>
      </c>
      <c r="BJ524">
        <v>0.2</v>
      </c>
      <c r="BK524">
        <v>1</v>
      </c>
      <c r="BL524">
        <v>69.98</v>
      </c>
      <c r="BM524">
        <v>10.5</v>
      </c>
      <c r="BN524">
        <v>80.48</v>
      </c>
      <c r="BO524">
        <v>80.48</v>
      </c>
      <c r="BQ524" t="s">
        <v>1212</v>
      </c>
      <c r="BR524" t="s">
        <v>84</v>
      </c>
      <c r="BS524" s="3">
        <v>45786</v>
      </c>
      <c r="BT524" s="4">
        <v>0.42291666666666666</v>
      </c>
      <c r="BU524" t="s">
        <v>1213</v>
      </c>
      <c r="BV524" t="s">
        <v>86</v>
      </c>
      <c r="BY524">
        <v>1200</v>
      </c>
      <c r="BZ524" t="s">
        <v>127</v>
      </c>
      <c r="CA524" t="s">
        <v>943</v>
      </c>
      <c r="CC524" t="s">
        <v>91</v>
      </c>
      <c r="CD524">
        <v>6012</v>
      </c>
      <c r="CE524" t="s">
        <v>88</v>
      </c>
      <c r="CF524" s="3">
        <v>45786</v>
      </c>
      <c r="CI524">
        <v>1</v>
      </c>
      <c r="CJ524">
        <v>1</v>
      </c>
      <c r="CK524">
        <v>21</v>
      </c>
      <c r="CL524" t="s">
        <v>89</v>
      </c>
    </row>
    <row r="525" spans="1:90" x14ac:dyDescent="0.3">
      <c r="A525" t="s">
        <v>72</v>
      </c>
      <c r="B525" t="s">
        <v>73</v>
      </c>
      <c r="C525" t="s">
        <v>74</v>
      </c>
      <c r="E525" t="str">
        <f>"080065242280"</f>
        <v>080065242280</v>
      </c>
      <c r="F525" s="3">
        <v>45785</v>
      </c>
      <c r="G525">
        <v>202602</v>
      </c>
      <c r="H525" t="s">
        <v>75</v>
      </c>
      <c r="I525" t="s">
        <v>76</v>
      </c>
      <c r="J525" t="s">
        <v>77</v>
      </c>
      <c r="K525" t="s">
        <v>78</v>
      </c>
      <c r="L525" t="s">
        <v>130</v>
      </c>
      <c r="M525" t="s">
        <v>131</v>
      </c>
      <c r="N525" t="s">
        <v>1066</v>
      </c>
      <c r="O525" t="s">
        <v>82</v>
      </c>
      <c r="P525" t="str">
        <f>"4170037277                    "</f>
        <v xml:space="preserve">4170037277                    </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21.38</v>
      </c>
      <c r="AR525">
        <v>0</v>
      </c>
      <c r="AS525">
        <v>0</v>
      </c>
      <c r="AT525">
        <v>0</v>
      </c>
      <c r="AU525">
        <v>0</v>
      </c>
      <c r="AV525">
        <v>0</v>
      </c>
      <c r="AW525">
        <v>0</v>
      </c>
      <c r="AX525">
        <v>0</v>
      </c>
      <c r="AY525">
        <v>0</v>
      </c>
      <c r="AZ525">
        <v>0</v>
      </c>
      <c r="BA525">
        <v>0</v>
      </c>
      <c r="BB525">
        <v>0</v>
      </c>
      <c r="BC525">
        <v>0</v>
      </c>
      <c r="BD525">
        <v>0</v>
      </c>
      <c r="BE525">
        <v>0</v>
      </c>
      <c r="BF525">
        <v>0</v>
      </c>
      <c r="BG525">
        <v>0</v>
      </c>
      <c r="BH525">
        <v>1</v>
      </c>
      <c r="BI525">
        <v>2</v>
      </c>
      <c r="BJ525">
        <v>1.9</v>
      </c>
      <c r="BK525">
        <v>2</v>
      </c>
      <c r="BL525">
        <v>69.98</v>
      </c>
      <c r="BM525">
        <v>10.5</v>
      </c>
      <c r="BN525">
        <v>80.48</v>
      </c>
      <c r="BO525">
        <v>80.48</v>
      </c>
      <c r="BQ525" t="s">
        <v>1067</v>
      </c>
      <c r="BR525" t="s">
        <v>84</v>
      </c>
      <c r="BS525" s="3">
        <v>45789</v>
      </c>
      <c r="BT525" s="4">
        <v>0.41319444444444442</v>
      </c>
      <c r="BU525" t="s">
        <v>1202</v>
      </c>
      <c r="BV525" t="s">
        <v>89</v>
      </c>
      <c r="BW525" t="s">
        <v>340</v>
      </c>
      <c r="BX525" t="s">
        <v>1224</v>
      </c>
      <c r="BY525">
        <v>9600</v>
      </c>
      <c r="BZ525" t="s">
        <v>127</v>
      </c>
      <c r="CA525" t="s">
        <v>712</v>
      </c>
      <c r="CC525" t="s">
        <v>131</v>
      </c>
      <c r="CD525">
        <v>7561</v>
      </c>
      <c r="CE525" t="s">
        <v>96</v>
      </c>
      <c r="CF525" s="3">
        <v>45790</v>
      </c>
      <c r="CI525">
        <v>1</v>
      </c>
      <c r="CJ525">
        <v>2</v>
      </c>
      <c r="CK525">
        <v>21</v>
      </c>
      <c r="CL525" t="s">
        <v>89</v>
      </c>
    </row>
    <row r="526" spans="1:90" x14ac:dyDescent="0.3">
      <c r="A526" t="s">
        <v>72</v>
      </c>
      <c r="B526" t="s">
        <v>73</v>
      </c>
      <c r="C526" t="s">
        <v>74</v>
      </c>
      <c r="E526" t="str">
        <f>"080065242308"</f>
        <v>080065242308</v>
      </c>
      <c r="F526" s="3">
        <v>45785</v>
      </c>
      <c r="G526">
        <v>202602</v>
      </c>
      <c r="H526" t="s">
        <v>75</v>
      </c>
      <c r="I526" t="s">
        <v>76</v>
      </c>
      <c r="J526" t="s">
        <v>77</v>
      </c>
      <c r="K526" t="s">
        <v>78</v>
      </c>
      <c r="L526" t="s">
        <v>103</v>
      </c>
      <c r="M526" t="s">
        <v>104</v>
      </c>
      <c r="N526" t="s">
        <v>1225</v>
      </c>
      <c r="O526" t="s">
        <v>82</v>
      </c>
      <c r="P526" t="str">
        <f>"4170037290                    "</f>
        <v xml:space="preserve">4170037290                    </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21.38</v>
      </c>
      <c r="AR526">
        <v>0</v>
      </c>
      <c r="AS526">
        <v>0</v>
      </c>
      <c r="AT526">
        <v>0</v>
      </c>
      <c r="AU526">
        <v>0</v>
      </c>
      <c r="AV526">
        <v>0</v>
      </c>
      <c r="AW526">
        <v>0</v>
      </c>
      <c r="AX526">
        <v>0</v>
      </c>
      <c r="AY526">
        <v>0</v>
      </c>
      <c r="AZ526">
        <v>0</v>
      </c>
      <c r="BA526">
        <v>0</v>
      </c>
      <c r="BB526">
        <v>0</v>
      </c>
      <c r="BC526">
        <v>0</v>
      </c>
      <c r="BD526">
        <v>0</v>
      </c>
      <c r="BE526">
        <v>0</v>
      </c>
      <c r="BF526">
        <v>0</v>
      </c>
      <c r="BG526">
        <v>0</v>
      </c>
      <c r="BH526">
        <v>1</v>
      </c>
      <c r="BI526">
        <v>1</v>
      </c>
      <c r="BJ526">
        <v>0.2</v>
      </c>
      <c r="BK526">
        <v>1</v>
      </c>
      <c r="BL526">
        <v>69.98</v>
      </c>
      <c r="BM526">
        <v>10.5</v>
      </c>
      <c r="BN526">
        <v>80.48</v>
      </c>
      <c r="BO526">
        <v>80.48</v>
      </c>
      <c r="BQ526" t="s">
        <v>1226</v>
      </c>
      <c r="BR526" t="s">
        <v>84</v>
      </c>
      <c r="BS526" s="3">
        <v>45786</v>
      </c>
      <c r="BT526" s="4">
        <v>0.41666666666666669</v>
      </c>
      <c r="BU526" t="s">
        <v>1227</v>
      </c>
      <c r="BV526" t="s">
        <v>86</v>
      </c>
      <c r="BY526">
        <v>1200</v>
      </c>
      <c r="BZ526" t="s">
        <v>127</v>
      </c>
      <c r="CA526" t="s">
        <v>108</v>
      </c>
      <c r="CC526" t="s">
        <v>104</v>
      </c>
      <c r="CD526">
        <v>3201</v>
      </c>
      <c r="CE526" t="s">
        <v>88</v>
      </c>
      <c r="CF526" s="3">
        <v>45787</v>
      </c>
      <c r="CI526">
        <v>1</v>
      </c>
      <c r="CJ526">
        <v>1</v>
      </c>
      <c r="CK526">
        <v>21</v>
      </c>
      <c r="CL526" t="s">
        <v>89</v>
      </c>
    </row>
    <row r="527" spans="1:90" x14ac:dyDescent="0.3">
      <c r="A527" t="s">
        <v>72</v>
      </c>
      <c r="B527" t="s">
        <v>73</v>
      </c>
      <c r="C527" t="s">
        <v>74</v>
      </c>
      <c r="E527" t="str">
        <f>"080065242404"</f>
        <v>080065242404</v>
      </c>
      <c r="F527" s="3">
        <v>45785</v>
      </c>
      <c r="G527">
        <v>202602</v>
      </c>
      <c r="H527" t="s">
        <v>75</v>
      </c>
      <c r="I527" t="s">
        <v>76</v>
      </c>
      <c r="J527" t="s">
        <v>77</v>
      </c>
      <c r="K527" t="s">
        <v>78</v>
      </c>
      <c r="L527" t="s">
        <v>117</v>
      </c>
      <c r="M527" t="s">
        <v>118</v>
      </c>
      <c r="N527" t="s">
        <v>1228</v>
      </c>
      <c r="O527" t="s">
        <v>82</v>
      </c>
      <c r="P527" t="str">
        <f>"4170037280                    "</f>
        <v xml:space="preserve">4170037280                    </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16.7</v>
      </c>
      <c r="AR527">
        <v>0</v>
      </c>
      <c r="AS527">
        <v>0</v>
      </c>
      <c r="AT527">
        <v>0</v>
      </c>
      <c r="AU527">
        <v>0</v>
      </c>
      <c r="AV527">
        <v>0</v>
      </c>
      <c r="AW527">
        <v>0</v>
      </c>
      <c r="AX527">
        <v>0</v>
      </c>
      <c r="AY527">
        <v>0</v>
      </c>
      <c r="AZ527">
        <v>0</v>
      </c>
      <c r="BA527">
        <v>0</v>
      </c>
      <c r="BB527">
        <v>0</v>
      </c>
      <c r="BC527">
        <v>0</v>
      </c>
      <c r="BD527">
        <v>0</v>
      </c>
      <c r="BE527">
        <v>0</v>
      </c>
      <c r="BF527">
        <v>0</v>
      </c>
      <c r="BG527">
        <v>0</v>
      </c>
      <c r="BH527">
        <v>1</v>
      </c>
      <c r="BI527">
        <v>1</v>
      </c>
      <c r="BJ527">
        <v>0.2</v>
      </c>
      <c r="BK527">
        <v>1</v>
      </c>
      <c r="BL527">
        <v>54.66</v>
      </c>
      <c r="BM527">
        <v>8.1999999999999993</v>
      </c>
      <c r="BN527">
        <v>62.86</v>
      </c>
      <c r="BO527">
        <v>62.86</v>
      </c>
      <c r="BQ527" t="s">
        <v>1229</v>
      </c>
      <c r="BR527" t="s">
        <v>84</v>
      </c>
      <c r="BS527" s="3">
        <v>45786</v>
      </c>
      <c r="BT527" s="4">
        <v>0.37986111111111109</v>
      </c>
      <c r="BU527" t="s">
        <v>1230</v>
      </c>
      <c r="BV527" t="s">
        <v>86</v>
      </c>
      <c r="BY527">
        <v>1200</v>
      </c>
      <c r="CA527" t="s">
        <v>275</v>
      </c>
      <c r="CC527" t="s">
        <v>118</v>
      </c>
      <c r="CD527">
        <v>2190</v>
      </c>
      <c r="CE527" t="s">
        <v>88</v>
      </c>
      <c r="CF527" s="3">
        <v>45787</v>
      </c>
      <c r="CI527">
        <v>1</v>
      </c>
      <c r="CJ527">
        <v>1</v>
      </c>
      <c r="CK527">
        <v>22</v>
      </c>
      <c r="CL527" t="s">
        <v>89</v>
      </c>
    </row>
    <row r="528" spans="1:90" x14ac:dyDescent="0.3">
      <c r="A528" t="s">
        <v>72</v>
      </c>
      <c r="B528" t="s">
        <v>73</v>
      </c>
      <c r="C528" t="s">
        <v>74</v>
      </c>
      <c r="E528" t="str">
        <f>"080065242467"</f>
        <v>080065242467</v>
      </c>
      <c r="F528" s="3">
        <v>45785</v>
      </c>
      <c r="G528">
        <v>202602</v>
      </c>
      <c r="H528" t="s">
        <v>75</v>
      </c>
      <c r="I528" t="s">
        <v>76</v>
      </c>
      <c r="J528" t="s">
        <v>77</v>
      </c>
      <c r="K528" t="s">
        <v>78</v>
      </c>
      <c r="L528" t="s">
        <v>90</v>
      </c>
      <c r="M528" t="s">
        <v>91</v>
      </c>
      <c r="N528" t="s">
        <v>841</v>
      </c>
      <c r="O528" t="s">
        <v>82</v>
      </c>
      <c r="P528" t="str">
        <f>"4170037304                    "</f>
        <v xml:space="preserve">4170037304                    </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21.38</v>
      </c>
      <c r="AR528">
        <v>0</v>
      </c>
      <c r="AS528">
        <v>0</v>
      </c>
      <c r="AT528">
        <v>0</v>
      </c>
      <c r="AU528">
        <v>0</v>
      </c>
      <c r="AV528">
        <v>0</v>
      </c>
      <c r="AW528">
        <v>0</v>
      </c>
      <c r="AX528">
        <v>0</v>
      </c>
      <c r="AY528">
        <v>0</v>
      </c>
      <c r="AZ528">
        <v>0</v>
      </c>
      <c r="BA528">
        <v>0</v>
      </c>
      <c r="BB528">
        <v>0</v>
      </c>
      <c r="BC528">
        <v>0</v>
      </c>
      <c r="BD528">
        <v>0</v>
      </c>
      <c r="BE528">
        <v>0</v>
      </c>
      <c r="BF528">
        <v>0</v>
      </c>
      <c r="BG528">
        <v>0</v>
      </c>
      <c r="BH528">
        <v>1</v>
      </c>
      <c r="BI528">
        <v>1</v>
      </c>
      <c r="BJ528">
        <v>0.2</v>
      </c>
      <c r="BK528">
        <v>1</v>
      </c>
      <c r="BL528">
        <v>69.98</v>
      </c>
      <c r="BM528">
        <v>10.5</v>
      </c>
      <c r="BN528">
        <v>80.48</v>
      </c>
      <c r="BO528">
        <v>80.48</v>
      </c>
      <c r="BQ528" t="s">
        <v>842</v>
      </c>
      <c r="BR528" t="s">
        <v>84</v>
      </c>
      <c r="BS528" s="3">
        <v>45786</v>
      </c>
      <c r="BT528" s="4">
        <v>0.43402777777777779</v>
      </c>
      <c r="BU528" t="s">
        <v>1231</v>
      </c>
      <c r="BV528" t="s">
        <v>86</v>
      </c>
      <c r="BY528">
        <v>1200</v>
      </c>
      <c r="CA528" t="s">
        <v>298</v>
      </c>
      <c r="CC528" t="s">
        <v>91</v>
      </c>
      <c r="CD528">
        <v>6001</v>
      </c>
      <c r="CE528" t="s">
        <v>88</v>
      </c>
      <c r="CF528" s="3">
        <v>45786</v>
      </c>
      <c r="CI528">
        <v>1</v>
      </c>
      <c r="CJ528">
        <v>1</v>
      </c>
      <c r="CK528">
        <v>21</v>
      </c>
      <c r="CL528" t="s">
        <v>89</v>
      </c>
    </row>
    <row r="529" spans="1:90" x14ac:dyDescent="0.3">
      <c r="A529" t="s">
        <v>72</v>
      </c>
      <c r="B529" t="s">
        <v>73</v>
      </c>
      <c r="C529" t="s">
        <v>74</v>
      </c>
      <c r="E529" t="str">
        <f>"080065242510"</f>
        <v>080065242510</v>
      </c>
      <c r="F529" s="3">
        <v>45785</v>
      </c>
      <c r="G529">
        <v>202602</v>
      </c>
      <c r="H529" t="s">
        <v>75</v>
      </c>
      <c r="I529" t="s">
        <v>76</v>
      </c>
      <c r="J529" t="s">
        <v>77</v>
      </c>
      <c r="K529" t="s">
        <v>78</v>
      </c>
      <c r="L529" t="s">
        <v>90</v>
      </c>
      <c r="M529" t="s">
        <v>91</v>
      </c>
      <c r="N529" t="s">
        <v>1211</v>
      </c>
      <c r="O529" t="s">
        <v>82</v>
      </c>
      <c r="P529" t="str">
        <f>"4170037294                    "</f>
        <v xml:space="preserve">4170037294                    </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21.38</v>
      </c>
      <c r="AR529">
        <v>0</v>
      </c>
      <c r="AS529">
        <v>0</v>
      </c>
      <c r="AT529">
        <v>0</v>
      </c>
      <c r="AU529">
        <v>0</v>
      </c>
      <c r="AV529">
        <v>0</v>
      </c>
      <c r="AW529">
        <v>0</v>
      </c>
      <c r="AX529">
        <v>0</v>
      </c>
      <c r="AY529">
        <v>0</v>
      </c>
      <c r="AZ529">
        <v>0</v>
      </c>
      <c r="BA529">
        <v>0</v>
      </c>
      <c r="BB529">
        <v>0</v>
      </c>
      <c r="BC529">
        <v>0</v>
      </c>
      <c r="BD529">
        <v>0</v>
      </c>
      <c r="BE529">
        <v>0</v>
      </c>
      <c r="BF529">
        <v>0</v>
      </c>
      <c r="BG529">
        <v>0</v>
      </c>
      <c r="BH529">
        <v>1</v>
      </c>
      <c r="BI529">
        <v>1</v>
      </c>
      <c r="BJ529">
        <v>0.2</v>
      </c>
      <c r="BK529">
        <v>1</v>
      </c>
      <c r="BL529">
        <v>69.98</v>
      </c>
      <c r="BM529">
        <v>10.5</v>
      </c>
      <c r="BN529">
        <v>80.48</v>
      </c>
      <c r="BO529">
        <v>80.48</v>
      </c>
      <c r="BQ529" t="s">
        <v>1212</v>
      </c>
      <c r="BR529" t="s">
        <v>84</v>
      </c>
      <c r="BS529" s="3">
        <v>45786</v>
      </c>
      <c r="BT529" s="4">
        <v>0.42291666666666666</v>
      </c>
      <c r="BU529" t="s">
        <v>1213</v>
      </c>
      <c r="BV529" t="s">
        <v>86</v>
      </c>
      <c r="BY529">
        <v>1200</v>
      </c>
      <c r="CA529" t="s">
        <v>943</v>
      </c>
      <c r="CC529" t="s">
        <v>91</v>
      </c>
      <c r="CD529">
        <v>6012</v>
      </c>
      <c r="CE529" t="s">
        <v>88</v>
      </c>
      <c r="CF529" s="3">
        <v>45786</v>
      </c>
      <c r="CI529">
        <v>1</v>
      </c>
      <c r="CJ529">
        <v>1</v>
      </c>
      <c r="CK529">
        <v>21</v>
      </c>
      <c r="CL529" t="s">
        <v>89</v>
      </c>
    </row>
    <row r="530" spans="1:90" x14ac:dyDescent="0.3">
      <c r="A530" t="s">
        <v>72</v>
      </c>
      <c r="B530" t="s">
        <v>73</v>
      </c>
      <c r="C530" t="s">
        <v>74</v>
      </c>
      <c r="E530" t="str">
        <f>"080065242546"</f>
        <v>080065242546</v>
      </c>
      <c r="F530" s="3">
        <v>45785</v>
      </c>
      <c r="G530">
        <v>202602</v>
      </c>
      <c r="H530" t="s">
        <v>75</v>
      </c>
      <c r="I530" t="s">
        <v>76</v>
      </c>
      <c r="J530" t="s">
        <v>77</v>
      </c>
      <c r="K530" t="s">
        <v>78</v>
      </c>
      <c r="L530" t="s">
        <v>844</v>
      </c>
      <c r="M530" t="s">
        <v>845</v>
      </c>
      <c r="N530" t="s">
        <v>846</v>
      </c>
      <c r="O530" t="s">
        <v>82</v>
      </c>
      <c r="P530" t="str">
        <f>"4170037311                    "</f>
        <v xml:space="preserve">4170037311                    </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21.38</v>
      </c>
      <c r="AR530">
        <v>0</v>
      </c>
      <c r="AS530">
        <v>0</v>
      </c>
      <c r="AT530">
        <v>0</v>
      </c>
      <c r="AU530">
        <v>0</v>
      </c>
      <c r="AV530">
        <v>0</v>
      </c>
      <c r="AW530">
        <v>0</v>
      </c>
      <c r="AX530">
        <v>0</v>
      </c>
      <c r="AY530">
        <v>0</v>
      </c>
      <c r="AZ530">
        <v>0</v>
      </c>
      <c r="BA530">
        <v>0</v>
      </c>
      <c r="BB530">
        <v>0</v>
      </c>
      <c r="BC530">
        <v>0</v>
      </c>
      <c r="BD530">
        <v>0</v>
      </c>
      <c r="BE530">
        <v>0</v>
      </c>
      <c r="BF530">
        <v>0</v>
      </c>
      <c r="BG530">
        <v>0</v>
      </c>
      <c r="BH530">
        <v>1</v>
      </c>
      <c r="BI530">
        <v>1</v>
      </c>
      <c r="BJ530">
        <v>0.2</v>
      </c>
      <c r="BK530">
        <v>1</v>
      </c>
      <c r="BL530">
        <v>69.98</v>
      </c>
      <c r="BM530">
        <v>10.5</v>
      </c>
      <c r="BN530">
        <v>80.48</v>
      </c>
      <c r="BO530">
        <v>80.48</v>
      </c>
      <c r="BQ530" t="s">
        <v>847</v>
      </c>
      <c r="BR530" t="s">
        <v>84</v>
      </c>
      <c r="BS530" s="3">
        <v>45786</v>
      </c>
      <c r="BT530" s="4">
        <v>0.38055555555555554</v>
      </c>
      <c r="BU530" t="s">
        <v>848</v>
      </c>
      <c r="BV530" t="s">
        <v>86</v>
      </c>
      <c r="BY530">
        <v>1200</v>
      </c>
      <c r="CA530" t="s">
        <v>849</v>
      </c>
      <c r="CC530" t="s">
        <v>845</v>
      </c>
      <c r="CD530">
        <v>7600</v>
      </c>
      <c r="CE530" t="s">
        <v>88</v>
      </c>
      <c r="CF530" s="3">
        <v>45789</v>
      </c>
      <c r="CI530">
        <v>1</v>
      </c>
      <c r="CJ530">
        <v>1</v>
      </c>
      <c r="CK530">
        <v>21</v>
      </c>
      <c r="CL530" t="s">
        <v>89</v>
      </c>
    </row>
    <row r="531" spans="1:90" x14ac:dyDescent="0.3">
      <c r="A531" t="s">
        <v>72</v>
      </c>
      <c r="B531" t="s">
        <v>73</v>
      </c>
      <c r="C531" t="s">
        <v>74</v>
      </c>
      <c r="E531" t="str">
        <f>"080065242678"</f>
        <v>080065242678</v>
      </c>
      <c r="F531" s="3">
        <v>45785</v>
      </c>
      <c r="G531">
        <v>202602</v>
      </c>
      <c r="H531" t="s">
        <v>75</v>
      </c>
      <c r="I531" t="s">
        <v>76</v>
      </c>
      <c r="J531" t="s">
        <v>77</v>
      </c>
      <c r="K531" t="s">
        <v>78</v>
      </c>
      <c r="L531" t="s">
        <v>177</v>
      </c>
      <c r="M531" t="s">
        <v>178</v>
      </c>
      <c r="N531" t="s">
        <v>1232</v>
      </c>
      <c r="O531" t="s">
        <v>82</v>
      </c>
      <c r="P531" t="str">
        <f>"4170037284                    "</f>
        <v xml:space="preserve">4170037284                    </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21.38</v>
      </c>
      <c r="AR531">
        <v>0</v>
      </c>
      <c r="AS531">
        <v>0</v>
      </c>
      <c r="AT531">
        <v>0</v>
      </c>
      <c r="AU531">
        <v>0</v>
      </c>
      <c r="AV531">
        <v>0</v>
      </c>
      <c r="AW531">
        <v>0</v>
      </c>
      <c r="AX531">
        <v>0</v>
      </c>
      <c r="AY531">
        <v>0</v>
      </c>
      <c r="AZ531">
        <v>0</v>
      </c>
      <c r="BA531">
        <v>0</v>
      </c>
      <c r="BB531">
        <v>0</v>
      </c>
      <c r="BC531">
        <v>0</v>
      </c>
      <c r="BD531">
        <v>0</v>
      </c>
      <c r="BE531">
        <v>0</v>
      </c>
      <c r="BF531">
        <v>0</v>
      </c>
      <c r="BG531">
        <v>0</v>
      </c>
      <c r="BH531">
        <v>1</v>
      </c>
      <c r="BI531">
        <v>1</v>
      </c>
      <c r="BJ531">
        <v>1.1000000000000001</v>
      </c>
      <c r="BK531">
        <v>1.5</v>
      </c>
      <c r="BL531">
        <v>69.98</v>
      </c>
      <c r="BM531">
        <v>10.5</v>
      </c>
      <c r="BN531">
        <v>80.48</v>
      </c>
      <c r="BO531">
        <v>80.48</v>
      </c>
      <c r="BQ531" t="s">
        <v>1233</v>
      </c>
      <c r="BR531" t="s">
        <v>84</v>
      </c>
      <c r="BS531" s="3">
        <v>45786</v>
      </c>
      <c r="BT531" s="4">
        <v>0.39027777777777778</v>
      </c>
      <c r="BU531" t="s">
        <v>1234</v>
      </c>
      <c r="BV531" t="s">
        <v>86</v>
      </c>
      <c r="BY531">
        <v>5320</v>
      </c>
      <c r="CA531" t="s">
        <v>182</v>
      </c>
      <c r="CC531" t="s">
        <v>178</v>
      </c>
      <c r="CD531">
        <v>6229</v>
      </c>
      <c r="CE531" t="s">
        <v>116</v>
      </c>
      <c r="CF531" s="3">
        <v>45786</v>
      </c>
      <c r="CI531">
        <v>1</v>
      </c>
      <c r="CJ531">
        <v>1</v>
      </c>
      <c r="CK531">
        <v>21</v>
      </c>
      <c r="CL531" t="s">
        <v>89</v>
      </c>
    </row>
    <row r="532" spans="1:90" x14ac:dyDescent="0.3">
      <c r="A532" t="s">
        <v>72</v>
      </c>
      <c r="B532" t="s">
        <v>73</v>
      </c>
      <c r="C532" t="s">
        <v>74</v>
      </c>
      <c r="E532" t="str">
        <f>"080065242716"</f>
        <v>080065242716</v>
      </c>
      <c r="F532" s="3">
        <v>45785</v>
      </c>
      <c r="G532">
        <v>202602</v>
      </c>
      <c r="H532" t="s">
        <v>75</v>
      </c>
      <c r="I532" t="s">
        <v>76</v>
      </c>
      <c r="J532" t="s">
        <v>77</v>
      </c>
      <c r="K532" t="s">
        <v>78</v>
      </c>
      <c r="L532" t="s">
        <v>136</v>
      </c>
      <c r="M532" t="s">
        <v>137</v>
      </c>
      <c r="N532" t="s">
        <v>1235</v>
      </c>
      <c r="O532" t="s">
        <v>82</v>
      </c>
      <c r="P532" t="str">
        <f>"4170037327                    "</f>
        <v xml:space="preserve">4170037327                    </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21.38</v>
      </c>
      <c r="AR532">
        <v>0</v>
      </c>
      <c r="AS532">
        <v>0</v>
      </c>
      <c r="AT532">
        <v>0</v>
      </c>
      <c r="AU532">
        <v>0</v>
      </c>
      <c r="AV532">
        <v>0</v>
      </c>
      <c r="AW532">
        <v>0</v>
      </c>
      <c r="AX532">
        <v>0</v>
      </c>
      <c r="AY532">
        <v>0</v>
      </c>
      <c r="AZ532">
        <v>0</v>
      </c>
      <c r="BA532">
        <v>0</v>
      </c>
      <c r="BB532">
        <v>0</v>
      </c>
      <c r="BC532">
        <v>0</v>
      </c>
      <c r="BD532">
        <v>0</v>
      </c>
      <c r="BE532">
        <v>0</v>
      </c>
      <c r="BF532">
        <v>0</v>
      </c>
      <c r="BG532">
        <v>0</v>
      </c>
      <c r="BH532">
        <v>1</v>
      </c>
      <c r="BI532">
        <v>1</v>
      </c>
      <c r="BJ532">
        <v>1.9</v>
      </c>
      <c r="BK532">
        <v>2</v>
      </c>
      <c r="BL532">
        <v>69.98</v>
      </c>
      <c r="BM532">
        <v>10.5</v>
      </c>
      <c r="BN532">
        <v>80.48</v>
      </c>
      <c r="BO532">
        <v>80.48</v>
      </c>
      <c r="BQ532" t="s">
        <v>1236</v>
      </c>
      <c r="BR532" t="s">
        <v>84</v>
      </c>
      <c r="BS532" s="3">
        <v>45786</v>
      </c>
      <c r="BT532" s="4">
        <v>0.33958333333333335</v>
      </c>
      <c r="BU532" t="s">
        <v>1237</v>
      </c>
      <c r="BV532" t="s">
        <v>86</v>
      </c>
      <c r="BY532">
        <v>9600</v>
      </c>
      <c r="CA532" t="s">
        <v>1238</v>
      </c>
      <c r="CC532" t="s">
        <v>137</v>
      </c>
      <c r="CD532" s="5" t="s">
        <v>1239</v>
      </c>
      <c r="CE532" t="s">
        <v>116</v>
      </c>
      <c r="CF532" s="3">
        <v>45786</v>
      </c>
      <c r="CI532">
        <v>1</v>
      </c>
      <c r="CJ532">
        <v>1</v>
      </c>
      <c r="CK532">
        <v>21</v>
      </c>
      <c r="CL532" t="s">
        <v>89</v>
      </c>
    </row>
    <row r="533" spans="1:90" x14ac:dyDescent="0.3">
      <c r="A533" t="s">
        <v>72</v>
      </c>
      <c r="B533" t="s">
        <v>73</v>
      </c>
      <c r="C533" t="s">
        <v>74</v>
      </c>
      <c r="E533" t="str">
        <f>"080065242739"</f>
        <v>080065242739</v>
      </c>
      <c r="F533" s="3">
        <v>45785</v>
      </c>
      <c r="G533">
        <v>202602</v>
      </c>
      <c r="H533" t="s">
        <v>75</v>
      </c>
      <c r="I533" t="s">
        <v>76</v>
      </c>
      <c r="J533" t="s">
        <v>77</v>
      </c>
      <c r="K533" t="s">
        <v>78</v>
      </c>
      <c r="L533" t="s">
        <v>75</v>
      </c>
      <c r="M533" t="s">
        <v>76</v>
      </c>
      <c r="N533" t="s">
        <v>803</v>
      </c>
      <c r="O533" t="s">
        <v>82</v>
      </c>
      <c r="P533" t="str">
        <f>"4170037316                    "</f>
        <v xml:space="preserve">4170037316                    </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16.7</v>
      </c>
      <c r="AR533">
        <v>0</v>
      </c>
      <c r="AS533">
        <v>0</v>
      </c>
      <c r="AT533">
        <v>0</v>
      </c>
      <c r="AU533">
        <v>0</v>
      </c>
      <c r="AV533">
        <v>0</v>
      </c>
      <c r="AW533">
        <v>0</v>
      </c>
      <c r="AX533">
        <v>0</v>
      </c>
      <c r="AY533">
        <v>0</v>
      </c>
      <c r="AZ533">
        <v>0</v>
      </c>
      <c r="BA533">
        <v>0</v>
      </c>
      <c r="BB533">
        <v>0</v>
      </c>
      <c r="BC533">
        <v>0</v>
      </c>
      <c r="BD533">
        <v>0</v>
      </c>
      <c r="BE533">
        <v>0</v>
      </c>
      <c r="BF533">
        <v>0</v>
      </c>
      <c r="BG533">
        <v>0</v>
      </c>
      <c r="BH533">
        <v>1</v>
      </c>
      <c r="BI533">
        <v>1</v>
      </c>
      <c r="BJ533">
        <v>0.2</v>
      </c>
      <c r="BK533">
        <v>1</v>
      </c>
      <c r="BL533">
        <v>54.66</v>
      </c>
      <c r="BM533">
        <v>8.1999999999999993</v>
      </c>
      <c r="BN533">
        <v>62.86</v>
      </c>
      <c r="BO533">
        <v>62.86</v>
      </c>
      <c r="BQ533" t="s">
        <v>804</v>
      </c>
      <c r="BR533" t="s">
        <v>84</v>
      </c>
      <c r="BS533" s="3">
        <v>45786</v>
      </c>
      <c r="BT533" s="4">
        <v>0.42499999999999999</v>
      </c>
      <c r="BU533" t="s">
        <v>1240</v>
      </c>
      <c r="BV533" t="s">
        <v>86</v>
      </c>
      <c r="BY533">
        <v>1200</v>
      </c>
      <c r="CA533" t="s">
        <v>484</v>
      </c>
      <c r="CC533" t="s">
        <v>76</v>
      </c>
      <c r="CD533">
        <v>1619</v>
      </c>
      <c r="CE533" t="s">
        <v>88</v>
      </c>
      <c r="CF533" s="3">
        <v>45787</v>
      </c>
      <c r="CI533">
        <v>1</v>
      </c>
      <c r="CJ533">
        <v>1</v>
      </c>
      <c r="CK533">
        <v>22</v>
      </c>
      <c r="CL533" t="s">
        <v>89</v>
      </c>
    </row>
    <row r="534" spans="1:90" x14ac:dyDescent="0.3">
      <c r="A534" t="s">
        <v>72</v>
      </c>
      <c r="B534" t="s">
        <v>73</v>
      </c>
      <c r="C534" t="s">
        <v>74</v>
      </c>
      <c r="E534" t="str">
        <f>"080065242767"</f>
        <v>080065242767</v>
      </c>
      <c r="F534" s="3">
        <v>45785</v>
      </c>
      <c r="G534">
        <v>202602</v>
      </c>
      <c r="H534" t="s">
        <v>75</v>
      </c>
      <c r="I534" t="s">
        <v>76</v>
      </c>
      <c r="J534" t="s">
        <v>77</v>
      </c>
      <c r="K534" t="s">
        <v>78</v>
      </c>
      <c r="L534" t="s">
        <v>222</v>
      </c>
      <c r="M534" t="s">
        <v>223</v>
      </c>
      <c r="N534" t="s">
        <v>224</v>
      </c>
      <c r="O534" t="s">
        <v>82</v>
      </c>
      <c r="P534" t="str">
        <f>"4170037281                    "</f>
        <v xml:space="preserve">4170037281                    </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30.07</v>
      </c>
      <c r="AR534">
        <v>0</v>
      </c>
      <c r="AS534">
        <v>0</v>
      </c>
      <c r="AT534">
        <v>0</v>
      </c>
      <c r="AU534">
        <v>0</v>
      </c>
      <c r="AV534">
        <v>0</v>
      </c>
      <c r="AW534">
        <v>0</v>
      </c>
      <c r="AX534">
        <v>0</v>
      </c>
      <c r="AY534">
        <v>0</v>
      </c>
      <c r="AZ534">
        <v>0</v>
      </c>
      <c r="BA534">
        <v>0</v>
      </c>
      <c r="BB534">
        <v>0</v>
      </c>
      <c r="BC534">
        <v>0</v>
      </c>
      <c r="BD534">
        <v>0</v>
      </c>
      <c r="BE534">
        <v>0</v>
      </c>
      <c r="BF534">
        <v>0</v>
      </c>
      <c r="BG534">
        <v>0</v>
      </c>
      <c r="BH534">
        <v>1</v>
      </c>
      <c r="BI534">
        <v>1</v>
      </c>
      <c r="BJ534">
        <v>0.2</v>
      </c>
      <c r="BK534">
        <v>1</v>
      </c>
      <c r="BL534">
        <v>98.42</v>
      </c>
      <c r="BM534">
        <v>14.76</v>
      </c>
      <c r="BN534">
        <v>113.18</v>
      </c>
      <c r="BO534">
        <v>113.18</v>
      </c>
      <c r="BQ534" t="s">
        <v>225</v>
      </c>
      <c r="BR534" t="s">
        <v>84</v>
      </c>
      <c r="BS534" s="3">
        <v>45786</v>
      </c>
      <c r="BT534" s="4">
        <v>0.47986111111111113</v>
      </c>
      <c r="BU534" t="s">
        <v>655</v>
      </c>
      <c r="BV534" t="s">
        <v>86</v>
      </c>
      <c r="BY534">
        <v>1200</v>
      </c>
      <c r="CA534" t="s">
        <v>227</v>
      </c>
      <c r="CC534" t="s">
        <v>223</v>
      </c>
      <c r="CD534">
        <v>1754</v>
      </c>
      <c r="CE534" t="s">
        <v>88</v>
      </c>
      <c r="CF534" s="3">
        <v>45787</v>
      </c>
      <c r="CI534">
        <v>1</v>
      </c>
      <c r="CJ534">
        <v>1</v>
      </c>
      <c r="CK534">
        <v>24</v>
      </c>
      <c r="CL534" t="s">
        <v>89</v>
      </c>
    </row>
    <row r="535" spans="1:90" x14ac:dyDescent="0.3">
      <c r="A535" t="s">
        <v>72</v>
      </c>
      <c r="B535" t="s">
        <v>73</v>
      </c>
      <c r="C535" t="s">
        <v>74</v>
      </c>
      <c r="E535" t="str">
        <f>"080065242805"</f>
        <v>080065242805</v>
      </c>
      <c r="F535" s="3">
        <v>45785</v>
      </c>
      <c r="G535">
        <v>202602</v>
      </c>
      <c r="H535" t="s">
        <v>75</v>
      </c>
      <c r="I535" t="s">
        <v>76</v>
      </c>
      <c r="J535" t="s">
        <v>77</v>
      </c>
      <c r="K535" t="s">
        <v>78</v>
      </c>
      <c r="L535" t="s">
        <v>1241</v>
      </c>
      <c r="M535" t="s">
        <v>1242</v>
      </c>
      <c r="N535" t="s">
        <v>1243</v>
      </c>
      <c r="O535" t="s">
        <v>82</v>
      </c>
      <c r="P535" t="str">
        <f>"4170037299                    "</f>
        <v xml:space="preserve">4170037299                    </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41.43</v>
      </c>
      <c r="AR535">
        <v>0</v>
      </c>
      <c r="AS535">
        <v>0</v>
      </c>
      <c r="AT535">
        <v>0</v>
      </c>
      <c r="AU535">
        <v>0</v>
      </c>
      <c r="AV535">
        <v>0</v>
      </c>
      <c r="AW535">
        <v>0</v>
      </c>
      <c r="AX535">
        <v>0</v>
      </c>
      <c r="AY535">
        <v>0</v>
      </c>
      <c r="AZ535">
        <v>0</v>
      </c>
      <c r="BA535">
        <v>0</v>
      </c>
      <c r="BB535">
        <v>0</v>
      </c>
      <c r="BC535">
        <v>0</v>
      </c>
      <c r="BD535">
        <v>0</v>
      </c>
      <c r="BE535">
        <v>0</v>
      </c>
      <c r="BF535">
        <v>0</v>
      </c>
      <c r="BG535">
        <v>0</v>
      </c>
      <c r="BH535">
        <v>1</v>
      </c>
      <c r="BI535">
        <v>1</v>
      </c>
      <c r="BJ535">
        <v>0.2</v>
      </c>
      <c r="BK535">
        <v>1</v>
      </c>
      <c r="BL535">
        <v>135.59</v>
      </c>
      <c r="BM535">
        <v>20.34</v>
      </c>
      <c r="BN535">
        <v>155.93</v>
      </c>
      <c r="BO535">
        <v>155.93</v>
      </c>
      <c r="BQ535" t="s">
        <v>1244</v>
      </c>
      <c r="BR535" t="s">
        <v>84</v>
      </c>
      <c r="BS535" s="3">
        <v>45786</v>
      </c>
      <c r="BT535" s="4">
        <v>0.43055555555555558</v>
      </c>
      <c r="BU535" t="s">
        <v>1245</v>
      </c>
      <c r="BV535" t="s">
        <v>86</v>
      </c>
      <c r="BY535">
        <v>1200</v>
      </c>
      <c r="CC535" t="s">
        <v>1242</v>
      </c>
      <c r="CD535">
        <v>1871</v>
      </c>
      <c r="CE535" t="s">
        <v>88</v>
      </c>
      <c r="CF535" s="3">
        <v>45789</v>
      </c>
      <c r="CI535">
        <v>1</v>
      </c>
      <c r="CJ535">
        <v>1</v>
      </c>
      <c r="CK535">
        <v>23</v>
      </c>
      <c r="CL535" t="s">
        <v>89</v>
      </c>
    </row>
    <row r="536" spans="1:90" x14ac:dyDescent="0.3">
      <c r="A536" t="s">
        <v>72</v>
      </c>
      <c r="B536" t="s">
        <v>73</v>
      </c>
      <c r="C536" t="s">
        <v>74</v>
      </c>
      <c r="E536" t="str">
        <f>"080065242828"</f>
        <v>080065242828</v>
      </c>
      <c r="F536" s="3">
        <v>45785</v>
      </c>
      <c r="G536">
        <v>202602</v>
      </c>
      <c r="H536" t="s">
        <v>75</v>
      </c>
      <c r="I536" t="s">
        <v>76</v>
      </c>
      <c r="J536" t="s">
        <v>77</v>
      </c>
      <c r="K536" t="s">
        <v>78</v>
      </c>
      <c r="L536" t="s">
        <v>79</v>
      </c>
      <c r="M536" t="s">
        <v>80</v>
      </c>
      <c r="N536" t="s">
        <v>357</v>
      </c>
      <c r="O536" t="s">
        <v>82</v>
      </c>
      <c r="P536" t="str">
        <f>"4170037303                    "</f>
        <v xml:space="preserve">4170037303                    </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21.38</v>
      </c>
      <c r="AR536">
        <v>0</v>
      </c>
      <c r="AS536">
        <v>0</v>
      </c>
      <c r="AT536">
        <v>0</v>
      </c>
      <c r="AU536">
        <v>0</v>
      </c>
      <c r="AV536">
        <v>0</v>
      </c>
      <c r="AW536">
        <v>0</v>
      </c>
      <c r="AX536">
        <v>0</v>
      </c>
      <c r="AY536">
        <v>0</v>
      </c>
      <c r="AZ536">
        <v>0</v>
      </c>
      <c r="BA536">
        <v>0</v>
      </c>
      <c r="BB536">
        <v>0</v>
      </c>
      <c r="BC536">
        <v>0</v>
      </c>
      <c r="BD536">
        <v>0</v>
      </c>
      <c r="BE536">
        <v>0</v>
      </c>
      <c r="BF536">
        <v>0</v>
      </c>
      <c r="BG536">
        <v>0</v>
      </c>
      <c r="BH536">
        <v>1</v>
      </c>
      <c r="BI536">
        <v>1</v>
      </c>
      <c r="BJ536">
        <v>0.2</v>
      </c>
      <c r="BK536">
        <v>1</v>
      </c>
      <c r="BL536">
        <v>69.98</v>
      </c>
      <c r="BM536">
        <v>10.5</v>
      </c>
      <c r="BN536">
        <v>80.48</v>
      </c>
      <c r="BO536">
        <v>80.48</v>
      </c>
      <c r="BQ536" t="s">
        <v>358</v>
      </c>
      <c r="BR536" t="s">
        <v>84</v>
      </c>
      <c r="BS536" s="3">
        <v>45786</v>
      </c>
      <c r="BT536" s="4">
        <v>0.43333333333333335</v>
      </c>
      <c r="BU536" t="s">
        <v>788</v>
      </c>
      <c r="BV536" t="s">
        <v>86</v>
      </c>
      <c r="BY536">
        <v>1200</v>
      </c>
      <c r="CA536" t="s">
        <v>87</v>
      </c>
      <c r="CC536" t="s">
        <v>80</v>
      </c>
      <c r="CD536">
        <v>3608</v>
      </c>
      <c r="CE536" t="s">
        <v>88</v>
      </c>
      <c r="CF536" s="3">
        <v>45789</v>
      </c>
      <c r="CI536">
        <v>1</v>
      </c>
      <c r="CJ536">
        <v>1</v>
      </c>
      <c r="CK536">
        <v>21</v>
      </c>
      <c r="CL536" t="s">
        <v>89</v>
      </c>
    </row>
    <row r="537" spans="1:90" x14ac:dyDescent="0.3">
      <c r="A537" t="s">
        <v>72</v>
      </c>
      <c r="B537" t="s">
        <v>73</v>
      </c>
      <c r="C537" t="s">
        <v>74</v>
      </c>
      <c r="E537" t="str">
        <f>"080065242853"</f>
        <v>080065242853</v>
      </c>
      <c r="F537" s="3">
        <v>45785</v>
      </c>
      <c r="G537">
        <v>202602</v>
      </c>
      <c r="H537" t="s">
        <v>75</v>
      </c>
      <c r="I537" t="s">
        <v>76</v>
      </c>
      <c r="J537" t="s">
        <v>77</v>
      </c>
      <c r="K537" t="s">
        <v>78</v>
      </c>
      <c r="L537" t="s">
        <v>360</v>
      </c>
      <c r="M537" t="s">
        <v>361</v>
      </c>
      <c r="N537" t="s">
        <v>362</v>
      </c>
      <c r="O537" t="s">
        <v>82</v>
      </c>
      <c r="P537" t="str">
        <f>"4170037332                    "</f>
        <v xml:space="preserve">4170037332                    </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41.43</v>
      </c>
      <c r="AR537">
        <v>0</v>
      </c>
      <c r="AS537">
        <v>0</v>
      </c>
      <c r="AT537">
        <v>0</v>
      </c>
      <c r="AU537">
        <v>0</v>
      </c>
      <c r="AV537">
        <v>0</v>
      </c>
      <c r="AW537">
        <v>0</v>
      </c>
      <c r="AX537">
        <v>0</v>
      </c>
      <c r="AY537">
        <v>0</v>
      </c>
      <c r="AZ537">
        <v>0</v>
      </c>
      <c r="BA537">
        <v>0</v>
      </c>
      <c r="BB537">
        <v>0</v>
      </c>
      <c r="BC537">
        <v>0</v>
      </c>
      <c r="BD537">
        <v>0</v>
      </c>
      <c r="BE537">
        <v>0</v>
      </c>
      <c r="BF537">
        <v>0</v>
      </c>
      <c r="BG537">
        <v>0</v>
      </c>
      <c r="BH537">
        <v>1</v>
      </c>
      <c r="BI537">
        <v>1</v>
      </c>
      <c r="BJ537">
        <v>0.2</v>
      </c>
      <c r="BK537">
        <v>1</v>
      </c>
      <c r="BL537">
        <v>135.59</v>
      </c>
      <c r="BM537">
        <v>20.34</v>
      </c>
      <c r="BN537">
        <v>155.93</v>
      </c>
      <c r="BO537">
        <v>155.93</v>
      </c>
      <c r="BQ537" t="s">
        <v>363</v>
      </c>
      <c r="BR537" t="s">
        <v>84</v>
      </c>
      <c r="BS537" s="3">
        <v>45786</v>
      </c>
      <c r="BT537" s="4">
        <v>0.45833333333333331</v>
      </c>
      <c r="BU537" t="s">
        <v>1246</v>
      </c>
      <c r="BV537" t="s">
        <v>86</v>
      </c>
      <c r="BY537">
        <v>1200</v>
      </c>
      <c r="CA537" t="s">
        <v>365</v>
      </c>
      <c r="CC537" t="s">
        <v>361</v>
      </c>
      <c r="CD537">
        <v>7300</v>
      </c>
      <c r="CE537" t="s">
        <v>88</v>
      </c>
      <c r="CF537" s="3">
        <v>45789</v>
      </c>
      <c r="CI537">
        <v>1</v>
      </c>
      <c r="CJ537">
        <v>1</v>
      </c>
      <c r="CK537">
        <v>23</v>
      </c>
      <c r="CL537" t="s">
        <v>89</v>
      </c>
    </row>
    <row r="538" spans="1:90" x14ac:dyDescent="0.3">
      <c r="A538" t="s">
        <v>72</v>
      </c>
      <c r="B538" t="s">
        <v>73</v>
      </c>
      <c r="C538" t="s">
        <v>74</v>
      </c>
      <c r="E538" t="str">
        <f>"080065242876"</f>
        <v>080065242876</v>
      </c>
      <c r="F538" s="3">
        <v>45785</v>
      </c>
      <c r="G538">
        <v>202602</v>
      </c>
      <c r="H538" t="s">
        <v>75</v>
      </c>
      <c r="I538" t="s">
        <v>76</v>
      </c>
      <c r="J538" t="s">
        <v>77</v>
      </c>
      <c r="K538" t="s">
        <v>78</v>
      </c>
      <c r="L538" t="s">
        <v>90</v>
      </c>
      <c r="M538" t="s">
        <v>91</v>
      </c>
      <c r="N538" t="s">
        <v>92</v>
      </c>
      <c r="O538" t="s">
        <v>82</v>
      </c>
      <c r="P538" t="str">
        <f>"4170037278                    "</f>
        <v xml:space="preserve">4170037278                    </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21.38</v>
      </c>
      <c r="AR538">
        <v>0</v>
      </c>
      <c r="AS538">
        <v>0</v>
      </c>
      <c r="AT538">
        <v>0</v>
      </c>
      <c r="AU538">
        <v>0</v>
      </c>
      <c r="AV538">
        <v>0</v>
      </c>
      <c r="AW538">
        <v>0</v>
      </c>
      <c r="AX538">
        <v>0</v>
      </c>
      <c r="AY538">
        <v>0</v>
      </c>
      <c r="AZ538">
        <v>0</v>
      </c>
      <c r="BA538">
        <v>0</v>
      </c>
      <c r="BB538">
        <v>0</v>
      </c>
      <c r="BC538">
        <v>0</v>
      </c>
      <c r="BD538">
        <v>0</v>
      </c>
      <c r="BE538">
        <v>0</v>
      </c>
      <c r="BF538">
        <v>0</v>
      </c>
      <c r="BG538">
        <v>0</v>
      </c>
      <c r="BH538">
        <v>1</v>
      </c>
      <c r="BI538">
        <v>1</v>
      </c>
      <c r="BJ538">
        <v>0.2</v>
      </c>
      <c r="BK538">
        <v>1</v>
      </c>
      <c r="BL538">
        <v>69.98</v>
      </c>
      <c r="BM538">
        <v>10.5</v>
      </c>
      <c r="BN538">
        <v>80.48</v>
      </c>
      <c r="BO538">
        <v>80.48</v>
      </c>
      <c r="BQ538" t="s">
        <v>93</v>
      </c>
      <c r="BR538" t="s">
        <v>84</v>
      </c>
      <c r="BS538" s="3">
        <v>45786</v>
      </c>
      <c r="BT538" s="4">
        <v>0.39513888888888887</v>
      </c>
      <c r="BU538" t="s">
        <v>94</v>
      </c>
      <c r="BV538" t="s">
        <v>86</v>
      </c>
      <c r="BY538">
        <v>1200</v>
      </c>
      <c r="CA538" t="s">
        <v>95</v>
      </c>
      <c r="CC538" t="s">
        <v>91</v>
      </c>
      <c r="CD538">
        <v>6001</v>
      </c>
      <c r="CE538" t="s">
        <v>88</v>
      </c>
      <c r="CF538" s="3">
        <v>45786</v>
      </c>
      <c r="CI538">
        <v>1</v>
      </c>
      <c r="CJ538">
        <v>1</v>
      </c>
      <c r="CK538">
        <v>21</v>
      </c>
      <c r="CL538" t="s">
        <v>89</v>
      </c>
    </row>
    <row r="539" spans="1:90" x14ac:dyDescent="0.3">
      <c r="A539" t="s">
        <v>72</v>
      </c>
      <c r="B539" t="s">
        <v>73</v>
      </c>
      <c r="C539" t="s">
        <v>74</v>
      </c>
      <c r="E539" t="str">
        <f>"080065242918"</f>
        <v>080065242918</v>
      </c>
      <c r="F539" s="3">
        <v>45785</v>
      </c>
      <c r="G539">
        <v>202602</v>
      </c>
      <c r="H539" t="s">
        <v>75</v>
      </c>
      <c r="I539" t="s">
        <v>76</v>
      </c>
      <c r="J539" t="s">
        <v>77</v>
      </c>
      <c r="K539" t="s">
        <v>78</v>
      </c>
      <c r="L539" t="s">
        <v>97</v>
      </c>
      <c r="M539" t="s">
        <v>98</v>
      </c>
      <c r="N539" t="s">
        <v>1247</v>
      </c>
      <c r="O539" t="s">
        <v>82</v>
      </c>
      <c r="P539" t="str">
        <f>"4170037285                    "</f>
        <v xml:space="preserve">4170037285                    </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16.7</v>
      </c>
      <c r="AR539">
        <v>0</v>
      </c>
      <c r="AS539">
        <v>0</v>
      </c>
      <c r="AT539">
        <v>0</v>
      </c>
      <c r="AU539">
        <v>0</v>
      </c>
      <c r="AV539">
        <v>0</v>
      </c>
      <c r="AW539">
        <v>0</v>
      </c>
      <c r="AX539">
        <v>0</v>
      </c>
      <c r="AY539">
        <v>0</v>
      </c>
      <c r="AZ539">
        <v>0</v>
      </c>
      <c r="BA539">
        <v>0</v>
      </c>
      <c r="BB539">
        <v>0</v>
      </c>
      <c r="BC539">
        <v>0</v>
      </c>
      <c r="BD539">
        <v>0</v>
      </c>
      <c r="BE539">
        <v>0</v>
      </c>
      <c r="BF539">
        <v>0</v>
      </c>
      <c r="BG539">
        <v>0</v>
      </c>
      <c r="BH539">
        <v>1</v>
      </c>
      <c r="BI539">
        <v>1</v>
      </c>
      <c r="BJ539">
        <v>0.2</v>
      </c>
      <c r="BK539">
        <v>1</v>
      </c>
      <c r="BL539">
        <v>54.66</v>
      </c>
      <c r="BM539">
        <v>8.1999999999999993</v>
      </c>
      <c r="BN539">
        <v>62.86</v>
      </c>
      <c r="BO539">
        <v>62.86</v>
      </c>
      <c r="BQ539" t="s">
        <v>1248</v>
      </c>
      <c r="BR539" t="s">
        <v>84</v>
      </c>
      <c r="BS539" s="3">
        <v>45786</v>
      </c>
      <c r="BT539" s="4">
        <v>0.38958333333333334</v>
      </c>
      <c r="BU539" t="s">
        <v>1249</v>
      </c>
      <c r="BV539" t="s">
        <v>86</v>
      </c>
      <c r="BY539">
        <v>1200</v>
      </c>
      <c r="CA539" t="s">
        <v>175</v>
      </c>
      <c r="CC539" t="s">
        <v>98</v>
      </c>
      <c r="CD539">
        <v>1459</v>
      </c>
      <c r="CE539" t="s">
        <v>88</v>
      </c>
      <c r="CF539" s="3">
        <v>45787</v>
      </c>
      <c r="CI539">
        <v>1</v>
      </c>
      <c r="CJ539">
        <v>1</v>
      </c>
      <c r="CK539">
        <v>22</v>
      </c>
      <c r="CL539" t="s">
        <v>89</v>
      </c>
    </row>
    <row r="540" spans="1:90" x14ac:dyDescent="0.3">
      <c r="A540" t="s">
        <v>72</v>
      </c>
      <c r="B540" t="s">
        <v>73</v>
      </c>
      <c r="C540" t="s">
        <v>74</v>
      </c>
      <c r="E540" t="str">
        <f>"080065242950"</f>
        <v>080065242950</v>
      </c>
      <c r="F540" s="3">
        <v>45785</v>
      </c>
      <c r="G540">
        <v>202602</v>
      </c>
      <c r="H540" t="s">
        <v>75</v>
      </c>
      <c r="I540" t="s">
        <v>76</v>
      </c>
      <c r="J540" t="s">
        <v>77</v>
      </c>
      <c r="K540" t="s">
        <v>78</v>
      </c>
      <c r="L540" t="s">
        <v>123</v>
      </c>
      <c r="M540" t="s">
        <v>123</v>
      </c>
      <c r="N540" t="s">
        <v>766</v>
      </c>
      <c r="O540" t="s">
        <v>82</v>
      </c>
      <c r="P540" t="str">
        <f>"4170037296                    "</f>
        <v xml:space="preserve">4170037296                    </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41.43</v>
      </c>
      <c r="AR540">
        <v>0</v>
      </c>
      <c r="AS540">
        <v>0</v>
      </c>
      <c r="AT540">
        <v>0</v>
      </c>
      <c r="AU540">
        <v>0</v>
      </c>
      <c r="AV540">
        <v>0</v>
      </c>
      <c r="AW540">
        <v>0</v>
      </c>
      <c r="AX540">
        <v>0</v>
      </c>
      <c r="AY540">
        <v>0</v>
      </c>
      <c r="AZ540">
        <v>0</v>
      </c>
      <c r="BA540">
        <v>0</v>
      </c>
      <c r="BB540">
        <v>0</v>
      </c>
      <c r="BC540">
        <v>0</v>
      </c>
      <c r="BD540">
        <v>0</v>
      </c>
      <c r="BE540">
        <v>0</v>
      </c>
      <c r="BF540">
        <v>0</v>
      </c>
      <c r="BG540">
        <v>0</v>
      </c>
      <c r="BH540">
        <v>1</v>
      </c>
      <c r="BI540">
        <v>1</v>
      </c>
      <c r="BJ540">
        <v>0.2</v>
      </c>
      <c r="BK540">
        <v>1</v>
      </c>
      <c r="BL540">
        <v>135.59</v>
      </c>
      <c r="BM540">
        <v>20.34</v>
      </c>
      <c r="BN540">
        <v>155.93</v>
      </c>
      <c r="BO540">
        <v>155.93</v>
      </c>
      <c r="BQ540" t="s">
        <v>767</v>
      </c>
      <c r="BR540" t="s">
        <v>84</v>
      </c>
      <c r="BS540" s="3">
        <v>45786</v>
      </c>
      <c r="BT540" s="4">
        <v>0.52361111111111114</v>
      </c>
      <c r="BU540" t="s">
        <v>768</v>
      </c>
      <c r="BV540" t="s">
        <v>86</v>
      </c>
      <c r="BY540">
        <v>1200</v>
      </c>
      <c r="CA540" t="s">
        <v>128</v>
      </c>
      <c r="CC540" t="s">
        <v>123</v>
      </c>
      <c r="CD540">
        <v>7646</v>
      </c>
      <c r="CE540" t="s">
        <v>88</v>
      </c>
      <c r="CF540" s="3">
        <v>45789</v>
      </c>
      <c r="CI540">
        <v>1</v>
      </c>
      <c r="CJ540">
        <v>1</v>
      </c>
      <c r="CK540">
        <v>23</v>
      </c>
      <c r="CL540" t="s">
        <v>89</v>
      </c>
    </row>
    <row r="541" spans="1:90" x14ac:dyDescent="0.3">
      <c r="A541" t="s">
        <v>72</v>
      </c>
      <c r="B541" t="s">
        <v>73</v>
      </c>
      <c r="C541" t="s">
        <v>74</v>
      </c>
      <c r="E541" t="str">
        <f>"080065242976"</f>
        <v>080065242976</v>
      </c>
      <c r="F541" s="3">
        <v>45785</v>
      </c>
      <c r="G541">
        <v>202602</v>
      </c>
      <c r="H541" t="s">
        <v>75</v>
      </c>
      <c r="I541" t="s">
        <v>76</v>
      </c>
      <c r="J541" t="s">
        <v>77</v>
      </c>
      <c r="K541" t="s">
        <v>78</v>
      </c>
      <c r="L541" t="s">
        <v>90</v>
      </c>
      <c r="M541" t="s">
        <v>91</v>
      </c>
      <c r="N541" t="s">
        <v>1211</v>
      </c>
      <c r="O541" t="s">
        <v>82</v>
      </c>
      <c r="P541" t="str">
        <f>"4170037291                    "</f>
        <v xml:space="preserve">4170037291                    </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21.38</v>
      </c>
      <c r="AR541">
        <v>0</v>
      </c>
      <c r="AS541">
        <v>0</v>
      </c>
      <c r="AT541">
        <v>0</v>
      </c>
      <c r="AU541">
        <v>0</v>
      </c>
      <c r="AV541">
        <v>0</v>
      </c>
      <c r="AW541">
        <v>0</v>
      </c>
      <c r="AX541">
        <v>0</v>
      </c>
      <c r="AY541">
        <v>0</v>
      </c>
      <c r="AZ541">
        <v>0</v>
      </c>
      <c r="BA541">
        <v>0</v>
      </c>
      <c r="BB541">
        <v>0</v>
      </c>
      <c r="BC541">
        <v>0</v>
      </c>
      <c r="BD541">
        <v>0</v>
      </c>
      <c r="BE541">
        <v>0</v>
      </c>
      <c r="BF541">
        <v>0</v>
      </c>
      <c r="BG541">
        <v>0</v>
      </c>
      <c r="BH541">
        <v>1</v>
      </c>
      <c r="BI541">
        <v>1</v>
      </c>
      <c r="BJ541">
        <v>0.2</v>
      </c>
      <c r="BK541">
        <v>1</v>
      </c>
      <c r="BL541">
        <v>69.98</v>
      </c>
      <c r="BM541">
        <v>10.5</v>
      </c>
      <c r="BN541">
        <v>80.48</v>
      </c>
      <c r="BO541">
        <v>80.48</v>
      </c>
      <c r="BQ541" t="s">
        <v>1212</v>
      </c>
      <c r="BR541" t="s">
        <v>84</v>
      </c>
      <c r="BS541" s="3">
        <v>45786</v>
      </c>
      <c r="BT541" s="4">
        <v>0.42291666666666666</v>
      </c>
      <c r="BU541" t="s">
        <v>1213</v>
      </c>
      <c r="BV541" t="s">
        <v>86</v>
      </c>
      <c r="BY541">
        <v>1200</v>
      </c>
      <c r="CA541" t="s">
        <v>943</v>
      </c>
      <c r="CC541" t="s">
        <v>91</v>
      </c>
      <c r="CD541">
        <v>6012</v>
      </c>
      <c r="CE541" t="s">
        <v>88</v>
      </c>
      <c r="CF541" s="3">
        <v>45786</v>
      </c>
      <c r="CI541">
        <v>1</v>
      </c>
      <c r="CJ541">
        <v>1</v>
      </c>
      <c r="CK541">
        <v>21</v>
      </c>
      <c r="CL541" t="s">
        <v>89</v>
      </c>
    </row>
    <row r="542" spans="1:90" x14ac:dyDescent="0.3">
      <c r="A542" t="s">
        <v>72</v>
      </c>
      <c r="B542" t="s">
        <v>73</v>
      </c>
      <c r="C542" t="s">
        <v>74</v>
      </c>
      <c r="E542" t="str">
        <f>"080065243265"</f>
        <v>080065243265</v>
      </c>
      <c r="F542" s="3">
        <v>45785</v>
      </c>
      <c r="G542">
        <v>202602</v>
      </c>
      <c r="H542" t="s">
        <v>75</v>
      </c>
      <c r="I542" t="s">
        <v>76</v>
      </c>
      <c r="J542" t="s">
        <v>77</v>
      </c>
      <c r="K542" t="s">
        <v>78</v>
      </c>
      <c r="L542" t="s">
        <v>1250</v>
      </c>
      <c r="M542" t="s">
        <v>1251</v>
      </c>
      <c r="N542" t="s">
        <v>1252</v>
      </c>
      <c r="O542" t="s">
        <v>82</v>
      </c>
      <c r="P542" t="str">
        <f>"4170037319                    "</f>
        <v xml:space="preserve">4170037319                    </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41.43</v>
      </c>
      <c r="AR542">
        <v>0</v>
      </c>
      <c r="AS542">
        <v>0</v>
      </c>
      <c r="AT542">
        <v>0</v>
      </c>
      <c r="AU542">
        <v>0</v>
      </c>
      <c r="AV542">
        <v>0</v>
      </c>
      <c r="AW542">
        <v>0</v>
      </c>
      <c r="AX542">
        <v>0</v>
      </c>
      <c r="AY542">
        <v>0</v>
      </c>
      <c r="AZ542">
        <v>0</v>
      </c>
      <c r="BA542">
        <v>0</v>
      </c>
      <c r="BB542">
        <v>0</v>
      </c>
      <c r="BC542">
        <v>0</v>
      </c>
      <c r="BD542">
        <v>0</v>
      </c>
      <c r="BE542">
        <v>0</v>
      </c>
      <c r="BF542">
        <v>0</v>
      </c>
      <c r="BG542">
        <v>0</v>
      </c>
      <c r="BH542">
        <v>1</v>
      </c>
      <c r="BI542">
        <v>1</v>
      </c>
      <c r="BJ542">
        <v>0.2</v>
      </c>
      <c r="BK542">
        <v>1</v>
      </c>
      <c r="BL542">
        <v>135.59</v>
      </c>
      <c r="BM542">
        <v>20.34</v>
      </c>
      <c r="BN542">
        <v>155.93</v>
      </c>
      <c r="BO542">
        <v>155.93</v>
      </c>
      <c r="BQ542" t="s">
        <v>1253</v>
      </c>
      <c r="BR542" t="s">
        <v>84</v>
      </c>
      <c r="BS542" s="3">
        <v>45786</v>
      </c>
      <c r="BT542" s="4">
        <v>0.41666666666666669</v>
      </c>
      <c r="BU542" t="s">
        <v>1254</v>
      </c>
      <c r="BV542" t="s">
        <v>86</v>
      </c>
      <c r="BY542">
        <v>1200</v>
      </c>
      <c r="BZ542" t="s">
        <v>35</v>
      </c>
      <c r="CA542" t="s">
        <v>1255</v>
      </c>
      <c r="CC542" t="s">
        <v>1251</v>
      </c>
      <c r="CD542">
        <v>3760</v>
      </c>
      <c r="CE542" t="s">
        <v>176</v>
      </c>
      <c r="CF542" s="3">
        <v>45787</v>
      </c>
      <c r="CI542">
        <v>5</v>
      </c>
      <c r="CJ542">
        <v>1</v>
      </c>
      <c r="CK542">
        <v>23</v>
      </c>
      <c r="CL542" t="s">
        <v>89</v>
      </c>
    </row>
    <row r="543" spans="1:90" x14ac:dyDescent="0.3">
      <c r="A543" t="s">
        <v>72</v>
      </c>
      <c r="B543" t="s">
        <v>73</v>
      </c>
      <c r="C543" t="s">
        <v>74</v>
      </c>
      <c r="E543" t="str">
        <f>"080065243276"</f>
        <v>080065243276</v>
      </c>
      <c r="F543" s="3">
        <v>45785</v>
      </c>
      <c r="G543">
        <v>202602</v>
      </c>
      <c r="H543" t="s">
        <v>75</v>
      </c>
      <c r="I543" t="s">
        <v>76</v>
      </c>
      <c r="J543" t="s">
        <v>77</v>
      </c>
      <c r="K543" t="s">
        <v>78</v>
      </c>
      <c r="L543" t="s">
        <v>117</v>
      </c>
      <c r="M543" t="s">
        <v>118</v>
      </c>
      <c r="N543" t="s">
        <v>1256</v>
      </c>
      <c r="O543" t="s">
        <v>82</v>
      </c>
      <c r="P543" t="str">
        <f>"4170037323                    "</f>
        <v xml:space="preserve">4170037323                    </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16.7</v>
      </c>
      <c r="AR543">
        <v>0</v>
      </c>
      <c r="AS543">
        <v>0</v>
      </c>
      <c r="AT543">
        <v>0</v>
      </c>
      <c r="AU543">
        <v>0</v>
      </c>
      <c r="AV543">
        <v>0</v>
      </c>
      <c r="AW543">
        <v>0</v>
      </c>
      <c r="AX543">
        <v>0</v>
      </c>
      <c r="AY543">
        <v>0</v>
      </c>
      <c r="AZ543">
        <v>0</v>
      </c>
      <c r="BA543">
        <v>0</v>
      </c>
      <c r="BB543">
        <v>0</v>
      </c>
      <c r="BC543">
        <v>0</v>
      </c>
      <c r="BD543">
        <v>0</v>
      </c>
      <c r="BE543">
        <v>0</v>
      </c>
      <c r="BF543">
        <v>0</v>
      </c>
      <c r="BG543">
        <v>0</v>
      </c>
      <c r="BH543">
        <v>1</v>
      </c>
      <c r="BI543">
        <v>2</v>
      </c>
      <c r="BJ543">
        <v>1.4</v>
      </c>
      <c r="BK543">
        <v>2</v>
      </c>
      <c r="BL543">
        <v>54.66</v>
      </c>
      <c r="BM543">
        <v>8.1999999999999993</v>
      </c>
      <c r="BN543">
        <v>62.86</v>
      </c>
      <c r="BO543">
        <v>62.86</v>
      </c>
      <c r="BQ543" t="s">
        <v>1257</v>
      </c>
      <c r="BR543" t="s">
        <v>84</v>
      </c>
      <c r="BS543" s="3">
        <v>45786</v>
      </c>
      <c r="BT543" s="4">
        <v>0.38333333333333336</v>
      </c>
      <c r="BU543" t="s">
        <v>1258</v>
      </c>
      <c r="BV543" t="s">
        <v>86</v>
      </c>
      <c r="BY543">
        <v>7000</v>
      </c>
      <c r="CA543" t="s">
        <v>1259</v>
      </c>
      <c r="CC543" t="s">
        <v>118</v>
      </c>
      <c r="CD543">
        <v>2192</v>
      </c>
      <c r="CE543" t="s">
        <v>176</v>
      </c>
      <c r="CF543" s="3">
        <v>45787</v>
      </c>
      <c r="CI543">
        <v>1</v>
      </c>
      <c r="CJ543">
        <v>1</v>
      </c>
      <c r="CK543">
        <v>22</v>
      </c>
      <c r="CL543" t="s">
        <v>89</v>
      </c>
    </row>
    <row r="544" spans="1:90" x14ac:dyDescent="0.3">
      <c r="A544" t="s">
        <v>72</v>
      </c>
      <c r="B544" t="s">
        <v>73</v>
      </c>
      <c r="C544" t="s">
        <v>74</v>
      </c>
      <c r="E544" t="str">
        <f>"080065243312"</f>
        <v>080065243312</v>
      </c>
      <c r="F544" s="3">
        <v>45785</v>
      </c>
      <c r="G544">
        <v>202602</v>
      </c>
      <c r="H544" t="s">
        <v>75</v>
      </c>
      <c r="I544" t="s">
        <v>76</v>
      </c>
      <c r="J544" t="s">
        <v>77</v>
      </c>
      <c r="K544" t="s">
        <v>78</v>
      </c>
      <c r="L544" t="s">
        <v>463</v>
      </c>
      <c r="M544" t="s">
        <v>464</v>
      </c>
      <c r="N544" t="s">
        <v>1260</v>
      </c>
      <c r="O544" t="s">
        <v>82</v>
      </c>
      <c r="P544" t="str">
        <f>"4170037333                    "</f>
        <v xml:space="preserve">4170037333                    </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21.38</v>
      </c>
      <c r="AR544">
        <v>0</v>
      </c>
      <c r="AS544">
        <v>0</v>
      </c>
      <c r="AT544">
        <v>0</v>
      </c>
      <c r="AU544">
        <v>0</v>
      </c>
      <c r="AV544">
        <v>0</v>
      </c>
      <c r="AW544">
        <v>0</v>
      </c>
      <c r="AX544">
        <v>0</v>
      </c>
      <c r="AY544">
        <v>0</v>
      </c>
      <c r="AZ544">
        <v>0</v>
      </c>
      <c r="BA544">
        <v>0</v>
      </c>
      <c r="BB544">
        <v>0</v>
      </c>
      <c r="BC544">
        <v>0</v>
      </c>
      <c r="BD544">
        <v>0</v>
      </c>
      <c r="BE544">
        <v>0</v>
      </c>
      <c r="BF544">
        <v>0</v>
      </c>
      <c r="BG544">
        <v>0</v>
      </c>
      <c r="BH544">
        <v>1</v>
      </c>
      <c r="BI544">
        <v>1</v>
      </c>
      <c r="BJ544">
        <v>1.4</v>
      </c>
      <c r="BK544">
        <v>1.5</v>
      </c>
      <c r="BL544">
        <v>69.98</v>
      </c>
      <c r="BM544">
        <v>10.5</v>
      </c>
      <c r="BN544">
        <v>80.48</v>
      </c>
      <c r="BO544">
        <v>80.48</v>
      </c>
      <c r="BQ544" t="s">
        <v>1261</v>
      </c>
      <c r="BR544" t="s">
        <v>84</v>
      </c>
      <c r="BS544" s="3">
        <v>45786</v>
      </c>
      <c r="BT544" s="4">
        <v>0.45</v>
      </c>
      <c r="BU544" t="s">
        <v>1262</v>
      </c>
      <c r="BV544" t="s">
        <v>86</v>
      </c>
      <c r="BY544">
        <v>7000</v>
      </c>
      <c r="CC544" t="s">
        <v>464</v>
      </c>
      <c r="CD544">
        <v>5201</v>
      </c>
      <c r="CE544" t="s">
        <v>116</v>
      </c>
      <c r="CF544" s="3">
        <v>45786</v>
      </c>
      <c r="CI544">
        <v>1</v>
      </c>
      <c r="CJ544">
        <v>1</v>
      </c>
      <c r="CK544">
        <v>21</v>
      </c>
      <c r="CL544" t="s">
        <v>89</v>
      </c>
    </row>
    <row r="545" spans="1:90" x14ac:dyDescent="0.3">
      <c r="A545" t="s">
        <v>72</v>
      </c>
      <c r="B545" t="s">
        <v>73</v>
      </c>
      <c r="C545" t="s">
        <v>74</v>
      </c>
      <c r="E545" t="str">
        <f>"080065243327"</f>
        <v>080065243327</v>
      </c>
      <c r="F545" s="3">
        <v>45785</v>
      </c>
      <c r="G545">
        <v>202602</v>
      </c>
      <c r="H545" t="s">
        <v>75</v>
      </c>
      <c r="I545" t="s">
        <v>76</v>
      </c>
      <c r="J545" t="s">
        <v>77</v>
      </c>
      <c r="K545" t="s">
        <v>78</v>
      </c>
      <c r="L545" t="s">
        <v>75</v>
      </c>
      <c r="M545" t="s">
        <v>76</v>
      </c>
      <c r="N545" t="s">
        <v>1263</v>
      </c>
      <c r="O545" t="s">
        <v>82</v>
      </c>
      <c r="P545" t="str">
        <f>"4170037329                    "</f>
        <v xml:space="preserve">4170037329                    </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16.7</v>
      </c>
      <c r="AR545">
        <v>0</v>
      </c>
      <c r="AS545">
        <v>0</v>
      </c>
      <c r="AT545">
        <v>0</v>
      </c>
      <c r="AU545">
        <v>0</v>
      </c>
      <c r="AV545">
        <v>0</v>
      </c>
      <c r="AW545">
        <v>0</v>
      </c>
      <c r="AX545">
        <v>0</v>
      </c>
      <c r="AY545">
        <v>0</v>
      </c>
      <c r="AZ545">
        <v>0</v>
      </c>
      <c r="BA545">
        <v>0</v>
      </c>
      <c r="BB545">
        <v>0</v>
      </c>
      <c r="BC545">
        <v>0</v>
      </c>
      <c r="BD545">
        <v>0</v>
      </c>
      <c r="BE545">
        <v>0</v>
      </c>
      <c r="BF545">
        <v>0</v>
      </c>
      <c r="BG545">
        <v>0</v>
      </c>
      <c r="BH545">
        <v>1</v>
      </c>
      <c r="BI545">
        <v>1</v>
      </c>
      <c r="BJ545">
        <v>0.2</v>
      </c>
      <c r="BK545">
        <v>1</v>
      </c>
      <c r="BL545">
        <v>54.66</v>
      </c>
      <c r="BM545">
        <v>8.1999999999999993</v>
      </c>
      <c r="BN545">
        <v>62.86</v>
      </c>
      <c r="BO545">
        <v>62.86</v>
      </c>
      <c r="BQ545" t="s">
        <v>1264</v>
      </c>
      <c r="BR545" t="s">
        <v>84</v>
      </c>
      <c r="BS545" s="3">
        <v>45786</v>
      </c>
      <c r="BT545" s="4">
        <v>0.31180555555555556</v>
      </c>
      <c r="BU545" t="s">
        <v>1265</v>
      </c>
      <c r="BV545" t="s">
        <v>86</v>
      </c>
      <c r="BY545">
        <v>1200</v>
      </c>
      <c r="CA545" t="s">
        <v>115</v>
      </c>
      <c r="CC545" t="s">
        <v>76</v>
      </c>
      <c r="CD545">
        <v>1600</v>
      </c>
      <c r="CE545" t="s">
        <v>88</v>
      </c>
      <c r="CF545" s="3">
        <v>45786</v>
      </c>
      <c r="CI545">
        <v>1</v>
      </c>
      <c r="CJ545">
        <v>1</v>
      </c>
      <c r="CK545">
        <v>22</v>
      </c>
      <c r="CL545" t="s">
        <v>89</v>
      </c>
    </row>
    <row r="546" spans="1:90" x14ac:dyDescent="0.3">
      <c r="A546" t="s">
        <v>72</v>
      </c>
      <c r="B546" t="s">
        <v>73</v>
      </c>
      <c r="C546" t="s">
        <v>74</v>
      </c>
      <c r="E546" t="str">
        <f>"080065243343"</f>
        <v>080065243343</v>
      </c>
      <c r="F546" s="3">
        <v>45785</v>
      </c>
      <c r="G546">
        <v>202602</v>
      </c>
      <c r="H546" t="s">
        <v>75</v>
      </c>
      <c r="I546" t="s">
        <v>76</v>
      </c>
      <c r="J546" t="s">
        <v>77</v>
      </c>
      <c r="K546" t="s">
        <v>78</v>
      </c>
      <c r="L546" t="s">
        <v>90</v>
      </c>
      <c r="M546" t="s">
        <v>91</v>
      </c>
      <c r="N546" t="s">
        <v>841</v>
      </c>
      <c r="O546" t="s">
        <v>300</v>
      </c>
      <c r="P546" t="str">
        <f>"4170037301                    "</f>
        <v xml:space="preserve">4170037301                    </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41.35</v>
      </c>
      <c r="AR546">
        <v>0</v>
      </c>
      <c r="AS546">
        <v>0</v>
      </c>
      <c r="AT546">
        <v>0</v>
      </c>
      <c r="AU546">
        <v>0</v>
      </c>
      <c r="AV546">
        <v>0</v>
      </c>
      <c r="AW546">
        <v>0</v>
      </c>
      <c r="AX546">
        <v>0</v>
      </c>
      <c r="AY546">
        <v>0</v>
      </c>
      <c r="AZ546">
        <v>0</v>
      </c>
      <c r="BA546">
        <v>0</v>
      </c>
      <c r="BB546">
        <v>0</v>
      </c>
      <c r="BC546">
        <v>0</v>
      </c>
      <c r="BD546">
        <v>0</v>
      </c>
      <c r="BE546">
        <v>0</v>
      </c>
      <c r="BF546">
        <v>0</v>
      </c>
      <c r="BG546">
        <v>0</v>
      </c>
      <c r="BH546">
        <v>1</v>
      </c>
      <c r="BI546">
        <v>7</v>
      </c>
      <c r="BJ546">
        <v>13.8</v>
      </c>
      <c r="BK546">
        <v>14</v>
      </c>
      <c r="BL546">
        <v>140.9</v>
      </c>
      <c r="BM546">
        <v>21.14</v>
      </c>
      <c r="BN546">
        <v>162.04</v>
      </c>
      <c r="BO546">
        <v>162.04</v>
      </c>
      <c r="BQ546" t="s">
        <v>842</v>
      </c>
      <c r="BR546" t="s">
        <v>84</v>
      </c>
      <c r="BS546" s="3">
        <v>45789</v>
      </c>
      <c r="BT546" s="4">
        <v>0.49305555555555558</v>
      </c>
      <c r="BU546" t="s">
        <v>1266</v>
      </c>
      <c r="BV546" t="s">
        <v>86</v>
      </c>
      <c r="BY546">
        <v>69120</v>
      </c>
      <c r="CA546" t="s">
        <v>298</v>
      </c>
      <c r="CC546" t="s">
        <v>91</v>
      </c>
      <c r="CD546">
        <v>6001</v>
      </c>
      <c r="CE546" t="s">
        <v>96</v>
      </c>
      <c r="CF546" s="3">
        <v>45789</v>
      </c>
      <c r="CI546">
        <v>3</v>
      </c>
      <c r="CJ546">
        <v>2</v>
      </c>
      <c r="CK546">
        <v>41</v>
      </c>
      <c r="CL546" t="s">
        <v>89</v>
      </c>
    </row>
    <row r="547" spans="1:90" x14ac:dyDescent="0.3">
      <c r="A547" t="s">
        <v>72</v>
      </c>
      <c r="B547" t="s">
        <v>73</v>
      </c>
      <c r="C547" t="s">
        <v>74</v>
      </c>
      <c r="E547" t="str">
        <f>"080065243381"</f>
        <v>080065243381</v>
      </c>
      <c r="F547" s="3">
        <v>45785</v>
      </c>
      <c r="G547">
        <v>202602</v>
      </c>
      <c r="H547" t="s">
        <v>75</v>
      </c>
      <c r="I547" t="s">
        <v>76</v>
      </c>
      <c r="J547" t="s">
        <v>77</v>
      </c>
      <c r="K547" t="s">
        <v>78</v>
      </c>
      <c r="L547" t="s">
        <v>489</v>
      </c>
      <c r="M547" t="s">
        <v>490</v>
      </c>
      <c r="N547" t="s">
        <v>491</v>
      </c>
      <c r="O547" t="s">
        <v>82</v>
      </c>
      <c r="P547" t="str">
        <f>"4170037310                    "</f>
        <v xml:space="preserve">4170037310                    </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60.14</v>
      </c>
      <c r="AR547">
        <v>0</v>
      </c>
      <c r="AS547">
        <v>0</v>
      </c>
      <c r="AT547">
        <v>0</v>
      </c>
      <c r="AU547">
        <v>0</v>
      </c>
      <c r="AV547">
        <v>0</v>
      </c>
      <c r="AW547">
        <v>0</v>
      </c>
      <c r="AX547">
        <v>0</v>
      </c>
      <c r="AY547">
        <v>0</v>
      </c>
      <c r="AZ547">
        <v>0</v>
      </c>
      <c r="BA547">
        <v>0</v>
      </c>
      <c r="BB547">
        <v>0</v>
      </c>
      <c r="BC547">
        <v>0</v>
      </c>
      <c r="BD547">
        <v>0</v>
      </c>
      <c r="BE547">
        <v>0</v>
      </c>
      <c r="BF547">
        <v>0</v>
      </c>
      <c r="BG547">
        <v>0</v>
      </c>
      <c r="BH547">
        <v>1</v>
      </c>
      <c r="BI547">
        <v>1</v>
      </c>
      <c r="BJ547">
        <v>2.8</v>
      </c>
      <c r="BK547">
        <v>3</v>
      </c>
      <c r="BL547">
        <v>196.82</v>
      </c>
      <c r="BM547">
        <v>29.52</v>
      </c>
      <c r="BN547">
        <v>226.34</v>
      </c>
      <c r="BO547">
        <v>226.34</v>
      </c>
      <c r="BQ547" t="s">
        <v>492</v>
      </c>
      <c r="BR547" t="s">
        <v>84</v>
      </c>
      <c r="BS547" s="3">
        <v>45786</v>
      </c>
      <c r="BT547" s="4">
        <v>0.4</v>
      </c>
      <c r="BU547" t="s">
        <v>1267</v>
      </c>
      <c r="BV547" t="s">
        <v>86</v>
      </c>
      <c r="BY547">
        <v>13824</v>
      </c>
      <c r="CA547" t="s">
        <v>1268</v>
      </c>
      <c r="CC547" t="s">
        <v>490</v>
      </c>
      <c r="CD547">
        <v>2740</v>
      </c>
      <c r="CE547" t="s">
        <v>221</v>
      </c>
      <c r="CF547" s="3">
        <v>45792</v>
      </c>
      <c r="CI547">
        <v>1</v>
      </c>
      <c r="CJ547">
        <v>1</v>
      </c>
      <c r="CK547">
        <v>23</v>
      </c>
      <c r="CL547" t="s">
        <v>89</v>
      </c>
    </row>
    <row r="548" spans="1:90" x14ac:dyDescent="0.3">
      <c r="A548" t="s">
        <v>72</v>
      </c>
      <c r="B548" t="s">
        <v>73</v>
      </c>
      <c r="C548" t="s">
        <v>74</v>
      </c>
      <c r="E548" t="str">
        <f>"080065243392"</f>
        <v>080065243392</v>
      </c>
      <c r="F548" s="3">
        <v>45785</v>
      </c>
      <c r="G548">
        <v>202602</v>
      </c>
      <c r="H548" t="s">
        <v>75</v>
      </c>
      <c r="I548" t="s">
        <v>76</v>
      </c>
      <c r="J548" t="s">
        <v>77</v>
      </c>
      <c r="K548" t="s">
        <v>78</v>
      </c>
      <c r="L548" t="s">
        <v>97</v>
      </c>
      <c r="M548" t="s">
        <v>98</v>
      </c>
      <c r="N548" t="s">
        <v>1269</v>
      </c>
      <c r="O548" t="s">
        <v>82</v>
      </c>
      <c r="P548" t="str">
        <f>"4170037328                    "</f>
        <v xml:space="preserve">4170037328                    </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16.7</v>
      </c>
      <c r="AR548">
        <v>0</v>
      </c>
      <c r="AS548">
        <v>0</v>
      </c>
      <c r="AT548">
        <v>0</v>
      </c>
      <c r="AU548">
        <v>0</v>
      </c>
      <c r="AV548">
        <v>0</v>
      </c>
      <c r="AW548">
        <v>0</v>
      </c>
      <c r="AX548">
        <v>0</v>
      </c>
      <c r="AY548">
        <v>0</v>
      </c>
      <c r="AZ548">
        <v>0</v>
      </c>
      <c r="BA548">
        <v>0</v>
      </c>
      <c r="BB548">
        <v>0</v>
      </c>
      <c r="BC548">
        <v>0</v>
      </c>
      <c r="BD548">
        <v>0</v>
      </c>
      <c r="BE548">
        <v>0</v>
      </c>
      <c r="BF548">
        <v>0</v>
      </c>
      <c r="BG548">
        <v>0</v>
      </c>
      <c r="BH548">
        <v>1</v>
      </c>
      <c r="BI548">
        <v>1</v>
      </c>
      <c r="BJ548">
        <v>0.2</v>
      </c>
      <c r="BK548">
        <v>1</v>
      </c>
      <c r="BL548">
        <v>54.66</v>
      </c>
      <c r="BM548">
        <v>8.1999999999999993</v>
      </c>
      <c r="BN548">
        <v>62.86</v>
      </c>
      <c r="BO548">
        <v>62.86</v>
      </c>
      <c r="BQ548" t="s">
        <v>1270</v>
      </c>
      <c r="BR548" t="s">
        <v>84</v>
      </c>
      <c r="BS548" s="3">
        <v>45786</v>
      </c>
      <c r="BT548" s="4">
        <v>0.3611111111111111</v>
      </c>
      <c r="BU548" t="s">
        <v>1271</v>
      </c>
      <c r="BV548" t="s">
        <v>86</v>
      </c>
      <c r="BY548">
        <v>1200</v>
      </c>
      <c r="CA548" t="s">
        <v>1081</v>
      </c>
      <c r="CC548" t="s">
        <v>98</v>
      </c>
      <c r="CD548">
        <v>1460</v>
      </c>
      <c r="CE548" t="s">
        <v>88</v>
      </c>
      <c r="CF548" s="3">
        <v>45786</v>
      </c>
      <c r="CI548">
        <v>1</v>
      </c>
      <c r="CJ548">
        <v>1</v>
      </c>
      <c r="CK548">
        <v>22</v>
      </c>
      <c r="CL548" t="s">
        <v>89</v>
      </c>
    </row>
    <row r="549" spans="1:90" x14ac:dyDescent="0.3">
      <c r="A549" t="s">
        <v>72</v>
      </c>
      <c r="B549" t="s">
        <v>73</v>
      </c>
      <c r="C549" t="s">
        <v>74</v>
      </c>
      <c r="E549" t="str">
        <f>"080065243418"</f>
        <v>080065243418</v>
      </c>
      <c r="F549" s="3">
        <v>45785</v>
      </c>
      <c r="G549">
        <v>202602</v>
      </c>
      <c r="H549" t="s">
        <v>75</v>
      </c>
      <c r="I549" t="s">
        <v>76</v>
      </c>
      <c r="J549" t="s">
        <v>77</v>
      </c>
      <c r="K549" t="s">
        <v>78</v>
      </c>
      <c r="L549" t="s">
        <v>130</v>
      </c>
      <c r="M549" t="s">
        <v>131</v>
      </c>
      <c r="N549" t="s">
        <v>709</v>
      </c>
      <c r="O549" t="s">
        <v>82</v>
      </c>
      <c r="P549" t="str">
        <f>"4170037286                    "</f>
        <v xml:space="preserve">4170037286                    </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74.8</v>
      </c>
      <c r="AR549">
        <v>0</v>
      </c>
      <c r="AS549">
        <v>0</v>
      </c>
      <c r="AT549">
        <v>0</v>
      </c>
      <c r="AU549">
        <v>0</v>
      </c>
      <c r="AV549">
        <v>0</v>
      </c>
      <c r="AW549">
        <v>0</v>
      </c>
      <c r="AX549">
        <v>0</v>
      </c>
      <c r="AY549">
        <v>0</v>
      </c>
      <c r="AZ549">
        <v>0</v>
      </c>
      <c r="BA549">
        <v>0</v>
      </c>
      <c r="BB549">
        <v>0</v>
      </c>
      <c r="BC549">
        <v>0</v>
      </c>
      <c r="BD549">
        <v>0</v>
      </c>
      <c r="BE549">
        <v>0</v>
      </c>
      <c r="BF549">
        <v>0</v>
      </c>
      <c r="BG549">
        <v>0</v>
      </c>
      <c r="BH549">
        <v>1</v>
      </c>
      <c r="BI549">
        <v>7</v>
      </c>
      <c r="BJ549">
        <v>4</v>
      </c>
      <c r="BK549">
        <v>7</v>
      </c>
      <c r="BL549">
        <v>244.8</v>
      </c>
      <c r="BM549">
        <v>36.72</v>
      </c>
      <c r="BN549">
        <v>281.52</v>
      </c>
      <c r="BO549">
        <v>281.52</v>
      </c>
      <c r="BQ549" t="s">
        <v>710</v>
      </c>
      <c r="BR549" t="s">
        <v>84</v>
      </c>
      <c r="BS549" s="3">
        <v>45789</v>
      </c>
      <c r="BT549" s="4">
        <v>0.33680555555555558</v>
      </c>
      <c r="BU549" t="s">
        <v>1272</v>
      </c>
      <c r="BV549" t="s">
        <v>89</v>
      </c>
      <c r="BW549" t="s">
        <v>340</v>
      </c>
      <c r="BX549" t="s">
        <v>1224</v>
      </c>
      <c r="BY549">
        <v>20064</v>
      </c>
      <c r="CA549" t="s">
        <v>712</v>
      </c>
      <c r="CC549" t="s">
        <v>131</v>
      </c>
      <c r="CD549">
        <v>7530</v>
      </c>
      <c r="CE549" t="s">
        <v>221</v>
      </c>
      <c r="CF549" s="3">
        <v>45790</v>
      </c>
      <c r="CI549">
        <v>1</v>
      </c>
      <c r="CJ549">
        <v>2</v>
      </c>
      <c r="CK549">
        <v>21</v>
      </c>
      <c r="CL549" t="s">
        <v>89</v>
      </c>
    </row>
    <row r="550" spans="1:90" x14ac:dyDescent="0.3">
      <c r="A550" t="s">
        <v>72</v>
      </c>
      <c r="B550" t="s">
        <v>73</v>
      </c>
      <c r="C550" t="s">
        <v>74</v>
      </c>
      <c r="E550" t="str">
        <f>"080065243429"</f>
        <v>080065243429</v>
      </c>
      <c r="F550" s="3">
        <v>45785</v>
      </c>
      <c r="G550">
        <v>202602</v>
      </c>
      <c r="H550" t="s">
        <v>75</v>
      </c>
      <c r="I550" t="s">
        <v>76</v>
      </c>
      <c r="J550" t="s">
        <v>77</v>
      </c>
      <c r="K550" t="s">
        <v>78</v>
      </c>
      <c r="L550" t="s">
        <v>1273</v>
      </c>
      <c r="M550" t="s">
        <v>1274</v>
      </c>
      <c r="N550" t="s">
        <v>1275</v>
      </c>
      <c r="O550" t="s">
        <v>82</v>
      </c>
      <c r="P550" t="str">
        <f>"4170037340                    "</f>
        <v xml:space="preserve">4170037340                    </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41.43</v>
      </c>
      <c r="AR550">
        <v>0</v>
      </c>
      <c r="AS550">
        <v>0</v>
      </c>
      <c r="AT550">
        <v>0</v>
      </c>
      <c r="AU550">
        <v>0</v>
      </c>
      <c r="AV550">
        <v>0</v>
      </c>
      <c r="AW550">
        <v>0</v>
      </c>
      <c r="AX550">
        <v>0</v>
      </c>
      <c r="AY550">
        <v>0</v>
      </c>
      <c r="AZ550">
        <v>0</v>
      </c>
      <c r="BA550">
        <v>0</v>
      </c>
      <c r="BB550">
        <v>0</v>
      </c>
      <c r="BC550">
        <v>0</v>
      </c>
      <c r="BD550">
        <v>0</v>
      </c>
      <c r="BE550">
        <v>0</v>
      </c>
      <c r="BF550">
        <v>0</v>
      </c>
      <c r="BG550">
        <v>0</v>
      </c>
      <c r="BH550">
        <v>1</v>
      </c>
      <c r="BI550">
        <v>1</v>
      </c>
      <c r="BJ550">
        <v>0.2</v>
      </c>
      <c r="BK550">
        <v>1</v>
      </c>
      <c r="BL550">
        <v>135.59</v>
      </c>
      <c r="BM550">
        <v>20.34</v>
      </c>
      <c r="BN550">
        <v>155.93</v>
      </c>
      <c r="BO550">
        <v>155.93</v>
      </c>
      <c r="BQ550" t="s">
        <v>1276</v>
      </c>
      <c r="BR550" t="s">
        <v>84</v>
      </c>
      <c r="BS550" s="3">
        <v>45786</v>
      </c>
      <c r="BT550" s="4">
        <v>0.65208333333333335</v>
      </c>
      <c r="BU550" t="s">
        <v>1277</v>
      </c>
      <c r="BV550" t="s">
        <v>86</v>
      </c>
      <c r="BY550">
        <v>1200</v>
      </c>
      <c r="BZ550" t="s">
        <v>127</v>
      </c>
      <c r="CA550" t="s">
        <v>1278</v>
      </c>
      <c r="CC550" t="s">
        <v>1274</v>
      </c>
      <c r="CD550">
        <v>1120</v>
      </c>
      <c r="CE550" t="s">
        <v>129</v>
      </c>
      <c r="CF550" s="3">
        <v>45786</v>
      </c>
      <c r="CI550">
        <v>1</v>
      </c>
      <c r="CJ550">
        <v>1</v>
      </c>
      <c r="CK550">
        <v>23</v>
      </c>
      <c r="CL550" t="s">
        <v>89</v>
      </c>
    </row>
    <row r="551" spans="1:90" x14ac:dyDescent="0.3">
      <c r="A551" t="s">
        <v>72</v>
      </c>
      <c r="B551" t="s">
        <v>73</v>
      </c>
      <c r="C551" t="s">
        <v>74</v>
      </c>
      <c r="E551" t="str">
        <f>"080065243448"</f>
        <v>080065243448</v>
      </c>
      <c r="F551" s="3">
        <v>45785</v>
      </c>
      <c r="G551">
        <v>202602</v>
      </c>
      <c r="H551" t="s">
        <v>75</v>
      </c>
      <c r="I551" t="s">
        <v>76</v>
      </c>
      <c r="J551" t="s">
        <v>77</v>
      </c>
      <c r="K551" t="s">
        <v>78</v>
      </c>
      <c r="L551" t="s">
        <v>130</v>
      </c>
      <c r="M551" t="s">
        <v>131</v>
      </c>
      <c r="N551" t="s">
        <v>709</v>
      </c>
      <c r="O551" t="s">
        <v>82</v>
      </c>
      <c r="P551" t="str">
        <f>"4170037318                    "</f>
        <v xml:space="preserve">4170037318                    </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21.38</v>
      </c>
      <c r="AR551">
        <v>0</v>
      </c>
      <c r="AS551">
        <v>0</v>
      </c>
      <c r="AT551">
        <v>0</v>
      </c>
      <c r="AU551">
        <v>0</v>
      </c>
      <c r="AV551">
        <v>0</v>
      </c>
      <c r="AW551">
        <v>0</v>
      </c>
      <c r="AX551">
        <v>0</v>
      </c>
      <c r="AY551">
        <v>0</v>
      </c>
      <c r="AZ551">
        <v>0</v>
      </c>
      <c r="BA551">
        <v>0</v>
      </c>
      <c r="BB551">
        <v>0</v>
      </c>
      <c r="BC551">
        <v>0</v>
      </c>
      <c r="BD551">
        <v>0</v>
      </c>
      <c r="BE551">
        <v>0</v>
      </c>
      <c r="BF551">
        <v>0</v>
      </c>
      <c r="BG551">
        <v>0</v>
      </c>
      <c r="BH551">
        <v>1</v>
      </c>
      <c r="BI551">
        <v>1</v>
      </c>
      <c r="BJ551">
        <v>0.2</v>
      </c>
      <c r="BK551">
        <v>1</v>
      </c>
      <c r="BL551">
        <v>69.98</v>
      </c>
      <c r="BM551">
        <v>10.5</v>
      </c>
      <c r="BN551">
        <v>80.48</v>
      </c>
      <c r="BO551">
        <v>80.48</v>
      </c>
      <c r="BQ551" t="s">
        <v>710</v>
      </c>
      <c r="BR551" t="s">
        <v>84</v>
      </c>
      <c r="BS551" s="3">
        <v>45786</v>
      </c>
      <c r="BT551" s="4">
        <v>0.33194444444444443</v>
      </c>
      <c r="BU551" t="s">
        <v>1279</v>
      </c>
      <c r="BV551" t="s">
        <v>86</v>
      </c>
      <c r="BY551">
        <v>1200</v>
      </c>
      <c r="BZ551" t="s">
        <v>127</v>
      </c>
      <c r="CA551" t="s">
        <v>712</v>
      </c>
      <c r="CC551" t="s">
        <v>131</v>
      </c>
      <c r="CD551">
        <v>7530</v>
      </c>
      <c r="CE551" t="s">
        <v>129</v>
      </c>
      <c r="CF551" s="3">
        <v>45789</v>
      </c>
      <c r="CI551">
        <v>1</v>
      </c>
      <c r="CJ551">
        <v>1</v>
      </c>
      <c r="CK551">
        <v>21</v>
      </c>
      <c r="CL551" t="s">
        <v>89</v>
      </c>
    </row>
    <row r="552" spans="1:90" x14ac:dyDescent="0.3">
      <c r="A552" t="s">
        <v>72</v>
      </c>
      <c r="B552" t="s">
        <v>73</v>
      </c>
      <c r="C552" t="s">
        <v>74</v>
      </c>
      <c r="E552" t="str">
        <f>"080065243480"</f>
        <v>080065243480</v>
      </c>
      <c r="F552" s="3">
        <v>45785</v>
      </c>
      <c r="G552">
        <v>202602</v>
      </c>
      <c r="H552" t="s">
        <v>75</v>
      </c>
      <c r="I552" t="s">
        <v>76</v>
      </c>
      <c r="J552" t="s">
        <v>77</v>
      </c>
      <c r="K552" t="s">
        <v>78</v>
      </c>
      <c r="L552" t="s">
        <v>130</v>
      </c>
      <c r="M552" t="s">
        <v>131</v>
      </c>
      <c r="N552" t="s">
        <v>709</v>
      </c>
      <c r="O552" t="s">
        <v>82</v>
      </c>
      <c r="P552" t="str">
        <f>"4170037326                    "</f>
        <v xml:space="preserve">4170037326                    </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21.38</v>
      </c>
      <c r="AR552">
        <v>0</v>
      </c>
      <c r="AS552">
        <v>0</v>
      </c>
      <c r="AT552">
        <v>0</v>
      </c>
      <c r="AU552">
        <v>0</v>
      </c>
      <c r="AV552">
        <v>0</v>
      </c>
      <c r="AW552">
        <v>0</v>
      </c>
      <c r="AX552">
        <v>0</v>
      </c>
      <c r="AY552">
        <v>0</v>
      </c>
      <c r="AZ552">
        <v>0</v>
      </c>
      <c r="BA552">
        <v>0</v>
      </c>
      <c r="BB552">
        <v>0</v>
      </c>
      <c r="BC552">
        <v>0</v>
      </c>
      <c r="BD552">
        <v>0</v>
      </c>
      <c r="BE552">
        <v>0</v>
      </c>
      <c r="BF552">
        <v>0</v>
      </c>
      <c r="BG552">
        <v>0</v>
      </c>
      <c r="BH552">
        <v>1</v>
      </c>
      <c r="BI552">
        <v>1</v>
      </c>
      <c r="BJ552">
        <v>0.2</v>
      </c>
      <c r="BK552">
        <v>1</v>
      </c>
      <c r="BL552">
        <v>69.98</v>
      </c>
      <c r="BM552">
        <v>10.5</v>
      </c>
      <c r="BN552">
        <v>80.48</v>
      </c>
      <c r="BO552">
        <v>80.48</v>
      </c>
      <c r="BQ552" t="s">
        <v>710</v>
      </c>
      <c r="BR552" t="s">
        <v>84</v>
      </c>
      <c r="BS552" s="3">
        <v>45786</v>
      </c>
      <c r="BT552" s="4">
        <v>0.33194444444444443</v>
      </c>
      <c r="BU552" t="s">
        <v>1279</v>
      </c>
      <c r="BV552" t="s">
        <v>86</v>
      </c>
      <c r="BY552">
        <v>1200</v>
      </c>
      <c r="BZ552" t="s">
        <v>127</v>
      </c>
      <c r="CA552" t="s">
        <v>712</v>
      </c>
      <c r="CC552" t="s">
        <v>131</v>
      </c>
      <c r="CD552">
        <v>7530</v>
      </c>
      <c r="CE552" t="s">
        <v>129</v>
      </c>
      <c r="CF552" s="3">
        <v>45789</v>
      </c>
      <c r="CI552">
        <v>1</v>
      </c>
      <c r="CJ552">
        <v>1</v>
      </c>
      <c r="CK552">
        <v>21</v>
      </c>
      <c r="CL552" t="s">
        <v>89</v>
      </c>
    </row>
    <row r="553" spans="1:90" x14ac:dyDescent="0.3">
      <c r="A553" t="s">
        <v>72</v>
      </c>
      <c r="B553" t="s">
        <v>73</v>
      </c>
      <c r="C553" t="s">
        <v>74</v>
      </c>
      <c r="E553" t="str">
        <f>"080065243504"</f>
        <v>080065243504</v>
      </c>
      <c r="F553" s="3">
        <v>45785</v>
      </c>
      <c r="G553">
        <v>202602</v>
      </c>
      <c r="H553" t="s">
        <v>75</v>
      </c>
      <c r="I553" t="s">
        <v>76</v>
      </c>
      <c r="J553" t="s">
        <v>77</v>
      </c>
      <c r="K553" t="s">
        <v>78</v>
      </c>
      <c r="L553" t="s">
        <v>130</v>
      </c>
      <c r="M553" t="s">
        <v>131</v>
      </c>
      <c r="N553" t="s">
        <v>1280</v>
      </c>
      <c r="O553" t="s">
        <v>82</v>
      </c>
      <c r="P553" t="str">
        <f>"4170037314                    "</f>
        <v xml:space="preserve">4170037314                    </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21.38</v>
      </c>
      <c r="AR553">
        <v>0</v>
      </c>
      <c r="AS553">
        <v>0</v>
      </c>
      <c r="AT553">
        <v>0</v>
      </c>
      <c r="AU553">
        <v>0</v>
      </c>
      <c r="AV553">
        <v>0</v>
      </c>
      <c r="AW553">
        <v>0</v>
      </c>
      <c r="AX553">
        <v>0</v>
      </c>
      <c r="AY553">
        <v>0</v>
      </c>
      <c r="AZ553">
        <v>0</v>
      </c>
      <c r="BA553">
        <v>0</v>
      </c>
      <c r="BB553">
        <v>0</v>
      </c>
      <c r="BC553">
        <v>0</v>
      </c>
      <c r="BD553">
        <v>0</v>
      </c>
      <c r="BE553">
        <v>0</v>
      </c>
      <c r="BF553">
        <v>0</v>
      </c>
      <c r="BG553">
        <v>0</v>
      </c>
      <c r="BH553">
        <v>1</v>
      </c>
      <c r="BI553">
        <v>1</v>
      </c>
      <c r="BJ553">
        <v>0.2</v>
      </c>
      <c r="BK553">
        <v>1</v>
      </c>
      <c r="BL553">
        <v>69.98</v>
      </c>
      <c r="BM553">
        <v>10.5</v>
      </c>
      <c r="BN553">
        <v>80.48</v>
      </c>
      <c r="BO553">
        <v>80.48</v>
      </c>
      <c r="BQ553" t="s">
        <v>1281</v>
      </c>
      <c r="BR553" t="s">
        <v>84</v>
      </c>
      <c r="BS553" s="3">
        <v>45786</v>
      </c>
      <c r="BT553" s="4">
        <v>0.36388888888888887</v>
      </c>
      <c r="BU553" t="s">
        <v>1282</v>
      </c>
      <c r="BV553" t="s">
        <v>86</v>
      </c>
      <c r="BY553">
        <v>1200</v>
      </c>
      <c r="CA553" t="s">
        <v>135</v>
      </c>
      <c r="CC553" t="s">
        <v>131</v>
      </c>
      <c r="CD553">
        <v>7490</v>
      </c>
      <c r="CE553" t="s">
        <v>88</v>
      </c>
      <c r="CF553" s="3">
        <v>45789</v>
      </c>
      <c r="CI553">
        <v>1</v>
      </c>
      <c r="CJ553">
        <v>1</v>
      </c>
      <c r="CK553">
        <v>21</v>
      </c>
      <c r="CL553" t="s">
        <v>89</v>
      </c>
    </row>
    <row r="554" spans="1:90" x14ac:dyDescent="0.3">
      <c r="A554" t="s">
        <v>72</v>
      </c>
      <c r="B554" t="s">
        <v>73</v>
      </c>
      <c r="C554" t="s">
        <v>74</v>
      </c>
      <c r="E554" t="str">
        <f>"080065243533"</f>
        <v>080065243533</v>
      </c>
      <c r="F554" s="3">
        <v>45785</v>
      </c>
      <c r="G554">
        <v>202602</v>
      </c>
      <c r="H554" t="s">
        <v>75</v>
      </c>
      <c r="I554" t="s">
        <v>76</v>
      </c>
      <c r="J554" t="s">
        <v>77</v>
      </c>
      <c r="K554" t="s">
        <v>78</v>
      </c>
      <c r="L554" t="s">
        <v>79</v>
      </c>
      <c r="M554" t="s">
        <v>80</v>
      </c>
      <c r="N554" t="s">
        <v>452</v>
      </c>
      <c r="O554" t="s">
        <v>82</v>
      </c>
      <c r="P554" t="str">
        <f>"4170037343                    "</f>
        <v xml:space="preserve">4170037343                    </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21.38</v>
      </c>
      <c r="AR554">
        <v>0</v>
      </c>
      <c r="AS554">
        <v>0</v>
      </c>
      <c r="AT554">
        <v>0</v>
      </c>
      <c r="AU554">
        <v>0</v>
      </c>
      <c r="AV554">
        <v>0</v>
      </c>
      <c r="AW554">
        <v>0</v>
      </c>
      <c r="AX554">
        <v>0</v>
      </c>
      <c r="AY554">
        <v>0</v>
      </c>
      <c r="AZ554">
        <v>0</v>
      </c>
      <c r="BA554">
        <v>0</v>
      </c>
      <c r="BB554">
        <v>0</v>
      </c>
      <c r="BC554">
        <v>0</v>
      </c>
      <c r="BD554">
        <v>0</v>
      </c>
      <c r="BE554">
        <v>0</v>
      </c>
      <c r="BF554">
        <v>0</v>
      </c>
      <c r="BG554">
        <v>0</v>
      </c>
      <c r="BH554">
        <v>1</v>
      </c>
      <c r="BI554">
        <v>1</v>
      </c>
      <c r="BJ554">
        <v>0.2</v>
      </c>
      <c r="BK554">
        <v>1</v>
      </c>
      <c r="BL554">
        <v>69.98</v>
      </c>
      <c r="BM554">
        <v>10.5</v>
      </c>
      <c r="BN554">
        <v>80.48</v>
      </c>
      <c r="BO554">
        <v>80.48</v>
      </c>
      <c r="BQ554" t="s">
        <v>453</v>
      </c>
      <c r="BR554" t="s">
        <v>84</v>
      </c>
      <c r="BS554" s="3">
        <v>45786</v>
      </c>
      <c r="BT554" s="4">
        <v>0.35069444444444442</v>
      </c>
      <c r="BU554" t="s">
        <v>1283</v>
      </c>
      <c r="BV554" t="s">
        <v>86</v>
      </c>
      <c r="BY554">
        <v>1200</v>
      </c>
      <c r="CA554" t="s">
        <v>160</v>
      </c>
      <c r="CC554" t="s">
        <v>80</v>
      </c>
      <c r="CD554">
        <v>3610</v>
      </c>
      <c r="CE554" t="s">
        <v>88</v>
      </c>
      <c r="CF554" s="3">
        <v>45789</v>
      </c>
      <c r="CI554">
        <v>1</v>
      </c>
      <c r="CJ554">
        <v>1</v>
      </c>
      <c r="CK554">
        <v>21</v>
      </c>
      <c r="CL554" t="s">
        <v>89</v>
      </c>
    </row>
    <row r="555" spans="1:90" x14ac:dyDescent="0.3">
      <c r="A555" t="s">
        <v>72</v>
      </c>
      <c r="B555" t="s">
        <v>73</v>
      </c>
      <c r="C555" t="s">
        <v>74</v>
      </c>
      <c r="E555" t="str">
        <f>"080065243563"</f>
        <v>080065243563</v>
      </c>
      <c r="F555" s="3">
        <v>45785</v>
      </c>
      <c r="G555">
        <v>202602</v>
      </c>
      <c r="H555" t="s">
        <v>75</v>
      </c>
      <c r="I555" t="s">
        <v>76</v>
      </c>
      <c r="J555" t="s">
        <v>77</v>
      </c>
      <c r="K555" t="s">
        <v>78</v>
      </c>
      <c r="L555" t="s">
        <v>75</v>
      </c>
      <c r="M555" t="s">
        <v>76</v>
      </c>
      <c r="N555" t="s">
        <v>1263</v>
      </c>
      <c r="O555" t="s">
        <v>82</v>
      </c>
      <c r="P555" t="str">
        <f>"4170037282                    "</f>
        <v xml:space="preserve">4170037282                    </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16.7</v>
      </c>
      <c r="AR555">
        <v>0</v>
      </c>
      <c r="AS555">
        <v>0</v>
      </c>
      <c r="AT555">
        <v>0</v>
      </c>
      <c r="AU555">
        <v>0</v>
      </c>
      <c r="AV555">
        <v>0</v>
      </c>
      <c r="AW555">
        <v>0</v>
      </c>
      <c r="AX555">
        <v>0</v>
      </c>
      <c r="AY555">
        <v>0</v>
      </c>
      <c r="AZ555">
        <v>0</v>
      </c>
      <c r="BA555">
        <v>0</v>
      </c>
      <c r="BB555">
        <v>0</v>
      </c>
      <c r="BC555">
        <v>0</v>
      </c>
      <c r="BD555">
        <v>0</v>
      </c>
      <c r="BE555">
        <v>0</v>
      </c>
      <c r="BF555">
        <v>0</v>
      </c>
      <c r="BG555">
        <v>0</v>
      </c>
      <c r="BH555">
        <v>1</v>
      </c>
      <c r="BI555">
        <v>1</v>
      </c>
      <c r="BJ555">
        <v>0.2</v>
      </c>
      <c r="BK555">
        <v>1</v>
      </c>
      <c r="BL555">
        <v>54.66</v>
      </c>
      <c r="BM555">
        <v>8.1999999999999993</v>
      </c>
      <c r="BN555">
        <v>62.86</v>
      </c>
      <c r="BO555">
        <v>62.86</v>
      </c>
      <c r="BQ555" t="s">
        <v>1264</v>
      </c>
      <c r="BR555" t="s">
        <v>84</v>
      </c>
      <c r="BS555" s="3">
        <v>45786</v>
      </c>
      <c r="BT555" s="4">
        <v>0.39444444444444443</v>
      </c>
      <c r="BU555" t="s">
        <v>1265</v>
      </c>
      <c r="BV555" t="s">
        <v>86</v>
      </c>
      <c r="BY555">
        <v>1200</v>
      </c>
      <c r="CA555" t="s">
        <v>115</v>
      </c>
      <c r="CC555" t="s">
        <v>76</v>
      </c>
      <c r="CD555">
        <v>1600</v>
      </c>
      <c r="CE555" t="s">
        <v>88</v>
      </c>
      <c r="CF555" s="3">
        <v>45786</v>
      </c>
      <c r="CI555">
        <v>1</v>
      </c>
      <c r="CJ555">
        <v>1</v>
      </c>
      <c r="CK555">
        <v>22</v>
      </c>
      <c r="CL555" t="s">
        <v>89</v>
      </c>
    </row>
    <row r="556" spans="1:90" x14ac:dyDescent="0.3">
      <c r="A556" t="s">
        <v>72</v>
      </c>
      <c r="B556" t="s">
        <v>73</v>
      </c>
      <c r="C556" t="s">
        <v>74</v>
      </c>
      <c r="E556" t="str">
        <f>"080065243588"</f>
        <v>080065243588</v>
      </c>
      <c r="F556" s="3">
        <v>45785</v>
      </c>
      <c r="G556">
        <v>202602</v>
      </c>
      <c r="H556" t="s">
        <v>75</v>
      </c>
      <c r="I556" t="s">
        <v>76</v>
      </c>
      <c r="J556" t="s">
        <v>77</v>
      </c>
      <c r="K556" t="s">
        <v>78</v>
      </c>
      <c r="L556" t="s">
        <v>97</v>
      </c>
      <c r="M556" t="s">
        <v>98</v>
      </c>
      <c r="N556" t="s">
        <v>1284</v>
      </c>
      <c r="O556" t="s">
        <v>82</v>
      </c>
      <c r="P556" t="str">
        <f>"4170037320                    "</f>
        <v xml:space="preserve">4170037320                    </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16.7</v>
      </c>
      <c r="AR556">
        <v>0</v>
      </c>
      <c r="AS556">
        <v>0</v>
      </c>
      <c r="AT556">
        <v>0</v>
      </c>
      <c r="AU556">
        <v>0</v>
      </c>
      <c r="AV556">
        <v>0</v>
      </c>
      <c r="AW556">
        <v>0</v>
      </c>
      <c r="AX556">
        <v>0</v>
      </c>
      <c r="AY556">
        <v>0</v>
      </c>
      <c r="AZ556">
        <v>0</v>
      </c>
      <c r="BA556">
        <v>0</v>
      </c>
      <c r="BB556">
        <v>0</v>
      </c>
      <c r="BC556">
        <v>0</v>
      </c>
      <c r="BD556">
        <v>0</v>
      </c>
      <c r="BE556">
        <v>0</v>
      </c>
      <c r="BF556">
        <v>0</v>
      </c>
      <c r="BG556">
        <v>0</v>
      </c>
      <c r="BH556">
        <v>1</v>
      </c>
      <c r="BI556">
        <v>1</v>
      </c>
      <c r="BJ556">
        <v>0.2</v>
      </c>
      <c r="BK556">
        <v>1</v>
      </c>
      <c r="BL556">
        <v>54.66</v>
      </c>
      <c r="BM556">
        <v>8.1999999999999993</v>
      </c>
      <c r="BN556">
        <v>62.86</v>
      </c>
      <c r="BO556">
        <v>62.86</v>
      </c>
      <c r="BQ556" t="s">
        <v>1285</v>
      </c>
      <c r="BR556" t="s">
        <v>84</v>
      </c>
      <c r="BS556" s="3">
        <v>45786</v>
      </c>
      <c r="BT556" s="4">
        <v>0.34861111111111109</v>
      </c>
      <c r="BU556" t="s">
        <v>1286</v>
      </c>
      <c r="BV556" t="s">
        <v>86</v>
      </c>
      <c r="BY556">
        <v>1200</v>
      </c>
      <c r="CA556" t="s">
        <v>175</v>
      </c>
      <c r="CC556" t="s">
        <v>98</v>
      </c>
      <c r="CD556">
        <v>1459</v>
      </c>
      <c r="CE556" t="s">
        <v>88</v>
      </c>
      <c r="CF556" s="3">
        <v>45787</v>
      </c>
      <c r="CI556">
        <v>1</v>
      </c>
      <c r="CJ556">
        <v>1</v>
      </c>
      <c r="CK556">
        <v>22</v>
      </c>
      <c r="CL556" t="s">
        <v>89</v>
      </c>
    </row>
    <row r="557" spans="1:90" x14ac:dyDescent="0.3">
      <c r="A557" t="s">
        <v>72</v>
      </c>
      <c r="B557" t="s">
        <v>73</v>
      </c>
      <c r="C557" t="s">
        <v>74</v>
      </c>
      <c r="E557" t="str">
        <f>"080065243602"</f>
        <v>080065243602</v>
      </c>
      <c r="F557" s="3">
        <v>45785</v>
      </c>
      <c r="G557">
        <v>202602</v>
      </c>
      <c r="H557" t="s">
        <v>75</v>
      </c>
      <c r="I557" t="s">
        <v>76</v>
      </c>
      <c r="J557" t="s">
        <v>77</v>
      </c>
      <c r="K557" t="s">
        <v>78</v>
      </c>
      <c r="L557" t="s">
        <v>117</v>
      </c>
      <c r="M557" t="s">
        <v>118</v>
      </c>
      <c r="N557" t="s">
        <v>1189</v>
      </c>
      <c r="O557" t="s">
        <v>82</v>
      </c>
      <c r="P557" t="str">
        <f>"4170037313                    "</f>
        <v xml:space="preserve">4170037313                    </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16.7</v>
      </c>
      <c r="AR557">
        <v>0</v>
      </c>
      <c r="AS557">
        <v>0</v>
      </c>
      <c r="AT557">
        <v>0</v>
      </c>
      <c r="AU557">
        <v>0</v>
      </c>
      <c r="AV557">
        <v>0</v>
      </c>
      <c r="AW557">
        <v>0</v>
      </c>
      <c r="AX557">
        <v>0</v>
      </c>
      <c r="AY557">
        <v>0</v>
      </c>
      <c r="AZ557">
        <v>0</v>
      </c>
      <c r="BA557">
        <v>0</v>
      </c>
      <c r="BB557">
        <v>0</v>
      </c>
      <c r="BC557">
        <v>0</v>
      </c>
      <c r="BD557">
        <v>0</v>
      </c>
      <c r="BE557">
        <v>0</v>
      </c>
      <c r="BF557">
        <v>0</v>
      </c>
      <c r="BG557">
        <v>0</v>
      </c>
      <c r="BH557">
        <v>1</v>
      </c>
      <c r="BI557">
        <v>1</v>
      </c>
      <c r="BJ557">
        <v>0.2</v>
      </c>
      <c r="BK557">
        <v>1</v>
      </c>
      <c r="BL557">
        <v>54.66</v>
      </c>
      <c r="BM557">
        <v>8.1999999999999993</v>
      </c>
      <c r="BN557">
        <v>62.86</v>
      </c>
      <c r="BO557">
        <v>62.86</v>
      </c>
      <c r="BQ557" t="s">
        <v>1190</v>
      </c>
      <c r="BR557" t="s">
        <v>84</v>
      </c>
      <c r="BS557" s="3">
        <v>45786</v>
      </c>
      <c r="BT557" s="4">
        <v>0.54166666666666663</v>
      </c>
      <c r="BU557" t="s">
        <v>1191</v>
      </c>
      <c r="BV557" t="s">
        <v>89</v>
      </c>
      <c r="BW557" t="s">
        <v>148</v>
      </c>
      <c r="BX557" t="s">
        <v>760</v>
      </c>
      <c r="BY557">
        <v>1200</v>
      </c>
      <c r="CA557" t="s">
        <v>1192</v>
      </c>
      <c r="CC557" t="s">
        <v>118</v>
      </c>
      <c r="CD557">
        <v>2169</v>
      </c>
      <c r="CE557" t="s">
        <v>88</v>
      </c>
      <c r="CF557" s="3">
        <v>45787</v>
      </c>
      <c r="CI557">
        <v>1</v>
      </c>
      <c r="CJ557">
        <v>1</v>
      </c>
      <c r="CK557">
        <v>22</v>
      </c>
      <c r="CL557" t="s">
        <v>89</v>
      </c>
    </row>
    <row r="558" spans="1:90" x14ac:dyDescent="0.3">
      <c r="A558" t="s">
        <v>72</v>
      </c>
      <c r="B558" t="s">
        <v>73</v>
      </c>
      <c r="C558" t="s">
        <v>74</v>
      </c>
      <c r="E558" t="str">
        <f>"080065243626"</f>
        <v>080065243626</v>
      </c>
      <c r="F558" s="3">
        <v>45785</v>
      </c>
      <c r="G558">
        <v>202602</v>
      </c>
      <c r="H558" t="s">
        <v>75</v>
      </c>
      <c r="I558" t="s">
        <v>76</v>
      </c>
      <c r="J558" t="s">
        <v>77</v>
      </c>
      <c r="K558" t="s">
        <v>78</v>
      </c>
      <c r="L558" t="s">
        <v>117</v>
      </c>
      <c r="M558" t="s">
        <v>118</v>
      </c>
      <c r="N558" t="s">
        <v>1189</v>
      </c>
      <c r="O558" t="s">
        <v>82</v>
      </c>
      <c r="P558" t="str">
        <f>"4170037302                    "</f>
        <v xml:space="preserve">4170037302                    </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16.7</v>
      </c>
      <c r="AR558">
        <v>0</v>
      </c>
      <c r="AS558">
        <v>0</v>
      </c>
      <c r="AT558">
        <v>0</v>
      </c>
      <c r="AU558">
        <v>0</v>
      </c>
      <c r="AV558">
        <v>0</v>
      </c>
      <c r="AW558">
        <v>0</v>
      </c>
      <c r="AX558">
        <v>0</v>
      </c>
      <c r="AY558">
        <v>0</v>
      </c>
      <c r="AZ558">
        <v>0</v>
      </c>
      <c r="BA558">
        <v>0</v>
      </c>
      <c r="BB558">
        <v>0</v>
      </c>
      <c r="BC558">
        <v>0</v>
      </c>
      <c r="BD558">
        <v>0</v>
      </c>
      <c r="BE558">
        <v>0</v>
      </c>
      <c r="BF558">
        <v>0</v>
      </c>
      <c r="BG558">
        <v>0</v>
      </c>
      <c r="BH558">
        <v>1</v>
      </c>
      <c r="BI558">
        <v>1</v>
      </c>
      <c r="BJ558">
        <v>0.2</v>
      </c>
      <c r="BK558">
        <v>1</v>
      </c>
      <c r="BL558">
        <v>54.66</v>
      </c>
      <c r="BM558">
        <v>8.1999999999999993</v>
      </c>
      <c r="BN558">
        <v>62.86</v>
      </c>
      <c r="BO558">
        <v>62.86</v>
      </c>
      <c r="BQ558" t="s">
        <v>1190</v>
      </c>
      <c r="BR558" t="s">
        <v>84</v>
      </c>
      <c r="BS558" s="3">
        <v>45786</v>
      </c>
      <c r="BT558" s="4">
        <v>0.54166666666666663</v>
      </c>
      <c r="BU558" t="s">
        <v>1191</v>
      </c>
      <c r="BV558" t="s">
        <v>89</v>
      </c>
      <c r="BW558" t="s">
        <v>148</v>
      </c>
      <c r="BX558" t="s">
        <v>760</v>
      </c>
      <c r="BY558">
        <v>1200</v>
      </c>
      <c r="CA558" t="s">
        <v>1192</v>
      </c>
      <c r="CC558" t="s">
        <v>118</v>
      </c>
      <c r="CD558">
        <v>2169</v>
      </c>
      <c r="CE558" t="s">
        <v>88</v>
      </c>
      <c r="CF558" s="3">
        <v>45787</v>
      </c>
      <c r="CI558">
        <v>1</v>
      </c>
      <c r="CJ558">
        <v>1</v>
      </c>
      <c r="CK558">
        <v>22</v>
      </c>
      <c r="CL558" t="s">
        <v>89</v>
      </c>
    </row>
    <row r="559" spans="1:90" x14ac:dyDescent="0.3">
      <c r="A559" t="s">
        <v>72</v>
      </c>
      <c r="B559" t="s">
        <v>73</v>
      </c>
      <c r="C559" t="s">
        <v>74</v>
      </c>
      <c r="E559" t="str">
        <f>"080065243667"</f>
        <v>080065243667</v>
      </c>
      <c r="F559" s="3">
        <v>45785</v>
      </c>
      <c r="G559">
        <v>202602</v>
      </c>
      <c r="H559" t="s">
        <v>75</v>
      </c>
      <c r="I559" t="s">
        <v>76</v>
      </c>
      <c r="J559" t="s">
        <v>77</v>
      </c>
      <c r="K559" t="s">
        <v>78</v>
      </c>
      <c r="L559" t="s">
        <v>130</v>
      </c>
      <c r="M559" t="s">
        <v>131</v>
      </c>
      <c r="N559" t="s">
        <v>1066</v>
      </c>
      <c r="O559" t="s">
        <v>82</v>
      </c>
      <c r="P559" t="str">
        <f>"4170037275                    "</f>
        <v xml:space="preserve">4170037275                    </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21.38</v>
      </c>
      <c r="AR559">
        <v>0</v>
      </c>
      <c r="AS559">
        <v>0</v>
      </c>
      <c r="AT559">
        <v>0</v>
      </c>
      <c r="AU559">
        <v>0</v>
      </c>
      <c r="AV559">
        <v>0</v>
      </c>
      <c r="AW559">
        <v>0</v>
      </c>
      <c r="AX559">
        <v>0</v>
      </c>
      <c r="AY559">
        <v>0</v>
      </c>
      <c r="AZ559">
        <v>0</v>
      </c>
      <c r="BA559">
        <v>0</v>
      </c>
      <c r="BB559">
        <v>0</v>
      </c>
      <c r="BC559">
        <v>0</v>
      </c>
      <c r="BD559">
        <v>0</v>
      </c>
      <c r="BE559">
        <v>0</v>
      </c>
      <c r="BF559">
        <v>0</v>
      </c>
      <c r="BG559">
        <v>0</v>
      </c>
      <c r="BH559">
        <v>1</v>
      </c>
      <c r="BI559">
        <v>2</v>
      </c>
      <c r="BJ559">
        <v>1.9</v>
      </c>
      <c r="BK559">
        <v>2</v>
      </c>
      <c r="BL559">
        <v>69.98</v>
      </c>
      <c r="BM559">
        <v>10.5</v>
      </c>
      <c r="BN559">
        <v>80.48</v>
      </c>
      <c r="BO559">
        <v>80.48</v>
      </c>
      <c r="BQ559" t="s">
        <v>1067</v>
      </c>
      <c r="BR559" t="s">
        <v>84</v>
      </c>
      <c r="BS559" s="3">
        <v>45789</v>
      </c>
      <c r="BT559" s="4">
        <v>0.41249999999999998</v>
      </c>
      <c r="BU559" t="s">
        <v>1202</v>
      </c>
      <c r="BV559" t="s">
        <v>89</v>
      </c>
      <c r="BW559" t="s">
        <v>340</v>
      </c>
      <c r="BX559" t="s">
        <v>1224</v>
      </c>
      <c r="BY559">
        <v>9600</v>
      </c>
      <c r="CA559" t="s">
        <v>712</v>
      </c>
      <c r="CC559" t="s">
        <v>131</v>
      </c>
      <c r="CD559">
        <v>7561</v>
      </c>
      <c r="CE559" t="s">
        <v>116</v>
      </c>
      <c r="CF559" s="3">
        <v>45790</v>
      </c>
      <c r="CI559">
        <v>1</v>
      </c>
      <c r="CJ559">
        <v>2</v>
      </c>
      <c r="CK559">
        <v>21</v>
      </c>
      <c r="CL559" t="s">
        <v>89</v>
      </c>
    </row>
    <row r="560" spans="1:90" x14ac:dyDescent="0.3">
      <c r="A560" t="s">
        <v>72</v>
      </c>
      <c r="B560" t="s">
        <v>73</v>
      </c>
      <c r="C560" t="s">
        <v>74</v>
      </c>
      <c r="E560" t="str">
        <f>"080065243704"</f>
        <v>080065243704</v>
      </c>
      <c r="F560" s="3">
        <v>45785</v>
      </c>
      <c r="G560">
        <v>202602</v>
      </c>
      <c r="H560" t="s">
        <v>75</v>
      </c>
      <c r="I560" t="s">
        <v>76</v>
      </c>
      <c r="J560" t="s">
        <v>77</v>
      </c>
      <c r="K560" t="s">
        <v>78</v>
      </c>
      <c r="L560" t="s">
        <v>1099</v>
      </c>
      <c r="M560" t="s">
        <v>1100</v>
      </c>
      <c r="N560" t="s">
        <v>1287</v>
      </c>
      <c r="O560" t="s">
        <v>82</v>
      </c>
      <c r="P560" t="str">
        <f>"4170037297                    "</f>
        <v xml:space="preserve">4170037297                    </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41.43</v>
      </c>
      <c r="AR560">
        <v>0</v>
      </c>
      <c r="AS560">
        <v>0</v>
      </c>
      <c r="AT560">
        <v>0</v>
      </c>
      <c r="AU560">
        <v>0</v>
      </c>
      <c r="AV560">
        <v>0</v>
      </c>
      <c r="AW560">
        <v>0</v>
      </c>
      <c r="AX560">
        <v>0</v>
      </c>
      <c r="AY560">
        <v>0</v>
      </c>
      <c r="AZ560">
        <v>0</v>
      </c>
      <c r="BA560">
        <v>0</v>
      </c>
      <c r="BB560">
        <v>0</v>
      </c>
      <c r="BC560">
        <v>0</v>
      </c>
      <c r="BD560">
        <v>0</v>
      </c>
      <c r="BE560">
        <v>0</v>
      </c>
      <c r="BF560">
        <v>0</v>
      </c>
      <c r="BG560">
        <v>0</v>
      </c>
      <c r="BH560">
        <v>1</v>
      </c>
      <c r="BI560">
        <v>2</v>
      </c>
      <c r="BJ560">
        <v>1.3</v>
      </c>
      <c r="BK560">
        <v>2</v>
      </c>
      <c r="BL560">
        <v>135.59</v>
      </c>
      <c r="BM560">
        <v>20.34</v>
      </c>
      <c r="BN560">
        <v>155.93</v>
      </c>
      <c r="BO560">
        <v>155.93</v>
      </c>
      <c r="BQ560" t="s">
        <v>1288</v>
      </c>
      <c r="BR560" t="s">
        <v>84</v>
      </c>
      <c r="BS560" s="3">
        <v>45789</v>
      </c>
      <c r="BT560" s="4">
        <v>0.41388888888888886</v>
      </c>
      <c r="BU560" t="s">
        <v>1289</v>
      </c>
      <c r="BV560" t="s">
        <v>89</v>
      </c>
      <c r="BW560" t="s">
        <v>148</v>
      </c>
      <c r="BX560" t="s">
        <v>1290</v>
      </c>
      <c r="BY560">
        <v>6555</v>
      </c>
      <c r="CC560" t="s">
        <v>1100</v>
      </c>
      <c r="CD560" s="5" t="s">
        <v>1291</v>
      </c>
      <c r="CE560" t="s">
        <v>116</v>
      </c>
      <c r="CF560" s="3">
        <v>45790</v>
      </c>
      <c r="CI560">
        <v>1</v>
      </c>
      <c r="CJ560">
        <v>2</v>
      </c>
      <c r="CK560">
        <v>23</v>
      </c>
      <c r="CL560" t="s">
        <v>89</v>
      </c>
    </row>
    <row r="561" spans="1:90" x14ac:dyDescent="0.3">
      <c r="A561" t="s">
        <v>72</v>
      </c>
      <c r="B561" t="s">
        <v>73</v>
      </c>
      <c r="C561" t="s">
        <v>74</v>
      </c>
      <c r="E561" t="str">
        <f>"080065243743"</f>
        <v>080065243743</v>
      </c>
      <c r="F561" s="3">
        <v>45785</v>
      </c>
      <c r="G561">
        <v>202602</v>
      </c>
      <c r="H561" t="s">
        <v>75</v>
      </c>
      <c r="I561" t="s">
        <v>76</v>
      </c>
      <c r="J561" t="s">
        <v>77</v>
      </c>
      <c r="K561" t="s">
        <v>78</v>
      </c>
      <c r="L561" t="s">
        <v>1241</v>
      </c>
      <c r="M561" t="s">
        <v>1242</v>
      </c>
      <c r="N561" t="s">
        <v>1243</v>
      </c>
      <c r="O561" t="s">
        <v>82</v>
      </c>
      <c r="P561" t="str">
        <f>"4170037300                    "</f>
        <v xml:space="preserve">4170037300                    </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41.43</v>
      </c>
      <c r="AR561">
        <v>0</v>
      </c>
      <c r="AS561">
        <v>0</v>
      </c>
      <c r="AT561">
        <v>0</v>
      </c>
      <c r="AU561">
        <v>0</v>
      </c>
      <c r="AV561">
        <v>0</v>
      </c>
      <c r="AW561">
        <v>0</v>
      </c>
      <c r="AX561">
        <v>0</v>
      </c>
      <c r="AY561">
        <v>0</v>
      </c>
      <c r="AZ561">
        <v>0</v>
      </c>
      <c r="BA561">
        <v>0</v>
      </c>
      <c r="BB561">
        <v>0</v>
      </c>
      <c r="BC561">
        <v>0</v>
      </c>
      <c r="BD561">
        <v>0</v>
      </c>
      <c r="BE561">
        <v>0</v>
      </c>
      <c r="BF561">
        <v>0</v>
      </c>
      <c r="BG561">
        <v>0</v>
      </c>
      <c r="BH561">
        <v>1</v>
      </c>
      <c r="BI561">
        <v>2</v>
      </c>
      <c r="BJ561">
        <v>1.1000000000000001</v>
      </c>
      <c r="BK561">
        <v>2</v>
      </c>
      <c r="BL561">
        <v>135.59</v>
      </c>
      <c r="BM561">
        <v>20.34</v>
      </c>
      <c r="BN561">
        <v>155.93</v>
      </c>
      <c r="BO561">
        <v>155.93</v>
      </c>
      <c r="BQ561" t="s">
        <v>1244</v>
      </c>
      <c r="BR561" t="s">
        <v>84</v>
      </c>
      <c r="BS561" s="3">
        <v>45786</v>
      </c>
      <c r="BT561" s="4">
        <v>0.4375</v>
      </c>
      <c r="BU561" t="s">
        <v>1245</v>
      </c>
      <c r="BV561" t="s">
        <v>86</v>
      </c>
      <c r="BY561">
        <v>5320</v>
      </c>
      <c r="CC561" t="s">
        <v>1242</v>
      </c>
      <c r="CD561">
        <v>1871</v>
      </c>
      <c r="CE561" t="s">
        <v>116</v>
      </c>
      <c r="CF561" s="3">
        <v>45789</v>
      </c>
      <c r="CI561">
        <v>1</v>
      </c>
      <c r="CJ561">
        <v>1</v>
      </c>
      <c r="CK561">
        <v>23</v>
      </c>
      <c r="CL561" t="s">
        <v>89</v>
      </c>
    </row>
    <row r="562" spans="1:90" x14ac:dyDescent="0.3">
      <c r="A562" t="s">
        <v>72</v>
      </c>
      <c r="B562" t="s">
        <v>73</v>
      </c>
      <c r="C562" t="s">
        <v>74</v>
      </c>
      <c r="E562" t="str">
        <f>"080065243788"</f>
        <v>080065243788</v>
      </c>
      <c r="F562" s="3">
        <v>45785</v>
      </c>
      <c r="G562">
        <v>202602</v>
      </c>
      <c r="H562" t="s">
        <v>75</v>
      </c>
      <c r="I562" t="s">
        <v>76</v>
      </c>
      <c r="J562" t="s">
        <v>77</v>
      </c>
      <c r="K562" t="s">
        <v>78</v>
      </c>
      <c r="L562" t="s">
        <v>177</v>
      </c>
      <c r="M562" t="s">
        <v>178</v>
      </c>
      <c r="N562" t="s">
        <v>393</v>
      </c>
      <c r="O562" t="s">
        <v>82</v>
      </c>
      <c r="P562" t="str">
        <f>"4170037331                    "</f>
        <v xml:space="preserve">4170037331                    </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117.53</v>
      </c>
      <c r="AR562">
        <v>0</v>
      </c>
      <c r="AS562">
        <v>0</v>
      </c>
      <c r="AT562">
        <v>0</v>
      </c>
      <c r="AU562">
        <v>0</v>
      </c>
      <c r="AV562">
        <v>0</v>
      </c>
      <c r="AW562">
        <v>0</v>
      </c>
      <c r="AX562">
        <v>0</v>
      </c>
      <c r="AY562">
        <v>0</v>
      </c>
      <c r="AZ562">
        <v>0</v>
      </c>
      <c r="BA562">
        <v>0</v>
      </c>
      <c r="BB562">
        <v>0</v>
      </c>
      <c r="BC562">
        <v>0</v>
      </c>
      <c r="BD562">
        <v>0</v>
      </c>
      <c r="BE562">
        <v>0</v>
      </c>
      <c r="BF562">
        <v>0</v>
      </c>
      <c r="BG562">
        <v>0</v>
      </c>
      <c r="BH562">
        <v>1</v>
      </c>
      <c r="BI562">
        <v>6</v>
      </c>
      <c r="BJ562">
        <v>10.6</v>
      </c>
      <c r="BK562">
        <v>11</v>
      </c>
      <c r="BL562">
        <v>384.65</v>
      </c>
      <c r="BM562">
        <v>57.7</v>
      </c>
      <c r="BN562">
        <v>442.35</v>
      </c>
      <c r="BO562">
        <v>442.35</v>
      </c>
      <c r="BQ562" t="s">
        <v>394</v>
      </c>
      <c r="BR562" t="s">
        <v>84</v>
      </c>
      <c r="BS562" s="3">
        <v>45786</v>
      </c>
      <c r="BT562" s="4">
        <v>0.38541666666666669</v>
      </c>
      <c r="BU562" t="s">
        <v>395</v>
      </c>
      <c r="BV562" t="s">
        <v>86</v>
      </c>
      <c r="BY562">
        <v>53244</v>
      </c>
      <c r="CA562" t="s">
        <v>182</v>
      </c>
      <c r="CC562" t="s">
        <v>178</v>
      </c>
      <c r="CD562">
        <v>6230</v>
      </c>
      <c r="CE562" t="s">
        <v>221</v>
      </c>
      <c r="CF562" s="3">
        <v>45786</v>
      </c>
      <c r="CI562">
        <v>1</v>
      </c>
      <c r="CJ562">
        <v>1</v>
      </c>
      <c r="CK562">
        <v>21</v>
      </c>
      <c r="CL562" t="s">
        <v>89</v>
      </c>
    </row>
    <row r="563" spans="1:90" x14ac:dyDescent="0.3">
      <c r="A563" t="s">
        <v>72</v>
      </c>
      <c r="B563" t="s">
        <v>73</v>
      </c>
      <c r="C563" t="s">
        <v>74</v>
      </c>
      <c r="E563" t="str">
        <f>"080065243851"</f>
        <v>080065243851</v>
      </c>
      <c r="F563" s="3">
        <v>45785</v>
      </c>
      <c r="G563">
        <v>202602</v>
      </c>
      <c r="H563" t="s">
        <v>75</v>
      </c>
      <c r="I563" t="s">
        <v>76</v>
      </c>
      <c r="J563" t="s">
        <v>77</v>
      </c>
      <c r="K563" t="s">
        <v>78</v>
      </c>
      <c r="L563" t="s">
        <v>206</v>
      </c>
      <c r="M563" t="s">
        <v>207</v>
      </c>
      <c r="N563" t="s">
        <v>1292</v>
      </c>
      <c r="O563" t="s">
        <v>82</v>
      </c>
      <c r="P563" t="str">
        <f>"4170037334                    "</f>
        <v xml:space="preserve">4170037334                    </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134.97</v>
      </c>
      <c r="AR563">
        <v>0</v>
      </c>
      <c r="AS563">
        <v>0</v>
      </c>
      <c r="AT563">
        <v>0</v>
      </c>
      <c r="AU563">
        <v>0</v>
      </c>
      <c r="AV563">
        <v>0</v>
      </c>
      <c r="AW563">
        <v>0</v>
      </c>
      <c r="AX563">
        <v>0</v>
      </c>
      <c r="AY563">
        <v>0</v>
      </c>
      <c r="AZ563">
        <v>0</v>
      </c>
      <c r="BA563">
        <v>0</v>
      </c>
      <c r="BB563">
        <v>0</v>
      </c>
      <c r="BC563">
        <v>0</v>
      </c>
      <c r="BD563">
        <v>0</v>
      </c>
      <c r="BE563">
        <v>0</v>
      </c>
      <c r="BF563">
        <v>0</v>
      </c>
      <c r="BG563">
        <v>0</v>
      </c>
      <c r="BH563">
        <v>1</v>
      </c>
      <c r="BI563">
        <v>4</v>
      </c>
      <c r="BJ563">
        <v>7</v>
      </c>
      <c r="BK563">
        <v>7</v>
      </c>
      <c r="BL563">
        <v>441.73</v>
      </c>
      <c r="BM563">
        <v>66.260000000000005</v>
      </c>
      <c r="BN563">
        <v>507.99</v>
      </c>
      <c r="BO563">
        <v>507.99</v>
      </c>
      <c r="BQ563" t="s">
        <v>1293</v>
      </c>
      <c r="BR563" t="s">
        <v>84</v>
      </c>
      <c r="BS563" s="3">
        <v>45786</v>
      </c>
      <c r="BT563" s="4">
        <v>0.65208333333333335</v>
      </c>
      <c r="BU563" t="s">
        <v>1294</v>
      </c>
      <c r="BV563" t="s">
        <v>86</v>
      </c>
      <c r="BY563">
        <v>35000</v>
      </c>
      <c r="CA563" t="s">
        <v>1295</v>
      </c>
      <c r="CC563" t="s">
        <v>207</v>
      </c>
      <c r="CD563">
        <v>1390</v>
      </c>
      <c r="CE563" t="s">
        <v>1296</v>
      </c>
      <c r="CF563" s="3">
        <v>45789</v>
      </c>
      <c r="CI563">
        <v>1</v>
      </c>
      <c r="CJ563">
        <v>1</v>
      </c>
      <c r="CK563">
        <v>23</v>
      </c>
      <c r="CL563" t="s">
        <v>89</v>
      </c>
    </row>
    <row r="564" spans="1:90" x14ac:dyDescent="0.3">
      <c r="A564" t="s">
        <v>72</v>
      </c>
      <c r="B564" t="s">
        <v>73</v>
      </c>
      <c r="C564" t="s">
        <v>74</v>
      </c>
      <c r="E564" t="str">
        <f>"080065243898"</f>
        <v>080065243898</v>
      </c>
      <c r="F564" s="3">
        <v>45785</v>
      </c>
      <c r="G564">
        <v>202602</v>
      </c>
      <c r="H564" t="s">
        <v>75</v>
      </c>
      <c r="I564" t="s">
        <v>76</v>
      </c>
      <c r="J564" t="s">
        <v>77</v>
      </c>
      <c r="K564" t="s">
        <v>78</v>
      </c>
      <c r="L564" t="s">
        <v>902</v>
      </c>
      <c r="M564" t="s">
        <v>903</v>
      </c>
      <c r="N564" t="s">
        <v>904</v>
      </c>
      <c r="O564" t="s">
        <v>82</v>
      </c>
      <c r="P564" t="str">
        <f>"4170037330                    "</f>
        <v xml:space="preserve">4170037330                    </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41.43</v>
      </c>
      <c r="AR564">
        <v>0</v>
      </c>
      <c r="AS564">
        <v>0</v>
      </c>
      <c r="AT564">
        <v>0</v>
      </c>
      <c r="AU564">
        <v>0</v>
      </c>
      <c r="AV564">
        <v>0</v>
      </c>
      <c r="AW564">
        <v>0</v>
      </c>
      <c r="AX564">
        <v>0</v>
      </c>
      <c r="AY564">
        <v>0</v>
      </c>
      <c r="AZ564">
        <v>0</v>
      </c>
      <c r="BA564">
        <v>0</v>
      </c>
      <c r="BB564">
        <v>0</v>
      </c>
      <c r="BC564">
        <v>0</v>
      </c>
      <c r="BD564">
        <v>0</v>
      </c>
      <c r="BE564">
        <v>0</v>
      </c>
      <c r="BF564">
        <v>0</v>
      </c>
      <c r="BG564">
        <v>0</v>
      </c>
      <c r="BH564">
        <v>1</v>
      </c>
      <c r="BI564">
        <v>1</v>
      </c>
      <c r="BJ564">
        <v>2</v>
      </c>
      <c r="BK564">
        <v>2</v>
      </c>
      <c r="BL564">
        <v>135.59</v>
      </c>
      <c r="BM564">
        <v>20.34</v>
      </c>
      <c r="BN564">
        <v>155.93</v>
      </c>
      <c r="BO564">
        <v>155.93</v>
      </c>
      <c r="BQ564" t="s">
        <v>905</v>
      </c>
      <c r="BR564" t="s">
        <v>84</v>
      </c>
      <c r="BS564" s="3">
        <v>45786</v>
      </c>
      <c r="BT564" s="4">
        <v>0.50138888888888888</v>
      </c>
      <c r="BU564" t="s">
        <v>906</v>
      </c>
      <c r="BV564" t="s">
        <v>86</v>
      </c>
      <c r="BY564">
        <v>10206</v>
      </c>
      <c r="CA564" t="s">
        <v>907</v>
      </c>
      <c r="CC564" t="s">
        <v>903</v>
      </c>
      <c r="CD564">
        <v>1028</v>
      </c>
      <c r="CE564" t="s">
        <v>1296</v>
      </c>
      <c r="CF564" s="3">
        <v>45786</v>
      </c>
      <c r="CI564">
        <v>1</v>
      </c>
      <c r="CJ564">
        <v>1</v>
      </c>
      <c r="CK564">
        <v>23</v>
      </c>
      <c r="CL564" t="s">
        <v>89</v>
      </c>
    </row>
    <row r="565" spans="1:90" x14ac:dyDescent="0.3">
      <c r="A565" t="s">
        <v>72</v>
      </c>
      <c r="B565" t="s">
        <v>73</v>
      </c>
      <c r="C565" t="s">
        <v>74</v>
      </c>
      <c r="E565" t="str">
        <f>"080065243960"</f>
        <v>080065243960</v>
      </c>
      <c r="F565" s="3">
        <v>45785</v>
      </c>
      <c r="G565">
        <v>202602</v>
      </c>
      <c r="H565" t="s">
        <v>75</v>
      </c>
      <c r="I565" t="s">
        <v>76</v>
      </c>
      <c r="J565" t="s">
        <v>77</v>
      </c>
      <c r="K565" t="s">
        <v>78</v>
      </c>
      <c r="L565" t="s">
        <v>136</v>
      </c>
      <c r="M565" t="s">
        <v>137</v>
      </c>
      <c r="N565" t="s">
        <v>1297</v>
      </c>
      <c r="O565" t="s">
        <v>82</v>
      </c>
      <c r="P565" t="str">
        <f>"4170037283                    "</f>
        <v xml:space="preserve">4170037283                    </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21.38</v>
      </c>
      <c r="AR565">
        <v>0</v>
      </c>
      <c r="AS565">
        <v>0</v>
      </c>
      <c r="AT565">
        <v>0</v>
      </c>
      <c r="AU565">
        <v>0</v>
      </c>
      <c r="AV565">
        <v>0</v>
      </c>
      <c r="AW565">
        <v>0</v>
      </c>
      <c r="AX565">
        <v>0</v>
      </c>
      <c r="AY565">
        <v>0</v>
      </c>
      <c r="AZ565">
        <v>0</v>
      </c>
      <c r="BA565">
        <v>0</v>
      </c>
      <c r="BB565">
        <v>0</v>
      </c>
      <c r="BC565">
        <v>0</v>
      </c>
      <c r="BD565">
        <v>0</v>
      </c>
      <c r="BE565">
        <v>0</v>
      </c>
      <c r="BF565">
        <v>0</v>
      </c>
      <c r="BG565">
        <v>0</v>
      </c>
      <c r="BH565">
        <v>1</v>
      </c>
      <c r="BI565">
        <v>1</v>
      </c>
      <c r="BJ565">
        <v>0.2</v>
      </c>
      <c r="BK565">
        <v>1</v>
      </c>
      <c r="BL565">
        <v>69.98</v>
      </c>
      <c r="BM565">
        <v>10.5</v>
      </c>
      <c r="BN565">
        <v>80.48</v>
      </c>
      <c r="BO565">
        <v>80.48</v>
      </c>
      <c r="BQ565" t="s">
        <v>1298</v>
      </c>
      <c r="BR565" t="s">
        <v>84</v>
      </c>
      <c r="BS565" s="3">
        <v>45786</v>
      </c>
      <c r="BT565" s="4">
        <v>0.40833333333333333</v>
      </c>
      <c r="BU565" t="s">
        <v>1299</v>
      </c>
      <c r="BV565" t="s">
        <v>86</v>
      </c>
      <c r="BY565">
        <v>1200</v>
      </c>
      <c r="CA565" t="s">
        <v>141</v>
      </c>
      <c r="CC565" t="s">
        <v>137</v>
      </c>
      <c r="CD565" s="5" t="s">
        <v>1239</v>
      </c>
      <c r="CE565" t="s">
        <v>88</v>
      </c>
      <c r="CF565" s="3">
        <v>45786</v>
      </c>
      <c r="CI565">
        <v>1</v>
      </c>
      <c r="CJ565">
        <v>1</v>
      </c>
      <c r="CK565">
        <v>21</v>
      </c>
      <c r="CL565" t="s">
        <v>89</v>
      </c>
    </row>
    <row r="566" spans="1:90" x14ac:dyDescent="0.3">
      <c r="A566" t="s">
        <v>72</v>
      </c>
      <c r="B566" t="s">
        <v>73</v>
      </c>
      <c r="C566" t="s">
        <v>74</v>
      </c>
      <c r="E566" t="str">
        <f>"080065244051"</f>
        <v>080065244051</v>
      </c>
      <c r="F566" s="3">
        <v>45785</v>
      </c>
      <c r="G566">
        <v>202602</v>
      </c>
      <c r="H566" t="s">
        <v>75</v>
      </c>
      <c r="I566" t="s">
        <v>76</v>
      </c>
      <c r="J566" t="s">
        <v>77</v>
      </c>
      <c r="K566" t="s">
        <v>78</v>
      </c>
      <c r="L566" t="s">
        <v>810</v>
      </c>
      <c r="M566" t="s">
        <v>811</v>
      </c>
      <c r="N566" t="s">
        <v>812</v>
      </c>
      <c r="O566" t="s">
        <v>82</v>
      </c>
      <c r="P566" t="str">
        <f>"4170037322                    "</f>
        <v xml:space="preserve">4170037322                    </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41.43</v>
      </c>
      <c r="AR566">
        <v>0</v>
      </c>
      <c r="AS566">
        <v>0</v>
      </c>
      <c r="AT566">
        <v>0</v>
      </c>
      <c r="AU566">
        <v>0</v>
      </c>
      <c r="AV566">
        <v>0</v>
      </c>
      <c r="AW566">
        <v>0</v>
      </c>
      <c r="AX566">
        <v>0</v>
      </c>
      <c r="AY566">
        <v>0</v>
      </c>
      <c r="AZ566">
        <v>0</v>
      </c>
      <c r="BA566">
        <v>0</v>
      </c>
      <c r="BB566">
        <v>0</v>
      </c>
      <c r="BC566">
        <v>0</v>
      </c>
      <c r="BD566">
        <v>0</v>
      </c>
      <c r="BE566">
        <v>0</v>
      </c>
      <c r="BF566">
        <v>0</v>
      </c>
      <c r="BG566">
        <v>0</v>
      </c>
      <c r="BH566">
        <v>1</v>
      </c>
      <c r="BI566">
        <v>2</v>
      </c>
      <c r="BJ566">
        <v>1.1000000000000001</v>
      </c>
      <c r="BK566">
        <v>2</v>
      </c>
      <c r="BL566">
        <v>135.59</v>
      </c>
      <c r="BM566">
        <v>20.34</v>
      </c>
      <c r="BN566">
        <v>155.93</v>
      </c>
      <c r="BO566">
        <v>155.93</v>
      </c>
      <c r="BQ566" t="s">
        <v>813</v>
      </c>
      <c r="BR566" t="s">
        <v>84</v>
      </c>
      <c r="BS566" s="3">
        <v>45786</v>
      </c>
      <c r="BT566" s="4">
        <v>0.35</v>
      </c>
      <c r="BU566" t="s">
        <v>814</v>
      </c>
      <c r="BV566" t="s">
        <v>86</v>
      </c>
      <c r="BY566">
        <v>5280</v>
      </c>
      <c r="CA566" t="s">
        <v>815</v>
      </c>
      <c r="CC566" t="s">
        <v>811</v>
      </c>
      <c r="CD566">
        <v>7110</v>
      </c>
      <c r="CE566" t="s">
        <v>221</v>
      </c>
      <c r="CF566" s="3">
        <v>45789</v>
      </c>
      <c r="CI566">
        <v>1</v>
      </c>
      <c r="CJ566">
        <v>1</v>
      </c>
      <c r="CK566">
        <v>23</v>
      </c>
      <c r="CL566" t="s">
        <v>89</v>
      </c>
    </row>
    <row r="567" spans="1:90" x14ac:dyDescent="0.3">
      <c r="A567" t="s">
        <v>72</v>
      </c>
      <c r="B567" t="s">
        <v>73</v>
      </c>
      <c r="C567" t="s">
        <v>74</v>
      </c>
      <c r="E567" t="str">
        <f>"080065244098"</f>
        <v>080065244098</v>
      </c>
      <c r="F567" s="3">
        <v>45785</v>
      </c>
      <c r="G567">
        <v>202602</v>
      </c>
      <c r="H567" t="s">
        <v>75</v>
      </c>
      <c r="I567" t="s">
        <v>76</v>
      </c>
      <c r="J567" t="s">
        <v>77</v>
      </c>
      <c r="K567" t="s">
        <v>78</v>
      </c>
      <c r="L567" t="s">
        <v>463</v>
      </c>
      <c r="M567" t="s">
        <v>464</v>
      </c>
      <c r="N567" t="s">
        <v>585</v>
      </c>
      <c r="O567" t="s">
        <v>82</v>
      </c>
      <c r="P567" t="str">
        <f>"4170037347                    "</f>
        <v xml:space="preserve">4170037347                    </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21.38</v>
      </c>
      <c r="AR567">
        <v>0</v>
      </c>
      <c r="AS567">
        <v>0</v>
      </c>
      <c r="AT567">
        <v>0</v>
      </c>
      <c r="AU567">
        <v>0</v>
      </c>
      <c r="AV567">
        <v>0</v>
      </c>
      <c r="AW567">
        <v>0</v>
      </c>
      <c r="AX567">
        <v>0</v>
      </c>
      <c r="AY567">
        <v>0</v>
      </c>
      <c r="AZ567">
        <v>0</v>
      </c>
      <c r="BA567">
        <v>0</v>
      </c>
      <c r="BB567">
        <v>0</v>
      </c>
      <c r="BC567">
        <v>0</v>
      </c>
      <c r="BD567">
        <v>0</v>
      </c>
      <c r="BE567">
        <v>0</v>
      </c>
      <c r="BF567">
        <v>0</v>
      </c>
      <c r="BG567">
        <v>0</v>
      </c>
      <c r="BH567">
        <v>1</v>
      </c>
      <c r="BI567">
        <v>1</v>
      </c>
      <c r="BJ567">
        <v>0.2</v>
      </c>
      <c r="BK567">
        <v>1</v>
      </c>
      <c r="BL567">
        <v>69.98</v>
      </c>
      <c r="BM567">
        <v>10.5</v>
      </c>
      <c r="BN567">
        <v>80.48</v>
      </c>
      <c r="BO567">
        <v>80.48</v>
      </c>
      <c r="BQ567" t="s">
        <v>586</v>
      </c>
      <c r="BR567" t="s">
        <v>84</v>
      </c>
      <c r="BS567" s="3">
        <v>45786</v>
      </c>
      <c r="BT567" s="4">
        <v>0.47986111111111113</v>
      </c>
      <c r="BU567" t="s">
        <v>1300</v>
      </c>
      <c r="BV567" t="s">
        <v>89</v>
      </c>
      <c r="BY567">
        <v>1200</v>
      </c>
      <c r="CA567" t="s">
        <v>588</v>
      </c>
      <c r="CC567" t="s">
        <v>464</v>
      </c>
      <c r="CD567">
        <v>5201</v>
      </c>
      <c r="CE567" t="s">
        <v>88</v>
      </c>
      <c r="CF567" s="3">
        <v>45786</v>
      </c>
      <c r="CI567">
        <v>1</v>
      </c>
      <c r="CJ567">
        <v>1</v>
      </c>
      <c r="CK567">
        <v>21</v>
      </c>
      <c r="CL567" t="s">
        <v>89</v>
      </c>
    </row>
    <row r="568" spans="1:90" x14ac:dyDescent="0.3">
      <c r="A568" t="s">
        <v>72</v>
      </c>
      <c r="B568" t="s">
        <v>73</v>
      </c>
      <c r="C568" t="s">
        <v>74</v>
      </c>
      <c r="E568" t="str">
        <f>"080065245895"</f>
        <v>080065245895</v>
      </c>
      <c r="F568" s="3">
        <v>45785</v>
      </c>
      <c r="G568">
        <v>202602</v>
      </c>
      <c r="H568" t="s">
        <v>75</v>
      </c>
      <c r="I568" t="s">
        <v>76</v>
      </c>
      <c r="J568" t="s">
        <v>77</v>
      </c>
      <c r="K568" t="s">
        <v>78</v>
      </c>
      <c r="L568" t="s">
        <v>350</v>
      </c>
      <c r="M568" t="s">
        <v>351</v>
      </c>
      <c r="N568" t="s">
        <v>536</v>
      </c>
      <c r="O568" t="s">
        <v>82</v>
      </c>
      <c r="P568" t="str">
        <f>"4170037342                    "</f>
        <v xml:space="preserve">4170037342                    </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26.73</v>
      </c>
      <c r="AR568">
        <v>0</v>
      </c>
      <c r="AS568">
        <v>0</v>
      </c>
      <c r="AT568">
        <v>0</v>
      </c>
      <c r="AU568">
        <v>0</v>
      </c>
      <c r="AV568">
        <v>0</v>
      </c>
      <c r="AW568">
        <v>0</v>
      </c>
      <c r="AX568">
        <v>0</v>
      </c>
      <c r="AY568">
        <v>0</v>
      </c>
      <c r="AZ568">
        <v>0</v>
      </c>
      <c r="BA568">
        <v>0</v>
      </c>
      <c r="BB568">
        <v>0</v>
      </c>
      <c r="BC568">
        <v>0</v>
      </c>
      <c r="BD568">
        <v>0</v>
      </c>
      <c r="BE568">
        <v>0</v>
      </c>
      <c r="BF568">
        <v>0</v>
      </c>
      <c r="BG568">
        <v>0</v>
      </c>
      <c r="BH568">
        <v>1</v>
      </c>
      <c r="BI568">
        <v>1</v>
      </c>
      <c r="BJ568">
        <v>2.2999999999999998</v>
      </c>
      <c r="BK568">
        <v>2.5</v>
      </c>
      <c r="BL568">
        <v>87.47</v>
      </c>
      <c r="BM568">
        <v>13.12</v>
      </c>
      <c r="BN568">
        <v>100.59</v>
      </c>
      <c r="BO568">
        <v>100.59</v>
      </c>
      <c r="BQ568" t="s">
        <v>537</v>
      </c>
      <c r="BR568" t="s">
        <v>84</v>
      </c>
      <c r="BS568" s="3">
        <v>45786</v>
      </c>
      <c r="BT568" s="4">
        <v>0.375</v>
      </c>
      <c r="BU568" t="s">
        <v>1301</v>
      </c>
      <c r="BV568" t="s">
        <v>86</v>
      </c>
      <c r="BY568">
        <v>11520</v>
      </c>
      <c r="CA568" t="s">
        <v>326</v>
      </c>
      <c r="CC568" t="s">
        <v>351</v>
      </c>
      <c r="CD568">
        <v>4052</v>
      </c>
      <c r="CE568" t="s">
        <v>221</v>
      </c>
      <c r="CF568" s="3">
        <v>45789</v>
      </c>
      <c r="CI568">
        <v>1</v>
      </c>
      <c r="CJ568">
        <v>1</v>
      </c>
      <c r="CK568">
        <v>21</v>
      </c>
      <c r="CL568" t="s">
        <v>89</v>
      </c>
    </row>
    <row r="569" spans="1:90" x14ac:dyDescent="0.3">
      <c r="A569" t="s">
        <v>72</v>
      </c>
      <c r="B569" t="s">
        <v>73</v>
      </c>
      <c r="C569" t="s">
        <v>74</v>
      </c>
      <c r="E569" t="str">
        <f>"080065245912"</f>
        <v>080065245912</v>
      </c>
      <c r="F569" s="3">
        <v>45785</v>
      </c>
      <c r="G569">
        <v>202602</v>
      </c>
      <c r="H569" t="s">
        <v>75</v>
      </c>
      <c r="I569" t="s">
        <v>76</v>
      </c>
      <c r="J569" t="s">
        <v>77</v>
      </c>
      <c r="K569" t="s">
        <v>78</v>
      </c>
      <c r="L569" t="s">
        <v>232</v>
      </c>
      <c r="M569" t="s">
        <v>233</v>
      </c>
      <c r="N569" t="s">
        <v>834</v>
      </c>
      <c r="O569" t="s">
        <v>82</v>
      </c>
      <c r="P569" t="str">
        <f>"4170037298                    "</f>
        <v xml:space="preserve">4170037298                    </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21.38</v>
      </c>
      <c r="AR569">
        <v>0</v>
      </c>
      <c r="AS569">
        <v>0</v>
      </c>
      <c r="AT569">
        <v>0</v>
      </c>
      <c r="AU569">
        <v>0</v>
      </c>
      <c r="AV569">
        <v>0</v>
      </c>
      <c r="AW569">
        <v>0</v>
      </c>
      <c r="AX569">
        <v>0</v>
      </c>
      <c r="AY569">
        <v>0</v>
      </c>
      <c r="AZ569">
        <v>0</v>
      </c>
      <c r="BA569">
        <v>0</v>
      </c>
      <c r="BB569">
        <v>0</v>
      </c>
      <c r="BC569">
        <v>0</v>
      </c>
      <c r="BD569">
        <v>0</v>
      </c>
      <c r="BE569">
        <v>0</v>
      </c>
      <c r="BF569">
        <v>0</v>
      </c>
      <c r="BG569">
        <v>0</v>
      </c>
      <c r="BH569">
        <v>1</v>
      </c>
      <c r="BI569">
        <v>1</v>
      </c>
      <c r="BJ569">
        <v>0.2</v>
      </c>
      <c r="BK569">
        <v>1</v>
      </c>
      <c r="BL569">
        <v>69.98</v>
      </c>
      <c r="BM569">
        <v>10.5</v>
      </c>
      <c r="BN569">
        <v>80.48</v>
      </c>
      <c r="BO569">
        <v>80.48</v>
      </c>
      <c r="BQ569" t="s">
        <v>835</v>
      </c>
      <c r="BR569" t="s">
        <v>84</v>
      </c>
      <c r="BS569" s="3">
        <v>45786</v>
      </c>
      <c r="BT569" s="4">
        <v>0.37569444444444444</v>
      </c>
      <c r="BU569" t="s">
        <v>1302</v>
      </c>
      <c r="BV569" t="s">
        <v>86</v>
      </c>
      <c r="BY569">
        <v>1200</v>
      </c>
      <c r="CA569" t="s">
        <v>258</v>
      </c>
      <c r="CC569" t="s">
        <v>233</v>
      </c>
      <c r="CD569" s="5" t="s">
        <v>238</v>
      </c>
      <c r="CE569" t="s">
        <v>88</v>
      </c>
      <c r="CF569" s="3">
        <v>45786</v>
      </c>
      <c r="CI569">
        <v>1</v>
      </c>
      <c r="CJ569">
        <v>1</v>
      </c>
      <c r="CK569">
        <v>21</v>
      </c>
      <c r="CL569" t="s">
        <v>89</v>
      </c>
    </row>
    <row r="570" spans="1:90" x14ac:dyDescent="0.3">
      <c r="A570" t="s">
        <v>72</v>
      </c>
      <c r="B570" t="s">
        <v>73</v>
      </c>
      <c r="C570" t="s">
        <v>74</v>
      </c>
      <c r="E570" t="str">
        <f>"080065245958"</f>
        <v>080065245958</v>
      </c>
      <c r="F570" s="3">
        <v>45785</v>
      </c>
      <c r="G570">
        <v>202602</v>
      </c>
      <c r="H570" t="s">
        <v>75</v>
      </c>
      <c r="I570" t="s">
        <v>76</v>
      </c>
      <c r="J570" t="s">
        <v>77</v>
      </c>
      <c r="K570" t="s">
        <v>78</v>
      </c>
      <c r="L570" t="s">
        <v>902</v>
      </c>
      <c r="M570" t="s">
        <v>903</v>
      </c>
      <c r="N570" t="s">
        <v>1303</v>
      </c>
      <c r="O570" t="s">
        <v>82</v>
      </c>
      <c r="P570" t="str">
        <f>"4170037345                    "</f>
        <v xml:space="preserve">4170037345                    </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41.43</v>
      </c>
      <c r="AR570">
        <v>0</v>
      </c>
      <c r="AS570">
        <v>0</v>
      </c>
      <c r="AT570">
        <v>0</v>
      </c>
      <c r="AU570">
        <v>0</v>
      </c>
      <c r="AV570">
        <v>0</v>
      </c>
      <c r="AW570">
        <v>0</v>
      </c>
      <c r="AX570">
        <v>0</v>
      </c>
      <c r="AY570">
        <v>0</v>
      </c>
      <c r="AZ570">
        <v>0</v>
      </c>
      <c r="BA570">
        <v>0</v>
      </c>
      <c r="BB570">
        <v>0</v>
      </c>
      <c r="BC570">
        <v>0</v>
      </c>
      <c r="BD570">
        <v>0</v>
      </c>
      <c r="BE570">
        <v>0</v>
      </c>
      <c r="BF570">
        <v>0</v>
      </c>
      <c r="BG570">
        <v>0</v>
      </c>
      <c r="BH570">
        <v>1</v>
      </c>
      <c r="BI570">
        <v>1</v>
      </c>
      <c r="BJ570">
        <v>0.2</v>
      </c>
      <c r="BK570">
        <v>1</v>
      </c>
      <c r="BL570">
        <v>135.59</v>
      </c>
      <c r="BM570">
        <v>20.34</v>
      </c>
      <c r="BN570">
        <v>155.93</v>
      </c>
      <c r="BO570">
        <v>155.93</v>
      </c>
      <c r="BQ570" t="s">
        <v>1304</v>
      </c>
      <c r="BR570" t="s">
        <v>84</v>
      </c>
      <c r="BS570" s="3">
        <v>45786</v>
      </c>
      <c r="BT570" s="4">
        <v>0.55833333333333335</v>
      </c>
      <c r="BU570" t="s">
        <v>1305</v>
      </c>
      <c r="BV570" t="s">
        <v>86</v>
      </c>
      <c r="BY570">
        <v>1200</v>
      </c>
      <c r="CA570" t="s">
        <v>1306</v>
      </c>
      <c r="CC570" t="s">
        <v>903</v>
      </c>
      <c r="CD570">
        <v>1020</v>
      </c>
      <c r="CE570" t="s">
        <v>88</v>
      </c>
      <c r="CF570" s="3">
        <v>45786</v>
      </c>
      <c r="CI570">
        <v>1</v>
      </c>
      <c r="CJ570">
        <v>1</v>
      </c>
      <c r="CK570">
        <v>23</v>
      </c>
      <c r="CL570" t="s">
        <v>89</v>
      </c>
    </row>
    <row r="571" spans="1:90" x14ac:dyDescent="0.3">
      <c r="A571" t="s">
        <v>72</v>
      </c>
      <c r="B571" t="s">
        <v>73</v>
      </c>
      <c r="C571" t="s">
        <v>74</v>
      </c>
      <c r="E571" t="str">
        <f>"080065245962"</f>
        <v>080065245962</v>
      </c>
      <c r="F571" s="3">
        <v>45785</v>
      </c>
      <c r="G571">
        <v>202602</v>
      </c>
      <c r="H571" t="s">
        <v>75</v>
      </c>
      <c r="I571" t="s">
        <v>76</v>
      </c>
      <c r="J571" t="s">
        <v>77</v>
      </c>
      <c r="K571" t="s">
        <v>78</v>
      </c>
      <c r="L571" t="s">
        <v>136</v>
      </c>
      <c r="M571" t="s">
        <v>137</v>
      </c>
      <c r="N571" t="s">
        <v>1307</v>
      </c>
      <c r="O571" t="s">
        <v>300</v>
      </c>
      <c r="P571" t="str">
        <f>"4170037336                    "</f>
        <v xml:space="preserve">4170037336                    </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48.18</v>
      </c>
      <c r="AR571">
        <v>0</v>
      </c>
      <c r="AS571">
        <v>0</v>
      </c>
      <c r="AT571">
        <v>0</v>
      </c>
      <c r="AU571">
        <v>0</v>
      </c>
      <c r="AV571">
        <v>0</v>
      </c>
      <c r="AW571">
        <v>0</v>
      </c>
      <c r="AX571">
        <v>0</v>
      </c>
      <c r="AY571">
        <v>0</v>
      </c>
      <c r="AZ571">
        <v>0</v>
      </c>
      <c r="BA571">
        <v>0</v>
      </c>
      <c r="BB571">
        <v>0</v>
      </c>
      <c r="BC571">
        <v>0</v>
      </c>
      <c r="BD571">
        <v>0</v>
      </c>
      <c r="BE571">
        <v>0</v>
      </c>
      <c r="BF571">
        <v>0</v>
      </c>
      <c r="BG571">
        <v>0</v>
      </c>
      <c r="BH571">
        <v>1</v>
      </c>
      <c r="BI571">
        <v>19</v>
      </c>
      <c r="BJ571">
        <v>4.3</v>
      </c>
      <c r="BK571">
        <v>19</v>
      </c>
      <c r="BL571">
        <v>163.25</v>
      </c>
      <c r="BM571">
        <v>24.49</v>
      </c>
      <c r="BN571">
        <v>187.74</v>
      </c>
      <c r="BO571">
        <v>187.74</v>
      </c>
      <c r="BQ571" t="s">
        <v>1308</v>
      </c>
      <c r="BR571" t="s">
        <v>84</v>
      </c>
      <c r="BS571" s="3">
        <v>45786</v>
      </c>
      <c r="BT571" s="4">
        <v>0.41666666666666669</v>
      </c>
      <c r="BU571" t="s">
        <v>1309</v>
      </c>
      <c r="BV571" t="s">
        <v>86</v>
      </c>
      <c r="BY571">
        <v>21489</v>
      </c>
      <c r="CA571" t="s">
        <v>141</v>
      </c>
      <c r="CC571" t="s">
        <v>137</v>
      </c>
      <c r="CD571" s="5" t="s">
        <v>142</v>
      </c>
      <c r="CE571" t="s">
        <v>96</v>
      </c>
      <c r="CF571" s="3">
        <v>45786</v>
      </c>
      <c r="CI571">
        <v>1</v>
      </c>
      <c r="CJ571">
        <v>1</v>
      </c>
      <c r="CK571">
        <v>41</v>
      </c>
      <c r="CL571" t="s">
        <v>89</v>
      </c>
    </row>
    <row r="572" spans="1:90" x14ac:dyDescent="0.3">
      <c r="A572" t="s">
        <v>72</v>
      </c>
      <c r="B572" t="s">
        <v>73</v>
      </c>
      <c r="C572" t="s">
        <v>74</v>
      </c>
      <c r="E572" t="str">
        <f>"080065245981"</f>
        <v>080065245981</v>
      </c>
      <c r="F572" s="3">
        <v>45785</v>
      </c>
      <c r="G572">
        <v>202602</v>
      </c>
      <c r="H572" t="s">
        <v>75</v>
      </c>
      <c r="I572" t="s">
        <v>76</v>
      </c>
      <c r="J572" t="s">
        <v>77</v>
      </c>
      <c r="K572" t="s">
        <v>78</v>
      </c>
      <c r="L572" t="s">
        <v>97</v>
      </c>
      <c r="M572" t="s">
        <v>98</v>
      </c>
      <c r="N572" t="s">
        <v>99</v>
      </c>
      <c r="O572" t="s">
        <v>82</v>
      </c>
      <c r="P572" t="str">
        <f>"4170037344                    "</f>
        <v xml:space="preserve">4170037344                    </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16.7</v>
      </c>
      <c r="AR572">
        <v>0</v>
      </c>
      <c r="AS572">
        <v>0</v>
      </c>
      <c r="AT572">
        <v>0</v>
      </c>
      <c r="AU572">
        <v>0</v>
      </c>
      <c r="AV572">
        <v>0</v>
      </c>
      <c r="AW572">
        <v>0</v>
      </c>
      <c r="AX572">
        <v>0</v>
      </c>
      <c r="AY572">
        <v>0</v>
      </c>
      <c r="AZ572">
        <v>0</v>
      </c>
      <c r="BA572">
        <v>0</v>
      </c>
      <c r="BB572">
        <v>0</v>
      </c>
      <c r="BC572">
        <v>0</v>
      </c>
      <c r="BD572">
        <v>0</v>
      </c>
      <c r="BE572">
        <v>0</v>
      </c>
      <c r="BF572">
        <v>0</v>
      </c>
      <c r="BG572">
        <v>0</v>
      </c>
      <c r="BH572">
        <v>1</v>
      </c>
      <c r="BI572">
        <v>1</v>
      </c>
      <c r="BJ572">
        <v>0.2</v>
      </c>
      <c r="BK572">
        <v>1</v>
      </c>
      <c r="BL572">
        <v>54.66</v>
      </c>
      <c r="BM572">
        <v>8.1999999999999993</v>
      </c>
      <c r="BN572">
        <v>62.86</v>
      </c>
      <c r="BO572">
        <v>62.86</v>
      </c>
      <c r="BQ572" t="s">
        <v>100</v>
      </c>
      <c r="BR572" t="s">
        <v>84</v>
      </c>
      <c r="BS572" s="3">
        <v>45786</v>
      </c>
      <c r="BT572" s="4">
        <v>0.36944444444444446</v>
      </c>
      <c r="BU572" t="s">
        <v>1310</v>
      </c>
      <c r="BV572" t="s">
        <v>86</v>
      </c>
      <c r="BY572">
        <v>1200</v>
      </c>
      <c r="CA572" t="s">
        <v>279</v>
      </c>
      <c r="CC572" t="s">
        <v>98</v>
      </c>
      <c r="CD572">
        <v>1459</v>
      </c>
      <c r="CE572" t="s">
        <v>88</v>
      </c>
      <c r="CF572" s="3">
        <v>45786</v>
      </c>
      <c r="CI572">
        <v>1</v>
      </c>
      <c r="CJ572">
        <v>1</v>
      </c>
      <c r="CK572">
        <v>22</v>
      </c>
      <c r="CL572" t="s">
        <v>89</v>
      </c>
    </row>
    <row r="573" spans="1:90" x14ac:dyDescent="0.3">
      <c r="A573" t="s">
        <v>72</v>
      </c>
      <c r="B573" t="s">
        <v>73</v>
      </c>
      <c r="C573" t="s">
        <v>74</v>
      </c>
      <c r="E573" t="str">
        <f>"080065246016"</f>
        <v>080065246016</v>
      </c>
      <c r="F573" s="3">
        <v>45785</v>
      </c>
      <c r="G573">
        <v>202602</v>
      </c>
      <c r="H573" t="s">
        <v>75</v>
      </c>
      <c r="I573" t="s">
        <v>76</v>
      </c>
      <c r="J573" t="s">
        <v>77</v>
      </c>
      <c r="K573" t="s">
        <v>78</v>
      </c>
      <c r="L573" t="s">
        <v>75</v>
      </c>
      <c r="M573" t="s">
        <v>76</v>
      </c>
      <c r="N573" t="s">
        <v>346</v>
      </c>
      <c r="O573" t="s">
        <v>82</v>
      </c>
      <c r="P573" t="str">
        <f>"4170037337                    "</f>
        <v xml:space="preserve">4170037337                    </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16.7</v>
      </c>
      <c r="AR573">
        <v>0</v>
      </c>
      <c r="AS573">
        <v>0</v>
      </c>
      <c r="AT573">
        <v>0</v>
      </c>
      <c r="AU573">
        <v>0</v>
      </c>
      <c r="AV573">
        <v>0</v>
      </c>
      <c r="AW573">
        <v>0</v>
      </c>
      <c r="AX573">
        <v>0</v>
      </c>
      <c r="AY573">
        <v>0</v>
      </c>
      <c r="AZ573">
        <v>0</v>
      </c>
      <c r="BA573">
        <v>0</v>
      </c>
      <c r="BB573">
        <v>0</v>
      </c>
      <c r="BC573">
        <v>0</v>
      </c>
      <c r="BD573">
        <v>0</v>
      </c>
      <c r="BE573">
        <v>0</v>
      </c>
      <c r="BF573">
        <v>0</v>
      </c>
      <c r="BG573">
        <v>0</v>
      </c>
      <c r="BH573">
        <v>1</v>
      </c>
      <c r="BI573">
        <v>1</v>
      </c>
      <c r="BJ573">
        <v>0.2</v>
      </c>
      <c r="BK573">
        <v>1</v>
      </c>
      <c r="BL573">
        <v>54.66</v>
      </c>
      <c r="BM573">
        <v>8.1999999999999993</v>
      </c>
      <c r="BN573">
        <v>62.86</v>
      </c>
      <c r="BO573">
        <v>62.86</v>
      </c>
      <c r="BQ573" t="s">
        <v>347</v>
      </c>
      <c r="BR573" t="s">
        <v>84</v>
      </c>
      <c r="BS573" s="3">
        <v>45786</v>
      </c>
      <c r="BT573" s="4">
        <v>0.37916666666666665</v>
      </c>
      <c r="BU573" t="s">
        <v>407</v>
      </c>
      <c r="BV573" t="s">
        <v>86</v>
      </c>
      <c r="BY573">
        <v>1200</v>
      </c>
      <c r="CA573" t="s">
        <v>349</v>
      </c>
      <c r="CC573" t="s">
        <v>76</v>
      </c>
      <c r="CD573">
        <v>1619</v>
      </c>
      <c r="CE573" t="s">
        <v>88</v>
      </c>
      <c r="CF573" s="3">
        <v>45787</v>
      </c>
      <c r="CI573">
        <v>1</v>
      </c>
      <c r="CJ573">
        <v>1</v>
      </c>
      <c r="CK573">
        <v>22</v>
      </c>
      <c r="CL573" t="s">
        <v>89</v>
      </c>
    </row>
    <row r="574" spans="1:90" x14ac:dyDescent="0.3">
      <c r="A574" t="s">
        <v>72</v>
      </c>
      <c r="B574" t="s">
        <v>73</v>
      </c>
      <c r="C574" t="s">
        <v>74</v>
      </c>
      <c r="E574" t="str">
        <f>"080065246338"</f>
        <v>080065246338</v>
      </c>
      <c r="F574" s="3">
        <v>45785</v>
      </c>
      <c r="G574">
        <v>202602</v>
      </c>
      <c r="H574" t="s">
        <v>75</v>
      </c>
      <c r="I574" t="s">
        <v>76</v>
      </c>
      <c r="J574" t="s">
        <v>77</v>
      </c>
      <c r="K574" t="s">
        <v>78</v>
      </c>
      <c r="L574" t="s">
        <v>409</v>
      </c>
      <c r="M574" t="s">
        <v>410</v>
      </c>
      <c r="N574" t="s">
        <v>512</v>
      </c>
      <c r="O574" t="s">
        <v>82</v>
      </c>
      <c r="P574" t="str">
        <f>"4170037335                    "</f>
        <v xml:space="preserve">4170037335                    </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41.43</v>
      </c>
      <c r="AR574">
        <v>0</v>
      </c>
      <c r="AS574">
        <v>0</v>
      </c>
      <c r="AT574">
        <v>0</v>
      </c>
      <c r="AU574">
        <v>0</v>
      </c>
      <c r="AV574">
        <v>0</v>
      </c>
      <c r="AW574">
        <v>0</v>
      </c>
      <c r="AX574">
        <v>0</v>
      </c>
      <c r="AY574">
        <v>0</v>
      </c>
      <c r="AZ574">
        <v>0</v>
      </c>
      <c r="BA574">
        <v>0</v>
      </c>
      <c r="BB574">
        <v>0</v>
      </c>
      <c r="BC574">
        <v>0</v>
      </c>
      <c r="BD574">
        <v>0</v>
      </c>
      <c r="BE574">
        <v>0</v>
      </c>
      <c r="BF574">
        <v>0</v>
      </c>
      <c r="BG574">
        <v>0</v>
      </c>
      <c r="BH574">
        <v>1</v>
      </c>
      <c r="BI574">
        <v>1</v>
      </c>
      <c r="BJ574">
        <v>0.2</v>
      </c>
      <c r="BK574">
        <v>1</v>
      </c>
      <c r="BL574">
        <v>135.59</v>
      </c>
      <c r="BM574">
        <v>20.34</v>
      </c>
      <c r="BN574">
        <v>155.93</v>
      </c>
      <c r="BO574">
        <v>155.93</v>
      </c>
      <c r="BQ574" t="s">
        <v>513</v>
      </c>
      <c r="BR574" t="s">
        <v>84</v>
      </c>
      <c r="BS574" s="3">
        <v>45786</v>
      </c>
      <c r="BT574" s="4">
        <v>0.5541666666666667</v>
      </c>
      <c r="BU574" t="s">
        <v>539</v>
      </c>
      <c r="BV574" t="s">
        <v>86</v>
      </c>
      <c r="BY574">
        <v>1200</v>
      </c>
      <c r="CA574" t="s">
        <v>414</v>
      </c>
      <c r="CC574" t="s">
        <v>410</v>
      </c>
      <c r="CD574">
        <v>6850</v>
      </c>
      <c r="CE574" t="s">
        <v>88</v>
      </c>
      <c r="CF574" s="3">
        <v>45789</v>
      </c>
      <c r="CI574">
        <v>2</v>
      </c>
      <c r="CJ574">
        <v>1</v>
      </c>
      <c r="CK574">
        <v>23</v>
      </c>
      <c r="CL574" t="s">
        <v>89</v>
      </c>
    </row>
    <row r="575" spans="1:90" x14ac:dyDescent="0.3">
      <c r="A575" t="s">
        <v>72</v>
      </c>
      <c r="B575" t="s">
        <v>73</v>
      </c>
      <c r="C575" t="s">
        <v>74</v>
      </c>
      <c r="E575" t="str">
        <f>"080065246365"</f>
        <v>080065246365</v>
      </c>
      <c r="F575" s="3">
        <v>45785</v>
      </c>
      <c r="G575">
        <v>202602</v>
      </c>
      <c r="H575" t="s">
        <v>75</v>
      </c>
      <c r="I575" t="s">
        <v>76</v>
      </c>
      <c r="J575" t="s">
        <v>77</v>
      </c>
      <c r="K575" t="s">
        <v>78</v>
      </c>
      <c r="L575" t="s">
        <v>79</v>
      </c>
      <c r="M575" t="s">
        <v>80</v>
      </c>
      <c r="N575" t="s">
        <v>357</v>
      </c>
      <c r="O575" t="s">
        <v>82</v>
      </c>
      <c r="P575" t="str">
        <f>"4170037352                    "</f>
        <v xml:space="preserve">4170037352                    </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21.38</v>
      </c>
      <c r="AR575">
        <v>0</v>
      </c>
      <c r="AS575">
        <v>0</v>
      </c>
      <c r="AT575">
        <v>0</v>
      </c>
      <c r="AU575">
        <v>0</v>
      </c>
      <c r="AV575">
        <v>0</v>
      </c>
      <c r="AW575">
        <v>0</v>
      </c>
      <c r="AX575">
        <v>0</v>
      </c>
      <c r="AY575">
        <v>0</v>
      </c>
      <c r="AZ575">
        <v>0</v>
      </c>
      <c r="BA575">
        <v>0</v>
      </c>
      <c r="BB575">
        <v>0</v>
      </c>
      <c r="BC575">
        <v>0</v>
      </c>
      <c r="BD575">
        <v>0</v>
      </c>
      <c r="BE575">
        <v>0</v>
      </c>
      <c r="BF575">
        <v>0</v>
      </c>
      <c r="BG575">
        <v>0</v>
      </c>
      <c r="BH575">
        <v>1</v>
      </c>
      <c r="BI575">
        <v>2</v>
      </c>
      <c r="BJ575">
        <v>1.1000000000000001</v>
      </c>
      <c r="BK575">
        <v>2</v>
      </c>
      <c r="BL575">
        <v>69.98</v>
      </c>
      <c r="BM575">
        <v>10.5</v>
      </c>
      <c r="BN575">
        <v>80.48</v>
      </c>
      <c r="BO575">
        <v>80.48</v>
      </c>
      <c r="BQ575" t="s">
        <v>358</v>
      </c>
      <c r="BR575" t="s">
        <v>84</v>
      </c>
      <c r="BS575" s="3">
        <v>45786</v>
      </c>
      <c r="BT575" s="4">
        <v>0.55208333333333337</v>
      </c>
      <c r="BU575" t="s">
        <v>788</v>
      </c>
      <c r="BV575" t="s">
        <v>89</v>
      </c>
      <c r="BW575" t="s">
        <v>296</v>
      </c>
      <c r="BX575" t="s">
        <v>325</v>
      </c>
      <c r="BY575">
        <v>5320</v>
      </c>
      <c r="CA575" t="s">
        <v>87</v>
      </c>
      <c r="CC575" t="s">
        <v>80</v>
      </c>
      <c r="CD575">
        <v>3608</v>
      </c>
      <c r="CE575" t="s">
        <v>116</v>
      </c>
      <c r="CF575" s="3">
        <v>45789</v>
      </c>
      <c r="CI575">
        <v>1</v>
      </c>
      <c r="CJ575">
        <v>1</v>
      </c>
      <c r="CK575">
        <v>21</v>
      </c>
      <c r="CL575" t="s">
        <v>89</v>
      </c>
    </row>
    <row r="576" spans="1:90" x14ac:dyDescent="0.3">
      <c r="A576" t="s">
        <v>72</v>
      </c>
      <c r="B576" t="s">
        <v>73</v>
      </c>
      <c r="C576" t="s">
        <v>74</v>
      </c>
      <c r="E576" t="str">
        <f>"080065246397"</f>
        <v>080065246397</v>
      </c>
      <c r="F576" s="3">
        <v>45785</v>
      </c>
      <c r="G576">
        <v>202602</v>
      </c>
      <c r="H576" t="s">
        <v>75</v>
      </c>
      <c r="I576" t="s">
        <v>76</v>
      </c>
      <c r="J576" t="s">
        <v>77</v>
      </c>
      <c r="K576" t="s">
        <v>78</v>
      </c>
      <c r="L576" t="s">
        <v>136</v>
      </c>
      <c r="M576" t="s">
        <v>137</v>
      </c>
      <c r="N576" t="s">
        <v>1235</v>
      </c>
      <c r="O576" t="s">
        <v>82</v>
      </c>
      <c r="P576" t="str">
        <f>"4170037359                    "</f>
        <v xml:space="preserve">4170037359                    </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21.38</v>
      </c>
      <c r="AR576">
        <v>0</v>
      </c>
      <c r="AS576">
        <v>0</v>
      </c>
      <c r="AT576">
        <v>0</v>
      </c>
      <c r="AU576">
        <v>0</v>
      </c>
      <c r="AV576">
        <v>0</v>
      </c>
      <c r="AW576">
        <v>0</v>
      </c>
      <c r="AX576">
        <v>0</v>
      </c>
      <c r="AY576">
        <v>0</v>
      </c>
      <c r="AZ576">
        <v>0</v>
      </c>
      <c r="BA576">
        <v>0</v>
      </c>
      <c r="BB576">
        <v>0</v>
      </c>
      <c r="BC576">
        <v>0</v>
      </c>
      <c r="BD576">
        <v>0</v>
      </c>
      <c r="BE576">
        <v>0</v>
      </c>
      <c r="BF576">
        <v>0</v>
      </c>
      <c r="BG576">
        <v>0</v>
      </c>
      <c r="BH576">
        <v>1</v>
      </c>
      <c r="BI576">
        <v>1</v>
      </c>
      <c r="BJ576">
        <v>0.2</v>
      </c>
      <c r="BK576">
        <v>1</v>
      </c>
      <c r="BL576">
        <v>69.98</v>
      </c>
      <c r="BM576">
        <v>10.5</v>
      </c>
      <c r="BN576">
        <v>80.48</v>
      </c>
      <c r="BO576">
        <v>80.48</v>
      </c>
      <c r="BQ576" t="s">
        <v>1236</v>
      </c>
      <c r="BR576" t="s">
        <v>84</v>
      </c>
      <c r="BS576" s="3">
        <v>45786</v>
      </c>
      <c r="BT576" s="4">
        <v>0.33958333333333335</v>
      </c>
      <c r="BU576" t="s">
        <v>1237</v>
      </c>
      <c r="BV576" t="s">
        <v>86</v>
      </c>
      <c r="BY576">
        <v>1200</v>
      </c>
      <c r="CA576" t="s">
        <v>1238</v>
      </c>
      <c r="CC576" t="s">
        <v>137</v>
      </c>
      <c r="CD576" s="5" t="s">
        <v>1239</v>
      </c>
      <c r="CE576" t="s">
        <v>88</v>
      </c>
      <c r="CF576" s="3">
        <v>45786</v>
      </c>
      <c r="CI576">
        <v>1</v>
      </c>
      <c r="CJ576">
        <v>1</v>
      </c>
      <c r="CK576">
        <v>21</v>
      </c>
      <c r="CL576" t="s">
        <v>89</v>
      </c>
    </row>
    <row r="577" spans="1:90" x14ac:dyDescent="0.3">
      <c r="A577" t="s">
        <v>72</v>
      </c>
      <c r="B577" t="s">
        <v>73</v>
      </c>
      <c r="C577" t="s">
        <v>74</v>
      </c>
      <c r="E577" t="str">
        <f>"080065246404"</f>
        <v>080065246404</v>
      </c>
      <c r="F577" s="3">
        <v>45785</v>
      </c>
      <c r="G577">
        <v>202602</v>
      </c>
      <c r="H577" t="s">
        <v>75</v>
      </c>
      <c r="I577" t="s">
        <v>76</v>
      </c>
      <c r="J577" t="s">
        <v>77</v>
      </c>
      <c r="K577" t="s">
        <v>78</v>
      </c>
      <c r="L577" t="s">
        <v>123</v>
      </c>
      <c r="M577" t="s">
        <v>123</v>
      </c>
      <c r="N577" t="s">
        <v>766</v>
      </c>
      <c r="O577" t="s">
        <v>82</v>
      </c>
      <c r="P577" t="str">
        <f>"4170037365                    "</f>
        <v xml:space="preserve">4170037365                    </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60.14</v>
      </c>
      <c r="AR577">
        <v>0</v>
      </c>
      <c r="AS577">
        <v>0</v>
      </c>
      <c r="AT577">
        <v>0</v>
      </c>
      <c r="AU577">
        <v>0</v>
      </c>
      <c r="AV577">
        <v>0</v>
      </c>
      <c r="AW577">
        <v>0</v>
      </c>
      <c r="AX577">
        <v>0</v>
      </c>
      <c r="AY577">
        <v>0</v>
      </c>
      <c r="AZ577">
        <v>0</v>
      </c>
      <c r="BA577">
        <v>0</v>
      </c>
      <c r="BB577">
        <v>0</v>
      </c>
      <c r="BC577">
        <v>0</v>
      </c>
      <c r="BD577">
        <v>0</v>
      </c>
      <c r="BE577">
        <v>0</v>
      </c>
      <c r="BF577">
        <v>0</v>
      </c>
      <c r="BG577">
        <v>0</v>
      </c>
      <c r="BH577">
        <v>1</v>
      </c>
      <c r="BI577">
        <v>3</v>
      </c>
      <c r="BJ577">
        <v>1.1000000000000001</v>
      </c>
      <c r="BK577">
        <v>3</v>
      </c>
      <c r="BL577">
        <v>196.82</v>
      </c>
      <c r="BM577">
        <v>29.52</v>
      </c>
      <c r="BN577">
        <v>226.34</v>
      </c>
      <c r="BO577">
        <v>226.34</v>
      </c>
      <c r="BQ577" t="s">
        <v>767</v>
      </c>
      <c r="BR577" t="s">
        <v>84</v>
      </c>
      <c r="BS577" s="3">
        <v>45785</v>
      </c>
      <c r="BT577" s="4">
        <v>0.89583333333333337</v>
      </c>
      <c r="BU577" t="s">
        <v>1311</v>
      </c>
      <c r="BV577" t="s">
        <v>86</v>
      </c>
      <c r="BY577">
        <v>5320</v>
      </c>
      <c r="CC577" t="s">
        <v>123</v>
      </c>
      <c r="CD577">
        <v>7646</v>
      </c>
      <c r="CE577" t="s">
        <v>116</v>
      </c>
      <c r="CF577" s="3">
        <v>45786</v>
      </c>
      <c r="CI577">
        <v>1</v>
      </c>
      <c r="CJ577">
        <v>0</v>
      </c>
      <c r="CK577">
        <v>23</v>
      </c>
      <c r="CL577" t="s">
        <v>89</v>
      </c>
    </row>
    <row r="578" spans="1:90" x14ac:dyDescent="0.3">
      <c r="A578" t="s">
        <v>72</v>
      </c>
      <c r="B578" t="s">
        <v>73</v>
      </c>
      <c r="C578" t="s">
        <v>74</v>
      </c>
      <c r="E578" t="str">
        <f>"080065246420"</f>
        <v>080065246420</v>
      </c>
      <c r="F578" s="3">
        <v>45785</v>
      </c>
      <c r="G578">
        <v>202602</v>
      </c>
      <c r="H578" t="s">
        <v>75</v>
      </c>
      <c r="I578" t="s">
        <v>76</v>
      </c>
      <c r="J578" t="s">
        <v>77</v>
      </c>
      <c r="K578" t="s">
        <v>78</v>
      </c>
      <c r="L578" t="s">
        <v>136</v>
      </c>
      <c r="M578" t="s">
        <v>137</v>
      </c>
      <c r="N578" t="s">
        <v>735</v>
      </c>
      <c r="O578" t="s">
        <v>82</v>
      </c>
      <c r="P578" t="str">
        <f>"4170037350                    "</f>
        <v xml:space="preserve">4170037350                    </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21.38</v>
      </c>
      <c r="AR578">
        <v>0</v>
      </c>
      <c r="AS578">
        <v>0</v>
      </c>
      <c r="AT578">
        <v>0</v>
      </c>
      <c r="AU578">
        <v>0</v>
      </c>
      <c r="AV578">
        <v>0</v>
      </c>
      <c r="AW578">
        <v>0</v>
      </c>
      <c r="AX578">
        <v>0</v>
      </c>
      <c r="AY578">
        <v>0</v>
      </c>
      <c r="AZ578">
        <v>0</v>
      </c>
      <c r="BA578">
        <v>0</v>
      </c>
      <c r="BB578">
        <v>0</v>
      </c>
      <c r="BC578">
        <v>0</v>
      </c>
      <c r="BD578">
        <v>0</v>
      </c>
      <c r="BE578">
        <v>0</v>
      </c>
      <c r="BF578">
        <v>0</v>
      </c>
      <c r="BG578">
        <v>0</v>
      </c>
      <c r="BH578">
        <v>1</v>
      </c>
      <c r="BI578">
        <v>1</v>
      </c>
      <c r="BJ578">
        <v>0.2</v>
      </c>
      <c r="BK578">
        <v>1</v>
      </c>
      <c r="BL578">
        <v>69.98</v>
      </c>
      <c r="BM578">
        <v>10.5</v>
      </c>
      <c r="BN578">
        <v>80.48</v>
      </c>
      <c r="BO578">
        <v>80.48</v>
      </c>
      <c r="BQ578" t="s">
        <v>736</v>
      </c>
      <c r="BR578" t="s">
        <v>84</v>
      </c>
      <c r="BS578" s="3">
        <v>45786</v>
      </c>
      <c r="BT578" s="4">
        <v>0.375</v>
      </c>
      <c r="BU578" t="s">
        <v>739</v>
      </c>
      <c r="BV578" t="s">
        <v>86</v>
      </c>
      <c r="BY578">
        <v>1200</v>
      </c>
      <c r="CA578" t="s">
        <v>258</v>
      </c>
      <c r="CC578" t="s">
        <v>137</v>
      </c>
      <c r="CD578" s="5" t="s">
        <v>738</v>
      </c>
      <c r="CE578" t="s">
        <v>88</v>
      </c>
      <c r="CF578" s="3">
        <v>45786</v>
      </c>
      <c r="CI578">
        <v>1</v>
      </c>
      <c r="CJ578">
        <v>1</v>
      </c>
      <c r="CK578">
        <v>21</v>
      </c>
      <c r="CL578" t="s">
        <v>89</v>
      </c>
    </row>
    <row r="579" spans="1:90" x14ac:dyDescent="0.3">
      <c r="A579" t="s">
        <v>72</v>
      </c>
      <c r="B579" t="s">
        <v>73</v>
      </c>
      <c r="C579" t="s">
        <v>74</v>
      </c>
      <c r="E579" t="str">
        <f>"080065246436"</f>
        <v>080065246436</v>
      </c>
      <c r="F579" s="3">
        <v>45785</v>
      </c>
      <c r="G579">
        <v>202602</v>
      </c>
      <c r="H579" t="s">
        <v>75</v>
      </c>
      <c r="I579" t="s">
        <v>76</v>
      </c>
      <c r="J579" t="s">
        <v>77</v>
      </c>
      <c r="K579" t="s">
        <v>78</v>
      </c>
      <c r="L579" t="s">
        <v>90</v>
      </c>
      <c r="M579" t="s">
        <v>91</v>
      </c>
      <c r="N579" t="s">
        <v>841</v>
      </c>
      <c r="O579" t="s">
        <v>82</v>
      </c>
      <c r="P579" t="str">
        <f>"4170037346                    "</f>
        <v xml:space="preserve">4170037346                    </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96.17</v>
      </c>
      <c r="AR579">
        <v>0</v>
      </c>
      <c r="AS579">
        <v>0</v>
      </c>
      <c r="AT579">
        <v>0</v>
      </c>
      <c r="AU579">
        <v>0</v>
      </c>
      <c r="AV579">
        <v>0</v>
      </c>
      <c r="AW579">
        <v>0</v>
      </c>
      <c r="AX579">
        <v>0</v>
      </c>
      <c r="AY579">
        <v>0</v>
      </c>
      <c r="AZ579">
        <v>0</v>
      </c>
      <c r="BA579">
        <v>0</v>
      </c>
      <c r="BB579">
        <v>0</v>
      </c>
      <c r="BC579">
        <v>0</v>
      </c>
      <c r="BD579">
        <v>0</v>
      </c>
      <c r="BE579">
        <v>0</v>
      </c>
      <c r="BF579">
        <v>0</v>
      </c>
      <c r="BG579">
        <v>0</v>
      </c>
      <c r="BH579">
        <v>1</v>
      </c>
      <c r="BI579">
        <v>6</v>
      </c>
      <c r="BJ579">
        <v>8.9</v>
      </c>
      <c r="BK579">
        <v>9</v>
      </c>
      <c r="BL579">
        <v>314.73</v>
      </c>
      <c r="BM579">
        <v>47.21</v>
      </c>
      <c r="BN579">
        <v>361.94</v>
      </c>
      <c r="BO579">
        <v>361.94</v>
      </c>
      <c r="BQ579" t="s">
        <v>842</v>
      </c>
      <c r="BR579" t="s">
        <v>84</v>
      </c>
      <c r="BS579" s="3">
        <v>45786</v>
      </c>
      <c r="BT579" s="4">
        <v>0.43402777777777779</v>
      </c>
      <c r="BU579" t="s">
        <v>1231</v>
      </c>
      <c r="BV579" t="s">
        <v>86</v>
      </c>
      <c r="BY579">
        <v>44640</v>
      </c>
      <c r="CA579" t="s">
        <v>298</v>
      </c>
      <c r="CC579" t="s">
        <v>91</v>
      </c>
      <c r="CD579">
        <v>6001</v>
      </c>
      <c r="CE579" t="s">
        <v>96</v>
      </c>
      <c r="CF579" s="3">
        <v>45786</v>
      </c>
      <c r="CI579">
        <v>1</v>
      </c>
      <c r="CJ579">
        <v>1</v>
      </c>
      <c r="CK579">
        <v>21</v>
      </c>
      <c r="CL579" t="s">
        <v>89</v>
      </c>
    </row>
    <row r="580" spans="1:90" x14ac:dyDescent="0.3">
      <c r="A580" t="s">
        <v>72</v>
      </c>
      <c r="B580" t="s">
        <v>73</v>
      </c>
      <c r="C580" t="s">
        <v>74</v>
      </c>
      <c r="E580" t="str">
        <f>"080065246445"</f>
        <v>080065246445</v>
      </c>
      <c r="F580" s="3">
        <v>45785</v>
      </c>
      <c r="G580">
        <v>202602</v>
      </c>
      <c r="H580" t="s">
        <v>75</v>
      </c>
      <c r="I580" t="s">
        <v>76</v>
      </c>
      <c r="J580" t="s">
        <v>77</v>
      </c>
      <c r="K580" t="s">
        <v>78</v>
      </c>
      <c r="L580" t="s">
        <v>130</v>
      </c>
      <c r="M580" t="s">
        <v>131</v>
      </c>
      <c r="N580" t="s">
        <v>343</v>
      </c>
      <c r="O580" t="s">
        <v>82</v>
      </c>
      <c r="P580" t="str">
        <f>"4170037351                    "</f>
        <v xml:space="preserve">4170037351                    </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21.38</v>
      </c>
      <c r="AR580">
        <v>0</v>
      </c>
      <c r="AS580">
        <v>0</v>
      </c>
      <c r="AT580">
        <v>0</v>
      </c>
      <c r="AU580">
        <v>0</v>
      </c>
      <c r="AV580">
        <v>0</v>
      </c>
      <c r="AW580">
        <v>0</v>
      </c>
      <c r="AX580">
        <v>0</v>
      </c>
      <c r="AY580">
        <v>0</v>
      </c>
      <c r="AZ580">
        <v>0</v>
      </c>
      <c r="BA580">
        <v>0</v>
      </c>
      <c r="BB580">
        <v>0</v>
      </c>
      <c r="BC580">
        <v>0</v>
      </c>
      <c r="BD580">
        <v>0</v>
      </c>
      <c r="BE580">
        <v>0</v>
      </c>
      <c r="BF580">
        <v>0</v>
      </c>
      <c r="BG580">
        <v>0</v>
      </c>
      <c r="BH580">
        <v>1</v>
      </c>
      <c r="BI580">
        <v>1</v>
      </c>
      <c r="BJ580">
        <v>0.2</v>
      </c>
      <c r="BK580">
        <v>1</v>
      </c>
      <c r="BL580">
        <v>69.98</v>
      </c>
      <c r="BM580">
        <v>10.5</v>
      </c>
      <c r="BN580">
        <v>80.48</v>
      </c>
      <c r="BO580">
        <v>80.48</v>
      </c>
      <c r="BQ580" t="s">
        <v>344</v>
      </c>
      <c r="BR580" t="s">
        <v>84</v>
      </c>
      <c r="BS580" s="3">
        <v>45786</v>
      </c>
      <c r="BT580" s="4">
        <v>0.39791666666666664</v>
      </c>
      <c r="BU580" t="s">
        <v>345</v>
      </c>
      <c r="BV580" t="s">
        <v>86</v>
      </c>
      <c r="BY580">
        <v>1200</v>
      </c>
      <c r="CA580" t="s">
        <v>242</v>
      </c>
      <c r="CC580" t="s">
        <v>131</v>
      </c>
      <c r="CD580">
        <v>7441</v>
      </c>
      <c r="CE580" t="s">
        <v>88</v>
      </c>
      <c r="CF580" s="3">
        <v>45789</v>
      </c>
      <c r="CI580">
        <v>1</v>
      </c>
      <c r="CJ580">
        <v>1</v>
      </c>
      <c r="CK580">
        <v>21</v>
      </c>
      <c r="CL580" t="s">
        <v>89</v>
      </c>
    </row>
    <row r="581" spans="1:90" x14ac:dyDescent="0.3">
      <c r="A581" t="s">
        <v>72</v>
      </c>
      <c r="B581" t="s">
        <v>73</v>
      </c>
      <c r="C581" t="s">
        <v>74</v>
      </c>
      <c r="E581" t="str">
        <f>"080065246477"</f>
        <v>080065246477</v>
      </c>
      <c r="F581" s="3">
        <v>45785</v>
      </c>
      <c r="G581">
        <v>202602</v>
      </c>
      <c r="H581" t="s">
        <v>75</v>
      </c>
      <c r="I581" t="s">
        <v>76</v>
      </c>
      <c r="J581" t="s">
        <v>77</v>
      </c>
      <c r="K581" t="s">
        <v>78</v>
      </c>
      <c r="L581" t="s">
        <v>350</v>
      </c>
      <c r="M581" t="s">
        <v>351</v>
      </c>
      <c r="N581" t="s">
        <v>678</v>
      </c>
      <c r="O581" t="s">
        <v>82</v>
      </c>
      <c r="P581" t="str">
        <f>"4170037349                    "</f>
        <v xml:space="preserve">4170037349                    </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21.38</v>
      </c>
      <c r="AR581">
        <v>0</v>
      </c>
      <c r="AS581">
        <v>0</v>
      </c>
      <c r="AT581">
        <v>0</v>
      </c>
      <c r="AU581">
        <v>0</v>
      </c>
      <c r="AV581">
        <v>0</v>
      </c>
      <c r="AW581">
        <v>0</v>
      </c>
      <c r="AX581">
        <v>0</v>
      </c>
      <c r="AY581">
        <v>0</v>
      </c>
      <c r="AZ581">
        <v>0</v>
      </c>
      <c r="BA581">
        <v>0</v>
      </c>
      <c r="BB581">
        <v>0</v>
      </c>
      <c r="BC581">
        <v>0</v>
      </c>
      <c r="BD581">
        <v>0</v>
      </c>
      <c r="BE581">
        <v>0</v>
      </c>
      <c r="BF581">
        <v>0</v>
      </c>
      <c r="BG581">
        <v>0</v>
      </c>
      <c r="BH581">
        <v>1</v>
      </c>
      <c r="BI581">
        <v>2</v>
      </c>
      <c r="BJ581">
        <v>1.1000000000000001</v>
      </c>
      <c r="BK581">
        <v>2</v>
      </c>
      <c r="BL581">
        <v>69.98</v>
      </c>
      <c r="BM581">
        <v>10.5</v>
      </c>
      <c r="BN581">
        <v>80.48</v>
      </c>
      <c r="BO581">
        <v>80.48</v>
      </c>
      <c r="BQ581" t="s">
        <v>679</v>
      </c>
      <c r="BR581" t="s">
        <v>84</v>
      </c>
      <c r="BS581" s="3">
        <v>45786</v>
      </c>
      <c r="BT581" s="4">
        <v>0.43819444444444444</v>
      </c>
      <c r="BU581" t="s">
        <v>680</v>
      </c>
      <c r="BV581" t="s">
        <v>89</v>
      </c>
      <c r="BW581" t="s">
        <v>296</v>
      </c>
      <c r="BX581" t="s">
        <v>325</v>
      </c>
      <c r="BY581">
        <v>5320</v>
      </c>
      <c r="CA581" t="s">
        <v>326</v>
      </c>
      <c r="CC581" t="s">
        <v>351</v>
      </c>
      <c r="CD581">
        <v>4052</v>
      </c>
      <c r="CE581" t="s">
        <v>116</v>
      </c>
      <c r="CF581" s="3">
        <v>45790</v>
      </c>
      <c r="CI581">
        <v>1</v>
      </c>
      <c r="CJ581">
        <v>1</v>
      </c>
      <c r="CK581">
        <v>21</v>
      </c>
      <c r="CL581" t="s">
        <v>89</v>
      </c>
    </row>
    <row r="582" spans="1:90" x14ac:dyDescent="0.3">
      <c r="A582" t="s">
        <v>72</v>
      </c>
      <c r="B582" t="s">
        <v>73</v>
      </c>
      <c r="C582" t="s">
        <v>74</v>
      </c>
      <c r="E582" t="str">
        <f>"080065246478"</f>
        <v>080065246478</v>
      </c>
      <c r="F582" s="3">
        <v>45785</v>
      </c>
      <c r="G582">
        <v>202602</v>
      </c>
      <c r="H582" t="s">
        <v>75</v>
      </c>
      <c r="I582" t="s">
        <v>76</v>
      </c>
      <c r="J582" t="s">
        <v>77</v>
      </c>
      <c r="K582" t="s">
        <v>78</v>
      </c>
      <c r="L582" t="s">
        <v>143</v>
      </c>
      <c r="M582" t="s">
        <v>144</v>
      </c>
      <c r="N582" t="s">
        <v>1312</v>
      </c>
      <c r="O582" t="s">
        <v>82</v>
      </c>
      <c r="P582" t="str">
        <f>"4170037357                    "</f>
        <v xml:space="preserve">4170037357                    </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16.7</v>
      </c>
      <c r="AR582">
        <v>0</v>
      </c>
      <c r="AS582">
        <v>0</v>
      </c>
      <c r="AT582">
        <v>0</v>
      </c>
      <c r="AU582">
        <v>0</v>
      </c>
      <c r="AV582">
        <v>0</v>
      </c>
      <c r="AW582">
        <v>0</v>
      </c>
      <c r="AX582">
        <v>0</v>
      </c>
      <c r="AY582">
        <v>0</v>
      </c>
      <c r="AZ582">
        <v>0</v>
      </c>
      <c r="BA582">
        <v>0</v>
      </c>
      <c r="BB582">
        <v>0</v>
      </c>
      <c r="BC582">
        <v>0</v>
      </c>
      <c r="BD582">
        <v>0</v>
      </c>
      <c r="BE582">
        <v>0</v>
      </c>
      <c r="BF582">
        <v>0</v>
      </c>
      <c r="BG582">
        <v>0</v>
      </c>
      <c r="BH582">
        <v>1</v>
      </c>
      <c r="BI582">
        <v>1</v>
      </c>
      <c r="BJ582">
        <v>0.2</v>
      </c>
      <c r="BK582">
        <v>1</v>
      </c>
      <c r="BL582">
        <v>54.66</v>
      </c>
      <c r="BM582">
        <v>8.1999999999999993</v>
      </c>
      <c r="BN582">
        <v>62.86</v>
      </c>
      <c r="BO582">
        <v>62.86</v>
      </c>
      <c r="BQ582" t="s">
        <v>1313</v>
      </c>
      <c r="BR582" t="s">
        <v>84</v>
      </c>
      <c r="BS582" s="3">
        <v>45786</v>
      </c>
      <c r="BT582" s="4">
        <v>0.40208333333333335</v>
      </c>
      <c r="BU582" t="s">
        <v>1314</v>
      </c>
      <c r="BV582" t="s">
        <v>86</v>
      </c>
      <c r="BY582">
        <v>1200</v>
      </c>
      <c r="CA582" t="s">
        <v>150</v>
      </c>
      <c r="CC582" t="s">
        <v>144</v>
      </c>
      <c r="CD582">
        <v>1429</v>
      </c>
      <c r="CE582" t="s">
        <v>88</v>
      </c>
      <c r="CF582" s="3">
        <v>45786</v>
      </c>
      <c r="CI582">
        <v>1</v>
      </c>
      <c r="CJ582">
        <v>1</v>
      </c>
      <c r="CK582">
        <v>22</v>
      </c>
      <c r="CL582" t="s">
        <v>89</v>
      </c>
    </row>
    <row r="583" spans="1:90" x14ac:dyDescent="0.3">
      <c r="A583" t="s">
        <v>72</v>
      </c>
      <c r="B583" t="s">
        <v>73</v>
      </c>
      <c r="C583" t="s">
        <v>74</v>
      </c>
      <c r="E583" t="str">
        <f>"080065246507"</f>
        <v>080065246507</v>
      </c>
      <c r="F583" s="3">
        <v>45785</v>
      </c>
      <c r="G583">
        <v>202602</v>
      </c>
      <c r="H583" t="s">
        <v>75</v>
      </c>
      <c r="I583" t="s">
        <v>76</v>
      </c>
      <c r="J583" t="s">
        <v>77</v>
      </c>
      <c r="K583" t="s">
        <v>78</v>
      </c>
      <c r="L583" t="s">
        <v>123</v>
      </c>
      <c r="M583" t="s">
        <v>123</v>
      </c>
      <c r="N583" t="s">
        <v>766</v>
      </c>
      <c r="O583" t="s">
        <v>82</v>
      </c>
      <c r="P583" t="str">
        <f>"4170037295                    "</f>
        <v xml:space="preserve">4170037295                    </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134.97</v>
      </c>
      <c r="AR583">
        <v>0</v>
      </c>
      <c r="AS583">
        <v>0</v>
      </c>
      <c r="AT583">
        <v>0</v>
      </c>
      <c r="AU583">
        <v>0</v>
      </c>
      <c r="AV583">
        <v>0</v>
      </c>
      <c r="AW583">
        <v>0</v>
      </c>
      <c r="AX583">
        <v>0</v>
      </c>
      <c r="AY583">
        <v>0</v>
      </c>
      <c r="AZ583">
        <v>0</v>
      </c>
      <c r="BA583">
        <v>0</v>
      </c>
      <c r="BB583">
        <v>0</v>
      </c>
      <c r="BC583">
        <v>0</v>
      </c>
      <c r="BD583">
        <v>0</v>
      </c>
      <c r="BE583">
        <v>0</v>
      </c>
      <c r="BF583">
        <v>0</v>
      </c>
      <c r="BG583">
        <v>0</v>
      </c>
      <c r="BH583">
        <v>1</v>
      </c>
      <c r="BI583">
        <v>7</v>
      </c>
      <c r="BJ583">
        <v>1.9</v>
      </c>
      <c r="BK583">
        <v>7</v>
      </c>
      <c r="BL583">
        <v>441.73</v>
      </c>
      <c r="BM583">
        <v>66.260000000000005</v>
      </c>
      <c r="BN583">
        <v>507.99</v>
      </c>
      <c r="BO583">
        <v>507.99</v>
      </c>
      <c r="BQ583" t="s">
        <v>767</v>
      </c>
      <c r="BR583" t="s">
        <v>84</v>
      </c>
      <c r="BS583" s="3">
        <v>45789</v>
      </c>
      <c r="BT583" s="4">
        <v>0.52013888888888893</v>
      </c>
      <c r="BU583" t="s">
        <v>768</v>
      </c>
      <c r="BV583" t="s">
        <v>89</v>
      </c>
      <c r="BW583" t="s">
        <v>340</v>
      </c>
      <c r="BX583" t="s">
        <v>596</v>
      </c>
      <c r="BY583">
        <v>9600</v>
      </c>
      <c r="CA583" t="s">
        <v>128</v>
      </c>
      <c r="CC583" t="s">
        <v>123</v>
      </c>
      <c r="CD583">
        <v>7646</v>
      </c>
      <c r="CE583" t="s">
        <v>96</v>
      </c>
      <c r="CF583" s="3">
        <v>45790</v>
      </c>
      <c r="CI583">
        <v>1</v>
      </c>
      <c r="CJ583">
        <v>2</v>
      </c>
      <c r="CK583">
        <v>23</v>
      </c>
      <c r="CL583" t="s">
        <v>89</v>
      </c>
    </row>
    <row r="584" spans="1:90" x14ac:dyDescent="0.3">
      <c r="A584" t="s">
        <v>72</v>
      </c>
      <c r="B584" t="s">
        <v>73</v>
      </c>
      <c r="C584" t="s">
        <v>74</v>
      </c>
      <c r="E584" t="str">
        <f>"080065246700"</f>
        <v>080065246700</v>
      </c>
      <c r="F584" s="3">
        <v>45785</v>
      </c>
      <c r="G584">
        <v>202602</v>
      </c>
      <c r="H584" t="s">
        <v>75</v>
      </c>
      <c r="I584" t="s">
        <v>76</v>
      </c>
      <c r="J584" t="s">
        <v>77</v>
      </c>
      <c r="K584" t="s">
        <v>78</v>
      </c>
      <c r="L584" t="s">
        <v>130</v>
      </c>
      <c r="M584" t="s">
        <v>131</v>
      </c>
      <c r="N584" t="s">
        <v>709</v>
      </c>
      <c r="O584" t="s">
        <v>82</v>
      </c>
      <c r="P584" t="str">
        <f>"4170037358                    "</f>
        <v xml:space="preserve">4170037358                    </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21.38</v>
      </c>
      <c r="AR584">
        <v>0</v>
      </c>
      <c r="AS584">
        <v>0</v>
      </c>
      <c r="AT584">
        <v>0</v>
      </c>
      <c r="AU584">
        <v>0</v>
      </c>
      <c r="AV584">
        <v>0</v>
      </c>
      <c r="AW584">
        <v>0</v>
      </c>
      <c r="AX584">
        <v>0</v>
      </c>
      <c r="AY584">
        <v>0</v>
      </c>
      <c r="AZ584">
        <v>0</v>
      </c>
      <c r="BA584">
        <v>0</v>
      </c>
      <c r="BB584">
        <v>0</v>
      </c>
      <c r="BC584">
        <v>0</v>
      </c>
      <c r="BD584">
        <v>0</v>
      </c>
      <c r="BE584">
        <v>0</v>
      </c>
      <c r="BF584">
        <v>0</v>
      </c>
      <c r="BG584">
        <v>0</v>
      </c>
      <c r="BH584">
        <v>1</v>
      </c>
      <c r="BI584">
        <v>1</v>
      </c>
      <c r="BJ584">
        <v>0.2</v>
      </c>
      <c r="BK584">
        <v>1</v>
      </c>
      <c r="BL584">
        <v>69.98</v>
      </c>
      <c r="BM584">
        <v>10.5</v>
      </c>
      <c r="BN584">
        <v>80.48</v>
      </c>
      <c r="BO584">
        <v>80.48</v>
      </c>
      <c r="BQ584" t="s">
        <v>710</v>
      </c>
      <c r="BR584" t="s">
        <v>84</v>
      </c>
      <c r="BS584" s="3">
        <v>45786</v>
      </c>
      <c r="BT584" s="4">
        <v>0.33194444444444443</v>
      </c>
      <c r="BU584" t="s">
        <v>1279</v>
      </c>
      <c r="BV584" t="s">
        <v>86</v>
      </c>
      <c r="BY584">
        <v>1200</v>
      </c>
      <c r="CA584" t="s">
        <v>712</v>
      </c>
      <c r="CC584" t="s">
        <v>131</v>
      </c>
      <c r="CD584">
        <v>7530</v>
      </c>
      <c r="CE584" t="s">
        <v>88</v>
      </c>
      <c r="CF584" s="3">
        <v>45789</v>
      </c>
      <c r="CI584">
        <v>1</v>
      </c>
      <c r="CJ584">
        <v>1</v>
      </c>
      <c r="CK584">
        <v>21</v>
      </c>
      <c r="CL584" t="s">
        <v>89</v>
      </c>
    </row>
    <row r="585" spans="1:90" x14ac:dyDescent="0.3">
      <c r="A585" t="s">
        <v>72</v>
      </c>
      <c r="B585" t="s">
        <v>73</v>
      </c>
      <c r="C585" t="s">
        <v>74</v>
      </c>
      <c r="E585" t="str">
        <f>"080065246764"</f>
        <v>080065246764</v>
      </c>
      <c r="F585" s="3">
        <v>45785</v>
      </c>
      <c r="G585">
        <v>202602</v>
      </c>
      <c r="H585" t="s">
        <v>75</v>
      </c>
      <c r="I585" t="s">
        <v>76</v>
      </c>
      <c r="J585" t="s">
        <v>77</v>
      </c>
      <c r="K585" t="s">
        <v>78</v>
      </c>
      <c r="L585" t="s">
        <v>360</v>
      </c>
      <c r="M585" t="s">
        <v>361</v>
      </c>
      <c r="N585" t="s">
        <v>362</v>
      </c>
      <c r="O585" t="s">
        <v>82</v>
      </c>
      <c r="P585" t="str">
        <f>"4170037367                    "</f>
        <v xml:space="preserve">4170037367                    </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78.849999999999994</v>
      </c>
      <c r="AR585">
        <v>0</v>
      </c>
      <c r="AS585">
        <v>0</v>
      </c>
      <c r="AT585">
        <v>0</v>
      </c>
      <c r="AU585">
        <v>0</v>
      </c>
      <c r="AV585">
        <v>0</v>
      </c>
      <c r="AW585">
        <v>0</v>
      </c>
      <c r="AX585">
        <v>0</v>
      </c>
      <c r="AY585">
        <v>0</v>
      </c>
      <c r="AZ585">
        <v>0</v>
      </c>
      <c r="BA585">
        <v>0</v>
      </c>
      <c r="BB585">
        <v>0</v>
      </c>
      <c r="BC585">
        <v>0</v>
      </c>
      <c r="BD585">
        <v>0</v>
      </c>
      <c r="BE585">
        <v>0</v>
      </c>
      <c r="BF585">
        <v>0</v>
      </c>
      <c r="BG585">
        <v>0</v>
      </c>
      <c r="BH585">
        <v>1</v>
      </c>
      <c r="BI585">
        <v>4</v>
      </c>
      <c r="BJ585">
        <v>0.8</v>
      </c>
      <c r="BK585">
        <v>4</v>
      </c>
      <c r="BL585">
        <v>258.05</v>
      </c>
      <c r="BM585">
        <v>38.71</v>
      </c>
      <c r="BN585">
        <v>296.76</v>
      </c>
      <c r="BO585">
        <v>296.76</v>
      </c>
      <c r="BQ585" t="s">
        <v>363</v>
      </c>
      <c r="BR585" t="s">
        <v>84</v>
      </c>
      <c r="BS585" s="3">
        <v>45789</v>
      </c>
      <c r="BT585" s="4">
        <v>0.65555555555555556</v>
      </c>
      <c r="BU585" t="s">
        <v>1246</v>
      </c>
      <c r="BV585" t="s">
        <v>89</v>
      </c>
      <c r="BW585" t="s">
        <v>340</v>
      </c>
      <c r="BX585" t="s">
        <v>1315</v>
      </c>
      <c r="BY585">
        <v>4050</v>
      </c>
      <c r="CA585" t="s">
        <v>365</v>
      </c>
      <c r="CC585" t="s">
        <v>361</v>
      </c>
      <c r="CD585">
        <v>7300</v>
      </c>
      <c r="CE585" t="s">
        <v>116</v>
      </c>
      <c r="CF585" s="3">
        <v>45790</v>
      </c>
      <c r="CI585">
        <v>1</v>
      </c>
      <c r="CJ585">
        <v>2</v>
      </c>
      <c r="CK585">
        <v>23</v>
      </c>
      <c r="CL585" t="s">
        <v>89</v>
      </c>
    </row>
    <row r="586" spans="1:90" x14ac:dyDescent="0.3">
      <c r="A586" t="s">
        <v>72</v>
      </c>
      <c r="B586" t="s">
        <v>73</v>
      </c>
      <c r="C586" t="s">
        <v>74</v>
      </c>
      <c r="E586" t="str">
        <f>"080065246789"</f>
        <v>080065246789</v>
      </c>
      <c r="F586" s="3">
        <v>45785</v>
      </c>
      <c r="G586">
        <v>202602</v>
      </c>
      <c r="H586" t="s">
        <v>75</v>
      </c>
      <c r="I586" t="s">
        <v>76</v>
      </c>
      <c r="J586" t="s">
        <v>77</v>
      </c>
      <c r="K586" t="s">
        <v>78</v>
      </c>
      <c r="L586" t="s">
        <v>117</v>
      </c>
      <c r="M586" t="s">
        <v>118</v>
      </c>
      <c r="N586" t="s">
        <v>532</v>
      </c>
      <c r="O586" t="s">
        <v>82</v>
      </c>
      <c r="P586" t="str">
        <f>"4170037364                    "</f>
        <v xml:space="preserve">4170037364                    </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16.7</v>
      </c>
      <c r="AR586">
        <v>0</v>
      </c>
      <c r="AS586">
        <v>0</v>
      </c>
      <c r="AT586">
        <v>0</v>
      </c>
      <c r="AU586">
        <v>0</v>
      </c>
      <c r="AV586">
        <v>0</v>
      </c>
      <c r="AW586">
        <v>0</v>
      </c>
      <c r="AX586">
        <v>0</v>
      </c>
      <c r="AY586">
        <v>0</v>
      </c>
      <c r="AZ586">
        <v>0</v>
      </c>
      <c r="BA586">
        <v>0</v>
      </c>
      <c r="BB586">
        <v>0</v>
      </c>
      <c r="BC586">
        <v>0</v>
      </c>
      <c r="BD586">
        <v>0</v>
      </c>
      <c r="BE586">
        <v>0</v>
      </c>
      <c r="BF586">
        <v>0</v>
      </c>
      <c r="BG586">
        <v>0</v>
      </c>
      <c r="BH586">
        <v>1</v>
      </c>
      <c r="BI586">
        <v>1</v>
      </c>
      <c r="BJ586">
        <v>0.2</v>
      </c>
      <c r="BK586">
        <v>1</v>
      </c>
      <c r="BL586">
        <v>54.66</v>
      </c>
      <c r="BM586">
        <v>8.1999999999999993</v>
      </c>
      <c r="BN586">
        <v>62.86</v>
      </c>
      <c r="BO586">
        <v>62.86</v>
      </c>
      <c r="BQ586" t="s">
        <v>533</v>
      </c>
      <c r="BR586" t="s">
        <v>84</v>
      </c>
      <c r="BS586" s="3">
        <v>45786</v>
      </c>
      <c r="BT586" s="4">
        <v>0.40972222222222221</v>
      </c>
      <c r="BU586" t="s">
        <v>1316</v>
      </c>
      <c r="BV586" t="s">
        <v>86</v>
      </c>
      <c r="BY586">
        <v>1200</v>
      </c>
      <c r="CA586" t="s">
        <v>535</v>
      </c>
      <c r="CC586" t="s">
        <v>118</v>
      </c>
      <c r="CD586">
        <v>2094</v>
      </c>
      <c r="CE586" t="s">
        <v>88</v>
      </c>
      <c r="CF586" s="3">
        <v>45786</v>
      </c>
      <c r="CI586">
        <v>1</v>
      </c>
      <c r="CJ586">
        <v>1</v>
      </c>
      <c r="CK586">
        <v>22</v>
      </c>
      <c r="CL586" t="s">
        <v>89</v>
      </c>
    </row>
    <row r="587" spans="1:90" x14ac:dyDescent="0.3">
      <c r="A587" t="s">
        <v>72</v>
      </c>
      <c r="B587" t="s">
        <v>73</v>
      </c>
      <c r="C587" t="s">
        <v>74</v>
      </c>
      <c r="E587" t="str">
        <f>"080065246841"</f>
        <v>080065246841</v>
      </c>
      <c r="F587" s="3">
        <v>45785</v>
      </c>
      <c r="G587">
        <v>202602</v>
      </c>
      <c r="H587" t="s">
        <v>75</v>
      </c>
      <c r="I587" t="s">
        <v>76</v>
      </c>
      <c r="J587" t="s">
        <v>77</v>
      </c>
      <c r="K587" t="s">
        <v>78</v>
      </c>
      <c r="L587" t="s">
        <v>311</v>
      </c>
      <c r="M587" t="s">
        <v>312</v>
      </c>
      <c r="N587" t="s">
        <v>1317</v>
      </c>
      <c r="O587" t="s">
        <v>82</v>
      </c>
      <c r="P587" t="str">
        <f>"4170037348                    "</f>
        <v xml:space="preserve">4170037348                    </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16.7</v>
      </c>
      <c r="AR587">
        <v>0</v>
      </c>
      <c r="AS587">
        <v>0</v>
      </c>
      <c r="AT587">
        <v>0</v>
      </c>
      <c r="AU587">
        <v>0</v>
      </c>
      <c r="AV587">
        <v>0</v>
      </c>
      <c r="AW587">
        <v>0</v>
      </c>
      <c r="AX587">
        <v>0</v>
      </c>
      <c r="AY587">
        <v>0</v>
      </c>
      <c r="AZ587">
        <v>0</v>
      </c>
      <c r="BA587">
        <v>0</v>
      </c>
      <c r="BB587">
        <v>0</v>
      </c>
      <c r="BC587">
        <v>0</v>
      </c>
      <c r="BD587">
        <v>0</v>
      </c>
      <c r="BE587">
        <v>0</v>
      </c>
      <c r="BF587">
        <v>0</v>
      </c>
      <c r="BG587">
        <v>0</v>
      </c>
      <c r="BH587">
        <v>1</v>
      </c>
      <c r="BI587">
        <v>3</v>
      </c>
      <c r="BJ587">
        <v>6.1</v>
      </c>
      <c r="BK587">
        <v>7</v>
      </c>
      <c r="BL587">
        <v>54.66</v>
      </c>
      <c r="BM587">
        <v>8.1999999999999993</v>
      </c>
      <c r="BN587">
        <v>62.86</v>
      </c>
      <c r="BO587">
        <v>62.86</v>
      </c>
      <c r="BQ587" t="s">
        <v>1318</v>
      </c>
      <c r="BR587" t="s">
        <v>84</v>
      </c>
      <c r="BS587" s="3">
        <v>45786</v>
      </c>
      <c r="BT587" s="4">
        <v>0.43333333333333335</v>
      </c>
      <c r="BU587" t="s">
        <v>1319</v>
      </c>
      <c r="BV587" t="s">
        <v>86</v>
      </c>
      <c r="BY587">
        <v>30360</v>
      </c>
      <c r="CA587" t="s">
        <v>1320</v>
      </c>
      <c r="CC587" t="s">
        <v>312</v>
      </c>
      <c r="CD587">
        <v>1501</v>
      </c>
      <c r="CE587" t="s">
        <v>221</v>
      </c>
      <c r="CF587" s="3">
        <v>45786</v>
      </c>
      <c r="CI587">
        <v>1</v>
      </c>
      <c r="CJ587">
        <v>1</v>
      </c>
      <c r="CK587">
        <v>22</v>
      </c>
      <c r="CL587" t="s">
        <v>89</v>
      </c>
    </row>
    <row r="588" spans="1:90" x14ac:dyDescent="0.3">
      <c r="A588" t="s">
        <v>72</v>
      </c>
      <c r="B588" t="s">
        <v>73</v>
      </c>
      <c r="C588" t="s">
        <v>74</v>
      </c>
      <c r="E588" t="str">
        <f>"080065247106"</f>
        <v>080065247106</v>
      </c>
      <c r="F588" s="3">
        <v>45785</v>
      </c>
      <c r="G588">
        <v>202602</v>
      </c>
      <c r="H588" t="s">
        <v>75</v>
      </c>
      <c r="I588" t="s">
        <v>76</v>
      </c>
      <c r="J588" t="s">
        <v>77</v>
      </c>
      <c r="K588" t="s">
        <v>78</v>
      </c>
      <c r="L588" t="s">
        <v>130</v>
      </c>
      <c r="M588" t="s">
        <v>131</v>
      </c>
      <c r="N588" t="s">
        <v>1066</v>
      </c>
      <c r="O588" t="s">
        <v>82</v>
      </c>
      <c r="P588" t="str">
        <f>"4170037274                    "</f>
        <v xml:space="preserve">4170037274                    </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85.48</v>
      </c>
      <c r="AR588">
        <v>0</v>
      </c>
      <c r="AS588">
        <v>0</v>
      </c>
      <c r="AT588">
        <v>0</v>
      </c>
      <c r="AU588">
        <v>0</v>
      </c>
      <c r="AV588">
        <v>0</v>
      </c>
      <c r="AW588">
        <v>0</v>
      </c>
      <c r="AX588">
        <v>0</v>
      </c>
      <c r="AY588">
        <v>0</v>
      </c>
      <c r="AZ588">
        <v>0</v>
      </c>
      <c r="BA588">
        <v>0</v>
      </c>
      <c r="BB588">
        <v>0</v>
      </c>
      <c r="BC588">
        <v>0</v>
      </c>
      <c r="BD588">
        <v>0</v>
      </c>
      <c r="BE588">
        <v>0</v>
      </c>
      <c r="BF588">
        <v>0</v>
      </c>
      <c r="BG588">
        <v>0</v>
      </c>
      <c r="BH588">
        <v>1</v>
      </c>
      <c r="BI588">
        <v>3</v>
      </c>
      <c r="BJ588">
        <v>7.7</v>
      </c>
      <c r="BK588">
        <v>8</v>
      </c>
      <c r="BL588">
        <v>279.76</v>
      </c>
      <c r="BM588">
        <v>41.96</v>
      </c>
      <c r="BN588">
        <v>321.72000000000003</v>
      </c>
      <c r="BO588">
        <v>321.72000000000003</v>
      </c>
      <c r="BQ588" t="s">
        <v>1067</v>
      </c>
      <c r="BR588" t="s">
        <v>84</v>
      </c>
      <c r="BS588" s="3">
        <v>45786</v>
      </c>
      <c r="BT588" s="4">
        <v>0.40555555555555556</v>
      </c>
      <c r="BU588" t="s">
        <v>1068</v>
      </c>
      <c r="BV588" t="s">
        <v>86</v>
      </c>
      <c r="BY588">
        <v>38454</v>
      </c>
      <c r="CA588" t="s">
        <v>712</v>
      </c>
      <c r="CC588" t="s">
        <v>131</v>
      </c>
      <c r="CD588">
        <v>7561</v>
      </c>
      <c r="CE588" t="s">
        <v>221</v>
      </c>
      <c r="CF588" s="3">
        <v>45789</v>
      </c>
      <c r="CI588">
        <v>1</v>
      </c>
      <c r="CJ588">
        <v>1</v>
      </c>
      <c r="CK588">
        <v>21</v>
      </c>
      <c r="CL588" t="s">
        <v>89</v>
      </c>
    </row>
    <row r="589" spans="1:90" x14ac:dyDescent="0.3">
      <c r="A589" t="s">
        <v>72</v>
      </c>
      <c r="B589" t="s">
        <v>73</v>
      </c>
      <c r="C589" t="s">
        <v>74</v>
      </c>
      <c r="E589" t="str">
        <f>"080065247146"</f>
        <v>080065247146</v>
      </c>
      <c r="F589" s="3">
        <v>45785</v>
      </c>
      <c r="G589">
        <v>202602</v>
      </c>
      <c r="H589" t="s">
        <v>75</v>
      </c>
      <c r="I589" t="s">
        <v>76</v>
      </c>
      <c r="J589" t="s">
        <v>77</v>
      </c>
      <c r="K589" t="s">
        <v>78</v>
      </c>
      <c r="L589" t="s">
        <v>75</v>
      </c>
      <c r="M589" t="s">
        <v>76</v>
      </c>
      <c r="N589" t="s">
        <v>1321</v>
      </c>
      <c r="O589" t="s">
        <v>300</v>
      </c>
      <c r="P589" t="str">
        <f>"4170037360                    "</f>
        <v xml:space="preserve">4170037360                    </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34.71</v>
      </c>
      <c r="AR589">
        <v>0</v>
      </c>
      <c r="AS589">
        <v>0</v>
      </c>
      <c r="AT589">
        <v>0</v>
      </c>
      <c r="AU589">
        <v>0</v>
      </c>
      <c r="AV589">
        <v>0</v>
      </c>
      <c r="AW589">
        <v>0</v>
      </c>
      <c r="AX589">
        <v>0</v>
      </c>
      <c r="AY589">
        <v>0</v>
      </c>
      <c r="AZ589">
        <v>0</v>
      </c>
      <c r="BA589">
        <v>0</v>
      </c>
      <c r="BB589">
        <v>0</v>
      </c>
      <c r="BC589">
        <v>0</v>
      </c>
      <c r="BD589">
        <v>0</v>
      </c>
      <c r="BE589">
        <v>0</v>
      </c>
      <c r="BF589">
        <v>0</v>
      </c>
      <c r="BG589">
        <v>0</v>
      </c>
      <c r="BH589">
        <v>1</v>
      </c>
      <c r="BI589">
        <v>6</v>
      </c>
      <c r="BJ589">
        <v>17.7</v>
      </c>
      <c r="BK589">
        <v>18</v>
      </c>
      <c r="BL589">
        <v>119.16</v>
      </c>
      <c r="BM589">
        <v>17.87</v>
      </c>
      <c r="BN589">
        <v>137.03</v>
      </c>
      <c r="BO589">
        <v>137.03</v>
      </c>
      <c r="BQ589" t="s">
        <v>1322</v>
      </c>
      <c r="BR589" t="s">
        <v>84</v>
      </c>
      <c r="BS589" s="3">
        <v>45786</v>
      </c>
      <c r="BT589" s="4">
        <v>0.39583333333333331</v>
      </c>
      <c r="BU589" t="s">
        <v>1323</v>
      </c>
      <c r="BV589" t="s">
        <v>86</v>
      </c>
      <c r="BY589">
        <v>88320</v>
      </c>
      <c r="CA589" t="s">
        <v>115</v>
      </c>
      <c r="CC589" t="s">
        <v>76</v>
      </c>
      <c r="CD589">
        <v>1618</v>
      </c>
      <c r="CE589" t="s">
        <v>96</v>
      </c>
      <c r="CF589" s="3">
        <v>45786</v>
      </c>
      <c r="CI589">
        <v>1</v>
      </c>
      <c r="CJ589">
        <v>1</v>
      </c>
      <c r="CK589">
        <v>42</v>
      </c>
      <c r="CL589" t="s">
        <v>89</v>
      </c>
    </row>
    <row r="590" spans="1:90" x14ac:dyDescent="0.3">
      <c r="A590" t="s">
        <v>72</v>
      </c>
      <c r="B590" t="s">
        <v>73</v>
      </c>
      <c r="C590" t="s">
        <v>74</v>
      </c>
      <c r="E590" t="str">
        <f>"080065247180"</f>
        <v>080065247180</v>
      </c>
      <c r="F590" s="3">
        <v>45785</v>
      </c>
      <c r="G590">
        <v>202602</v>
      </c>
      <c r="H590" t="s">
        <v>75</v>
      </c>
      <c r="I590" t="s">
        <v>76</v>
      </c>
      <c r="J590" t="s">
        <v>77</v>
      </c>
      <c r="K590" t="s">
        <v>78</v>
      </c>
      <c r="L590" t="s">
        <v>350</v>
      </c>
      <c r="M590" t="s">
        <v>351</v>
      </c>
      <c r="N590" t="s">
        <v>459</v>
      </c>
      <c r="O590" t="s">
        <v>82</v>
      </c>
      <c r="P590" t="str">
        <f>"4170037259                    "</f>
        <v xml:space="preserve">4170037259                    </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21.38</v>
      </c>
      <c r="AR590">
        <v>0</v>
      </c>
      <c r="AS590">
        <v>0</v>
      </c>
      <c r="AT590">
        <v>0</v>
      </c>
      <c r="AU590">
        <v>0</v>
      </c>
      <c r="AV590">
        <v>0</v>
      </c>
      <c r="AW590">
        <v>0</v>
      </c>
      <c r="AX590">
        <v>0</v>
      </c>
      <c r="AY590">
        <v>0</v>
      </c>
      <c r="AZ590">
        <v>0</v>
      </c>
      <c r="BA590">
        <v>0</v>
      </c>
      <c r="BB590">
        <v>0</v>
      </c>
      <c r="BC590">
        <v>0</v>
      </c>
      <c r="BD590">
        <v>0</v>
      </c>
      <c r="BE590">
        <v>0</v>
      </c>
      <c r="BF590">
        <v>0</v>
      </c>
      <c r="BG590">
        <v>0</v>
      </c>
      <c r="BH590">
        <v>1</v>
      </c>
      <c r="BI590">
        <v>1</v>
      </c>
      <c r="BJ590">
        <v>0.2</v>
      </c>
      <c r="BK590">
        <v>1</v>
      </c>
      <c r="BL590">
        <v>69.98</v>
      </c>
      <c r="BM590">
        <v>10.5</v>
      </c>
      <c r="BN590">
        <v>80.48</v>
      </c>
      <c r="BO590">
        <v>80.48</v>
      </c>
      <c r="BQ590" t="s">
        <v>460</v>
      </c>
      <c r="BR590" t="s">
        <v>84</v>
      </c>
      <c r="BS590" s="3">
        <v>45786</v>
      </c>
      <c r="BT590" s="4">
        <v>0.33333333333333331</v>
      </c>
      <c r="BU590" t="s">
        <v>1121</v>
      </c>
      <c r="BV590" t="s">
        <v>86</v>
      </c>
      <c r="BY590">
        <v>1200</v>
      </c>
      <c r="CA590" t="s">
        <v>462</v>
      </c>
      <c r="CC590" t="s">
        <v>351</v>
      </c>
      <c r="CD590">
        <v>4051</v>
      </c>
      <c r="CE590" t="s">
        <v>88</v>
      </c>
      <c r="CF590" s="3">
        <v>45789</v>
      </c>
      <c r="CI590">
        <v>1</v>
      </c>
      <c r="CJ590">
        <v>1</v>
      </c>
      <c r="CK590">
        <v>21</v>
      </c>
      <c r="CL590" t="s">
        <v>89</v>
      </c>
    </row>
    <row r="591" spans="1:90" x14ac:dyDescent="0.3">
      <c r="A591" t="s">
        <v>72</v>
      </c>
      <c r="B591" t="s">
        <v>73</v>
      </c>
      <c r="C591" t="s">
        <v>74</v>
      </c>
      <c r="E591" t="str">
        <f>"080065247407"</f>
        <v>080065247407</v>
      </c>
      <c r="F591" s="3">
        <v>45785</v>
      </c>
      <c r="G591">
        <v>202602</v>
      </c>
      <c r="H591" t="s">
        <v>75</v>
      </c>
      <c r="I591" t="s">
        <v>76</v>
      </c>
      <c r="J591" t="s">
        <v>77</v>
      </c>
      <c r="K591" t="s">
        <v>78</v>
      </c>
      <c r="L591" t="s">
        <v>672</v>
      </c>
      <c r="M591" t="s">
        <v>673</v>
      </c>
      <c r="N591" t="s">
        <v>674</v>
      </c>
      <c r="O591" t="s">
        <v>82</v>
      </c>
      <c r="P591" t="str">
        <f>"4170037363                    "</f>
        <v xml:space="preserve">4170037363                    </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60.14</v>
      </c>
      <c r="AR591">
        <v>0</v>
      </c>
      <c r="AS591">
        <v>0</v>
      </c>
      <c r="AT591">
        <v>0</v>
      </c>
      <c r="AU591">
        <v>0</v>
      </c>
      <c r="AV591">
        <v>0</v>
      </c>
      <c r="AW591">
        <v>0</v>
      </c>
      <c r="AX591">
        <v>0</v>
      </c>
      <c r="AY591">
        <v>0</v>
      </c>
      <c r="AZ591">
        <v>0</v>
      </c>
      <c r="BA591">
        <v>0</v>
      </c>
      <c r="BB591">
        <v>0</v>
      </c>
      <c r="BC591">
        <v>0</v>
      </c>
      <c r="BD591">
        <v>0</v>
      </c>
      <c r="BE591">
        <v>0</v>
      </c>
      <c r="BF591">
        <v>0</v>
      </c>
      <c r="BG591">
        <v>0</v>
      </c>
      <c r="BH591">
        <v>1</v>
      </c>
      <c r="BI591">
        <v>3</v>
      </c>
      <c r="BJ591">
        <v>1.4</v>
      </c>
      <c r="BK591">
        <v>3</v>
      </c>
      <c r="BL591">
        <v>196.82</v>
      </c>
      <c r="BM591">
        <v>29.52</v>
      </c>
      <c r="BN591">
        <v>226.34</v>
      </c>
      <c r="BO591">
        <v>226.34</v>
      </c>
      <c r="BQ591" t="s">
        <v>675</v>
      </c>
      <c r="BR591" t="s">
        <v>84</v>
      </c>
      <c r="BS591" s="3">
        <v>45786</v>
      </c>
      <c r="BT591" s="4">
        <v>0.38680555555555557</v>
      </c>
      <c r="BU591" t="s">
        <v>1324</v>
      </c>
      <c r="BV591" t="s">
        <v>86</v>
      </c>
      <c r="BY591">
        <v>7000</v>
      </c>
      <c r="CA591" t="s">
        <v>677</v>
      </c>
      <c r="CC591" t="s">
        <v>673</v>
      </c>
      <c r="CD591">
        <v>2531</v>
      </c>
      <c r="CE591" t="s">
        <v>116</v>
      </c>
      <c r="CF591" s="3">
        <v>45789</v>
      </c>
      <c r="CI591">
        <v>1</v>
      </c>
      <c r="CJ591">
        <v>1</v>
      </c>
      <c r="CK591">
        <v>23</v>
      </c>
      <c r="CL591" t="s">
        <v>89</v>
      </c>
    </row>
    <row r="592" spans="1:90" x14ac:dyDescent="0.3">
      <c r="A592" t="s">
        <v>72</v>
      </c>
      <c r="B592" t="s">
        <v>73</v>
      </c>
      <c r="C592" t="s">
        <v>74</v>
      </c>
      <c r="E592" t="str">
        <f>"080065247467"</f>
        <v>080065247467</v>
      </c>
      <c r="F592" s="3">
        <v>45785</v>
      </c>
      <c r="G592">
        <v>202602</v>
      </c>
      <c r="H592" t="s">
        <v>75</v>
      </c>
      <c r="I592" t="s">
        <v>76</v>
      </c>
      <c r="J592" t="s">
        <v>77</v>
      </c>
      <c r="K592" t="s">
        <v>78</v>
      </c>
      <c r="L592" t="s">
        <v>97</v>
      </c>
      <c r="M592" t="s">
        <v>98</v>
      </c>
      <c r="N592" t="s">
        <v>1284</v>
      </c>
      <c r="O592" t="s">
        <v>82</v>
      </c>
      <c r="P592" t="str">
        <f>"4170037369                    "</f>
        <v xml:space="preserve">4170037369                    </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16.7</v>
      </c>
      <c r="AR592">
        <v>0</v>
      </c>
      <c r="AS592">
        <v>0</v>
      </c>
      <c r="AT592">
        <v>0</v>
      </c>
      <c r="AU592">
        <v>0</v>
      </c>
      <c r="AV592">
        <v>0</v>
      </c>
      <c r="AW592">
        <v>0</v>
      </c>
      <c r="AX592">
        <v>0</v>
      </c>
      <c r="AY592">
        <v>0</v>
      </c>
      <c r="AZ592">
        <v>0</v>
      </c>
      <c r="BA592">
        <v>0</v>
      </c>
      <c r="BB592">
        <v>0</v>
      </c>
      <c r="BC592">
        <v>0</v>
      </c>
      <c r="BD592">
        <v>0</v>
      </c>
      <c r="BE592">
        <v>0</v>
      </c>
      <c r="BF592">
        <v>0</v>
      </c>
      <c r="BG592">
        <v>0</v>
      </c>
      <c r="BH592">
        <v>1</v>
      </c>
      <c r="BI592">
        <v>2</v>
      </c>
      <c r="BJ592">
        <v>1.4</v>
      </c>
      <c r="BK592">
        <v>2</v>
      </c>
      <c r="BL592">
        <v>54.66</v>
      </c>
      <c r="BM592">
        <v>8.1999999999999993</v>
      </c>
      <c r="BN592">
        <v>62.86</v>
      </c>
      <c r="BO592">
        <v>62.86</v>
      </c>
      <c r="BQ592" t="s">
        <v>1285</v>
      </c>
      <c r="BR592" t="s">
        <v>84</v>
      </c>
      <c r="BS592" s="3">
        <v>45786</v>
      </c>
      <c r="BT592" s="4">
        <v>0.34861111111111109</v>
      </c>
      <c r="BU592" t="s">
        <v>1286</v>
      </c>
      <c r="BV592" t="s">
        <v>86</v>
      </c>
      <c r="BY592">
        <v>7000</v>
      </c>
      <c r="CA592" t="s">
        <v>175</v>
      </c>
      <c r="CC592" t="s">
        <v>98</v>
      </c>
      <c r="CD592">
        <v>1459</v>
      </c>
      <c r="CE592" t="s">
        <v>116</v>
      </c>
      <c r="CF592" s="3">
        <v>45787</v>
      </c>
      <c r="CI592">
        <v>1</v>
      </c>
      <c r="CJ592">
        <v>1</v>
      </c>
      <c r="CK592">
        <v>22</v>
      </c>
      <c r="CL592" t="s">
        <v>89</v>
      </c>
    </row>
    <row r="593" spans="1:90" x14ac:dyDescent="0.3">
      <c r="A593" t="s">
        <v>72</v>
      </c>
      <c r="B593" t="s">
        <v>73</v>
      </c>
      <c r="C593" t="s">
        <v>74</v>
      </c>
      <c r="E593" t="str">
        <f>"080065247613"</f>
        <v>080065247613</v>
      </c>
      <c r="F593" s="3">
        <v>45785</v>
      </c>
      <c r="G593">
        <v>202602</v>
      </c>
      <c r="H593" t="s">
        <v>75</v>
      </c>
      <c r="I593" t="s">
        <v>76</v>
      </c>
      <c r="J593" t="s">
        <v>77</v>
      </c>
      <c r="K593" t="s">
        <v>78</v>
      </c>
      <c r="L593" t="s">
        <v>350</v>
      </c>
      <c r="M593" t="s">
        <v>351</v>
      </c>
      <c r="N593" t="s">
        <v>352</v>
      </c>
      <c r="O593" t="s">
        <v>300</v>
      </c>
      <c r="P593" t="str">
        <f>"4170037368                    "</f>
        <v xml:space="preserve">4170037368                    </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41.35</v>
      </c>
      <c r="AR593">
        <v>0</v>
      </c>
      <c r="AS593">
        <v>0</v>
      </c>
      <c r="AT593">
        <v>0</v>
      </c>
      <c r="AU593">
        <v>0</v>
      </c>
      <c r="AV593">
        <v>0</v>
      </c>
      <c r="AW593">
        <v>0</v>
      </c>
      <c r="AX593">
        <v>0</v>
      </c>
      <c r="AY593">
        <v>0</v>
      </c>
      <c r="AZ593">
        <v>0</v>
      </c>
      <c r="BA593">
        <v>0</v>
      </c>
      <c r="BB593">
        <v>0</v>
      </c>
      <c r="BC593">
        <v>0</v>
      </c>
      <c r="BD593">
        <v>0</v>
      </c>
      <c r="BE593">
        <v>0</v>
      </c>
      <c r="BF593">
        <v>0</v>
      </c>
      <c r="BG593">
        <v>0</v>
      </c>
      <c r="BH593">
        <v>1</v>
      </c>
      <c r="BI593">
        <v>4</v>
      </c>
      <c r="BJ593">
        <v>2.4</v>
      </c>
      <c r="BK593">
        <v>4</v>
      </c>
      <c r="BL593">
        <v>140.9</v>
      </c>
      <c r="BM593">
        <v>21.14</v>
      </c>
      <c r="BN593">
        <v>162.04</v>
      </c>
      <c r="BO593">
        <v>162.04</v>
      </c>
      <c r="BQ593" t="s">
        <v>353</v>
      </c>
      <c r="BR593" t="s">
        <v>84</v>
      </c>
      <c r="BS593" s="3">
        <v>45786</v>
      </c>
      <c r="BT593" s="4">
        <v>0.57986111111111116</v>
      </c>
      <c r="BU593" t="s">
        <v>354</v>
      </c>
      <c r="BV593" t="s">
        <v>86</v>
      </c>
      <c r="BY593">
        <v>12236</v>
      </c>
      <c r="CA593" t="s">
        <v>160</v>
      </c>
      <c r="CC593" t="s">
        <v>351</v>
      </c>
      <c r="CD593">
        <v>4000</v>
      </c>
      <c r="CE593" t="s">
        <v>1047</v>
      </c>
      <c r="CF593" s="3">
        <v>45789</v>
      </c>
      <c r="CI593">
        <v>1</v>
      </c>
      <c r="CJ593">
        <v>1</v>
      </c>
      <c r="CK593">
        <v>41</v>
      </c>
      <c r="CL593" t="s">
        <v>89</v>
      </c>
    </row>
    <row r="594" spans="1:90" x14ac:dyDescent="0.3">
      <c r="A594" t="s">
        <v>72</v>
      </c>
      <c r="B594" t="s">
        <v>73</v>
      </c>
      <c r="C594" t="s">
        <v>74</v>
      </c>
      <c r="E594" t="str">
        <f>"080065248526"</f>
        <v>080065248526</v>
      </c>
      <c r="F594" s="3">
        <v>45785</v>
      </c>
      <c r="G594">
        <v>202602</v>
      </c>
      <c r="H594" t="s">
        <v>75</v>
      </c>
      <c r="I594" t="s">
        <v>76</v>
      </c>
      <c r="J594" t="s">
        <v>77</v>
      </c>
      <c r="K594" t="s">
        <v>78</v>
      </c>
      <c r="L594" t="s">
        <v>463</v>
      </c>
      <c r="M594" t="s">
        <v>464</v>
      </c>
      <c r="N594" t="s">
        <v>1325</v>
      </c>
      <c r="O594" t="s">
        <v>82</v>
      </c>
      <c r="P594" t="str">
        <f>"4170037374                    "</f>
        <v xml:space="preserve">4170037374                    </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21.38</v>
      </c>
      <c r="AR594">
        <v>0</v>
      </c>
      <c r="AS594">
        <v>0</v>
      </c>
      <c r="AT594">
        <v>0</v>
      </c>
      <c r="AU594">
        <v>0</v>
      </c>
      <c r="AV594">
        <v>0</v>
      </c>
      <c r="AW594">
        <v>0</v>
      </c>
      <c r="AX594">
        <v>0</v>
      </c>
      <c r="AY594">
        <v>0</v>
      </c>
      <c r="AZ594">
        <v>0</v>
      </c>
      <c r="BA594">
        <v>0</v>
      </c>
      <c r="BB594">
        <v>0</v>
      </c>
      <c r="BC594">
        <v>0</v>
      </c>
      <c r="BD594">
        <v>0</v>
      </c>
      <c r="BE594">
        <v>0</v>
      </c>
      <c r="BF594">
        <v>0</v>
      </c>
      <c r="BG594">
        <v>0</v>
      </c>
      <c r="BH594">
        <v>1</v>
      </c>
      <c r="BI594">
        <v>1</v>
      </c>
      <c r="BJ594">
        <v>0.2</v>
      </c>
      <c r="BK594">
        <v>1</v>
      </c>
      <c r="BL594">
        <v>69.98</v>
      </c>
      <c r="BM594">
        <v>10.5</v>
      </c>
      <c r="BN594">
        <v>80.48</v>
      </c>
      <c r="BO594">
        <v>80.48</v>
      </c>
      <c r="BQ594" t="s">
        <v>1326</v>
      </c>
      <c r="BR594" t="s">
        <v>84</v>
      </c>
      <c r="BS594" s="3">
        <v>45786</v>
      </c>
      <c r="BT594" s="4">
        <v>0.64722222222222225</v>
      </c>
      <c r="BU594" t="s">
        <v>1327</v>
      </c>
      <c r="BV594" t="s">
        <v>86</v>
      </c>
      <c r="BY594">
        <v>1200</v>
      </c>
      <c r="CA594" t="s">
        <v>468</v>
      </c>
      <c r="CC594" t="s">
        <v>464</v>
      </c>
      <c r="CD594">
        <v>5201</v>
      </c>
      <c r="CE594" t="s">
        <v>88</v>
      </c>
      <c r="CF594" s="3">
        <v>45786</v>
      </c>
      <c r="CI594">
        <v>5</v>
      </c>
      <c r="CJ594">
        <v>1</v>
      </c>
      <c r="CK594">
        <v>21</v>
      </c>
      <c r="CL594" t="s">
        <v>89</v>
      </c>
    </row>
    <row r="595" spans="1:90" x14ac:dyDescent="0.3">
      <c r="A595" t="s">
        <v>72</v>
      </c>
      <c r="B595" t="s">
        <v>73</v>
      </c>
      <c r="C595" t="s">
        <v>74</v>
      </c>
      <c r="E595" t="str">
        <f>"080065248552"</f>
        <v>080065248552</v>
      </c>
      <c r="F595" s="3">
        <v>45785</v>
      </c>
      <c r="G595">
        <v>202602</v>
      </c>
      <c r="H595" t="s">
        <v>75</v>
      </c>
      <c r="I595" t="s">
        <v>76</v>
      </c>
      <c r="J595" t="s">
        <v>77</v>
      </c>
      <c r="K595" t="s">
        <v>78</v>
      </c>
      <c r="L595" t="s">
        <v>1328</v>
      </c>
      <c r="M595" t="s">
        <v>1329</v>
      </c>
      <c r="N595" t="s">
        <v>1330</v>
      </c>
      <c r="O595" t="s">
        <v>82</v>
      </c>
      <c r="P595" t="str">
        <f>"4170037377                    "</f>
        <v xml:space="preserve">4170037377                    </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30.07</v>
      </c>
      <c r="AR595">
        <v>0</v>
      </c>
      <c r="AS595">
        <v>0</v>
      </c>
      <c r="AT595">
        <v>0</v>
      </c>
      <c r="AU595">
        <v>0</v>
      </c>
      <c r="AV595">
        <v>0</v>
      </c>
      <c r="AW595">
        <v>0</v>
      </c>
      <c r="AX595">
        <v>0</v>
      </c>
      <c r="AY595">
        <v>0</v>
      </c>
      <c r="AZ595">
        <v>0</v>
      </c>
      <c r="BA595">
        <v>0</v>
      </c>
      <c r="BB595">
        <v>0</v>
      </c>
      <c r="BC595">
        <v>0</v>
      </c>
      <c r="BD595">
        <v>0</v>
      </c>
      <c r="BE595">
        <v>0</v>
      </c>
      <c r="BF595">
        <v>0</v>
      </c>
      <c r="BG595">
        <v>0</v>
      </c>
      <c r="BH595">
        <v>1</v>
      </c>
      <c r="BI595">
        <v>1</v>
      </c>
      <c r="BJ595">
        <v>0.2</v>
      </c>
      <c r="BK595">
        <v>1</v>
      </c>
      <c r="BL595">
        <v>98.42</v>
      </c>
      <c r="BM595">
        <v>14.76</v>
      </c>
      <c r="BN595">
        <v>113.18</v>
      </c>
      <c r="BO595">
        <v>113.18</v>
      </c>
      <c r="BQ595" t="s">
        <v>1331</v>
      </c>
      <c r="BR595" t="s">
        <v>84</v>
      </c>
      <c r="BS595" s="3">
        <v>45786</v>
      </c>
      <c r="BT595" s="4">
        <v>0.31388888888888888</v>
      </c>
      <c r="BU595" t="s">
        <v>190</v>
      </c>
      <c r="BV595" t="s">
        <v>86</v>
      </c>
      <c r="BY595">
        <v>1200</v>
      </c>
      <c r="CA595" t="s">
        <v>1332</v>
      </c>
      <c r="CC595" t="s">
        <v>1329</v>
      </c>
      <c r="CD595">
        <v>2210</v>
      </c>
      <c r="CE595" t="s">
        <v>88</v>
      </c>
      <c r="CF595" s="3">
        <v>45787</v>
      </c>
      <c r="CI595">
        <v>1</v>
      </c>
      <c r="CJ595">
        <v>1</v>
      </c>
      <c r="CK595">
        <v>24</v>
      </c>
      <c r="CL595" t="s">
        <v>89</v>
      </c>
    </row>
    <row r="596" spans="1:90" x14ac:dyDescent="0.3">
      <c r="A596" t="s">
        <v>72</v>
      </c>
      <c r="B596" t="s">
        <v>73</v>
      </c>
      <c r="C596" t="s">
        <v>74</v>
      </c>
      <c r="E596" t="str">
        <f>"080065248580"</f>
        <v>080065248580</v>
      </c>
      <c r="F596" s="3">
        <v>45785</v>
      </c>
      <c r="G596">
        <v>202602</v>
      </c>
      <c r="H596" t="s">
        <v>75</v>
      </c>
      <c r="I596" t="s">
        <v>76</v>
      </c>
      <c r="J596" t="s">
        <v>77</v>
      </c>
      <c r="K596" t="s">
        <v>78</v>
      </c>
      <c r="L596" t="s">
        <v>1328</v>
      </c>
      <c r="M596" t="s">
        <v>1329</v>
      </c>
      <c r="N596" t="s">
        <v>1330</v>
      </c>
      <c r="O596" t="s">
        <v>82</v>
      </c>
      <c r="P596" t="str">
        <f>"4170037378                    "</f>
        <v xml:space="preserve">4170037378                    </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30.07</v>
      </c>
      <c r="AR596">
        <v>0</v>
      </c>
      <c r="AS596">
        <v>0</v>
      </c>
      <c r="AT596">
        <v>0</v>
      </c>
      <c r="AU596">
        <v>0</v>
      </c>
      <c r="AV596">
        <v>0</v>
      </c>
      <c r="AW596">
        <v>0</v>
      </c>
      <c r="AX596">
        <v>0</v>
      </c>
      <c r="AY596">
        <v>0</v>
      </c>
      <c r="AZ596">
        <v>0</v>
      </c>
      <c r="BA596">
        <v>0</v>
      </c>
      <c r="BB596">
        <v>0</v>
      </c>
      <c r="BC596">
        <v>0</v>
      </c>
      <c r="BD596">
        <v>0</v>
      </c>
      <c r="BE596">
        <v>0</v>
      </c>
      <c r="BF596">
        <v>0</v>
      </c>
      <c r="BG596">
        <v>0</v>
      </c>
      <c r="BH596">
        <v>1</v>
      </c>
      <c r="BI596">
        <v>1</v>
      </c>
      <c r="BJ596">
        <v>0.2</v>
      </c>
      <c r="BK596">
        <v>1</v>
      </c>
      <c r="BL596">
        <v>98.42</v>
      </c>
      <c r="BM596">
        <v>14.76</v>
      </c>
      <c r="BN596">
        <v>113.18</v>
      </c>
      <c r="BO596">
        <v>113.18</v>
      </c>
      <c r="BQ596" t="s">
        <v>1331</v>
      </c>
      <c r="BR596" t="s">
        <v>84</v>
      </c>
      <c r="BS596" s="3">
        <v>45786</v>
      </c>
      <c r="BT596" s="4">
        <v>0.31458333333333333</v>
      </c>
      <c r="BU596" t="s">
        <v>190</v>
      </c>
      <c r="BV596" t="s">
        <v>86</v>
      </c>
      <c r="BY596">
        <v>1240</v>
      </c>
      <c r="CA596" t="s">
        <v>1332</v>
      </c>
      <c r="CC596" t="s">
        <v>1329</v>
      </c>
      <c r="CD596">
        <v>2210</v>
      </c>
      <c r="CE596" t="s">
        <v>1193</v>
      </c>
      <c r="CF596" s="3">
        <v>45787</v>
      </c>
      <c r="CI596">
        <v>1</v>
      </c>
      <c r="CJ596">
        <v>1</v>
      </c>
      <c r="CK596">
        <v>24</v>
      </c>
      <c r="CL596" t="s">
        <v>89</v>
      </c>
    </row>
    <row r="597" spans="1:90" x14ac:dyDescent="0.3">
      <c r="A597" t="s">
        <v>72</v>
      </c>
      <c r="B597" t="s">
        <v>73</v>
      </c>
      <c r="C597" t="s">
        <v>74</v>
      </c>
      <c r="E597" t="str">
        <f>"080065248622"</f>
        <v>080065248622</v>
      </c>
      <c r="F597" s="3">
        <v>45785</v>
      </c>
      <c r="G597">
        <v>202602</v>
      </c>
      <c r="H597" t="s">
        <v>75</v>
      </c>
      <c r="I597" t="s">
        <v>76</v>
      </c>
      <c r="J597" t="s">
        <v>77</v>
      </c>
      <c r="K597" t="s">
        <v>78</v>
      </c>
      <c r="L597" t="s">
        <v>130</v>
      </c>
      <c r="M597" t="s">
        <v>131</v>
      </c>
      <c r="N597" t="s">
        <v>343</v>
      </c>
      <c r="O597" t="s">
        <v>82</v>
      </c>
      <c r="P597" t="str">
        <f>"4170037386                    "</f>
        <v xml:space="preserve">4170037386                    </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21.38</v>
      </c>
      <c r="AR597">
        <v>0</v>
      </c>
      <c r="AS597">
        <v>0</v>
      </c>
      <c r="AT597">
        <v>0</v>
      </c>
      <c r="AU597">
        <v>0</v>
      </c>
      <c r="AV597">
        <v>0</v>
      </c>
      <c r="AW597">
        <v>0</v>
      </c>
      <c r="AX597">
        <v>0</v>
      </c>
      <c r="AY597">
        <v>0</v>
      </c>
      <c r="AZ597">
        <v>0</v>
      </c>
      <c r="BA597">
        <v>0</v>
      </c>
      <c r="BB597">
        <v>0</v>
      </c>
      <c r="BC597">
        <v>0</v>
      </c>
      <c r="BD597">
        <v>0</v>
      </c>
      <c r="BE597">
        <v>0</v>
      </c>
      <c r="BF597">
        <v>0</v>
      </c>
      <c r="BG597">
        <v>0</v>
      </c>
      <c r="BH597">
        <v>1</v>
      </c>
      <c r="BI597">
        <v>1</v>
      </c>
      <c r="BJ597">
        <v>0.2</v>
      </c>
      <c r="BK597">
        <v>1</v>
      </c>
      <c r="BL597">
        <v>69.98</v>
      </c>
      <c r="BM597">
        <v>10.5</v>
      </c>
      <c r="BN597">
        <v>80.48</v>
      </c>
      <c r="BO597">
        <v>80.48</v>
      </c>
      <c r="BQ597" t="s">
        <v>344</v>
      </c>
      <c r="BR597" t="s">
        <v>84</v>
      </c>
      <c r="BS597" s="3">
        <v>45786</v>
      </c>
      <c r="BT597" s="4">
        <v>0.39791666666666664</v>
      </c>
      <c r="BU597" t="s">
        <v>345</v>
      </c>
      <c r="BV597" t="s">
        <v>86</v>
      </c>
      <c r="BY597">
        <v>1200</v>
      </c>
      <c r="CA597" t="s">
        <v>242</v>
      </c>
      <c r="CC597" t="s">
        <v>131</v>
      </c>
      <c r="CD597">
        <v>7441</v>
      </c>
      <c r="CE597" t="s">
        <v>88</v>
      </c>
      <c r="CF597" s="3">
        <v>45789</v>
      </c>
      <c r="CI597">
        <v>1</v>
      </c>
      <c r="CJ597">
        <v>1</v>
      </c>
      <c r="CK597">
        <v>21</v>
      </c>
      <c r="CL597" t="s">
        <v>89</v>
      </c>
    </row>
    <row r="598" spans="1:90" x14ac:dyDescent="0.3">
      <c r="A598" t="s">
        <v>72</v>
      </c>
      <c r="B598" t="s">
        <v>73</v>
      </c>
      <c r="C598" t="s">
        <v>74</v>
      </c>
      <c r="E598" t="str">
        <f>"080065248676"</f>
        <v>080065248676</v>
      </c>
      <c r="F598" s="3">
        <v>45785</v>
      </c>
      <c r="G598">
        <v>202602</v>
      </c>
      <c r="H598" t="s">
        <v>75</v>
      </c>
      <c r="I598" t="s">
        <v>76</v>
      </c>
      <c r="J598" t="s">
        <v>77</v>
      </c>
      <c r="K598" t="s">
        <v>78</v>
      </c>
      <c r="L598" t="s">
        <v>350</v>
      </c>
      <c r="M598" t="s">
        <v>351</v>
      </c>
      <c r="N598" t="s">
        <v>1333</v>
      </c>
      <c r="O598" t="s">
        <v>82</v>
      </c>
      <c r="P598" t="str">
        <f>"4170037385                    "</f>
        <v xml:space="preserve">4170037385                    </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21.38</v>
      </c>
      <c r="AR598">
        <v>0</v>
      </c>
      <c r="AS598">
        <v>0</v>
      </c>
      <c r="AT598">
        <v>0</v>
      </c>
      <c r="AU598">
        <v>0</v>
      </c>
      <c r="AV598">
        <v>0</v>
      </c>
      <c r="AW598">
        <v>0</v>
      </c>
      <c r="AX598">
        <v>0</v>
      </c>
      <c r="AY598">
        <v>0</v>
      </c>
      <c r="AZ598">
        <v>0</v>
      </c>
      <c r="BA598">
        <v>0</v>
      </c>
      <c r="BB598">
        <v>0</v>
      </c>
      <c r="BC598">
        <v>0</v>
      </c>
      <c r="BD598">
        <v>0</v>
      </c>
      <c r="BE598">
        <v>0</v>
      </c>
      <c r="BF598">
        <v>0</v>
      </c>
      <c r="BG598">
        <v>0</v>
      </c>
      <c r="BH598">
        <v>1</v>
      </c>
      <c r="BI598">
        <v>1</v>
      </c>
      <c r="BJ598">
        <v>0.2</v>
      </c>
      <c r="BK598">
        <v>1</v>
      </c>
      <c r="BL598">
        <v>69.98</v>
      </c>
      <c r="BM598">
        <v>10.5</v>
      </c>
      <c r="BN598">
        <v>80.48</v>
      </c>
      <c r="BO598">
        <v>80.48</v>
      </c>
      <c r="BQ598" t="s">
        <v>1334</v>
      </c>
      <c r="BR598" t="s">
        <v>84</v>
      </c>
      <c r="BS598" s="3">
        <v>45786</v>
      </c>
      <c r="BT598" s="4">
        <v>0.43402777777777779</v>
      </c>
      <c r="BU598" t="s">
        <v>1335</v>
      </c>
      <c r="BV598" t="s">
        <v>86</v>
      </c>
      <c r="BY598">
        <v>1200</v>
      </c>
      <c r="CA598" t="s">
        <v>1336</v>
      </c>
      <c r="CC598" t="s">
        <v>351</v>
      </c>
      <c r="CD598">
        <v>4000</v>
      </c>
      <c r="CE598" t="s">
        <v>176</v>
      </c>
      <c r="CF598" s="3">
        <v>45789</v>
      </c>
      <c r="CI598">
        <v>1</v>
      </c>
      <c r="CJ598">
        <v>1</v>
      </c>
      <c r="CK598">
        <v>21</v>
      </c>
      <c r="CL598" t="s">
        <v>89</v>
      </c>
    </row>
    <row r="599" spans="1:90" x14ac:dyDescent="0.3">
      <c r="A599" t="s">
        <v>72</v>
      </c>
      <c r="B599" t="s">
        <v>73</v>
      </c>
      <c r="C599" t="s">
        <v>74</v>
      </c>
      <c r="E599" t="str">
        <f>"080065248732"</f>
        <v>080065248732</v>
      </c>
      <c r="F599" s="3">
        <v>45785</v>
      </c>
      <c r="G599">
        <v>202602</v>
      </c>
      <c r="H599" t="s">
        <v>75</v>
      </c>
      <c r="I599" t="s">
        <v>76</v>
      </c>
      <c r="J599" t="s">
        <v>77</v>
      </c>
      <c r="K599" t="s">
        <v>78</v>
      </c>
      <c r="L599" t="s">
        <v>136</v>
      </c>
      <c r="M599" t="s">
        <v>137</v>
      </c>
      <c r="N599" t="s">
        <v>161</v>
      </c>
      <c r="O599" t="s">
        <v>82</v>
      </c>
      <c r="P599" t="str">
        <f>"4170037379                    "</f>
        <v xml:space="preserve">4170037379                    </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21.38</v>
      </c>
      <c r="AR599">
        <v>0</v>
      </c>
      <c r="AS599">
        <v>0</v>
      </c>
      <c r="AT599">
        <v>0</v>
      </c>
      <c r="AU599">
        <v>0</v>
      </c>
      <c r="AV599">
        <v>0</v>
      </c>
      <c r="AW599">
        <v>0</v>
      </c>
      <c r="AX599">
        <v>0</v>
      </c>
      <c r="AY599">
        <v>0</v>
      </c>
      <c r="AZ599">
        <v>0</v>
      </c>
      <c r="BA599">
        <v>0</v>
      </c>
      <c r="BB599">
        <v>0</v>
      </c>
      <c r="BC599">
        <v>0</v>
      </c>
      <c r="BD599">
        <v>0</v>
      </c>
      <c r="BE599">
        <v>0</v>
      </c>
      <c r="BF599">
        <v>0</v>
      </c>
      <c r="BG599">
        <v>0</v>
      </c>
      <c r="BH599">
        <v>1</v>
      </c>
      <c r="BI599">
        <v>1</v>
      </c>
      <c r="BJ599">
        <v>0.2</v>
      </c>
      <c r="BK599">
        <v>1</v>
      </c>
      <c r="BL599">
        <v>69.98</v>
      </c>
      <c r="BM599">
        <v>10.5</v>
      </c>
      <c r="BN599">
        <v>80.48</v>
      </c>
      <c r="BO599">
        <v>80.48</v>
      </c>
      <c r="BQ599" t="s">
        <v>162</v>
      </c>
      <c r="BR599" t="s">
        <v>84</v>
      </c>
      <c r="BS599" s="3">
        <v>45786</v>
      </c>
      <c r="BT599" s="4">
        <v>0.41319444444444442</v>
      </c>
      <c r="BU599" t="s">
        <v>1337</v>
      </c>
      <c r="BV599" t="s">
        <v>86</v>
      </c>
      <c r="BY599">
        <v>1200</v>
      </c>
      <c r="CA599" t="s">
        <v>199</v>
      </c>
      <c r="CC599" t="s">
        <v>137</v>
      </c>
      <c r="CD599" s="5" t="s">
        <v>165</v>
      </c>
      <c r="CE599" t="s">
        <v>176</v>
      </c>
      <c r="CF599" s="3">
        <v>45786</v>
      </c>
      <c r="CI599">
        <v>1</v>
      </c>
      <c r="CJ599">
        <v>1</v>
      </c>
      <c r="CK599">
        <v>21</v>
      </c>
      <c r="CL599" t="s">
        <v>89</v>
      </c>
    </row>
    <row r="600" spans="1:90" x14ac:dyDescent="0.3">
      <c r="A600" t="s">
        <v>72</v>
      </c>
      <c r="B600" t="s">
        <v>73</v>
      </c>
      <c r="C600" t="s">
        <v>74</v>
      </c>
      <c r="E600" t="str">
        <f>"080065248807"</f>
        <v>080065248807</v>
      </c>
      <c r="F600" s="3">
        <v>45785</v>
      </c>
      <c r="G600">
        <v>202602</v>
      </c>
      <c r="H600" t="s">
        <v>75</v>
      </c>
      <c r="I600" t="s">
        <v>76</v>
      </c>
      <c r="J600" t="s">
        <v>77</v>
      </c>
      <c r="K600" t="s">
        <v>78</v>
      </c>
      <c r="L600" t="s">
        <v>143</v>
      </c>
      <c r="M600" t="s">
        <v>144</v>
      </c>
      <c r="N600" t="s">
        <v>547</v>
      </c>
      <c r="O600" t="s">
        <v>82</v>
      </c>
      <c r="P600" t="str">
        <f>"4170037380                    "</f>
        <v xml:space="preserve">4170037380                    </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16.7</v>
      </c>
      <c r="AR600">
        <v>0</v>
      </c>
      <c r="AS600">
        <v>0</v>
      </c>
      <c r="AT600">
        <v>0</v>
      </c>
      <c r="AU600">
        <v>0</v>
      </c>
      <c r="AV600">
        <v>0</v>
      </c>
      <c r="AW600">
        <v>0</v>
      </c>
      <c r="AX600">
        <v>0</v>
      </c>
      <c r="AY600">
        <v>0</v>
      </c>
      <c r="AZ600">
        <v>0</v>
      </c>
      <c r="BA600">
        <v>0</v>
      </c>
      <c r="BB600">
        <v>0</v>
      </c>
      <c r="BC600">
        <v>0</v>
      </c>
      <c r="BD600">
        <v>0</v>
      </c>
      <c r="BE600">
        <v>0</v>
      </c>
      <c r="BF600">
        <v>0</v>
      </c>
      <c r="BG600">
        <v>0</v>
      </c>
      <c r="BH600">
        <v>1</v>
      </c>
      <c r="BI600">
        <v>1</v>
      </c>
      <c r="BJ600">
        <v>0.2</v>
      </c>
      <c r="BK600">
        <v>1</v>
      </c>
      <c r="BL600">
        <v>54.66</v>
      </c>
      <c r="BM600">
        <v>8.1999999999999993</v>
      </c>
      <c r="BN600">
        <v>62.86</v>
      </c>
      <c r="BO600">
        <v>62.86</v>
      </c>
      <c r="BQ600" t="s">
        <v>548</v>
      </c>
      <c r="BR600" t="s">
        <v>84</v>
      </c>
      <c r="BS600" s="3">
        <v>45786</v>
      </c>
      <c r="BT600" s="4">
        <v>0.42916666666666664</v>
      </c>
      <c r="BU600" t="s">
        <v>407</v>
      </c>
      <c r="BV600" t="s">
        <v>86</v>
      </c>
      <c r="BY600">
        <v>1200</v>
      </c>
      <c r="CA600" t="s">
        <v>765</v>
      </c>
      <c r="CC600" t="s">
        <v>144</v>
      </c>
      <c r="CD600">
        <v>1401</v>
      </c>
      <c r="CE600" t="s">
        <v>176</v>
      </c>
      <c r="CF600" s="3">
        <v>45786</v>
      </c>
      <c r="CI600">
        <v>1</v>
      </c>
      <c r="CJ600">
        <v>1</v>
      </c>
      <c r="CK600">
        <v>22</v>
      </c>
      <c r="CL600" t="s">
        <v>89</v>
      </c>
    </row>
    <row r="601" spans="1:90" x14ac:dyDescent="0.3">
      <c r="A601" t="s">
        <v>72</v>
      </c>
      <c r="B601" t="s">
        <v>73</v>
      </c>
      <c r="C601" t="s">
        <v>74</v>
      </c>
      <c r="E601" t="str">
        <f>"080065248835"</f>
        <v>080065248835</v>
      </c>
      <c r="F601" s="3">
        <v>45785</v>
      </c>
      <c r="G601">
        <v>202602</v>
      </c>
      <c r="H601" t="s">
        <v>75</v>
      </c>
      <c r="I601" t="s">
        <v>76</v>
      </c>
      <c r="J601" t="s">
        <v>77</v>
      </c>
      <c r="K601" t="s">
        <v>78</v>
      </c>
      <c r="L601" t="s">
        <v>350</v>
      </c>
      <c r="M601" t="s">
        <v>351</v>
      </c>
      <c r="N601" t="s">
        <v>1333</v>
      </c>
      <c r="O601" t="s">
        <v>82</v>
      </c>
      <c r="P601" t="str">
        <f>"4170037384                    "</f>
        <v xml:space="preserve">4170037384                    </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21.38</v>
      </c>
      <c r="AR601">
        <v>0</v>
      </c>
      <c r="AS601">
        <v>0</v>
      </c>
      <c r="AT601">
        <v>0</v>
      </c>
      <c r="AU601">
        <v>0</v>
      </c>
      <c r="AV601">
        <v>0</v>
      </c>
      <c r="AW601">
        <v>0</v>
      </c>
      <c r="AX601">
        <v>0</v>
      </c>
      <c r="AY601">
        <v>0</v>
      </c>
      <c r="AZ601">
        <v>0</v>
      </c>
      <c r="BA601">
        <v>0</v>
      </c>
      <c r="BB601">
        <v>0</v>
      </c>
      <c r="BC601">
        <v>0</v>
      </c>
      <c r="BD601">
        <v>0</v>
      </c>
      <c r="BE601">
        <v>0</v>
      </c>
      <c r="BF601">
        <v>0</v>
      </c>
      <c r="BG601">
        <v>0</v>
      </c>
      <c r="BH601">
        <v>1</v>
      </c>
      <c r="BI601">
        <v>1</v>
      </c>
      <c r="BJ601">
        <v>0.2</v>
      </c>
      <c r="BK601">
        <v>1</v>
      </c>
      <c r="BL601">
        <v>69.98</v>
      </c>
      <c r="BM601">
        <v>10.5</v>
      </c>
      <c r="BN601">
        <v>80.48</v>
      </c>
      <c r="BO601">
        <v>80.48</v>
      </c>
      <c r="BQ601" t="s">
        <v>1334</v>
      </c>
      <c r="BR601" t="s">
        <v>84</v>
      </c>
      <c r="BS601" s="3">
        <v>45786</v>
      </c>
      <c r="BT601" s="4">
        <v>0.43402777777777779</v>
      </c>
      <c r="BU601" t="s">
        <v>1335</v>
      </c>
      <c r="BV601" t="s">
        <v>86</v>
      </c>
      <c r="BY601">
        <v>1200</v>
      </c>
      <c r="CA601" t="s">
        <v>1336</v>
      </c>
      <c r="CC601" t="s">
        <v>351</v>
      </c>
      <c r="CD601">
        <v>4000</v>
      </c>
      <c r="CE601" t="s">
        <v>176</v>
      </c>
      <c r="CF601" s="3">
        <v>45789</v>
      </c>
      <c r="CI601">
        <v>1</v>
      </c>
      <c r="CJ601">
        <v>1</v>
      </c>
      <c r="CK601">
        <v>21</v>
      </c>
      <c r="CL601" t="s">
        <v>89</v>
      </c>
    </row>
    <row r="602" spans="1:90" x14ac:dyDescent="0.3">
      <c r="A602" t="s">
        <v>72</v>
      </c>
      <c r="B602" t="s">
        <v>73</v>
      </c>
      <c r="C602" t="s">
        <v>74</v>
      </c>
      <c r="E602" t="str">
        <f>"080065248885"</f>
        <v>080065248885</v>
      </c>
      <c r="F602" s="3">
        <v>45785</v>
      </c>
      <c r="G602">
        <v>202602</v>
      </c>
      <c r="H602" t="s">
        <v>75</v>
      </c>
      <c r="I602" t="s">
        <v>76</v>
      </c>
      <c r="J602" t="s">
        <v>77</v>
      </c>
      <c r="K602" t="s">
        <v>78</v>
      </c>
      <c r="L602" t="s">
        <v>103</v>
      </c>
      <c r="M602" t="s">
        <v>104</v>
      </c>
      <c r="N602" t="s">
        <v>633</v>
      </c>
      <c r="O602" t="s">
        <v>300</v>
      </c>
      <c r="P602" t="str">
        <f>"4170037373                    "</f>
        <v xml:space="preserve">4170037373                    </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61.84</v>
      </c>
      <c r="AR602">
        <v>0</v>
      </c>
      <c r="AS602">
        <v>0</v>
      </c>
      <c r="AT602">
        <v>0</v>
      </c>
      <c r="AU602">
        <v>0</v>
      </c>
      <c r="AV602">
        <v>0</v>
      </c>
      <c r="AW602">
        <v>0</v>
      </c>
      <c r="AX602">
        <v>0</v>
      </c>
      <c r="AY602">
        <v>0</v>
      </c>
      <c r="AZ602">
        <v>0</v>
      </c>
      <c r="BA602">
        <v>0</v>
      </c>
      <c r="BB602">
        <v>0</v>
      </c>
      <c r="BC602">
        <v>0</v>
      </c>
      <c r="BD602">
        <v>0</v>
      </c>
      <c r="BE602">
        <v>0</v>
      </c>
      <c r="BF602">
        <v>0</v>
      </c>
      <c r="BG602">
        <v>0</v>
      </c>
      <c r="BH602">
        <v>1</v>
      </c>
      <c r="BI602">
        <v>27</v>
      </c>
      <c r="BJ602">
        <v>8.9</v>
      </c>
      <c r="BK602">
        <v>27</v>
      </c>
      <c r="BL602">
        <v>207.95</v>
      </c>
      <c r="BM602">
        <v>31.19</v>
      </c>
      <c r="BN602">
        <v>239.14</v>
      </c>
      <c r="BO602">
        <v>239.14</v>
      </c>
      <c r="BQ602" t="s">
        <v>634</v>
      </c>
      <c r="BR602" t="s">
        <v>84</v>
      </c>
      <c r="BS602" s="3">
        <v>45786</v>
      </c>
      <c r="BT602" s="4">
        <v>0.49722222222222223</v>
      </c>
      <c r="BU602" t="s">
        <v>635</v>
      </c>
      <c r="BV602" t="s">
        <v>86</v>
      </c>
      <c r="BY602">
        <v>44640</v>
      </c>
      <c r="CA602" t="s">
        <v>440</v>
      </c>
      <c r="CC602" t="s">
        <v>104</v>
      </c>
      <c r="CD602">
        <v>3212</v>
      </c>
      <c r="CE602" t="s">
        <v>96</v>
      </c>
      <c r="CF602" s="3">
        <v>45787</v>
      </c>
      <c r="CI602">
        <v>3</v>
      </c>
      <c r="CJ602">
        <v>1</v>
      </c>
      <c r="CK602">
        <v>41</v>
      </c>
      <c r="CL602" t="s">
        <v>89</v>
      </c>
    </row>
    <row r="603" spans="1:90" x14ac:dyDescent="0.3">
      <c r="A603" t="s">
        <v>72</v>
      </c>
      <c r="B603" t="s">
        <v>73</v>
      </c>
      <c r="C603" t="s">
        <v>74</v>
      </c>
      <c r="E603" t="str">
        <f>"080065248984"</f>
        <v>080065248984</v>
      </c>
      <c r="F603" s="3">
        <v>45785</v>
      </c>
      <c r="G603">
        <v>202602</v>
      </c>
      <c r="H603" t="s">
        <v>75</v>
      </c>
      <c r="I603" t="s">
        <v>76</v>
      </c>
      <c r="J603" t="s">
        <v>77</v>
      </c>
      <c r="K603" t="s">
        <v>78</v>
      </c>
      <c r="L603" t="s">
        <v>130</v>
      </c>
      <c r="M603" t="s">
        <v>131</v>
      </c>
      <c r="N603" t="s">
        <v>343</v>
      </c>
      <c r="O603" t="s">
        <v>82</v>
      </c>
      <c r="P603" t="str">
        <f>"4170037388                    "</f>
        <v xml:space="preserve">4170037388                    </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21.38</v>
      </c>
      <c r="AR603">
        <v>0</v>
      </c>
      <c r="AS603">
        <v>0</v>
      </c>
      <c r="AT603">
        <v>0</v>
      </c>
      <c r="AU603">
        <v>0</v>
      </c>
      <c r="AV603">
        <v>0</v>
      </c>
      <c r="AW603">
        <v>0</v>
      </c>
      <c r="AX603">
        <v>0</v>
      </c>
      <c r="AY603">
        <v>0</v>
      </c>
      <c r="AZ603">
        <v>0</v>
      </c>
      <c r="BA603">
        <v>0</v>
      </c>
      <c r="BB603">
        <v>0</v>
      </c>
      <c r="BC603">
        <v>0</v>
      </c>
      <c r="BD603">
        <v>0</v>
      </c>
      <c r="BE603">
        <v>0</v>
      </c>
      <c r="BF603">
        <v>0</v>
      </c>
      <c r="BG603">
        <v>0</v>
      </c>
      <c r="BH603">
        <v>1</v>
      </c>
      <c r="BI603">
        <v>1</v>
      </c>
      <c r="BJ603">
        <v>1.3</v>
      </c>
      <c r="BK603">
        <v>1.5</v>
      </c>
      <c r="BL603">
        <v>69.98</v>
      </c>
      <c r="BM603">
        <v>10.5</v>
      </c>
      <c r="BN603">
        <v>80.48</v>
      </c>
      <c r="BO603">
        <v>80.48</v>
      </c>
      <c r="BQ603" t="s">
        <v>344</v>
      </c>
      <c r="BR603" t="s">
        <v>84</v>
      </c>
      <c r="BS603" s="3">
        <v>45789</v>
      </c>
      <c r="BT603" s="4">
        <v>0.39930555555555558</v>
      </c>
      <c r="BU603" t="s">
        <v>1338</v>
      </c>
      <c r="BV603" t="s">
        <v>89</v>
      </c>
      <c r="BW603" t="s">
        <v>340</v>
      </c>
      <c r="BX603" t="s">
        <v>578</v>
      </c>
      <c r="BY603">
        <v>6422</v>
      </c>
      <c r="CA603" t="s">
        <v>242</v>
      </c>
      <c r="CC603" t="s">
        <v>131</v>
      </c>
      <c r="CD603">
        <v>7441</v>
      </c>
      <c r="CE603" t="s">
        <v>176</v>
      </c>
      <c r="CF603" s="3">
        <v>45790</v>
      </c>
      <c r="CI603">
        <v>1</v>
      </c>
      <c r="CJ603">
        <v>2</v>
      </c>
      <c r="CK603">
        <v>21</v>
      </c>
      <c r="CL603" t="s">
        <v>89</v>
      </c>
    </row>
    <row r="604" spans="1:90" x14ac:dyDescent="0.3">
      <c r="A604" t="s">
        <v>72</v>
      </c>
      <c r="B604" t="s">
        <v>73</v>
      </c>
      <c r="C604" t="s">
        <v>74</v>
      </c>
      <c r="E604" t="str">
        <f>"080065249272"</f>
        <v>080065249272</v>
      </c>
      <c r="F604" s="3">
        <v>45785</v>
      </c>
      <c r="G604">
        <v>202602</v>
      </c>
      <c r="H604" t="s">
        <v>75</v>
      </c>
      <c r="I604" t="s">
        <v>76</v>
      </c>
      <c r="J604" t="s">
        <v>77</v>
      </c>
      <c r="K604" t="s">
        <v>78</v>
      </c>
      <c r="L604" t="s">
        <v>90</v>
      </c>
      <c r="M604" t="s">
        <v>91</v>
      </c>
      <c r="N604" t="s">
        <v>515</v>
      </c>
      <c r="O604" t="s">
        <v>82</v>
      </c>
      <c r="P604" t="str">
        <f>"4170037390                    "</f>
        <v xml:space="preserve">4170037390                    </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21.38</v>
      </c>
      <c r="AR604">
        <v>0</v>
      </c>
      <c r="AS604">
        <v>0</v>
      </c>
      <c r="AT604">
        <v>0</v>
      </c>
      <c r="AU604">
        <v>0</v>
      </c>
      <c r="AV604">
        <v>0</v>
      </c>
      <c r="AW604">
        <v>0</v>
      </c>
      <c r="AX604">
        <v>0</v>
      </c>
      <c r="AY604">
        <v>0</v>
      </c>
      <c r="AZ604">
        <v>0</v>
      </c>
      <c r="BA604">
        <v>0</v>
      </c>
      <c r="BB604">
        <v>0</v>
      </c>
      <c r="BC604">
        <v>0</v>
      </c>
      <c r="BD604">
        <v>0</v>
      </c>
      <c r="BE604">
        <v>0</v>
      </c>
      <c r="BF604">
        <v>0</v>
      </c>
      <c r="BG604">
        <v>0</v>
      </c>
      <c r="BH604">
        <v>1</v>
      </c>
      <c r="BI604">
        <v>1</v>
      </c>
      <c r="BJ604">
        <v>0.2</v>
      </c>
      <c r="BK604">
        <v>1</v>
      </c>
      <c r="BL604">
        <v>69.98</v>
      </c>
      <c r="BM604">
        <v>10.5</v>
      </c>
      <c r="BN604">
        <v>80.48</v>
      </c>
      <c r="BO604">
        <v>80.48</v>
      </c>
      <c r="BQ604" t="s">
        <v>516</v>
      </c>
      <c r="BR604" t="s">
        <v>84</v>
      </c>
      <c r="BS604" s="3">
        <v>45786</v>
      </c>
      <c r="BT604" s="4">
        <v>0.43541666666666667</v>
      </c>
      <c r="BU604" t="s">
        <v>517</v>
      </c>
      <c r="BV604" t="s">
        <v>86</v>
      </c>
      <c r="BY604">
        <v>1200</v>
      </c>
      <c r="CA604" t="s">
        <v>271</v>
      </c>
      <c r="CC604" t="s">
        <v>91</v>
      </c>
      <c r="CD604">
        <v>6001</v>
      </c>
      <c r="CE604" t="s">
        <v>88</v>
      </c>
      <c r="CF604" s="3">
        <v>45786</v>
      </c>
      <c r="CI604">
        <v>1</v>
      </c>
      <c r="CJ604">
        <v>1</v>
      </c>
      <c r="CK604">
        <v>21</v>
      </c>
      <c r="CL604" t="s">
        <v>89</v>
      </c>
    </row>
    <row r="605" spans="1:90" x14ac:dyDescent="0.3">
      <c r="A605" t="s">
        <v>72</v>
      </c>
      <c r="B605" t="s">
        <v>73</v>
      </c>
      <c r="C605" t="s">
        <v>74</v>
      </c>
      <c r="E605" t="str">
        <f>"080065249309"</f>
        <v>080065249309</v>
      </c>
      <c r="F605" s="3">
        <v>45785</v>
      </c>
      <c r="G605">
        <v>202602</v>
      </c>
      <c r="H605" t="s">
        <v>75</v>
      </c>
      <c r="I605" t="s">
        <v>76</v>
      </c>
      <c r="J605" t="s">
        <v>77</v>
      </c>
      <c r="K605" t="s">
        <v>78</v>
      </c>
      <c r="L605" t="s">
        <v>350</v>
      </c>
      <c r="M605" t="s">
        <v>351</v>
      </c>
      <c r="N605" t="s">
        <v>459</v>
      </c>
      <c r="O605" t="s">
        <v>82</v>
      </c>
      <c r="P605" t="str">
        <f>"4170037383                    "</f>
        <v xml:space="preserve">4170037383                    </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21.38</v>
      </c>
      <c r="AR605">
        <v>0</v>
      </c>
      <c r="AS605">
        <v>0</v>
      </c>
      <c r="AT605">
        <v>0</v>
      </c>
      <c r="AU605">
        <v>0</v>
      </c>
      <c r="AV605">
        <v>0</v>
      </c>
      <c r="AW605">
        <v>0</v>
      </c>
      <c r="AX605">
        <v>0</v>
      </c>
      <c r="AY605">
        <v>0</v>
      </c>
      <c r="AZ605">
        <v>0</v>
      </c>
      <c r="BA605">
        <v>0</v>
      </c>
      <c r="BB605">
        <v>0</v>
      </c>
      <c r="BC605">
        <v>0</v>
      </c>
      <c r="BD605">
        <v>0</v>
      </c>
      <c r="BE605">
        <v>0</v>
      </c>
      <c r="BF605">
        <v>0</v>
      </c>
      <c r="BG605">
        <v>0</v>
      </c>
      <c r="BH605">
        <v>1</v>
      </c>
      <c r="BI605">
        <v>1</v>
      </c>
      <c r="BJ605">
        <v>0.2</v>
      </c>
      <c r="BK605">
        <v>1</v>
      </c>
      <c r="BL605">
        <v>69.98</v>
      </c>
      <c r="BM605">
        <v>10.5</v>
      </c>
      <c r="BN605">
        <v>80.48</v>
      </c>
      <c r="BO605">
        <v>80.48</v>
      </c>
      <c r="BQ605" t="s">
        <v>460</v>
      </c>
      <c r="BR605" t="s">
        <v>84</v>
      </c>
      <c r="BS605" s="3">
        <v>45786</v>
      </c>
      <c r="BT605" s="4">
        <v>0.5</v>
      </c>
      <c r="BU605" t="s">
        <v>1339</v>
      </c>
      <c r="BV605" t="s">
        <v>89</v>
      </c>
      <c r="BW605" t="s">
        <v>296</v>
      </c>
      <c r="BX605" t="s">
        <v>325</v>
      </c>
      <c r="BY605">
        <v>1200</v>
      </c>
      <c r="CC605" t="s">
        <v>351</v>
      </c>
      <c r="CD605">
        <v>4051</v>
      </c>
      <c r="CE605" t="s">
        <v>88</v>
      </c>
      <c r="CF605" s="3">
        <v>45789</v>
      </c>
      <c r="CI605">
        <v>1</v>
      </c>
      <c r="CJ605">
        <v>1</v>
      </c>
      <c r="CK605">
        <v>21</v>
      </c>
      <c r="CL605" t="s">
        <v>89</v>
      </c>
    </row>
    <row r="606" spans="1:90" x14ac:dyDescent="0.3">
      <c r="A606" t="s">
        <v>72</v>
      </c>
      <c r="B606" t="s">
        <v>73</v>
      </c>
      <c r="C606" t="s">
        <v>74</v>
      </c>
      <c r="E606" t="str">
        <f>"080065249610"</f>
        <v>080065249610</v>
      </c>
      <c r="F606" s="3">
        <v>45785</v>
      </c>
      <c r="G606">
        <v>202602</v>
      </c>
      <c r="H606" t="s">
        <v>75</v>
      </c>
      <c r="I606" t="s">
        <v>76</v>
      </c>
      <c r="J606" t="s">
        <v>77</v>
      </c>
      <c r="K606" t="s">
        <v>78</v>
      </c>
      <c r="L606" t="s">
        <v>350</v>
      </c>
      <c r="M606" t="s">
        <v>351</v>
      </c>
      <c r="N606" t="s">
        <v>459</v>
      </c>
      <c r="O606" t="s">
        <v>82</v>
      </c>
      <c r="P606" t="str">
        <f>"4170037381                    "</f>
        <v xml:space="preserve">4170037381                    </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21.38</v>
      </c>
      <c r="AR606">
        <v>0</v>
      </c>
      <c r="AS606">
        <v>0</v>
      </c>
      <c r="AT606">
        <v>0</v>
      </c>
      <c r="AU606">
        <v>0</v>
      </c>
      <c r="AV606">
        <v>0</v>
      </c>
      <c r="AW606">
        <v>0</v>
      </c>
      <c r="AX606">
        <v>0</v>
      </c>
      <c r="AY606">
        <v>0</v>
      </c>
      <c r="AZ606">
        <v>0</v>
      </c>
      <c r="BA606">
        <v>0</v>
      </c>
      <c r="BB606">
        <v>0</v>
      </c>
      <c r="BC606">
        <v>0</v>
      </c>
      <c r="BD606">
        <v>0</v>
      </c>
      <c r="BE606">
        <v>0</v>
      </c>
      <c r="BF606">
        <v>0</v>
      </c>
      <c r="BG606">
        <v>0</v>
      </c>
      <c r="BH606">
        <v>1</v>
      </c>
      <c r="BI606">
        <v>1</v>
      </c>
      <c r="BJ606">
        <v>0.2</v>
      </c>
      <c r="BK606">
        <v>1</v>
      </c>
      <c r="BL606">
        <v>69.98</v>
      </c>
      <c r="BM606">
        <v>10.5</v>
      </c>
      <c r="BN606">
        <v>80.48</v>
      </c>
      <c r="BO606">
        <v>80.48</v>
      </c>
      <c r="BQ606" t="s">
        <v>460</v>
      </c>
      <c r="BR606" t="s">
        <v>84</v>
      </c>
      <c r="BS606" s="3">
        <v>45786</v>
      </c>
      <c r="BT606" s="4">
        <v>0.33263888888888887</v>
      </c>
      <c r="BU606" t="s">
        <v>1121</v>
      </c>
      <c r="BV606" t="s">
        <v>86</v>
      </c>
      <c r="BY606">
        <v>1200</v>
      </c>
      <c r="CA606" t="s">
        <v>462</v>
      </c>
      <c r="CC606" t="s">
        <v>351</v>
      </c>
      <c r="CD606">
        <v>4051</v>
      </c>
      <c r="CE606" t="s">
        <v>88</v>
      </c>
      <c r="CF606" s="3">
        <v>45789</v>
      </c>
      <c r="CI606">
        <v>1</v>
      </c>
      <c r="CJ606">
        <v>1</v>
      </c>
      <c r="CK606">
        <v>21</v>
      </c>
      <c r="CL606" t="s">
        <v>89</v>
      </c>
    </row>
    <row r="607" spans="1:90" x14ac:dyDescent="0.3">
      <c r="A607" t="s">
        <v>72</v>
      </c>
      <c r="B607" t="s">
        <v>73</v>
      </c>
      <c r="C607" t="s">
        <v>74</v>
      </c>
      <c r="E607" t="str">
        <f>"080065249720"</f>
        <v>080065249720</v>
      </c>
      <c r="F607" s="3">
        <v>45785</v>
      </c>
      <c r="G607">
        <v>202602</v>
      </c>
      <c r="H607" t="s">
        <v>75</v>
      </c>
      <c r="I607" t="s">
        <v>76</v>
      </c>
      <c r="J607" t="s">
        <v>77</v>
      </c>
      <c r="K607" t="s">
        <v>78</v>
      </c>
      <c r="L607" t="s">
        <v>463</v>
      </c>
      <c r="M607" t="s">
        <v>464</v>
      </c>
      <c r="N607" t="s">
        <v>1325</v>
      </c>
      <c r="O607" t="s">
        <v>82</v>
      </c>
      <c r="P607" t="str">
        <f>"4170037375                    "</f>
        <v xml:space="preserve">4170037375                    </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21.38</v>
      </c>
      <c r="AR607">
        <v>0</v>
      </c>
      <c r="AS607">
        <v>0</v>
      </c>
      <c r="AT607">
        <v>0</v>
      </c>
      <c r="AU607">
        <v>0</v>
      </c>
      <c r="AV607">
        <v>0</v>
      </c>
      <c r="AW607">
        <v>0</v>
      </c>
      <c r="AX607">
        <v>0</v>
      </c>
      <c r="AY607">
        <v>0</v>
      </c>
      <c r="AZ607">
        <v>0</v>
      </c>
      <c r="BA607">
        <v>0</v>
      </c>
      <c r="BB607">
        <v>0</v>
      </c>
      <c r="BC607">
        <v>0</v>
      </c>
      <c r="BD607">
        <v>0</v>
      </c>
      <c r="BE607">
        <v>0</v>
      </c>
      <c r="BF607">
        <v>0</v>
      </c>
      <c r="BG607">
        <v>0</v>
      </c>
      <c r="BH607">
        <v>1</v>
      </c>
      <c r="BI607">
        <v>1</v>
      </c>
      <c r="BJ607">
        <v>0.2</v>
      </c>
      <c r="BK607">
        <v>1</v>
      </c>
      <c r="BL607">
        <v>69.98</v>
      </c>
      <c r="BM607">
        <v>10.5</v>
      </c>
      <c r="BN607">
        <v>80.48</v>
      </c>
      <c r="BO607">
        <v>80.48</v>
      </c>
      <c r="BQ607" t="s">
        <v>1326</v>
      </c>
      <c r="BR607" t="s">
        <v>84</v>
      </c>
      <c r="BS607" s="3">
        <v>45786</v>
      </c>
      <c r="BT607" s="4">
        <v>0.64583333333333337</v>
      </c>
      <c r="BU607" t="s">
        <v>1327</v>
      </c>
      <c r="BV607" t="s">
        <v>86</v>
      </c>
      <c r="BY607">
        <v>1200</v>
      </c>
      <c r="CA607" t="s">
        <v>468</v>
      </c>
      <c r="CC607" t="s">
        <v>464</v>
      </c>
      <c r="CD607">
        <v>5201</v>
      </c>
      <c r="CE607" t="s">
        <v>88</v>
      </c>
      <c r="CF607" s="3">
        <v>45786</v>
      </c>
      <c r="CI607">
        <v>5</v>
      </c>
      <c r="CJ607">
        <v>1</v>
      </c>
      <c r="CK607">
        <v>21</v>
      </c>
      <c r="CL607" t="s">
        <v>89</v>
      </c>
    </row>
    <row r="608" spans="1:90" x14ac:dyDescent="0.3">
      <c r="A608" t="s">
        <v>72</v>
      </c>
      <c r="B608" t="s">
        <v>73</v>
      </c>
      <c r="C608" t="s">
        <v>74</v>
      </c>
      <c r="E608" t="str">
        <f>"080065249795"</f>
        <v>080065249795</v>
      </c>
      <c r="F608" s="3">
        <v>45785</v>
      </c>
      <c r="G608">
        <v>202602</v>
      </c>
      <c r="H608" t="s">
        <v>75</v>
      </c>
      <c r="I608" t="s">
        <v>76</v>
      </c>
      <c r="J608" t="s">
        <v>77</v>
      </c>
      <c r="K608" t="s">
        <v>78</v>
      </c>
      <c r="L608" t="s">
        <v>871</v>
      </c>
      <c r="M608" t="s">
        <v>872</v>
      </c>
      <c r="N608" t="s">
        <v>1340</v>
      </c>
      <c r="O608" t="s">
        <v>82</v>
      </c>
      <c r="P608" t="str">
        <f>"4170037387                    "</f>
        <v xml:space="preserve">4170037387                    </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41.43</v>
      </c>
      <c r="AR608">
        <v>0</v>
      </c>
      <c r="AS608">
        <v>0</v>
      </c>
      <c r="AT608">
        <v>0</v>
      </c>
      <c r="AU608">
        <v>0</v>
      </c>
      <c r="AV608">
        <v>0</v>
      </c>
      <c r="AW608">
        <v>0</v>
      </c>
      <c r="AX608">
        <v>0</v>
      </c>
      <c r="AY608">
        <v>0</v>
      </c>
      <c r="AZ608">
        <v>0</v>
      </c>
      <c r="BA608">
        <v>0</v>
      </c>
      <c r="BB608">
        <v>0</v>
      </c>
      <c r="BC608">
        <v>0</v>
      </c>
      <c r="BD608">
        <v>0</v>
      </c>
      <c r="BE608">
        <v>0</v>
      </c>
      <c r="BF608">
        <v>0</v>
      </c>
      <c r="BG608">
        <v>0</v>
      </c>
      <c r="BH608">
        <v>1</v>
      </c>
      <c r="BI608">
        <v>1</v>
      </c>
      <c r="BJ608">
        <v>0.2</v>
      </c>
      <c r="BK608">
        <v>1</v>
      </c>
      <c r="BL608">
        <v>135.59</v>
      </c>
      <c r="BM608">
        <v>20.34</v>
      </c>
      <c r="BN608">
        <v>155.93</v>
      </c>
      <c r="BO608">
        <v>155.93</v>
      </c>
      <c r="BQ608" t="s">
        <v>1341</v>
      </c>
      <c r="BR608" t="s">
        <v>84</v>
      </c>
      <c r="BS608" s="3">
        <v>45786</v>
      </c>
      <c r="BT608" s="4">
        <v>0.43055555555555558</v>
      </c>
      <c r="BU608" t="s">
        <v>1342</v>
      </c>
      <c r="BV608" t="s">
        <v>86</v>
      </c>
      <c r="BY608">
        <v>1240</v>
      </c>
      <c r="CA608" t="s">
        <v>1343</v>
      </c>
      <c r="CC608" t="s">
        <v>872</v>
      </c>
      <c r="CD608">
        <v>2302</v>
      </c>
      <c r="CE608" t="s">
        <v>88</v>
      </c>
      <c r="CF608" s="3">
        <v>45792</v>
      </c>
      <c r="CI608">
        <v>1</v>
      </c>
      <c r="CJ608">
        <v>1</v>
      </c>
      <c r="CK608">
        <v>23</v>
      </c>
      <c r="CL608" t="s">
        <v>89</v>
      </c>
    </row>
    <row r="609" spans="1:90" x14ac:dyDescent="0.3">
      <c r="A609" t="s">
        <v>72</v>
      </c>
      <c r="B609" t="s">
        <v>73</v>
      </c>
      <c r="C609" t="s">
        <v>74</v>
      </c>
      <c r="E609" t="str">
        <f>"080065249910"</f>
        <v>080065249910</v>
      </c>
      <c r="F609" s="3">
        <v>45785</v>
      </c>
      <c r="G609">
        <v>202602</v>
      </c>
      <c r="H609" t="s">
        <v>75</v>
      </c>
      <c r="I609" t="s">
        <v>76</v>
      </c>
      <c r="J609" t="s">
        <v>77</v>
      </c>
      <c r="K609" t="s">
        <v>78</v>
      </c>
      <c r="L609" t="s">
        <v>103</v>
      </c>
      <c r="M609" t="s">
        <v>104</v>
      </c>
      <c r="N609" t="s">
        <v>105</v>
      </c>
      <c r="O609" t="s">
        <v>82</v>
      </c>
      <c r="P609" t="str">
        <f>"4170037382                    "</f>
        <v xml:space="preserve">4170037382                    </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21.38</v>
      </c>
      <c r="AR609">
        <v>0</v>
      </c>
      <c r="AS609">
        <v>0</v>
      </c>
      <c r="AT609">
        <v>0</v>
      </c>
      <c r="AU609">
        <v>0</v>
      </c>
      <c r="AV609">
        <v>0</v>
      </c>
      <c r="AW609">
        <v>0</v>
      </c>
      <c r="AX609">
        <v>0</v>
      </c>
      <c r="AY609">
        <v>0</v>
      </c>
      <c r="AZ609">
        <v>0</v>
      </c>
      <c r="BA609">
        <v>0</v>
      </c>
      <c r="BB609">
        <v>0</v>
      </c>
      <c r="BC609">
        <v>0</v>
      </c>
      <c r="BD609">
        <v>0</v>
      </c>
      <c r="BE609">
        <v>0</v>
      </c>
      <c r="BF609">
        <v>0</v>
      </c>
      <c r="BG609">
        <v>0</v>
      </c>
      <c r="BH609">
        <v>1</v>
      </c>
      <c r="BI609">
        <v>1</v>
      </c>
      <c r="BJ609">
        <v>0.2</v>
      </c>
      <c r="BK609">
        <v>1</v>
      </c>
      <c r="BL609">
        <v>69.98</v>
      </c>
      <c r="BM609">
        <v>10.5</v>
      </c>
      <c r="BN609">
        <v>80.48</v>
      </c>
      <c r="BO609">
        <v>80.48</v>
      </c>
      <c r="BQ609" t="s">
        <v>106</v>
      </c>
      <c r="BR609" t="s">
        <v>84</v>
      </c>
      <c r="BS609" s="3">
        <v>45786</v>
      </c>
      <c r="BT609" s="4">
        <v>0.41666666666666669</v>
      </c>
      <c r="BU609" t="s">
        <v>107</v>
      </c>
      <c r="BV609" t="s">
        <v>86</v>
      </c>
      <c r="BY609">
        <v>1200</v>
      </c>
      <c r="CA609" t="s">
        <v>108</v>
      </c>
      <c r="CC609" t="s">
        <v>104</v>
      </c>
      <c r="CD609">
        <v>3201</v>
      </c>
      <c r="CE609" t="s">
        <v>88</v>
      </c>
      <c r="CF609" s="3">
        <v>45787</v>
      </c>
      <c r="CI609">
        <v>1</v>
      </c>
      <c r="CJ609">
        <v>1</v>
      </c>
      <c r="CK609">
        <v>21</v>
      </c>
      <c r="CL609" t="s">
        <v>89</v>
      </c>
    </row>
    <row r="610" spans="1:90" x14ac:dyDescent="0.3">
      <c r="A610" t="s">
        <v>72</v>
      </c>
      <c r="B610" t="s">
        <v>73</v>
      </c>
      <c r="C610" t="s">
        <v>74</v>
      </c>
      <c r="E610" t="str">
        <f>"080065249978"</f>
        <v>080065249978</v>
      </c>
      <c r="F610" s="3">
        <v>45785</v>
      </c>
      <c r="G610">
        <v>202602</v>
      </c>
      <c r="H610" t="s">
        <v>75</v>
      </c>
      <c r="I610" t="s">
        <v>76</v>
      </c>
      <c r="J610" t="s">
        <v>77</v>
      </c>
      <c r="K610" t="s">
        <v>78</v>
      </c>
      <c r="L610" t="s">
        <v>79</v>
      </c>
      <c r="M610" t="s">
        <v>80</v>
      </c>
      <c r="N610" t="s">
        <v>157</v>
      </c>
      <c r="O610" t="s">
        <v>82</v>
      </c>
      <c r="P610" t="str">
        <f>"4170037391                    "</f>
        <v xml:space="preserve">4170037391                    </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21.38</v>
      </c>
      <c r="AR610">
        <v>0</v>
      </c>
      <c r="AS610">
        <v>0</v>
      </c>
      <c r="AT610">
        <v>0</v>
      </c>
      <c r="AU610">
        <v>0</v>
      </c>
      <c r="AV610">
        <v>0</v>
      </c>
      <c r="AW610">
        <v>0</v>
      </c>
      <c r="AX610">
        <v>0</v>
      </c>
      <c r="AY610">
        <v>0</v>
      </c>
      <c r="AZ610">
        <v>0</v>
      </c>
      <c r="BA610">
        <v>0</v>
      </c>
      <c r="BB610">
        <v>0</v>
      </c>
      <c r="BC610">
        <v>0</v>
      </c>
      <c r="BD610">
        <v>0</v>
      </c>
      <c r="BE610">
        <v>0</v>
      </c>
      <c r="BF610">
        <v>0</v>
      </c>
      <c r="BG610">
        <v>0</v>
      </c>
      <c r="BH610">
        <v>1</v>
      </c>
      <c r="BI610">
        <v>1</v>
      </c>
      <c r="BJ610">
        <v>1.5</v>
      </c>
      <c r="BK610">
        <v>1.5</v>
      </c>
      <c r="BL610">
        <v>69.98</v>
      </c>
      <c r="BM610">
        <v>10.5</v>
      </c>
      <c r="BN610">
        <v>80.48</v>
      </c>
      <c r="BO610">
        <v>80.48</v>
      </c>
      <c r="BQ610" t="s">
        <v>158</v>
      </c>
      <c r="BR610" t="s">
        <v>84</v>
      </c>
      <c r="BS610" s="3">
        <v>45786</v>
      </c>
      <c r="BT610" s="4">
        <v>0.3611111111111111</v>
      </c>
      <c r="BU610" t="s">
        <v>159</v>
      </c>
      <c r="BV610" t="s">
        <v>86</v>
      </c>
      <c r="BY610">
        <v>7524</v>
      </c>
      <c r="CA610" t="s">
        <v>160</v>
      </c>
      <c r="CC610" t="s">
        <v>80</v>
      </c>
      <c r="CD610">
        <v>3610</v>
      </c>
      <c r="CE610" t="s">
        <v>221</v>
      </c>
      <c r="CF610" s="3">
        <v>45789</v>
      </c>
      <c r="CI610">
        <v>1</v>
      </c>
      <c r="CJ610">
        <v>1</v>
      </c>
      <c r="CK610">
        <v>21</v>
      </c>
      <c r="CL610" t="s">
        <v>89</v>
      </c>
    </row>
    <row r="611" spans="1:90" x14ac:dyDescent="0.3">
      <c r="A611" t="s">
        <v>72</v>
      </c>
      <c r="B611" t="s">
        <v>73</v>
      </c>
      <c r="C611" t="s">
        <v>74</v>
      </c>
      <c r="E611" t="str">
        <f>"080065251050"</f>
        <v>080065251050</v>
      </c>
      <c r="F611" s="3">
        <v>45785</v>
      </c>
      <c r="G611">
        <v>202602</v>
      </c>
      <c r="H611" t="s">
        <v>75</v>
      </c>
      <c r="I611" t="s">
        <v>76</v>
      </c>
      <c r="J611" t="s">
        <v>77</v>
      </c>
      <c r="K611" t="s">
        <v>78</v>
      </c>
      <c r="L611" t="s">
        <v>143</v>
      </c>
      <c r="M611" t="s">
        <v>144</v>
      </c>
      <c r="N611" t="s">
        <v>1344</v>
      </c>
      <c r="O611" t="s">
        <v>82</v>
      </c>
      <c r="P611" t="str">
        <f>"4170037393                    "</f>
        <v xml:space="preserve">4170037393                    </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16.7</v>
      </c>
      <c r="AR611">
        <v>0</v>
      </c>
      <c r="AS611">
        <v>0</v>
      </c>
      <c r="AT611">
        <v>0</v>
      </c>
      <c r="AU611">
        <v>0</v>
      </c>
      <c r="AV611">
        <v>0</v>
      </c>
      <c r="AW611">
        <v>0</v>
      </c>
      <c r="AX611">
        <v>0</v>
      </c>
      <c r="AY611">
        <v>0</v>
      </c>
      <c r="AZ611">
        <v>0</v>
      </c>
      <c r="BA611">
        <v>0</v>
      </c>
      <c r="BB611">
        <v>0</v>
      </c>
      <c r="BC611">
        <v>0</v>
      </c>
      <c r="BD611">
        <v>0</v>
      </c>
      <c r="BE611">
        <v>0</v>
      </c>
      <c r="BF611">
        <v>0</v>
      </c>
      <c r="BG611">
        <v>0</v>
      </c>
      <c r="BH611">
        <v>1</v>
      </c>
      <c r="BI611">
        <v>2</v>
      </c>
      <c r="BJ611">
        <v>2.6</v>
      </c>
      <c r="BK611">
        <v>3</v>
      </c>
      <c r="BL611">
        <v>54.66</v>
      </c>
      <c r="BM611">
        <v>8.1999999999999993</v>
      </c>
      <c r="BN611">
        <v>62.86</v>
      </c>
      <c r="BO611">
        <v>62.86</v>
      </c>
      <c r="BQ611" t="s">
        <v>1345</v>
      </c>
      <c r="BR611" t="s">
        <v>84</v>
      </c>
      <c r="BS611" s="3">
        <v>45786</v>
      </c>
      <c r="BT611" s="4">
        <v>0.35</v>
      </c>
      <c r="BU611" t="s">
        <v>1346</v>
      </c>
      <c r="BV611" t="s">
        <v>86</v>
      </c>
      <c r="BY611">
        <v>12768</v>
      </c>
      <c r="CA611" t="s">
        <v>535</v>
      </c>
      <c r="CC611" t="s">
        <v>144</v>
      </c>
      <c r="CD611">
        <v>1401</v>
      </c>
      <c r="CE611" t="s">
        <v>221</v>
      </c>
      <c r="CF611" s="3">
        <v>45786</v>
      </c>
      <c r="CI611">
        <v>1</v>
      </c>
      <c r="CJ611">
        <v>1</v>
      </c>
      <c r="CK611">
        <v>22</v>
      </c>
      <c r="CL611" t="s">
        <v>89</v>
      </c>
    </row>
    <row r="612" spans="1:90" x14ac:dyDescent="0.3">
      <c r="A612" t="s">
        <v>72</v>
      </c>
      <c r="B612" t="s">
        <v>73</v>
      </c>
      <c r="C612" t="s">
        <v>74</v>
      </c>
      <c r="E612" t="str">
        <f>"080065251083"</f>
        <v>080065251083</v>
      </c>
      <c r="F612" s="3">
        <v>45785</v>
      </c>
      <c r="G612">
        <v>202602</v>
      </c>
      <c r="H612" t="s">
        <v>75</v>
      </c>
      <c r="I612" t="s">
        <v>76</v>
      </c>
      <c r="J612" t="s">
        <v>77</v>
      </c>
      <c r="K612" t="s">
        <v>78</v>
      </c>
      <c r="L612" t="s">
        <v>103</v>
      </c>
      <c r="M612" t="s">
        <v>104</v>
      </c>
      <c r="N612" t="s">
        <v>633</v>
      </c>
      <c r="O612" t="s">
        <v>82</v>
      </c>
      <c r="P612" t="str">
        <f>"4170037392                    "</f>
        <v xml:space="preserve">4170037392                    </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32.07</v>
      </c>
      <c r="AR612">
        <v>0</v>
      </c>
      <c r="AS612">
        <v>0</v>
      </c>
      <c r="AT612">
        <v>0</v>
      </c>
      <c r="AU612">
        <v>0</v>
      </c>
      <c r="AV612">
        <v>0</v>
      </c>
      <c r="AW612">
        <v>0</v>
      </c>
      <c r="AX612">
        <v>0</v>
      </c>
      <c r="AY612">
        <v>0</v>
      </c>
      <c r="AZ612">
        <v>0</v>
      </c>
      <c r="BA612">
        <v>0</v>
      </c>
      <c r="BB612">
        <v>0</v>
      </c>
      <c r="BC612">
        <v>0</v>
      </c>
      <c r="BD612">
        <v>0</v>
      </c>
      <c r="BE612">
        <v>0</v>
      </c>
      <c r="BF612">
        <v>0</v>
      </c>
      <c r="BG612">
        <v>0</v>
      </c>
      <c r="BH612">
        <v>1</v>
      </c>
      <c r="BI612">
        <v>3</v>
      </c>
      <c r="BJ612">
        <v>1.4</v>
      </c>
      <c r="BK612">
        <v>3</v>
      </c>
      <c r="BL612">
        <v>104.95</v>
      </c>
      <c r="BM612">
        <v>15.74</v>
      </c>
      <c r="BN612">
        <v>120.69</v>
      </c>
      <c r="BO612">
        <v>120.69</v>
      </c>
      <c r="BQ612" t="s">
        <v>634</v>
      </c>
      <c r="BR612" t="s">
        <v>84</v>
      </c>
      <c r="BS612" s="3">
        <v>45786</v>
      </c>
      <c r="BT612" s="4">
        <v>0.41666666666666669</v>
      </c>
      <c r="BU612" t="s">
        <v>635</v>
      </c>
      <c r="BV612" t="s">
        <v>86</v>
      </c>
      <c r="BY612">
        <v>7000</v>
      </c>
      <c r="CA612" t="s">
        <v>440</v>
      </c>
      <c r="CC612" t="s">
        <v>104</v>
      </c>
      <c r="CD612">
        <v>3212</v>
      </c>
      <c r="CE612" t="s">
        <v>116</v>
      </c>
      <c r="CF612" s="3">
        <v>45787</v>
      </c>
      <c r="CI612">
        <v>2</v>
      </c>
      <c r="CJ612">
        <v>1</v>
      </c>
      <c r="CK612">
        <v>21</v>
      </c>
      <c r="CL612" t="s">
        <v>89</v>
      </c>
    </row>
    <row r="613" spans="1:90" x14ac:dyDescent="0.3">
      <c r="A613" t="s">
        <v>72</v>
      </c>
      <c r="B613" t="s">
        <v>73</v>
      </c>
      <c r="C613" t="s">
        <v>74</v>
      </c>
      <c r="E613" t="str">
        <f>"080065251114"</f>
        <v>080065251114</v>
      </c>
      <c r="F613" s="3">
        <v>45785</v>
      </c>
      <c r="G613">
        <v>202602</v>
      </c>
      <c r="H613" t="s">
        <v>75</v>
      </c>
      <c r="I613" t="s">
        <v>76</v>
      </c>
      <c r="J613" t="s">
        <v>77</v>
      </c>
      <c r="K613" t="s">
        <v>78</v>
      </c>
      <c r="L613" t="s">
        <v>130</v>
      </c>
      <c r="M613" t="s">
        <v>131</v>
      </c>
      <c r="N613" t="s">
        <v>1347</v>
      </c>
      <c r="O613" t="s">
        <v>82</v>
      </c>
      <c r="P613" t="str">
        <f>"4170037395                    "</f>
        <v xml:space="preserve">4170037395                    </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21.38</v>
      </c>
      <c r="AR613">
        <v>0</v>
      </c>
      <c r="AS613">
        <v>0</v>
      </c>
      <c r="AT613">
        <v>0</v>
      </c>
      <c r="AU613">
        <v>0</v>
      </c>
      <c r="AV613">
        <v>0</v>
      </c>
      <c r="AW613">
        <v>0</v>
      </c>
      <c r="AX613">
        <v>0</v>
      </c>
      <c r="AY613">
        <v>0</v>
      </c>
      <c r="AZ613">
        <v>0</v>
      </c>
      <c r="BA613">
        <v>0</v>
      </c>
      <c r="BB613">
        <v>0</v>
      </c>
      <c r="BC613">
        <v>0</v>
      </c>
      <c r="BD613">
        <v>0</v>
      </c>
      <c r="BE613">
        <v>0</v>
      </c>
      <c r="BF613">
        <v>0</v>
      </c>
      <c r="BG613">
        <v>0</v>
      </c>
      <c r="BH613">
        <v>1</v>
      </c>
      <c r="BI613">
        <v>1</v>
      </c>
      <c r="BJ613">
        <v>0.2</v>
      </c>
      <c r="BK613">
        <v>1</v>
      </c>
      <c r="BL613">
        <v>69.98</v>
      </c>
      <c r="BM613">
        <v>10.5</v>
      </c>
      <c r="BN613">
        <v>80.48</v>
      </c>
      <c r="BO613">
        <v>80.48</v>
      </c>
      <c r="BQ613" t="s">
        <v>1348</v>
      </c>
      <c r="BR613" t="s">
        <v>84</v>
      </c>
      <c r="BS613" s="3">
        <v>45786</v>
      </c>
      <c r="BT613" s="4">
        <v>0.40347222222222223</v>
      </c>
      <c r="BU613" t="s">
        <v>1349</v>
      </c>
      <c r="BV613" t="s">
        <v>86</v>
      </c>
      <c r="BY613">
        <v>1200</v>
      </c>
      <c r="CA613" t="s">
        <v>1350</v>
      </c>
      <c r="CC613" t="s">
        <v>131</v>
      </c>
      <c r="CD613">
        <v>7441</v>
      </c>
      <c r="CE613" t="s">
        <v>88</v>
      </c>
      <c r="CF613" s="3">
        <v>45789</v>
      </c>
      <c r="CI613">
        <v>1</v>
      </c>
      <c r="CJ613">
        <v>1</v>
      </c>
      <c r="CK613">
        <v>21</v>
      </c>
      <c r="CL613" t="s">
        <v>89</v>
      </c>
    </row>
    <row r="614" spans="1:90" x14ac:dyDescent="0.3">
      <c r="A614" t="s">
        <v>72</v>
      </c>
      <c r="B614" t="s">
        <v>73</v>
      </c>
      <c r="C614" t="s">
        <v>74</v>
      </c>
      <c r="E614" t="str">
        <f>"080065251302"</f>
        <v>080065251302</v>
      </c>
      <c r="F614" s="3">
        <v>45785</v>
      </c>
      <c r="G614">
        <v>202602</v>
      </c>
      <c r="H614" t="s">
        <v>75</v>
      </c>
      <c r="I614" t="s">
        <v>76</v>
      </c>
      <c r="J614" t="s">
        <v>77</v>
      </c>
      <c r="K614" t="s">
        <v>78</v>
      </c>
      <c r="L614" t="s">
        <v>97</v>
      </c>
      <c r="M614" t="s">
        <v>98</v>
      </c>
      <c r="N614" t="s">
        <v>1061</v>
      </c>
      <c r="O614" t="s">
        <v>82</v>
      </c>
      <c r="P614" t="str">
        <f>"4170037397                    "</f>
        <v xml:space="preserve">4170037397                    </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16.7</v>
      </c>
      <c r="AR614">
        <v>0</v>
      </c>
      <c r="AS614">
        <v>0</v>
      </c>
      <c r="AT614">
        <v>0</v>
      </c>
      <c r="AU614">
        <v>0</v>
      </c>
      <c r="AV614">
        <v>0</v>
      </c>
      <c r="AW614">
        <v>0</v>
      </c>
      <c r="AX614">
        <v>0</v>
      </c>
      <c r="AY614">
        <v>0</v>
      </c>
      <c r="AZ614">
        <v>0</v>
      </c>
      <c r="BA614">
        <v>0</v>
      </c>
      <c r="BB614">
        <v>0</v>
      </c>
      <c r="BC614">
        <v>0</v>
      </c>
      <c r="BD614">
        <v>0</v>
      </c>
      <c r="BE614">
        <v>0</v>
      </c>
      <c r="BF614">
        <v>0</v>
      </c>
      <c r="BG614">
        <v>0</v>
      </c>
      <c r="BH614">
        <v>1</v>
      </c>
      <c r="BI614">
        <v>1</v>
      </c>
      <c r="BJ614">
        <v>0.2</v>
      </c>
      <c r="BK614">
        <v>1</v>
      </c>
      <c r="BL614">
        <v>54.66</v>
      </c>
      <c r="BM614">
        <v>8.1999999999999993</v>
      </c>
      <c r="BN614">
        <v>62.86</v>
      </c>
      <c r="BO614">
        <v>62.86</v>
      </c>
      <c r="BQ614" t="s">
        <v>1062</v>
      </c>
      <c r="BR614" t="s">
        <v>84</v>
      </c>
      <c r="BS614" s="3">
        <v>45786</v>
      </c>
      <c r="BT614" s="4">
        <v>0.42708333333333331</v>
      </c>
      <c r="BU614" t="s">
        <v>1351</v>
      </c>
      <c r="BV614" t="s">
        <v>86</v>
      </c>
      <c r="BY614">
        <v>1200</v>
      </c>
      <c r="CA614" t="s">
        <v>1320</v>
      </c>
      <c r="CC614" t="s">
        <v>98</v>
      </c>
      <c r="CD614">
        <v>1459</v>
      </c>
      <c r="CE614" t="s">
        <v>88</v>
      </c>
      <c r="CF614" s="3">
        <v>45786</v>
      </c>
      <c r="CI614">
        <v>1</v>
      </c>
      <c r="CJ614">
        <v>1</v>
      </c>
      <c r="CK614">
        <v>22</v>
      </c>
      <c r="CL614" t="s">
        <v>89</v>
      </c>
    </row>
    <row r="615" spans="1:90" x14ac:dyDescent="0.3">
      <c r="A615" t="s">
        <v>72</v>
      </c>
      <c r="B615" t="s">
        <v>73</v>
      </c>
      <c r="C615" t="s">
        <v>74</v>
      </c>
      <c r="E615" t="str">
        <f>"080065251460"</f>
        <v>080065251460</v>
      </c>
      <c r="F615" s="3">
        <v>45785</v>
      </c>
      <c r="G615">
        <v>202602</v>
      </c>
      <c r="H615" t="s">
        <v>75</v>
      </c>
      <c r="I615" t="s">
        <v>76</v>
      </c>
      <c r="J615" t="s">
        <v>77</v>
      </c>
      <c r="K615" t="s">
        <v>78</v>
      </c>
      <c r="L615" t="s">
        <v>130</v>
      </c>
      <c r="M615" t="s">
        <v>131</v>
      </c>
      <c r="N615" t="s">
        <v>343</v>
      </c>
      <c r="O615" t="s">
        <v>82</v>
      </c>
      <c r="P615" t="str">
        <f>"4170037396                    "</f>
        <v xml:space="preserve">4170037396                    </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21.38</v>
      </c>
      <c r="AR615">
        <v>0</v>
      </c>
      <c r="AS615">
        <v>0</v>
      </c>
      <c r="AT615">
        <v>0</v>
      </c>
      <c r="AU615">
        <v>0</v>
      </c>
      <c r="AV615">
        <v>0</v>
      </c>
      <c r="AW615">
        <v>0</v>
      </c>
      <c r="AX615">
        <v>0</v>
      </c>
      <c r="AY615">
        <v>0</v>
      </c>
      <c r="AZ615">
        <v>0</v>
      </c>
      <c r="BA615">
        <v>0</v>
      </c>
      <c r="BB615">
        <v>0</v>
      </c>
      <c r="BC615">
        <v>0</v>
      </c>
      <c r="BD615">
        <v>0</v>
      </c>
      <c r="BE615">
        <v>0</v>
      </c>
      <c r="BF615">
        <v>0</v>
      </c>
      <c r="BG615">
        <v>0</v>
      </c>
      <c r="BH615">
        <v>1</v>
      </c>
      <c r="BI615">
        <v>1</v>
      </c>
      <c r="BJ615">
        <v>0.2</v>
      </c>
      <c r="BK615">
        <v>1</v>
      </c>
      <c r="BL615">
        <v>69.98</v>
      </c>
      <c r="BM615">
        <v>10.5</v>
      </c>
      <c r="BN615">
        <v>80.48</v>
      </c>
      <c r="BO615">
        <v>80.48</v>
      </c>
      <c r="BQ615" t="s">
        <v>344</v>
      </c>
      <c r="BR615" t="s">
        <v>84</v>
      </c>
      <c r="BS615" s="3">
        <v>45786</v>
      </c>
      <c r="BT615" s="4">
        <v>0.39930555555555558</v>
      </c>
      <c r="BU615" t="s">
        <v>345</v>
      </c>
      <c r="BV615" t="s">
        <v>86</v>
      </c>
      <c r="BY615">
        <v>1200</v>
      </c>
      <c r="CA615" t="s">
        <v>242</v>
      </c>
      <c r="CC615" t="s">
        <v>131</v>
      </c>
      <c r="CD615">
        <v>7441</v>
      </c>
      <c r="CE615" t="s">
        <v>1193</v>
      </c>
      <c r="CF615" s="3">
        <v>45789</v>
      </c>
      <c r="CI615">
        <v>1</v>
      </c>
      <c r="CJ615">
        <v>1</v>
      </c>
      <c r="CK615">
        <v>21</v>
      </c>
      <c r="CL615" t="s">
        <v>89</v>
      </c>
    </row>
    <row r="616" spans="1:90" x14ac:dyDescent="0.3">
      <c r="A616" t="s">
        <v>72</v>
      </c>
      <c r="B616" t="s">
        <v>73</v>
      </c>
      <c r="C616" t="s">
        <v>74</v>
      </c>
      <c r="E616" t="str">
        <f>"080065252666"</f>
        <v>080065252666</v>
      </c>
      <c r="F616" s="3">
        <v>45785</v>
      </c>
      <c r="G616">
        <v>202602</v>
      </c>
      <c r="H616" t="s">
        <v>75</v>
      </c>
      <c r="I616" t="s">
        <v>76</v>
      </c>
      <c r="J616" t="s">
        <v>77</v>
      </c>
      <c r="K616" t="s">
        <v>78</v>
      </c>
      <c r="L616" t="s">
        <v>374</v>
      </c>
      <c r="M616" t="s">
        <v>375</v>
      </c>
      <c r="N616" t="s">
        <v>1352</v>
      </c>
      <c r="O616" t="s">
        <v>82</v>
      </c>
      <c r="P616" t="str">
        <f>"4170036948                    "</f>
        <v xml:space="preserve">4170036948                    </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41.43</v>
      </c>
      <c r="AR616">
        <v>0</v>
      </c>
      <c r="AS616">
        <v>0</v>
      </c>
      <c r="AT616">
        <v>0</v>
      </c>
      <c r="AU616">
        <v>0</v>
      </c>
      <c r="AV616">
        <v>0</v>
      </c>
      <c r="AW616">
        <v>0</v>
      </c>
      <c r="AX616">
        <v>0</v>
      </c>
      <c r="AY616">
        <v>0</v>
      </c>
      <c r="AZ616">
        <v>0</v>
      </c>
      <c r="BA616">
        <v>0</v>
      </c>
      <c r="BB616">
        <v>0</v>
      </c>
      <c r="BC616">
        <v>0</v>
      </c>
      <c r="BD616">
        <v>0</v>
      </c>
      <c r="BE616">
        <v>0</v>
      </c>
      <c r="BF616">
        <v>0</v>
      </c>
      <c r="BG616">
        <v>0</v>
      </c>
      <c r="BH616">
        <v>1</v>
      </c>
      <c r="BI616">
        <v>1</v>
      </c>
      <c r="BJ616">
        <v>1.9</v>
      </c>
      <c r="BK616">
        <v>2</v>
      </c>
      <c r="BL616">
        <v>135.59</v>
      </c>
      <c r="BM616">
        <v>20.34</v>
      </c>
      <c r="BN616">
        <v>155.93</v>
      </c>
      <c r="BO616">
        <v>155.93</v>
      </c>
      <c r="BQ616" t="s">
        <v>1353</v>
      </c>
      <c r="BR616" t="s">
        <v>84</v>
      </c>
      <c r="BS616" s="3">
        <v>45789</v>
      </c>
      <c r="BT616" s="4">
        <v>0.57499999999999996</v>
      </c>
      <c r="BU616" t="s">
        <v>1354</v>
      </c>
      <c r="BV616" t="s">
        <v>89</v>
      </c>
      <c r="BW616" t="s">
        <v>340</v>
      </c>
      <c r="BX616" t="s">
        <v>578</v>
      </c>
      <c r="BY616">
        <v>9600</v>
      </c>
      <c r="CC616" t="s">
        <v>375</v>
      </c>
      <c r="CD616">
        <v>7130</v>
      </c>
      <c r="CE616" t="s">
        <v>116</v>
      </c>
      <c r="CF616" s="3">
        <v>45790</v>
      </c>
      <c r="CI616">
        <v>1</v>
      </c>
      <c r="CJ616">
        <v>2</v>
      </c>
      <c r="CK616">
        <v>23</v>
      </c>
      <c r="CL616" t="s">
        <v>89</v>
      </c>
    </row>
    <row r="617" spans="1:90" x14ac:dyDescent="0.3">
      <c r="A617" t="s">
        <v>72</v>
      </c>
      <c r="B617" t="s">
        <v>73</v>
      </c>
      <c r="C617" t="s">
        <v>74</v>
      </c>
      <c r="E617" t="str">
        <f>"080065252693"</f>
        <v>080065252693</v>
      </c>
      <c r="F617" s="3">
        <v>45785</v>
      </c>
      <c r="G617">
        <v>202602</v>
      </c>
      <c r="H617" t="s">
        <v>75</v>
      </c>
      <c r="I617" t="s">
        <v>76</v>
      </c>
      <c r="J617" t="s">
        <v>77</v>
      </c>
      <c r="K617" t="s">
        <v>78</v>
      </c>
      <c r="L617" t="s">
        <v>1355</v>
      </c>
      <c r="M617" t="s">
        <v>1356</v>
      </c>
      <c r="N617" t="s">
        <v>1357</v>
      </c>
      <c r="O617" t="s">
        <v>82</v>
      </c>
      <c r="P617" t="str">
        <f>"4170037398                    "</f>
        <v xml:space="preserve">4170037398                    </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30.07</v>
      </c>
      <c r="AR617">
        <v>0</v>
      </c>
      <c r="AS617">
        <v>0</v>
      </c>
      <c r="AT617">
        <v>0</v>
      </c>
      <c r="AU617">
        <v>0</v>
      </c>
      <c r="AV617">
        <v>0</v>
      </c>
      <c r="AW617">
        <v>0</v>
      </c>
      <c r="AX617">
        <v>0</v>
      </c>
      <c r="AY617">
        <v>0</v>
      </c>
      <c r="AZ617">
        <v>0</v>
      </c>
      <c r="BA617">
        <v>0</v>
      </c>
      <c r="BB617">
        <v>0</v>
      </c>
      <c r="BC617">
        <v>0</v>
      </c>
      <c r="BD617">
        <v>0</v>
      </c>
      <c r="BE617">
        <v>0</v>
      </c>
      <c r="BF617">
        <v>0</v>
      </c>
      <c r="BG617">
        <v>0</v>
      </c>
      <c r="BH617">
        <v>1</v>
      </c>
      <c r="BI617">
        <v>2</v>
      </c>
      <c r="BJ617">
        <v>1.7</v>
      </c>
      <c r="BK617">
        <v>2</v>
      </c>
      <c r="BL617">
        <v>98.42</v>
      </c>
      <c r="BM617">
        <v>14.76</v>
      </c>
      <c r="BN617">
        <v>113.18</v>
      </c>
      <c r="BO617">
        <v>113.18</v>
      </c>
      <c r="BQ617" t="s">
        <v>1358</v>
      </c>
      <c r="BR617" t="s">
        <v>84</v>
      </c>
      <c r="BS617" s="3">
        <v>45786</v>
      </c>
      <c r="BT617" s="4">
        <v>0.35208333333333336</v>
      </c>
      <c r="BU617" t="s">
        <v>1359</v>
      </c>
      <c r="BV617" t="s">
        <v>86</v>
      </c>
      <c r="BY617">
        <v>8550</v>
      </c>
      <c r="CA617" t="s">
        <v>1360</v>
      </c>
      <c r="CC617" t="s">
        <v>1356</v>
      </c>
      <c r="CD617">
        <v>2410</v>
      </c>
      <c r="CE617" t="s">
        <v>116</v>
      </c>
      <c r="CF617" s="3">
        <v>45786</v>
      </c>
      <c r="CI617">
        <v>1</v>
      </c>
      <c r="CJ617">
        <v>1</v>
      </c>
      <c r="CK617">
        <v>24</v>
      </c>
      <c r="CL617" t="s">
        <v>89</v>
      </c>
    </row>
    <row r="618" spans="1:90" x14ac:dyDescent="0.3">
      <c r="A618" t="s">
        <v>72</v>
      </c>
      <c r="B618" t="s">
        <v>73</v>
      </c>
      <c r="C618" t="s">
        <v>74</v>
      </c>
      <c r="E618" t="str">
        <f>"080065252711"</f>
        <v>080065252711</v>
      </c>
      <c r="F618" s="3">
        <v>45785</v>
      </c>
      <c r="G618">
        <v>202602</v>
      </c>
      <c r="H618" t="s">
        <v>75</v>
      </c>
      <c r="I618" t="s">
        <v>76</v>
      </c>
      <c r="J618" t="s">
        <v>77</v>
      </c>
      <c r="K618" t="s">
        <v>78</v>
      </c>
      <c r="L618" t="s">
        <v>90</v>
      </c>
      <c r="M618" t="s">
        <v>91</v>
      </c>
      <c r="N618" t="s">
        <v>931</v>
      </c>
      <c r="O618" t="s">
        <v>82</v>
      </c>
      <c r="P618" t="str">
        <f>"4170037403                    "</f>
        <v xml:space="preserve">4170037403                    </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21.38</v>
      </c>
      <c r="AR618">
        <v>0</v>
      </c>
      <c r="AS618">
        <v>0</v>
      </c>
      <c r="AT618">
        <v>0</v>
      </c>
      <c r="AU618">
        <v>0</v>
      </c>
      <c r="AV618">
        <v>0</v>
      </c>
      <c r="AW618">
        <v>0</v>
      </c>
      <c r="AX618">
        <v>0</v>
      </c>
      <c r="AY618">
        <v>0</v>
      </c>
      <c r="AZ618">
        <v>0</v>
      </c>
      <c r="BA618">
        <v>0</v>
      </c>
      <c r="BB618">
        <v>0</v>
      </c>
      <c r="BC618">
        <v>0</v>
      </c>
      <c r="BD618">
        <v>0</v>
      </c>
      <c r="BE618">
        <v>0</v>
      </c>
      <c r="BF618">
        <v>0</v>
      </c>
      <c r="BG618">
        <v>0</v>
      </c>
      <c r="BH618">
        <v>1</v>
      </c>
      <c r="BI618">
        <v>1</v>
      </c>
      <c r="BJ618">
        <v>0.2</v>
      </c>
      <c r="BK618">
        <v>1</v>
      </c>
      <c r="BL618">
        <v>69.98</v>
      </c>
      <c r="BM618">
        <v>10.5</v>
      </c>
      <c r="BN618">
        <v>80.48</v>
      </c>
      <c r="BO618">
        <v>80.48</v>
      </c>
      <c r="BQ618" t="s">
        <v>932</v>
      </c>
      <c r="BR618" t="s">
        <v>84</v>
      </c>
      <c r="BS618" s="3">
        <v>45786</v>
      </c>
      <c r="BT618" s="4">
        <v>0.42222222222222222</v>
      </c>
      <c r="BU618" t="s">
        <v>1183</v>
      </c>
      <c r="BV618" t="s">
        <v>86</v>
      </c>
      <c r="BY618">
        <v>1200</v>
      </c>
      <c r="CA618" t="s">
        <v>824</v>
      </c>
      <c r="CC618" t="s">
        <v>91</v>
      </c>
      <c r="CD618">
        <v>6001</v>
      </c>
      <c r="CE618" t="s">
        <v>88</v>
      </c>
      <c r="CF618" s="3">
        <v>45786</v>
      </c>
      <c r="CI618">
        <v>1</v>
      </c>
      <c r="CJ618">
        <v>1</v>
      </c>
      <c r="CK618">
        <v>21</v>
      </c>
      <c r="CL618" t="s">
        <v>89</v>
      </c>
    </row>
    <row r="619" spans="1:90" x14ac:dyDescent="0.3">
      <c r="A619" t="s">
        <v>72</v>
      </c>
      <c r="B619" t="s">
        <v>73</v>
      </c>
      <c r="C619" t="s">
        <v>74</v>
      </c>
      <c r="E619" t="str">
        <f>"080065252732"</f>
        <v>080065252732</v>
      </c>
      <c r="F619" s="3">
        <v>45785</v>
      </c>
      <c r="G619">
        <v>202602</v>
      </c>
      <c r="H619" t="s">
        <v>75</v>
      </c>
      <c r="I619" t="s">
        <v>76</v>
      </c>
      <c r="J619" t="s">
        <v>77</v>
      </c>
      <c r="K619" t="s">
        <v>78</v>
      </c>
      <c r="L619" t="s">
        <v>136</v>
      </c>
      <c r="M619" t="s">
        <v>137</v>
      </c>
      <c r="N619" t="s">
        <v>441</v>
      </c>
      <c r="O619" t="s">
        <v>82</v>
      </c>
      <c r="P619" t="str">
        <f>"4170037402                    "</f>
        <v xml:space="preserve">4170037402                    </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21.38</v>
      </c>
      <c r="AR619">
        <v>0</v>
      </c>
      <c r="AS619">
        <v>0</v>
      </c>
      <c r="AT619">
        <v>0</v>
      </c>
      <c r="AU619">
        <v>0</v>
      </c>
      <c r="AV619">
        <v>0</v>
      </c>
      <c r="AW619">
        <v>0</v>
      </c>
      <c r="AX619">
        <v>0</v>
      </c>
      <c r="AY619">
        <v>0</v>
      </c>
      <c r="AZ619">
        <v>0</v>
      </c>
      <c r="BA619">
        <v>0</v>
      </c>
      <c r="BB619">
        <v>0</v>
      </c>
      <c r="BC619">
        <v>0</v>
      </c>
      <c r="BD619">
        <v>0</v>
      </c>
      <c r="BE619">
        <v>0</v>
      </c>
      <c r="BF619">
        <v>0</v>
      </c>
      <c r="BG619">
        <v>0</v>
      </c>
      <c r="BH619">
        <v>1</v>
      </c>
      <c r="BI619">
        <v>1</v>
      </c>
      <c r="BJ619">
        <v>0.2</v>
      </c>
      <c r="BK619">
        <v>1</v>
      </c>
      <c r="BL619">
        <v>69.98</v>
      </c>
      <c r="BM619">
        <v>10.5</v>
      </c>
      <c r="BN619">
        <v>80.48</v>
      </c>
      <c r="BO619">
        <v>80.48</v>
      </c>
      <c r="BQ619" t="s">
        <v>442</v>
      </c>
      <c r="BR619" t="s">
        <v>84</v>
      </c>
      <c r="BS619" s="3">
        <v>45786</v>
      </c>
      <c r="BT619" s="4">
        <v>0.59722222222222221</v>
      </c>
      <c r="BU619" t="s">
        <v>1361</v>
      </c>
      <c r="BV619" t="s">
        <v>86</v>
      </c>
      <c r="BY619">
        <v>1170</v>
      </c>
      <c r="CA619" t="s">
        <v>199</v>
      </c>
      <c r="CC619" t="s">
        <v>137</v>
      </c>
      <c r="CD619" s="5" t="s">
        <v>444</v>
      </c>
      <c r="CE619" t="s">
        <v>88</v>
      </c>
      <c r="CF619" s="3">
        <v>45786</v>
      </c>
      <c r="CI619">
        <v>1</v>
      </c>
      <c r="CJ619">
        <v>1</v>
      </c>
      <c r="CK619">
        <v>21</v>
      </c>
      <c r="CL619" t="s">
        <v>89</v>
      </c>
    </row>
    <row r="620" spans="1:90" x14ac:dyDescent="0.3">
      <c r="A620" t="s">
        <v>72</v>
      </c>
      <c r="B620" t="s">
        <v>73</v>
      </c>
      <c r="C620" t="s">
        <v>74</v>
      </c>
      <c r="E620" t="str">
        <f>"080065252748"</f>
        <v>080065252748</v>
      </c>
      <c r="F620" s="3">
        <v>45785</v>
      </c>
      <c r="G620">
        <v>202602</v>
      </c>
      <c r="H620" t="s">
        <v>75</v>
      </c>
      <c r="I620" t="s">
        <v>76</v>
      </c>
      <c r="J620" t="s">
        <v>77</v>
      </c>
      <c r="K620" t="s">
        <v>78</v>
      </c>
      <c r="L620" t="s">
        <v>90</v>
      </c>
      <c r="M620" t="s">
        <v>91</v>
      </c>
      <c r="N620" t="s">
        <v>371</v>
      </c>
      <c r="O620" t="s">
        <v>82</v>
      </c>
      <c r="P620" t="str">
        <f>"4170037399                    "</f>
        <v xml:space="preserve">4170037399                    </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21.38</v>
      </c>
      <c r="AR620">
        <v>0</v>
      </c>
      <c r="AS620">
        <v>0</v>
      </c>
      <c r="AT620">
        <v>0</v>
      </c>
      <c r="AU620">
        <v>0</v>
      </c>
      <c r="AV620">
        <v>0</v>
      </c>
      <c r="AW620">
        <v>0</v>
      </c>
      <c r="AX620">
        <v>0</v>
      </c>
      <c r="AY620">
        <v>0</v>
      </c>
      <c r="AZ620">
        <v>0</v>
      </c>
      <c r="BA620">
        <v>0</v>
      </c>
      <c r="BB620">
        <v>0</v>
      </c>
      <c r="BC620">
        <v>0</v>
      </c>
      <c r="BD620">
        <v>0</v>
      </c>
      <c r="BE620">
        <v>0</v>
      </c>
      <c r="BF620">
        <v>0</v>
      </c>
      <c r="BG620">
        <v>0</v>
      </c>
      <c r="BH620">
        <v>1</v>
      </c>
      <c r="BI620">
        <v>1</v>
      </c>
      <c r="BJ620">
        <v>0.2</v>
      </c>
      <c r="BK620">
        <v>1</v>
      </c>
      <c r="BL620">
        <v>69.98</v>
      </c>
      <c r="BM620">
        <v>10.5</v>
      </c>
      <c r="BN620">
        <v>80.48</v>
      </c>
      <c r="BO620">
        <v>80.48</v>
      </c>
      <c r="BQ620" t="s">
        <v>372</v>
      </c>
      <c r="BR620" t="s">
        <v>84</v>
      </c>
      <c r="BS620" s="3">
        <v>45786</v>
      </c>
      <c r="BT620" s="4">
        <v>0.43263888888888891</v>
      </c>
      <c r="BU620" t="s">
        <v>373</v>
      </c>
      <c r="BV620" t="s">
        <v>86</v>
      </c>
      <c r="BY620">
        <v>1200</v>
      </c>
      <c r="CA620" t="s">
        <v>298</v>
      </c>
      <c r="CC620" t="s">
        <v>91</v>
      </c>
      <c r="CD620">
        <v>6001</v>
      </c>
      <c r="CE620" t="s">
        <v>88</v>
      </c>
      <c r="CF620" s="3">
        <v>45786</v>
      </c>
      <c r="CI620">
        <v>1</v>
      </c>
      <c r="CJ620">
        <v>1</v>
      </c>
      <c r="CK620">
        <v>21</v>
      </c>
      <c r="CL620" t="s">
        <v>89</v>
      </c>
    </row>
    <row r="621" spans="1:90" x14ac:dyDescent="0.3">
      <c r="A621" t="s">
        <v>72</v>
      </c>
      <c r="B621" t="s">
        <v>73</v>
      </c>
      <c r="C621" t="s">
        <v>74</v>
      </c>
      <c r="E621" t="str">
        <f>"080065252843"</f>
        <v>080065252843</v>
      </c>
      <c r="F621" s="3">
        <v>45785</v>
      </c>
      <c r="G621">
        <v>202602</v>
      </c>
      <c r="H621" t="s">
        <v>75</v>
      </c>
      <c r="I621" t="s">
        <v>76</v>
      </c>
      <c r="J621" t="s">
        <v>77</v>
      </c>
      <c r="K621" t="s">
        <v>78</v>
      </c>
      <c r="L621" t="s">
        <v>130</v>
      </c>
      <c r="M621" t="s">
        <v>131</v>
      </c>
      <c r="N621" t="s">
        <v>343</v>
      </c>
      <c r="O621" t="s">
        <v>82</v>
      </c>
      <c r="P621" t="str">
        <f>"4170037404                    "</f>
        <v xml:space="preserve">4170037404                    </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21.38</v>
      </c>
      <c r="AR621">
        <v>0</v>
      </c>
      <c r="AS621">
        <v>0</v>
      </c>
      <c r="AT621">
        <v>0</v>
      </c>
      <c r="AU621">
        <v>0</v>
      </c>
      <c r="AV621">
        <v>0</v>
      </c>
      <c r="AW621">
        <v>0</v>
      </c>
      <c r="AX621">
        <v>0</v>
      </c>
      <c r="AY621">
        <v>0</v>
      </c>
      <c r="AZ621">
        <v>0</v>
      </c>
      <c r="BA621">
        <v>0</v>
      </c>
      <c r="BB621">
        <v>0</v>
      </c>
      <c r="BC621">
        <v>0</v>
      </c>
      <c r="BD621">
        <v>0</v>
      </c>
      <c r="BE621">
        <v>0</v>
      </c>
      <c r="BF621">
        <v>0</v>
      </c>
      <c r="BG621">
        <v>0</v>
      </c>
      <c r="BH621">
        <v>1</v>
      </c>
      <c r="BI621">
        <v>1</v>
      </c>
      <c r="BJ621">
        <v>0.2</v>
      </c>
      <c r="BK621">
        <v>1</v>
      </c>
      <c r="BL621">
        <v>69.98</v>
      </c>
      <c r="BM621">
        <v>10.5</v>
      </c>
      <c r="BN621">
        <v>80.48</v>
      </c>
      <c r="BO621">
        <v>80.48</v>
      </c>
      <c r="BQ621" t="s">
        <v>344</v>
      </c>
      <c r="BR621" t="s">
        <v>84</v>
      </c>
      <c r="BS621" s="3">
        <v>45786</v>
      </c>
      <c r="BT621" s="4">
        <v>0.39930555555555558</v>
      </c>
      <c r="BU621" t="s">
        <v>345</v>
      </c>
      <c r="BV621" t="s">
        <v>86</v>
      </c>
      <c r="BY621">
        <v>1200</v>
      </c>
      <c r="CA621" t="s">
        <v>242</v>
      </c>
      <c r="CC621" t="s">
        <v>131</v>
      </c>
      <c r="CD621">
        <v>7441</v>
      </c>
      <c r="CE621" t="s">
        <v>88</v>
      </c>
      <c r="CF621" s="3">
        <v>45789</v>
      </c>
      <c r="CI621">
        <v>1</v>
      </c>
      <c r="CJ621">
        <v>1</v>
      </c>
      <c r="CK621">
        <v>21</v>
      </c>
      <c r="CL621" t="s">
        <v>89</v>
      </c>
    </row>
    <row r="622" spans="1:90" x14ac:dyDescent="0.3">
      <c r="A622" t="s">
        <v>72</v>
      </c>
      <c r="B622" t="s">
        <v>73</v>
      </c>
      <c r="C622" t="s">
        <v>74</v>
      </c>
      <c r="E622" t="str">
        <f>"080065254115"</f>
        <v>080065254115</v>
      </c>
      <c r="F622" s="3">
        <v>45785</v>
      </c>
      <c r="G622">
        <v>202602</v>
      </c>
      <c r="H622" t="s">
        <v>75</v>
      </c>
      <c r="I622" t="s">
        <v>76</v>
      </c>
      <c r="J622" t="s">
        <v>77</v>
      </c>
      <c r="K622" t="s">
        <v>78</v>
      </c>
      <c r="L622" t="s">
        <v>222</v>
      </c>
      <c r="M622" t="s">
        <v>223</v>
      </c>
      <c r="N622" t="s">
        <v>499</v>
      </c>
      <c r="O622" t="s">
        <v>300</v>
      </c>
      <c r="P622" t="str">
        <f>"4170037445                    "</f>
        <v xml:space="preserve">4170037445                    </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106.48</v>
      </c>
      <c r="AR622">
        <v>0</v>
      </c>
      <c r="AS622">
        <v>0</v>
      </c>
      <c r="AT622">
        <v>0</v>
      </c>
      <c r="AU622">
        <v>0</v>
      </c>
      <c r="AV622">
        <v>0</v>
      </c>
      <c r="AW622">
        <v>0</v>
      </c>
      <c r="AX622">
        <v>0</v>
      </c>
      <c r="AY622">
        <v>0</v>
      </c>
      <c r="AZ622">
        <v>0</v>
      </c>
      <c r="BA622">
        <v>0</v>
      </c>
      <c r="BB622">
        <v>0</v>
      </c>
      <c r="BC622">
        <v>0</v>
      </c>
      <c r="BD622">
        <v>0</v>
      </c>
      <c r="BE622">
        <v>0</v>
      </c>
      <c r="BF622">
        <v>0</v>
      </c>
      <c r="BG622">
        <v>0</v>
      </c>
      <c r="BH622">
        <v>1</v>
      </c>
      <c r="BI622">
        <v>50</v>
      </c>
      <c r="BJ622">
        <v>65.599999999999994</v>
      </c>
      <c r="BK622">
        <v>66</v>
      </c>
      <c r="BL622">
        <v>354.05</v>
      </c>
      <c r="BM622">
        <v>53.11</v>
      </c>
      <c r="BN622">
        <v>407.16</v>
      </c>
      <c r="BO622">
        <v>407.16</v>
      </c>
      <c r="BQ622" t="s">
        <v>1017</v>
      </c>
      <c r="BR622" t="s">
        <v>84</v>
      </c>
      <c r="BS622" s="3">
        <v>45789</v>
      </c>
      <c r="BT622" s="4">
        <v>0.40625</v>
      </c>
      <c r="BU622" t="s">
        <v>1362</v>
      </c>
      <c r="BV622" t="s">
        <v>89</v>
      </c>
      <c r="BW622" t="s">
        <v>148</v>
      </c>
      <c r="BX622" t="s">
        <v>1130</v>
      </c>
      <c r="BY622">
        <v>327888</v>
      </c>
      <c r="CA622" t="s">
        <v>1363</v>
      </c>
      <c r="CC622" t="s">
        <v>223</v>
      </c>
      <c r="CD622">
        <v>1754</v>
      </c>
      <c r="CE622" t="s">
        <v>550</v>
      </c>
      <c r="CF622" s="3">
        <v>45790</v>
      </c>
      <c r="CI622">
        <v>1</v>
      </c>
      <c r="CJ622">
        <v>2</v>
      </c>
      <c r="CK622">
        <v>44</v>
      </c>
      <c r="CL622" t="s">
        <v>89</v>
      </c>
    </row>
    <row r="623" spans="1:90" x14ac:dyDescent="0.3">
      <c r="A623" t="s">
        <v>72</v>
      </c>
      <c r="B623" t="s">
        <v>73</v>
      </c>
      <c r="C623" t="s">
        <v>74</v>
      </c>
      <c r="E623" t="str">
        <f>"080065254538"</f>
        <v>080065254538</v>
      </c>
      <c r="F623" s="3">
        <v>45785</v>
      </c>
      <c r="G623">
        <v>202602</v>
      </c>
      <c r="H623" t="s">
        <v>75</v>
      </c>
      <c r="I623" t="s">
        <v>76</v>
      </c>
      <c r="J623" t="s">
        <v>77</v>
      </c>
      <c r="K623" t="s">
        <v>78</v>
      </c>
      <c r="L623" t="s">
        <v>75</v>
      </c>
      <c r="M623" t="s">
        <v>76</v>
      </c>
      <c r="N623" t="s">
        <v>390</v>
      </c>
      <c r="O623" t="s">
        <v>82</v>
      </c>
      <c r="P623" t="str">
        <f>"4170037432                    "</f>
        <v xml:space="preserve">4170037432                    </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16.7</v>
      </c>
      <c r="AR623">
        <v>0</v>
      </c>
      <c r="AS623">
        <v>0</v>
      </c>
      <c r="AT623">
        <v>0</v>
      </c>
      <c r="AU623">
        <v>0</v>
      </c>
      <c r="AV623">
        <v>0</v>
      </c>
      <c r="AW623">
        <v>0</v>
      </c>
      <c r="AX623">
        <v>0</v>
      </c>
      <c r="AY623">
        <v>0</v>
      </c>
      <c r="AZ623">
        <v>0</v>
      </c>
      <c r="BA623">
        <v>0</v>
      </c>
      <c r="BB623">
        <v>0</v>
      </c>
      <c r="BC623">
        <v>0</v>
      </c>
      <c r="BD623">
        <v>0</v>
      </c>
      <c r="BE623">
        <v>0</v>
      </c>
      <c r="BF623">
        <v>0</v>
      </c>
      <c r="BG623">
        <v>0</v>
      </c>
      <c r="BH623">
        <v>1</v>
      </c>
      <c r="BI623">
        <v>2</v>
      </c>
      <c r="BJ623">
        <v>3.1</v>
      </c>
      <c r="BK623">
        <v>4</v>
      </c>
      <c r="BL623">
        <v>54.66</v>
      </c>
      <c r="BM623">
        <v>8.1999999999999993</v>
      </c>
      <c r="BN623">
        <v>62.86</v>
      </c>
      <c r="BO623">
        <v>62.86</v>
      </c>
      <c r="BQ623" t="s">
        <v>391</v>
      </c>
      <c r="BR623" t="s">
        <v>84</v>
      </c>
      <c r="BS623" s="3">
        <v>45786</v>
      </c>
      <c r="BT623" s="4">
        <v>0.35138888888888886</v>
      </c>
      <c r="BU623" t="s">
        <v>392</v>
      </c>
      <c r="BV623" t="s">
        <v>86</v>
      </c>
      <c r="BY623">
        <v>15360</v>
      </c>
      <c r="CA623" t="s">
        <v>115</v>
      </c>
      <c r="CC623" t="s">
        <v>76</v>
      </c>
      <c r="CD623">
        <v>1600</v>
      </c>
      <c r="CE623" t="s">
        <v>96</v>
      </c>
      <c r="CF623" s="3">
        <v>45786</v>
      </c>
      <c r="CI623">
        <v>1</v>
      </c>
      <c r="CJ623">
        <v>1</v>
      </c>
      <c r="CK623">
        <v>22</v>
      </c>
      <c r="CL623" t="s">
        <v>89</v>
      </c>
    </row>
    <row r="624" spans="1:90" x14ac:dyDescent="0.3">
      <c r="A624" t="s">
        <v>72</v>
      </c>
      <c r="B624" t="s">
        <v>73</v>
      </c>
      <c r="C624" t="s">
        <v>74</v>
      </c>
      <c r="E624" t="str">
        <f>"080065254593"</f>
        <v>080065254593</v>
      </c>
      <c r="F624" s="3">
        <v>45785</v>
      </c>
      <c r="G624">
        <v>202602</v>
      </c>
      <c r="H624" t="s">
        <v>75</v>
      </c>
      <c r="I624" t="s">
        <v>76</v>
      </c>
      <c r="J624" t="s">
        <v>77</v>
      </c>
      <c r="K624" t="s">
        <v>78</v>
      </c>
      <c r="L624" t="s">
        <v>350</v>
      </c>
      <c r="M624" t="s">
        <v>351</v>
      </c>
      <c r="N624" t="s">
        <v>404</v>
      </c>
      <c r="O624" t="s">
        <v>300</v>
      </c>
      <c r="P624" t="str">
        <f>"4170037442                    "</f>
        <v xml:space="preserve">4170037442                    </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49.89</v>
      </c>
      <c r="AR624">
        <v>0</v>
      </c>
      <c r="AS624">
        <v>0</v>
      </c>
      <c r="AT624">
        <v>0</v>
      </c>
      <c r="AU624">
        <v>0</v>
      </c>
      <c r="AV624">
        <v>0</v>
      </c>
      <c r="AW624">
        <v>0</v>
      </c>
      <c r="AX624">
        <v>0</v>
      </c>
      <c r="AY624">
        <v>0</v>
      </c>
      <c r="AZ624">
        <v>0</v>
      </c>
      <c r="BA624">
        <v>0</v>
      </c>
      <c r="BB624">
        <v>0</v>
      </c>
      <c r="BC624">
        <v>0</v>
      </c>
      <c r="BD624">
        <v>0</v>
      </c>
      <c r="BE624">
        <v>0</v>
      </c>
      <c r="BF624">
        <v>0</v>
      </c>
      <c r="BG624">
        <v>0</v>
      </c>
      <c r="BH624">
        <v>1</v>
      </c>
      <c r="BI624">
        <v>11</v>
      </c>
      <c r="BJ624">
        <v>19.100000000000001</v>
      </c>
      <c r="BK624">
        <v>20</v>
      </c>
      <c r="BL624">
        <v>168.84</v>
      </c>
      <c r="BM624">
        <v>25.33</v>
      </c>
      <c r="BN624">
        <v>194.17</v>
      </c>
      <c r="BO624">
        <v>194.17</v>
      </c>
      <c r="BQ624" t="s">
        <v>405</v>
      </c>
      <c r="BR624" t="s">
        <v>84</v>
      </c>
      <c r="BS624" s="3">
        <v>45790</v>
      </c>
      <c r="BT624" s="4">
        <v>0.58750000000000002</v>
      </c>
      <c r="BU624" t="s">
        <v>1364</v>
      </c>
      <c r="BV624" t="s">
        <v>89</v>
      </c>
      <c r="BW624" t="s">
        <v>296</v>
      </c>
      <c r="BX624" t="s">
        <v>1365</v>
      </c>
      <c r="BY624">
        <v>95380</v>
      </c>
      <c r="CC624" t="s">
        <v>351</v>
      </c>
      <c r="CD624">
        <v>4052</v>
      </c>
      <c r="CE624" t="s">
        <v>550</v>
      </c>
      <c r="CF624" s="3">
        <v>45791</v>
      </c>
      <c r="CI624">
        <v>1</v>
      </c>
      <c r="CJ624">
        <v>3</v>
      </c>
      <c r="CK624">
        <v>41</v>
      </c>
      <c r="CL624" t="s">
        <v>89</v>
      </c>
    </row>
    <row r="625" spans="1:90" x14ac:dyDescent="0.3">
      <c r="A625" t="s">
        <v>72</v>
      </c>
      <c r="B625" t="s">
        <v>73</v>
      </c>
      <c r="C625" t="s">
        <v>74</v>
      </c>
      <c r="E625" t="str">
        <f>"080065254653"</f>
        <v>080065254653</v>
      </c>
      <c r="F625" s="3">
        <v>45785</v>
      </c>
      <c r="G625">
        <v>202602</v>
      </c>
      <c r="H625" t="s">
        <v>75</v>
      </c>
      <c r="I625" t="s">
        <v>76</v>
      </c>
      <c r="J625" t="s">
        <v>77</v>
      </c>
      <c r="K625" t="s">
        <v>78</v>
      </c>
      <c r="L625" t="s">
        <v>130</v>
      </c>
      <c r="M625" t="s">
        <v>131</v>
      </c>
      <c r="N625" t="s">
        <v>681</v>
      </c>
      <c r="O625" t="s">
        <v>82</v>
      </c>
      <c r="P625" t="str">
        <f>"4170037439                    "</f>
        <v xml:space="preserve">4170037439                    </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37.409999999999997</v>
      </c>
      <c r="AR625">
        <v>0</v>
      </c>
      <c r="AS625">
        <v>0</v>
      </c>
      <c r="AT625">
        <v>0</v>
      </c>
      <c r="AU625">
        <v>0</v>
      </c>
      <c r="AV625">
        <v>0</v>
      </c>
      <c r="AW625">
        <v>0</v>
      </c>
      <c r="AX625">
        <v>0</v>
      </c>
      <c r="AY625">
        <v>0</v>
      </c>
      <c r="AZ625">
        <v>0</v>
      </c>
      <c r="BA625">
        <v>0</v>
      </c>
      <c r="BB625">
        <v>0</v>
      </c>
      <c r="BC625">
        <v>0</v>
      </c>
      <c r="BD625">
        <v>0</v>
      </c>
      <c r="BE625">
        <v>0</v>
      </c>
      <c r="BF625">
        <v>0</v>
      </c>
      <c r="BG625">
        <v>0</v>
      </c>
      <c r="BH625">
        <v>1</v>
      </c>
      <c r="BI625">
        <v>1</v>
      </c>
      <c r="BJ625">
        <v>3.1</v>
      </c>
      <c r="BK625">
        <v>3.5</v>
      </c>
      <c r="BL625">
        <v>122.43</v>
      </c>
      <c r="BM625">
        <v>18.36</v>
      </c>
      <c r="BN625">
        <v>140.79</v>
      </c>
      <c r="BO625">
        <v>140.79</v>
      </c>
      <c r="BQ625" t="s">
        <v>682</v>
      </c>
      <c r="BR625" t="s">
        <v>84</v>
      </c>
      <c r="BS625" s="3">
        <v>45789</v>
      </c>
      <c r="BT625" s="4">
        <v>0.43194444444444446</v>
      </c>
      <c r="BU625" t="s">
        <v>1366</v>
      </c>
      <c r="BV625" t="s">
        <v>89</v>
      </c>
      <c r="BW625" t="s">
        <v>340</v>
      </c>
      <c r="BX625" t="s">
        <v>1367</v>
      </c>
      <c r="BY625">
        <v>15360</v>
      </c>
      <c r="CA625" t="s">
        <v>1368</v>
      </c>
      <c r="CC625" t="s">
        <v>131</v>
      </c>
      <c r="CD625">
        <v>7800</v>
      </c>
      <c r="CE625" t="s">
        <v>96</v>
      </c>
      <c r="CF625" s="3">
        <v>45790</v>
      </c>
      <c r="CI625">
        <v>1</v>
      </c>
      <c r="CJ625">
        <v>2</v>
      </c>
      <c r="CK625">
        <v>21</v>
      </c>
      <c r="CL625" t="s">
        <v>89</v>
      </c>
    </row>
    <row r="626" spans="1:90" x14ac:dyDescent="0.3">
      <c r="A626" t="s">
        <v>72</v>
      </c>
      <c r="B626" t="s">
        <v>73</v>
      </c>
      <c r="C626" t="s">
        <v>74</v>
      </c>
      <c r="E626" t="str">
        <f>"080065254714"</f>
        <v>080065254714</v>
      </c>
      <c r="F626" s="3">
        <v>45785</v>
      </c>
      <c r="G626">
        <v>202602</v>
      </c>
      <c r="H626" t="s">
        <v>75</v>
      </c>
      <c r="I626" t="s">
        <v>76</v>
      </c>
      <c r="J626" t="s">
        <v>77</v>
      </c>
      <c r="K626" t="s">
        <v>78</v>
      </c>
      <c r="L626" t="s">
        <v>75</v>
      </c>
      <c r="M626" t="s">
        <v>76</v>
      </c>
      <c r="N626" t="s">
        <v>390</v>
      </c>
      <c r="O626" t="s">
        <v>82</v>
      </c>
      <c r="P626" t="str">
        <f>"4170037433                    "</f>
        <v xml:space="preserve">4170037433                    </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16.7</v>
      </c>
      <c r="AR626">
        <v>0</v>
      </c>
      <c r="AS626">
        <v>0</v>
      </c>
      <c r="AT626">
        <v>0</v>
      </c>
      <c r="AU626">
        <v>0</v>
      </c>
      <c r="AV626">
        <v>0</v>
      </c>
      <c r="AW626">
        <v>0</v>
      </c>
      <c r="AX626">
        <v>0</v>
      </c>
      <c r="AY626">
        <v>0</v>
      </c>
      <c r="AZ626">
        <v>0</v>
      </c>
      <c r="BA626">
        <v>0</v>
      </c>
      <c r="BB626">
        <v>0</v>
      </c>
      <c r="BC626">
        <v>0</v>
      </c>
      <c r="BD626">
        <v>0</v>
      </c>
      <c r="BE626">
        <v>0</v>
      </c>
      <c r="BF626">
        <v>0</v>
      </c>
      <c r="BG626">
        <v>0</v>
      </c>
      <c r="BH626">
        <v>1</v>
      </c>
      <c r="BI626">
        <v>2</v>
      </c>
      <c r="BJ626">
        <v>5</v>
      </c>
      <c r="BK626">
        <v>5</v>
      </c>
      <c r="BL626">
        <v>54.66</v>
      </c>
      <c r="BM626">
        <v>8.1999999999999993</v>
      </c>
      <c r="BN626">
        <v>62.86</v>
      </c>
      <c r="BO626">
        <v>62.86</v>
      </c>
      <c r="BQ626" t="s">
        <v>391</v>
      </c>
      <c r="BR626" t="s">
        <v>84</v>
      </c>
      <c r="BS626" s="3">
        <v>45786</v>
      </c>
      <c r="BT626" s="4">
        <v>0.34791666666666665</v>
      </c>
      <c r="BU626" t="s">
        <v>392</v>
      </c>
      <c r="BV626" t="s">
        <v>86</v>
      </c>
      <c r="BY626">
        <v>24882</v>
      </c>
      <c r="CA626" t="s">
        <v>115</v>
      </c>
      <c r="CC626" t="s">
        <v>76</v>
      </c>
      <c r="CD626">
        <v>1600</v>
      </c>
      <c r="CE626" t="s">
        <v>96</v>
      </c>
      <c r="CF626" s="3">
        <v>45786</v>
      </c>
      <c r="CI626">
        <v>1</v>
      </c>
      <c r="CJ626">
        <v>1</v>
      </c>
      <c r="CK626">
        <v>22</v>
      </c>
      <c r="CL626" t="s">
        <v>89</v>
      </c>
    </row>
    <row r="627" spans="1:90" x14ac:dyDescent="0.3">
      <c r="A627" t="s">
        <v>72</v>
      </c>
      <c r="B627" t="s">
        <v>73</v>
      </c>
      <c r="C627" t="s">
        <v>74</v>
      </c>
      <c r="E627" t="str">
        <f>"080065254779"</f>
        <v>080065254779</v>
      </c>
      <c r="F627" s="3">
        <v>45785</v>
      </c>
      <c r="G627">
        <v>202602</v>
      </c>
      <c r="H627" t="s">
        <v>75</v>
      </c>
      <c r="I627" t="s">
        <v>76</v>
      </c>
      <c r="J627" t="s">
        <v>77</v>
      </c>
      <c r="K627" t="s">
        <v>78</v>
      </c>
      <c r="L627" t="s">
        <v>123</v>
      </c>
      <c r="M627" t="s">
        <v>123</v>
      </c>
      <c r="N627" t="s">
        <v>317</v>
      </c>
      <c r="O627" t="s">
        <v>82</v>
      </c>
      <c r="P627" t="str">
        <f>"4170037444                    "</f>
        <v xml:space="preserve">4170037444                    </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78.849999999999994</v>
      </c>
      <c r="AR627">
        <v>0</v>
      </c>
      <c r="AS627">
        <v>0</v>
      </c>
      <c r="AT627">
        <v>0</v>
      </c>
      <c r="AU627">
        <v>0</v>
      </c>
      <c r="AV627">
        <v>0</v>
      </c>
      <c r="AW627">
        <v>0</v>
      </c>
      <c r="AX627">
        <v>0</v>
      </c>
      <c r="AY627">
        <v>0</v>
      </c>
      <c r="AZ627">
        <v>0</v>
      </c>
      <c r="BA627">
        <v>0</v>
      </c>
      <c r="BB627">
        <v>0</v>
      </c>
      <c r="BC627">
        <v>0</v>
      </c>
      <c r="BD627">
        <v>0</v>
      </c>
      <c r="BE627">
        <v>0</v>
      </c>
      <c r="BF627">
        <v>0</v>
      </c>
      <c r="BG627">
        <v>0</v>
      </c>
      <c r="BH627">
        <v>1</v>
      </c>
      <c r="BI627">
        <v>3</v>
      </c>
      <c r="BJ627">
        <v>3.7</v>
      </c>
      <c r="BK627">
        <v>4</v>
      </c>
      <c r="BL627">
        <v>258.05</v>
      </c>
      <c r="BM627">
        <v>38.71</v>
      </c>
      <c r="BN627">
        <v>296.76</v>
      </c>
      <c r="BO627">
        <v>296.76</v>
      </c>
      <c r="BQ627" t="s">
        <v>318</v>
      </c>
      <c r="BR627" t="s">
        <v>84</v>
      </c>
      <c r="BS627" s="3">
        <v>45789</v>
      </c>
      <c r="BT627" s="4">
        <v>0.52916666666666667</v>
      </c>
      <c r="BU627" t="s">
        <v>319</v>
      </c>
      <c r="BV627" t="s">
        <v>89</v>
      </c>
      <c r="BW627" t="s">
        <v>340</v>
      </c>
      <c r="BX627" t="s">
        <v>596</v>
      </c>
      <c r="BY627">
        <v>18304</v>
      </c>
      <c r="CA627" t="s">
        <v>128</v>
      </c>
      <c r="CC627" t="s">
        <v>123</v>
      </c>
      <c r="CD627">
        <v>7646</v>
      </c>
      <c r="CE627" t="s">
        <v>96</v>
      </c>
      <c r="CF627" s="3">
        <v>45790</v>
      </c>
      <c r="CI627">
        <v>1</v>
      </c>
      <c r="CJ627">
        <v>2</v>
      </c>
      <c r="CK627">
        <v>23</v>
      </c>
      <c r="CL627" t="s">
        <v>89</v>
      </c>
    </row>
    <row r="628" spans="1:90" x14ac:dyDescent="0.3">
      <c r="A628" t="s">
        <v>72</v>
      </c>
      <c r="B628" t="s">
        <v>73</v>
      </c>
      <c r="C628" t="s">
        <v>74</v>
      </c>
      <c r="E628" t="str">
        <f>"080065254934"</f>
        <v>080065254934</v>
      </c>
      <c r="F628" s="3">
        <v>45785</v>
      </c>
      <c r="G628">
        <v>202602</v>
      </c>
      <c r="H628" t="s">
        <v>75</v>
      </c>
      <c r="I628" t="s">
        <v>76</v>
      </c>
      <c r="J628" t="s">
        <v>77</v>
      </c>
      <c r="K628" t="s">
        <v>78</v>
      </c>
      <c r="L628" t="s">
        <v>97</v>
      </c>
      <c r="M628" t="s">
        <v>98</v>
      </c>
      <c r="N628" t="s">
        <v>1061</v>
      </c>
      <c r="O628" t="s">
        <v>82</v>
      </c>
      <c r="P628" t="str">
        <f>"4170037421                    "</f>
        <v xml:space="preserve">4170037421                    </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16.7</v>
      </c>
      <c r="AR628">
        <v>0</v>
      </c>
      <c r="AS628">
        <v>0</v>
      </c>
      <c r="AT628">
        <v>0</v>
      </c>
      <c r="AU628">
        <v>0</v>
      </c>
      <c r="AV628">
        <v>0</v>
      </c>
      <c r="AW628">
        <v>0</v>
      </c>
      <c r="AX628">
        <v>0</v>
      </c>
      <c r="AY628">
        <v>0</v>
      </c>
      <c r="AZ628">
        <v>0</v>
      </c>
      <c r="BA628">
        <v>0</v>
      </c>
      <c r="BB628">
        <v>0</v>
      </c>
      <c r="BC628">
        <v>0</v>
      </c>
      <c r="BD628">
        <v>0</v>
      </c>
      <c r="BE628">
        <v>0</v>
      </c>
      <c r="BF628">
        <v>0</v>
      </c>
      <c r="BG628">
        <v>0</v>
      </c>
      <c r="BH628">
        <v>1</v>
      </c>
      <c r="BI628">
        <v>2</v>
      </c>
      <c r="BJ628">
        <v>3.2</v>
      </c>
      <c r="BK628">
        <v>4</v>
      </c>
      <c r="BL628">
        <v>54.66</v>
      </c>
      <c r="BM628">
        <v>8.1999999999999993</v>
      </c>
      <c r="BN628">
        <v>62.86</v>
      </c>
      <c r="BO628">
        <v>62.86</v>
      </c>
      <c r="BQ628" t="s">
        <v>1062</v>
      </c>
      <c r="BR628" t="s">
        <v>84</v>
      </c>
      <c r="BS628" s="3">
        <v>45786</v>
      </c>
      <c r="BT628" s="4">
        <v>0.42638888888888887</v>
      </c>
      <c r="BU628" t="s">
        <v>1351</v>
      </c>
      <c r="BV628" t="s">
        <v>86</v>
      </c>
      <c r="BY628">
        <v>15895</v>
      </c>
      <c r="CA628" t="s">
        <v>1320</v>
      </c>
      <c r="CC628" t="s">
        <v>98</v>
      </c>
      <c r="CD628">
        <v>1459</v>
      </c>
      <c r="CE628" t="s">
        <v>96</v>
      </c>
      <c r="CF628" s="3">
        <v>45786</v>
      </c>
      <c r="CI628">
        <v>1</v>
      </c>
      <c r="CJ628">
        <v>1</v>
      </c>
      <c r="CK628">
        <v>22</v>
      </c>
      <c r="CL628" t="s">
        <v>89</v>
      </c>
    </row>
    <row r="629" spans="1:90" x14ac:dyDescent="0.3">
      <c r="A629" t="s">
        <v>72</v>
      </c>
      <c r="B629" t="s">
        <v>73</v>
      </c>
      <c r="C629" t="s">
        <v>74</v>
      </c>
      <c r="E629" t="str">
        <f>"080065255010"</f>
        <v>080065255010</v>
      </c>
      <c r="F629" s="3">
        <v>45785</v>
      </c>
      <c r="G629">
        <v>202602</v>
      </c>
      <c r="H629" t="s">
        <v>75</v>
      </c>
      <c r="I629" t="s">
        <v>76</v>
      </c>
      <c r="J629" t="s">
        <v>77</v>
      </c>
      <c r="K629" t="s">
        <v>78</v>
      </c>
      <c r="L629" t="s">
        <v>79</v>
      </c>
      <c r="M629" t="s">
        <v>80</v>
      </c>
      <c r="N629" t="s">
        <v>452</v>
      </c>
      <c r="O629" t="s">
        <v>82</v>
      </c>
      <c r="P629" t="str">
        <f>"4170037411                    "</f>
        <v xml:space="preserve">4170037411                    </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48.09</v>
      </c>
      <c r="AR629">
        <v>0</v>
      </c>
      <c r="AS629">
        <v>0</v>
      </c>
      <c r="AT629">
        <v>0</v>
      </c>
      <c r="AU629">
        <v>0</v>
      </c>
      <c r="AV629">
        <v>0</v>
      </c>
      <c r="AW629">
        <v>0</v>
      </c>
      <c r="AX629">
        <v>0</v>
      </c>
      <c r="AY629">
        <v>0</v>
      </c>
      <c r="AZ629">
        <v>0</v>
      </c>
      <c r="BA629">
        <v>0</v>
      </c>
      <c r="BB629">
        <v>0</v>
      </c>
      <c r="BC629">
        <v>0</v>
      </c>
      <c r="BD629">
        <v>0</v>
      </c>
      <c r="BE629">
        <v>0</v>
      </c>
      <c r="BF629">
        <v>0</v>
      </c>
      <c r="BG629">
        <v>0</v>
      </c>
      <c r="BH629">
        <v>1</v>
      </c>
      <c r="BI629">
        <v>2</v>
      </c>
      <c r="BJ629">
        <v>4.0999999999999996</v>
      </c>
      <c r="BK629">
        <v>4.5</v>
      </c>
      <c r="BL629">
        <v>157.38999999999999</v>
      </c>
      <c r="BM629">
        <v>23.61</v>
      </c>
      <c r="BN629">
        <v>181</v>
      </c>
      <c r="BO629">
        <v>181</v>
      </c>
      <c r="BQ629" t="s">
        <v>453</v>
      </c>
      <c r="BR629" t="s">
        <v>84</v>
      </c>
      <c r="BS629" s="3">
        <v>45786</v>
      </c>
      <c r="BT629" s="4">
        <v>0.35069444444444442</v>
      </c>
      <c r="BU629" t="s">
        <v>1071</v>
      </c>
      <c r="BV629" t="s">
        <v>86</v>
      </c>
      <c r="BY629">
        <v>20358</v>
      </c>
      <c r="CA629" t="s">
        <v>160</v>
      </c>
      <c r="CC629" t="s">
        <v>80</v>
      </c>
      <c r="CD629">
        <v>3610</v>
      </c>
      <c r="CE629" t="s">
        <v>96</v>
      </c>
      <c r="CF629" s="3">
        <v>45789</v>
      </c>
      <c r="CI629">
        <v>1</v>
      </c>
      <c r="CJ629">
        <v>1</v>
      </c>
      <c r="CK629">
        <v>21</v>
      </c>
      <c r="CL629" t="s">
        <v>89</v>
      </c>
    </row>
    <row r="630" spans="1:90" x14ac:dyDescent="0.3">
      <c r="A630" t="s">
        <v>72</v>
      </c>
      <c r="B630" t="s">
        <v>73</v>
      </c>
      <c r="C630" t="s">
        <v>74</v>
      </c>
      <c r="E630" t="str">
        <f>"080065255014"</f>
        <v>080065255014</v>
      </c>
      <c r="F630" s="3">
        <v>45785</v>
      </c>
      <c r="G630">
        <v>202602</v>
      </c>
      <c r="H630" t="s">
        <v>75</v>
      </c>
      <c r="I630" t="s">
        <v>76</v>
      </c>
      <c r="J630" t="s">
        <v>77</v>
      </c>
      <c r="K630" t="s">
        <v>78</v>
      </c>
      <c r="L630" t="s">
        <v>90</v>
      </c>
      <c r="M630" t="s">
        <v>91</v>
      </c>
      <c r="N630" t="s">
        <v>385</v>
      </c>
      <c r="O630" t="s">
        <v>82</v>
      </c>
      <c r="P630" t="str">
        <f>"4170037419                    "</f>
        <v xml:space="preserve">4170037419                    </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37.409999999999997</v>
      </c>
      <c r="AR630">
        <v>0</v>
      </c>
      <c r="AS630">
        <v>0</v>
      </c>
      <c r="AT630">
        <v>0</v>
      </c>
      <c r="AU630">
        <v>0</v>
      </c>
      <c r="AV630">
        <v>0</v>
      </c>
      <c r="AW630">
        <v>0</v>
      </c>
      <c r="AX630">
        <v>0</v>
      </c>
      <c r="AY630">
        <v>0</v>
      </c>
      <c r="AZ630">
        <v>0</v>
      </c>
      <c r="BA630">
        <v>0</v>
      </c>
      <c r="BB630">
        <v>0</v>
      </c>
      <c r="BC630">
        <v>0</v>
      </c>
      <c r="BD630">
        <v>0</v>
      </c>
      <c r="BE630">
        <v>0</v>
      </c>
      <c r="BF630">
        <v>0</v>
      </c>
      <c r="BG630">
        <v>0</v>
      </c>
      <c r="BH630">
        <v>1</v>
      </c>
      <c r="BI630">
        <v>1</v>
      </c>
      <c r="BJ630">
        <v>3.1</v>
      </c>
      <c r="BK630">
        <v>3.5</v>
      </c>
      <c r="BL630">
        <v>122.43</v>
      </c>
      <c r="BM630">
        <v>18.36</v>
      </c>
      <c r="BN630">
        <v>140.79</v>
      </c>
      <c r="BO630">
        <v>140.79</v>
      </c>
      <c r="BQ630" t="s">
        <v>386</v>
      </c>
      <c r="BR630" t="s">
        <v>84</v>
      </c>
      <c r="BS630" s="3">
        <v>45786</v>
      </c>
      <c r="BT630" s="4">
        <v>0.42291666666666666</v>
      </c>
      <c r="BU630" t="s">
        <v>387</v>
      </c>
      <c r="BV630" t="s">
        <v>86</v>
      </c>
      <c r="BY630">
        <v>15360</v>
      </c>
      <c r="CA630" t="s">
        <v>95</v>
      </c>
      <c r="CC630" t="s">
        <v>91</v>
      </c>
      <c r="CD630">
        <v>6056</v>
      </c>
      <c r="CE630" t="s">
        <v>96</v>
      </c>
      <c r="CF630" s="3">
        <v>45786</v>
      </c>
      <c r="CI630">
        <v>1</v>
      </c>
      <c r="CJ630">
        <v>1</v>
      </c>
      <c r="CK630">
        <v>21</v>
      </c>
      <c r="CL630" t="s">
        <v>89</v>
      </c>
    </row>
    <row r="631" spans="1:90" x14ac:dyDescent="0.3">
      <c r="A631" t="s">
        <v>72</v>
      </c>
      <c r="B631" t="s">
        <v>73</v>
      </c>
      <c r="C631" t="s">
        <v>74</v>
      </c>
      <c r="E631" t="str">
        <f>"080065255040"</f>
        <v>080065255040</v>
      </c>
      <c r="F631" s="3">
        <v>45785</v>
      </c>
      <c r="G631">
        <v>202602</v>
      </c>
      <c r="H631" t="s">
        <v>75</v>
      </c>
      <c r="I631" t="s">
        <v>76</v>
      </c>
      <c r="J631" t="s">
        <v>77</v>
      </c>
      <c r="K631" t="s">
        <v>78</v>
      </c>
      <c r="L631" t="s">
        <v>222</v>
      </c>
      <c r="M631" t="s">
        <v>223</v>
      </c>
      <c r="N631" t="s">
        <v>1369</v>
      </c>
      <c r="O631" t="s">
        <v>82</v>
      </c>
      <c r="P631" t="str">
        <f>"4170037437                    "</f>
        <v xml:space="preserve">4170037437                    </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30.07</v>
      </c>
      <c r="AR631">
        <v>0</v>
      </c>
      <c r="AS631">
        <v>0</v>
      </c>
      <c r="AT631">
        <v>0</v>
      </c>
      <c r="AU631">
        <v>0</v>
      </c>
      <c r="AV631">
        <v>0</v>
      </c>
      <c r="AW631">
        <v>0</v>
      </c>
      <c r="AX631">
        <v>0</v>
      </c>
      <c r="AY631">
        <v>0</v>
      </c>
      <c r="AZ631">
        <v>0</v>
      </c>
      <c r="BA631">
        <v>0</v>
      </c>
      <c r="BB631">
        <v>0</v>
      </c>
      <c r="BC631">
        <v>0</v>
      </c>
      <c r="BD631">
        <v>0</v>
      </c>
      <c r="BE631">
        <v>0</v>
      </c>
      <c r="BF631">
        <v>0</v>
      </c>
      <c r="BG631">
        <v>0</v>
      </c>
      <c r="BH631">
        <v>1</v>
      </c>
      <c r="BI631">
        <v>1</v>
      </c>
      <c r="BJ631">
        <v>2</v>
      </c>
      <c r="BK631">
        <v>2</v>
      </c>
      <c r="BL631">
        <v>98.42</v>
      </c>
      <c r="BM631">
        <v>14.76</v>
      </c>
      <c r="BN631">
        <v>113.18</v>
      </c>
      <c r="BO631">
        <v>113.18</v>
      </c>
      <c r="BQ631" t="s">
        <v>1370</v>
      </c>
      <c r="BR631" t="s">
        <v>84</v>
      </c>
      <c r="BS631" s="3">
        <v>45789</v>
      </c>
      <c r="BT631" s="4">
        <v>0.38611111111111113</v>
      </c>
      <c r="BU631" t="s">
        <v>1371</v>
      </c>
      <c r="BV631" t="s">
        <v>89</v>
      </c>
      <c r="BW631" t="s">
        <v>148</v>
      </c>
      <c r="BX631" t="s">
        <v>149</v>
      </c>
      <c r="BY631">
        <v>9918</v>
      </c>
      <c r="CA631" t="s">
        <v>592</v>
      </c>
      <c r="CC631" t="s">
        <v>223</v>
      </c>
      <c r="CD631">
        <v>1748</v>
      </c>
      <c r="CE631" t="s">
        <v>96</v>
      </c>
      <c r="CF631" s="3">
        <v>45790</v>
      </c>
      <c r="CI631">
        <v>1</v>
      </c>
      <c r="CJ631">
        <v>2</v>
      </c>
      <c r="CK631">
        <v>24</v>
      </c>
      <c r="CL631" t="s">
        <v>89</v>
      </c>
    </row>
    <row r="632" spans="1:90" x14ac:dyDescent="0.3">
      <c r="A632" t="s">
        <v>72</v>
      </c>
      <c r="B632" t="s">
        <v>73</v>
      </c>
      <c r="C632" t="s">
        <v>74</v>
      </c>
      <c r="E632" t="str">
        <f>"080065255042"</f>
        <v>080065255042</v>
      </c>
      <c r="F632" s="3">
        <v>45785</v>
      </c>
      <c r="G632">
        <v>202602</v>
      </c>
      <c r="H632" t="s">
        <v>75</v>
      </c>
      <c r="I632" t="s">
        <v>76</v>
      </c>
      <c r="J632" t="s">
        <v>77</v>
      </c>
      <c r="K632" t="s">
        <v>78</v>
      </c>
      <c r="L632" t="s">
        <v>103</v>
      </c>
      <c r="M632" t="s">
        <v>104</v>
      </c>
      <c r="N632" t="s">
        <v>1372</v>
      </c>
      <c r="O632" t="s">
        <v>82</v>
      </c>
      <c r="P632" t="str">
        <f>"4170037427                    "</f>
        <v xml:space="preserve">4170037427                    </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37.409999999999997</v>
      </c>
      <c r="AR632">
        <v>0</v>
      </c>
      <c r="AS632">
        <v>0</v>
      </c>
      <c r="AT632">
        <v>0</v>
      </c>
      <c r="AU632">
        <v>0</v>
      </c>
      <c r="AV632">
        <v>0</v>
      </c>
      <c r="AW632">
        <v>0</v>
      </c>
      <c r="AX632">
        <v>0</v>
      </c>
      <c r="AY632">
        <v>0</v>
      </c>
      <c r="AZ632">
        <v>0</v>
      </c>
      <c r="BA632">
        <v>0</v>
      </c>
      <c r="BB632">
        <v>0</v>
      </c>
      <c r="BC632">
        <v>0</v>
      </c>
      <c r="BD632">
        <v>0</v>
      </c>
      <c r="BE632">
        <v>0</v>
      </c>
      <c r="BF632">
        <v>0</v>
      </c>
      <c r="BG632">
        <v>0</v>
      </c>
      <c r="BH632">
        <v>1</v>
      </c>
      <c r="BI632">
        <v>1</v>
      </c>
      <c r="BJ632">
        <v>3.1</v>
      </c>
      <c r="BK632">
        <v>3.5</v>
      </c>
      <c r="BL632">
        <v>122.43</v>
      </c>
      <c r="BM632">
        <v>18.36</v>
      </c>
      <c r="BN632">
        <v>140.79</v>
      </c>
      <c r="BO632">
        <v>140.79</v>
      </c>
      <c r="BQ632" t="s">
        <v>1373</v>
      </c>
      <c r="BR632" t="s">
        <v>84</v>
      </c>
      <c r="BS632" s="3">
        <v>45786</v>
      </c>
      <c r="BT632" s="4">
        <v>0.41666666666666669</v>
      </c>
      <c r="BU632" t="s">
        <v>1374</v>
      </c>
      <c r="BV632" t="s">
        <v>86</v>
      </c>
      <c r="BY632">
        <v>15360</v>
      </c>
      <c r="CA632" t="s">
        <v>1375</v>
      </c>
      <c r="CC632" t="s">
        <v>104</v>
      </c>
      <c r="CD632">
        <v>3201</v>
      </c>
      <c r="CE632" t="s">
        <v>96</v>
      </c>
      <c r="CF632" s="3">
        <v>45787</v>
      </c>
      <c r="CI632">
        <v>1</v>
      </c>
      <c r="CJ632">
        <v>1</v>
      </c>
      <c r="CK632">
        <v>21</v>
      </c>
      <c r="CL632" t="s">
        <v>89</v>
      </c>
    </row>
    <row r="633" spans="1:90" x14ac:dyDescent="0.3">
      <c r="A633" t="s">
        <v>72</v>
      </c>
      <c r="B633" t="s">
        <v>73</v>
      </c>
      <c r="C633" t="s">
        <v>74</v>
      </c>
      <c r="E633" t="str">
        <f>"080065255065"</f>
        <v>080065255065</v>
      </c>
      <c r="F633" s="3">
        <v>45785</v>
      </c>
      <c r="G633">
        <v>202602</v>
      </c>
      <c r="H633" t="s">
        <v>75</v>
      </c>
      <c r="I633" t="s">
        <v>76</v>
      </c>
      <c r="J633" t="s">
        <v>77</v>
      </c>
      <c r="K633" t="s">
        <v>78</v>
      </c>
      <c r="L633" t="s">
        <v>136</v>
      </c>
      <c r="M633" t="s">
        <v>137</v>
      </c>
      <c r="N633" t="s">
        <v>161</v>
      </c>
      <c r="O633" t="s">
        <v>300</v>
      </c>
      <c r="P633" t="str">
        <f>"4170037440                    "</f>
        <v xml:space="preserve">4170037440                    </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44.77</v>
      </c>
      <c r="AR633">
        <v>0</v>
      </c>
      <c r="AS633">
        <v>0</v>
      </c>
      <c r="AT633">
        <v>0</v>
      </c>
      <c r="AU633">
        <v>0</v>
      </c>
      <c r="AV633">
        <v>0</v>
      </c>
      <c r="AW633">
        <v>0</v>
      </c>
      <c r="AX633">
        <v>0</v>
      </c>
      <c r="AY633">
        <v>0</v>
      </c>
      <c r="AZ633">
        <v>0</v>
      </c>
      <c r="BA633">
        <v>0</v>
      </c>
      <c r="BB633">
        <v>0</v>
      </c>
      <c r="BC633">
        <v>0</v>
      </c>
      <c r="BD633">
        <v>0</v>
      </c>
      <c r="BE633">
        <v>0</v>
      </c>
      <c r="BF633">
        <v>0</v>
      </c>
      <c r="BG633">
        <v>0</v>
      </c>
      <c r="BH633">
        <v>1</v>
      </c>
      <c r="BI633">
        <v>17</v>
      </c>
      <c r="BJ633">
        <v>7.2</v>
      </c>
      <c r="BK633">
        <v>17</v>
      </c>
      <c r="BL633">
        <v>152.08000000000001</v>
      </c>
      <c r="BM633">
        <v>22.81</v>
      </c>
      <c r="BN633">
        <v>174.89</v>
      </c>
      <c r="BO633">
        <v>174.89</v>
      </c>
      <c r="BQ633" t="s">
        <v>162</v>
      </c>
      <c r="BR633" t="s">
        <v>84</v>
      </c>
      <c r="BS633" s="3">
        <v>45786</v>
      </c>
      <c r="BT633" s="4">
        <v>0.3888888888888889</v>
      </c>
      <c r="BU633" t="s">
        <v>1376</v>
      </c>
      <c r="BV633" t="s">
        <v>86</v>
      </c>
      <c r="BY633">
        <v>35926</v>
      </c>
      <c r="CA633" t="s">
        <v>199</v>
      </c>
      <c r="CC633" t="s">
        <v>137</v>
      </c>
      <c r="CD633" s="5" t="s">
        <v>165</v>
      </c>
      <c r="CE633" t="s">
        <v>550</v>
      </c>
      <c r="CF633" s="3">
        <v>45786</v>
      </c>
      <c r="CI633">
        <v>1</v>
      </c>
      <c r="CJ633">
        <v>1</v>
      </c>
      <c r="CK633">
        <v>41</v>
      </c>
      <c r="CL633" t="s">
        <v>89</v>
      </c>
    </row>
    <row r="634" spans="1:90" x14ac:dyDescent="0.3">
      <c r="A634" t="s">
        <v>72</v>
      </c>
      <c r="B634" t="s">
        <v>73</v>
      </c>
      <c r="C634" t="s">
        <v>74</v>
      </c>
      <c r="E634" t="str">
        <f>"080065255116"</f>
        <v>080065255116</v>
      </c>
      <c r="F634" s="3">
        <v>45785</v>
      </c>
      <c r="G634">
        <v>202602</v>
      </c>
      <c r="H634" t="s">
        <v>75</v>
      </c>
      <c r="I634" t="s">
        <v>76</v>
      </c>
      <c r="J634" t="s">
        <v>77</v>
      </c>
      <c r="K634" t="s">
        <v>78</v>
      </c>
      <c r="L634" t="s">
        <v>130</v>
      </c>
      <c r="M634" t="s">
        <v>131</v>
      </c>
      <c r="N634" t="s">
        <v>239</v>
      </c>
      <c r="O634" t="s">
        <v>82</v>
      </c>
      <c r="P634" t="str">
        <f>"4170037434                    "</f>
        <v xml:space="preserve">4170037434                    </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138.9</v>
      </c>
      <c r="AR634">
        <v>0</v>
      </c>
      <c r="AS634">
        <v>0</v>
      </c>
      <c r="AT634">
        <v>0</v>
      </c>
      <c r="AU634">
        <v>0</v>
      </c>
      <c r="AV634">
        <v>0</v>
      </c>
      <c r="AW634">
        <v>0</v>
      </c>
      <c r="AX634">
        <v>0</v>
      </c>
      <c r="AY634">
        <v>0</v>
      </c>
      <c r="AZ634">
        <v>0</v>
      </c>
      <c r="BA634">
        <v>0</v>
      </c>
      <c r="BB634">
        <v>0</v>
      </c>
      <c r="BC634">
        <v>0</v>
      </c>
      <c r="BD634">
        <v>0</v>
      </c>
      <c r="BE634">
        <v>0</v>
      </c>
      <c r="BF634">
        <v>0</v>
      </c>
      <c r="BG634">
        <v>0</v>
      </c>
      <c r="BH634">
        <v>2</v>
      </c>
      <c r="BI634">
        <v>13</v>
      </c>
      <c r="BJ634">
        <v>6.8</v>
      </c>
      <c r="BK634">
        <v>13</v>
      </c>
      <c r="BL634">
        <v>454.58</v>
      </c>
      <c r="BM634">
        <v>68.19</v>
      </c>
      <c r="BN634">
        <v>522.77</v>
      </c>
      <c r="BO634">
        <v>522.77</v>
      </c>
      <c r="BQ634" t="s">
        <v>240</v>
      </c>
      <c r="BR634" t="s">
        <v>84</v>
      </c>
      <c r="BS634" s="3">
        <v>45789</v>
      </c>
      <c r="BT634" s="4">
        <v>0.38611111111111113</v>
      </c>
      <c r="BU634" t="s">
        <v>241</v>
      </c>
      <c r="BV634" t="s">
        <v>89</v>
      </c>
      <c r="BW634" t="s">
        <v>340</v>
      </c>
      <c r="BX634" t="s">
        <v>578</v>
      </c>
      <c r="BY634">
        <v>33930</v>
      </c>
      <c r="CA634" t="s">
        <v>242</v>
      </c>
      <c r="CC634" t="s">
        <v>131</v>
      </c>
      <c r="CD634">
        <v>7441</v>
      </c>
      <c r="CE634" t="s">
        <v>96</v>
      </c>
      <c r="CF634" s="3">
        <v>45790</v>
      </c>
      <c r="CI634">
        <v>1</v>
      </c>
      <c r="CJ634">
        <v>2</v>
      </c>
      <c r="CK634">
        <v>21</v>
      </c>
      <c r="CL634" t="s">
        <v>89</v>
      </c>
    </row>
    <row r="635" spans="1:90" x14ac:dyDescent="0.3">
      <c r="A635" t="s">
        <v>72</v>
      </c>
      <c r="B635" t="s">
        <v>73</v>
      </c>
      <c r="C635" t="s">
        <v>74</v>
      </c>
      <c r="E635" t="str">
        <f>"080065255245"</f>
        <v>080065255245</v>
      </c>
      <c r="F635" s="3">
        <v>45785</v>
      </c>
      <c r="G635">
        <v>202602</v>
      </c>
      <c r="H635" t="s">
        <v>75</v>
      </c>
      <c r="I635" t="s">
        <v>76</v>
      </c>
      <c r="J635" t="s">
        <v>77</v>
      </c>
      <c r="K635" t="s">
        <v>78</v>
      </c>
      <c r="L635" t="s">
        <v>103</v>
      </c>
      <c r="M635" t="s">
        <v>104</v>
      </c>
      <c r="N635" t="s">
        <v>105</v>
      </c>
      <c r="O635" t="s">
        <v>82</v>
      </c>
      <c r="P635" t="str">
        <f>"4170037422                    "</f>
        <v xml:space="preserve">4170037422                    </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48.09</v>
      </c>
      <c r="AR635">
        <v>0</v>
      </c>
      <c r="AS635">
        <v>0</v>
      </c>
      <c r="AT635">
        <v>0</v>
      </c>
      <c r="AU635">
        <v>0</v>
      </c>
      <c r="AV635">
        <v>0</v>
      </c>
      <c r="AW635">
        <v>0</v>
      </c>
      <c r="AX635">
        <v>0</v>
      </c>
      <c r="AY635">
        <v>0</v>
      </c>
      <c r="AZ635">
        <v>0</v>
      </c>
      <c r="BA635">
        <v>0</v>
      </c>
      <c r="BB635">
        <v>0</v>
      </c>
      <c r="BC635">
        <v>0</v>
      </c>
      <c r="BD635">
        <v>0</v>
      </c>
      <c r="BE635">
        <v>0</v>
      </c>
      <c r="BF635">
        <v>0</v>
      </c>
      <c r="BG635">
        <v>0</v>
      </c>
      <c r="BH635">
        <v>1</v>
      </c>
      <c r="BI635">
        <v>2</v>
      </c>
      <c r="BJ635">
        <v>4.0999999999999996</v>
      </c>
      <c r="BK635">
        <v>4.5</v>
      </c>
      <c r="BL635">
        <v>157.38999999999999</v>
      </c>
      <c r="BM635">
        <v>23.61</v>
      </c>
      <c r="BN635">
        <v>181</v>
      </c>
      <c r="BO635">
        <v>181</v>
      </c>
      <c r="BQ635" t="s">
        <v>106</v>
      </c>
      <c r="BR635" t="s">
        <v>84</v>
      </c>
      <c r="BS635" s="3">
        <v>45786</v>
      </c>
      <c r="BT635" s="4">
        <v>0.41666666666666669</v>
      </c>
      <c r="BU635" t="s">
        <v>107</v>
      </c>
      <c r="BV635" t="s">
        <v>86</v>
      </c>
      <c r="BY635">
        <v>20358</v>
      </c>
      <c r="CA635" t="s">
        <v>108</v>
      </c>
      <c r="CC635" t="s">
        <v>104</v>
      </c>
      <c r="CD635">
        <v>3201</v>
      </c>
      <c r="CE635" t="s">
        <v>96</v>
      </c>
      <c r="CF635" s="3">
        <v>45787</v>
      </c>
      <c r="CI635">
        <v>1</v>
      </c>
      <c r="CJ635">
        <v>1</v>
      </c>
      <c r="CK635">
        <v>21</v>
      </c>
      <c r="CL635" t="s">
        <v>89</v>
      </c>
    </row>
    <row r="636" spans="1:90" x14ac:dyDescent="0.3">
      <c r="A636" t="s">
        <v>72</v>
      </c>
      <c r="B636" t="s">
        <v>73</v>
      </c>
      <c r="C636" t="s">
        <v>74</v>
      </c>
      <c r="E636" t="str">
        <f>"080065255290"</f>
        <v>080065255290</v>
      </c>
      <c r="F636" s="3">
        <v>45785</v>
      </c>
      <c r="G636">
        <v>202602</v>
      </c>
      <c r="H636" t="s">
        <v>75</v>
      </c>
      <c r="I636" t="s">
        <v>76</v>
      </c>
      <c r="J636" t="s">
        <v>77</v>
      </c>
      <c r="K636" t="s">
        <v>78</v>
      </c>
      <c r="L636" t="s">
        <v>967</v>
      </c>
      <c r="M636" t="s">
        <v>967</v>
      </c>
      <c r="N636" t="s">
        <v>850</v>
      </c>
      <c r="O636" t="s">
        <v>82</v>
      </c>
      <c r="P636" t="str">
        <f>"4170037436                    "</f>
        <v xml:space="preserve">4170037436                    </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30.07</v>
      </c>
      <c r="AR636">
        <v>0</v>
      </c>
      <c r="AS636">
        <v>0</v>
      </c>
      <c r="AT636">
        <v>0</v>
      </c>
      <c r="AU636">
        <v>0</v>
      </c>
      <c r="AV636">
        <v>0</v>
      </c>
      <c r="AW636">
        <v>0</v>
      </c>
      <c r="AX636">
        <v>0</v>
      </c>
      <c r="AY636">
        <v>0</v>
      </c>
      <c r="AZ636">
        <v>0</v>
      </c>
      <c r="BA636">
        <v>0</v>
      </c>
      <c r="BB636">
        <v>0</v>
      </c>
      <c r="BC636">
        <v>0</v>
      </c>
      <c r="BD636">
        <v>0</v>
      </c>
      <c r="BE636">
        <v>0</v>
      </c>
      <c r="BF636">
        <v>0</v>
      </c>
      <c r="BG636">
        <v>0</v>
      </c>
      <c r="BH636">
        <v>1</v>
      </c>
      <c r="BI636">
        <v>2</v>
      </c>
      <c r="BJ636">
        <v>1.6</v>
      </c>
      <c r="BK636">
        <v>2</v>
      </c>
      <c r="BL636">
        <v>98.42</v>
      </c>
      <c r="BM636">
        <v>14.76</v>
      </c>
      <c r="BN636">
        <v>113.18</v>
      </c>
      <c r="BO636">
        <v>113.18</v>
      </c>
      <c r="BQ636" t="s">
        <v>851</v>
      </c>
      <c r="BR636" t="s">
        <v>84</v>
      </c>
      <c r="BS636" s="3">
        <v>45786</v>
      </c>
      <c r="BT636" s="4">
        <v>0.34236111111111112</v>
      </c>
      <c r="BU636" t="s">
        <v>1377</v>
      </c>
      <c r="BV636" t="s">
        <v>86</v>
      </c>
      <c r="BY636">
        <v>7980</v>
      </c>
      <c r="CA636" t="s">
        <v>971</v>
      </c>
      <c r="CC636" t="s">
        <v>967</v>
      </c>
      <c r="CD636">
        <v>1491</v>
      </c>
      <c r="CE636" t="s">
        <v>116</v>
      </c>
      <c r="CF636" s="3">
        <v>45786</v>
      </c>
      <c r="CI636">
        <v>1</v>
      </c>
      <c r="CJ636">
        <v>1</v>
      </c>
      <c r="CK636">
        <v>24</v>
      </c>
      <c r="CL636" t="s">
        <v>89</v>
      </c>
    </row>
    <row r="637" spans="1:90" x14ac:dyDescent="0.3">
      <c r="A637" t="s">
        <v>72</v>
      </c>
      <c r="B637" t="s">
        <v>73</v>
      </c>
      <c r="C637" t="s">
        <v>74</v>
      </c>
      <c r="E637" t="str">
        <f>"080065255324"</f>
        <v>080065255324</v>
      </c>
      <c r="F637" s="3">
        <v>45785</v>
      </c>
      <c r="G637">
        <v>202602</v>
      </c>
      <c r="H637" t="s">
        <v>75</v>
      </c>
      <c r="I637" t="s">
        <v>76</v>
      </c>
      <c r="J637" t="s">
        <v>77</v>
      </c>
      <c r="K637" t="s">
        <v>78</v>
      </c>
      <c r="L637" t="s">
        <v>871</v>
      </c>
      <c r="M637" t="s">
        <v>872</v>
      </c>
      <c r="N637" t="s">
        <v>1340</v>
      </c>
      <c r="O637" t="s">
        <v>300</v>
      </c>
      <c r="P637" t="str">
        <f>"4170037443                    "</f>
        <v xml:space="preserve">4170037443                    </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347.27</v>
      </c>
      <c r="AR637">
        <v>0</v>
      </c>
      <c r="AS637">
        <v>0</v>
      </c>
      <c r="AT637">
        <v>0</v>
      </c>
      <c r="AU637">
        <v>0</v>
      </c>
      <c r="AV637">
        <v>0</v>
      </c>
      <c r="AW637">
        <v>0</v>
      </c>
      <c r="AX637">
        <v>0</v>
      </c>
      <c r="AY637">
        <v>0</v>
      </c>
      <c r="AZ637">
        <v>0</v>
      </c>
      <c r="BA637">
        <v>0</v>
      </c>
      <c r="BB637">
        <v>0</v>
      </c>
      <c r="BC637">
        <v>0</v>
      </c>
      <c r="BD637">
        <v>0</v>
      </c>
      <c r="BE637">
        <v>0</v>
      </c>
      <c r="BF637">
        <v>0</v>
      </c>
      <c r="BG637">
        <v>0</v>
      </c>
      <c r="BH637">
        <v>8</v>
      </c>
      <c r="BI637">
        <v>112</v>
      </c>
      <c r="BJ637">
        <v>71.099999999999994</v>
      </c>
      <c r="BK637">
        <v>112</v>
      </c>
      <c r="BL637">
        <v>1142.08</v>
      </c>
      <c r="BM637">
        <v>171.31</v>
      </c>
      <c r="BN637">
        <v>1313.39</v>
      </c>
      <c r="BO637">
        <v>1313.39</v>
      </c>
      <c r="BQ637" t="s">
        <v>1341</v>
      </c>
      <c r="BR637" t="s">
        <v>84</v>
      </c>
      <c r="BS637" s="3">
        <v>45786</v>
      </c>
      <c r="BT637" s="4">
        <v>0.43055555555555558</v>
      </c>
      <c r="BU637" t="s">
        <v>1342</v>
      </c>
      <c r="BV637" t="s">
        <v>86</v>
      </c>
      <c r="BY637">
        <v>44460</v>
      </c>
      <c r="CA637" t="s">
        <v>1343</v>
      </c>
      <c r="CC637" t="s">
        <v>872</v>
      </c>
      <c r="CD637">
        <v>2302</v>
      </c>
      <c r="CE637" t="s">
        <v>550</v>
      </c>
      <c r="CF637" s="3">
        <v>45786</v>
      </c>
      <c r="CI637">
        <v>1</v>
      </c>
      <c r="CJ637">
        <v>1</v>
      </c>
      <c r="CK637">
        <v>43</v>
      </c>
      <c r="CL637" t="s">
        <v>89</v>
      </c>
    </row>
    <row r="638" spans="1:90" x14ac:dyDescent="0.3">
      <c r="A638" t="s">
        <v>72</v>
      </c>
      <c r="B638" t="s">
        <v>73</v>
      </c>
      <c r="C638" t="s">
        <v>74</v>
      </c>
      <c r="E638" t="str">
        <f>"080065214668"</f>
        <v>080065214668</v>
      </c>
      <c r="F638" s="3">
        <v>45784</v>
      </c>
      <c r="G638">
        <v>202602</v>
      </c>
      <c r="H638" t="s">
        <v>75</v>
      </c>
      <c r="I638" t="s">
        <v>76</v>
      </c>
      <c r="J638" t="s">
        <v>77</v>
      </c>
      <c r="K638" t="s">
        <v>78</v>
      </c>
      <c r="L638" t="s">
        <v>103</v>
      </c>
      <c r="M638" t="s">
        <v>104</v>
      </c>
      <c r="N638" t="s">
        <v>105</v>
      </c>
      <c r="O638" t="s">
        <v>82</v>
      </c>
      <c r="P638" t="str">
        <f>"4170037153                    "</f>
        <v xml:space="preserve">4170037153                    </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21.38</v>
      </c>
      <c r="AR638">
        <v>0</v>
      </c>
      <c r="AS638">
        <v>0</v>
      </c>
      <c r="AT638">
        <v>0</v>
      </c>
      <c r="AU638">
        <v>0</v>
      </c>
      <c r="AV638">
        <v>0</v>
      </c>
      <c r="AW638">
        <v>0</v>
      </c>
      <c r="AX638">
        <v>0</v>
      </c>
      <c r="AY638">
        <v>0</v>
      </c>
      <c r="AZ638">
        <v>0</v>
      </c>
      <c r="BA638">
        <v>0</v>
      </c>
      <c r="BB638">
        <v>0</v>
      </c>
      <c r="BC638">
        <v>0</v>
      </c>
      <c r="BD638">
        <v>0</v>
      </c>
      <c r="BE638">
        <v>0</v>
      </c>
      <c r="BF638">
        <v>0</v>
      </c>
      <c r="BG638">
        <v>0</v>
      </c>
      <c r="BH638">
        <v>1</v>
      </c>
      <c r="BI638">
        <v>1</v>
      </c>
      <c r="BJ638">
        <v>0.2</v>
      </c>
      <c r="BK638">
        <v>1</v>
      </c>
      <c r="BL638">
        <v>69.98</v>
      </c>
      <c r="BM638">
        <v>10.5</v>
      </c>
      <c r="BN638">
        <v>80.48</v>
      </c>
      <c r="BO638">
        <v>80.48</v>
      </c>
      <c r="BQ638" t="s">
        <v>106</v>
      </c>
      <c r="BR638" t="s">
        <v>84</v>
      </c>
      <c r="BS638" s="3">
        <v>45785</v>
      </c>
      <c r="BT638" s="4">
        <v>0.46875</v>
      </c>
      <c r="BU638" t="s">
        <v>107</v>
      </c>
      <c r="BV638" t="s">
        <v>86</v>
      </c>
      <c r="BY638">
        <v>1200</v>
      </c>
      <c r="BZ638" t="s">
        <v>127</v>
      </c>
      <c r="CA638" t="s">
        <v>108</v>
      </c>
      <c r="CC638" t="s">
        <v>104</v>
      </c>
      <c r="CD638">
        <v>3201</v>
      </c>
      <c r="CE638" t="s">
        <v>88</v>
      </c>
      <c r="CF638" s="3">
        <v>45786</v>
      </c>
      <c r="CI638">
        <v>1</v>
      </c>
      <c r="CJ638">
        <v>1</v>
      </c>
      <c r="CK638">
        <v>21</v>
      </c>
      <c r="CL638" t="s">
        <v>89</v>
      </c>
    </row>
    <row r="639" spans="1:90" x14ac:dyDescent="0.3">
      <c r="A639" t="s">
        <v>72</v>
      </c>
      <c r="B639" t="s">
        <v>73</v>
      </c>
      <c r="C639" t="s">
        <v>74</v>
      </c>
      <c r="E639" t="str">
        <f>"080065214680"</f>
        <v>080065214680</v>
      </c>
      <c r="F639" s="3">
        <v>45784</v>
      </c>
      <c r="G639">
        <v>202602</v>
      </c>
      <c r="H639" t="s">
        <v>75</v>
      </c>
      <c r="I639" t="s">
        <v>76</v>
      </c>
      <c r="J639" t="s">
        <v>77</v>
      </c>
      <c r="K639" t="s">
        <v>78</v>
      </c>
      <c r="L639" t="s">
        <v>311</v>
      </c>
      <c r="M639" t="s">
        <v>312</v>
      </c>
      <c r="N639" t="s">
        <v>939</v>
      </c>
      <c r="O639" t="s">
        <v>82</v>
      </c>
      <c r="P639" t="str">
        <f>"4170037171                    "</f>
        <v xml:space="preserve">4170037171                    </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16.7</v>
      </c>
      <c r="AR639">
        <v>0</v>
      </c>
      <c r="AS639">
        <v>0</v>
      </c>
      <c r="AT639">
        <v>0</v>
      </c>
      <c r="AU639">
        <v>0</v>
      </c>
      <c r="AV639">
        <v>0</v>
      </c>
      <c r="AW639">
        <v>0</v>
      </c>
      <c r="AX639">
        <v>0</v>
      </c>
      <c r="AY639">
        <v>0</v>
      </c>
      <c r="AZ639">
        <v>0</v>
      </c>
      <c r="BA639">
        <v>0</v>
      </c>
      <c r="BB639">
        <v>0</v>
      </c>
      <c r="BC639">
        <v>0</v>
      </c>
      <c r="BD639">
        <v>0</v>
      </c>
      <c r="BE639">
        <v>0</v>
      </c>
      <c r="BF639">
        <v>0</v>
      </c>
      <c r="BG639">
        <v>0</v>
      </c>
      <c r="BH639">
        <v>1</v>
      </c>
      <c r="BI639">
        <v>8</v>
      </c>
      <c r="BJ639">
        <v>4.5</v>
      </c>
      <c r="BK639">
        <v>8</v>
      </c>
      <c r="BL639">
        <v>54.66</v>
      </c>
      <c r="BM639">
        <v>8.1999999999999993</v>
      </c>
      <c r="BN639">
        <v>62.86</v>
      </c>
      <c r="BO639">
        <v>62.86</v>
      </c>
      <c r="BQ639" t="s">
        <v>940</v>
      </c>
      <c r="BR639" t="s">
        <v>84</v>
      </c>
      <c r="BS639" s="3">
        <v>45785</v>
      </c>
      <c r="BT639" s="4">
        <v>0.42916666666666664</v>
      </c>
      <c r="BU639" t="s">
        <v>1378</v>
      </c>
      <c r="BV639" t="s">
        <v>86</v>
      </c>
      <c r="BY639">
        <v>22464</v>
      </c>
      <c r="BZ639" t="s">
        <v>127</v>
      </c>
      <c r="CA639" t="s">
        <v>316</v>
      </c>
      <c r="CC639" t="s">
        <v>312</v>
      </c>
      <c r="CD639">
        <v>1502</v>
      </c>
      <c r="CE639" t="s">
        <v>221</v>
      </c>
      <c r="CF639" s="3">
        <v>45785</v>
      </c>
      <c r="CI639">
        <v>1</v>
      </c>
      <c r="CJ639">
        <v>1</v>
      </c>
      <c r="CK639">
        <v>22</v>
      </c>
      <c r="CL639" t="s">
        <v>89</v>
      </c>
    </row>
    <row r="640" spans="1:90" x14ac:dyDescent="0.3">
      <c r="A640" t="s">
        <v>72</v>
      </c>
      <c r="B640" t="s">
        <v>73</v>
      </c>
      <c r="C640" t="s">
        <v>74</v>
      </c>
      <c r="E640" t="str">
        <f>"080065214695"</f>
        <v>080065214695</v>
      </c>
      <c r="F640" s="3">
        <v>45784</v>
      </c>
      <c r="G640">
        <v>202602</v>
      </c>
      <c r="H640" t="s">
        <v>75</v>
      </c>
      <c r="I640" t="s">
        <v>76</v>
      </c>
      <c r="J640" t="s">
        <v>77</v>
      </c>
      <c r="K640" t="s">
        <v>78</v>
      </c>
      <c r="L640" t="s">
        <v>320</v>
      </c>
      <c r="M640" t="s">
        <v>321</v>
      </c>
      <c r="N640" t="s">
        <v>499</v>
      </c>
      <c r="O640" t="s">
        <v>82</v>
      </c>
      <c r="P640" t="str">
        <f>"4170037186                    "</f>
        <v xml:space="preserve">4170037186                    </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21.38</v>
      </c>
      <c r="AR640">
        <v>0</v>
      </c>
      <c r="AS640">
        <v>0</v>
      </c>
      <c r="AT640">
        <v>0</v>
      </c>
      <c r="AU640">
        <v>0</v>
      </c>
      <c r="AV640">
        <v>0</v>
      </c>
      <c r="AW640">
        <v>0</v>
      </c>
      <c r="AX640">
        <v>0</v>
      </c>
      <c r="AY640">
        <v>0</v>
      </c>
      <c r="AZ640">
        <v>0</v>
      </c>
      <c r="BA640">
        <v>0</v>
      </c>
      <c r="BB640">
        <v>0</v>
      </c>
      <c r="BC640">
        <v>0</v>
      </c>
      <c r="BD640">
        <v>0</v>
      </c>
      <c r="BE640">
        <v>0</v>
      </c>
      <c r="BF640">
        <v>0</v>
      </c>
      <c r="BG640">
        <v>0</v>
      </c>
      <c r="BH640">
        <v>1</v>
      </c>
      <c r="BI640">
        <v>1</v>
      </c>
      <c r="BJ640">
        <v>0.2</v>
      </c>
      <c r="BK640">
        <v>1</v>
      </c>
      <c r="BL640">
        <v>69.98</v>
      </c>
      <c r="BM640">
        <v>10.5</v>
      </c>
      <c r="BN640">
        <v>80.48</v>
      </c>
      <c r="BO640">
        <v>80.48</v>
      </c>
      <c r="BQ640" t="s">
        <v>500</v>
      </c>
      <c r="BR640" t="s">
        <v>84</v>
      </c>
      <c r="BS640" s="3">
        <v>45785</v>
      </c>
      <c r="BT640" s="4">
        <v>0.75763888888888886</v>
      </c>
      <c r="BU640" t="s">
        <v>623</v>
      </c>
      <c r="BV640" t="s">
        <v>89</v>
      </c>
      <c r="BW640" t="s">
        <v>296</v>
      </c>
      <c r="BX640" t="s">
        <v>325</v>
      </c>
      <c r="BY640">
        <v>1200</v>
      </c>
      <c r="BZ640" t="s">
        <v>127</v>
      </c>
      <c r="CA640" t="s">
        <v>326</v>
      </c>
      <c r="CC640" t="s">
        <v>321</v>
      </c>
      <c r="CD640">
        <v>4133</v>
      </c>
      <c r="CE640" t="s">
        <v>88</v>
      </c>
      <c r="CF640" s="3">
        <v>45786</v>
      </c>
      <c r="CI640">
        <v>1</v>
      </c>
      <c r="CJ640">
        <v>1</v>
      </c>
      <c r="CK640">
        <v>21</v>
      </c>
      <c r="CL640" t="s">
        <v>89</v>
      </c>
    </row>
    <row r="641" spans="1:90" x14ac:dyDescent="0.3">
      <c r="A641" t="s">
        <v>72</v>
      </c>
      <c r="B641" t="s">
        <v>73</v>
      </c>
      <c r="C641" t="s">
        <v>74</v>
      </c>
      <c r="E641" t="str">
        <f>"080065255536"</f>
        <v>080065255536</v>
      </c>
      <c r="F641" s="3">
        <v>45785</v>
      </c>
      <c r="G641">
        <v>202602</v>
      </c>
      <c r="H641" t="s">
        <v>75</v>
      </c>
      <c r="I641" t="s">
        <v>76</v>
      </c>
      <c r="J641" t="s">
        <v>77</v>
      </c>
      <c r="K641" t="s">
        <v>78</v>
      </c>
      <c r="L641" t="s">
        <v>479</v>
      </c>
      <c r="M641" t="s">
        <v>480</v>
      </c>
      <c r="N641" t="s">
        <v>1379</v>
      </c>
      <c r="O641" t="s">
        <v>602</v>
      </c>
      <c r="P641" t="str">
        <f>"4170037412                    "</f>
        <v xml:space="preserve">4170037412                    </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26.08</v>
      </c>
      <c r="AR641">
        <v>0</v>
      </c>
      <c r="AS641">
        <v>0</v>
      </c>
      <c r="AT641">
        <v>0</v>
      </c>
      <c r="AU641">
        <v>0</v>
      </c>
      <c r="AV641">
        <v>0</v>
      </c>
      <c r="AW641">
        <v>0</v>
      </c>
      <c r="AX641">
        <v>0</v>
      </c>
      <c r="AY641">
        <v>0</v>
      </c>
      <c r="AZ641">
        <v>0</v>
      </c>
      <c r="BA641">
        <v>0</v>
      </c>
      <c r="BB641">
        <v>0</v>
      </c>
      <c r="BC641">
        <v>0</v>
      </c>
      <c r="BD641">
        <v>0</v>
      </c>
      <c r="BE641">
        <v>0</v>
      </c>
      <c r="BF641">
        <v>0</v>
      </c>
      <c r="BG641">
        <v>0</v>
      </c>
      <c r="BH641">
        <v>1</v>
      </c>
      <c r="BI641">
        <v>13</v>
      </c>
      <c r="BJ641">
        <v>8.1</v>
      </c>
      <c r="BK641">
        <v>13</v>
      </c>
      <c r="BL641">
        <v>85.35</v>
      </c>
      <c r="BM641">
        <v>12.8</v>
      </c>
      <c r="BN641">
        <v>98.15</v>
      </c>
      <c r="BO641">
        <v>98.15</v>
      </c>
      <c r="BQ641" t="s">
        <v>1380</v>
      </c>
      <c r="BR641" t="s">
        <v>84</v>
      </c>
      <c r="BS641" s="3">
        <v>45789</v>
      </c>
      <c r="BT641" s="4">
        <v>0.47916666666666669</v>
      </c>
      <c r="BU641" t="s">
        <v>1381</v>
      </c>
      <c r="BV641" t="s">
        <v>89</v>
      </c>
      <c r="BW641" t="s">
        <v>148</v>
      </c>
      <c r="BX641" t="s">
        <v>1382</v>
      </c>
      <c r="BY641">
        <v>40320</v>
      </c>
      <c r="CC641" t="s">
        <v>480</v>
      </c>
      <c r="CD641">
        <v>2163</v>
      </c>
      <c r="CE641" t="s">
        <v>96</v>
      </c>
      <c r="CF641" s="3">
        <v>45790</v>
      </c>
      <c r="CI641">
        <v>1</v>
      </c>
      <c r="CJ641">
        <v>2</v>
      </c>
      <c r="CK641">
        <v>32</v>
      </c>
      <c r="CL641" t="s">
        <v>89</v>
      </c>
    </row>
    <row r="642" spans="1:90" x14ac:dyDescent="0.3">
      <c r="A642" t="s">
        <v>72</v>
      </c>
      <c r="B642" t="s">
        <v>73</v>
      </c>
      <c r="C642" t="s">
        <v>74</v>
      </c>
      <c r="E642" t="str">
        <f>"080065255559"</f>
        <v>080065255559</v>
      </c>
      <c r="F642" s="3">
        <v>45785</v>
      </c>
      <c r="G642">
        <v>202602</v>
      </c>
      <c r="H642" t="s">
        <v>75</v>
      </c>
      <c r="I642" t="s">
        <v>76</v>
      </c>
      <c r="J642" t="s">
        <v>77</v>
      </c>
      <c r="K642" t="s">
        <v>78</v>
      </c>
      <c r="L642" t="s">
        <v>130</v>
      </c>
      <c r="M642" t="s">
        <v>131</v>
      </c>
      <c r="N642" t="s">
        <v>1066</v>
      </c>
      <c r="O642" t="s">
        <v>82</v>
      </c>
      <c r="P642" t="str">
        <f>"4170037450                    "</f>
        <v xml:space="preserve">4170037450                    </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21.38</v>
      </c>
      <c r="AR642">
        <v>0</v>
      </c>
      <c r="AS642">
        <v>0</v>
      </c>
      <c r="AT642">
        <v>0</v>
      </c>
      <c r="AU642">
        <v>0</v>
      </c>
      <c r="AV642">
        <v>0</v>
      </c>
      <c r="AW642">
        <v>0</v>
      </c>
      <c r="AX642">
        <v>0</v>
      </c>
      <c r="AY642">
        <v>0</v>
      </c>
      <c r="AZ642">
        <v>0</v>
      </c>
      <c r="BA642">
        <v>0</v>
      </c>
      <c r="BB642">
        <v>0</v>
      </c>
      <c r="BC642">
        <v>0</v>
      </c>
      <c r="BD642">
        <v>0</v>
      </c>
      <c r="BE642">
        <v>0</v>
      </c>
      <c r="BF642">
        <v>0</v>
      </c>
      <c r="BG642">
        <v>0</v>
      </c>
      <c r="BH642">
        <v>1</v>
      </c>
      <c r="BI642">
        <v>1</v>
      </c>
      <c r="BJ642">
        <v>0.2</v>
      </c>
      <c r="BK642">
        <v>1</v>
      </c>
      <c r="BL642">
        <v>69.98</v>
      </c>
      <c r="BM642">
        <v>10.5</v>
      </c>
      <c r="BN642">
        <v>80.48</v>
      </c>
      <c r="BO642">
        <v>80.48</v>
      </c>
      <c r="BQ642" t="s">
        <v>1067</v>
      </c>
      <c r="BR642" t="s">
        <v>84</v>
      </c>
      <c r="BS642" s="3">
        <v>45786</v>
      </c>
      <c r="BT642" s="4">
        <v>0.40555555555555556</v>
      </c>
      <c r="BU642" t="s">
        <v>1068</v>
      </c>
      <c r="BV642" t="s">
        <v>86</v>
      </c>
      <c r="BY642">
        <v>1200</v>
      </c>
      <c r="CA642" t="s">
        <v>712</v>
      </c>
      <c r="CC642" t="s">
        <v>131</v>
      </c>
      <c r="CD642">
        <v>7561</v>
      </c>
      <c r="CE642" t="s">
        <v>88</v>
      </c>
      <c r="CF642" s="3">
        <v>45789</v>
      </c>
      <c r="CI642">
        <v>1</v>
      </c>
      <c r="CJ642">
        <v>1</v>
      </c>
      <c r="CK642">
        <v>21</v>
      </c>
      <c r="CL642" t="s">
        <v>89</v>
      </c>
    </row>
    <row r="643" spans="1:90" x14ac:dyDescent="0.3">
      <c r="A643" t="s">
        <v>72</v>
      </c>
      <c r="B643" t="s">
        <v>73</v>
      </c>
      <c r="C643" t="s">
        <v>74</v>
      </c>
      <c r="E643" t="str">
        <f>"080065255587"</f>
        <v>080065255587</v>
      </c>
      <c r="F643" s="3">
        <v>45785</v>
      </c>
      <c r="G643">
        <v>202602</v>
      </c>
      <c r="H643" t="s">
        <v>75</v>
      </c>
      <c r="I643" t="s">
        <v>76</v>
      </c>
      <c r="J643" t="s">
        <v>77</v>
      </c>
      <c r="K643" t="s">
        <v>78</v>
      </c>
      <c r="L643" t="s">
        <v>624</v>
      </c>
      <c r="M643" t="s">
        <v>625</v>
      </c>
      <c r="N643" t="s">
        <v>626</v>
      </c>
      <c r="O643" t="s">
        <v>82</v>
      </c>
      <c r="P643" t="str">
        <f>"4170037452                    "</f>
        <v xml:space="preserve">4170037452                    </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41.43</v>
      </c>
      <c r="AR643">
        <v>0</v>
      </c>
      <c r="AS643">
        <v>0</v>
      </c>
      <c r="AT643">
        <v>0</v>
      </c>
      <c r="AU643">
        <v>0</v>
      </c>
      <c r="AV643">
        <v>0</v>
      </c>
      <c r="AW643">
        <v>0</v>
      </c>
      <c r="AX643">
        <v>0</v>
      </c>
      <c r="AY643">
        <v>0</v>
      </c>
      <c r="AZ643">
        <v>0</v>
      </c>
      <c r="BA643">
        <v>0</v>
      </c>
      <c r="BB643">
        <v>0</v>
      </c>
      <c r="BC643">
        <v>0</v>
      </c>
      <c r="BD643">
        <v>0</v>
      </c>
      <c r="BE643">
        <v>0</v>
      </c>
      <c r="BF643">
        <v>0</v>
      </c>
      <c r="BG643">
        <v>0</v>
      </c>
      <c r="BH643">
        <v>1</v>
      </c>
      <c r="BI643">
        <v>1</v>
      </c>
      <c r="BJ643">
        <v>0.2</v>
      </c>
      <c r="BK643">
        <v>1</v>
      </c>
      <c r="BL643">
        <v>135.59</v>
      </c>
      <c r="BM643">
        <v>20.34</v>
      </c>
      <c r="BN643">
        <v>155.93</v>
      </c>
      <c r="BO643">
        <v>155.93</v>
      </c>
      <c r="BQ643" t="s">
        <v>627</v>
      </c>
      <c r="BR643" t="s">
        <v>84</v>
      </c>
      <c r="BS643" s="3">
        <v>45786</v>
      </c>
      <c r="BT643" s="4">
        <v>0.34166666666666667</v>
      </c>
      <c r="BU643" t="s">
        <v>628</v>
      </c>
      <c r="BV643" t="s">
        <v>86</v>
      </c>
      <c r="BY643">
        <v>1200</v>
      </c>
      <c r="CA643" t="s">
        <v>629</v>
      </c>
      <c r="CC643" t="s">
        <v>625</v>
      </c>
      <c r="CD643">
        <v>1947</v>
      </c>
      <c r="CE643" t="s">
        <v>88</v>
      </c>
      <c r="CF643" s="3">
        <v>45789</v>
      </c>
      <c r="CI643">
        <v>1</v>
      </c>
      <c r="CJ643">
        <v>1</v>
      </c>
      <c r="CK643">
        <v>23</v>
      </c>
      <c r="CL643" t="s">
        <v>89</v>
      </c>
    </row>
    <row r="644" spans="1:90" x14ac:dyDescent="0.3">
      <c r="A644" t="s">
        <v>72</v>
      </c>
      <c r="B644" t="s">
        <v>73</v>
      </c>
      <c r="C644" t="s">
        <v>74</v>
      </c>
      <c r="E644" t="str">
        <f>"080065255595"</f>
        <v>080065255595</v>
      </c>
      <c r="F644" s="3">
        <v>45785</v>
      </c>
      <c r="G644">
        <v>202602</v>
      </c>
      <c r="H644" t="s">
        <v>75</v>
      </c>
      <c r="I644" t="s">
        <v>76</v>
      </c>
      <c r="J644" t="s">
        <v>77</v>
      </c>
      <c r="K644" t="s">
        <v>78</v>
      </c>
      <c r="L644" t="s">
        <v>90</v>
      </c>
      <c r="M644" t="s">
        <v>91</v>
      </c>
      <c r="N644" t="s">
        <v>385</v>
      </c>
      <c r="O644" t="s">
        <v>82</v>
      </c>
      <c r="P644" t="str">
        <f>"4170037418                    "</f>
        <v xml:space="preserve">4170037418                    </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21.38</v>
      </c>
      <c r="AR644">
        <v>0</v>
      </c>
      <c r="AS644">
        <v>0</v>
      </c>
      <c r="AT644">
        <v>0</v>
      </c>
      <c r="AU644">
        <v>0</v>
      </c>
      <c r="AV644">
        <v>0</v>
      </c>
      <c r="AW644">
        <v>0</v>
      </c>
      <c r="AX644">
        <v>0</v>
      </c>
      <c r="AY644">
        <v>0</v>
      </c>
      <c r="AZ644">
        <v>0</v>
      </c>
      <c r="BA644">
        <v>0</v>
      </c>
      <c r="BB644">
        <v>0</v>
      </c>
      <c r="BC644">
        <v>0</v>
      </c>
      <c r="BD644">
        <v>0</v>
      </c>
      <c r="BE644">
        <v>0</v>
      </c>
      <c r="BF644">
        <v>0</v>
      </c>
      <c r="BG644">
        <v>0</v>
      </c>
      <c r="BH644">
        <v>1</v>
      </c>
      <c r="BI644">
        <v>1</v>
      </c>
      <c r="BJ644">
        <v>1.1000000000000001</v>
      </c>
      <c r="BK644">
        <v>1.5</v>
      </c>
      <c r="BL644">
        <v>69.98</v>
      </c>
      <c r="BM644">
        <v>10.5</v>
      </c>
      <c r="BN644">
        <v>80.48</v>
      </c>
      <c r="BO644">
        <v>80.48</v>
      </c>
      <c r="BQ644" t="s">
        <v>386</v>
      </c>
      <c r="BR644" t="s">
        <v>84</v>
      </c>
      <c r="BS644" s="3">
        <v>45786</v>
      </c>
      <c r="BT644" s="4">
        <v>0.42430555555555555</v>
      </c>
      <c r="BU644" t="s">
        <v>387</v>
      </c>
      <c r="BV644" t="s">
        <v>86</v>
      </c>
      <c r="BY644">
        <v>5320</v>
      </c>
      <c r="CA644" t="s">
        <v>95</v>
      </c>
      <c r="CC644" t="s">
        <v>91</v>
      </c>
      <c r="CD644">
        <v>6056</v>
      </c>
      <c r="CE644" t="s">
        <v>96</v>
      </c>
      <c r="CF644" s="3">
        <v>45786</v>
      </c>
      <c r="CI644">
        <v>1</v>
      </c>
      <c r="CJ644">
        <v>1</v>
      </c>
      <c r="CK644">
        <v>21</v>
      </c>
      <c r="CL644" t="s">
        <v>89</v>
      </c>
    </row>
    <row r="645" spans="1:90" x14ac:dyDescent="0.3">
      <c r="A645" t="s">
        <v>72</v>
      </c>
      <c r="B645" t="s">
        <v>73</v>
      </c>
      <c r="C645" t="s">
        <v>74</v>
      </c>
      <c r="E645" t="str">
        <f>"080065255623"</f>
        <v>080065255623</v>
      </c>
      <c r="F645" s="3">
        <v>45785</v>
      </c>
      <c r="G645">
        <v>202602</v>
      </c>
      <c r="H645" t="s">
        <v>75</v>
      </c>
      <c r="I645" t="s">
        <v>76</v>
      </c>
      <c r="J645" t="s">
        <v>77</v>
      </c>
      <c r="K645" t="s">
        <v>78</v>
      </c>
      <c r="L645" t="s">
        <v>350</v>
      </c>
      <c r="M645" t="s">
        <v>351</v>
      </c>
      <c r="N645" t="s">
        <v>1383</v>
      </c>
      <c r="O645" t="s">
        <v>82</v>
      </c>
      <c r="P645" t="str">
        <f>"4170037423                    "</f>
        <v xml:space="preserve">4170037423                    </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122.87</v>
      </c>
      <c r="AR645">
        <v>0</v>
      </c>
      <c r="AS645">
        <v>0</v>
      </c>
      <c r="AT645">
        <v>0</v>
      </c>
      <c r="AU645">
        <v>0</v>
      </c>
      <c r="AV645">
        <v>0</v>
      </c>
      <c r="AW645">
        <v>0</v>
      </c>
      <c r="AX645">
        <v>0</v>
      </c>
      <c r="AY645">
        <v>0</v>
      </c>
      <c r="AZ645">
        <v>0</v>
      </c>
      <c r="BA645">
        <v>0</v>
      </c>
      <c r="BB645">
        <v>0</v>
      </c>
      <c r="BC645">
        <v>0</v>
      </c>
      <c r="BD645">
        <v>0</v>
      </c>
      <c r="BE645">
        <v>0</v>
      </c>
      <c r="BF645">
        <v>0</v>
      </c>
      <c r="BG645">
        <v>0</v>
      </c>
      <c r="BH645">
        <v>1</v>
      </c>
      <c r="BI645">
        <v>9</v>
      </c>
      <c r="BJ645">
        <v>11.5</v>
      </c>
      <c r="BK645">
        <v>11.5</v>
      </c>
      <c r="BL645">
        <v>402.13</v>
      </c>
      <c r="BM645">
        <v>60.32</v>
      </c>
      <c r="BN645">
        <v>462.45</v>
      </c>
      <c r="BO645">
        <v>462.45</v>
      </c>
      <c r="BQ645" t="s">
        <v>1384</v>
      </c>
      <c r="BR645" t="s">
        <v>84</v>
      </c>
      <c r="BS645" s="3">
        <v>45789</v>
      </c>
      <c r="BT645" s="4">
        <v>0.32777777777777778</v>
      </c>
      <c r="BU645" t="s">
        <v>433</v>
      </c>
      <c r="BV645" t="s">
        <v>89</v>
      </c>
      <c r="BW645" t="s">
        <v>434</v>
      </c>
      <c r="BX645" t="s">
        <v>435</v>
      </c>
      <c r="BY645">
        <v>57600</v>
      </c>
      <c r="CA645" t="s">
        <v>436</v>
      </c>
      <c r="CC645" t="s">
        <v>351</v>
      </c>
      <c r="CD645">
        <v>4000</v>
      </c>
      <c r="CE645" t="s">
        <v>96</v>
      </c>
      <c r="CF645" s="3">
        <v>45790</v>
      </c>
      <c r="CI645">
        <v>1</v>
      </c>
      <c r="CJ645">
        <v>2</v>
      </c>
      <c r="CK645">
        <v>21</v>
      </c>
      <c r="CL645" t="s">
        <v>89</v>
      </c>
    </row>
    <row r="646" spans="1:90" x14ac:dyDescent="0.3">
      <c r="A646" t="s">
        <v>72</v>
      </c>
      <c r="B646" t="s">
        <v>73</v>
      </c>
      <c r="C646" t="s">
        <v>74</v>
      </c>
      <c r="E646" t="str">
        <f>"080065255639"</f>
        <v>080065255639</v>
      </c>
      <c r="F646" s="3">
        <v>45785</v>
      </c>
      <c r="G646">
        <v>202602</v>
      </c>
      <c r="H646" t="s">
        <v>75</v>
      </c>
      <c r="I646" t="s">
        <v>76</v>
      </c>
      <c r="J646" t="s">
        <v>77</v>
      </c>
      <c r="K646" t="s">
        <v>78</v>
      </c>
      <c r="L646" t="s">
        <v>75</v>
      </c>
      <c r="M646" t="s">
        <v>76</v>
      </c>
      <c r="N646" t="s">
        <v>601</v>
      </c>
      <c r="O646" t="s">
        <v>82</v>
      </c>
      <c r="P646" t="str">
        <f>"4170037409                    "</f>
        <v xml:space="preserve">4170037409                    </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16.7</v>
      </c>
      <c r="AR646">
        <v>0</v>
      </c>
      <c r="AS646">
        <v>0</v>
      </c>
      <c r="AT646">
        <v>0</v>
      </c>
      <c r="AU646">
        <v>0</v>
      </c>
      <c r="AV646">
        <v>0</v>
      </c>
      <c r="AW646">
        <v>0</v>
      </c>
      <c r="AX646">
        <v>0</v>
      </c>
      <c r="AY646">
        <v>0</v>
      </c>
      <c r="AZ646">
        <v>0</v>
      </c>
      <c r="BA646">
        <v>0</v>
      </c>
      <c r="BB646">
        <v>0</v>
      </c>
      <c r="BC646">
        <v>0</v>
      </c>
      <c r="BD646">
        <v>0</v>
      </c>
      <c r="BE646">
        <v>0</v>
      </c>
      <c r="BF646">
        <v>0</v>
      </c>
      <c r="BG646">
        <v>0</v>
      </c>
      <c r="BH646">
        <v>1</v>
      </c>
      <c r="BI646">
        <v>4</v>
      </c>
      <c r="BJ646">
        <v>3.7</v>
      </c>
      <c r="BK646">
        <v>4</v>
      </c>
      <c r="BL646">
        <v>54.66</v>
      </c>
      <c r="BM646">
        <v>8.1999999999999993</v>
      </c>
      <c r="BN646">
        <v>62.86</v>
      </c>
      <c r="BO646">
        <v>62.86</v>
      </c>
      <c r="BQ646" t="s">
        <v>603</v>
      </c>
      <c r="BR646" t="s">
        <v>84</v>
      </c>
      <c r="BS646" s="3">
        <v>45786</v>
      </c>
      <c r="BT646" s="4">
        <v>0.375</v>
      </c>
      <c r="BU646" t="s">
        <v>789</v>
      </c>
      <c r="BV646" t="s">
        <v>86</v>
      </c>
      <c r="BY646">
        <v>18468</v>
      </c>
      <c r="CA646" t="s">
        <v>605</v>
      </c>
      <c r="CC646" t="s">
        <v>76</v>
      </c>
      <c r="CD646">
        <v>1645</v>
      </c>
      <c r="CE646" t="s">
        <v>96</v>
      </c>
      <c r="CF646" s="3">
        <v>45787</v>
      </c>
      <c r="CI646">
        <v>1</v>
      </c>
      <c r="CJ646">
        <v>1</v>
      </c>
      <c r="CK646">
        <v>22</v>
      </c>
      <c r="CL646" t="s">
        <v>89</v>
      </c>
    </row>
    <row r="647" spans="1:90" x14ac:dyDescent="0.3">
      <c r="A647" t="s">
        <v>72</v>
      </c>
      <c r="B647" t="s">
        <v>73</v>
      </c>
      <c r="C647" t="s">
        <v>74</v>
      </c>
      <c r="E647" t="str">
        <f>"080065255661"</f>
        <v>080065255661</v>
      </c>
      <c r="F647" s="3">
        <v>45785</v>
      </c>
      <c r="G647">
        <v>202602</v>
      </c>
      <c r="H647" t="s">
        <v>75</v>
      </c>
      <c r="I647" t="s">
        <v>76</v>
      </c>
      <c r="J647" t="s">
        <v>77</v>
      </c>
      <c r="K647" t="s">
        <v>78</v>
      </c>
      <c r="L647" t="s">
        <v>136</v>
      </c>
      <c r="M647" t="s">
        <v>137</v>
      </c>
      <c r="N647" t="s">
        <v>192</v>
      </c>
      <c r="O647" t="s">
        <v>82</v>
      </c>
      <c r="P647" t="str">
        <f>"4170037430                    "</f>
        <v xml:space="preserve">4170037430                    </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21.38</v>
      </c>
      <c r="AR647">
        <v>0</v>
      </c>
      <c r="AS647">
        <v>0</v>
      </c>
      <c r="AT647">
        <v>0</v>
      </c>
      <c r="AU647">
        <v>0</v>
      </c>
      <c r="AV647">
        <v>0</v>
      </c>
      <c r="AW647">
        <v>0</v>
      </c>
      <c r="AX647">
        <v>0</v>
      </c>
      <c r="AY647">
        <v>0</v>
      </c>
      <c r="AZ647">
        <v>0</v>
      </c>
      <c r="BA647">
        <v>0</v>
      </c>
      <c r="BB647">
        <v>0</v>
      </c>
      <c r="BC647">
        <v>0</v>
      </c>
      <c r="BD647">
        <v>0</v>
      </c>
      <c r="BE647">
        <v>0</v>
      </c>
      <c r="BF647">
        <v>0</v>
      </c>
      <c r="BG647">
        <v>0</v>
      </c>
      <c r="BH647">
        <v>1</v>
      </c>
      <c r="BI647">
        <v>1</v>
      </c>
      <c r="BJ647">
        <v>1.3</v>
      </c>
      <c r="BK647">
        <v>1.5</v>
      </c>
      <c r="BL647">
        <v>69.98</v>
      </c>
      <c r="BM647">
        <v>10.5</v>
      </c>
      <c r="BN647">
        <v>80.48</v>
      </c>
      <c r="BO647">
        <v>80.48</v>
      </c>
      <c r="BQ647" t="s">
        <v>193</v>
      </c>
      <c r="BR647" t="s">
        <v>84</v>
      </c>
      <c r="BS647" s="3">
        <v>45791</v>
      </c>
      <c r="BT647" s="4">
        <v>0.41666666666666669</v>
      </c>
      <c r="BU647" t="s">
        <v>1385</v>
      </c>
      <c r="BV647" t="s">
        <v>89</v>
      </c>
      <c r="BW647" t="s">
        <v>148</v>
      </c>
      <c r="BX647" t="s">
        <v>1386</v>
      </c>
      <c r="BY647">
        <v>6384</v>
      </c>
      <c r="CC647" t="s">
        <v>137</v>
      </c>
      <c r="CD647" s="5" t="s">
        <v>196</v>
      </c>
      <c r="CE647" t="s">
        <v>116</v>
      </c>
      <c r="CF647" s="3">
        <v>45791</v>
      </c>
      <c r="CI647">
        <v>1</v>
      </c>
      <c r="CJ647">
        <v>4</v>
      </c>
      <c r="CK647">
        <v>21</v>
      </c>
      <c r="CL647" t="s">
        <v>89</v>
      </c>
    </row>
    <row r="648" spans="1:90" x14ac:dyDescent="0.3">
      <c r="A648" t="s">
        <v>72</v>
      </c>
      <c r="B648" t="s">
        <v>73</v>
      </c>
      <c r="C648" t="s">
        <v>74</v>
      </c>
      <c r="E648" t="str">
        <f>"080065255703"</f>
        <v>080065255703</v>
      </c>
      <c r="F648" s="3">
        <v>45785</v>
      </c>
      <c r="G648">
        <v>202602</v>
      </c>
      <c r="H648" t="s">
        <v>75</v>
      </c>
      <c r="I648" t="s">
        <v>76</v>
      </c>
      <c r="J648" t="s">
        <v>77</v>
      </c>
      <c r="K648" t="s">
        <v>78</v>
      </c>
      <c r="L648" t="s">
        <v>90</v>
      </c>
      <c r="M648" t="s">
        <v>91</v>
      </c>
      <c r="N648" t="s">
        <v>865</v>
      </c>
      <c r="O648" t="s">
        <v>82</v>
      </c>
      <c r="P648" t="str">
        <f>"4170037416                    "</f>
        <v xml:space="preserve">4170037416                    </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74.8</v>
      </c>
      <c r="AR648">
        <v>0</v>
      </c>
      <c r="AS648">
        <v>0</v>
      </c>
      <c r="AT648">
        <v>0</v>
      </c>
      <c r="AU648">
        <v>0</v>
      </c>
      <c r="AV648">
        <v>0</v>
      </c>
      <c r="AW648">
        <v>0</v>
      </c>
      <c r="AX648">
        <v>0</v>
      </c>
      <c r="AY648">
        <v>0</v>
      </c>
      <c r="AZ648">
        <v>0</v>
      </c>
      <c r="BA648">
        <v>0</v>
      </c>
      <c r="BB648">
        <v>0</v>
      </c>
      <c r="BC648">
        <v>0</v>
      </c>
      <c r="BD648">
        <v>0</v>
      </c>
      <c r="BE648">
        <v>0</v>
      </c>
      <c r="BF648">
        <v>0</v>
      </c>
      <c r="BG648">
        <v>0</v>
      </c>
      <c r="BH648">
        <v>1</v>
      </c>
      <c r="BI648">
        <v>7</v>
      </c>
      <c r="BJ648">
        <v>5.9</v>
      </c>
      <c r="BK648">
        <v>7</v>
      </c>
      <c r="BL648">
        <v>244.8</v>
      </c>
      <c r="BM648">
        <v>36.72</v>
      </c>
      <c r="BN648">
        <v>281.52</v>
      </c>
      <c r="BO648">
        <v>281.52</v>
      </c>
      <c r="BQ648" t="s">
        <v>866</v>
      </c>
      <c r="BR648" t="s">
        <v>84</v>
      </c>
      <c r="BS648" s="3">
        <v>45786</v>
      </c>
      <c r="BT648" s="4">
        <v>0.42986111111111114</v>
      </c>
      <c r="BU648" t="s">
        <v>1387</v>
      </c>
      <c r="BV648" t="s">
        <v>86</v>
      </c>
      <c r="BY648">
        <v>29600</v>
      </c>
      <c r="CA648" t="s">
        <v>298</v>
      </c>
      <c r="CC648" t="s">
        <v>91</v>
      </c>
      <c r="CD648">
        <v>6001</v>
      </c>
      <c r="CE648" t="s">
        <v>96</v>
      </c>
      <c r="CF648" s="3">
        <v>45786</v>
      </c>
      <c r="CI648">
        <v>1</v>
      </c>
      <c r="CJ648">
        <v>1</v>
      </c>
      <c r="CK648">
        <v>21</v>
      </c>
      <c r="CL648" t="s">
        <v>89</v>
      </c>
    </row>
    <row r="649" spans="1:90" x14ac:dyDescent="0.3">
      <c r="A649" t="s">
        <v>72</v>
      </c>
      <c r="B649" t="s">
        <v>73</v>
      </c>
      <c r="C649" t="s">
        <v>74</v>
      </c>
      <c r="E649" t="str">
        <f>"080065255745"</f>
        <v>080065255745</v>
      </c>
      <c r="F649" s="3">
        <v>45785</v>
      </c>
      <c r="G649">
        <v>202602</v>
      </c>
      <c r="H649" t="s">
        <v>75</v>
      </c>
      <c r="I649" t="s">
        <v>76</v>
      </c>
      <c r="J649" t="s">
        <v>77</v>
      </c>
      <c r="K649" t="s">
        <v>78</v>
      </c>
      <c r="L649" t="s">
        <v>130</v>
      </c>
      <c r="M649" t="s">
        <v>131</v>
      </c>
      <c r="N649" t="s">
        <v>865</v>
      </c>
      <c r="O649" t="s">
        <v>82</v>
      </c>
      <c r="P649" t="str">
        <f>"4170037446                    "</f>
        <v xml:space="preserve">4170037446                    </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117.53</v>
      </c>
      <c r="AR649">
        <v>0</v>
      </c>
      <c r="AS649">
        <v>0</v>
      </c>
      <c r="AT649">
        <v>0</v>
      </c>
      <c r="AU649">
        <v>0</v>
      </c>
      <c r="AV649">
        <v>0</v>
      </c>
      <c r="AW649">
        <v>0</v>
      </c>
      <c r="AX649">
        <v>0</v>
      </c>
      <c r="AY649">
        <v>0</v>
      </c>
      <c r="AZ649">
        <v>0</v>
      </c>
      <c r="BA649">
        <v>0</v>
      </c>
      <c r="BB649">
        <v>0</v>
      </c>
      <c r="BC649">
        <v>0</v>
      </c>
      <c r="BD649">
        <v>0</v>
      </c>
      <c r="BE649">
        <v>0</v>
      </c>
      <c r="BF649">
        <v>0</v>
      </c>
      <c r="BG649">
        <v>0</v>
      </c>
      <c r="BH649">
        <v>1</v>
      </c>
      <c r="BI649">
        <v>11</v>
      </c>
      <c r="BJ649">
        <v>9.1999999999999993</v>
      </c>
      <c r="BK649">
        <v>11</v>
      </c>
      <c r="BL649">
        <v>384.65</v>
      </c>
      <c r="BM649">
        <v>57.7</v>
      </c>
      <c r="BN649">
        <v>442.35</v>
      </c>
      <c r="BO649">
        <v>442.35</v>
      </c>
      <c r="BQ649" t="s">
        <v>866</v>
      </c>
      <c r="BR649" t="s">
        <v>84</v>
      </c>
      <c r="BS649" s="3">
        <v>45786</v>
      </c>
      <c r="BT649" s="4">
        <v>0.38611111111111113</v>
      </c>
      <c r="BU649" t="s">
        <v>1388</v>
      </c>
      <c r="BV649" t="s">
        <v>86</v>
      </c>
      <c r="BY649">
        <v>46000</v>
      </c>
      <c r="CA649" t="s">
        <v>429</v>
      </c>
      <c r="CC649" t="s">
        <v>131</v>
      </c>
      <c r="CD649">
        <v>7945</v>
      </c>
      <c r="CE649" t="s">
        <v>96</v>
      </c>
      <c r="CF649" s="3">
        <v>45789</v>
      </c>
      <c r="CI649">
        <v>1</v>
      </c>
      <c r="CJ649">
        <v>1</v>
      </c>
      <c r="CK649">
        <v>21</v>
      </c>
      <c r="CL649" t="s">
        <v>89</v>
      </c>
    </row>
    <row r="650" spans="1:90" x14ac:dyDescent="0.3">
      <c r="A650" t="s">
        <v>72</v>
      </c>
      <c r="B650" t="s">
        <v>73</v>
      </c>
      <c r="C650" t="s">
        <v>74</v>
      </c>
      <c r="E650" t="str">
        <f>"080065255773"</f>
        <v>080065255773</v>
      </c>
      <c r="F650" s="3">
        <v>45785</v>
      </c>
      <c r="G650">
        <v>202602</v>
      </c>
      <c r="H650" t="s">
        <v>75</v>
      </c>
      <c r="I650" t="s">
        <v>76</v>
      </c>
      <c r="J650" t="s">
        <v>77</v>
      </c>
      <c r="K650" t="s">
        <v>78</v>
      </c>
      <c r="L650" t="s">
        <v>463</v>
      </c>
      <c r="M650" t="s">
        <v>464</v>
      </c>
      <c r="N650" t="s">
        <v>1389</v>
      </c>
      <c r="O650" t="s">
        <v>82</v>
      </c>
      <c r="P650" t="str">
        <f>"4170037415                    "</f>
        <v xml:space="preserve">4170037415                    </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37.409999999999997</v>
      </c>
      <c r="AR650">
        <v>0</v>
      </c>
      <c r="AS650">
        <v>0</v>
      </c>
      <c r="AT650">
        <v>0</v>
      </c>
      <c r="AU650">
        <v>0</v>
      </c>
      <c r="AV650">
        <v>0</v>
      </c>
      <c r="AW650">
        <v>0</v>
      </c>
      <c r="AX650">
        <v>0</v>
      </c>
      <c r="AY650">
        <v>0</v>
      </c>
      <c r="AZ650">
        <v>0</v>
      </c>
      <c r="BA650">
        <v>0</v>
      </c>
      <c r="BB650">
        <v>0</v>
      </c>
      <c r="BC650">
        <v>0</v>
      </c>
      <c r="BD650">
        <v>0</v>
      </c>
      <c r="BE650">
        <v>0</v>
      </c>
      <c r="BF650">
        <v>0</v>
      </c>
      <c r="BG650">
        <v>0</v>
      </c>
      <c r="BH650">
        <v>1</v>
      </c>
      <c r="BI650">
        <v>2</v>
      </c>
      <c r="BJ650">
        <v>3.1</v>
      </c>
      <c r="BK650">
        <v>3.5</v>
      </c>
      <c r="BL650">
        <v>122.43</v>
      </c>
      <c r="BM650">
        <v>18.36</v>
      </c>
      <c r="BN650">
        <v>140.79</v>
      </c>
      <c r="BO650">
        <v>140.79</v>
      </c>
      <c r="BQ650" t="s">
        <v>1390</v>
      </c>
      <c r="BR650" t="s">
        <v>84</v>
      </c>
      <c r="BS650" s="3">
        <v>45786</v>
      </c>
      <c r="BT650" s="4">
        <v>0.53055555555555556</v>
      </c>
      <c r="BU650" t="s">
        <v>1391</v>
      </c>
      <c r="BV650" t="s">
        <v>89</v>
      </c>
      <c r="BW650" t="s">
        <v>1392</v>
      </c>
      <c r="BX650" t="s">
        <v>1393</v>
      </c>
      <c r="BY650">
        <v>15360</v>
      </c>
      <c r="CC650" t="s">
        <v>464</v>
      </c>
      <c r="CD650">
        <v>5201</v>
      </c>
      <c r="CE650" t="s">
        <v>96</v>
      </c>
      <c r="CF650" s="3">
        <v>45786</v>
      </c>
      <c r="CI650">
        <v>1</v>
      </c>
      <c r="CJ650">
        <v>1</v>
      </c>
      <c r="CK650">
        <v>21</v>
      </c>
      <c r="CL650" t="s">
        <v>89</v>
      </c>
    </row>
    <row r="651" spans="1:90" x14ac:dyDescent="0.3">
      <c r="A651" t="s">
        <v>72</v>
      </c>
      <c r="B651" t="s">
        <v>73</v>
      </c>
      <c r="C651" t="s">
        <v>74</v>
      </c>
      <c r="E651" t="str">
        <f>"080065255991"</f>
        <v>080065255991</v>
      </c>
      <c r="F651" s="3">
        <v>45785</v>
      </c>
      <c r="G651">
        <v>202602</v>
      </c>
      <c r="H651" t="s">
        <v>75</v>
      </c>
      <c r="I651" t="s">
        <v>76</v>
      </c>
      <c r="J651" t="s">
        <v>77</v>
      </c>
      <c r="K651" t="s">
        <v>78</v>
      </c>
      <c r="L651" t="s">
        <v>117</v>
      </c>
      <c r="M651" t="s">
        <v>118</v>
      </c>
      <c r="N651" t="s">
        <v>1394</v>
      </c>
      <c r="O651" t="s">
        <v>82</v>
      </c>
      <c r="P651" t="str">
        <f>"4170037410                    "</f>
        <v xml:space="preserve">4170037410                    </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16.7</v>
      </c>
      <c r="AR651">
        <v>0</v>
      </c>
      <c r="AS651">
        <v>0</v>
      </c>
      <c r="AT651">
        <v>0</v>
      </c>
      <c r="AU651">
        <v>0</v>
      </c>
      <c r="AV651">
        <v>0</v>
      </c>
      <c r="AW651">
        <v>0</v>
      </c>
      <c r="AX651">
        <v>0</v>
      </c>
      <c r="AY651">
        <v>0</v>
      </c>
      <c r="AZ651">
        <v>0</v>
      </c>
      <c r="BA651">
        <v>0</v>
      </c>
      <c r="BB651">
        <v>0</v>
      </c>
      <c r="BC651">
        <v>0</v>
      </c>
      <c r="BD651">
        <v>0</v>
      </c>
      <c r="BE651">
        <v>0</v>
      </c>
      <c r="BF651">
        <v>0</v>
      </c>
      <c r="BG651">
        <v>0</v>
      </c>
      <c r="BH651">
        <v>1</v>
      </c>
      <c r="BI651">
        <v>1</v>
      </c>
      <c r="BJ651">
        <v>3.1</v>
      </c>
      <c r="BK651">
        <v>4</v>
      </c>
      <c r="BL651">
        <v>54.66</v>
      </c>
      <c r="BM651">
        <v>8.1999999999999993</v>
      </c>
      <c r="BN651">
        <v>62.86</v>
      </c>
      <c r="BO651">
        <v>62.86</v>
      </c>
      <c r="BQ651" t="s">
        <v>1395</v>
      </c>
      <c r="BR651" t="s">
        <v>84</v>
      </c>
      <c r="BS651" s="3">
        <v>45786</v>
      </c>
      <c r="BT651" s="4">
        <v>0.43541666666666667</v>
      </c>
      <c r="BU651" t="s">
        <v>1396</v>
      </c>
      <c r="BV651" t="s">
        <v>86</v>
      </c>
      <c r="BY651">
        <v>15360</v>
      </c>
      <c r="CA651" t="s">
        <v>1397</v>
      </c>
      <c r="CC651" t="s">
        <v>118</v>
      </c>
      <c r="CD651">
        <v>2001</v>
      </c>
      <c r="CE651" t="s">
        <v>96</v>
      </c>
      <c r="CF651" s="3">
        <v>45786</v>
      </c>
      <c r="CI651">
        <v>1</v>
      </c>
      <c r="CJ651">
        <v>1</v>
      </c>
      <c r="CK651">
        <v>22</v>
      </c>
      <c r="CL651" t="s">
        <v>89</v>
      </c>
    </row>
    <row r="652" spans="1:90" x14ac:dyDescent="0.3">
      <c r="A652" t="s">
        <v>72</v>
      </c>
      <c r="B652" t="s">
        <v>73</v>
      </c>
      <c r="C652" t="s">
        <v>74</v>
      </c>
      <c r="E652" t="str">
        <f>"080065256034"</f>
        <v>080065256034</v>
      </c>
      <c r="F652" s="3">
        <v>45785</v>
      </c>
      <c r="G652">
        <v>202602</v>
      </c>
      <c r="H652" t="s">
        <v>75</v>
      </c>
      <c r="I652" t="s">
        <v>76</v>
      </c>
      <c r="J652" t="s">
        <v>77</v>
      </c>
      <c r="K652" t="s">
        <v>78</v>
      </c>
      <c r="L652" t="s">
        <v>624</v>
      </c>
      <c r="M652" t="s">
        <v>625</v>
      </c>
      <c r="N652" t="s">
        <v>626</v>
      </c>
      <c r="O652" t="s">
        <v>82</v>
      </c>
      <c r="P652" t="str">
        <f>"4170037451                    "</f>
        <v xml:space="preserve">4170037451                    </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41.43</v>
      </c>
      <c r="AR652">
        <v>0</v>
      </c>
      <c r="AS652">
        <v>0</v>
      </c>
      <c r="AT652">
        <v>0</v>
      </c>
      <c r="AU652">
        <v>0</v>
      </c>
      <c r="AV652">
        <v>0</v>
      </c>
      <c r="AW652">
        <v>0</v>
      </c>
      <c r="AX652">
        <v>0</v>
      </c>
      <c r="AY652">
        <v>0</v>
      </c>
      <c r="AZ652">
        <v>0</v>
      </c>
      <c r="BA652">
        <v>0</v>
      </c>
      <c r="BB652">
        <v>0</v>
      </c>
      <c r="BC652">
        <v>0</v>
      </c>
      <c r="BD652">
        <v>0</v>
      </c>
      <c r="BE652">
        <v>0</v>
      </c>
      <c r="BF652">
        <v>0</v>
      </c>
      <c r="BG652">
        <v>0</v>
      </c>
      <c r="BH652">
        <v>1</v>
      </c>
      <c r="BI652">
        <v>1</v>
      </c>
      <c r="BJ652">
        <v>0.2</v>
      </c>
      <c r="BK652">
        <v>1</v>
      </c>
      <c r="BL652">
        <v>135.59</v>
      </c>
      <c r="BM652">
        <v>20.34</v>
      </c>
      <c r="BN652">
        <v>155.93</v>
      </c>
      <c r="BO652">
        <v>155.93</v>
      </c>
      <c r="BQ652" t="s">
        <v>627</v>
      </c>
      <c r="BR652" t="s">
        <v>84</v>
      </c>
      <c r="BS652" s="3">
        <v>45786</v>
      </c>
      <c r="BT652" s="4">
        <v>0.34166666666666667</v>
      </c>
      <c r="BU652" t="s">
        <v>628</v>
      </c>
      <c r="BV652" t="s">
        <v>86</v>
      </c>
      <c r="BY652">
        <v>1200</v>
      </c>
      <c r="CA652" t="s">
        <v>629</v>
      </c>
      <c r="CC652" t="s">
        <v>625</v>
      </c>
      <c r="CD652">
        <v>1947</v>
      </c>
      <c r="CE652" t="s">
        <v>88</v>
      </c>
      <c r="CF652" s="3">
        <v>45789</v>
      </c>
      <c r="CI652">
        <v>1</v>
      </c>
      <c r="CJ652">
        <v>1</v>
      </c>
      <c r="CK652">
        <v>23</v>
      </c>
      <c r="CL652" t="s">
        <v>89</v>
      </c>
    </row>
    <row r="653" spans="1:90" x14ac:dyDescent="0.3">
      <c r="A653" t="s">
        <v>72</v>
      </c>
      <c r="B653" t="s">
        <v>73</v>
      </c>
      <c r="C653" t="s">
        <v>74</v>
      </c>
      <c r="E653" t="str">
        <f>"080065256072"</f>
        <v>080065256072</v>
      </c>
      <c r="F653" s="3">
        <v>45785</v>
      </c>
      <c r="G653">
        <v>202602</v>
      </c>
      <c r="H653" t="s">
        <v>75</v>
      </c>
      <c r="I653" t="s">
        <v>76</v>
      </c>
      <c r="J653" t="s">
        <v>77</v>
      </c>
      <c r="K653" t="s">
        <v>78</v>
      </c>
      <c r="L653" t="s">
        <v>103</v>
      </c>
      <c r="M653" t="s">
        <v>104</v>
      </c>
      <c r="N653" t="s">
        <v>1398</v>
      </c>
      <c r="O653" t="s">
        <v>300</v>
      </c>
      <c r="P653" t="str">
        <f>"4170037441                    "</f>
        <v xml:space="preserve">4170037441                    </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55.01</v>
      </c>
      <c r="AR653">
        <v>0</v>
      </c>
      <c r="AS653">
        <v>0</v>
      </c>
      <c r="AT653">
        <v>0</v>
      </c>
      <c r="AU653">
        <v>0</v>
      </c>
      <c r="AV653">
        <v>0</v>
      </c>
      <c r="AW653">
        <v>0</v>
      </c>
      <c r="AX653">
        <v>0</v>
      </c>
      <c r="AY653">
        <v>0</v>
      </c>
      <c r="AZ653">
        <v>0</v>
      </c>
      <c r="BA653">
        <v>0</v>
      </c>
      <c r="BB653">
        <v>0</v>
      </c>
      <c r="BC653">
        <v>0</v>
      </c>
      <c r="BD653">
        <v>0</v>
      </c>
      <c r="BE653">
        <v>0</v>
      </c>
      <c r="BF653">
        <v>0</v>
      </c>
      <c r="BG653">
        <v>0</v>
      </c>
      <c r="BH653">
        <v>1</v>
      </c>
      <c r="BI653">
        <v>23</v>
      </c>
      <c r="BJ653">
        <v>15.3</v>
      </c>
      <c r="BK653">
        <v>23</v>
      </c>
      <c r="BL653">
        <v>185.6</v>
      </c>
      <c r="BM653">
        <v>27.84</v>
      </c>
      <c r="BN653">
        <v>213.44</v>
      </c>
      <c r="BO653">
        <v>213.44</v>
      </c>
      <c r="BQ653" t="s">
        <v>1399</v>
      </c>
      <c r="BR653" t="s">
        <v>84</v>
      </c>
      <c r="BS653" s="3">
        <v>45786</v>
      </c>
      <c r="BT653" s="4">
        <v>0.61944444444444446</v>
      </c>
      <c r="BU653" t="s">
        <v>1400</v>
      </c>
      <c r="BV653" t="s">
        <v>86</v>
      </c>
      <c r="BY653">
        <v>76380</v>
      </c>
      <c r="CA653" t="s">
        <v>860</v>
      </c>
      <c r="CC653" t="s">
        <v>104</v>
      </c>
      <c r="CD653">
        <v>3680</v>
      </c>
      <c r="CE653" t="s">
        <v>550</v>
      </c>
      <c r="CF653" s="3">
        <v>45787</v>
      </c>
      <c r="CI653">
        <v>2</v>
      </c>
      <c r="CJ653">
        <v>1</v>
      </c>
      <c r="CK653">
        <v>41</v>
      </c>
      <c r="CL653" t="s">
        <v>89</v>
      </c>
    </row>
    <row r="654" spans="1:90" x14ac:dyDescent="0.3">
      <c r="A654" t="s">
        <v>72</v>
      </c>
      <c r="B654" t="s">
        <v>73</v>
      </c>
      <c r="C654" t="s">
        <v>74</v>
      </c>
      <c r="E654" t="str">
        <f>"080065256243"</f>
        <v>080065256243</v>
      </c>
      <c r="F654" s="3">
        <v>45785</v>
      </c>
      <c r="G654">
        <v>202602</v>
      </c>
      <c r="H654" t="s">
        <v>75</v>
      </c>
      <c r="I654" t="s">
        <v>76</v>
      </c>
      <c r="J654" t="s">
        <v>77</v>
      </c>
      <c r="K654" t="s">
        <v>78</v>
      </c>
      <c r="L654" t="s">
        <v>90</v>
      </c>
      <c r="M654" t="s">
        <v>91</v>
      </c>
      <c r="N654" t="s">
        <v>385</v>
      </c>
      <c r="O654" t="s">
        <v>82</v>
      </c>
      <c r="P654" t="str">
        <f>"4170037417                    "</f>
        <v xml:space="preserve">4170037417                    </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21.38</v>
      </c>
      <c r="AR654">
        <v>0</v>
      </c>
      <c r="AS654">
        <v>0</v>
      </c>
      <c r="AT654">
        <v>0</v>
      </c>
      <c r="AU654">
        <v>0</v>
      </c>
      <c r="AV654">
        <v>0</v>
      </c>
      <c r="AW654">
        <v>0</v>
      </c>
      <c r="AX654">
        <v>0</v>
      </c>
      <c r="AY654">
        <v>0</v>
      </c>
      <c r="AZ654">
        <v>0</v>
      </c>
      <c r="BA654">
        <v>0</v>
      </c>
      <c r="BB654">
        <v>0</v>
      </c>
      <c r="BC654">
        <v>0</v>
      </c>
      <c r="BD654">
        <v>0</v>
      </c>
      <c r="BE654">
        <v>0</v>
      </c>
      <c r="BF654">
        <v>0</v>
      </c>
      <c r="BG654">
        <v>0</v>
      </c>
      <c r="BH654">
        <v>1</v>
      </c>
      <c r="BI654">
        <v>1</v>
      </c>
      <c r="BJ654">
        <v>1.3</v>
      </c>
      <c r="BK654">
        <v>1.5</v>
      </c>
      <c r="BL654">
        <v>69.98</v>
      </c>
      <c r="BM654">
        <v>10.5</v>
      </c>
      <c r="BN654">
        <v>80.48</v>
      </c>
      <c r="BO654">
        <v>80.48</v>
      </c>
      <c r="BQ654" t="s">
        <v>386</v>
      </c>
      <c r="BR654" t="s">
        <v>84</v>
      </c>
      <c r="BS654" s="3">
        <v>45786</v>
      </c>
      <c r="BT654" s="4">
        <v>0.42430555555555555</v>
      </c>
      <c r="BU654" t="s">
        <v>387</v>
      </c>
      <c r="BV654" t="s">
        <v>86</v>
      </c>
      <c r="BY654">
        <v>6384</v>
      </c>
      <c r="CA654" t="s">
        <v>95</v>
      </c>
      <c r="CC654" t="s">
        <v>91</v>
      </c>
      <c r="CD654">
        <v>6056</v>
      </c>
      <c r="CE654" t="s">
        <v>116</v>
      </c>
      <c r="CF654" s="3">
        <v>45786</v>
      </c>
      <c r="CI654">
        <v>1</v>
      </c>
      <c r="CJ654">
        <v>1</v>
      </c>
      <c r="CK654">
        <v>21</v>
      </c>
      <c r="CL654" t="s">
        <v>89</v>
      </c>
    </row>
    <row r="655" spans="1:90" x14ac:dyDescent="0.3">
      <c r="A655" t="s">
        <v>72</v>
      </c>
      <c r="B655" t="s">
        <v>73</v>
      </c>
      <c r="C655" t="s">
        <v>74</v>
      </c>
      <c r="E655" t="str">
        <f>"080065256264"</f>
        <v>080065256264</v>
      </c>
      <c r="F655" s="3">
        <v>45785</v>
      </c>
      <c r="G655">
        <v>202602</v>
      </c>
      <c r="H655" t="s">
        <v>75</v>
      </c>
      <c r="I655" t="s">
        <v>76</v>
      </c>
      <c r="J655" t="s">
        <v>77</v>
      </c>
      <c r="K655" t="s">
        <v>78</v>
      </c>
      <c r="L655" t="s">
        <v>90</v>
      </c>
      <c r="M655" t="s">
        <v>91</v>
      </c>
      <c r="N655" t="s">
        <v>385</v>
      </c>
      <c r="O655" t="s">
        <v>82</v>
      </c>
      <c r="P655" t="str">
        <f>"4170037420                    "</f>
        <v xml:space="preserve">4170037420                    </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21.38</v>
      </c>
      <c r="AR655">
        <v>0</v>
      </c>
      <c r="AS655">
        <v>0</v>
      </c>
      <c r="AT655">
        <v>0</v>
      </c>
      <c r="AU655">
        <v>0</v>
      </c>
      <c r="AV655">
        <v>0</v>
      </c>
      <c r="AW655">
        <v>0</v>
      </c>
      <c r="AX655">
        <v>0</v>
      </c>
      <c r="AY655">
        <v>0</v>
      </c>
      <c r="AZ655">
        <v>0</v>
      </c>
      <c r="BA655">
        <v>0</v>
      </c>
      <c r="BB655">
        <v>0</v>
      </c>
      <c r="BC655">
        <v>0</v>
      </c>
      <c r="BD655">
        <v>0</v>
      </c>
      <c r="BE655">
        <v>0</v>
      </c>
      <c r="BF655">
        <v>0</v>
      </c>
      <c r="BG655">
        <v>0</v>
      </c>
      <c r="BH655">
        <v>1</v>
      </c>
      <c r="BI655">
        <v>1</v>
      </c>
      <c r="BJ655">
        <v>1.3</v>
      </c>
      <c r="BK655">
        <v>1.5</v>
      </c>
      <c r="BL655">
        <v>69.98</v>
      </c>
      <c r="BM655">
        <v>10.5</v>
      </c>
      <c r="BN655">
        <v>80.48</v>
      </c>
      <c r="BO655">
        <v>80.48</v>
      </c>
      <c r="BQ655" t="s">
        <v>386</v>
      </c>
      <c r="BR655" t="s">
        <v>84</v>
      </c>
      <c r="BS655" s="3">
        <v>45786</v>
      </c>
      <c r="BT655" s="4">
        <v>0.42430555555555555</v>
      </c>
      <c r="BU655" t="s">
        <v>387</v>
      </c>
      <c r="BV655" t="s">
        <v>86</v>
      </c>
      <c r="BY655">
        <v>6384</v>
      </c>
      <c r="CA655" t="s">
        <v>95</v>
      </c>
      <c r="CC655" t="s">
        <v>91</v>
      </c>
      <c r="CD655">
        <v>6056</v>
      </c>
      <c r="CE655" t="s">
        <v>116</v>
      </c>
      <c r="CF655" s="3">
        <v>45786</v>
      </c>
      <c r="CI655">
        <v>1</v>
      </c>
      <c r="CJ655">
        <v>1</v>
      </c>
      <c r="CK655">
        <v>21</v>
      </c>
      <c r="CL655" t="s">
        <v>89</v>
      </c>
    </row>
    <row r="656" spans="1:90" x14ac:dyDescent="0.3">
      <c r="A656" t="s">
        <v>72</v>
      </c>
      <c r="B656" t="s">
        <v>73</v>
      </c>
      <c r="C656" t="s">
        <v>74</v>
      </c>
      <c r="E656" t="str">
        <f>"080065256300"</f>
        <v>080065256300</v>
      </c>
      <c r="F656" s="3">
        <v>45785</v>
      </c>
      <c r="G656">
        <v>202602</v>
      </c>
      <c r="H656" t="s">
        <v>75</v>
      </c>
      <c r="I656" t="s">
        <v>76</v>
      </c>
      <c r="J656" t="s">
        <v>77</v>
      </c>
      <c r="K656" t="s">
        <v>78</v>
      </c>
      <c r="L656" t="s">
        <v>117</v>
      </c>
      <c r="M656" t="s">
        <v>118</v>
      </c>
      <c r="N656" t="s">
        <v>1160</v>
      </c>
      <c r="O656" t="s">
        <v>82</v>
      </c>
      <c r="P656" t="str">
        <f>"4170037455                    "</f>
        <v xml:space="preserve">4170037455                    </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16.7</v>
      </c>
      <c r="AR656">
        <v>0</v>
      </c>
      <c r="AS656">
        <v>0</v>
      </c>
      <c r="AT656">
        <v>0</v>
      </c>
      <c r="AU656">
        <v>0</v>
      </c>
      <c r="AV656">
        <v>0</v>
      </c>
      <c r="AW656">
        <v>0</v>
      </c>
      <c r="AX656">
        <v>0</v>
      </c>
      <c r="AY656">
        <v>0</v>
      </c>
      <c r="AZ656">
        <v>0</v>
      </c>
      <c r="BA656">
        <v>0</v>
      </c>
      <c r="BB656">
        <v>0</v>
      </c>
      <c r="BC656">
        <v>0</v>
      </c>
      <c r="BD656">
        <v>0</v>
      </c>
      <c r="BE656">
        <v>0</v>
      </c>
      <c r="BF656">
        <v>0</v>
      </c>
      <c r="BG656">
        <v>0</v>
      </c>
      <c r="BH656">
        <v>1</v>
      </c>
      <c r="BI656">
        <v>1</v>
      </c>
      <c r="BJ656">
        <v>0.2</v>
      </c>
      <c r="BK656">
        <v>1</v>
      </c>
      <c r="BL656">
        <v>54.66</v>
      </c>
      <c r="BM656">
        <v>8.1999999999999993</v>
      </c>
      <c r="BN656">
        <v>62.86</v>
      </c>
      <c r="BO656">
        <v>62.86</v>
      </c>
      <c r="BQ656" t="s">
        <v>1161</v>
      </c>
      <c r="BR656" t="s">
        <v>84</v>
      </c>
      <c r="BS656" s="3">
        <v>45786</v>
      </c>
      <c r="BT656" s="4">
        <v>0.3611111111111111</v>
      </c>
      <c r="BU656" t="s">
        <v>1162</v>
      </c>
      <c r="BV656" t="s">
        <v>86</v>
      </c>
      <c r="BY656">
        <v>1200</v>
      </c>
      <c r="CA656" t="s">
        <v>535</v>
      </c>
      <c r="CC656" t="s">
        <v>118</v>
      </c>
      <c r="CD656">
        <v>2094</v>
      </c>
      <c r="CE656" t="s">
        <v>88</v>
      </c>
      <c r="CF656" s="3">
        <v>45786</v>
      </c>
      <c r="CI656">
        <v>1</v>
      </c>
      <c r="CJ656">
        <v>1</v>
      </c>
      <c r="CK656">
        <v>22</v>
      </c>
      <c r="CL656" t="s">
        <v>89</v>
      </c>
    </row>
    <row r="657" spans="1:91" x14ac:dyDescent="0.3">
      <c r="A657" t="s">
        <v>72</v>
      </c>
      <c r="B657" t="s">
        <v>73</v>
      </c>
      <c r="C657" t="s">
        <v>74</v>
      </c>
      <c r="E657" t="str">
        <f>"080065256383"</f>
        <v>080065256383</v>
      </c>
      <c r="F657" s="3">
        <v>45785</v>
      </c>
      <c r="G657">
        <v>202602</v>
      </c>
      <c r="H657" t="s">
        <v>75</v>
      </c>
      <c r="I657" t="s">
        <v>76</v>
      </c>
      <c r="J657" t="s">
        <v>77</v>
      </c>
      <c r="K657" t="s">
        <v>78</v>
      </c>
      <c r="L657" t="s">
        <v>479</v>
      </c>
      <c r="M657" t="s">
        <v>480</v>
      </c>
      <c r="N657" t="s">
        <v>1401</v>
      </c>
      <c r="O657" t="s">
        <v>82</v>
      </c>
      <c r="P657" t="str">
        <f>"4170037407                    "</f>
        <v xml:space="preserve">4170037407                    </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16.7</v>
      </c>
      <c r="AR657">
        <v>0</v>
      </c>
      <c r="AS657">
        <v>0</v>
      </c>
      <c r="AT657">
        <v>0</v>
      </c>
      <c r="AU657">
        <v>0</v>
      </c>
      <c r="AV657">
        <v>0</v>
      </c>
      <c r="AW657">
        <v>0</v>
      </c>
      <c r="AX657">
        <v>0</v>
      </c>
      <c r="AY657">
        <v>0</v>
      </c>
      <c r="AZ657">
        <v>0</v>
      </c>
      <c r="BA657">
        <v>0</v>
      </c>
      <c r="BB657">
        <v>0</v>
      </c>
      <c r="BC657">
        <v>0</v>
      </c>
      <c r="BD657">
        <v>0</v>
      </c>
      <c r="BE657">
        <v>0</v>
      </c>
      <c r="BF657">
        <v>0</v>
      </c>
      <c r="BG657">
        <v>0</v>
      </c>
      <c r="BH657">
        <v>1</v>
      </c>
      <c r="BI657">
        <v>3</v>
      </c>
      <c r="BJ657">
        <v>4.5</v>
      </c>
      <c r="BK657">
        <v>5</v>
      </c>
      <c r="BL657">
        <v>54.66</v>
      </c>
      <c r="BM657">
        <v>8.1999999999999993</v>
      </c>
      <c r="BN657">
        <v>62.86</v>
      </c>
      <c r="BO657">
        <v>62.86</v>
      </c>
      <c r="BQ657" t="s">
        <v>1402</v>
      </c>
      <c r="BR657" t="s">
        <v>84</v>
      </c>
      <c r="BS657" s="3">
        <v>45786</v>
      </c>
      <c r="BT657" s="4">
        <v>0.43611111111111112</v>
      </c>
      <c r="BU657" t="s">
        <v>1403</v>
      </c>
      <c r="BV657" t="s">
        <v>86</v>
      </c>
      <c r="BY657">
        <v>22620</v>
      </c>
      <c r="CA657" t="s">
        <v>796</v>
      </c>
      <c r="CC657" t="s">
        <v>480</v>
      </c>
      <c r="CD657">
        <v>2163</v>
      </c>
      <c r="CE657" t="s">
        <v>96</v>
      </c>
      <c r="CF657" s="3">
        <v>45787</v>
      </c>
      <c r="CI657">
        <v>1</v>
      </c>
      <c r="CJ657">
        <v>1</v>
      </c>
      <c r="CK657">
        <v>22</v>
      </c>
      <c r="CL657" t="s">
        <v>89</v>
      </c>
    </row>
    <row r="658" spans="1:91" x14ac:dyDescent="0.3">
      <c r="A658" t="s">
        <v>72</v>
      </c>
      <c r="B658" t="s">
        <v>73</v>
      </c>
      <c r="C658" t="s">
        <v>74</v>
      </c>
      <c r="E658" t="str">
        <f>"080065256398"</f>
        <v>080065256398</v>
      </c>
      <c r="F658" s="3">
        <v>45785</v>
      </c>
      <c r="G658">
        <v>202602</v>
      </c>
      <c r="H658" t="s">
        <v>75</v>
      </c>
      <c r="I658" t="s">
        <v>76</v>
      </c>
      <c r="J658" t="s">
        <v>77</v>
      </c>
      <c r="K658" t="s">
        <v>78</v>
      </c>
      <c r="L658" t="s">
        <v>215</v>
      </c>
      <c r="M658" t="s">
        <v>216</v>
      </c>
      <c r="N658" t="s">
        <v>217</v>
      </c>
      <c r="O658" t="s">
        <v>82</v>
      </c>
      <c r="P658" t="str">
        <f>"4170037413                    "</f>
        <v xml:space="preserve">4170037413                    </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69.489999999999995</v>
      </c>
      <c r="AR658">
        <v>0</v>
      </c>
      <c r="AS658">
        <v>0</v>
      </c>
      <c r="AT658">
        <v>0</v>
      </c>
      <c r="AU658">
        <v>0</v>
      </c>
      <c r="AV658">
        <v>0</v>
      </c>
      <c r="AW658">
        <v>0</v>
      </c>
      <c r="AX658">
        <v>0</v>
      </c>
      <c r="AY658">
        <v>0</v>
      </c>
      <c r="AZ658">
        <v>0</v>
      </c>
      <c r="BA658">
        <v>0</v>
      </c>
      <c r="BB658">
        <v>0</v>
      </c>
      <c r="BC658">
        <v>0</v>
      </c>
      <c r="BD658">
        <v>0</v>
      </c>
      <c r="BE658">
        <v>0</v>
      </c>
      <c r="BF658">
        <v>0</v>
      </c>
      <c r="BG658">
        <v>0</v>
      </c>
      <c r="BH658">
        <v>1</v>
      </c>
      <c r="BI658">
        <v>3</v>
      </c>
      <c r="BJ658">
        <v>3.1</v>
      </c>
      <c r="BK658">
        <v>3.5</v>
      </c>
      <c r="BL658">
        <v>227.43</v>
      </c>
      <c r="BM658">
        <v>34.11</v>
      </c>
      <c r="BN658">
        <v>261.54000000000002</v>
      </c>
      <c r="BO658">
        <v>261.54000000000002</v>
      </c>
      <c r="BQ658" t="s">
        <v>218</v>
      </c>
      <c r="BR658" t="s">
        <v>84</v>
      </c>
      <c r="BS658" s="3">
        <v>45786</v>
      </c>
      <c r="BT658" s="4">
        <v>0.3888888888888889</v>
      </c>
      <c r="BU658" t="s">
        <v>219</v>
      </c>
      <c r="BV658" t="s">
        <v>86</v>
      </c>
      <c r="BY658">
        <v>15360</v>
      </c>
      <c r="CA658" t="s">
        <v>220</v>
      </c>
      <c r="CC658" t="s">
        <v>216</v>
      </c>
      <c r="CD658">
        <v>4449</v>
      </c>
      <c r="CE658" t="s">
        <v>96</v>
      </c>
      <c r="CF658" s="3">
        <v>45789</v>
      </c>
      <c r="CI658">
        <v>1</v>
      </c>
      <c r="CJ658">
        <v>1</v>
      </c>
      <c r="CK658">
        <v>23</v>
      </c>
      <c r="CL658" t="s">
        <v>89</v>
      </c>
    </row>
    <row r="659" spans="1:91" x14ac:dyDescent="0.3">
      <c r="A659" t="s">
        <v>72</v>
      </c>
      <c r="B659" t="s">
        <v>73</v>
      </c>
      <c r="C659" t="s">
        <v>74</v>
      </c>
      <c r="E659" t="str">
        <f>"080065256459"</f>
        <v>080065256459</v>
      </c>
      <c r="F659" s="3">
        <v>45785</v>
      </c>
      <c r="G659">
        <v>202602</v>
      </c>
      <c r="H659" t="s">
        <v>75</v>
      </c>
      <c r="I659" t="s">
        <v>76</v>
      </c>
      <c r="J659" t="s">
        <v>77</v>
      </c>
      <c r="K659" t="s">
        <v>78</v>
      </c>
      <c r="L659" t="s">
        <v>75</v>
      </c>
      <c r="M659" t="s">
        <v>76</v>
      </c>
      <c r="N659" t="s">
        <v>1404</v>
      </c>
      <c r="O659" t="s">
        <v>82</v>
      </c>
      <c r="P659" t="str">
        <f>"4170037456                    "</f>
        <v xml:space="preserve">4170037456                    </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16.7</v>
      </c>
      <c r="AR659">
        <v>0</v>
      </c>
      <c r="AS659">
        <v>0</v>
      </c>
      <c r="AT659">
        <v>0</v>
      </c>
      <c r="AU659">
        <v>0</v>
      </c>
      <c r="AV659">
        <v>0</v>
      </c>
      <c r="AW659">
        <v>0</v>
      </c>
      <c r="AX659">
        <v>0</v>
      </c>
      <c r="AY659">
        <v>0</v>
      </c>
      <c r="AZ659">
        <v>0</v>
      </c>
      <c r="BA659">
        <v>0</v>
      </c>
      <c r="BB659">
        <v>0</v>
      </c>
      <c r="BC659">
        <v>0</v>
      </c>
      <c r="BD659">
        <v>0</v>
      </c>
      <c r="BE659">
        <v>0</v>
      </c>
      <c r="BF659">
        <v>0</v>
      </c>
      <c r="BG659">
        <v>0</v>
      </c>
      <c r="BH659">
        <v>1</v>
      </c>
      <c r="BI659">
        <v>1</v>
      </c>
      <c r="BJ659">
        <v>0.2</v>
      </c>
      <c r="BK659">
        <v>1</v>
      </c>
      <c r="BL659">
        <v>54.66</v>
      </c>
      <c r="BM659">
        <v>8.1999999999999993</v>
      </c>
      <c r="BN659">
        <v>62.86</v>
      </c>
      <c r="BO659">
        <v>62.86</v>
      </c>
      <c r="BQ659" t="s">
        <v>1405</v>
      </c>
      <c r="BR659" t="s">
        <v>84</v>
      </c>
      <c r="BS659" s="3">
        <v>45786</v>
      </c>
      <c r="BT659" s="4">
        <v>0.40833333333333333</v>
      </c>
      <c r="BU659" t="s">
        <v>1351</v>
      </c>
      <c r="BV659" t="s">
        <v>86</v>
      </c>
      <c r="BY659">
        <v>1200</v>
      </c>
      <c r="CA659" t="s">
        <v>484</v>
      </c>
      <c r="CC659" t="s">
        <v>76</v>
      </c>
      <c r="CD659">
        <v>1601</v>
      </c>
      <c r="CE659" t="s">
        <v>88</v>
      </c>
      <c r="CF659" s="3">
        <v>45787</v>
      </c>
      <c r="CI659">
        <v>1</v>
      </c>
      <c r="CJ659">
        <v>1</v>
      </c>
      <c r="CK659">
        <v>22</v>
      </c>
      <c r="CL659" t="s">
        <v>89</v>
      </c>
    </row>
    <row r="660" spans="1:91" x14ac:dyDescent="0.3">
      <c r="A660" t="s">
        <v>72</v>
      </c>
      <c r="B660" t="s">
        <v>73</v>
      </c>
      <c r="C660" t="s">
        <v>74</v>
      </c>
      <c r="E660" t="str">
        <f>"080065256504"</f>
        <v>080065256504</v>
      </c>
      <c r="F660" s="3">
        <v>45785</v>
      </c>
      <c r="G660">
        <v>202602</v>
      </c>
      <c r="H660" t="s">
        <v>75</v>
      </c>
      <c r="I660" t="s">
        <v>76</v>
      </c>
      <c r="J660" t="s">
        <v>77</v>
      </c>
      <c r="K660" t="s">
        <v>78</v>
      </c>
      <c r="L660" t="s">
        <v>130</v>
      </c>
      <c r="M660" t="s">
        <v>131</v>
      </c>
      <c r="N660" t="s">
        <v>1406</v>
      </c>
      <c r="O660" t="s">
        <v>82</v>
      </c>
      <c r="P660" t="str">
        <f>"4170037447                    "</f>
        <v xml:space="preserve">4170037447                    </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96.17</v>
      </c>
      <c r="AR660">
        <v>0</v>
      </c>
      <c r="AS660">
        <v>0</v>
      </c>
      <c r="AT660">
        <v>0</v>
      </c>
      <c r="AU660">
        <v>0</v>
      </c>
      <c r="AV660">
        <v>0</v>
      </c>
      <c r="AW660">
        <v>0</v>
      </c>
      <c r="AX660">
        <v>0</v>
      </c>
      <c r="AY660">
        <v>0</v>
      </c>
      <c r="AZ660">
        <v>0</v>
      </c>
      <c r="BA660">
        <v>0</v>
      </c>
      <c r="BB660">
        <v>0</v>
      </c>
      <c r="BC660">
        <v>0</v>
      </c>
      <c r="BD660">
        <v>0</v>
      </c>
      <c r="BE660">
        <v>0</v>
      </c>
      <c r="BF660">
        <v>0</v>
      </c>
      <c r="BG660">
        <v>0</v>
      </c>
      <c r="BH660">
        <v>1</v>
      </c>
      <c r="BI660">
        <v>3</v>
      </c>
      <c r="BJ660">
        <v>8.9</v>
      </c>
      <c r="BK660">
        <v>9</v>
      </c>
      <c r="BL660">
        <v>314.73</v>
      </c>
      <c r="BM660">
        <v>47.21</v>
      </c>
      <c r="BN660">
        <v>361.94</v>
      </c>
      <c r="BO660">
        <v>361.94</v>
      </c>
      <c r="BQ660" t="s">
        <v>1407</v>
      </c>
      <c r="BR660" t="s">
        <v>84</v>
      </c>
      <c r="BS660" s="3">
        <v>45789</v>
      </c>
      <c r="BT660" s="4">
        <v>0.56805555555555554</v>
      </c>
      <c r="BU660" t="s">
        <v>1408</v>
      </c>
      <c r="BV660" t="s">
        <v>89</v>
      </c>
      <c r="BW660" t="s">
        <v>148</v>
      </c>
      <c r="BX660" t="s">
        <v>1224</v>
      </c>
      <c r="BY660">
        <v>44640</v>
      </c>
      <c r="CC660" t="s">
        <v>131</v>
      </c>
      <c r="CD660">
        <v>7925</v>
      </c>
      <c r="CE660" t="s">
        <v>96</v>
      </c>
      <c r="CF660" s="3">
        <v>45790</v>
      </c>
      <c r="CI660">
        <v>1</v>
      </c>
      <c r="CJ660">
        <v>2</v>
      </c>
      <c r="CK660">
        <v>21</v>
      </c>
      <c r="CL660" t="s">
        <v>89</v>
      </c>
    </row>
    <row r="661" spans="1:91" x14ac:dyDescent="0.3">
      <c r="A661" t="s">
        <v>72</v>
      </c>
      <c r="B661" t="s">
        <v>73</v>
      </c>
      <c r="C661" t="s">
        <v>74</v>
      </c>
      <c r="E661" t="str">
        <f>"080065256691"</f>
        <v>080065256691</v>
      </c>
      <c r="F661" s="3">
        <v>45785</v>
      </c>
      <c r="G661">
        <v>202602</v>
      </c>
      <c r="H661" t="s">
        <v>75</v>
      </c>
      <c r="I661" t="s">
        <v>76</v>
      </c>
      <c r="J661" t="s">
        <v>77</v>
      </c>
      <c r="K661" t="s">
        <v>78</v>
      </c>
      <c r="L661" t="s">
        <v>350</v>
      </c>
      <c r="M661" t="s">
        <v>351</v>
      </c>
      <c r="N661" t="s">
        <v>876</v>
      </c>
      <c r="O661" t="s">
        <v>82</v>
      </c>
      <c r="P661" t="str">
        <f>"4170037424                    "</f>
        <v xml:space="preserve">4170037424                    </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85.48</v>
      </c>
      <c r="AR661">
        <v>0</v>
      </c>
      <c r="AS661">
        <v>0</v>
      </c>
      <c r="AT661">
        <v>0</v>
      </c>
      <c r="AU661">
        <v>0</v>
      </c>
      <c r="AV661">
        <v>0</v>
      </c>
      <c r="AW661">
        <v>0</v>
      </c>
      <c r="AX661">
        <v>0</v>
      </c>
      <c r="AY661">
        <v>0</v>
      </c>
      <c r="AZ661">
        <v>0</v>
      </c>
      <c r="BA661">
        <v>0</v>
      </c>
      <c r="BB661">
        <v>0</v>
      </c>
      <c r="BC661">
        <v>0</v>
      </c>
      <c r="BD661">
        <v>0</v>
      </c>
      <c r="BE661">
        <v>0</v>
      </c>
      <c r="BF661">
        <v>0</v>
      </c>
      <c r="BG661">
        <v>0</v>
      </c>
      <c r="BH661">
        <v>2</v>
      </c>
      <c r="BI661">
        <v>8</v>
      </c>
      <c r="BJ661">
        <v>4.5</v>
      </c>
      <c r="BK661">
        <v>8</v>
      </c>
      <c r="BL661">
        <v>279.76</v>
      </c>
      <c r="BM661">
        <v>41.96</v>
      </c>
      <c r="BN661">
        <v>321.72000000000003</v>
      </c>
      <c r="BO661">
        <v>321.72000000000003</v>
      </c>
      <c r="BQ661" t="s">
        <v>1409</v>
      </c>
      <c r="BR661" t="s">
        <v>84</v>
      </c>
      <c r="BS661" s="3">
        <v>45786</v>
      </c>
      <c r="BT661" s="4">
        <v>0.40625</v>
      </c>
      <c r="BU661" t="s">
        <v>1155</v>
      </c>
      <c r="BV661" t="s">
        <v>86</v>
      </c>
      <c r="BY661">
        <v>22360</v>
      </c>
      <c r="CA661" t="s">
        <v>1410</v>
      </c>
      <c r="CC661" t="s">
        <v>351</v>
      </c>
      <c r="CD661">
        <v>4001</v>
      </c>
      <c r="CE661" t="s">
        <v>116</v>
      </c>
      <c r="CF661" s="3">
        <v>45789</v>
      </c>
      <c r="CI661">
        <v>1</v>
      </c>
      <c r="CJ661">
        <v>1</v>
      </c>
      <c r="CK661">
        <v>21</v>
      </c>
      <c r="CL661" t="s">
        <v>89</v>
      </c>
    </row>
    <row r="662" spans="1:91" x14ac:dyDescent="0.3">
      <c r="A662" t="s">
        <v>72</v>
      </c>
      <c r="B662" t="s">
        <v>73</v>
      </c>
      <c r="C662" t="s">
        <v>74</v>
      </c>
      <c r="E662" t="str">
        <f>"080065256722"</f>
        <v>080065256722</v>
      </c>
      <c r="F662" s="3">
        <v>45785</v>
      </c>
      <c r="G662">
        <v>202602</v>
      </c>
      <c r="H662" t="s">
        <v>75</v>
      </c>
      <c r="I662" t="s">
        <v>76</v>
      </c>
      <c r="J662" t="s">
        <v>77</v>
      </c>
      <c r="K662" t="s">
        <v>78</v>
      </c>
      <c r="L662" t="s">
        <v>90</v>
      </c>
      <c r="M662" t="s">
        <v>91</v>
      </c>
      <c r="N662" t="s">
        <v>1411</v>
      </c>
      <c r="O662" t="s">
        <v>82</v>
      </c>
      <c r="P662" t="str">
        <f>"4170037426                    "</f>
        <v xml:space="preserve">4170037426                    </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37.409999999999997</v>
      </c>
      <c r="AR662">
        <v>0</v>
      </c>
      <c r="AS662">
        <v>0</v>
      </c>
      <c r="AT662">
        <v>0</v>
      </c>
      <c r="AU662">
        <v>0</v>
      </c>
      <c r="AV662">
        <v>0</v>
      </c>
      <c r="AW662">
        <v>0</v>
      </c>
      <c r="AX662">
        <v>0</v>
      </c>
      <c r="AY662">
        <v>0</v>
      </c>
      <c r="AZ662">
        <v>0</v>
      </c>
      <c r="BA662">
        <v>0</v>
      </c>
      <c r="BB662">
        <v>0</v>
      </c>
      <c r="BC662">
        <v>0</v>
      </c>
      <c r="BD662">
        <v>0</v>
      </c>
      <c r="BE662">
        <v>0</v>
      </c>
      <c r="BF662">
        <v>0</v>
      </c>
      <c r="BG662">
        <v>0</v>
      </c>
      <c r="BH662">
        <v>1</v>
      </c>
      <c r="BI662">
        <v>3</v>
      </c>
      <c r="BJ662">
        <v>3.2</v>
      </c>
      <c r="BK662">
        <v>3.5</v>
      </c>
      <c r="BL662">
        <v>122.43</v>
      </c>
      <c r="BM662">
        <v>18.36</v>
      </c>
      <c r="BN662">
        <v>140.79</v>
      </c>
      <c r="BO662">
        <v>140.79</v>
      </c>
      <c r="BQ662" t="s">
        <v>1412</v>
      </c>
      <c r="BR662" t="s">
        <v>84</v>
      </c>
      <c r="BS662" s="3">
        <v>45786</v>
      </c>
      <c r="BT662" s="4">
        <v>0.42777777777777776</v>
      </c>
      <c r="BU662" t="s">
        <v>1413</v>
      </c>
      <c r="BV662" t="s">
        <v>86</v>
      </c>
      <c r="BY662">
        <v>16128</v>
      </c>
      <c r="CA662" t="s">
        <v>271</v>
      </c>
      <c r="CC662" t="s">
        <v>91</v>
      </c>
      <c r="CD662">
        <v>6001</v>
      </c>
      <c r="CE662" t="s">
        <v>550</v>
      </c>
      <c r="CF662" s="3">
        <v>45786</v>
      </c>
      <c r="CI662">
        <v>1</v>
      </c>
      <c r="CJ662">
        <v>1</v>
      </c>
      <c r="CK662">
        <v>21</v>
      </c>
      <c r="CL662" t="s">
        <v>89</v>
      </c>
    </row>
    <row r="663" spans="1:91" x14ac:dyDescent="0.3">
      <c r="A663" t="s">
        <v>72</v>
      </c>
      <c r="B663" t="s">
        <v>73</v>
      </c>
      <c r="C663" t="s">
        <v>74</v>
      </c>
      <c r="E663" t="str">
        <f>"080065256745"</f>
        <v>080065256745</v>
      </c>
      <c r="F663" s="3">
        <v>45785</v>
      </c>
      <c r="G663">
        <v>202602</v>
      </c>
      <c r="H663" t="s">
        <v>75</v>
      </c>
      <c r="I663" t="s">
        <v>76</v>
      </c>
      <c r="J663" t="s">
        <v>77</v>
      </c>
      <c r="K663" t="s">
        <v>78</v>
      </c>
      <c r="L663" t="s">
        <v>130</v>
      </c>
      <c r="M663" t="s">
        <v>131</v>
      </c>
      <c r="N663" t="s">
        <v>1066</v>
      </c>
      <c r="O663" t="s">
        <v>82</v>
      </c>
      <c r="P663" t="str">
        <f>"4170037449                    "</f>
        <v xml:space="preserve">4170037449                    </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21.38</v>
      </c>
      <c r="AR663">
        <v>0</v>
      </c>
      <c r="AS663">
        <v>0</v>
      </c>
      <c r="AT663">
        <v>0</v>
      </c>
      <c r="AU663">
        <v>0</v>
      </c>
      <c r="AV663">
        <v>0</v>
      </c>
      <c r="AW663">
        <v>0</v>
      </c>
      <c r="AX663">
        <v>0</v>
      </c>
      <c r="AY663">
        <v>0</v>
      </c>
      <c r="AZ663">
        <v>0</v>
      </c>
      <c r="BA663">
        <v>0</v>
      </c>
      <c r="BB663">
        <v>0</v>
      </c>
      <c r="BC663">
        <v>0</v>
      </c>
      <c r="BD663">
        <v>0</v>
      </c>
      <c r="BE663">
        <v>0</v>
      </c>
      <c r="BF663">
        <v>0</v>
      </c>
      <c r="BG663">
        <v>0</v>
      </c>
      <c r="BH663">
        <v>1</v>
      </c>
      <c r="BI663">
        <v>1</v>
      </c>
      <c r="BJ663">
        <v>0.2</v>
      </c>
      <c r="BK663">
        <v>1</v>
      </c>
      <c r="BL663">
        <v>69.98</v>
      </c>
      <c r="BM663">
        <v>10.5</v>
      </c>
      <c r="BN663">
        <v>80.48</v>
      </c>
      <c r="BO663">
        <v>80.48</v>
      </c>
      <c r="BQ663" t="s">
        <v>1067</v>
      </c>
      <c r="BR663" t="s">
        <v>84</v>
      </c>
      <c r="BS663" s="3">
        <v>45786</v>
      </c>
      <c r="BT663" s="4">
        <v>0.40555555555555556</v>
      </c>
      <c r="BU663" t="s">
        <v>1068</v>
      </c>
      <c r="BV663" t="s">
        <v>86</v>
      </c>
      <c r="BY663">
        <v>1200</v>
      </c>
      <c r="CA663" t="s">
        <v>712</v>
      </c>
      <c r="CC663" t="s">
        <v>131</v>
      </c>
      <c r="CD663">
        <v>7561</v>
      </c>
      <c r="CE663" t="s">
        <v>88</v>
      </c>
      <c r="CF663" s="3">
        <v>45789</v>
      </c>
      <c r="CI663">
        <v>1</v>
      </c>
      <c r="CJ663">
        <v>1</v>
      </c>
      <c r="CK663">
        <v>21</v>
      </c>
      <c r="CL663" t="s">
        <v>89</v>
      </c>
    </row>
    <row r="664" spans="1:91" x14ac:dyDescent="0.3">
      <c r="A664" t="s">
        <v>72</v>
      </c>
      <c r="B664" t="s">
        <v>73</v>
      </c>
      <c r="C664" t="s">
        <v>74</v>
      </c>
      <c r="E664" t="str">
        <f>"080065256881"</f>
        <v>080065256881</v>
      </c>
      <c r="F664" s="3">
        <v>45785</v>
      </c>
      <c r="G664">
        <v>202602</v>
      </c>
      <c r="H664" t="s">
        <v>75</v>
      </c>
      <c r="I664" t="s">
        <v>76</v>
      </c>
      <c r="J664" t="s">
        <v>77</v>
      </c>
      <c r="K664" t="s">
        <v>78</v>
      </c>
      <c r="L664" t="s">
        <v>90</v>
      </c>
      <c r="M664" t="s">
        <v>91</v>
      </c>
      <c r="N664" t="s">
        <v>92</v>
      </c>
      <c r="O664" t="s">
        <v>82</v>
      </c>
      <c r="P664" t="str">
        <f>"4170037428                    "</f>
        <v xml:space="preserve">4170037428                    </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190.46</v>
      </c>
      <c r="AN664">
        <v>0</v>
      </c>
      <c r="AO664">
        <v>0</v>
      </c>
      <c r="AP664">
        <v>0</v>
      </c>
      <c r="AQ664">
        <v>37.409999999999997</v>
      </c>
      <c r="AR664">
        <v>0</v>
      </c>
      <c r="AS664">
        <v>0</v>
      </c>
      <c r="AT664">
        <v>0</v>
      </c>
      <c r="AU664">
        <v>0</v>
      </c>
      <c r="AV664">
        <v>0</v>
      </c>
      <c r="AW664">
        <v>0</v>
      </c>
      <c r="AX664">
        <v>0</v>
      </c>
      <c r="AY664">
        <v>0</v>
      </c>
      <c r="AZ664">
        <v>0</v>
      </c>
      <c r="BA664">
        <v>0</v>
      </c>
      <c r="BB664">
        <v>0</v>
      </c>
      <c r="BC664">
        <v>0</v>
      </c>
      <c r="BD664">
        <v>0</v>
      </c>
      <c r="BE664">
        <v>0</v>
      </c>
      <c r="BF664">
        <v>0</v>
      </c>
      <c r="BG664">
        <v>0</v>
      </c>
      <c r="BH664">
        <v>1</v>
      </c>
      <c r="BI664">
        <v>2</v>
      </c>
      <c r="BJ664">
        <v>3.1</v>
      </c>
      <c r="BK664">
        <v>3.5</v>
      </c>
      <c r="BL664">
        <v>312.89</v>
      </c>
      <c r="BM664">
        <v>46.93</v>
      </c>
      <c r="BN664">
        <v>359.82</v>
      </c>
      <c r="BO664">
        <v>359.82</v>
      </c>
      <c r="BQ664" t="s">
        <v>93</v>
      </c>
      <c r="BR664" t="s">
        <v>84</v>
      </c>
      <c r="BS664" s="3">
        <v>45786</v>
      </c>
      <c r="BT664" s="4">
        <v>0.39513888888888887</v>
      </c>
      <c r="BU664" t="s">
        <v>94</v>
      </c>
      <c r="BV664" t="s">
        <v>89</v>
      </c>
      <c r="BY664">
        <v>15360</v>
      </c>
      <c r="BZ664" t="s">
        <v>25</v>
      </c>
      <c r="CA664" t="s">
        <v>95</v>
      </c>
      <c r="CC664" t="s">
        <v>91</v>
      </c>
      <c r="CD664">
        <v>6001</v>
      </c>
      <c r="CE664" t="s">
        <v>96</v>
      </c>
      <c r="CF664" s="3">
        <v>45786</v>
      </c>
      <c r="CI664">
        <v>1</v>
      </c>
      <c r="CJ664">
        <v>1</v>
      </c>
      <c r="CK664">
        <v>21</v>
      </c>
      <c r="CL664" t="s">
        <v>86</v>
      </c>
      <c r="CM664" s="4">
        <v>0.39513888888888887</v>
      </c>
    </row>
    <row r="665" spans="1:91" x14ac:dyDescent="0.3">
      <c r="A665" t="s">
        <v>72</v>
      </c>
      <c r="B665" t="s">
        <v>73</v>
      </c>
      <c r="C665" t="s">
        <v>74</v>
      </c>
      <c r="E665" t="str">
        <f>"080065256944"</f>
        <v>080065256944</v>
      </c>
      <c r="F665" s="3">
        <v>45785</v>
      </c>
      <c r="G665">
        <v>202602</v>
      </c>
      <c r="H665" t="s">
        <v>75</v>
      </c>
      <c r="I665" t="s">
        <v>76</v>
      </c>
      <c r="J665" t="s">
        <v>77</v>
      </c>
      <c r="K665" t="s">
        <v>78</v>
      </c>
      <c r="L665" t="s">
        <v>350</v>
      </c>
      <c r="M665" t="s">
        <v>351</v>
      </c>
      <c r="N665" t="s">
        <v>536</v>
      </c>
      <c r="O665" t="s">
        <v>82</v>
      </c>
      <c r="P665" t="str">
        <f>"4170037431                    "</f>
        <v xml:space="preserve">4170037431                    </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96.17</v>
      </c>
      <c r="AR665">
        <v>0</v>
      </c>
      <c r="AS665">
        <v>0</v>
      </c>
      <c r="AT665">
        <v>0</v>
      </c>
      <c r="AU665">
        <v>0</v>
      </c>
      <c r="AV665">
        <v>0</v>
      </c>
      <c r="AW665">
        <v>0</v>
      </c>
      <c r="AX665">
        <v>0</v>
      </c>
      <c r="AY665">
        <v>0</v>
      </c>
      <c r="AZ665">
        <v>0</v>
      </c>
      <c r="BA665">
        <v>0</v>
      </c>
      <c r="BB665">
        <v>0</v>
      </c>
      <c r="BC665">
        <v>0</v>
      </c>
      <c r="BD665">
        <v>0</v>
      </c>
      <c r="BE665">
        <v>0</v>
      </c>
      <c r="BF665">
        <v>0</v>
      </c>
      <c r="BG665">
        <v>0</v>
      </c>
      <c r="BH665">
        <v>1</v>
      </c>
      <c r="BI665">
        <v>4</v>
      </c>
      <c r="BJ665">
        <v>8.9</v>
      </c>
      <c r="BK665">
        <v>9</v>
      </c>
      <c r="BL665">
        <v>314.73</v>
      </c>
      <c r="BM665">
        <v>47.21</v>
      </c>
      <c r="BN665">
        <v>361.94</v>
      </c>
      <c r="BO665">
        <v>361.94</v>
      </c>
      <c r="BQ665" t="s">
        <v>537</v>
      </c>
      <c r="BR665" t="s">
        <v>84</v>
      </c>
      <c r="BS665" s="3">
        <v>45786</v>
      </c>
      <c r="BT665" s="4">
        <v>0.40972222222222221</v>
      </c>
      <c r="BU665" t="s">
        <v>1301</v>
      </c>
      <c r="BV665" t="s">
        <v>86</v>
      </c>
      <c r="BY665">
        <v>44640</v>
      </c>
      <c r="CA665" t="s">
        <v>326</v>
      </c>
      <c r="CC665" t="s">
        <v>351</v>
      </c>
      <c r="CD665">
        <v>4052</v>
      </c>
      <c r="CE665" t="s">
        <v>96</v>
      </c>
      <c r="CF665" s="3">
        <v>45789</v>
      </c>
      <c r="CI665">
        <v>1</v>
      </c>
      <c r="CJ665">
        <v>1</v>
      </c>
      <c r="CK665">
        <v>21</v>
      </c>
      <c r="CL665" t="s">
        <v>89</v>
      </c>
    </row>
    <row r="666" spans="1:91" x14ac:dyDescent="0.3">
      <c r="A666" t="s">
        <v>72</v>
      </c>
      <c r="B666" t="s">
        <v>73</v>
      </c>
      <c r="C666" t="s">
        <v>74</v>
      </c>
      <c r="E666" t="str">
        <f>"080065256958"</f>
        <v>080065256958</v>
      </c>
      <c r="F666" s="3">
        <v>45785</v>
      </c>
      <c r="G666">
        <v>202602</v>
      </c>
      <c r="H666" t="s">
        <v>75</v>
      </c>
      <c r="I666" t="s">
        <v>76</v>
      </c>
      <c r="J666" t="s">
        <v>77</v>
      </c>
      <c r="K666" t="s">
        <v>78</v>
      </c>
      <c r="L666" t="s">
        <v>123</v>
      </c>
      <c r="M666" t="s">
        <v>123</v>
      </c>
      <c r="N666" t="s">
        <v>317</v>
      </c>
      <c r="O666" t="s">
        <v>82</v>
      </c>
      <c r="P666" t="str">
        <f>"4170037457                    "</f>
        <v xml:space="preserve">4170037457                    </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60.14</v>
      </c>
      <c r="AR666">
        <v>0</v>
      </c>
      <c r="AS666">
        <v>0</v>
      </c>
      <c r="AT666">
        <v>0</v>
      </c>
      <c r="AU666">
        <v>0</v>
      </c>
      <c r="AV666">
        <v>0</v>
      </c>
      <c r="AW666">
        <v>0</v>
      </c>
      <c r="AX666">
        <v>0</v>
      </c>
      <c r="AY666">
        <v>0</v>
      </c>
      <c r="AZ666">
        <v>0</v>
      </c>
      <c r="BA666">
        <v>0</v>
      </c>
      <c r="BB666">
        <v>0</v>
      </c>
      <c r="BC666">
        <v>0</v>
      </c>
      <c r="BD666">
        <v>0</v>
      </c>
      <c r="BE666">
        <v>0</v>
      </c>
      <c r="BF666">
        <v>0</v>
      </c>
      <c r="BG666">
        <v>0</v>
      </c>
      <c r="BH666">
        <v>1</v>
      </c>
      <c r="BI666">
        <v>3</v>
      </c>
      <c r="BJ666">
        <v>1.7</v>
      </c>
      <c r="BK666">
        <v>3</v>
      </c>
      <c r="BL666">
        <v>196.82</v>
      </c>
      <c r="BM666">
        <v>29.52</v>
      </c>
      <c r="BN666">
        <v>226.34</v>
      </c>
      <c r="BO666">
        <v>226.34</v>
      </c>
      <c r="BQ666" t="s">
        <v>318</v>
      </c>
      <c r="BR666" t="s">
        <v>84</v>
      </c>
      <c r="BS666" s="3">
        <v>45786</v>
      </c>
      <c r="BT666" s="4">
        <v>0.52569444444444446</v>
      </c>
      <c r="BU666" t="s">
        <v>319</v>
      </c>
      <c r="BV666" t="s">
        <v>86</v>
      </c>
      <c r="BY666">
        <v>8550</v>
      </c>
      <c r="CA666" t="s">
        <v>128</v>
      </c>
      <c r="CC666" t="s">
        <v>123</v>
      </c>
      <c r="CD666">
        <v>7646</v>
      </c>
      <c r="CE666" t="s">
        <v>116</v>
      </c>
      <c r="CF666" s="3">
        <v>45789</v>
      </c>
      <c r="CI666">
        <v>1</v>
      </c>
      <c r="CJ666">
        <v>1</v>
      </c>
      <c r="CK666">
        <v>23</v>
      </c>
      <c r="CL666" t="s">
        <v>89</v>
      </c>
    </row>
    <row r="667" spans="1:91" x14ac:dyDescent="0.3">
      <c r="A667" t="s">
        <v>72</v>
      </c>
      <c r="B667" t="s">
        <v>73</v>
      </c>
      <c r="C667" t="s">
        <v>74</v>
      </c>
      <c r="E667" t="str">
        <f>"080065256986"</f>
        <v>080065256986</v>
      </c>
      <c r="F667" s="3">
        <v>45785</v>
      </c>
      <c r="G667">
        <v>202602</v>
      </c>
      <c r="H667" t="s">
        <v>75</v>
      </c>
      <c r="I667" t="s">
        <v>76</v>
      </c>
      <c r="J667" t="s">
        <v>77</v>
      </c>
      <c r="K667" t="s">
        <v>78</v>
      </c>
      <c r="L667" t="s">
        <v>186</v>
      </c>
      <c r="M667" t="s">
        <v>187</v>
      </c>
      <c r="N667" t="s">
        <v>188</v>
      </c>
      <c r="O667" t="s">
        <v>82</v>
      </c>
      <c r="P667" t="str">
        <f>"4170037453                    "</f>
        <v xml:space="preserve">4170037453                    </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42.75</v>
      </c>
      <c r="AR667">
        <v>0</v>
      </c>
      <c r="AS667">
        <v>0</v>
      </c>
      <c r="AT667">
        <v>0</v>
      </c>
      <c r="AU667">
        <v>0</v>
      </c>
      <c r="AV667">
        <v>0</v>
      </c>
      <c r="AW667">
        <v>0</v>
      </c>
      <c r="AX667">
        <v>0</v>
      </c>
      <c r="AY667">
        <v>0</v>
      </c>
      <c r="AZ667">
        <v>0</v>
      </c>
      <c r="BA667">
        <v>0</v>
      </c>
      <c r="BB667">
        <v>0</v>
      </c>
      <c r="BC667">
        <v>0</v>
      </c>
      <c r="BD667">
        <v>0</v>
      </c>
      <c r="BE667">
        <v>0</v>
      </c>
      <c r="BF667">
        <v>0</v>
      </c>
      <c r="BG667">
        <v>0</v>
      </c>
      <c r="BH667">
        <v>1</v>
      </c>
      <c r="BI667">
        <v>4</v>
      </c>
      <c r="BJ667">
        <v>1.9</v>
      </c>
      <c r="BK667">
        <v>4</v>
      </c>
      <c r="BL667">
        <v>139.91</v>
      </c>
      <c r="BM667">
        <v>20.99</v>
      </c>
      <c r="BN667">
        <v>160.9</v>
      </c>
      <c r="BO667">
        <v>160.9</v>
      </c>
      <c r="BQ667" t="s">
        <v>189</v>
      </c>
      <c r="BR667" t="s">
        <v>84</v>
      </c>
      <c r="BS667" s="3">
        <v>45786</v>
      </c>
      <c r="BT667" s="4">
        <v>0.4777777777777778</v>
      </c>
      <c r="BU667" t="s">
        <v>1414</v>
      </c>
      <c r="BV667" t="s">
        <v>86</v>
      </c>
      <c r="BY667">
        <v>9600</v>
      </c>
      <c r="CA667" t="s">
        <v>191</v>
      </c>
      <c r="CC667" t="s">
        <v>187</v>
      </c>
      <c r="CD667">
        <v>4126</v>
      </c>
      <c r="CE667" t="s">
        <v>96</v>
      </c>
      <c r="CF667" s="3">
        <v>45789</v>
      </c>
      <c r="CI667">
        <v>1</v>
      </c>
      <c r="CJ667">
        <v>1</v>
      </c>
      <c r="CK667">
        <v>21</v>
      </c>
      <c r="CL667" t="s">
        <v>89</v>
      </c>
    </row>
    <row r="668" spans="1:91" x14ac:dyDescent="0.3">
      <c r="A668" t="s">
        <v>72</v>
      </c>
      <c r="B668" t="s">
        <v>73</v>
      </c>
      <c r="C668" t="s">
        <v>74</v>
      </c>
      <c r="E668" t="str">
        <f>"080065257100"</f>
        <v>080065257100</v>
      </c>
      <c r="F668" s="3">
        <v>45785</v>
      </c>
      <c r="G668">
        <v>202602</v>
      </c>
      <c r="H668" t="s">
        <v>75</v>
      </c>
      <c r="I668" t="s">
        <v>76</v>
      </c>
      <c r="J668" t="s">
        <v>77</v>
      </c>
      <c r="K668" t="s">
        <v>78</v>
      </c>
      <c r="L668" t="s">
        <v>136</v>
      </c>
      <c r="M668" t="s">
        <v>137</v>
      </c>
      <c r="N668" t="s">
        <v>161</v>
      </c>
      <c r="O668" t="s">
        <v>300</v>
      </c>
      <c r="P668" t="str">
        <f>"4170037465                    "</f>
        <v xml:space="preserve">4170037465                    </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41.35</v>
      </c>
      <c r="AR668">
        <v>0</v>
      </c>
      <c r="AS668">
        <v>0</v>
      </c>
      <c r="AT668">
        <v>0</v>
      </c>
      <c r="AU668">
        <v>0</v>
      </c>
      <c r="AV668">
        <v>0</v>
      </c>
      <c r="AW668">
        <v>0</v>
      </c>
      <c r="AX668">
        <v>0</v>
      </c>
      <c r="AY668">
        <v>0</v>
      </c>
      <c r="AZ668">
        <v>0</v>
      </c>
      <c r="BA668">
        <v>0</v>
      </c>
      <c r="BB668">
        <v>0</v>
      </c>
      <c r="BC668">
        <v>0</v>
      </c>
      <c r="BD668">
        <v>0</v>
      </c>
      <c r="BE668">
        <v>0</v>
      </c>
      <c r="BF668">
        <v>0</v>
      </c>
      <c r="BG668">
        <v>0</v>
      </c>
      <c r="BH668">
        <v>2</v>
      </c>
      <c r="BI668">
        <v>8</v>
      </c>
      <c r="BJ668">
        <v>6.1</v>
      </c>
      <c r="BK668">
        <v>8</v>
      </c>
      <c r="BL668">
        <v>140.9</v>
      </c>
      <c r="BM668">
        <v>21.14</v>
      </c>
      <c r="BN668">
        <v>162.04</v>
      </c>
      <c r="BO668">
        <v>162.04</v>
      </c>
      <c r="BQ668" t="s">
        <v>162</v>
      </c>
      <c r="BR668" t="s">
        <v>84</v>
      </c>
      <c r="BS668" s="3">
        <v>45786</v>
      </c>
      <c r="BT668" s="4">
        <v>0.3888888888888889</v>
      </c>
      <c r="BU668" t="s">
        <v>1376</v>
      </c>
      <c r="BV668" t="s">
        <v>86</v>
      </c>
      <c r="BY668">
        <v>30720</v>
      </c>
      <c r="CA668" t="s">
        <v>199</v>
      </c>
      <c r="CC668" t="s">
        <v>137</v>
      </c>
      <c r="CD668" s="5" t="s">
        <v>165</v>
      </c>
      <c r="CE668" t="s">
        <v>96</v>
      </c>
      <c r="CF668" s="3">
        <v>45786</v>
      </c>
      <c r="CI668">
        <v>1</v>
      </c>
      <c r="CJ668">
        <v>1</v>
      </c>
      <c r="CK668">
        <v>41</v>
      </c>
      <c r="CL668" t="s">
        <v>89</v>
      </c>
    </row>
    <row r="669" spans="1:91" x14ac:dyDescent="0.3">
      <c r="A669" t="s">
        <v>72</v>
      </c>
      <c r="B669" t="s">
        <v>73</v>
      </c>
      <c r="C669" t="s">
        <v>74</v>
      </c>
      <c r="E669" t="str">
        <f>"080065257185"</f>
        <v>080065257185</v>
      </c>
      <c r="F669" s="3">
        <v>45785</v>
      </c>
      <c r="G669">
        <v>202602</v>
      </c>
      <c r="H669" t="s">
        <v>75</v>
      </c>
      <c r="I669" t="s">
        <v>76</v>
      </c>
      <c r="J669" t="s">
        <v>77</v>
      </c>
      <c r="K669" t="s">
        <v>78</v>
      </c>
      <c r="L669" t="s">
        <v>90</v>
      </c>
      <c r="M669" t="s">
        <v>91</v>
      </c>
      <c r="N669" t="s">
        <v>563</v>
      </c>
      <c r="O669" t="s">
        <v>82</v>
      </c>
      <c r="P669" t="str">
        <f>"4170037464                    "</f>
        <v xml:space="preserve">4170037464                    </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48.09</v>
      </c>
      <c r="AR669">
        <v>0</v>
      </c>
      <c r="AS669">
        <v>0</v>
      </c>
      <c r="AT669">
        <v>0</v>
      </c>
      <c r="AU669">
        <v>0</v>
      </c>
      <c r="AV669">
        <v>0</v>
      </c>
      <c r="AW669">
        <v>0</v>
      </c>
      <c r="AX669">
        <v>0</v>
      </c>
      <c r="AY669">
        <v>0</v>
      </c>
      <c r="AZ669">
        <v>0</v>
      </c>
      <c r="BA669">
        <v>0</v>
      </c>
      <c r="BB669">
        <v>0</v>
      </c>
      <c r="BC669">
        <v>0</v>
      </c>
      <c r="BD669">
        <v>0</v>
      </c>
      <c r="BE669">
        <v>0</v>
      </c>
      <c r="BF669">
        <v>0</v>
      </c>
      <c r="BG669">
        <v>0</v>
      </c>
      <c r="BH669">
        <v>2</v>
      </c>
      <c r="BI669">
        <v>2</v>
      </c>
      <c r="BJ669">
        <v>4.2</v>
      </c>
      <c r="BK669">
        <v>4.5</v>
      </c>
      <c r="BL669">
        <v>157.38999999999999</v>
      </c>
      <c r="BM669">
        <v>23.61</v>
      </c>
      <c r="BN669">
        <v>181</v>
      </c>
      <c r="BO669">
        <v>181</v>
      </c>
      <c r="BQ669" t="s">
        <v>564</v>
      </c>
      <c r="BR669" t="s">
        <v>84</v>
      </c>
      <c r="BS669" s="3">
        <v>45786</v>
      </c>
      <c r="BT669" s="4">
        <v>0.37708333333333333</v>
      </c>
      <c r="BU669" t="s">
        <v>780</v>
      </c>
      <c r="BV669" t="s">
        <v>86</v>
      </c>
      <c r="BY669">
        <v>21104</v>
      </c>
      <c r="CA669" t="s">
        <v>566</v>
      </c>
      <c r="CC669" t="s">
        <v>91</v>
      </c>
      <c r="CD669">
        <v>6001</v>
      </c>
      <c r="CE669" t="s">
        <v>116</v>
      </c>
      <c r="CF669" s="3">
        <v>45786</v>
      </c>
      <c r="CI669">
        <v>1</v>
      </c>
      <c r="CJ669">
        <v>1</v>
      </c>
      <c r="CK669">
        <v>21</v>
      </c>
      <c r="CL669" t="s">
        <v>89</v>
      </c>
    </row>
    <row r="670" spans="1:91" x14ac:dyDescent="0.3">
      <c r="A670" t="s">
        <v>72</v>
      </c>
      <c r="B670" t="s">
        <v>73</v>
      </c>
      <c r="C670" t="s">
        <v>74</v>
      </c>
      <c r="E670" t="str">
        <f>"080065257239"</f>
        <v>080065257239</v>
      </c>
      <c r="F670" s="3">
        <v>45785</v>
      </c>
      <c r="G670">
        <v>202602</v>
      </c>
      <c r="H670" t="s">
        <v>75</v>
      </c>
      <c r="I670" t="s">
        <v>76</v>
      </c>
      <c r="J670" t="s">
        <v>77</v>
      </c>
      <c r="K670" t="s">
        <v>78</v>
      </c>
      <c r="L670" t="s">
        <v>130</v>
      </c>
      <c r="M670" t="s">
        <v>131</v>
      </c>
      <c r="N670" t="s">
        <v>1406</v>
      </c>
      <c r="O670" t="s">
        <v>82</v>
      </c>
      <c r="P670" t="str">
        <f>"4170037486                    "</f>
        <v xml:space="preserve">4170037486                    </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21.38</v>
      </c>
      <c r="AR670">
        <v>0</v>
      </c>
      <c r="AS670">
        <v>0</v>
      </c>
      <c r="AT670">
        <v>0</v>
      </c>
      <c r="AU670">
        <v>0</v>
      </c>
      <c r="AV670">
        <v>0</v>
      </c>
      <c r="AW670">
        <v>0</v>
      </c>
      <c r="AX670">
        <v>0</v>
      </c>
      <c r="AY670">
        <v>0</v>
      </c>
      <c r="AZ670">
        <v>0</v>
      </c>
      <c r="BA670">
        <v>0</v>
      </c>
      <c r="BB670">
        <v>0</v>
      </c>
      <c r="BC670">
        <v>0</v>
      </c>
      <c r="BD670">
        <v>0</v>
      </c>
      <c r="BE670">
        <v>0</v>
      </c>
      <c r="BF670">
        <v>0</v>
      </c>
      <c r="BG670">
        <v>0</v>
      </c>
      <c r="BH670">
        <v>1</v>
      </c>
      <c r="BI670">
        <v>1</v>
      </c>
      <c r="BJ670">
        <v>1.1000000000000001</v>
      </c>
      <c r="BK670">
        <v>1.5</v>
      </c>
      <c r="BL670">
        <v>69.98</v>
      </c>
      <c r="BM670">
        <v>10.5</v>
      </c>
      <c r="BN670">
        <v>80.48</v>
      </c>
      <c r="BO670">
        <v>80.48</v>
      </c>
      <c r="BQ670" t="s">
        <v>1407</v>
      </c>
      <c r="BR670" t="s">
        <v>84</v>
      </c>
      <c r="BS670" s="3">
        <v>45786</v>
      </c>
      <c r="BT670" s="4">
        <v>0.40416666666666667</v>
      </c>
      <c r="BU670" t="s">
        <v>1415</v>
      </c>
      <c r="BV670" t="s">
        <v>86</v>
      </c>
      <c r="BY670">
        <v>5320</v>
      </c>
      <c r="CA670" t="s">
        <v>1416</v>
      </c>
      <c r="CC670" t="s">
        <v>131</v>
      </c>
      <c r="CD670">
        <v>7925</v>
      </c>
      <c r="CE670" t="s">
        <v>96</v>
      </c>
      <c r="CF670" s="3">
        <v>45789</v>
      </c>
      <c r="CI670">
        <v>1</v>
      </c>
      <c r="CJ670">
        <v>1</v>
      </c>
      <c r="CK670">
        <v>21</v>
      </c>
      <c r="CL670" t="s">
        <v>89</v>
      </c>
    </row>
    <row r="671" spans="1:91" x14ac:dyDescent="0.3">
      <c r="A671" t="s">
        <v>72</v>
      </c>
      <c r="B671" t="s">
        <v>73</v>
      </c>
      <c r="C671" t="s">
        <v>74</v>
      </c>
      <c r="E671" t="str">
        <f>"080065257253"</f>
        <v>080065257253</v>
      </c>
      <c r="F671" s="3">
        <v>45785</v>
      </c>
      <c r="G671">
        <v>202602</v>
      </c>
      <c r="H671" t="s">
        <v>75</v>
      </c>
      <c r="I671" t="s">
        <v>76</v>
      </c>
      <c r="J671" t="s">
        <v>77</v>
      </c>
      <c r="K671" t="s">
        <v>78</v>
      </c>
      <c r="L671" t="s">
        <v>130</v>
      </c>
      <c r="M671" t="s">
        <v>131</v>
      </c>
      <c r="N671" t="s">
        <v>1066</v>
      </c>
      <c r="O671" t="s">
        <v>82</v>
      </c>
      <c r="P671" t="str">
        <f>"4170037448                    "</f>
        <v xml:space="preserve">4170037448                    </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32.07</v>
      </c>
      <c r="AR671">
        <v>0</v>
      </c>
      <c r="AS671">
        <v>0</v>
      </c>
      <c r="AT671">
        <v>0</v>
      </c>
      <c r="AU671">
        <v>0</v>
      </c>
      <c r="AV671">
        <v>0</v>
      </c>
      <c r="AW671">
        <v>0</v>
      </c>
      <c r="AX671">
        <v>0</v>
      </c>
      <c r="AY671">
        <v>0</v>
      </c>
      <c r="AZ671">
        <v>0</v>
      </c>
      <c r="BA671">
        <v>0</v>
      </c>
      <c r="BB671">
        <v>0</v>
      </c>
      <c r="BC671">
        <v>0</v>
      </c>
      <c r="BD671">
        <v>0</v>
      </c>
      <c r="BE671">
        <v>0</v>
      </c>
      <c r="BF671">
        <v>0</v>
      </c>
      <c r="BG671">
        <v>0</v>
      </c>
      <c r="BH671">
        <v>1</v>
      </c>
      <c r="BI671">
        <v>3</v>
      </c>
      <c r="BJ671">
        <v>1.9</v>
      </c>
      <c r="BK671">
        <v>3</v>
      </c>
      <c r="BL671">
        <v>104.95</v>
      </c>
      <c r="BM671">
        <v>15.74</v>
      </c>
      <c r="BN671">
        <v>120.69</v>
      </c>
      <c r="BO671">
        <v>120.69</v>
      </c>
      <c r="BQ671" t="s">
        <v>1067</v>
      </c>
      <c r="BR671" t="s">
        <v>84</v>
      </c>
      <c r="BS671" s="3">
        <v>45786</v>
      </c>
      <c r="BT671" s="4">
        <v>0.40555555555555556</v>
      </c>
      <c r="BU671" t="s">
        <v>1068</v>
      </c>
      <c r="BV671" t="s">
        <v>86</v>
      </c>
      <c r="BY671">
        <v>9477</v>
      </c>
      <c r="CA671" t="s">
        <v>712</v>
      </c>
      <c r="CC671" t="s">
        <v>131</v>
      </c>
      <c r="CD671">
        <v>7561</v>
      </c>
      <c r="CE671" t="s">
        <v>221</v>
      </c>
      <c r="CF671" s="3">
        <v>45789</v>
      </c>
      <c r="CI671">
        <v>1</v>
      </c>
      <c r="CJ671">
        <v>1</v>
      </c>
      <c r="CK671">
        <v>21</v>
      </c>
      <c r="CL671" t="s">
        <v>89</v>
      </c>
    </row>
    <row r="672" spans="1:91" x14ac:dyDescent="0.3">
      <c r="A672" t="s">
        <v>72</v>
      </c>
      <c r="B672" t="s">
        <v>73</v>
      </c>
      <c r="C672" t="s">
        <v>74</v>
      </c>
      <c r="E672" t="str">
        <f>"080065257260"</f>
        <v>080065257260</v>
      </c>
      <c r="F672" s="3">
        <v>45785</v>
      </c>
      <c r="G672">
        <v>202602</v>
      </c>
      <c r="H672" t="s">
        <v>75</v>
      </c>
      <c r="I672" t="s">
        <v>76</v>
      </c>
      <c r="J672" t="s">
        <v>77</v>
      </c>
      <c r="K672" t="s">
        <v>78</v>
      </c>
      <c r="L672" t="s">
        <v>350</v>
      </c>
      <c r="M672" t="s">
        <v>351</v>
      </c>
      <c r="N672" t="s">
        <v>1417</v>
      </c>
      <c r="O672" t="s">
        <v>82</v>
      </c>
      <c r="P672" t="str">
        <f>"4170037494                    "</f>
        <v xml:space="preserve">4170037494                    </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21.38</v>
      </c>
      <c r="AR672">
        <v>0</v>
      </c>
      <c r="AS672">
        <v>0</v>
      </c>
      <c r="AT672">
        <v>0</v>
      </c>
      <c r="AU672">
        <v>0</v>
      </c>
      <c r="AV672">
        <v>0</v>
      </c>
      <c r="AW672">
        <v>0</v>
      </c>
      <c r="AX672">
        <v>0</v>
      </c>
      <c r="AY672">
        <v>0</v>
      </c>
      <c r="AZ672">
        <v>0</v>
      </c>
      <c r="BA672">
        <v>0</v>
      </c>
      <c r="BB672">
        <v>0</v>
      </c>
      <c r="BC672">
        <v>0</v>
      </c>
      <c r="BD672">
        <v>0</v>
      </c>
      <c r="BE672">
        <v>0</v>
      </c>
      <c r="BF672">
        <v>0</v>
      </c>
      <c r="BG672">
        <v>0</v>
      </c>
      <c r="BH672">
        <v>1</v>
      </c>
      <c r="BI672">
        <v>1</v>
      </c>
      <c r="BJ672">
        <v>0.2</v>
      </c>
      <c r="BK672">
        <v>1</v>
      </c>
      <c r="BL672">
        <v>69.98</v>
      </c>
      <c r="BM672">
        <v>10.5</v>
      </c>
      <c r="BN672">
        <v>80.48</v>
      </c>
      <c r="BO672">
        <v>80.48</v>
      </c>
      <c r="BQ672" t="s">
        <v>1418</v>
      </c>
      <c r="BR672" t="s">
        <v>84</v>
      </c>
      <c r="BS672" s="3">
        <v>45786</v>
      </c>
      <c r="BT672" s="4">
        <v>0.4284722222222222</v>
      </c>
      <c r="BU672" t="s">
        <v>1419</v>
      </c>
      <c r="BV672" t="s">
        <v>86</v>
      </c>
      <c r="BY672">
        <v>1200</v>
      </c>
      <c r="CA672" t="s">
        <v>1420</v>
      </c>
      <c r="CC672" t="s">
        <v>351</v>
      </c>
      <c r="CD672">
        <v>4072</v>
      </c>
      <c r="CE672" t="s">
        <v>88</v>
      </c>
      <c r="CF672" s="3">
        <v>45789</v>
      </c>
      <c r="CI672">
        <v>1</v>
      </c>
      <c r="CJ672">
        <v>1</v>
      </c>
      <c r="CK672">
        <v>21</v>
      </c>
      <c r="CL672" t="s">
        <v>89</v>
      </c>
    </row>
    <row r="673" spans="1:90" x14ac:dyDescent="0.3">
      <c r="A673" t="s">
        <v>72</v>
      </c>
      <c r="B673" t="s">
        <v>73</v>
      </c>
      <c r="C673" t="s">
        <v>74</v>
      </c>
      <c r="E673" t="str">
        <f>"080065257276"</f>
        <v>080065257276</v>
      </c>
      <c r="F673" s="3">
        <v>45785</v>
      </c>
      <c r="G673">
        <v>202602</v>
      </c>
      <c r="H673" t="s">
        <v>75</v>
      </c>
      <c r="I673" t="s">
        <v>76</v>
      </c>
      <c r="J673" t="s">
        <v>77</v>
      </c>
      <c r="K673" t="s">
        <v>78</v>
      </c>
      <c r="L673" t="s">
        <v>79</v>
      </c>
      <c r="M673" t="s">
        <v>80</v>
      </c>
      <c r="N673" t="s">
        <v>415</v>
      </c>
      <c r="O673" t="s">
        <v>82</v>
      </c>
      <c r="P673" t="str">
        <f>"4170037459                    "</f>
        <v xml:space="preserve">4170037459                    </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138.9</v>
      </c>
      <c r="AR673">
        <v>0</v>
      </c>
      <c r="AS673">
        <v>0</v>
      </c>
      <c r="AT673">
        <v>0</v>
      </c>
      <c r="AU673">
        <v>0</v>
      </c>
      <c r="AV673">
        <v>0</v>
      </c>
      <c r="AW673">
        <v>0</v>
      </c>
      <c r="AX673">
        <v>0</v>
      </c>
      <c r="AY673">
        <v>0</v>
      </c>
      <c r="AZ673">
        <v>0</v>
      </c>
      <c r="BA673">
        <v>0</v>
      </c>
      <c r="BB673">
        <v>0</v>
      </c>
      <c r="BC673">
        <v>0</v>
      </c>
      <c r="BD673">
        <v>0</v>
      </c>
      <c r="BE673">
        <v>0</v>
      </c>
      <c r="BF673">
        <v>0</v>
      </c>
      <c r="BG673">
        <v>0</v>
      </c>
      <c r="BH673">
        <v>1</v>
      </c>
      <c r="BI673">
        <v>13</v>
      </c>
      <c r="BJ673">
        <v>9.6</v>
      </c>
      <c r="BK673">
        <v>13</v>
      </c>
      <c r="BL673">
        <v>454.58</v>
      </c>
      <c r="BM673">
        <v>68.19</v>
      </c>
      <c r="BN673">
        <v>522.77</v>
      </c>
      <c r="BO673">
        <v>522.77</v>
      </c>
      <c r="BQ673" t="s">
        <v>416</v>
      </c>
      <c r="BR673" t="s">
        <v>84</v>
      </c>
      <c r="BS673" s="3">
        <v>45786</v>
      </c>
      <c r="BT673" s="4">
        <v>0.53333333333333333</v>
      </c>
      <c r="BU673" t="s">
        <v>1152</v>
      </c>
      <c r="BV673" t="s">
        <v>86</v>
      </c>
      <c r="BY673">
        <v>48000</v>
      </c>
      <c r="CA673" t="s">
        <v>87</v>
      </c>
      <c r="CC673" t="s">
        <v>80</v>
      </c>
      <c r="CD673">
        <v>3610</v>
      </c>
      <c r="CE673" t="s">
        <v>96</v>
      </c>
      <c r="CF673" s="3">
        <v>45789</v>
      </c>
      <c r="CI673">
        <v>1</v>
      </c>
      <c r="CJ673">
        <v>1</v>
      </c>
      <c r="CK673">
        <v>21</v>
      </c>
      <c r="CL673" t="s">
        <v>89</v>
      </c>
    </row>
    <row r="674" spans="1:90" x14ac:dyDescent="0.3">
      <c r="A674" t="s">
        <v>72</v>
      </c>
      <c r="B674" t="s">
        <v>73</v>
      </c>
      <c r="C674" t="s">
        <v>74</v>
      </c>
      <c r="E674" t="str">
        <f>"080065257287"</f>
        <v>080065257287</v>
      </c>
      <c r="F674" s="3">
        <v>45785</v>
      </c>
      <c r="G674">
        <v>202602</v>
      </c>
      <c r="H674" t="s">
        <v>75</v>
      </c>
      <c r="I674" t="s">
        <v>76</v>
      </c>
      <c r="J674" t="s">
        <v>77</v>
      </c>
      <c r="K674" t="s">
        <v>78</v>
      </c>
      <c r="L674" t="s">
        <v>117</v>
      </c>
      <c r="M674" t="s">
        <v>118</v>
      </c>
      <c r="N674" t="s">
        <v>1421</v>
      </c>
      <c r="O674" t="s">
        <v>300</v>
      </c>
      <c r="P674" t="str">
        <f>"4170037479                    "</f>
        <v xml:space="preserve">4170037479                    </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34.71</v>
      </c>
      <c r="AR674">
        <v>0</v>
      </c>
      <c r="AS674">
        <v>0</v>
      </c>
      <c r="AT674">
        <v>0</v>
      </c>
      <c r="AU674">
        <v>0</v>
      </c>
      <c r="AV674">
        <v>0</v>
      </c>
      <c r="AW674">
        <v>16.739999999999998</v>
      </c>
      <c r="AX674">
        <v>0</v>
      </c>
      <c r="AY674">
        <v>0</v>
      </c>
      <c r="AZ674">
        <v>0</v>
      </c>
      <c r="BA674">
        <v>0</v>
      </c>
      <c r="BB674">
        <v>0</v>
      </c>
      <c r="BC674">
        <v>0</v>
      </c>
      <c r="BD674">
        <v>0</v>
      </c>
      <c r="BE674">
        <v>0</v>
      </c>
      <c r="BF674">
        <v>0</v>
      </c>
      <c r="BG674">
        <v>0</v>
      </c>
      <c r="BH674">
        <v>1</v>
      </c>
      <c r="BI674">
        <v>9</v>
      </c>
      <c r="BJ674">
        <v>17.7</v>
      </c>
      <c r="BK674">
        <v>18</v>
      </c>
      <c r="BL674">
        <v>135.9</v>
      </c>
      <c r="BM674">
        <v>20.39</v>
      </c>
      <c r="BN674">
        <v>156.29</v>
      </c>
      <c r="BO674">
        <v>156.29</v>
      </c>
      <c r="BQ674" t="s">
        <v>1422</v>
      </c>
      <c r="BR674" t="s">
        <v>84</v>
      </c>
      <c r="BS674" s="3">
        <v>45786</v>
      </c>
      <c r="BT674" s="4">
        <v>0.43055555555555558</v>
      </c>
      <c r="BU674" t="s">
        <v>1423</v>
      </c>
      <c r="BV674" t="s">
        <v>86</v>
      </c>
      <c r="BY674">
        <v>88320</v>
      </c>
      <c r="BZ674" t="s">
        <v>30</v>
      </c>
      <c r="CA674" t="s">
        <v>1424</v>
      </c>
      <c r="CC674" t="s">
        <v>118</v>
      </c>
      <c r="CD674">
        <v>2188</v>
      </c>
      <c r="CE674" t="s">
        <v>96</v>
      </c>
      <c r="CF674" s="3">
        <v>45786</v>
      </c>
      <c r="CI674">
        <v>1</v>
      </c>
      <c r="CJ674">
        <v>1</v>
      </c>
      <c r="CK674">
        <v>42</v>
      </c>
      <c r="CL674" t="s">
        <v>89</v>
      </c>
    </row>
    <row r="675" spans="1:90" x14ac:dyDescent="0.3">
      <c r="A675" t="s">
        <v>72</v>
      </c>
      <c r="B675" t="s">
        <v>73</v>
      </c>
      <c r="C675" t="s">
        <v>74</v>
      </c>
      <c r="E675" t="str">
        <f>"080065257307"</f>
        <v>080065257307</v>
      </c>
      <c r="F675" s="3">
        <v>45785</v>
      </c>
      <c r="G675">
        <v>202602</v>
      </c>
      <c r="H675" t="s">
        <v>75</v>
      </c>
      <c r="I675" t="s">
        <v>76</v>
      </c>
      <c r="J675" t="s">
        <v>77</v>
      </c>
      <c r="K675" t="s">
        <v>78</v>
      </c>
      <c r="L675" t="s">
        <v>79</v>
      </c>
      <c r="M675" t="s">
        <v>80</v>
      </c>
      <c r="N675" t="s">
        <v>880</v>
      </c>
      <c r="O675" t="s">
        <v>82</v>
      </c>
      <c r="P675" t="str">
        <f>"4170037425                    "</f>
        <v xml:space="preserve">4170037425                    </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37.409999999999997</v>
      </c>
      <c r="AR675">
        <v>0</v>
      </c>
      <c r="AS675">
        <v>0</v>
      </c>
      <c r="AT675">
        <v>0</v>
      </c>
      <c r="AU675">
        <v>0</v>
      </c>
      <c r="AV675">
        <v>0</v>
      </c>
      <c r="AW675">
        <v>0</v>
      </c>
      <c r="AX675">
        <v>0</v>
      </c>
      <c r="AY675">
        <v>0</v>
      </c>
      <c r="AZ675">
        <v>0</v>
      </c>
      <c r="BA675">
        <v>0</v>
      </c>
      <c r="BB675">
        <v>0</v>
      </c>
      <c r="BC675">
        <v>0</v>
      </c>
      <c r="BD675">
        <v>0</v>
      </c>
      <c r="BE675">
        <v>0</v>
      </c>
      <c r="BF675">
        <v>0</v>
      </c>
      <c r="BG675">
        <v>0</v>
      </c>
      <c r="BH675">
        <v>1</v>
      </c>
      <c r="BI675">
        <v>3</v>
      </c>
      <c r="BJ675">
        <v>3.2</v>
      </c>
      <c r="BK675">
        <v>3.5</v>
      </c>
      <c r="BL675">
        <v>122.43</v>
      </c>
      <c r="BM675">
        <v>18.36</v>
      </c>
      <c r="BN675">
        <v>140.79</v>
      </c>
      <c r="BO675">
        <v>140.79</v>
      </c>
      <c r="BQ675" t="s">
        <v>881</v>
      </c>
      <c r="BR675" t="s">
        <v>84</v>
      </c>
      <c r="BS675" s="3">
        <v>45786</v>
      </c>
      <c r="BT675" s="4">
        <v>0.38194444444444442</v>
      </c>
      <c r="BU675" t="s">
        <v>882</v>
      </c>
      <c r="BV675" t="s">
        <v>86</v>
      </c>
      <c r="BY675">
        <v>16128</v>
      </c>
      <c r="CA675" t="s">
        <v>160</v>
      </c>
      <c r="CC675" t="s">
        <v>80</v>
      </c>
      <c r="CD675">
        <v>3620</v>
      </c>
      <c r="CE675" t="s">
        <v>550</v>
      </c>
      <c r="CF675" s="3">
        <v>45789</v>
      </c>
      <c r="CI675">
        <v>1</v>
      </c>
      <c r="CJ675">
        <v>1</v>
      </c>
      <c r="CK675">
        <v>21</v>
      </c>
      <c r="CL675" t="s">
        <v>89</v>
      </c>
    </row>
    <row r="676" spans="1:90" x14ac:dyDescent="0.3">
      <c r="A676" t="s">
        <v>72</v>
      </c>
      <c r="B676" t="s">
        <v>73</v>
      </c>
      <c r="C676" t="s">
        <v>74</v>
      </c>
      <c r="E676" t="str">
        <f>"080065257320"</f>
        <v>080065257320</v>
      </c>
      <c r="F676" s="3">
        <v>45785</v>
      </c>
      <c r="G676">
        <v>202602</v>
      </c>
      <c r="H676" t="s">
        <v>75</v>
      </c>
      <c r="I676" t="s">
        <v>76</v>
      </c>
      <c r="J676" t="s">
        <v>77</v>
      </c>
      <c r="K676" t="s">
        <v>78</v>
      </c>
      <c r="L676" t="s">
        <v>117</v>
      </c>
      <c r="M676" t="s">
        <v>118</v>
      </c>
      <c r="N676" t="s">
        <v>1019</v>
      </c>
      <c r="O676" t="s">
        <v>82</v>
      </c>
      <c r="P676" t="str">
        <f>"4170037475                    "</f>
        <v xml:space="preserve">4170037475                    </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16.7</v>
      </c>
      <c r="AR676">
        <v>0</v>
      </c>
      <c r="AS676">
        <v>0</v>
      </c>
      <c r="AT676">
        <v>0</v>
      </c>
      <c r="AU676">
        <v>0</v>
      </c>
      <c r="AV676">
        <v>0</v>
      </c>
      <c r="AW676">
        <v>0</v>
      </c>
      <c r="AX676">
        <v>0</v>
      </c>
      <c r="AY676">
        <v>0</v>
      </c>
      <c r="AZ676">
        <v>0</v>
      </c>
      <c r="BA676">
        <v>0</v>
      </c>
      <c r="BB676">
        <v>0</v>
      </c>
      <c r="BC676">
        <v>0</v>
      </c>
      <c r="BD676">
        <v>0</v>
      </c>
      <c r="BE676">
        <v>0</v>
      </c>
      <c r="BF676">
        <v>0</v>
      </c>
      <c r="BG676">
        <v>0</v>
      </c>
      <c r="BH676">
        <v>1</v>
      </c>
      <c r="BI676">
        <v>2</v>
      </c>
      <c r="BJ676">
        <v>4.0999999999999996</v>
      </c>
      <c r="BK676">
        <v>5</v>
      </c>
      <c r="BL676">
        <v>54.66</v>
      </c>
      <c r="BM676">
        <v>8.1999999999999993</v>
      </c>
      <c r="BN676">
        <v>62.86</v>
      </c>
      <c r="BO676">
        <v>62.86</v>
      </c>
      <c r="BQ676" t="s">
        <v>1020</v>
      </c>
      <c r="BR676" t="s">
        <v>84</v>
      </c>
      <c r="BS676" s="3">
        <v>45786</v>
      </c>
      <c r="BT676" s="4">
        <v>0.36805555555555558</v>
      </c>
      <c r="BU676" t="s">
        <v>1021</v>
      </c>
      <c r="BV676" t="s">
        <v>86</v>
      </c>
      <c r="BY676">
        <v>20358</v>
      </c>
      <c r="CA676" t="s">
        <v>275</v>
      </c>
      <c r="CC676" t="s">
        <v>118</v>
      </c>
      <c r="CD676">
        <v>2013</v>
      </c>
      <c r="CE676" t="s">
        <v>96</v>
      </c>
      <c r="CF676" s="3">
        <v>45787</v>
      </c>
      <c r="CI676">
        <v>1</v>
      </c>
      <c r="CJ676">
        <v>1</v>
      </c>
      <c r="CK676">
        <v>22</v>
      </c>
      <c r="CL676" t="s">
        <v>89</v>
      </c>
    </row>
    <row r="677" spans="1:90" x14ac:dyDescent="0.3">
      <c r="A677" t="s">
        <v>72</v>
      </c>
      <c r="B677" t="s">
        <v>73</v>
      </c>
      <c r="C677" t="s">
        <v>74</v>
      </c>
      <c r="E677" t="str">
        <f>"080065257367"</f>
        <v>080065257367</v>
      </c>
      <c r="F677" s="3">
        <v>45785</v>
      </c>
      <c r="G677">
        <v>202602</v>
      </c>
      <c r="H677" t="s">
        <v>75</v>
      </c>
      <c r="I677" t="s">
        <v>76</v>
      </c>
      <c r="J677" t="s">
        <v>77</v>
      </c>
      <c r="K677" t="s">
        <v>78</v>
      </c>
      <c r="L677" t="s">
        <v>259</v>
      </c>
      <c r="M677" t="s">
        <v>260</v>
      </c>
      <c r="N677" t="s">
        <v>261</v>
      </c>
      <c r="O677" t="s">
        <v>300</v>
      </c>
      <c r="P677" t="str">
        <f>"4170037467                    "</f>
        <v xml:space="preserve">4170037467                    </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58.32</v>
      </c>
      <c r="AR677">
        <v>0</v>
      </c>
      <c r="AS677">
        <v>0</v>
      </c>
      <c r="AT677">
        <v>0</v>
      </c>
      <c r="AU677">
        <v>0</v>
      </c>
      <c r="AV677">
        <v>0</v>
      </c>
      <c r="AW677">
        <v>16.739999999999998</v>
      </c>
      <c r="AX677">
        <v>0</v>
      </c>
      <c r="AY677">
        <v>0</v>
      </c>
      <c r="AZ677">
        <v>0</v>
      </c>
      <c r="BA677">
        <v>0</v>
      </c>
      <c r="BB677">
        <v>0</v>
      </c>
      <c r="BC677">
        <v>0</v>
      </c>
      <c r="BD677">
        <v>0</v>
      </c>
      <c r="BE677">
        <v>0</v>
      </c>
      <c r="BF677">
        <v>0</v>
      </c>
      <c r="BG677">
        <v>0</v>
      </c>
      <c r="BH677">
        <v>2</v>
      </c>
      <c r="BI677">
        <v>4</v>
      </c>
      <c r="BJ677">
        <v>12.3</v>
      </c>
      <c r="BK677">
        <v>13</v>
      </c>
      <c r="BL677">
        <v>213.18</v>
      </c>
      <c r="BM677">
        <v>31.98</v>
      </c>
      <c r="BN677">
        <v>245.16</v>
      </c>
      <c r="BO677">
        <v>245.16</v>
      </c>
      <c r="BQ677" t="s">
        <v>262</v>
      </c>
      <c r="BR677" t="s">
        <v>84</v>
      </c>
      <c r="BS677" s="3">
        <v>45786</v>
      </c>
      <c r="BT677" s="4">
        <v>0.61805555555555558</v>
      </c>
      <c r="BU677" t="s">
        <v>1425</v>
      </c>
      <c r="BV677" t="s">
        <v>86</v>
      </c>
      <c r="BY677">
        <v>61398</v>
      </c>
      <c r="BZ677" t="s">
        <v>30</v>
      </c>
      <c r="CA677" t="s">
        <v>1426</v>
      </c>
      <c r="CC677" t="s">
        <v>260</v>
      </c>
      <c r="CD677" s="5" t="s">
        <v>265</v>
      </c>
      <c r="CE677" t="s">
        <v>96</v>
      </c>
      <c r="CF677" s="3">
        <v>45786</v>
      </c>
      <c r="CI677">
        <v>1</v>
      </c>
      <c r="CJ677">
        <v>1</v>
      </c>
      <c r="CK677">
        <v>43</v>
      </c>
      <c r="CL677" t="s">
        <v>89</v>
      </c>
    </row>
    <row r="678" spans="1:90" x14ac:dyDescent="0.3">
      <c r="A678" t="s">
        <v>72</v>
      </c>
      <c r="B678" t="s">
        <v>73</v>
      </c>
      <c r="C678" t="s">
        <v>74</v>
      </c>
      <c r="E678" t="str">
        <f>"080065257459"</f>
        <v>080065257459</v>
      </c>
      <c r="F678" s="3">
        <v>45785</v>
      </c>
      <c r="G678">
        <v>202602</v>
      </c>
      <c r="H678" t="s">
        <v>75</v>
      </c>
      <c r="I678" t="s">
        <v>76</v>
      </c>
      <c r="J678" t="s">
        <v>77</v>
      </c>
      <c r="K678" t="s">
        <v>78</v>
      </c>
      <c r="L678" t="s">
        <v>130</v>
      </c>
      <c r="M678" t="s">
        <v>131</v>
      </c>
      <c r="N678" t="s">
        <v>343</v>
      </c>
      <c r="O678" t="s">
        <v>82</v>
      </c>
      <c r="P678" t="str">
        <f>"4170037463                    "</f>
        <v xml:space="preserve">4170037463                    </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48.09</v>
      </c>
      <c r="AR678">
        <v>0</v>
      </c>
      <c r="AS678">
        <v>0</v>
      </c>
      <c r="AT678">
        <v>0</v>
      </c>
      <c r="AU678">
        <v>0</v>
      </c>
      <c r="AV678">
        <v>0</v>
      </c>
      <c r="AW678">
        <v>0</v>
      </c>
      <c r="AX678">
        <v>0</v>
      </c>
      <c r="AY678">
        <v>0</v>
      </c>
      <c r="AZ678">
        <v>0</v>
      </c>
      <c r="BA678">
        <v>0</v>
      </c>
      <c r="BB678">
        <v>0</v>
      </c>
      <c r="BC678">
        <v>0</v>
      </c>
      <c r="BD678">
        <v>0</v>
      </c>
      <c r="BE678">
        <v>0</v>
      </c>
      <c r="BF678">
        <v>0</v>
      </c>
      <c r="BG678">
        <v>0</v>
      </c>
      <c r="BH678">
        <v>1</v>
      </c>
      <c r="BI678">
        <v>2</v>
      </c>
      <c r="BJ678">
        <v>4.5</v>
      </c>
      <c r="BK678">
        <v>4.5</v>
      </c>
      <c r="BL678">
        <v>157.38999999999999</v>
      </c>
      <c r="BM678">
        <v>23.61</v>
      </c>
      <c r="BN678">
        <v>181</v>
      </c>
      <c r="BO678">
        <v>181</v>
      </c>
      <c r="BQ678" t="s">
        <v>344</v>
      </c>
      <c r="BR678" t="s">
        <v>84</v>
      </c>
      <c r="BS678" s="3">
        <v>45786</v>
      </c>
      <c r="BT678" s="4">
        <v>0.39791666666666664</v>
      </c>
      <c r="BU678" t="s">
        <v>1427</v>
      </c>
      <c r="BV678" t="s">
        <v>86</v>
      </c>
      <c r="BY678">
        <v>22620</v>
      </c>
      <c r="CC678" t="s">
        <v>131</v>
      </c>
      <c r="CD678">
        <v>7441</v>
      </c>
      <c r="CE678" t="s">
        <v>96</v>
      </c>
      <c r="CF678" s="3">
        <v>45789</v>
      </c>
      <c r="CI678">
        <v>1</v>
      </c>
      <c r="CJ678">
        <v>1</v>
      </c>
      <c r="CK678">
        <v>21</v>
      </c>
      <c r="CL678" t="s">
        <v>89</v>
      </c>
    </row>
    <row r="679" spans="1:90" x14ac:dyDescent="0.3">
      <c r="A679" t="s">
        <v>72</v>
      </c>
      <c r="B679" t="s">
        <v>73</v>
      </c>
      <c r="C679" t="s">
        <v>74</v>
      </c>
      <c r="E679" t="str">
        <f>"080065257501"</f>
        <v>080065257501</v>
      </c>
      <c r="F679" s="3">
        <v>45785</v>
      </c>
      <c r="G679">
        <v>202602</v>
      </c>
      <c r="H679" t="s">
        <v>75</v>
      </c>
      <c r="I679" t="s">
        <v>76</v>
      </c>
      <c r="J679" t="s">
        <v>77</v>
      </c>
      <c r="K679" t="s">
        <v>78</v>
      </c>
      <c r="L679" t="s">
        <v>445</v>
      </c>
      <c r="M679" t="s">
        <v>446</v>
      </c>
      <c r="N679" t="s">
        <v>447</v>
      </c>
      <c r="O679" t="s">
        <v>300</v>
      </c>
      <c r="P679" t="str">
        <f>"4170037495                    "</f>
        <v xml:space="preserve">4170037495                    </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67.260000000000005</v>
      </c>
      <c r="AR679">
        <v>0</v>
      </c>
      <c r="AS679">
        <v>0</v>
      </c>
      <c r="AT679">
        <v>0</v>
      </c>
      <c r="AU679">
        <v>0</v>
      </c>
      <c r="AV679">
        <v>0</v>
      </c>
      <c r="AW679">
        <v>0</v>
      </c>
      <c r="AX679">
        <v>0</v>
      </c>
      <c r="AY679">
        <v>0</v>
      </c>
      <c r="AZ679">
        <v>0</v>
      </c>
      <c r="BA679">
        <v>0</v>
      </c>
      <c r="BB679">
        <v>0</v>
      </c>
      <c r="BC679">
        <v>0</v>
      </c>
      <c r="BD679">
        <v>0</v>
      </c>
      <c r="BE679">
        <v>0</v>
      </c>
      <c r="BF679">
        <v>0</v>
      </c>
      <c r="BG679">
        <v>0</v>
      </c>
      <c r="BH679">
        <v>1</v>
      </c>
      <c r="BI679">
        <v>12</v>
      </c>
      <c r="BJ679">
        <v>17.7</v>
      </c>
      <c r="BK679">
        <v>18</v>
      </c>
      <c r="BL679">
        <v>225.69</v>
      </c>
      <c r="BM679">
        <v>33.85</v>
      </c>
      <c r="BN679">
        <v>259.54000000000002</v>
      </c>
      <c r="BO679">
        <v>259.54000000000002</v>
      </c>
      <c r="BQ679" t="s">
        <v>448</v>
      </c>
      <c r="BR679" t="s">
        <v>84</v>
      </c>
      <c r="BS679" s="3">
        <v>45791</v>
      </c>
      <c r="BT679" s="4">
        <v>0.54513888888888884</v>
      </c>
      <c r="BU679" t="s">
        <v>1428</v>
      </c>
      <c r="BV679" t="s">
        <v>89</v>
      </c>
      <c r="BW679" t="s">
        <v>296</v>
      </c>
      <c r="BX679" t="s">
        <v>1365</v>
      </c>
      <c r="BY679">
        <v>88320</v>
      </c>
      <c r="CC679" t="s">
        <v>446</v>
      </c>
      <c r="CD679">
        <v>4399</v>
      </c>
      <c r="CE679" t="s">
        <v>96</v>
      </c>
      <c r="CF679" s="3">
        <v>45792</v>
      </c>
      <c r="CI679">
        <v>1</v>
      </c>
      <c r="CJ679">
        <v>4</v>
      </c>
      <c r="CK679">
        <v>43</v>
      </c>
      <c r="CL679" t="s">
        <v>89</v>
      </c>
    </row>
    <row r="680" spans="1:90" x14ac:dyDescent="0.3">
      <c r="A680" t="s">
        <v>72</v>
      </c>
      <c r="B680" t="s">
        <v>73</v>
      </c>
      <c r="C680" t="s">
        <v>74</v>
      </c>
      <c r="E680" t="str">
        <f>"080065257535"</f>
        <v>080065257535</v>
      </c>
      <c r="F680" s="3">
        <v>45785</v>
      </c>
      <c r="G680">
        <v>202602</v>
      </c>
      <c r="H680" t="s">
        <v>75</v>
      </c>
      <c r="I680" t="s">
        <v>76</v>
      </c>
      <c r="J680" t="s">
        <v>77</v>
      </c>
      <c r="K680" t="s">
        <v>78</v>
      </c>
      <c r="L680" t="s">
        <v>123</v>
      </c>
      <c r="M680" t="s">
        <v>123</v>
      </c>
      <c r="N680" t="s">
        <v>593</v>
      </c>
      <c r="O680" t="s">
        <v>82</v>
      </c>
      <c r="P680" t="str">
        <f>"4170037408                    "</f>
        <v xml:space="preserve">4170037408                    </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88.2</v>
      </c>
      <c r="AR680">
        <v>0</v>
      </c>
      <c r="AS680">
        <v>0</v>
      </c>
      <c r="AT680">
        <v>0</v>
      </c>
      <c r="AU680">
        <v>0</v>
      </c>
      <c r="AV680">
        <v>0</v>
      </c>
      <c r="AW680">
        <v>0</v>
      </c>
      <c r="AX680">
        <v>0</v>
      </c>
      <c r="AY680">
        <v>0</v>
      </c>
      <c r="AZ680">
        <v>0</v>
      </c>
      <c r="BA680">
        <v>0</v>
      </c>
      <c r="BB680">
        <v>0</v>
      </c>
      <c r="BC680">
        <v>0</v>
      </c>
      <c r="BD680">
        <v>0</v>
      </c>
      <c r="BE680">
        <v>0</v>
      </c>
      <c r="BF680">
        <v>0</v>
      </c>
      <c r="BG680">
        <v>0</v>
      </c>
      <c r="BH680">
        <v>1</v>
      </c>
      <c r="BI680">
        <v>1</v>
      </c>
      <c r="BJ680">
        <v>4.0999999999999996</v>
      </c>
      <c r="BK680">
        <v>4.5</v>
      </c>
      <c r="BL680">
        <v>288.66000000000003</v>
      </c>
      <c r="BM680">
        <v>43.3</v>
      </c>
      <c r="BN680">
        <v>331.96</v>
      </c>
      <c r="BO680">
        <v>331.96</v>
      </c>
      <c r="BQ680" t="s">
        <v>594</v>
      </c>
      <c r="BR680" t="s">
        <v>84</v>
      </c>
      <c r="BS680" s="3">
        <v>45786</v>
      </c>
      <c r="BT680" s="4">
        <v>0.51458333333333328</v>
      </c>
      <c r="BU680" t="s">
        <v>595</v>
      </c>
      <c r="BV680" t="s">
        <v>86</v>
      </c>
      <c r="BY680">
        <v>20358</v>
      </c>
      <c r="CA680" t="s">
        <v>128</v>
      </c>
      <c r="CC680" t="s">
        <v>123</v>
      </c>
      <c r="CD680">
        <v>7646</v>
      </c>
      <c r="CE680" t="s">
        <v>96</v>
      </c>
      <c r="CF680" s="3">
        <v>45789</v>
      </c>
      <c r="CI680">
        <v>1</v>
      </c>
      <c r="CJ680">
        <v>1</v>
      </c>
      <c r="CK680">
        <v>23</v>
      </c>
      <c r="CL680" t="s">
        <v>89</v>
      </c>
    </row>
    <row r="681" spans="1:90" x14ac:dyDescent="0.3">
      <c r="A681" t="s">
        <v>72</v>
      </c>
      <c r="B681" t="s">
        <v>73</v>
      </c>
      <c r="C681" t="s">
        <v>74</v>
      </c>
      <c r="E681" t="str">
        <f>"080065269753"</f>
        <v>080065269753</v>
      </c>
      <c r="F681" s="3">
        <v>45786</v>
      </c>
      <c r="G681">
        <v>202602</v>
      </c>
      <c r="H681" t="s">
        <v>75</v>
      </c>
      <c r="I681" t="s">
        <v>76</v>
      </c>
      <c r="J681" t="s">
        <v>77</v>
      </c>
      <c r="K681" t="s">
        <v>78</v>
      </c>
      <c r="L681" t="s">
        <v>97</v>
      </c>
      <c r="M681" t="s">
        <v>98</v>
      </c>
      <c r="N681" t="s">
        <v>1269</v>
      </c>
      <c r="O681" t="s">
        <v>602</v>
      </c>
      <c r="P681" t="str">
        <f>"4170037525                    "</f>
        <v xml:space="preserve">4170037525                    </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c r="AQ681">
        <v>24.2</v>
      </c>
      <c r="AR681">
        <v>0</v>
      </c>
      <c r="AS681">
        <v>0</v>
      </c>
      <c r="AT681">
        <v>0</v>
      </c>
      <c r="AU681">
        <v>0</v>
      </c>
      <c r="AV681">
        <v>0</v>
      </c>
      <c r="AW681">
        <v>0</v>
      </c>
      <c r="AX681">
        <v>0</v>
      </c>
      <c r="AY681">
        <v>0</v>
      </c>
      <c r="AZ681">
        <v>0</v>
      </c>
      <c r="BA681">
        <v>0</v>
      </c>
      <c r="BB681">
        <v>0</v>
      </c>
      <c r="BC681">
        <v>0</v>
      </c>
      <c r="BD681">
        <v>0</v>
      </c>
      <c r="BE681">
        <v>0</v>
      </c>
      <c r="BF681">
        <v>0</v>
      </c>
      <c r="BG681">
        <v>0</v>
      </c>
      <c r="BH681">
        <v>1</v>
      </c>
      <c r="BI681">
        <v>12</v>
      </c>
      <c r="BJ681">
        <v>7.3</v>
      </c>
      <c r="BK681">
        <v>12</v>
      </c>
      <c r="BL681">
        <v>79.209999999999994</v>
      </c>
      <c r="BM681">
        <v>11.88</v>
      </c>
      <c r="BN681">
        <v>91.09</v>
      </c>
      <c r="BO681">
        <v>91.09</v>
      </c>
      <c r="BQ681" t="s">
        <v>1270</v>
      </c>
      <c r="BR681" t="s">
        <v>84</v>
      </c>
      <c r="BS681" s="3">
        <v>45787</v>
      </c>
      <c r="BT681" s="4">
        <v>0.44513888888888886</v>
      </c>
      <c r="BU681" t="s">
        <v>1429</v>
      </c>
      <c r="BV681" t="s">
        <v>86</v>
      </c>
      <c r="BY681">
        <v>36344</v>
      </c>
      <c r="CA681" t="s">
        <v>1081</v>
      </c>
      <c r="CC681" t="s">
        <v>98</v>
      </c>
      <c r="CD681">
        <v>1460</v>
      </c>
      <c r="CE681" t="s">
        <v>221</v>
      </c>
      <c r="CF681" s="3">
        <v>45789</v>
      </c>
      <c r="CI681">
        <v>1</v>
      </c>
      <c r="CJ681">
        <v>0</v>
      </c>
      <c r="CK681">
        <v>32</v>
      </c>
      <c r="CL681" t="s">
        <v>89</v>
      </c>
    </row>
    <row r="682" spans="1:90" x14ac:dyDescent="0.3">
      <c r="A682" t="s">
        <v>72</v>
      </c>
      <c r="B682" t="s">
        <v>73</v>
      </c>
      <c r="C682" t="s">
        <v>74</v>
      </c>
      <c r="E682" t="str">
        <f>"080065275787"</f>
        <v>080065275787</v>
      </c>
      <c r="F682" s="3">
        <v>45786</v>
      </c>
      <c r="G682">
        <v>202602</v>
      </c>
      <c r="H682" t="s">
        <v>75</v>
      </c>
      <c r="I682" t="s">
        <v>76</v>
      </c>
      <c r="J682" t="s">
        <v>77</v>
      </c>
      <c r="K682" t="s">
        <v>78</v>
      </c>
      <c r="L682" t="s">
        <v>1099</v>
      </c>
      <c r="M682" t="s">
        <v>1100</v>
      </c>
      <c r="N682" t="s">
        <v>1430</v>
      </c>
      <c r="O682" t="s">
        <v>300</v>
      </c>
      <c r="P682" t="str">
        <f>"4170037492                    "</f>
        <v xml:space="preserve">4170037492                    </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466.42</v>
      </c>
      <c r="AR682">
        <v>0</v>
      </c>
      <c r="AS682">
        <v>0</v>
      </c>
      <c r="AT682">
        <v>0</v>
      </c>
      <c r="AU682">
        <v>0</v>
      </c>
      <c r="AV682">
        <v>0</v>
      </c>
      <c r="AW682">
        <v>0</v>
      </c>
      <c r="AX682">
        <v>0</v>
      </c>
      <c r="AY682">
        <v>0</v>
      </c>
      <c r="AZ682">
        <v>0</v>
      </c>
      <c r="BA682">
        <v>0</v>
      </c>
      <c r="BB682">
        <v>0</v>
      </c>
      <c r="BC682">
        <v>0</v>
      </c>
      <c r="BD682">
        <v>0</v>
      </c>
      <c r="BE682">
        <v>0</v>
      </c>
      <c r="BF682">
        <v>0</v>
      </c>
      <c r="BG682">
        <v>0</v>
      </c>
      <c r="BH682">
        <v>1</v>
      </c>
      <c r="BI682">
        <v>56</v>
      </c>
      <c r="BJ682">
        <v>151.4</v>
      </c>
      <c r="BK682">
        <v>152</v>
      </c>
      <c r="BL682">
        <v>1532.03</v>
      </c>
      <c r="BM682">
        <v>229.8</v>
      </c>
      <c r="BN682">
        <v>1761.83</v>
      </c>
      <c r="BO682">
        <v>1761.83</v>
      </c>
      <c r="BQ682" t="s">
        <v>1431</v>
      </c>
      <c r="BR682" t="s">
        <v>84</v>
      </c>
      <c r="BS682" s="3">
        <v>45792</v>
      </c>
      <c r="BT682" s="4">
        <v>0.34375</v>
      </c>
      <c r="BU682" t="s">
        <v>1432</v>
      </c>
      <c r="BV682" t="s">
        <v>89</v>
      </c>
      <c r="BW682" t="s">
        <v>434</v>
      </c>
      <c r="BX682" t="s">
        <v>1290</v>
      </c>
      <c r="BY682">
        <v>757188</v>
      </c>
      <c r="CC682" t="s">
        <v>1100</v>
      </c>
      <c r="CD682" s="5" t="s">
        <v>1291</v>
      </c>
      <c r="CE682" t="s">
        <v>546</v>
      </c>
      <c r="CF682" s="3">
        <v>45793</v>
      </c>
      <c r="CI682">
        <v>1</v>
      </c>
      <c r="CJ682">
        <v>4</v>
      </c>
      <c r="CK682">
        <v>43</v>
      </c>
      <c r="CL682" t="s">
        <v>89</v>
      </c>
    </row>
    <row r="683" spans="1:90" x14ac:dyDescent="0.3">
      <c r="A683" t="s">
        <v>72</v>
      </c>
      <c r="B683" t="s">
        <v>73</v>
      </c>
      <c r="C683" t="s">
        <v>74</v>
      </c>
      <c r="E683" t="str">
        <f>"080065275866"</f>
        <v>080065275866</v>
      </c>
      <c r="F683" s="3">
        <v>45786</v>
      </c>
      <c r="G683">
        <v>202602</v>
      </c>
      <c r="H683" t="s">
        <v>75</v>
      </c>
      <c r="I683" t="s">
        <v>76</v>
      </c>
      <c r="J683" t="s">
        <v>77</v>
      </c>
      <c r="K683" t="s">
        <v>78</v>
      </c>
      <c r="L683" t="s">
        <v>136</v>
      </c>
      <c r="M683" t="s">
        <v>137</v>
      </c>
      <c r="N683" t="s">
        <v>161</v>
      </c>
      <c r="O683" t="s">
        <v>300</v>
      </c>
      <c r="P683" t="str">
        <f>"4170037493                    "</f>
        <v xml:space="preserve">4170037493                    </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58.42</v>
      </c>
      <c r="AR683">
        <v>0</v>
      </c>
      <c r="AS683">
        <v>0</v>
      </c>
      <c r="AT683">
        <v>0</v>
      </c>
      <c r="AU683">
        <v>0</v>
      </c>
      <c r="AV683">
        <v>0</v>
      </c>
      <c r="AW683">
        <v>0</v>
      </c>
      <c r="AX683">
        <v>0</v>
      </c>
      <c r="AY683">
        <v>0</v>
      </c>
      <c r="AZ683">
        <v>0</v>
      </c>
      <c r="BA683">
        <v>0</v>
      </c>
      <c r="BB683">
        <v>0</v>
      </c>
      <c r="BC683">
        <v>0</v>
      </c>
      <c r="BD683">
        <v>0</v>
      </c>
      <c r="BE683">
        <v>0</v>
      </c>
      <c r="BF683">
        <v>0</v>
      </c>
      <c r="BG683">
        <v>0</v>
      </c>
      <c r="BH683">
        <v>1</v>
      </c>
      <c r="BI683">
        <v>25</v>
      </c>
      <c r="BJ683">
        <v>18.7</v>
      </c>
      <c r="BK683">
        <v>25</v>
      </c>
      <c r="BL683">
        <v>196.77</v>
      </c>
      <c r="BM683">
        <v>29.52</v>
      </c>
      <c r="BN683">
        <v>226.29</v>
      </c>
      <c r="BO683">
        <v>226.29</v>
      </c>
      <c r="BQ683" t="s">
        <v>162</v>
      </c>
      <c r="BR683" t="s">
        <v>84</v>
      </c>
      <c r="BS683" s="3">
        <v>45789</v>
      </c>
      <c r="BT683" s="4">
        <v>0.77083333333333337</v>
      </c>
      <c r="BU683" t="s">
        <v>1433</v>
      </c>
      <c r="BV683" t="s">
        <v>86</v>
      </c>
      <c r="BY683">
        <v>93600</v>
      </c>
      <c r="CC683" t="s">
        <v>137</v>
      </c>
      <c r="CD683" s="5" t="s">
        <v>165</v>
      </c>
      <c r="CE683" t="s">
        <v>1434</v>
      </c>
      <c r="CF683" s="3">
        <v>45789</v>
      </c>
      <c r="CI683">
        <v>1</v>
      </c>
      <c r="CJ683">
        <v>1</v>
      </c>
      <c r="CK683">
        <v>41</v>
      </c>
      <c r="CL683" t="s">
        <v>89</v>
      </c>
    </row>
    <row r="684" spans="1:90" x14ac:dyDescent="0.3">
      <c r="A684" t="s">
        <v>72</v>
      </c>
      <c r="B684" t="s">
        <v>73</v>
      </c>
      <c r="C684" t="s">
        <v>74</v>
      </c>
      <c r="E684" t="str">
        <f>"080065276011"</f>
        <v>080065276011</v>
      </c>
      <c r="F684" s="3">
        <v>45786</v>
      </c>
      <c r="G684">
        <v>202602</v>
      </c>
      <c r="H684" t="s">
        <v>75</v>
      </c>
      <c r="I684" t="s">
        <v>76</v>
      </c>
      <c r="J684" t="s">
        <v>77</v>
      </c>
      <c r="K684" t="s">
        <v>78</v>
      </c>
      <c r="L684" t="s">
        <v>90</v>
      </c>
      <c r="M684" t="s">
        <v>91</v>
      </c>
      <c r="N684" t="s">
        <v>639</v>
      </c>
      <c r="O684" t="s">
        <v>82</v>
      </c>
      <c r="P684" t="str">
        <f>"4170037578                    "</f>
        <v xml:space="preserve">4170037578                    </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21.38</v>
      </c>
      <c r="AR684">
        <v>0</v>
      </c>
      <c r="AS684">
        <v>0</v>
      </c>
      <c r="AT684">
        <v>0</v>
      </c>
      <c r="AU684">
        <v>0</v>
      </c>
      <c r="AV684">
        <v>0</v>
      </c>
      <c r="AW684">
        <v>0</v>
      </c>
      <c r="AX684">
        <v>0</v>
      </c>
      <c r="AY684">
        <v>0</v>
      </c>
      <c r="AZ684">
        <v>0</v>
      </c>
      <c r="BA684">
        <v>0</v>
      </c>
      <c r="BB684">
        <v>0</v>
      </c>
      <c r="BC684">
        <v>0</v>
      </c>
      <c r="BD684">
        <v>0</v>
      </c>
      <c r="BE684">
        <v>0</v>
      </c>
      <c r="BF684">
        <v>0</v>
      </c>
      <c r="BG684">
        <v>0</v>
      </c>
      <c r="BH684">
        <v>1</v>
      </c>
      <c r="BI684">
        <v>1</v>
      </c>
      <c r="BJ684">
        <v>0.2</v>
      </c>
      <c r="BK684">
        <v>1</v>
      </c>
      <c r="BL684">
        <v>69.98</v>
      </c>
      <c r="BM684">
        <v>10.5</v>
      </c>
      <c r="BN684">
        <v>80.48</v>
      </c>
      <c r="BO684">
        <v>80.48</v>
      </c>
      <c r="BQ684" t="s">
        <v>640</v>
      </c>
      <c r="BR684" t="s">
        <v>84</v>
      </c>
      <c r="BS684" s="3">
        <v>45789</v>
      </c>
      <c r="BT684" s="4">
        <v>0.36388888888888887</v>
      </c>
      <c r="BU684" t="s">
        <v>1435</v>
      </c>
      <c r="BV684" t="s">
        <v>86</v>
      </c>
      <c r="BY684">
        <v>1200</v>
      </c>
      <c r="CA684" t="s">
        <v>271</v>
      </c>
      <c r="CC684" t="s">
        <v>91</v>
      </c>
      <c r="CD684">
        <v>6001</v>
      </c>
      <c r="CE684" t="s">
        <v>88</v>
      </c>
      <c r="CF684" s="3">
        <v>45789</v>
      </c>
      <c r="CI684">
        <v>1</v>
      </c>
      <c r="CJ684">
        <v>1</v>
      </c>
      <c r="CK684">
        <v>21</v>
      </c>
      <c r="CL684" t="s">
        <v>89</v>
      </c>
    </row>
    <row r="685" spans="1:90" x14ac:dyDescent="0.3">
      <c r="A685" t="s">
        <v>72</v>
      </c>
      <c r="B685" t="s">
        <v>73</v>
      </c>
      <c r="C685" t="s">
        <v>74</v>
      </c>
      <c r="E685" t="str">
        <f>"080065276055"</f>
        <v>080065276055</v>
      </c>
      <c r="F685" s="3">
        <v>45786</v>
      </c>
      <c r="G685">
        <v>202602</v>
      </c>
      <c r="H685" t="s">
        <v>75</v>
      </c>
      <c r="I685" t="s">
        <v>76</v>
      </c>
      <c r="J685" t="s">
        <v>77</v>
      </c>
      <c r="K685" t="s">
        <v>78</v>
      </c>
      <c r="L685" t="s">
        <v>79</v>
      </c>
      <c r="M685" t="s">
        <v>80</v>
      </c>
      <c r="N685" t="s">
        <v>862</v>
      </c>
      <c r="O685" t="s">
        <v>82</v>
      </c>
      <c r="P685" t="str">
        <f>"4170037585                    "</f>
        <v xml:space="preserve">4170037585                    </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21.38</v>
      </c>
      <c r="AR685">
        <v>0</v>
      </c>
      <c r="AS685">
        <v>0</v>
      </c>
      <c r="AT685">
        <v>0</v>
      </c>
      <c r="AU685">
        <v>0</v>
      </c>
      <c r="AV685">
        <v>0</v>
      </c>
      <c r="AW685">
        <v>0</v>
      </c>
      <c r="AX685">
        <v>0</v>
      </c>
      <c r="AY685">
        <v>0</v>
      </c>
      <c r="AZ685">
        <v>0</v>
      </c>
      <c r="BA685">
        <v>0</v>
      </c>
      <c r="BB685">
        <v>0</v>
      </c>
      <c r="BC685">
        <v>0</v>
      </c>
      <c r="BD685">
        <v>0</v>
      </c>
      <c r="BE685">
        <v>0</v>
      </c>
      <c r="BF685">
        <v>0</v>
      </c>
      <c r="BG685">
        <v>0</v>
      </c>
      <c r="BH685">
        <v>1</v>
      </c>
      <c r="BI685">
        <v>1</v>
      </c>
      <c r="BJ685">
        <v>0.9</v>
      </c>
      <c r="BK685">
        <v>1</v>
      </c>
      <c r="BL685">
        <v>69.98</v>
      </c>
      <c r="BM685">
        <v>10.5</v>
      </c>
      <c r="BN685">
        <v>80.48</v>
      </c>
      <c r="BO685">
        <v>80.48</v>
      </c>
      <c r="BQ685" t="s">
        <v>863</v>
      </c>
      <c r="BR685" t="s">
        <v>84</v>
      </c>
      <c r="BS685" s="3">
        <v>45789</v>
      </c>
      <c r="BT685" s="4">
        <v>0.48055555555555557</v>
      </c>
      <c r="BU685" t="s">
        <v>864</v>
      </c>
      <c r="BV685" t="s">
        <v>86</v>
      </c>
      <c r="BY685">
        <v>4275</v>
      </c>
      <c r="CA685" t="s">
        <v>160</v>
      </c>
      <c r="CC685" t="s">
        <v>80</v>
      </c>
      <c r="CD685">
        <v>3610</v>
      </c>
      <c r="CE685" t="s">
        <v>116</v>
      </c>
      <c r="CF685" s="3">
        <v>45790</v>
      </c>
      <c r="CI685">
        <v>1</v>
      </c>
      <c r="CJ685">
        <v>1</v>
      </c>
      <c r="CK685">
        <v>21</v>
      </c>
      <c r="CL685" t="s">
        <v>89</v>
      </c>
    </row>
    <row r="686" spans="1:90" x14ac:dyDescent="0.3">
      <c r="A686" t="s">
        <v>72</v>
      </c>
      <c r="B686" t="s">
        <v>73</v>
      </c>
      <c r="C686" t="s">
        <v>74</v>
      </c>
      <c r="E686" t="str">
        <f>"080065276180"</f>
        <v>080065276180</v>
      </c>
      <c r="F686" s="3">
        <v>45786</v>
      </c>
      <c r="G686">
        <v>202602</v>
      </c>
      <c r="H686" t="s">
        <v>75</v>
      </c>
      <c r="I686" t="s">
        <v>76</v>
      </c>
      <c r="J686" t="s">
        <v>77</v>
      </c>
      <c r="K686" t="s">
        <v>78</v>
      </c>
      <c r="L686" t="s">
        <v>90</v>
      </c>
      <c r="M686" t="s">
        <v>91</v>
      </c>
      <c r="N686" t="s">
        <v>598</v>
      </c>
      <c r="O686" t="s">
        <v>300</v>
      </c>
      <c r="P686" t="str">
        <f>"4170037471                    "</f>
        <v xml:space="preserve">4170037471                    </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70.37</v>
      </c>
      <c r="AR686">
        <v>0</v>
      </c>
      <c r="AS686">
        <v>0</v>
      </c>
      <c r="AT686">
        <v>0</v>
      </c>
      <c r="AU686">
        <v>0</v>
      </c>
      <c r="AV686">
        <v>0</v>
      </c>
      <c r="AW686">
        <v>0</v>
      </c>
      <c r="AX686">
        <v>0</v>
      </c>
      <c r="AY686">
        <v>0</v>
      </c>
      <c r="AZ686">
        <v>0</v>
      </c>
      <c r="BA686">
        <v>0</v>
      </c>
      <c r="BB686">
        <v>0</v>
      </c>
      <c r="BC686">
        <v>0</v>
      </c>
      <c r="BD686">
        <v>0</v>
      </c>
      <c r="BE686">
        <v>0</v>
      </c>
      <c r="BF686">
        <v>0</v>
      </c>
      <c r="BG686">
        <v>0</v>
      </c>
      <c r="BH686">
        <v>2</v>
      </c>
      <c r="BI686">
        <v>14</v>
      </c>
      <c r="BJ686">
        <v>32</v>
      </c>
      <c r="BK686">
        <v>32</v>
      </c>
      <c r="BL686">
        <v>235.88</v>
      </c>
      <c r="BM686">
        <v>35.380000000000003</v>
      </c>
      <c r="BN686">
        <v>271.26</v>
      </c>
      <c r="BO686">
        <v>271.26</v>
      </c>
      <c r="BQ686" t="s">
        <v>599</v>
      </c>
      <c r="BR686" t="s">
        <v>84</v>
      </c>
      <c r="BS686" s="3">
        <v>45789</v>
      </c>
      <c r="BT686" s="4">
        <v>0.4513888888888889</v>
      </c>
      <c r="BU686" t="s">
        <v>734</v>
      </c>
      <c r="BV686" t="s">
        <v>86</v>
      </c>
      <c r="BY686">
        <v>159984</v>
      </c>
      <c r="CA686" t="s">
        <v>943</v>
      </c>
      <c r="CC686" t="s">
        <v>91</v>
      </c>
      <c r="CD686">
        <v>6012</v>
      </c>
      <c r="CE686" t="s">
        <v>116</v>
      </c>
      <c r="CF686" s="3">
        <v>45789</v>
      </c>
      <c r="CI686">
        <v>3</v>
      </c>
      <c r="CJ686">
        <v>1</v>
      </c>
      <c r="CK686">
        <v>41</v>
      </c>
      <c r="CL686" t="s">
        <v>89</v>
      </c>
    </row>
    <row r="687" spans="1:90" x14ac:dyDescent="0.3">
      <c r="A687" t="s">
        <v>72</v>
      </c>
      <c r="B687" t="s">
        <v>73</v>
      </c>
      <c r="C687" t="s">
        <v>74</v>
      </c>
      <c r="E687" t="str">
        <f>"080065276283"</f>
        <v>080065276283</v>
      </c>
      <c r="F687" s="3">
        <v>45786</v>
      </c>
      <c r="G687">
        <v>202602</v>
      </c>
      <c r="H687" t="s">
        <v>75</v>
      </c>
      <c r="I687" t="s">
        <v>76</v>
      </c>
      <c r="J687" t="s">
        <v>77</v>
      </c>
      <c r="K687" t="s">
        <v>78</v>
      </c>
      <c r="L687" t="s">
        <v>130</v>
      </c>
      <c r="M687" t="s">
        <v>131</v>
      </c>
      <c r="N687" t="s">
        <v>1436</v>
      </c>
      <c r="O687" t="s">
        <v>82</v>
      </c>
      <c r="P687" t="str">
        <f>"4170037473                    "</f>
        <v xml:space="preserve">4170037473                    </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42.75</v>
      </c>
      <c r="AR687">
        <v>0</v>
      </c>
      <c r="AS687">
        <v>0</v>
      </c>
      <c r="AT687">
        <v>0</v>
      </c>
      <c r="AU687">
        <v>0</v>
      </c>
      <c r="AV687">
        <v>0</v>
      </c>
      <c r="AW687">
        <v>0</v>
      </c>
      <c r="AX687">
        <v>0</v>
      </c>
      <c r="AY687">
        <v>0</v>
      </c>
      <c r="AZ687">
        <v>0</v>
      </c>
      <c r="BA687">
        <v>0</v>
      </c>
      <c r="BB687">
        <v>0</v>
      </c>
      <c r="BC687">
        <v>0</v>
      </c>
      <c r="BD687">
        <v>0</v>
      </c>
      <c r="BE687">
        <v>0</v>
      </c>
      <c r="BF687">
        <v>0</v>
      </c>
      <c r="BG687">
        <v>0</v>
      </c>
      <c r="BH687">
        <v>1</v>
      </c>
      <c r="BI687">
        <v>2</v>
      </c>
      <c r="BJ687">
        <v>3.7</v>
      </c>
      <c r="BK687">
        <v>4</v>
      </c>
      <c r="BL687">
        <v>139.91</v>
      </c>
      <c r="BM687">
        <v>20.99</v>
      </c>
      <c r="BN687">
        <v>160.9</v>
      </c>
      <c r="BO687">
        <v>160.9</v>
      </c>
      <c r="BQ687" t="s">
        <v>1437</v>
      </c>
      <c r="BR687" t="s">
        <v>84</v>
      </c>
      <c r="BS687" s="3">
        <v>45789</v>
      </c>
      <c r="BT687" s="4">
        <v>0.40625</v>
      </c>
      <c r="BU687" t="s">
        <v>1438</v>
      </c>
      <c r="BV687" t="s">
        <v>86</v>
      </c>
      <c r="BY687">
        <v>18304</v>
      </c>
      <c r="CA687" t="s">
        <v>429</v>
      </c>
      <c r="CC687" t="s">
        <v>131</v>
      </c>
      <c r="CD687">
        <v>7945</v>
      </c>
      <c r="CE687" t="s">
        <v>96</v>
      </c>
      <c r="CF687" s="3">
        <v>45790</v>
      </c>
      <c r="CI687">
        <v>1</v>
      </c>
      <c r="CJ687">
        <v>1</v>
      </c>
      <c r="CK687">
        <v>21</v>
      </c>
      <c r="CL687" t="s">
        <v>89</v>
      </c>
    </row>
    <row r="688" spans="1:90" x14ac:dyDescent="0.3">
      <c r="A688" t="s">
        <v>72</v>
      </c>
      <c r="B688" t="s">
        <v>73</v>
      </c>
      <c r="C688" t="s">
        <v>74</v>
      </c>
      <c r="E688" t="str">
        <f>"080065276300"</f>
        <v>080065276300</v>
      </c>
      <c r="F688" s="3">
        <v>45786</v>
      </c>
      <c r="G688">
        <v>202602</v>
      </c>
      <c r="H688" t="s">
        <v>75</v>
      </c>
      <c r="I688" t="s">
        <v>76</v>
      </c>
      <c r="J688" t="s">
        <v>77</v>
      </c>
      <c r="K688" t="s">
        <v>78</v>
      </c>
      <c r="L688" t="s">
        <v>177</v>
      </c>
      <c r="M688" t="s">
        <v>178</v>
      </c>
      <c r="N688" t="s">
        <v>1439</v>
      </c>
      <c r="O688" t="s">
        <v>82</v>
      </c>
      <c r="P688" t="str">
        <f>"4170037462                    "</f>
        <v xml:space="preserve">4170037462                    </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69.459999999999994</v>
      </c>
      <c r="AR688">
        <v>0</v>
      </c>
      <c r="AS688">
        <v>0</v>
      </c>
      <c r="AT688">
        <v>0</v>
      </c>
      <c r="AU688">
        <v>0</v>
      </c>
      <c r="AV688">
        <v>0</v>
      </c>
      <c r="AW688">
        <v>0</v>
      </c>
      <c r="AX688">
        <v>0</v>
      </c>
      <c r="AY688">
        <v>0</v>
      </c>
      <c r="AZ688">
        <v>0</v>
      </c>
      <c r="BA688">
        <v>0</v>
      </c>
      <c r="BB688">
        <v>0</v>
      </c>
      <c r="BC688">
        <v>0</v>
      </c>
      <c r="BD688">
        <v>0</v>
      </c>
      <c r="BE688">
        <v>0</v>
      </c>
      <c r="BF688">
        <v>0</v>
      </c>
      <c r="BG688">
        <v>0</v>
      </c>
      <c r="BH688">
        <v>1</v>
      </c>
      <c r="BI688">
        <v>6</v>
      </c>
      <c r="BJ688">
        <v>6.3</v>
      </c>
      <c r="BK688">
        <v>6.5</v>
      </c>
      <c r="BL688">
        <v>227.32</v>
      </c>
      <c r="BM688">
        <v>34.1</v>
      </c>
      <c r="BN688">
        <v>261.42</v>
      </c>
      <c r="BO688">
        <v>261.42</v>
      </c>
      <c r="BQ688" t="s">
        <v>1440</v>
      </c>
      <c r="BR688" t="s">
        <v>84</v>
      </c>
      <c r="BS688" s="3">
        <v>45789</v>
      </c>
      <c r="BT688" s="4">
        <v>0.33333333333333331</v>
      </c>
      <c r="BU688" t="s">
        <v>1441</v>
      </c>
      <c r="BV688" t="s">
        <v>86</v>
      </c>
      <c r="BY688">
        <v>31500</v>
      </c>
      <c r="CA688" t="s">
        <v>182</v>
      </c>
      <c r="CC688" t="s">
        <v>178</v>
      </c>
      <c r="CD688">
        <v>6021</v>
      </c>
      <c r="CE688" t="s">
        <v>96</v>
      </c>
      <c r="CF688" s="3">
        <v>45789</v>
      </c>
      <c r="CI688">
        <v>1</v>
      </c>
      <c r="CJ688">
        <v>1</v>
      </c>
      <c r="CK688">
        <v>21</v>
      </c>
      <c r="CL688" t="s">
        <v>89</v>
      </c>
    </row>
    <row r="689" spans="1:90" x14ac:dyDescent="0.3">
      <c r="A689" t="s">
        <v>72</v>
      </c>
      <c r="B689" t="s">
        <v>73</v>
      </c>
      <c r="C689" t="s">
        <v>74</v>
      </c>
      <c r="E689" t="str">
        <f>"080065276312"</f>
        <v>080065276312</v>
      </c>
      <c r="F689" s="3">
        <v>45786</v>
      </c>
      <c r="G689">
        <v>202602</v>
      </c>
      <c r="H689" t="s">
        <v>75</v>
      </c>
      <c r="I689" t="s">
        <v>76</v>
      </c>
      <c r="J689" t="s">
        <v>77</v>
      </c>
      <c r="K689" t="s">
        <v>78</v>
      </c>
      <c r="L689" t="s">
        <v>90</v>
      </c>
      <c r="M689" t="s">
        <v>91</v>
      </c>
      <c r="N689" t="s">
        <v>563</v>
      </c>
      <c r="O689" t="s">
        <v>82</v>
      </c>
      <c r="P689" t="str">
        <f>"4170037482                    "</f>
        <v xml:space="preserve">4170037482                    </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106.85</v>
      </c>
      <c r="AR689">
        <v>0</v>
      </c>
      <c r="AS689">
        <v>0</v>
      </c>
      <c r="AT689">
        <v>0</v>
      </c>
      <c r="AU689">
        <v>0</v>
      </c>
      <c r="AV689">
        <v>0</v>
      </c>
      <c r="AW689">
        <v>0</v>
      </c>
      <c r="AX689">
        <v>0</v>
      </c>
      <c r="AY689">
        <v>0</v>
      </c>
      <c r="AZ689">
        <v>0</v>
      </c>
      <c r="BA689">
        <v>0</v>
      </c>
      <c r="BB689">
        <v>0</v>
      </c>
      <c r="BC689">
        <v>0</v>
      </c>
      <c r="BD689">
        <v>0</v>
      </c>
      <c r="BE689">
        <v>0</v>
      </c>
      <c r="BF689">
        <v>0</v>
      </c>
      <c r="BG689">
        <v>0</v>
      </c>
      <c r="BH689">
        <v>1</v>
      </c>
      <c r="BI689">
        <v>5</v>
      </c>
      <c r="BJ689">
        <v>9.6</v>
      </c>
      <c r="BK689">
        <v>10</v>
      </c>
      <c r="BL689">
        <v>349.69</v>
      </c>
      <c r="BM689">
        <v>52.45</v>
      </c>
      <c r="BN689">
        <v>402.14</v>
      </c>
      <c r="BO689">
        <v>402.14</v>
      </c>
      <c r="BQ689" t="s">
        <v>564</v>
      </c>
      <c r="BR689" t="s">
        <v>84</v>
      </c>
      <c r="BS689" s="3">
        <v>45789</v>
      </c>
      <c r="BT689" s="4">
        <v>0.35347222222222224</v>
      </c>
      <c r="BU689" t="s">
        <v>987</v>
      </c>
      <c r="BV689" t="s">
        <v>86</v>
      </c>
      <c r="BY689">
        <v>48000</v>
      </c>
      <c r="CA689" t="s">
        <v>566</v>
      </c>
      <c r="CC689" t="s">
        <v>91</v>
      </c>
      <c r="CD689">
        <v>6001</v>
      </c>
      <c r="CE689" t="s">
        <v>96</v>
      </c>
      <c r="CF689" s="3">
        <v>45789</v>
      </c>
      <c r="CI689">
        <v>1</v>
      </c>
      <c r="CJ689">
        <v>1</v>
      </c>
      <c r="CK689">
        <v>21</v>
      </c>
      <c r="CL689" t="s">
        <v>89</v>
      </c>
    </row>
    <row r="690" spans="1:90" x14ac:dyDescent="0.3">
      <c r="A690" t="s">
        <v>72</v>
      </c>
      <c r="B690" t="s">
        <v>73</v>
      </c>
      <c r="C690" t="s">
        <v>74</v>
      </c>
      <c r="E690" t="str">
        <f>"080065276327"</f>
        <v>080065276327</v>
      </c>
      <c r="F690" s="3">
        <v>45786</v>
      </c>
      <c r="G690">
        <v>202602</v>
      </c>
      <c r="H690" t="s">
        <v>75</v>
      </c>
      <c r="I690" t="s">
        <v>76</v>
      </c>
      <c r="J690" t="s">
        <v>77</v>
      </c>
      <c r="K690" t="s">
        <v>78</v>
      </c>
      <c r="L690" t="s">
        <v>479</v>
      </c>
      <c r="M690" t="s">
        <v>480</v>
      </c>
      <c r="N690" t="s">
        <v>1401</v>
      </c>
      <c r="O690" t="s">
        <v>82</v>
      </c>
      <c r="P690" t="str">
        <f>"4170037458                    "</f>
        <v xml:space="preserve">4170037458                    </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16.7</v>
      </c>
      <c r="AR690">
        <v>0</v>
      </c>
      <c r="AS690">
        <v>0</v>
      </c>
      <c r="AT690">
        <v>0</v>
      </c>
      <c r="AU690">
        <v>0</v>
      </c>
      <c r="AV690">
        <v>0</v>
      </c>
      <c r="AW690">
        <v>0</v>
      </c>
      <c r="AX690">
        <v>0</v>
      </c>
      <c r="AY690">
        <v>0</v>
      </c>
      <c r="AZ690">
        <v>0</v>
      </c>
      <c r="BA690">
        <v>0</v>
      </c>
      <c r="BB690">
        <v>0</v>
      </c>
      <c r="BC690">
        <v>0</v>
      </c>
      <c r="BD690">
        <v>0</v>
      </c>
      <c r="BE690">
        <v>0</v>
      </c>
      <c r="BF690">
        <v>0</v>
      </c>
      <c r="BG690">
        <v>0</v>
      </c>
      <c r="BH690">
        <v>1</v>
      </c>
      <c r="BI690">
        <v>3</v>
      </c>
      <c r="BJ690">
        <v>4.0999999999999996</v>
      </c>
      <c r="BK690">
        <v>5</v>
      </c>
      <c r="BL690">
        <v>54.66</v>
      </c>
      <c r="BM690">
        <v>8.1999999999999993</v>
      </c>
      <c r="BN690">
        <v>62.86</v>
      </c>
      <c r="BO690">
        <v>62.86</v>
      </c>
      <c r="BQ690" t="s">
        <v>1402</v>
      </c>
      <c r="BR690" t="s">
        <v>84</v>
      </c>
      <c r="BS690" s="3">
        <v>45789</v>
      </c>
      <c r="BT690" s="4">
        <v>0.36458333333333331</v>
      </c>
      <c r="BU690" t="s">
        <v>1442</v>
      </c>
      <c r="BV690" t="s">
        <v>86</v>
      </c>
      <c r="BY690">
        <v>20358</v>
      </c>
      <c r="CA690" t="s">
        <v>1443</v>
      </c>
      <c r="CC690" t="s">
        <v>480</v>
      </c>
      <c r="CD690">
        <v>2163</v>
      </c>
      <c r="CE690" t="s">
        <v>96</v>
      </c>
      <c r="CF690" s="3">
        <v>45790</v>
      </c>
      <c r="CI690">
        <v>1</v>
      </c>
      <c r="CJ690">
        <v>1</v>
      </c>
      <c r="CK690">
        <v>22</v>
      </c>
      <c r="CL690" t="s">
        <v>89</v>
      </c>
    </row>
    <row r="691" spans="1:90" x14ac:dyDescent="0.3">
      <c r="A691" t="s">
        <v>72</v>
      </c>
      <c r="B691" t="s">
        <v>73</v>
      </c>
      <c r="C691" t="s">
        <v>74</v>
      </c>
      <c r="E691" t="str">
        <f>"080065276347"</f>
        <v>080065276347</v>
      </c>
      <c r="F691" s="3">
        <v>45786</v>
      </c>
      <c r="G691">
        <v>202602</v>
      </c>
      <c r="H691" t="s">
        <v>75</v>
      </c>
      <c r="I691" t="s">
        <v>76</v>
      </c>
      <c r="J691" t="s">
        <v>77</v>
      </c>
      <c r="K691" t="s">
        <v>78</v>
      </c>
      <c r="L691" t="s">
        <v>463</v>
      </c>
      <c r="M691" t="s">
        <v>464</v>
      </c>
      <c r="N691" t="s">
        <v>585</v>
      </c>
      <c r="O691" t="s">
        <v>82</v>
      </c>
      <c r="P691" t="str">
        <f>"4170037476                    "</f>
        <v xml:space="preserve">4170037476                    </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48.09</v>
      </c>
      <c r="AR691">
        <v>0</v>
      </c>
      <c r="AS691">
        <v>0</v>
      </c>
      <c r="AT691">
        <v>0</v>
      </c>
      <c r="AU691">
        <v>0</v>
      </c>
      <c r="AV691">
        <v>0</v>
      </c>
      <c r="AW691">
        <v>0</v>
      </c>
      <c r="AX691">
        <v>0</v>
      </c>
      <c r="AY691">
        <v>0</v>
      </c>
      <c r="AZ691">
        <v>0</v>
      </c>
      <c r="BA691">
        <v>0</v>
      </c>
      <c r="BB691">
        <v>0</v>
      </c>
      <c r="BC691">
        <v>0</v>
      </c>
      <c r="BD691">
        <v>0</v>
      </c>
      <c r="BE691">
        <v>0</v>
      </c>
      <c r="BF691">
        <v>0</v>
      </c>
      <c r="BG691">
        <v>0</v>
      </c>
      <c r="BH691">
        <v>1</v>
      </c>
      <c r="BI691">
        <v>3</v>
      </c>
      <c r="BJ691">
        <v>4.0999999999999996</v>
      </c>
      <c r="BK691">
        <v>4.5</v>
      </c>
      <c r="BL691">
        <v>157.38999999999999</v>
      </c>
      <c r="BM691">
        <v>23.61</v>
      </c>
      <c r="BN691">
        <v>181</v>
      </c>
      <c r="BO691">
        <v>181</v>
      </c>
      <c r="BQ691" t="s">
        <v>586</v>
      </c>
      <c r="BR691" t="s">
        <v>84</v>
      </c>
      <c r="BS691" s="3">
        <v>45789</v>
      </c>
      <c r="BT691" s="4">
        <v>0.43680555555555556</v>
      </c>
      <c r="BU691" t="s">
        <v>1444</v>
      </c>
      <c r="BV691" t="s">
        <v>86</v>
      </c>
      <c r="BY691">
        <v>20358</v>
      </c>
      <c r="CA691" t="s">
        <v>231</v>
      </c>
      <c r="CC691" t="s">
        <v>464</v>
      </c>
      <c r="CD691">
        <v>5200</v>
      </c>
      <c r="CE691" t="s">
        <v>96</v>
      </c>
      <c r="CF691" s="3">
        <v>45790</v>
      </c>
      <c r="CI691">
        <v>1</v>
      </c>
      <c r="CJ691">
        <v>1</v>
      </c>
      <c r="CK691">
        <v>21</v>
      </c>
      <c r="CL691" t="s">
        <v>89</v>
      </c>
    </row>
    <row r="692" spans="1:90" x14ac:dyDescent="0.3">
      <c r="A692" t="s">
        <v>72</v>
      </c>
      <c r="B692" t="s">
        <v>73</v>
      </c>
      <c r="C692" t="s">
        <v>74</v>
      </c>
      <c r="E692" t="str">
        <f>"080065276378"</f>
        <v>080065276378</v>
      </c>
      <c r="F692" s="3">
        <v>45786</v>
      </c>
      <c r="G692">
        <v>202602</v>
      </c>
      <c r="H692" t="s">
        <v>75</v>
      </c>
      <c r="I692" t="s">
        <v>76</v>
      </c>
      <c r="J692" t="s">
        <v>77</v>
      </c>
      <c r="K692" t="s">
        <v>78</v>
      </c>
      <c r="L692" t="s">
        <v>123</v>
      </c>
      <c r="M692" t="s">
        <v>123</v>
      </c>
      <c r="N692" t="s">
        <v>317</v>
      </c>
      <c r="O692" t="s">
        <v>82</v>
      </c>
      <c r="P692" t="str">
        <f>"4170037647                    "</f>
        <v xml:space="preserve">4170037647                    </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41.43</v>
      </c>
      <c r="AR692">
        <v>0</v>
      </c>
      <c r="AS692">
        <v>0</v>
      </c>
      <c r="AT692">
        <v>0</v>
      </c>
      <c r="AU692">
        <v>0</v>
      </c>
      <c r="AV692">
        <v>0</v>
      </c>
      <c r="AW692">
        <v>0</v>
      </c>
      <c r="AX692">
        <v>0</v>
      </c>
      <c r="AY692">
        <v>0</v>
      </c>
      <c r="AZ692">
        <v>0</v>
      </c>
      <c r="BA692">
        <v>0</v>
      </c>
      <c r="BB692">
        <v>0</v>
      </c>
      <c r="BC692">
        <v>0</v>
      </c>
      <c r="BD692">
        <v>0</v>
      </c>
      <c r="BE692">
        <v>0</v>
      </c>
      <c r="BF692">
        <v>0</v>
      </c>
      <c r="BG692">
        <v>0</v>
      </c>
      <c r="BH692">
        <v>1</v>
      </c>
      <c r="BI692">
        <v>1</v>
      </c>
      <c r="BJ692">
        <v>0.2</v>
      </c>
      <c r="BK692">
        <v>1</v>
      </c>
      <c r="BL692">
        <v>135.59</v>
      </c>
      <c r="BM692">
        <v>20.34</v>
      </c>
      <c r="BN692">
        <v>155.93</v>
      </c>
      <c r="BO692">
        <v>155.93</v>
      </c>
      <c r="BQ692" t="s">
        <v>318</v>
      </c>
      <c r="BR692" t="s">
        <v>84</v>
      </c>
      <c r="BS692" s="3">
        <v>45790</v>
      </c>
      <c r="BT692" s="4">
        <v>0.5395833333333333</v>
      </c>
      <c r="BU692" t="s">
        <v>319</v>
      </c>
      <c r="BV692" t="s">
        <v>89</v>
      </c>
      <c r="BW692" t="s">
        <v>340</v>
      </c>
      <c r="BX692" t="s">
        <v>618</v>
      </c>
      <c r="BY692">
        <v>1200</v>
      </c>
      <c r="CA692" t="s">
        <v>128</v>
      </c>
      <c r="CC692" t="s">
        <v>123</v>
      </c>
      <c r="CD692">
        <v>7646</v>
      </c>
      <c r="CE692" t="s">
        <v>88</v>
      </c>
      <c r="CF692" s="3">
        <v>45791</v>
      </c>
      <c r="CI692">
        <v>1</v>
      </c>
      <c r="CJ692">
        <v>2</v>
      </c>
      <c r="CK692">
        <v>23</v>
      </c>
      <c r="CL692" t="s">
        <v>89</v>
      </c>
    </row>
    <row r="693" spans="1:90" x14ac:dyDescent="0.3">
      <c r="A693" t="s">
        <v>72</v>
      </c>
      <c r="B693" t="s">
        <v>73</v>
      </c>
      <c r="C693" t="s">
        <v>74</v>
      </c>
      <c r="E693" t="str">
        <f>"080065276393"</f>
        <v>080065276393</v>
      </c>
      <c r="F693" s="3">
        <v>45786</v>
      </c>
      <c r="G693">
        <v>202602</v>
      </c>
      <c r="H693" t="s">
        <v>75</v>
      </c>
      <c r="I693" t="s">
        <v>76</v>
      </c>
      <c r="J693" t="s">
        <v>77</v>
      </c>
      <c r="K693" t="s">
        <v>78</v>
      </c>
      <c r="L693" t="s">
        <v>117</v>
      </c>
      <c r="M693" t="s">
        <v>118</v>
      </c>
      <c r="N693" t="s">
        <v>1445</v>
      </c>
      <c r="O693" t="s">
        <v>82</v>
      </c>
      <c r="P693" t="str">
        <f>"4170037491                    "</f>
        <v xml:space="preserve">4170037491                    </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21.38</v>
      </c>
      <c r="AR693">
        <v>0</v>
      </c>
      <c r="AS693">
        <v>0</v>
      </c>
      <c r="AT693">
        <v>0</v>
      </c>
      <c r="AU693">
        <v>0</v>
      </c>
      <c r="AV693">
        <v>0</v>
      </c>
      <c r="AW693">
        <v>16.739999999999998</v>
      </c>
      <c r="AX693">
        <v>0</v>
      </c>
      <c r="AY693">
        <v>0</v>
      </c>
      <c r="AZ693">
        <v>0</v>
      </c>
      <c r="BA693">
        <v>0</v>
      </c>
      <c r="BB693">
        <v>0</v>
      </c>
      <c r="BC693">
        <v>0</v>
      </c>
      <c r="BD693">
        <v>0</v>
      </c>
      <c r="BE693">
        <v>0</v>
      </c>
      <c r="BF693">
        <v>0</v>
      </c>
      <c r="BG693">
        <v>0</v>
      </c>
      <c r="BH693">
        <v>1</v>
      </c>
      <c r="BI693">
        <v>1</v>
      </c>
      <c r="BJ693">
        <v>1.3</v>
      </c>
      <c r="BK693">
        <v>1.5</v>
      </c>
      <c r="BL693">
        <v>86.72</v>
      </c>
      <c r="BM693">
        <v>13.01</v>
      </c>
      <c r="BN693">
        <v>99.73</v>
      </c>
      <c r="BO693">
        <v>99.73</v>
      </c>
      <c r="BQ693" t="s">
        <v>1446</v>
      </c>
      <c r="BR693" t="s">
        <v>84</v>
      </c>
      <c r="BS693" s="3">
        <v>45789</v>
      </c>
      <c r="BT693" s="4">
        <v>0.46388888888888891</v>
      </c>
      <c r="BU693" t="s">
        <v>1447</v>
      </c>
      <c r="BV693" t="s">
        <v>86</v>
      </c>
      <c r="BY693">
        <v>6384</v>
      </c>
      <c r="BZ693" t="s">
        <v>30</v>
      </c>
      <c r="CA693" t="s">
        <v>1448</v>
      </c>
      <c r="CC693" t="s">
        <v>118</v>
      </c>
      <c r="CD693">
        <v>1811</v>
      </c>
      <c r="CE693" t="s">
        <v>116</v>
      </c>
      <c r="CF693" s="3">
        <v>45790</v>
      </c>
      <c r="CI693">
        <v>0</v>
      </c>
      <c r="CJ693">
        <v>0</v>
      </c>
      <c r="CK693">
        <v>21</v>
      </c>
      <c r="CL693" t="s">
        <v>89</v>
      </c>
    </row>
    <row r="694" spans="1:90" x14ac:dyDescent="0.3">
      <c r="A694" t="s">
        <v>72</v>
      </c>
      <c r="B694" t="s">
        <v>73</v>
      </c>
      <c r="C694" t="s">
        <v>74</v>
      </c>
      <c r="E694" t="str">
        <f>"080065276470"</f>
        <v>080065276470</v>
      </c>
      <c r="F694" s="3">
        <v>45786</v>
      </c>
      <c r="G694">
        <v>202602</v>
      </c>
      <c r="H694" t="s">
        <v>75</v>
      </c>
      <c r="I694" t="s">
        <v>76</v>
      </c>
      <c r="J694" t="s">
        <v>77</v>
      </c>
      <c r="K694" t="s">
        <v>78</v>
      </c>
      <c r="L694" t="s">
        <v>75</v>
      </c>
      <c r="M694" t="s">
        <v>76</v>
      </c>
      <c r="N694" t="s">
        <v>390</v>
      </c>
      <c r="O694" t="s">
        <v>82</v>
      </c>
      <c r="P694" t="str">
        <f>"4170037490                    "</f>
        <v xml:space="preserve">4170037490                    </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16.7</v>
      </c>
      <c r="AR694">
        <v>0</v>
      </c>
      <c r="AS694">
        <v>0</v>
      </c>
      <c r="AT694">
        <v>0</v>
      </c>
      <c r="AU694">
        <v>0</v>
      </c>
      <c r="AV694">
        <v>0</v>
      </c>
      <c r="AW694">
        <v>0</v>
      </c>
      <c r="AX694">
        <v>0</v>
      </c>
      <c r="AY694">
        <v>0</v>
      </c>
      <c r="AZ694">
        <v>0</v>
      </c>
      <c r="BA694">
        <v>0</v>
      </c>
      <c r="BB694">
        <v>0</v>
      </c>
      <c r="BC694">
        <v>0</v>
      </c>
      <c r="BD694">
        <v>0</v>
      </c>
      <c r="BE694">
        <v>0</v>
      </c>
      <c r="BF694">
        <v>0</v>
      </c>
      <c r="BG694">
        <v>0</v>
      </c>
      <c r="BH694">
        <v>1</v>
      </c>
      <c r="BI694">
        <v>6</v>
      </c>
      <c r="BJ694">
        <v>5</v>
      </c>
      <c r="BK694">
        <v>6</v>
      </c>
      <c r="BL694">
        <v>54.66</v>
      </c>
      <c r="BM694">
        <v>8.1999999999999993</v>
      </c>
      <c r="BN694">
        <v>62.86</v>
      </c>
      <c r="BO694">
        <v>62.86</v>
      </c>
      <c r="BQ694" t="s">
        <v>391</v>
      </c>
      <c r="BR694" t="s">
        <v>84</v>
      </c>
      <c r="BS694" s="3">
        <v>45789</v>
      </c>
      <c r="BT694" s="4">
        <v>0.40625</v>
      </c>
      <c r="BU694" t="s">
        <v>1449</v>
      </c>
      <c r="BV694" t="s">
        <v>86</v>
      </c>
      <c r="BY694">
        <v>24882</v>
      </c>
      <c r="CA694" t="s">
        <v>1450</v>
      </c>
      <c r="CC694" t="s">
        <v>76</v>
      </c>
      <c r="CD694">
        <v>1600</v>
      </c>
      <c r="CE694" t="s">
        <v>96</v>
      </c>
      <c r="CF694" s="3">
        <v>45790</v>
      </c>
      <c r="CI694">
        <v>1</v>
      </c>
      <c r="CJ694">
        <v>1</v>
      </c>
      <c r="CK694">
        <v>22</v>
      </c>
      <c r="CL694" t="s">
        <v>89</v>
      </c>
    </row>
    <row r="695" spans="1:90" x14ac:dyDescent="0.3">
      <c r="A695" t="s">
        <v>72</v>
      </c>
      <c r="B695" t="s">
        <v>73</v>
      </c>
      <c r="C695" t="s">
        <v>74</v>
      </c>
      <c r="E695" t="str">
        <f>"080065276698"</f>
        <v>080065276698</v>
      </c>
      <c r="F695" s="3">
        <v>45786</v>
      </c>
      <c r="G695">
        <v>202602</v>
      </c>
      <c r="H695" t="s">
        <v>75</v>
      </c>
      <c r="I695" t="s">
        <v>76</v>
      </c>
      <c r="J695" t="s">
        <v>77</v>
      </c>
      <c r="K695" t="s">
        <v>78</v>
      </c>
      <c r="L695" t="s">
        <v>136</v>
      </c>
      <c r="M695" t="s">
        <v>137</v>
      </c>
      <c r="N695" t="s">
        <v>925</v>
      </c>
      <c r="O695" t="s">
        <v>300</v>
      </c>
      <c r="P695" t="str">
        <f>"4170037523                    "</f>
        <v xml:space="preserve">4170037523                    </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48.18</v>
      </c>
      <c r="AR695">
        <v>0</v>
      </c>
      <c r="AS695">
        <v>0</v>
      </c>
      <c r="AT695">
        <v>0</v>
      </c>
      <c r="AU695">
        <v>0</v>
      </c>
      <c r="AV695">
        <v>0</v>
      </c>
      <c r="AW695">
        <v>0</v>
      </c>
      <c r="AX695">
        <v>0</v>
      </c>
      <c r="AY695">
        <v>0</v>
      </c>
      <c r="AZ695">
        <v>0</v>
      </c>
      <c r="BA695">
        <v>0</v>
      </c>
      <c r="BB695">
        <v>0</v>
      </c>
      <c r="BC695">
        <v>0</v>
      </c>
      <c r="BD695">
        <v>0</v>
      </c>
      <c r="BE695">
        <v>0</v>
      </c>
      <c r="BF695">
        <v>0</v>
      </c>
      <c r="BG695">
        <v>0</v>
      </c>
      <c r="BH695">
        <v>1</v>
      </c>
      <c r="BI695">
        <v>19</v>
      </c>
      <c r="BJ695">
        <v>8.9</v>
      </c>
      <c r="BK695">
        <v>19</v>
      </c>
      <c r="BL695">
        <v>163.25</v>
      </c>
      <c r="BM695">
        <v>24.49</v>
      </c>
      <c r="BN695">
        <v>187.74</v>
      </c>
      <c r="BO695">
        <v>187.74</v>
      </c>
      <c r="BQ695" t="s">
        <v>926</v>
      </c>
      <c r="BR695" t="s">
        <v>84</v>
      </c>
      <c r="BS695" s="3">
        <v>45789</v>
      </c>
      <c r="BT695" s="4">
        <v>0.43680555555555556</v>
      </c>
      <c r="BU695" t="s">
        <v>1451</v>
      </c>
      <c r="BV695" t="s">
        <v>86</v>
      </c>
      <c r="BY695">
        <v>44640</v>
      </c>
      <c r="CA695" t="s">
        <v>141</v>
      </c>
      <c r="CC695" t="s">
        <v>137</v>
      </c>
      <c r="CD695" s="5" t="s">
        <v>142</v>
      </c>
      <c r="CE695" t="s">
        <v>176</v>
      </c>
      <c r="CF695" s="3">
        <v>45789</v>
      </c>
      <c r="CI695">
        <v>1</v>
      </c>
      <c r="CJ695">
        <v>1</v>
      </c>
      <c r="CK695">
        <v>41</v>
      </c>
      <c r="CL695" t="s">
        <v>89</v>
      </c>
    </row>
    <row r="696" spans="1:90" x14ac:dyDescent="0.3">
      <c r="A696" t="s">
        <v>72</v>
      </c>
      <c r="B696" t="s">
        <v>73</v>
      </c>
      <c r="C696" t="s">
        <v>74</v>
      </c>
      <c r="E696" t="str">
        <f>"080065276727"</f>
        <v>080065276727</v>
      </c>
      <c r="F696" s="3">
        <v>45786</v>
      </c>
      <c r="G696">
        <v>202602</v>
      </c>
      <c r="H696" t="s">
        <v>75</v>
      </c>
      <c r="I696" t="s">
        <v>76</v>
      </c>
      <c r="J696" t="s">
        <v>77</v>
      </c>
      <c r="K696" t="s">
        <v>78</v>
      </c>
      <c r="L696" t="s">
        <v>130</v>
      </c>
      <c r="M696" t="s">
        <v>131</v>
      </c>
      <c r="N696" t="s">
        <v>1066</v>
      </c>
      <c r="O696" t="s">
        <v>82</v>
      </c>
      <c r="P696" t="str">
        <f>"4170037461                    "</f>
        <v xml:space="preserve">4170037461                    </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v>96.17</v>
      </c>
      <c r="AR696">
        <v>0</v>
      </c>
      <c r="AS696">
        <v>0</v>
      </c>
      <c r="AT696">
        <v>0</v>
      </c>
      <c r="AU696">
        <v>0</v>
      </c>
      <c r="AV696">
        <v>0</v>
      </c>
      <c r="AW696">
        <v>0</v>
      </c>
      <c r="AX696">
        <v>0</v>
      </c>
      <c r="AY696">
        <v>0</v>
      </c>
      <c r="AZ696">
        <v>0</v>
      </c>
      <c r="BA696">
        <v>0</v>
      </c>
      <c r="BB696">
        <v>0</v>
      </c>
      <c r="BC696">
        <v>0</v>
      </c>
      <c r="BD696">
        <v>0</v>
      </c>
      <c r="BE696">
        <v>0</v>
      </c>
      <c r="BF696">
        <v>0</v>
      </c>
      <c r="BG696">
        <v>0</v>
      </c>
      <c r="BH696">
        <v>1</v>
      </c>
      <c r="BI696">
        <v>9</v>
      </c>
      <c r="BJ696">
        <v>7.8</v>
      </c>
      <c r="BK696">
        <v>9</v>
      </c>
      <c r="BL696">
        <v>314.73</v>
      </c>
      <c r="BM696">
        <v>47.21</v>
      </c>
      <c r="BN696">
        <v>361.94</v>
      </c>
      <c r="BO696">
        <v>361.94</v>
      </c>
      <c r="BQ696" t="s">
        <v>1067</v>
      </c>
      <c r="BR696" t="s">
        <v>84</v>
      </c>
      <c r="BS696" s="3">
        <v>45789</v>
      </c>
      <c r="BT696" s="4">
        <v>0.41388888888888886</v>
      </c>
      <c r="BU696" t="s">
        <v>1202</v>
      </c>
      <c r="BV696" t="s">
        <v>86</v>
      </c>
      <c r="BY696">
        <v>39050</v>
      </c>
      <c r="CA696" t="s">
        <v>712</v>
      </c>
      <c r="CC696" t="s">
        <v>131</v>
      </c>
      <c r="CD696">
        <v>7561</v>
      </c>
      <c r="CE696" t="s">
        <v>176</v>
      </c>
      <c r="CF696" s="3">
        <v>45790</v>
      </c>
      <c r="CI696">
        <v>1</v>
      </c>
      <c r="CJ696">
        <v>1</v>
      </c>
      <c r="CK696">
        <v>21</v>
      </c>
      <c r="CL696" t="s">
        <v>89</v>
      </c>
    </row>
    <row r="697" spans="1:90" x14ac:dyDescent="0.3">
      <c r="A697" t="s">
        <v>72</v>
      </c>
      <c r="B697" t="s">
        <v>73</v>
      </c>
      <c r="C697" t="s">
        <v>74</v>
      </c>
      <c r="E697" t="str">
        <f>"080065276946"</f>
        <v>080065276946</v>
      </c>
      <c r="F697" s="3">
        <v>45786</v>
      </c>
      <c r="G697">
        <v>202602</v>
      </c>
      <c r="H697" t="s">
        <v>75</v>
      </c>
      <c r="I697" t="s">
        <v>76</v>
      </c>
      <c r="J697" t="s">
        <v>77</v>
      </c>
      <c r="K697" t="s">
        <v>78</v>
      </c>
      <c r="L697" t="s">
        <v>232</v>
      </c>
      <c r="M697" t="s">
        <v>233</v>
      </c>
      <c r="N697" t="s">
        <v>834</v>
      </c>
      <c r="O697" t="s">
        <v>82</v>
      </c>
      <c r="P697" t="str">
        <f>"4170037588                    "</f>
        <v xml:space="preserve">4170037588                    </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21.38</v>
      </c>
      <c r="AR697">
        <v>0</v>
      </c>
      <c r="AS697">
        <v>0</v>
      </c>
      <c r="AT697">
        <v>0</v>
      </c>
      <c r="AU697">
        <v>0</v>
      </c>
      <c r="AV697">
        <v>0</v>
      </c>
      <c r="AW697">
        <v>0</v>
      </c>
      <c r="AX697">
        <v>0</v>
      </c>
      <c r="AY697">
        <v>0</v>
      </c>
      <c r="AZ697">
        <v>0</v>
      </c>
      <c r="BA697">
        <v>0</v>
      </c>
      <c r="BB697">
        <v>0</v>
      </c>
      <c r="BC697">
        <v>0</v>
      </c>
      <c r="BD697">
        <v>0</v>
      </c>
      <c r="BE697">
        <v>0</v>
      </c>
      <c r="BF697">
        <v>0</v>
      </c>
      <c r="BG697">
        <v>0</v>
      </c>
      <c r="BH697">
        <v>1</v>
      </c>
      <c r="BI697">
        <v>1</v>
      </c>
      <c r="BJ697">
        <v>0.2</v>
      </c>
      <c r="BK697">
        <v>1</v>
      </c>
      <c r="BL697">
        <v>69.98</v>
      </c>
      <c r="BM697">
        <v>10.5</v>
      </c>
      <c r="BN697">
        <v>80.48</v>
      </c>
      <c r="BO697">
        <v>80.48</v>
      </c>
      <c r="BQ697" t="s">
        <v>835</v>
      </c>
      <c r="BR697" t="s">
        <v>84</v>
      </c>
      <c r="BS697" s="3">
        <v>45789</v>
      </c>
      <c r="BT697" s="4">
        <v>0.39791666666666664</v>
      </c>
      <c r="BU697" t="s">
        <v>1452</v>
      </c>
      <c r="BV697" t="s">
        <v>86</v>
      </c>
      <c r="BY697">
        <v>1200</v>
      </c>
      <c r="CA697" t="s">
        <v>258</v>
      </c>
      <c r="CC697" t="s">
        <v>233</v>
      </c>
      <c r="CD697" s="5" t="s">
        <v>238</v>
      </c>
      <c r="CE697" t="s">
        <v>88</v>
      </c>
      <c r="CF697" s="3">
        <v>45789</v>
      </c>
      <c r="CI697">
        <v>1</v>
      </c>
      <c r="CJ697">
        <v>1</v>
      </c>
      <c r="CK697">
        <v>21</v>
      </c>
      <c r="CL697" t="s">
        <v>89</v>
      </c>
    </row>
    <row r="698" spans="1:90" x14ac:dyDescent="0.3">
      <c r="A698" t="s">
        <v>72</v>
      </c>
      <c r="B698" t="s">
        <v>73</v>
      </c>
      <c r="C698" t="s">
        <v>74</v>
      </c>
      <c r="E698" t="str">
        <f>"080065276963"</f>
        <v>080065276963</v>
      </c>
      <c r="F698" s="3">
        <v>45786</v>
      </c>
      <c r="G698">
        <v>202602</v>
      </c>
      <c r="H698" t="s">
        <v>75</v>
      </c>
      <c r="I698" t="s">
        <v>76</v>
      </c>
      <c r="J698" t="s">
        <v>77</v>
      </c>
      <c r="K698" t="s">
        <v>78</v>
      </c>
      <c r="L698" t="s">
        <v>117</v>
      </c>
      <c r="M698" t="s">
        <v>118</v>
      </c>
      <c r="N698" t="s">
        <v>1453</v>
      </c>
      <c r="O698" t="s">
        <v>82</v>
      </c>
      <c r="P698" t="str">
        <f>"4170037572                    "</f>
        <v xml:space="preserve">4170037572                    </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16.7</v>
      </c>
      <c r="AR698">
        <v>0</v>
      </c>
      <c r="AS698">
        <v>0</v>
      </c>
      <c r="AT698">
        <v>0</v>
      </c>
      <c r="AU698">
        <v>0</v>
      </c>
      <c r="AV698">
        <v>0</v>
      </c>
      <c r="AW698">
        <v>0</v>
      </c>
      <c r="AX698">
        <v>0</v>
      </c>
      <c r="AY698">
        <v>0</v>
      </c>
      <c r="AZ698">
        <v>0</v>
      </c>
      <c r="BA698">
        <v>0</v>
      </c>
      <c r="BB698">
        <v>0</v>
      </c>
      <c r="BC698">
        <v>0</v>
      </c>
      <c r="BD698">
        <v>0</v>
      </c>
      <c r="BE698">
        <v>0</v>
      </c>
      <c r="BF698">
        <v>0</v>
      </c>
      <c r="BG698">
        <v>0</v>
      </c>
      <c r="BH698">
        <v>1</v>
      </c>
      <c r="BI698">
        <v>1</v>
      </c>
      <c r="BJ698">
        <v>0.2</v>
      </c>
      <c r="BK698">
        <v>1</v>
      </c>
      <c r="BL698">
        <v>54.66</v>
      </c>
      <c r="BM698">
        <v>8.1999999999999993</v>
      </c>
      <c r="BN698">
        <v>62.86</v>
      </c>
      <c r="BO698">
        <v>62.86</v>
      </c>
      <c r="BQ698" t="s">
        <v>1454</v>
      </c>
      <c r="BR698" t="s">
        <v>84</v>
      </c>
      <c r="BS698" s="3">
        <v>45789</v>
      </c>
      <c r="BT698" s="4">
        <v>0.36458333333333331</v>
      </c>
      <c r="BU698" t="s">
        <v>1455</v>
      </c>
      <c r="BV698" t="s">
        <v>86</v>
      </c>
      <c r="BY698">
        <v>1200</v>
      </c>
      <c r="CA698" t="s">
        <v>535</v>
      </c>
      <c r="CC698" t="s">
        <v>118</v>
      </c>
      <c r="CD698">
        <v>2049</v>
      </c>
      <c r="CE698" t="s">
        <v>88</v>
      </c>
      <c r="CF698" s="3">
        <v>45789</v>
      </c>
      <c r="CI698">
        <v>1</v>
      </c>
      <c r="CJ698">
        <v>1</v>
      </c>
      <c r="CK698">
        <v>22</v>
      </c>
      <c r="CL698" t="s">
        <v>89</v>
      </c>
    </row>
    <row r="699" spans="1:90" x14ac:dyDescent="0.3">
      <c r="A699" t="s">
        <v>72</v>
      </c>
      <c r="B699" t="s">
        <v>73</v>
      </c>
      <c r="C699" t="s">
        <v>74</v>
      </c>
      <c r="E699" t="str">
        <f>"080065276979"</f>
        <v>080065276979</v>
      </c>
      <c r="F699" s="3">
        <v>45786</v>
      </c>
      <c r="G699">
        <v>202602</v>
      </c>
      <c r="H699" t="s">
        <v>75</v>
      </c>
      <c r="I699" t="s">
        <v>76</v>
      </c>
      <c r="J699" t="s">
        <v>77</v>
      </c>
      <c r="K699" t="s">
        <v>78</v>
      </c>
      <c r="L699" t="s">
        <v>1456</v>
      </c>
      <c r="M699" t="s">
        <v>1457</v>
      </c>
      <c r="N699" t="s">
        <v>1458</v>
      </c>
      <c r="O699" t="s">
        <v>82</v>
      </c>
      <c r="P699" t="str">
        <f>"4170037584                    "</f>
        <v xml:space="preserve">4170037584                    </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P699">
        <v>0</v>
      </c>
      <c r="AQ699">
        <v>21.38</v>
      </c>
      <c r="AR699">
        <v>0</v>
      </c>
      <c r="AS699">
        <v>0</v>
      </c>
      <c r="AT699">
        <v>0</v>
      </c>
      <c r="AU699">
        <v>0</v>
      </c>
      <c r="AV699">
        <v>0</v>
      </c>
      <c r="AW699">
        <v>0</v>
      </c>
      <c r="AX699">
        <v>0</v>
      </c>
      <c r="AY699">
        <v>0</v>
      </c>
      <c r="AZ699">
        <v>0</v>
      </c>
      <c r="BA699">
        <v>0</v>
      </c>
      <c r="BB699">
        <v>0</v>
      </c>
      <c r="BC699">
        <v>0</v>
      </c>
      <c r="BD699">
        <v>0</v>
      </c>
      <c r="BE699">
        <v>0</v>
      </c>
      <c r="BF699">
        <v>0</v>
      </c>
      <c r="BG699">
        <v>0</v>
      </c>
      <c r="BH699">
        <v>1</v>
      </c>
      <c r="BI699">
        <v>1</v>
      </c>
      <c r="BJ699">
        <v>0.2</v>
      </c>
      <c r="BK699">
        <v>1</v>
      </c>
      <c r="BL699">
        <v>69.98</v>
      </c>
      <c r="BM699">
        <v>10.5</v>
      </c>
      <c r="BN699">
        <v>80.48</v>
      </c>
      <c r="BO699">
        <v>80.48</v>
      </c>
      <c r="BQ699" t="s">
        <v>1459</v>
      </c>
      <c r="BR699" t="s">
        <v>84</v>
      </c>
      <c r="BS699" s="3">
        <v>45789</v>
      </c>
      <c r="BT699" s="4">
        <v>0.45694444444444443</v>
      </c>
      <c r="BU699" t="s">
        <v>1460</v>
      </c>
      <c r="BV699" t="s">
        <v>86</v>
      </c>
      <c r="BY699">
        <v>1160</v>
      </c>
      <c r="CA699" t="s">
        <v>1461</v>
      </c>
      <c r="CC699" t="s">
        <v>1457</v>
      </c>
      <c r="CD699">
        <v>6529</v>
      </c>
      <c r="CE699" t="s">
        <v>88</v>
      </c>
      <c r="CF699" s="3">
        <v>45790</v>
      </c>
      <c r="CI699">
        <v>1</v>
      </c>
      <c r="CJ699">
        <v>1</v>
      </c>
      <c r="CK699">
        <v>21</v>
      </c>
      <c r="CL699" t="s">
        <v>89</v>
      </c>
    </row>
    <row r="700" spans="1:90" x14ac:dyDescent="0.3">
      <c r="A700" t="s">
        <v>72</v>
      </c>
      <c r="B700" t="s">
        <v>73</v>
      </c>
      <c r="C700" t="s">
        <v>74</v>
      </c>
      <c r="E700" t="str">
        <f>"080065277044"</f>
        <v>080065277044</v>
      </c>
      <c r="F700" s="3">
        <v>45786</v>
      </c>
      <c r="G700">
        <v>202602</v>
      </c>
      <c r="H700" t="s">
        <v>75</v>
      </c>
      <c r="I700" t="s">
        <v>76</v>
      </c>
      <c r="J700" t="s">
        <v>77</v>
      </c>
      <c r="K700" t="s">
        <v>78</v>
      </c>
      <c r="L700" t="s">
        <v>130</v>
      </c>
      <c r="M700" t="s">
        <v>131</v>
      </c>
      <c r="N700" t="s">
        <v>1462</v>
      </c>
      <c r="O700" t="s">
        <v>82</v>
      </c>
      <c r="P700" t="str">
        <f>"4170037496                    "</f>
        <v xml:space="preserve">4170037496                    </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c r="AO700">
        <v>0</v>
      </c>
      <c r="AP700">
        <v>0</v>
      </c>
      <c r="AQ700">
        <v>80.14</v>
      </c>
      <c r="AR700">
        <v>0</v>
      </c>
      <c r="AS700">
        <v>0</v>
      </c>
      <c r="AT700">
        <v>0</v>
      </c>
      <c r="AU700">
        <v>0</v>
      </c>
      <c r="AV700">
        <v>0</v>
      </c>
      <c r="AW700">
        <v>0</v>
      </c>
      <c r="AX700">
        <v>0</v>
      </c>
      <c r="AY700">
        <v>0</v>
      </c>
      <c r="AZ700">
        <v>0</v>
      </c>
      <c r="BA700">
        <v>0</v>
      </c>
      <c r="BB700">
        <v>0</v>
      </c>
      <c r="BC700">
        <v>0</v>
      </c>
      <c r="BD700">
        <v>0</v>
      </c>
      <c r="BE700">
        <v>0</v>
      </c>
      <c r="BF700">
        <v>0</v>
      </c>
      <c r="BG700">
        <v>0</v>
      </c>
      <c r="BH700">
        <v>2</v>
      </c>
      <c r="BI700">
        <v>3</v>
      </c>
      <c r="BJ700">
        <v>7.1</v>
      </c>
      <c r="BK700">
        <v>7.5</v>
      </c>
      <c r="BL700">
        <v>262.27999999999997</v>
      </c>
      <c r="BM700">
        <v>39.340000000000003</v>
      </c>
      <c r="BN700">
        <v>301.62</v>
      </c>
      <c r="BO700">
        <v>301.62</v>
      </c>
      <c r="BQ700" t="s">
        <v>1463</v>
      </c>
      <c r="BR700" t="s">
        <v>84</v>
      </c>
      <c r="BS700" s="3">
        <v>45789</v>
      </c>
      <c r="BT700" s="4">
        <v>0.4201388888888889</v>
      </c>
      <c r="BU700" t="s">
        <v>1464</v>
      </c>
      <c r="BV700" t="s">
        <v>86</v>
      </c>
      <c r="BY700">
        <v>35275</v>
      </c>
      <c r="CA700" t="s">
        <v>901</v>
      </c>
      <c r="CC700" t="s">
        <v>131</v>
      </c>
      <c r="CD700">
        <v>7550</v>
      </c>
      <c r="CE700" t="s">
        <v>116</v>
      </c>
      <c r="CF700" s="3">
        <v>45790</v>
      </c>
      <c r="CI700">
        <v>1</v>
      </c>
      <c r="CJ700">
        <v>1</v>
      </c>
      <c r="CK700">
        <v>21</v>
      </c>
      <c r="CL700" t="s">
        <v>89</v>
      </c>
    </row>
    <row r="701" spans="1:90" x14ac:dyDescent="0.3">
      <c r="A701" t="s">
        <v>72</v>
      </c>
      <c r="B701" t="s">
        <v>73</v>
      </c>
      <c r="C701" t="s">
        <v>74</v>
      </c>
      <c r="E701" t="str">
        <f>"080065277076"</f>
        <v>080065277076</v>
      </c>
      <c r="F701" s="3">
        <v>45786</v>
      </c>
      <c r="G701">
        <v>202602</v>
      </c>
      <c r="H701" t="s">
        <v>75</v>
      </c>
      <c r="I701" t="s">
        <v>76</v>
      </c>
      <c r="J701" t="s">
        <v>77</v>
      </c>
      <c r="K701" t="s">
        <v>78</v>
      </c>
      <c r="L701" t="s">
        <v>103</v>
      </c>
      <c r="M701" t="s">
        <v>104</v>
      </c>
      <c r="N701" t="s">
        <v>105</v>
      </c>
      <c r="O701" t="s">
        <v>82</v>
      </c>
      <c r="P701" t="str">
        <f>"4170037480                    "</f>
        <v xml:space="preserve">4170037480                    </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80.14</v>
      </c>
      <c r="AR701">
        <v>0</v>
      </c>
      <c r="AS701">
        <v>0</v>
      </c>
      <c r="AT701">
        <v>0</v>
      </c>
      <c r="AU701">
        <v>0</v>
      </c>
      <c r="AV701">
        <v>0</v>
      </c>
      <c r="AW701">
        <v>0</v>
      </c>
      <c r="AX701">
        <v>0</v>
      </c>
      <c r="AY701">
        <v>0</v>
      </c>
      <c r="AZ701">
        <v>0</v>
      </c>
      <c r="BA701">
        <v>0</v>
      </c>
      <c r="BB701">
        <v>0</v>
      </c>
      <c r="BC701">
        <v>0</v>
      </c>
      <c r="BD701">
        <v>0</v>
      </c>
      <c r="BE701">
        <v>0</v>
      </c>
      <c r="BF701">
        <v>0</v>
      </c>
      <c r="BG701">
        <v>0</v>
      </c>
      <c r="BH701">
        <v>1</v>
      </c>
      <c r="BI701">
        <v>5</v>
      </c>
      <c r="BJ701">
        <v>7.4</v>
      </c>
      <c r="BK701">
        <v>7.5</v>
      </c>
      <c r="BL701">
        <v>262.27999999999997</v>
      </c>
      <c r="BM701">
        <v>39.340000000000003</v>
      </c>
      <c r="BN701">
        <v>301.62</v>
      </c>
      <c r="BO701">
        <v>301.62</v>
      </c>
      <c r="BQ701" t="s">
        <v>106</v>
      </c>
      <c r="BR701" t="s">
        <v>84</v>
      </c>
      <c r="BS701" s="3">
        <v>45789</v>
      </c>
      <c r="BT701" s="4">
        <v>0.40208333333333335</v>
      </c>
      <c r="BU701" t="s">
        <v>107</v>
      </c>
      <c r="BV701" t="s">
        <v>86</v>
      </c>
      <c r="BY701">
        <v>37200</v>
      </c>
      <c r="CA701" t="s">
        <v>108</v>
      </c>
      <c r="CC701" t="s">
        <v>104</v>
      </c>
      <c r="CD701">
        <v>3201</v>
      </c>
      <c r="CE701" t="s">
        <v>96</v>
      </c>
      <c r="CF701" s="3">
        <v>45790</v>
      </c>
      <c r="CI701">
        <v>1</v>
      </c>
      <c r="CJ701">
        <v>1</v>
      </c>
      <c r="CK701">
        <v>21</v>
      </c>
      <c r="CL701" t="s">
        <v>89</v>
      </c>
    </row>
    <row r="702" spans="1:90" x14ac:dyDescent="0.3">
      <c r="A702" t="s">
        <v>72</v>
      </c>
      <c r="B702" t="s">
        <v>73</v>
      </c>
      <c r="C702" t="s">
        <v>74</v>
      </c>
      <c r="E702" t="str">
        <f>"080065277099"</f>
        <v>080065277099</v>
      </c>
      <c r="F702" s="3">
        <v>45786</v>
      </c>
      <c r="G702">
        <v>202602</v>
      </c>
      <c r="H702" t="s">
        <v>75</v>
      </c>
      <c r="I702" t="s">
        <v>76</v>
      </c>
      <c r="J702" t="s">
        <v>77</v>
      </c>
      <c r="K702" t="s">
        <v>78</v>
      </c>
      <c r="L702" t="s">
        <v>130</v>
      </c>
      <c r="M702" t="s">
        <v>131</v>
      </c>
      <c r="N702" t="s">
        <v>897</v>
      </c>
      <c r="O702" t="s">
        <v>82</v>
      </c>
      <c r="P702" t="str">
        <f>"4170037483                    "</f>
        <v xml:space="preserve">4170037483                    </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48.09</v>
      </c>
      <c r="AR702">
        <v>0</v>
      </c>
      <c r="AS702">
        <v>0</v>
      </c>
      <c r="AT702">
        <v>0</v>
      </c>
      <c r="AU702">
        <v>0</v>
      </c>
      <c r="AV702">
        <v>0</v>
      </c>
      <c r="AW702">
        <v>0</v>
      </c>
      <c r="AX702">
        <v>0</v>
      </c>
      <c r="AY702">
        <v>0</v>
      </c>
      <c r="AZ702">
        <v>0</v>
      </c>
      <c r="BA702">
        <v>0</v>
      </c>
      <c r="BB702">
        <v>0</v>
      </c>
      <c r="BC702">
        <v>0</v>
      </c>
      <c r="BD702">
        <v>0</v>
      </c>
      <c r="BE702">
        <v>0</v>
      </c>
      <c r="BF702">
        <v>0</v>
      </c>
      <c r="BG702">
        <v>0</v>
      </c>
      <c r="BH702">
        <v>1</v>
      </c>
      <c r="BI702">
        <v>4</v>
      </c>
      <c r="BJ702">
        <v>4.5</v>
      </c>
      <c r="BK702">
        <v>4.5</v>
      </c>
      <c r="BL702">
        <v>157.38999999999999</v>
      </c>
      <c r="BM702">
        <v>23.61</v>
      </c>
      <c r="BN702">
        <v>181</v>
      </c>
      <c r="BO702">
        <v>181</v>
      </c>
      <c r="BQ702" t="s">
        <v>898</v>
      </c>
      <c r="BR702" t="s">
        <v>84</v>
      </c>
      <c r="BS702" s="3">
        <v>45789</v>
      </c>
      <c r="BT702" s="4">
        <v>0.46944444444444444</v>
      </c>
      <c r="BU702" t="s">
        <v>1465</v>
      </c>
      <c r="BV702" t="s">
        <v>89</v>
      </c>
      <c r="BW702" t="s">
        <v>340</v>
      </c>
      <c r="BX702" t="s">
        <v>1224</v>
      </c>
      <c r="BY702">
        <v>22620</v>
      </c>
      <c r="CA702" t="s">
        <v>901</v>
      </c>
      <c r="CC702" t="s">
        <v>131</v>
      </c>
      <c r="CD702">
        <v>7550</v>
      </c>
      <c r="CE702" t="s">
        <v>96</v>
      </c>
      <c r="CF702" s="3">
        <v>45790</v>
      </c>
      <c r="CI702">
        <v>1</v>
      </c>
      <c r="CJ702">
        <v>1</v>
      </c>
      <c r="CK702">
        <v>21</v>
      </c>
      <c r="CL702" t="s">
        <v>89</v>
      </c>
    </row>
    <row r="703" spans="1:90" x14ac:dyDescent="0.3">
      <c r="A703" t="s">
        <v>72</v>
      </c>
      <c r="B703" t="s">
        <v>73</v>
      </c>
      <c r="C703" t="s">
        <v>74</v>
      </c>
      <c r="E703" t="str">
        <f>"080065277114"</f>
        <v>080065277114</v>
      </c>
      <c r="F703" s="3">
        <v>45786</v>
      </c>
      <c r="G703">
        <v>202602</v>
      </c>
      <c r="H703" t="s">
        <v>75</v>
      </c>
      <c r="I703" t="s">
        <v>76</v>
      </c>
      <c r="J703" t="s">
        <v>77</v>
      </c>
      <c r="K703" t="s">
        <v>78</v>
      </c>
      <c r="L703" t="s">
        <v>130</v>
      </c>
      <c r="M703" t="s">
        <v>131</v>
      </c>
      <c r="N703" t="s">
        <v>1066</v>
      </c>
      <c r="O703" t="s">
        <v>82</v>
      </c>
      <c r="P703" t="str">
        <f>"4170037472                    "</f>
        <v xml:space="preserve">4170037472                    </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74.8</v>
      </c>
      <c r="AR703">
        <v>0</v>
      </c>
      <c r="AS703">
        <v>0</v>
      </c>
      <c r="AT703">
        <v>0</v>
      </c>
      <c r="AU703">
        <v>0</v>
      </c>
      <c r="AV703">
        <v>0</v>
      </c>
      <c r="AW703">
        <v>0</v>
      </c>
      <c r="AX703">
        <v>0</v>
      </c>
      <c r="AY703">
        <v>0</v>
      </c>
      <c r="AZ703">
        <v>0</v>
      </c>
      <c r="BA703">
        <v>0</v>
      </c>
      <c r="BB703">
        <v>0</v>
      </c>
      <c r="BC703">
        <v>0</v>
      </c>
      <c r="BD703">
        <v>0</v>
      </c>
      <c r="BE703">
        <v>0</v>
      </c>
      <c r="BF703">
        <v>0</v>
      </c>
      <c r="BG703">
        <v>0</v>
      </c>
      <c r="BH703">
        <v>1</v>
      </c>
      <c r="BI703">
        <v>3</v>
      </c>
      <c r="BJ703">
        <v>6.9</v>
      </c>
      <c r="BK703">
        <v>7</v>
      </c>
      <c r="BL703">
        <v>244.8</v>
      </c>
      <c r="BM703">
        <v>36.72</v>
      </c>
      <c r="BN703">
        <v>281.52</v>
      </c>
      <c r="BO703">
        <v>281.52</v>
      </c>
      <c r="BQ703" t="s">
        <v>1067</v>
      </c>
      <c r="BR703" t="s">
        <v>84</v>
      </c>
      <c r="BS703" s="3">
        <v>45789</v>
      </c>
      <c r="BT703" s="4">
        <v>0.41249999999999998</v>
      </c>
      <c r="BU703" t="s">
        <v>1202</v>
      </c>
      <c r="BV703" t="s">
        <v>86</v>
      </c>
      <c r="BY703">
        <v>34496</v>
      </c>
      <c r="CA703" t="s">
        <v>712</v>
      </c>
      <c r="CC703" t="s">
        <v>131</v>
      </c>
      <c r="CD703">
        <v>7561</v>
      </c>
      <c r="CE703" t="s">
        <v>96</v>
      </c>
      <c r="CF703" s="3">
        <v>45790</v>
      </c>
      <c r="CI703">
        <v>1</v>
      </c>
      <c r="CJ703">
        <v>1</v>
      </c>
      <c r="CK703">
        <v>21</v>
      </c>
      <c r="CL703" t="s">
        <v>89</v>
      </c>
    </row>
    <row r="704" spans="1:90" x14ac:dyDescent="0.3">
      <c r="A704" t="s">
        <v>72</v>
      </c>
      <c r="B704" t="s">
        <v>73</v>
      </c>
      <c r="C704" t="s">
        <v>74</v>
      </c>
      <c r="E704" t="str">
        <f>"080065277259"</f>
        <v>080065277259</v>
      </c>
      <c r="F704" s="3">
        <v>45786</v>
      </c>
      <c r="G704">
        <v>202602</v>
      </c>
      <c r="H704" t="s">
        <v>75</v>
      </c>
      <c r="I704" t="s">
        <v>76</v>
      </c>
      <c r="J704" t="s">
        <v>77</v>
      </c>
      <c r="K704" t="s">
        <v>78</v>
      </c>
      <c r="L704" t="s">
        <v>103</v>
      </c>
      <c r="M704" t="s">
        <v>104</v>
      </c>
      <c r="N704" t="s">
        <v>633</v>
      </c>
      <c r="O704" t="s">
        <v>82</v>
      </c>
      <c r="P704" t="str">
        <f>"4170037597                    "</f>
        <v xml:space="preserve">4170037597                    </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106.85</v>
      </c>
      <c r="AR704">
        <v>0</v>
      </c>
      <c r="AS704">
        <v>0</v>
      </c>
      <c r="AT704">
        <v>0</v>
      </c>
      <c r="AU704">
        <v>0</v>
      </c>
      <c r="AV704">
        <v>0</v>
      </c>
      <c r="AW704">
        <v>0</v>
      </c>
      <c r="AX704">
        <v>0</v>
      </c>
      <c r="AY704">
        <v>0</v>
      </c>
      <c r="AZ704">
        <v>0</v>
      </c>
      <c r="BA704">
        <v>0</v>
      </c>
      <c r="BB704">
        <v>0</v>
      </c>
      <c r="BC704">
        <v>0</v>
      </c>
      <c r="BD704">
        <v>0</v>
      </c>
      <c r="BE704">
        <v>0</v>
      </c>
      <c r="BF704">
        <v>0</v>
      </c>
      <c r="BG704">
        <v>0</v>
      </c>
      <c r="BH704">
        <v>1</v>
      </c>
      <c r="BI704">
        <v>10</v>
      </c>
      <c r="BJ704">
        <v>4.0999999999999996</v>
      </c>
      <c r="BK704">
        <v>10</v>
      </c>
      <c r="BL704">
        <v>349.69</v>
      </c>
      <c r="BM704">
        <v>52.45</v>
      </c>
      <c r="BN704">
        <v>402.14</v>
      </c>
      <c r="BO704">
        <v>402.14</v>
      </c>
      <c r="BQ704" t="s">
        <v>634</v>
      </c>
      <c r="BR704" t="s">
        <v>84</v>
      </c>
      <c r="BS704" s="3">
        <v>45789</v>
      </c>
      <c r="BT704" s="4">
        <v>0.41666666666666669</v>
      </c>
      <c r="BU704" t="s">
        <v>1466</v>
      </c>
      <c r="BV704" t="s">
        <v>86</v>
      </c>
      <c r="BY704">
        <v>20358</v>
      </c>
      <c r="CA704" t="s">
        <v>440</v>
      </c>
      <c r="CC704" t="s">
        <v>104</v>
      </c>
      <c r="CD704">
        <v>3212</v>
      </c>
      <c r="CE704" t="s">
        <v>96</v>
      </c>
      <c r="CF704" s="3">
        <v>45790</v>
      </c>
      <c r="CI704">
        <v>2</v>
      </c>
      <c r="CJ704">
        <v>1</v>
      </c>
      <c r="CK704">
        <v>21</v>
      </c>
      <c r="CL704" t="s">
        <v>89</v>
      </c>
    </row>
    <row r="705" spans="1:90" x14ac:dyDescent="0.3">
      <c r="A705" t="s">
        <v>72</v>
      </c>
      <c r="B705" t="s">
        <v>73</v>
      </c>
      <c r="C705" t="s">
        <v>74</v>
      </c>
      <c r="E705" t="str">
        <f>"080065277268"</f>
        <v>080065277268</v>
      </c>
      <c r="F705" s="3">
        <v>45786</v>
      </c>
      <c r="G705">
        <v>202602</v>
      </c>
      <c r="H705" t="s">
        <v>75</v>
      </c>
      <c r="I705" t="s">
        <v>76</v>
      </c>
      <c r="J705" t="s">
        <v>77</v>
      </c>
      <c r="K705" t="s">
        <v>78</v>
      </c>
      <c r="L705" t="s">
        <v>350</v>
      </c>
      <c r="M705" t="s">
        <v>351</v>
      </c>
      <c r="N705" t="s">
        <v>352</v>
      </c>
      <c r="O705" t="s">
        <v>82</v>
      </c>
      <c r="P705" t="str">
        <f>"4170037489                    "</f>
        <v xml:space="preserve">4170037489                    </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37.409999999999997</v>
      </c>
      <c r="AR705">
        <v>0</v>
      </c>
      <c r="AS705">
        <v>0</v>
      </c>
      <c r="AT705">
        <v>0</v>
      </c>
      <c r="AU705">
        <v>0</v>
      </c>
      <c r="AV705">
        <v>0</v>
      </c>
      <c r="AW705">
        <v>0</v>
      </c>
      <c r="AX705">
        <v>0</v>
      </c>
      <c r="AY705">
        <v>0</v>
      </c>
      <c r="AZ705">
        <v>0</v>
      </c>
      <c r="BA705">
        <v>0</v>
      </c>
      <c r="BB705">
        <v>0</v>
      </c>
      <c r="BC705">
        <v>0</v>
      </c>
      <c r="BD705">
        <v>0</v>
      </c>
      <c r="BE705">
        <v>0</v>
      </c>
      <c r="BF705">
        <v>0</v>
      </c>
      <c r="BG705">
        <v>0</v>
      </c>
      <c r="BH705">
        <v>1</v>
      </c>
      <c r="BI705">
        <v>2</v>
      </c>
      <c r="BJ705">
        <v>3.2</v>
      </c>
      <c r="BK705">
        <v>3.5</v>
      </c>
      <c r="BL705">
        <v>122.43</v>
      </c>
      <c r="BM705">
        <v>18.36</v>
      </c>
      <c r="BN705">
        <v>140.79</v>
      </c>
      <c r="BO705">
        <v>140.79</v>
      </c>
      <c r="BQ705" t="s">
        <v>353</v>
      </c>
      <c r="BR705" t="s">
        <v>84</v>
      </c>
      <c r="BS705" s="3">
        <v>45789</v>
      </c>
      <c r="BT705" s="4">
        <v>0.73402777777777772</v>
      </c>
      <c r="BU705" t="s">
        <v>354</v>
      </c>
      <c r="BV705" t="s">
        <v>89</v>
      </c>
      <c r="BW705" t="s">
        <v>434</v>
      </c>
      <c r="BX705" t="s">
        <v>435</v>
      </c>
      <c r="BY705">
        <v>15834</v>
      </c>
      <c r="CA705" t="s">
        <v>160</v>
      </c>
      <c r="CC705" t="s">
        <v>351</v>
      </c>
      <c r="CD705">
        <v>4000</v>
      </c>
      <c r="CE705" t="s">
        <v>96</v>
      </c>
      <c r="CF705" s="3">
        <v>45790</v>
      </c>
      <c r="CI705">
        <v>1</v>
      </c>
      <c r="CJ705">
        <v>1</v>
      </c>
      <c r="CK705">
        <v>21</v>
      </c>
      <c r="CL705" t="s">
        <v>89</v>
      </c>
    </row>
    <row r="706" spans="1:90" x14ac:dyDescent="0.3">
      <c r="A706" t="s">
        <v>72</v>
      </c>
      <c r="B706" t="s">
        <v>73</v>
      </c>
      <c r="C706" t="s">
        <v>74</v>
      </c>
      <c r="E706" t="str">
        <f>"080065277295"</f>
        <v>080065277295</v>
      </c>
      <c r="F706" s="3">
        <v>45786</v>
      </c>
      <c r="G706">
        <v>202602</v>
      </c>
      <c r="H706" t="s">
        <v>75</v>
      </c>
      <c r="I706" t="s">
        <v>76</v>
      </c>
      <c r="J706" t="s">
        <v>77</v>
      </c>
      <c r="K706" t="s">
        <v>78</v>
      </c>
      <c r="L706" t="s">
        <v>90</v>
      </c>
      <c r="M706" t="s">
        <v>91</v>
      </c>
      <c r="N706" t="s">
        <v>1211</v>
      </c>
      <c r="O706" t="s">
        <v>82</v>
      </c>
      <c r="P706" t="str">
        <f>"4170037600                    "</f>
        <v xml:space="preserve">4170037600                    </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21.38</v>
      </c>
      <c r="AR706">
        <v>0</v>
      </c>
      <c r="AS706">
        <v>0</v>
      </c>
      <c r="AT706">
        <v>0</v>
      </c>
      <c r="AU706">
        <v>0</v>
      </c>
      <c r="AV706">
        <v>0</v>
      </c>
      <c r="AW706">
        <v>0</v>
      </c>
      <c r="AX706">
        <v>0</v>
      </c>
      <c r="AY706">
        <v>0</v>
      </c>
      <c r="AZ706">
        <v>0</v>
      </c>
      <c r="BA706">
        <v>0</v>
      </c>
      <c r="BB706">
        <v>0</v>
      </c>
      <c r="BC706">
        <v>0</v>
      </c>
      <c r="BD706">
        <v>0</v>
      </c>
      <c r="BE706">
        <v>0</v>
      </c>
      <c r="BF706">
        <v>0</v>
      </c>
      <c r="BG706">
        <v>0</v>
      </c>
      <c r="BH706">
        <v>1</v>
      </c>
      <c r="BI706">
        <v>1</v>
      </c>
      <c r="BJ706">
        <v>0.2</v>
      </c>
      <c r="BK706">
        <v>1</v>
      </c>
      <c r="BL706">
        <v>69.98</v>
      </c>
      <c r="BM706">
        <v>10.5</v>
      </c>
      <c r="BN706">
        <v>80.48</v>
      </c>
      <c r="BO706">
        <v>80.48</v>
      </c>
      <c r="BQ706" t="s">
        <v>1212</v>
      </c>
      <c r="BR706" t="s">
        <v>84</v>
      </c>
      <c r="BS706" s="3">
        <v>45789</v>
      </c>
      <c r="BT706" s="4">
        <v>0.42499999999999999</v>
      </c>
      <c r="BU706" t="s">
        <v>1467</v>
      </c>
      <c r="BV706" t="s">
        <v>86</v>
      </c>
      <c r="BY706">
        <v>1200</v>
      </c>
      <c r="CA706" t="s">
        <v>283</v>
      </c>
      <c r="CC706" t="s">
        <v>91</v>
      </c>
      <c r="CD706">
        <v>6012</v>
      </c>
      <c r="CE706" t="s">
        <v>88</v>
      </c>
      <c r="CF706" s="3">
        <v>45789</v>
      </c>
      <c r="CI706">
        <v>1</v>
      </c>
      <c r="CJ706">
        <v>1</v>
      </c>
      <c r="CK706">
        <v>21</v>
      </c>
      <c r="CL706" t="s">
        <v>89</v>
      </c>
    </row>
    <row r="707" spans="1:90" x14ac:dyDescent="0.3">
      <c r="A707" t="s">
        <v>72</v>
      </c>
      <c r="B707" t="s">
        <v>73</v>
      </c>
      <c r="C707" t="s">
        <v>74</v>
      </c>
      <c r="E707" t="str">
        <f>"080065277296"</f>
        <v>080065277296</v>
      </c>
      <c r="F707" s="3">
        <v>45786</v>
      </c>
      <c r="G707">
        <v>202602</v>
      </c>
      <c r="H707" t="s">
        <v>75</v>
      </c>
      <c r="I707" t="s">
        <v>76</v>
      </c>
      <c r="J707" t="s">
        <v>77</v>
      </c>
      <c r="K707" t="s">
        <v>78</v>
      </c>
      <c r="L707" t="s">
        <v>75</v>
      </c>
      <c r="M707" t="s">
        <v>76</v>
      </c>
      <c r="N707" t="s">
        <v>472</v>
      </c>
      <c r="O707" t="s">
        <v>82</v>
      </c>
      <c r="P707" t="str">
        <f>"4170037474                    "</f>
        <v xml:space="preserve">4170037474                    </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16.7</v>
      </c>
      <c r="AR707">
        <v>0</v>
      </c>
      <c r="AS707">
        <v>0</v>
      </c>
      <c r="AT707">
        <v>0</v>
      </c>
      <c r="AU707">
        <v>0</v>
      </c>
      <c r="AV707">
        <v>0</v>
      </c>
      <c r="AW707">
        <v>0</v>
      </c>
      <c r="AX707">
        <v>0</v>
      </c>
      <c r="AY707">
        <v>0</v>
      </c>
      <c r="AZ707">
        <v>0</v>
      </c>
      <c r="BA707">
        <v>0</v>
      </c>
      <c r="BB707">
        <v>0</v>
      </c>
      <c r="BC707">
        <v>0</v>
      </c>
      <c r="BD707">
        <v>0</v>
      </c>
      <c r="BE707">
        <v>0</v>
      </c>
      <c r="BF707">
        <v>0</v>
      </c>
      <c r="BG707">
        <v>0</v>
      </c>
      <c r="BH707">
        <v>1</v>
      </c>
      <c r="BI707">
        <v>2</v>
      </c>
      <c r="BJ707">
        <v>3.7</v>
      </c>
      <c r="BK707">
        <v>4</v>
      </c>
      <c r="BL707">
        <v>54.66</v>
      </c>
      <c r="BM707">
        <v>8.1999999999999993</v>
      </c>
      <c r="BN707">
        <v>62.86</v>
      </c>
      <c r="BO707">
        <v>62.86</v>
      </c>
      <c r="BQ707" t="s">
        <v>473</v>
      </c>
      <c r="BR707" t="s">
        <v>84</v>
      </c>
      <c r="BS707" s="3">
        <v>45789</v>
      </c>
      <c r="BT707" s="4">
        <v>0.41666666666666669</v>
      </c>
      <c r="BU707" t="s">
        <v>474</v>
      </c>
      <c r="BV707" t="s">
        <v>86</v>
      </c>
      <c r="BY707">
        <v>18304</v>
      </c>
      <c r="CA707" t="s">
        <v>383</v>
      </c>
      <c r="CC707" t="s">
        <v>76</v>
      </c>
      <c r="CD707">
        <v>1609</v>
      </c>
      <c r="CE707" t="s">
        <v>96</v>
      </c>
      <c r="CF707" s="3">
        <v>45789</v>
      </c>
      <c r="CI707">
        <v>1</v>
      </c>
      <c r="CJ707">
        <v>1</v>
      </c>
      <c r="CK707">
        <v>22</v>
      </c>
      <c r="CL707" t="s">
        <v>89</v>
      </c>
    </row>
    <row r="708" spans="1:90" x14ac:dyDescent="0.3">
      <c r="A708" t="s">
        <v>72</v>
      </c>
      <c r="B708" t="s">
        <v>73</v>
      </c>
      <c r="C708" t="s">
        <v>74</v>
      </c>
      <c r="E708" t="str">
        <f>"080065277335"</f>
        <v>080065277335</v>
      </c>
      <c r="F708" s="3">
        <v>45786</v>
      </c>
      <c r="G708">
        <v>202602</v>
      </c>
      <c r="H708" t="s">
        <v>75</v>
      </c>
      <c r="I708" t="s">
        <v>76</v>
      </c>
      <c r="J708" t="s">
        <v>77</v>
      </c>
      <c r="K708" t="s">
        <v>78</v>
      </c>
      <c r="L708" t="s">
        <v>79</v>
      </c>
      <c r="M708" t="s">
        <v>80</v>
      </c>
      <c r="N708" t="s">
        <v>157</v>
      </c>
      <c r="O708" t="s">
        <v>82</v>
      </c>
      <c r="P708" t="str">
        <f>"4170037589                    "</f>
        <v xml:space="preserve">4170037589                    </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21.38</v>
      </c>
      <c r="AR708">
        <v>0</v>
      </c>
      <c r="AS708">
        <v>0</v>
      </c>
      <c r="AT708">
        <v>0</v>
      </c>
      <c r="AU708">
        <v>0</v>
      </c>
      <c r="AV708">
        <v>0</v>
      </c>
      <c r="AW708">
        <v>0</v>
      </c>
      <c r="AX708">
        <v>0</v>
      </c>
      <c r="AY708">
        <v>0</v>
      </c>
      <c r="AZ708">
        <v>0</v>
      </c>
      <c r="BA708">
        <v>0</v>
      </c>
      <c r="BB708">
        <v>0</v>
      </c>
      <c r="BC708">
        <v>0</v>
      </c>
      <c r="BD708">
        <v>0</v>
      </c>
      <c r="BE708">
        <v>0</v>
      </c>
      <c r="BF708">
        <v>0</v>
      </c>
      <c r="BG708">
        <v>0</v>
      </c>
      <c r="BH708">
        <v>1</v>
      </c>
      <c r="BI708">
        <v>1</v>
      </c>
      <c r="BJ708">
        <v>0.2</v>
      </c>
      <c r="BK708">
        <v>1</v>
      </c>
      <c r="BL708">
        <v>69.98</v>
      </c>
      <c r="BM708">
        <v>10.5</v>
      </c>
      <c r="BN708">
        <v>80.48</v>
      </c>
      <c r="BO708">
        <v>80.48</v>
      </c>
      <c r="BQ708" t="s">
        <v>158</v>
      </c>
      <c r="BR708" t="s">
        <v>84</v>
      </c>
      <c r="BS708" s="3">
        <v>45789</v>
      </c>
      <c r="BT708" s="4">
        <v>0.53055555555555556</v>
      </c>
      <c r="BU708" t="s">
        <v>159</v>
      </c>
      <c r="BV708" t="s">
        <v>86</v>
      </c>
      <c r="BY708">
        <v>1200</v>
      </c>
      <c r="CA708" t="s">
        <v>1468</v>
      </c>
      <c r="CC708" t="s">
        <v>80</v>
      </c>
      <c r="CD708">
        <v>3610</v>
      </c>
      <c r="CE708" t="s">
        <v>88</v>
      </c>
      <c r="CF708" s="3">
        <v>45790</v>
      </c>
      <c r="CI708">
        <v>1</v>
      </c>
      <c r="CJ708">
        <v>1</v>
      </c>
      <c r="CK708">
        <v>21</v>
      </c>
      <c r="CL708" t="s">
        <v>89</v>
      </c>
    </row>
    <row r="709" spans="1:90" x14ac:dyDescent="0.3">
      <c r="A709" t="s">
        <v>72</v>
      </c>
      <c r="B709" t="s">
        <v>73</v>
      </c>
      <c r="C709" t="s">
        <v>74</v>
      </c>
      <c r="E709" t="str">
        <f>"080065277354"</f>
        <v>080065277354</v>
      </c>
      <c r="F709" s="3">
        <v>45786</v>
      </c>
      <c r="G709">
        <v>202602</v>
      </c>
      <c r="H709" t="s">
        <v>75</v>
      </c>
      <c r="I709" t="s">
        <v>76</v>
      </c>
      <c r="J709" t="s">
        <v>77</v>
      </c>
      <c r="K709" t="s">
        <v>78</v>
      </c>
      <c r="L709" t="s">
        <v>90</v>
      </c>
      <c r="M709" t="s">
        <v>91</v>
      </c>
      <c r="N709" t="s">
        <v>639</v>
      </c>
      <c r="O709" t="s">
        <v>82</v>
      </c>
      <c r="P709" t="str">
        <f>"4170037579                    "</f>
        <v xml:space="preserve">4170037579                    </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21.38</v>
      </c>
      <c r="AR709">
        <v>0</v>
      </c>
      <c r="AS709">
        <v>0</v>
      </c>
      <c r="AT709">
        <v>0</v>
      </c>
      <c r="AU709">
        <v>0</v>
      </c>
      <c r="AV709">
        <v>0</v>
      </c>
      <c r="AW709">
        <v>0</v>
      </c>
      <c r="AX709">
        <v>0</v>
      </c>
      <c r="AY709">
        <v>0</v>
      </c>
      <c r="AZ709">
        <v>0</v>
      </c>
      <c r="BA709">
        <v>0</v>
      </c>
      <c r="BB709">
        <v>0</v>
      </c>
      <c r="BC709">
        <v>0</v>
      </c>
      <c r="BD709">
        <v>0</v>
      </c>
      <c r="BE709">
        <v>0</v>
      </c>
      <c r="BF709">
        <v>0</v>
      </c>
      <c r="BG709">
        <v>0</v>
      </c>
      <c r="BH709">
        <v>1</v>
      </c>
      <c r="BI709">
        <v>2</v>
      </c>
      <c r="BJ709">
        <v>1.9</v>
      </c>
      <c r="BK709">
        <v>2</v>
      </c>
      <c r="BL709">
        <v>69.98</v>
      </c>
      <c r="BM709">
        <v>10.5</v>
      </c>
      <c r="BN709">
        <v>80.48</v>
      </c>
      <c r="BO709">
        <v>80.48</v>
      </c>
      <c r="BQ709" t="s">
        <v>640</v>
      </c>
      <c r="BR709" t="s">
        <v>84</v>
      </c>
      <c r="BS709" s="3">
        <v>45789</v>
      </c>
      <c r="BT709" s="4">
        <v>0.36388888888888887</v>
      </c>
      <c r="BU709" t="s">
        <v>1435</v>
      </c>
      <c r="BV709" t="s">
        <v>86</v>
      </c>
      <c r="BY709">
        <v>9600</v>
      </c>
      <c r="CA709" t="s">
        <v>271</v>
      </c>
      <c r="CC709" t="s">
        <v>91</v>
      </c>
      <c r="CD709">
        <v>6001</v>
      </c>
      <c r="CE709" t="s">
        <v>116</v>
      </c>
      <c r="CF709" s="3">
        <v>45789</v>
      </c>
      <c r="CI709">
        <v>1</v>
      </c>
      <c r="CJ709">
        <v>1</v>
      </c>
      <c r="CK709">
        <v>21</v>
      </c>
      <c r="CL709" t="s">
        <v>89</v>
      </c>
    </row>
    <row r="710" spans="1:90" x14ac:dyDescent="0.3">
      <c r="A710" t="s">
        <v>72</v>
      </c>
      <c r="B710" t="s">
        <v>73</v>
      </c>
      <c r="C710" t="s">
        <v>74</v>
      </c>
      <c r="E710" t="str">
        <f>"080065277377"</f>
        <v>080065277377</v>
      </c>
      <c r="F710" s="3">
        <v>45786</v>
      </c>
      <c r="G710">
        <v>202602</v>
      </c>
      <c r="H710" t="s">
        <v>75</v>
      </c>
      <c r="I710" t="s">
        <v>76</v>
      </c>
      <c r="J710" t="s">
        <v>77</v>
      </c>
      <c r="K710" t="s">
        <v>78</v>
      </c>
      <c r="L710" t="s">
        <v>75</v>
      </c>
      <c r="M710" t="s">
        <v>76</v>
      </c>
      <c r="N710" t="s">
        <v>601</v>
      </c>
      <c r="O710" t="s">
        <v>82</v>
      </c>
      <c r="P710" t="str">
        <f>"4170037593                    "</f>
        <v xml:space="preserve">4170037593                    </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16.7</v>
      </c>
      <c r="AR710">
        <v>0</v>
      </c>
      <c r="AS710">
        <v>0</v>
      </c>
      <c r="AT710">
        <v>0</v>
      </c>
      <c r="AU710">
        <v>0</v>
      </c>
      <c r="AV710">
        <v>0</v>
      </c>
      <c r="AW710">
        <v>0</v>
      </c>
      <c r="AX710">
        <v>0</v>
      </c>
      <c r="AY710">
        <v>0</v>
      </c>
      <c r="AZ710">
        <v>0</v>
      </c>
      <c r="BA710">
        <v>0</v>
      </c>
      <c r="BB710">
        <v>0</v>
      </c>
      <c r="BC710">
        <v>0</v>
      </c>
      <c r="BD710">
        <v>0</v>
      </c>
      <c r="BE710">
        <v>0</v>
      </c>
      <c r="BF710">
        <v>0</v>
      </c>
      <c r="BG710">
        <v>0</v>
      </c>
      <c r="BH710">
        <v>1</v>
      </c>
      <c r="BI710">
        <v>1</v>
      </c>
      <c r="BJ710">
        <v>0.2</v>
      </c>
      <c r="BK710">
        <v>1</v>
      </c>
      <c r="BL710">
        <v>54.66</v>
      </c>
      <c r="BM710">
        <v>8.1999999999999993</v>
      </c>
      <c r="BN710">
        <v>62.86</v>
      </c>
      <c r="BO710">
        <v>62.86</v>
      </c>
      <c r="BQ710" t="s">
        <v>603</v>
      </c>
      <c r="BR710" t="s">
        <v>84</v>
      </c>
      <c r="BS710" s="3">
        <v>45790</v>
      </c>
      <c r="BT710" s="4">
        <v>0.41875000000000001</v>
      </c>
      <c r="BU710" t="s">
        <v>1469</v>
      </c>
      <c r="BV710" t="s">
        <v>89</v>
      </c>
      <c r="BW710" t="s">
        <v>148</v>
      </c>
      <c r="BX710" t="s">
        <v>1064</v>
      </c>
      <c r="BY710">
        <v>1200</v>
      </c>
      <c r="CC710" t="s">
        <v>76</v>
      </c>
      <c r="CD710">
        <v>1645</v>
      </c>
      <c r="CE710" t="s">
        <v>88</v>
      </c>
      <c r="CF710" s="3">
        <v>45790</v>
      </c>
      <c r="CI710">
        <v>1</v>
      </c>
      <c r="CJ710">
        <v>2</v>
      </c>
      <c r="CK710">
        <v>22</v>
      </c>
      <c r="CL710" t="s">
        <v>89</v>
      </c>
    </row>
    <row r="711" spans="1:90" x14ac:dyDescent="0.3">
      <c r="A711" t="s">
        <v>72</v>
      </c>
      <c r="B711" t="s">
        <v>73</v>
      </c>
      <c r="C711" t="s">
        <v>74</v>
      </c>
      <c r="E711" t="str">
        <f>"080065277412"</f>
        <v>080065277412</v>
      </c>
      <c r="F711" s="3">
        <v>45786</v>
      </c>
      <c r="G711">
        <v>202602</v>
      </c>
      <c r="H711" t="s">
        <v>75</v>
      </c>
      <c r="I711" t="s">
        <v>76</v>
      </c>
      <c r="J711" t="s">
        <v>77</v>
      </c>
      <c r="K711" t="s">
        <v>78</v>
      </c>
      <c r="L711" t="s">
        <v>79</v>
      </c>
      <c r="M711" t="s">
        <v>80</v>
      </c>
      <c r="N711" t="s">
        <v>415</v>
      </c>
      <c r="O711" t="s">
        <v>82</v>
      </c>
      <c r="P711" t="str">
        <f>"4170037569                    "</f>
        <v xml:space="preserve">4170037569                    </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42.75</v>
      </c>
      <c r="AR711">
        <v>0</v>
      </c>
      <c r="AS711">
        <v>0</v>
      </c>
      <c r="AT711">
        <v>0</v>
      </c>
      <c r="AU711">
        <v>0</v>
      </c>
      <c r="AV711">
        <v>0</v>
      </c>
      <c r="AW711">
        <v>0</v>
      </c>
      <c r="AX711">
        <v>0</v>
      </c>
      <c r="AY711">
        <v>0</v>
      </c>
      <c r="AZ711">
        <v>0</v>
      </c>
      <c r="BA711">
        <v>0</v>
      </c>
      <c r="BB711">
        <v>0</v>
      </c>
      <c r="BC711">
        <v>0</v>
      </c>
      <c r="BD711">
        <v>0</v>
      </c>
      <c r="BE711">
        <v>0</v>
      </c>
      <c r="BF711">
        <v>0</v>
      </c>
      <c r="BG711">
        <v>0</v>
      </c>
      <c r="BH711">
        <v>1</v>
      </c>
      <c r="BI711">
        <v>4</v>
      </c>
      <c r="BJ711">
        <v>3.2</v>
      </c>
      <c r="BK711">
        <v>4</v>
      </c>
      <c r="BL711">
        <v>139.91</v>
      </c>
      <c r="BM711">
        <v>20.99</v>
      </c>
      <c r="BN711">
        <v>160.9</v>
      </c>
      <c r="BO711">
        <v>160.9</v>
      </c>
      <c r="BQ711" t="s">
        <v>416</v>
      </c>
      <c r="BR711" t="s">
        <v>84</v>
      </c>
      <c r="BS711" s="3">
        <v>45789</v>
      </c>
      <c r="BT711" s="4">
        <v>0.45555555555555555</v>
      </c>
      <c r="BU711" t="s">
        <v>1152</v>
      </c>
      <c r="BV711" t="s">
        <v>86</v>
      </c>
      <c r="BY711">
        <v>15840</v>
      </c>
      <c r="CA711" t="s">
        <v>87</v>
      </c>
      <c r="CC711" t="s">
        <v>80</v>
      </c>
      <c r="CD711">
        <v>3610</v>
      </c>
      <c r="CE711" t="s">
        <v>221</v>
      </c>
      <c r="CF711" s="3">
        <v>45790</v>
      </c>
      <c r="CI711">
        <v>1</v>
      </c>
      <c r="CJ711">
        <v>1</v>
      </c>
      <c r="CK711">
        <v>21</v>
      </c>
      <c r="CL711" t="s">
        <v>89</v>
      </c>
    </row>
    <row r="712" spans="1:90" x14ac:dyDescent="0.3">
      <c r="A712" t="s">
        <v>72</v>
      </c>
      <c r="B712" t="s">
        <v>73</v>
      </c>
      <c r="C712" t="s">
        <v>74</v>
      </c>
      <c r="E712" t="str">
        <f>"080065277415"</f>
        <v>080065277415</v>
      </c>
      <c r="F712" s="3">
        <v>45786</v>
      </c>
      <c r="G712">
        <v>202602</v>
      </c>
      <c r="H712" t="s">
        <v>75</v>
      </c>
      <c r="I712" t="s">
        <v>76</v>
      </c>
      <c r="J712" t="s">
        <v>77</v>
      </c>
      <c r="K712" t="s">
        <v>78</v>
      </c>
      <c r="L712" t="s">
        <v>130</v>
      </c>
      <c r="M712" t="s">
        <v>131</v>
      </c>
      <c r="N712" t="s">
        <v>1470</v>
      </c>
      <c r="O712" t="s">
        <v>82</v>
      </c>
      <c r="P712" t="str">
        <f>"4170037527                    "</f>
        <v xml:space="preserve">4170037527                    </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21.38</v>
      </c>
      <c r="AR712">
        <v>0</v>
      </c>
      <c r="AS712">
        <v>0</v>
      </c>
      <c r="AT712">
        <v>0</v>
      </c>
      <c r="AU712">
        <v>0</v>
      </c>
      <c r="AV712">
        <v>0</v>
      </c>
      <c r="AW712">
        <v>0</v>
      </c>
      <c r="AX712">
        <v>0</v>
      </c>
      <c r="AY712">
        <v>0</v>
      </c>
      <c r="AZ712">
        <v>0</v>
      </c>
      <c r="BA712">
        <v>0</v>
      </c>
      <c r="BB712">
        <v>0</v>
      </c>
      <c r="BC712">
        <v>0</v>
      </c>
      <c r="BD712">
        <v>0</v>
      </c>
      <c r="BE712">
        <v>0</v>
      </c>
      <c r="BF712">
        <v>0</v>
      </c>
      <c r="BG712">
        <v>0</v>
      </c>
      <c r="BH712">
        <v>1</v>
      </c>
      <c r="BI712">
        <v>1</v>
      </c>
      <c r="BJ712">
        <v>0.2</v>
      </c>
      <c r="BK712">
        <v>1</v>
      </c>
      <c r="BL712">
        <v>69.98</v>
      </c>
      <c r="BM712">
        <v>10.5</v>
      </c>
      <c r="BN712">
        <v>80.48</v>
      </c>
      <c r="BO712">
        <v>80.48</v>
      </c>
      <c r="BQ712" t="s">
        <v>1471</v>
      </c>
      <c r="BR712" t="s">
        <v>84</v>
      </c>
      <c r="BS712" s="3">
        <v>45790</v>
      </c>
      <c r="BT712" s="4">
        <v>0.6166666666666667</v>
      </c>
      <c r="BU712" t="s">
        <v>1472</v>
      </c>
      <c r="BV712" t="s">
        <v>89</v>
      </c>
      <c r="BW712" t="s">
        <v>340</v>
      </c>
      <c r="BX712" t="s">
        <v>618</v>
      </c>
      <c r="BY712">
        <v>1200</v>
      </c>
      <c r="CA712" t="s">
        <v>488</v>
      </c>
      <c r="CC712" t="s">
        <v>131</v>
      </c>
      <c r="CD712">
        <v>7499</v>
      </c>
      <c r="CE712" t="s">
        <v>88</v>
      </c>
      <c r="CF712" s="3">
        <v>45791</v>
      </c>
      <c r="CI712">
        <v>1</v>
      </c>
      <c r="CJ712">
        <v>2</v>
      </c>
      <c r="CK712">
        <v>21</v>
      </c>
      <c r="CL712" t="s">
        <v>89</v>
      </c>
    </row>
    <row r="713" spans="1:90" x14ac:dyDescent="0.3">
      <c r="A713" t="s">
        <v>72</v>
      </c>
      <c r="B713" t="s">
        <v>73</v>
      </c>
      <c r="C713" t="s">
        <v>74</v>
      </c>
      <c r="E713" t="str">
        <f>"080065277435"</f>
        <v>080065277435</v>
      </c>
      <c r="F713" s="3">
        <v>45786</v>
      </c>
      <c r="G713">
        <v>202602</v>
      </c>
      <c r="H713" t="s">
        <v>75</v>
      </c>
      <c r="I713" t="s">
        <v>76</v>
      </c>
      <c r="J713" t="s">
        <v>77</v>
      </c>
      <c r="K713" t="s">
        <v>78</v>
      </c>
      <c r="L713" t="s">
        <v>136</v>
      </c>
      <c r="M713" t="s">
        <v>137</v>
      </c>
      <c r="N713" t="s">
        <v>925</v>
      </c>
      <c r="O713" t="s">
        <v>82</v>
      </c>
      <c r="P713" t="str">
        <f>"4170037524                    "</f>
        <v xml:space="preserve">4170037524                    </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21.38</v>
      </c>
      <c r="AR713">
        <v>0</v>
      </c>
      <c r="AS713">
        <v>0</v>
      </c>
      <c r="AT713">
        <v>0</v>
      </c>
      <c r="AU713">
        <v>0</v>
      </c>
      <c r="AV713">
        <v>0</v>
      </c>
      <c r="AW713">
        <v>0</v>
      </c>
      <c r="AX713">
        <v>0</v>
      </c>
      <c r="AY713">
        <v>0</v>
      </c>
      <c r="AZ713">
        <v>0</v>
      </c>
      <c r="BA713">
        <v>0</v>
      </c>
      <c r="BB713">
        <v>0</v>
      </c>
      <c r="BC713">
        <v>0</v>
      </c>
      <c r="BD713">
        <v>0</v>
      </c>
      <c r="BE713">
        <v>0</v>
      </c>
      <c r="BF713">
        <v>0</v>
      </c>
      <c r="BG713">
        <v>0</v>
      </c>
      <c r="BH713">
        <v>1</v>
      </c>
      <c r="BI713">
        <v>1</v>
      </c>
      <c r="BJ713">
        <v>0.9</v>
      </c>
      <c r="BK713">
        <v>1</v>
      </c>
      <c r="BL713">
        <v>69.98</v>
      </c>
      <c r="BM713">
        <v>10.5</v>
      </c>
      <c r="BN713">
        <v>80.48</v>
      </c>
      <c r="BO713">
        <v>80.48</v>
      </c>
      <c r="BQ713" t="s">
        <v>926</v>
      </c>
      <c r="BR713" t="s">
        <v>84</v>
      </c>
      <c r="BS713" s="3">
        <v>45789</v>
      </c>
      <c r="BT713" s="4">
        <v>0.43680555555555556</v>
      </c>
      <c r="BU713" t="s">
        <v>1451</v>
      </c>
      <c r="BV713" t="s">
        <v>86</v>
      </c>
      <c r="BY713">
        <v>4275</v>
      </c>
      <c r="CA713" t="s">
        <v>141</v>
      </c>
      <c r="CC713" t="s">
        <v>137</v>
      </c>
      <c r="CD713" s="5" t="s">
        <v>142</v>
      </c>
      <c r="CE713" t="s">
        <v>116</v>
      </c>
      <c r="CF713" s="3">
        <v>45789</v>
      </c>
      <c r="CI713">
        <v>1</v>
      </c>
      <c r="CJ713">
        <v>1</v>
      </c>
      <c r="CK713">
        <v>21</v>
      </c>
      <c r="CL713" t="s">
        <v>89</v>
      </c>
    </row>
    <row r="714" spans="1:90" x14ac:dyDescent="0.3">
      <c r="A714" t="s">
        <v>72</v>
      </c>
      <c r="B714" t="s">
        <v>73</v>
      </c>
      <c r="C714" t="s">
        <v>74</v>
      </c>
      <c r="E714" t="str">
        <f>"080065277459"</f>
        <v>080065277459</v>
      </c>
      <c r="F714" s="3">
        <v>45786</v>
      </c>
      <c r="G714">
        <v>202602</v>
      </c>
      <c r="H714" t="s">
        <v>75</v>
      </c>
      <c r="I714" t="s">
        <v>76</v>
      </c>
      <c r="J714" t="s">
        <v>77</v>
      </c>
      <c r="K714" t="s">
        <v>78</v>
      </c>
      <c r="L714" t="s">
        <v>130</v>
      </c>
      <c r="M714" t="s">
        <v>131</v>
      </c>
      <c r="N714" t="s">
        <v>343</v>
      </c>
      <c r="O714" t="s">
        <v>82</v>
      </c>
      <c r="P714" t="str">
        <f>"4170037574                    "</f>
        <v xml:space="preserve">4170037574                    </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21.38</v>
      </c>
      <c r="AR714">
        <v>0</v>
      </c>
      <c r="AS714">
        <v>0</v>
      </c>
      <c r="AT714">
        <v>0</v>
      </c>
      <c r="AU714">
        <v>0</v>
      </c>
      <c r="AV714">
        <v>0</v>
      </c>
      <c r="AW714">
        <v>0</v>
      </c>
      <c r="AX714">
        <v>0</v>
      </c>
      <c r="AY714">
        <v>0</v>
      </c>
      <c r="AZ714">
        <v>0</v>
      </c>
      <c r="BA714">
        <v>0</v>
      </c>
      <c r="BB714">
        <v>0</v>
      </c>
      <c r="BC714">
        <v>0</v>
      </c>
      <c r="BD714">
        <v>0</v>
      </c>
      <c r="BE714">
        <v>0</v>
      </c>
      <c r="BF714">
        <v>0</v>
      </c>
      <c r="BG714">
        <v>0</v>
      </c>
      <c r="BH714">
        <v>1</v>
      </c>
      <c r="BI714">
        <v>1</v>
      </c>
      <c r="BJ714">
        <v>0.9</v>
      </c>
      <c r="BK714">
        <v>1</v>
      </c>
      <c r="BL714">
        <v>69.98</v>
      </c>
      <c r="BM714">
        <v>10.5</v>
      </c>
      <c r="BN714">
        <v>80.48</v>
      </c>
      <c r="BO714">
        <v>80.48</v>
      </c>
      <c r="BQ714" t="s">
        <v>344</v>
      </c>
      <c r="BR714" t="s">
        <v>84</v>
      </c>
      <c r="BS714" s="3">
        <v>45791</v>
      </c>
      <c r="BT714" s="4">
        <v>0.41666666666666669</v>
      </c>
      <c r="BU714" t="s">
        <v>1473</v>
      </c>
      <c r="BV714" t="s">
        <v>89</v>
      </c>
      <c r="BW714" t="s">
        <v>434</v>
      </c>
      <c r="BX714" t="s">
        <v>1474</v>
      </c>
      <c r="BY714">
        <v>4275</v>
      </c>
      <c r="CC714" t="s">
        <v>131</v>
      </c>
      <c r="CD714">
        <v>7441</v>
      </c>
      <c r="CE714" t="s">
        <v>116</v>
      </c>
      <c r="CF714" s="3">
        <v>45787</v>
      </c>
      <c r="CI714">
        <v>1</v>
      </c>
      <c r="CJ714">
        <v>3</v>
      </c>
      <c r="CK714">
        <v>21</v>
      </c>
      <c r="CL714" t="s">
        <v>89</v>
      </c>
    </row>
    <row r="715" spans="1:90" x14ac:dyDescent="0.3">
      <c r="A715" t="s">
        <v>72</v>
      </c>
      <c r="B715" t="s">
        <v>73</v>
      </c>
      <c r="C715" t="s">
        <v>74</v>
      </c>
      <c r="E715" t="str">
        <f>"080065277564"</f>
        <v>080065277564</v>
      </c>
      <c r="F715" s="3">
        <v>45786</v>
      </c>
      <c r="G715">
        <v>202602</v>
      </c>
      <c r="H715" t="s">
        <v>75</v>
      </c>
      <c r="I715" t="s">
        <v>76</v>
      </c>
      <c r="J715" t="s">
        <v>77</v>
      </c>
      <c r="K715" t="s">
        <v>78</v>
      </c>
      <c r="L715" t="s">
        <v>79</v>
      </c>
      <c r="M715" t="s">
        <v>80</v>
      </c>
      <c r="N715" t="s">
        <v>1475</v>
      </c>
      <c r="O715" t="s">
        <v>82</v>
      </c>
      <c r="P715" t="str">
        <f>"4170037592                    "</f>
        <v xml:space="preserve">4170037592                    </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21.38</v>
      </c>
      <c r="AR715">
        <v>0</v>
      </c>
      <c r="AS715">
        <v>0</v>
      </c>
      <c r="AT715">
        <v>0</v>
      </c>
      <c r="AU715">
        <v>0</v>
      </c>
      <c r="AV715">
        <v>0</v>
      </c>
      <c r="AW715">
        <v>0</v>
      </c>
      <c r="AX715">
        <v>0</v>
      </c>
      <c r="AY715">
        <v>0</v>
      </c>
      <c r="AZ715">
        <v>0</v>
      </c>
      <c r="BA715">
        <v>0</v>
      </c>
      <c r="BB715">
        <v>0</v>
      </c>
      <c r="BC715">
        <v>0</v>
      </c>
      <c r="BD715">
        <v>0</v>
      </c>
      <c r="BE715">
        <v>0</v>
      </c>
      <c r="BF715">
        <v>0</v>
      </c>
      <c r="BG715">
        <v>0</v>
      </c>
      <c r="BH715">
        <v>1</v>
      </c>
      <c r="BI715">
        <v>1</v>
      </c>
      <c r="BJ715">
        <v>1.9</v>
      </c>
      <c r="BK715">
        <v>2</v>
      </c>
      <c r="BL715">
        <v>69.98</v>
      </c>
      <c r="BM715">
        <v>10.5</v>
      </c>
      <c r="BN715">
        <v>80.48</v>
      </c>
      <c r="BO715">
        <v>80.48</v>
      </c>
      <c r="BQ715" t="s">
        <v>1476</v>
      </c>
      <c r="BR715" t="s">
        <v>84</v>
      </c>
      <c r="BS715" s="3">
        <v>45789</v>
      </c>
      <c r="BT715" s="4">
        <v>0.73333333333333328</v>
      </c>
      <c r="BU715" t="s">
        <v>1477</v>
      </c>
      <c r="BV715" t="s">
        <v>89</v>
      </c>
      <c r="BW715" t="s">
        <v>434</v>
      </c>
      <c r="BX715" t="s">
        <v>435</v>
      </c>
      <c r="BY715">
        <v>9600</v>
      </c>
      <c r="CA715" t="s">
        <v>160</v>
      </c>
      <c r="CC715" t="s">
        <v>80</v>
      </c>
      <c r="CD715">
        <v>3610</v>
      </c>
      <c r="CE715" t="s">
        <v>96</v>
      </c>
      <c r="CF715" s="3">
        <v>45790</v>
      </c>
      <c r="CI715">
        <v>1</v>
      </c>
      <c r="CJ715">
        <v>1</v>
      </c>
      <c r="CK715">
        <v>21</v>
      </c>
      <c r="CL715" t="s">
        <v>89</v>
      </c>
    </row>
    <row r="716" spans="1:90" x14ac:dyDescent="0.3">
      <c r="A716" t="s">
        <v>72</v>
      </c>
      <c r="B716" t="s">
        <v>73</v>
      </c>
      <c r="C716" t="s">
        <v>74</v>
      </c>
      <c r="E716" t="str">
        <f>"080065277586"</f>
        <v>080065277586</v>
      </c>
      <c r="F716" s="3">
        <v>45786</v>
      </c>
      <c r="G716">
        <v>202602</v>
      </c>
      <c r="H716" t="s">
        <v>75</v>
      </c>
      <c r="I716" t="s">
        <v>76</v>
      </c>
      <c r="J716" t="s">
        <v>77</v>
      </c>
      <c r="K716" t="s">
        <v>78</v>
      </c>
      <c r="L716" t="s">
        <v>90</v>
      </c>
      <c r="M716" t="s">
        <v>91</v>
      </c>
      <c r="N716" t="s">
        <v>563</v>
      </c>
      <c r="O716" t="s">
        <v>82</v>
      </c>
      <c r="P716" t="str">
        <f>"4170037508                    "</f>
        <v xml:space="preserve">4170037508                    </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176.29</v>
      </c>
      <c r="AR716">
        <v>0</v>
      </c>
      <c r="AS716">
        <v>0</v>
      </c>
      <c r="AT716">
        <v>0</v>
      </c>
      <c r="AU716">
        <v>0</v>
      </c>
      <c r="AV716">
        <v>0</v>
      </c>
      <c r="AW716">
        <v>0</v>
      </c>
      <c r="AX716">
        <v>0</v>
      </c>
      <c r="AY716">
        <v>0</v>
      </c>
      <c r="AZ716">
        <v>0</v>
      </c>
      <c r="BA716">
        <v>0</v>
      </c>
      <c r="BB716">
        <v>0</v>
      </c>
      <c r="BC716">
        <v>0</v>
      </c>
      <c r="BD716">
        <v>0</v>
      </c>
      <c r="BE716">
        <v>0</v>
      </c>
      <c r="BF716">
        <v>0</v>
      </c>
      <c r="BG716">
        <v>0</v>
      </c>
      <c r="BH716">
        <v>2</v>
      </c>
      <c r="BI716">
        <v>8</v>
      </c>
      <c r="BJ716">
        <v>16.5</v>
      </c>
      <c r="BK716">
        <v>16.5</v>
      </c>
      <c r="BL716">
        <v>576.95000000000005</v>
      </c>
      <c r="BM716">
        <v>86.54</v>
      </c>
      <c r="BN716">
        <v>663.49</v>
      </c>
      <c r="BO716">
        <v>663.49</v>
      </c>
      <c r="BQ716" t="s">
        <v>564</v>
      </c>
      <c r="BR716" t="s">
        <v>84</v>
      </c>
      <c r="BS716" s="3">
        <v>45789</v>
      </c>
      <c r="BT716" s="4">
        <v>0.35347222222222224</v>
      </c>
      <c r="BU716" t="s">
        <v>987</v>
      </c>
      <c r="BV716" t="s">
        <v>86</v>
      </c>
      <c r="BY716">
        <v>82540</v>
      </c>
      <c r="CA716" t="s">
        <v>566</v>
      </c>
      <c r="CC716" t="s">
        <v>91</v>
      </c>
      <c r="CD716">
        <v>6001</v>
      </c>
      <c r="CE716" t="s">
        <v>96</v>
      </c>
      <c r="CF716" s="3">
        <v>45791</v>
      </c>
      <c r="CI716">
        <v>1</v>
      </c>
      <c r="CJ716">
        <v>1</v>
      </c>
      <c r="CK716">
        <v>21</v>
      </c>
      <c r="CL716" t="s">
        <v>89</v>
      </c>
    </row>
    <row r="717" spans="1:90" x14ac:dyDescent="0.3">
      <c r="A717" t="s">
        <v>72</v>
      </c>
      <c r="B717" t="s">
        <v>73</v>
      </c>
      <c r="C717" t="s">
        <v>74</v>
      </c>
      <c r="E717" t="str">
        <f>"080065277592"</f>
        <v>080065277592</v>
      </c>
      <c r="F717" s="3">
        <v>45786</v>
      </c>
      <c r="G717">
        <v>202602</v>
      </c>
      <c r="H717" t="s">
        <v>75</v>
      </c>
      <c r="I717" t="s">
        <v>76</v>
      </c>
      <c r="J717" t="s">
        <v>77</v>
      </c>
      <c r="K717" t="s">
        <v>78</v>
      </c>
      <c r="L717" t="s">
        <v>75</v>
      </c>
      <c r="M717" t="s">
        <v>76</v>
      </c>
      <c r="N717" t="s">
        <v>661</v>
      </c>
      <c r="O717" t="s">
        <v>82</v>
      </c>
      <c r="P717" t="str">
        <f>"4170037590                    "</f>
        <v xml:space="preserve">4170037590                    </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16.7</v>
      </c>
      <c r="AR717">
        <v>0</v>
      </c>
      <c r="AS717">
        <v>0</v>
      </c>
      <c r="AT717">
        <v>0</v>
      </c>
      <c r="AU717">
        <v>0</v>
      </c>
      <c r="AV717">
        <v>0</v>
      </c>
      <c r="AW717">
        <v>0</v>
      </c>
      <c r="AX717">
        <v>0</v>
      </c>
      <c r="AY717">
        <v>0</v>
      </c>
      <c r="AZ717">
        <v>0</v>
      </c>
      <c r="BA717">
        <v>0</v>
      </c>
      <c r="BB717">
        <v>0</v>
      </c>
      <c r="BC717">
        <v>0</v>
      </c>
      <c r="BD717">
        <v>0</v>
      </c>
      <c r="BE717">
        <v>0</v>
      </c>
      <c r="BF717">
        <v>0</v>
      </c>
      <c r="BG717">
        <v>0</v>
      </c>
      <c r="BH717">
        <v>1</v>
      </c>
      <c r="BI717">
        <v>1</v>
      </c>
      <c r="BJ717">
        <v>0.9</v>
      </c>
      <c r="BK717">
        <v>1</v>
      </c>
      <c r="BL717">
        <v>54.66</v>
      </c>
      <c r="BM717">
        <v>8.1999999999999993</v>
      </c>
      <c r="BN717">
        <v>62.86</v>
      </c>
      <c r="BO717">
        <v>62.86</v>
      </c>
      <c r="BQ717" t="s">
        <v>460</v>
      </c>
      <c r="BR717" t="s">
        <v>84</v>
      </c>
      <c r="BS717" s="3">
        <v>45789</v>
      </c>
      <c r="BT717" s="4">
        <v>0.44374999999999998</v>
      </c>
      <c r="BU717" t="s">
        <v>1478</v>
      </c>
      <c r="BV717" t="s">
        <v>89</v>
      </c>
      <c r="BW717" t="s">
        <v>148</v>
      </c>
      <c r="BX717" t="s">
        <v>1130</v>
      </c>
      <c r="BY717">
        <v>4275</v>
      </c>
      <c r="CA717" t="s">
        <v>1012</v>
      </c>
      <c r="CC717" t="s">
        <v>76</v>
      </c>
      <c r="CD717">
        <v>1614</v>
      </c>
      <c r="CE717" t="s">
        <v>116</v>
      </c>
      <c r="CF717" s="3">
        <v>45789</v>
      </c>
      <c r="CI717">
        <v>1</v>
      </c>
      <c r="CJ717">
        <v>1</v>
      </c>
      <c r="CK717">
        <v>22</v>
      </c>
      <c r="CL717" t="s">
        <v>89</v>
      </c>
    </row>
    <row r="718" spans="1:90" x14ac:dyDescent="0.3">
      <c r="A718" t="s">
        <v>72</v>
      </c>
      <c r="B718" t="s">
        <v>73</v>
      </c>
      <c r="C718" t="s">
        <v>74</v>
      </c>
      <c r="E718" t="str">
        <f>"080065277630"</f>
        <v>080065277630</v>
      </c>
      <c r="F718" s="3">
        <v>45786</v>
      </c>
      <c r="G718">
        <v>202602</v>
      </c>
      <c r="H718" t="s">
        <v>75</v>
      </c>
      <c r="I718" t="s">
        <v>76</v>
      </c>
      <c r="J718" t="s">
        <v>77</v>
      </c>
      <c r="K718" t="s">
        <v>78</v>
      </c>
      <c r="L718" t="s">
        <v>350</v>
      </c>
      <c r="M718" t="s">
        <v>351</v>
      </c>
      <c r="N718" t="s">
        <v>404</v>
      </c>
      <c r="O718" t="s">
        <v>82</v>
      </c>
      <c r="P718" t="str">
        <f>"4170037573                    "</f>
        <v xml:space="preserve">4170037573                    </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21.38</v>
      </c>
      <c r="AR718">
        <v>0</v>
      </c>
      <c r="AS718">
        <v>0</v>
      </c>
      <c r="AT718">
        <v>0</v>
      </c>
      <c r="AU718">
        <v>0</v>
      </c>
      <c r="AV718">
        <v>0</v>
      </c>
      <c r="AW718">
        <v>0</v>
      </c>
      <c r="AX718">
        <v>0</v>
      </c>
      <c r="AY718">
        <v>0</v>
      </c>
      <c r="AZ718">
        <v>0</v>
      </c>
      <c r="BA718">
        <v>0</v>
      </c>
      <c r="BB718">
        <v>0</v>
      </c>
      <c r="BC718">
        <v>0</v>
      </c>
      <c r="BD718">
        <v>0</v>
      </c>
      <c r="BE718">
        <v>0</v>
      </c>
      <c r="BF718">
        <v>0</v>
      </c>
      <c r="BG718">
        <v>0</v>
      </c>
      <c r="BH718">
        <v>1</v>
      </c>
      <c r="BI718">
        <v>1</v>
      </c>
      <c r="BJ718">
        <v>0.2</v>
      </c>
      <c r="BK718">
        <v>1</v>
      </c>
      <c r="BL718">
        <v>69.98</v>
      </c>
      <c r="BM718">
        <v>10.5</v>
      </c>
      <c r="BN718">
        <v>80.48</v>
      </c>
      <c r="BO718">
        <v>80.48</v>
      </c>
      <c r="BQ718" t="s">
        <v>405</v>
      </c>
      <c r="BR718" t="s">
        <v>84</v>
      </c>
      <c r="BS718" s="3">
        <v>45789</v>
      </c>
      <c r="BT718" s="4">
        <v>0.46805555555555556</v>
      </c>
      <c r="BU718" t="s">
        <v>1479</v>
      </c>
      <c r="BV718" t="s">
        <v>89</v>
      </c>
      <c r="BW718" t="s">
        <v>296</v>
      </c>
      <c r="BX718" t="s">
        <v>450</v>
      </c>
      <c r="BY718">
        <v>1200</v>
      </c>
      <c r="CA718" t="s">
        <v>326</v>
      </c>
      <c r="CC718" t="s">
        <v>351</v>
      </c>
      <c r="CD718">
        <v>4052</v>
      </c>
      <c r="CE718" t="s">
        <v>88</v>
      </c>
      <c r="CF718" s="3">
        <v>45790</v>
      </c>
      <c r="CI718">
        <v>1</v>
      </c>
      <c r="CJ718">
        <v>1</v>
      </c>
      <c r="CK718">
        <v>21</v>
      </c>
      <c r="CL718" t="s">
        <v>89</v>
      </c>
    </row>
    <row r="719" spans="1:90" x14ac:dyDescent="0.3">
      <c r="A719" t="s">
        <v>72</v>
      </c>
      <c r="B719" t="s">
        <v>73</v>
      </c>
      <c r="C719" t="s">
        <v>74</v>
      </c>
      <c r="E719" t="str">
        <f>"080065277638"</f>
        <v>080065277638</v>
      </c>
      <c r="F719" s="3">
        <v>45786</v>
      </c>
      <c r="G719">
        <v>202602</v>
      </c>
      <c r="H719" t="s">
        <v>75</v>
      </c>
      <c r="I719" t="s">
        <v>76</v>
      </c>
      <c r="J719" t="s">
        <v>77</v>
      </c>
      <c r="K719" t="s">
        <v>78</v>
      </c>
      <c r="L719" t="s">
        <v>136</v>
      </c>
      <c r="M719" t="s">
        <v>137</v>
      </c>
      <c r="N719" t="s">
        <v>776</v>
      </c>
      <c r="O719" t="s">
        <v>300</v>
      </c>
      <c r="P719" t="str">
        <f>"4170037478                    "</f>
        <v xml:space="preserve">4170037478                    </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41.35</v>
      </c>
      <c r="AR719">
        <v>0</v>
      </c>
      <c r="AS719">
        <v>0</v>
      </c>
      <c r="AT719">
        <v>0</v>
      </c>
      <c r="AU719">
        <v>0</v>
      </c>
      <c r="AV719">
        <v>0</v>
      </c>
      <c r="AW719">
        <v>0</v>
      </c>
      <c r="AX719">
        <v>0</v>
      </c>
      <c r="AY719">
        <v>0</v>
      </c>
      <c r="AZ719">
        <v>0</v>
      </c>
      <c r="BA719">
        <v>0</v>
      </c>
      <c r="BB719">
        <v>0</v>
      </c>
      <c r="BC719">
        <v>0</v>
      </c>
      <c r="BD719">
        <v>0</v>
      </c>
      <c r="BE719">
        <v>0</v>
      </c>
      <c r="BF719">
        <v>0</v>
      </c>
      <c r="BG719">
        <v>0</v>
      </c>
      <c r="BH719">
        <v>2</v>
      </c>
      <c r="BI719">
        <v>10</v>
      </c>
      <c r="BJ719">
        <v>12.6</v>
      </c>
      <c r="BK719">
        <v>13</v>
      </c>
      <c r="BL719">
        <v>140.9</v>
      </c>
      <c r="BM719">
        <v>21.14</v>
      </c>
      <c r="BN719">
        <v>162.04</v>
      </c>
      <c r="BO719">
        <v>162.04</v>
      </c>
      <c r="BQ719" t="s">
        <v>777</v>
      </c>
      <c r="BR719" t="s">
        <v>84</v>
      </c>
      <c r="BS719" s="3">
        <v>45789</v>
      </c>
      <c r="BT719" s="4">
        <v>0.35416666666666669</v>
      </c>
      <c r="BU719" t="s">
        <v>1480</v>
      </c>
      <c r="BV719" t="s">
        <v>86</v>
      </c>
      <c r="BY719">
        <v>62982</v>
      </c>
      <c r="CC719" t="s">
        <v>137</v>
      </c>
      <c r="CD719" s="5" t="s">
        <v>738</v>
      </c>
      <c r="CE719" t="s">
        <v>96</v>
      </c>
      <c r="CF719" s="3">
        <v>45789</v>
      </c>
      <c r="CI719">
        <v>1</v>
      </c>
      <c r="CJ719">
        <v>1</v>
      </c>
      <c r="CK719">
        <v>41</v>
      </c>
      <c r="CL719" t="s">
        <v>89</v>
      </c>
    </row>
    <row r="720" spans="1:90" x14ac:dyDescent="0.3">
      <c r="A720" t="s">
        <v>72</v>
      </c>
      <c r="B720" t="s">
        <v>73</v>
      </c>
      <c r="C720" t="s">
        <v>74</v>
      </c>
      <c r="E720" t="str">
        <f>"080065277656"</f>
        <v>080065277656</v>
      </c>
      <c r="F720" s="3">
        <v>45786</v>
      </c>
      <c r="G720">
        <v>202602</v>
      </c>
      <c r="H720" t="s">
        <v>75</v>
      </c>
      <c r="I720" t="s">
        <v>76</v>
      </c>
      <c r="J720" t="s">
        <v>77</v>
      </c>
      <c r="K720" t="s">
        <v>78</v>
      </c>
      <c r="L720" t="s">
        <v>130</v>
      </c>
      <c r="M720" t="s">
        <v>131</v>
      </c>
      <c r="N720" t="s">
        <v>1481</v>
      </c>
      <c r="O720" t="s">
        <v>82</v>
      </c>
      <c r="P720" t="str">
        <f>"4170037576                    "</f>
        <v xml:space="preserve">4170037576                    </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21.38</v>
      </c>
      <c r="AR720">
        <v>0</v>
      </c>
      <c r="AS720">
        <v>0</v>
      </c>
      <c r="AT720">
        <v>0</v>
      </c>
      <c r="AU720">
        <v>0</v>
      </c>
      <c r="AV720">
        <v>0</v>
      </c>
      <c r="AW720">
        <v>0</v>
      </c>
      <c r="AX720">
        <v>0</v>
      </c>
      <c r="AY720">
        <v>0</v>
      </c>
      <c r="AZ720">
        <v>0</v>
      </c>
      <c r="BA720">
        <v>0</v>
      </c>
      <c r="BB720">
        <v>0</v>
      </c>
      <c r="BC720">
        <v>0</v>
      </c>
      <c r="BD720">
        <v>0</v>
      </c>
      <c r="BE720">
        <v>0</v>
      </c>
      <c r="BF720">
        <v>0</v>
      </c>
      <c r="BG720">
        <v>0</v>
      </c>
      <c r="BH720">
        <v>1</v>
      </c>
      <c r="BI720">
        <v>1</v>
      </c>
      <c r="BJ720">
        <v>0.2</v>
      </c>
      <c r="BK720">
        <v>1</v>
      </c>
      <c r="BL720">
        <v>69.98</v>
      </c>
      <c r="BM720">
        <v>10.5</v>
      </c>
      <c r="BN720">
        <v>80.48</v>
      </c>
      <c r="BO720">
        <v>80.48</v>
      </c>
      <c r="BQ720" t="s">
        <v>1482</v>
      </c>
      <c r="BR720" t="s">
        <v>84</v>
      </c>
      <c r="BS720" s="3">
        <v>45789</v>
      </c>
      <c r="BT720" s="4">
        <v>0.51736111111111116</v>
      </c>
      <c r="BU720" t="s">
        <v>1483</v>
      </c>
      <c r="BV720" t="s">
        <v>86</v>
      </c>
      <c r="BY720">
        <v>1200</v>
      </c>
      <c r="CA720" t="s">
        <v>1484</v>
      </c>
      <c r="CC720" t="s">
        <v>131</v>
      </c>
      <c r="CD720">
        <v>7975</v>
      </c>
      <c r="CE720" t="s">
        <v>176</v>
      </c>
      <c r="CF720" s="3">
        <v>45790</v>
      </c>
      <c r="CI720">
        <v>1</v>
      </c>
      <c r="CJ720">
        <v>1</v>
      </c>
      <c r="CK720">
        <v>21</v>
      </c>
      <c r="CL720" t="s">
        <v>89</v>
      </c>
    </row>
    <row r="721" spans="1:90" x14ac:dyDescent="0.3">
      <c r="A721" t="s">
        <v>72</v>
      </c>
      <c r="B721" t="s">
        <v>73</v>
      </c>
      <c r="C721" t="s">
        <v>74</v>
      </c>
      <c r="E721" t="str">
        <f>"080065277678"</f>
        <v>080065277678</v>
      </c>
      <c r="F721" s="3">
        <v>45786</v>
      </c>
      <c r="G721">
        <v>202602</v>
      </c>
      <c r="H721" t="s">
        <v>75</v>
      </c>
      <c r="I721" t="s">
        <v>76</v>
      </c>
      <c r="J721" t="s">
        <v>77</v>
      </c>
      <c r="K721" t="s">
        <v>78</v>
      </c>
      <c r="L721" t="s">
        <v>103</v>
      </c>
      <c r="M721" t="s">
        <v>104</v>
      </c>
      <c r="N721" t="s">
        <v>105</v>
      </c>
      <c r="O721" t="s">
        <v>82</v>
      </c>
      <c r="P721" t="str">
        <f>"4170037594                    "</f>
        <v xml:space="preserve">4170037594                    </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21.38</v>
      </c>
      <c r="AR721">
        <v>0</v>
      </c>
      <c r="AS721">
        <v>0</v>
      </c>
      <c r="AT721">
        <v>0</v>
      </c>
      <c r="AU721">
        <v>0</v>
      </c>
      <c r="AV721">
        <v>0</v>
      </c>
      <c r="AW721">
        <v>0</v>
      </c>
      <c r="AX721">
        <v>0</v>
      </c>
      <c r="AY721">
        <v>0</v>
      </c>
      <c r="AZ721">
        <v>0</v>
      </c>
      <c r="BA721">
        <v>0</v>
      </c>
      <c r="BB721">
        <v>0</v>
      </c>
      <c r="BC721">
        <v>0</v>
      </c>
      <c r="BD721">
        <v>0</v>
      </c>
      <c r="BE721">
        <v>0</v>
      </c>
      <c r="BF721">
        <v>0</v>
      </c>
      <c r="BG721">
        <v>0</v>
      </c>
      <c r="BH721">
        <v>1</v>
      </c>
      <c r="BI721">
        <v>1</v>
      </c>
      <c r="BJ721">
        <v>0.2</v>
      </c>
      <c r="BK721">
        <v>1</v>
      </c>
      <c r="BL721">
        <v>69.98</v>
      </c>
      <c r="BM721">
        <v>10.5</v>
      </c>
      <c r="BN721">
        <v>80.48</v>
      </c>
      <c r="BO721">
        <v>80.48</v>
      </c>
      <c r="BQ721" t="s">
        <v>106</v>
      </c>
      <c r="BR721" t="s">
        <v>84</v>
      </c>
      <c r="BS721" s="3">
        <v>45789</v>
      </c>
      <c r="BT721" s="4">
        <v>0.40208333333333335</v>
      </c>
      <c r="BU721" t="s">
        <v>107</v>
      </c>
      <c r="BV721" t="s">
        <v>86</v>
      </c>
      <c r="BY721">
        <v>1200</v>
      </c>
      <c r="CA721" t="s">
        <v>108</v>
      </c>
      <c r="CC721" t="s">
        <v>104</v>
      </c>
      <c r="CD721">
        <v>3201</v>
      </c>
      <c r="CE721" t="s">
        <v>176</v>
      </c>
      <c r="CF721" s="3">
        <v>45790</v>
      </c>
      <c r="CI721">
        <v>1</v>
      </c>
      <c r="CJ721">
        <v>1</v>
      </c>
      <c r="CK721">
        <v>21</v>
      </c>
      <c r="CL721" t="s">
        <v>89</v>
      </c>
    </row>
    <row r="722" spans="1:90" x14ac:dyDescent="0.3">
      <c r="A722" t="s">
        <v>72</v>
      </c>
      <c r="B722" t="s">
        <v>73</v>
      </c>
      <c r="C722" t="s">
        <v>74</v>
      </c>
      <c r="E722" t="str">
        <f>"080065277751"</f>
        <v>080065277751</v>
      </c>
      <c r="F722" s="3">
        <v>45786</v>
      </c>
      <c r="G722">
        <v>202602</v>
      </c>
      <c r="H722" t="s">
        <v>75</v>
      </c>
      <c r="I722" t="s">
        <v>76</v>
      </c>
      <c r="J722" t="s">
        <v>77</v>
      </c>
      <c r="K722" t="s">
        <v>78</v>
      </c>
      <c r="L722" t="s">
        <v>90</v>
      </c>
      <c r="M722" t="s">
        <v>91</v>
      </c>
      <c r="N722" t="s">
        <v>563</v>
      </c>
      <c r="O722" t="s">
        <v>82</v>
      </c>
      <c r="P722" t="str">
        <f>"4170037498                    "</f>
        <v xml:space="preserve">4170037498                    </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128.22</v>
      </c>
      <c r="AR722">
        <v>0</v>
      </c>
      <c r="AS722">
        <v>0</v>
      </c>
      <c r="AT722">
        <v>0</v>
      </c>
      <c r="AU722">
        <v>0</v>
      </c>
      <c r="AV722">
        <v>0</v>
      </c>
      <c r="AW722">
        <v>0</v>
      </c>
      <c r="AX722">
        <v>0</v>
      </c>
      <c r="AY722">
        <v>0</v>
      </c>
      <c r="AZ722">
        <v>0</v>
      </c>
      <c r="BA722">
        <v>0</v>
      </c>
      <c r="BB722">
        <v>0</v>
      </c>
      <c r="BC722">
        <v>0</v>
      </c>
      <c r="BD722">
        <v>0</v>
      </c>
      <c r="BE722">
        <v>0</v>
      </c>
      <c r="BF722">
        <v>0</v>
      </c>
      <c r="BG722">
        <v>0</v>
      </c>
      <c r="BH722">
        <v>1</v>
      </c>
      <c r="BI722">
        <v>8</v>
      </c>
      <c r="BJ722">
        <v>12</v>
      </c>
      <c r="BK722">
        <v>12</v>
      </c>
      <c r="BL722">
        <v>419.62</v>
      </c>
      <c r="BM722">
        <v>62.94</v>
      </c>
      <c r="BN722">
        <v>482.56</v>
      </c>
      <c r="BO722">
        <v>482.56</v>
      </c>
      <c r="BQ722" t="s">
        <v>564</v>
      </c>
      <c r="BR722" t="s">
        <v>84</v>
      </c>
      <c r="BS722" s="3">
        <v>45789</v>
      </c>
      <c r="BT722" s="4">
        <v>0.35347222222222224</v>
      </c>
      <c r="BU722" t="s">
        <v>987</v>
      </c>
      <c r="BV722" t="s">
        <v>86</v>
      </c>
      <c r="BY722">
        <v>60000</v>
      </c>
      <c r="CA722" t="s">
        <v>566</v>
      </c>
      <c r="CC722" t="s">
        <v>91</v>
      </c>
      <c r="CD722">
        <v>6001</v>
      </c>
      <c r="CE722" t="s">
        <v>96</v>
      </c>
      <c r="CF722" s="3">
        <v>45789</v>
      </c>
      <c r="CI722">
        <v>1</v>
      </c>
      <c r="CJ722">
        <v>1</v>
      </c>
      <c r="CK722">
        <v>21</v>
      </c>
      <c r="CL722" t="s">
        <v>89</v>
      </c>
    </row>
    <row r="723" spans="1:90" x14ac:dyDescent="0.3">
      <c r="A723" t="s">
        <v>72</v>
      </c>
      <c r="B723" t="s">
        <v>73</v>
      </c>
      <c r="C723" t="s">
        <v>74</v>
      </c>
      <c r="E723" t="str">
        <f>"080065277815"</f>
        <v>080065277815</v>
      </c>
      <c r="F723" s="3">
        <v>45786</v>
      </c>
      <c r="G723">
        <v>202602</v>
      </c>
      <c r="H723" t="s">
        <v>75</v>
      </c>
      <c r="I723" t="s">
        <v>76</v>
      </c>
      <c r="J723" t="s">
        <v>77</v>
      </c>
      <c r="K723" t="s">
        <v>78</v>
      </c>
      <c r="L723" t="s">
        <v>123</v>
      </c>
      <c r="M723" t="s">
        <v>123</v>
      </c>
      <c r="N723" t="s">
        <v>766</v>
      </c>
      <c r="O723" t="s">
        <v>82</v>
      </c>
      <c r="P723" t="str">
        <f>"4170037511                    "</f>
        <v xml:space="preserve">4170037511                    </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60.14</v>
      </c>
      <c r="AR723">
        <v>0</v>
      </c>
      <c r="AS723">
        <v>0</v>
      </c>
      <c r="AT723">
        <v>0</v>
      </c>
      <c r="AU723">
        <v>0</v>
      </c>
      <c r="AV723">
        <v>0</v>
      </c>
      <c r="AW723">
        <v>0</v>
      </c>
      <c r="AX723">
        <v>0</v>
      </c>
      <c r="AY723">
        <v>0</v>
      </c>
      <c r="AZ723">
        <v>0</v>
      </c>
      <c r="BA723">
        <v>0</v>
      </c>
      <c r="BB723">
        <v>0</v>
      </c>
      <c r="BC723">
        <v>0</v>
      </c>
      <c r="BD723">
        <v>0</v>
      </c>
      <c r="BE723">
        <v>0</v>
      </c>
      <c r="BF723">
        <v>0</v>
      </c>
      <c r="BG723">
        <v>0</v>
      </c>
      <c r="BH723">
        <v>1</v>
      </c>
      <c r="BI723">
        <v>3</v>
      </c>
      <c r="BJ723">
        <v>1.4</v>
      </c>
      <c r="BK723">
        <v>3</v>
      </c>
      <c r="BL723">
        <v>196.82</v>
      </c>
      <c r="BM723">
        <v>29.52</v>
      </c>
      <c r="BN723">
        <v>226.34</v>
      </c>
      <c r="BO723">
        <v>226.34</v>
      </c>
      <c r="BQ723" t="s">
        <v>767</v>
      </c>
      <c r="BR723" t="s">
        <v>84</v>
      </c>
      <c r="BS723" s="3">
        <v>45789</v>
      </c>
      <c r="BT723" s="4">
        <v>0.52013888888888893</v>
      </c>
      <c r="BU723" t="s">
        <v>768</v>
      </c>
      <c r="BV723" t="s">
        <v>86</v>
      </c>
      <c r="BY723">
        <v>7000</v>
      </c>
      <c r="CA723" t="s">
        <v>128</v>
      </c>
      <c r="CC723" t="s">
        <v>123</v>
      </c>
      <c r="CD723">
        <v>7646</v>
      </c>
      <c r="CE723" t="s">
        <v>116</v>
      </c>
      <c r="CF723" s="3">
        <v>45790</v>
      </c>
      <c r="CI723">
        <v>1</v>
      </c>
      <c r="CJ723">
        <v>1</v>
      </c>
      <c r="CK723">
        <v>23</v>
      </c>
      <c r="CL723" t="s">
        <v>89</v>
      </c>
    </row>
    <row r="724" spans="1:90" x14ac:dyDescent="0.3">
      <c r="A724" t="s">
        <v>72</v>
      </c>
      <c r="B724" t="s">
        <v>73</v>
      </c>
      <c r="C724" t="s">
        <v>74</v>
      </c>
      <c r="E724" t="str">
        <f>"080065277839"</f>
        <v>080065277839</v>
      </c>
      <c r="F724" s="3">
        <v>45786</v>
      </c>
      <c r="G724">
        <v>202602</v>
      </c>
      <c r="H724" t="s">
        <v>75</v>
      </c>
      <c r="I724" t="s">
        <v>76</v>
      </c>
      <c r="J724" t="s">
        <v>77</v>
      </c>
      <c r="K724" t="s">
        <v>78</v>
      </c>
      <c r="L724" t="s">
        <v>103</v>
      </c>
      <c r="M724" t="s">
        <v>104</v>
      </c>
      <c r="N724" t="s">
        <v>686</v>
      </c>
      <c r="O724" t="s">
        <v>82</v>
      </c>
      <c r="P724" t="str">
        <f>"4170037595                    "</f>
        <v xml:space="preserve">4170037595                    </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37.409999999999997</v>
      </c>
      <c r="AR724">
        <v>0</v>
      </c>
      <c r="AS724">
        <v>0</v>
      </c>
      <c r="AT724">
        <v>0</v>
      </c>
      <c r="AU724">
        <v>0</v>
      </c>
      <c r="AV724">
        <v>0</v>
      </c>
      <c r="AW724">
        <v>0</v>
      </c>
      <c r="AX724">
        <v>0</v>
      </c>
      <c r="AY724">
        <v>0</v>
      </c>
      <c r="AZ724">
        <v>0</v>
      </c>
      <c r="BA724">
        <v>0</v>
      </c>
      <c r="BB724">
        <v>0</v>
      </c>
      <c r="BC724">
        <v>0</v>
      </c>
      <c r="BD724">
        <v>0</v>
      </c>
      <c r="BE724">
        <v>0</v>
      </c>
      <c r="BF724">
        <v>0</v>
      </c>
      <c r="BG724">
        <v>0</v>
      </c>
      <c r="BH724">
        <v>1</v>
      </c>
      <c r="BI724">
        <v>1</v>
      </c>
      <c r="BJ724">
        <v>3.5</v>
      </c>
      <c r="BK724">
        <v>3.5</v>
      </c>
      <c r="BL724">
        <v>122.43</v>
      </c>
      <c r="BM724">
        <v>18.36</v>
      </c>
      <c r="BN724">
        <v>140.79</v>
      </c>
      <c r="BO724">
        <v>140.79</v>
      </c>
      <c r="BQ724" t="s">
        <v>687</v>
      </c>
      <c r="BR724" t="s">
        <v>84</v>
      </c>
      <c r="BS724" s="3">
        <v>45789</v>
      </c>
      <c r="BT724" s="4">
        <v>0.4201388888888889</v>
      </c>
      <c r="BU724" t="s">
        <v>1485</v>
      </c>
      <c r="BV724" t="s">
        <v>86</v>
      </c>
      <c r="BY724">
        <v>17612</v>
      </c>
      <c r="CA724" t="s">
        <v>1169</v>
      </c>
      <c r="CC724" t="s">
        <v>104</v>
      </c>
      <c r="CD724">
        <v>3201</v>
      </c>
      <c r="CE724" t="s">
        <v>221</v>
      </c>
      <c r="CF724" s="3">
        <v>45789</v>
      </c>
      <c r="CI724">
        <v>1</v>
      </c>
      <c r="CJ724">
        <v>1</v>
      </c>
      <c r="CK724">
        <v>21</v>
      </c>
      <c r="CL724" t="s">
        <v>89</v>
      </c>
    </row>
    <row r="725" spans="1:90" x14ac:dyDescent="0.3">
      <c r="A725" t="s">
        <v>72</v>
      </c>
      <c r="B725" t="s">
        <v>73</v>
      </c>
      <c r="C725" t="s">
        <v>74</v>
      </c>
      <c r="E725" t="str">
        <f>"080065277857"</f>
        <v>080065277857</v>
      </c>
      <c r="F725" s="3">
        <v>45786</v>
      </c>
      <c r="G725">
        <v>202602</v>
      </c>
      <c r="H725" t="s">
        <v>75</v>
      </c>
      <c r="I725" t="s">
        <v>76</v>
      </c>
      <c r="J725" t="s">
        <v>77</v>
      </c>
      <c r="K725" t="s">
        <v>78</v>
      </c>
      <c r="L725" t="s">
        <v>75</v>
      </c>
      <c r="M725" t="s">
        <v>76</v>
      </c>
      <c r="N725" t="s">
        <v>183</v>
      </c>
      <c r="O725" t="s">
        <v>82</v>
      </c>
      <c r="P725" t="str">
        <f>"4170037503                    "</f>
        <v xml:space="preserve">4170037503                    </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16.7</v>
      </c>
      <c r="AR725">
        <v>0</v>
      </c>
      <c r="AS725">
        <v>0</v>
      </c>
      <c r="AT725">
        <v>0</v>
      </c>
      <c r="AU725">
        <v>0</v>
      </c>
      <c r="AV725">
        <v>0</v>
      </c>
      <c r="AW725">
        <v>0</v>
      </c>
      <c r="AX725">
        <v>0</v>
      </c>
      <c r="AY725">
        <v>0</v>
      </c>
      <c r="AZ725">
        <v>0</v>
      </c>
      <c r="BA725">
        <v>0</v>
      </c>
      <c r="BB725">
        <v>0</v>
      </c>
      <c r="BC725">
        <v>0</v>
      </c>
      <c r="BD725">
        <v>0</v>
      </c>
      <c r="BE725">
        <v>0</v>
      </c>
      <c r="BF725">
        <v>0</v>
      </c>
      <c r="BG725">
        <v>0</v>
      </c>
      <c r="BH725">
        <v>1</v>
      </c>
      <c r="BI725">
        <v>1</v>
      </c>
      <c r="BJ725">
        <v>0.2</v>
      </c>
      <c r="BK725">
        <v>1</v>
      </c>
      <c r="BL725">
        <v>54.66</v>
      </c>
      <c r="BM725">
        <v>8.1999999999999993</v>
      </c>
      <c r="BN725">
        <v>62.86</v>
      </c>
      <c r="BO725">
        <v>62.86</v>
      </c>
      <c r="BQ725" t="s">
        <v>184</v>
      </c>
      <c r="BR725" t="s">
        <v>84</v>
      </c>
      <c r="BS725" s="3">
        <v>45789</v>
      </c>
      <c r="BT725" s="4">
        <v>0.3263888888888889</v>
      </c>
      <c r="BU725" t="s">
        <v>1486</v>
      </c>
      <c r="BV725" t="s">
        <v>86</v>
      </c>
      <c r="BY725">
        <v>1200</v>
      </c>
      <c r="CA725" t="s">
        <v>1450</v>
      </c>
      <c r="CC725" t="s">
        <v>76</v>
      </c>
      <c r="CD725">
        <v>1600</v>
      </c>
      <c r="CE725" t="s">
        <v>88</v>
      </c>
      <c r="CF725" s="3">
        <v>45790</v>
      </c>
      <c r="CI725">
        <v>1</v>
      </c>
      <c r="CJ725">
        <v>1</v>
      </c>
      <c r="CK725">
        <v>22</v>
      </c>
      <c r="CL725" t="s">
        <v>89</v>
      </c>
    </row>
    <row r="726" spans="1:90" x14ac:dyDescent="0.3">
      <c r="A726" t="s">
        <v>72</v>
      </c>
      <c r="B726" t="s">
        <v>73</v>
      </c>
      <c r="C726" t="s">
        <v>74</v>
      </c>
      <c r="E726" t="str">
        <f>"080065278153"</f>
        <v>080065278153</v>
      </c>
      <c r="F726" s="3">
        <v>45786</v>
      </c>
      <c r="G726">
        <v>202602</v>
      </c>
      <c r="H726" t="s">
        <v>75</v>
      </c>
      <c r="I726" t="s">
        <v>76</v>
      </c>
      <c r="J726" t="s">
        <v>77</v>
      </c>
      <c r="K726" t="s">
        <v>78</v>
      </c>
      <c r="L726" t="s">
        <v>350</v>
      </c>
      <c r="M726" t="s">
        <v>351</v>
      </c>
      <c r="N726" t="s">
        <v>678</v>
      </c>
      <c r="O726" t="s">
        <v>82</v>
      </c>
      <c r="P726" t="str">
        <f>"4170037599                    "</f>
        <v xml:space="preserve">4170037599                    </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21.38</v>
      </c>
      <c r="AR726">
        <v>0</v>
      </c>
      <c r="AS726">
        <v>0</v>
      </c>
      <c r="AT726">
        <v>0</v>
      </c>
      <c r="AU726">
        <v>0</v>
      </c>
      <c r="AV726">
        <v>0</v>
      </c>
      <c r="AW726">
        <v>0</v>
      </c>
      <c r="AX726">
        <v>0</v>
      </c>
      <c r="AY726">
        <v>0</v>
      </c>
      <c r="AZ726">
        <v>0</v>
      </c>
      <c r="BA726">
        <v>0</v>
      </c>
      <c r="BB726">
        <v>0</v>
      </c>
      <c r="BC726">
        <v>0</v>
      </c>
      <c r="BD726">
        <v>0</v>
      </c>
      <c r="BE726">
        <v>0</v>
      </c>
      <c r="BF726">
        <v>0</v>
      </c>
      <c r="BG726">
        <v>0</v>
      </c>
      <c r="BH726">
        <v>1</v>
      </c>
      <c r="BI726">
        <v>1</v>
      </c>
      <c r="BJ726">
        <v>0.2</v>
      </c>
      <c r="BK726">
        <v>1</v>
      </c>
      <c r="BL726">
        <v>69.98</v>
      </c>
      <c r="BM726">
        <v>10.5</v>
      </c>
      <c r="BN726">
        <v>80.48</v>
      </c>
      <c r="BO726">
        <v>80.48</v>
      </c>
      <c r="BQ726" t="s">
        <v>679</v>
      </c>
      <c r="BR726" t="s">
        <v>84</v>
      </c>
      <c r="BS726" s="3">
        <v>45789</v>
      </c>
      <c r="BT726" s="4">
        <v>0.47013888888888888</v>
      </c>
      <c r="BU726" t="s">
        <v>680</v>
      </c>
      <c r="BV726" t="s">
        <v>89</v>
      </c>
      <c r="BW726" t="s">
        <v>296</v>
      </c>
      <c r="BX726" t="s">
        <v>450</v>
      </c>
      <c r="BY726">
        <v>1200</v>
      </c>
      <c r="CA726" t="s">
        <v>326</v>
      </c>
      <c r="CC726" t="s">
        <v>351</v>
      </c>
      <c r="CD726">
        <v>4052</v>
      </c>
      <c r="CE726" t="s">
        <v>88</v>
      </c>
      <c r="CF726" s="3">
        <v>45790</v>
      </c>
      <c r="CI726">
        <v>1</v>
      </c>
      <c r="CJ726">
        <v>1</v>
      </c>
      <c r="CK726">
        <v>21</v>
      </c>
      <c r="CL726" t="s">
        <v>89</v>
      </c>
    </row>
    <row r="727" spans="1:90" x14ac:dyDescent="0.3">
      <c r="A727" t="s">
        <v>72</v>
      </c>
      <c r="B727" t="s">
        <v>73</v>
      </c>
      <c r="C727" t="s">
        <v>74</v>
      </c>
      <c r="E727" t="str">
        <f>"080065277950"</f>
        <v>080065277950</v>
      </c>
      <c r="F727" s="3">
        <v>45786</v>
      </c>
      <c r="G727">
        <v>202602</v>
      </c>
      <c r="H727" t="s">
        <v>75</v>
      </c>
      <c r="I727" t="s">
        <v>76</v>
      </c>
      <c r="J727" t="s">
        <v>77</v>
      </c>
      <c r="K727" t="s">
        <v>78</v>
      </c>
      <c r="L727" t="s">
        <v>463</v>
      </c>
      <c r="M727" t="s">
        <v>464</v>
      </c>
      <c r="N727" t="s">
        <v>744</v>
      </c>
      <c r="O727" t="s">
        <v>300</v>
      </c>
      <c r="P727" t="str">
        <f>"4170037663                    "</f>
        <v xml:space="preserve">4170037663                    </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246.22</v>
      </c>
      <c r="AR727">
        <v>0</v>
      </c>
      <c r="AS727">
        <v>0</v>
      </c>
      <c r="AT727">
        <v>0</v>
      </c>
      <c r="AU727">
        <v>0</v>
      </c>
      <c r="AV727">
        <v>0</v>
      </c>
      <c r="AW727">
        <v>0</v>
      </c>
      <c r="AX727">
        <v>0</v>
      </c>
      <c r="AY727">
        <v>0</v>
      </c>
      <c r="AZ727">
        <v>0</v>
      </c>
      <c r="BA727">
        <v>0</v>
      </c>
      <c r="BB727">
        <v>0</v>
      </c>
      <c r="BC727">
        <v>0</v>
      </c>
      <c r="BD727">
        <v>0</v>
      </c>
      <c r="BE727">
        <v>0</v>
      </c>
      <c r="BF727">
        <v>0</v>
      </c>
      <c r="BG727">
        <v>0</v>
      </c>
      <c r="BH727">
        <v>1</v>
      </c>
      <c r="BI727">
        <v>135</v>
      </c>
      <c r="BJ727">
        <v>124</v>
      </c>
      <c r="BK727">
        <v>135</v>
      </c>
      <c r="BL727">
        <v>811.37</v>
      </c>
      <c r="BM727">
        <v>121.71</v>
      </c>
      <c r="BN727">
        <v>933.08</v>
      </c>
      <c r="BO727">
        <v>933.08</v>
      </c>
      <c r="BQ727" t="s">
        <v>745</v>
      </c>
      <c r="BR727" t="s">
        <v>84</v>
      </c>
      <c r="BS727" s="3">
        <v>45789</v>
      </c>
      <c r="BT727" s="4">
        <v>0.5</v>
      </c>
      <c r="BU727" t="s">
        <v>1487</v>
      </c>
      <c r="BV727" t="s">
        <v>86</v>
      </c>
      <c r="BY727">
        <v>620248</v>
      </c>
      <c r="CC727" t="s">
        <v>464</v>
      </c>
      <c r="CD727">
        <v>5201</v>
      </c>
      <c r="CE727" t="s">
        <v>546</v>
      </c>
      <c r="CF727" s="3">
        <v>45790</v>
      </c>
      <c r="CI727">
        <v>3</v>
      </c>
      <c r="CJ727">
        <v>1</v>
      </c>
      <c r="CK727">
        <v>41</v>
      </c>
      <c r="CL727" t="s">
        <v>89</v>
      </c>
    </row>
    <row r="728" spans="1:90" x14ac:dyDescent="0.3">
      <c r="A728" t="s">
        <v>72</v>
      </c>
      <c r="B728" t="s">
        <v>73</v>
      </c>
      <c r="C728" t="s">
        <v>74</v>
      </c>
      <c r="E728" t="str">
        <f>"080065278171"</f>
        <v>080065278171</v>
      </c>
      <c r="F728" s="3">
        <v>45786</v>
      </c>
      <c r="G728">
        <v>202602</v>
      </c>
      <c r="H728" t="s">
        <v>75</v>
      </c>
      <c r="I728" t="s">
        <v>76</v>
      </c>
      <c r="J728" t="s">
        <v>77</v>
      </c>
      <c r="K728" t="s">
        <v>78</v>
      </c>
      <c r="L728" t="s">
        <v>136</v>
      </c>
      <c r="M728" t="s">
        <v>137</v>
      </c>
      <c r="N728" t="s">
        <v>1488</v>
      </c>
      <c r="O728" t="s">
        <v>82</v>
      </c>
      <c r="P728" t="str">
        <f>"4170037581                    "</f>
        <v xml:space="preserve">4170037581                    </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21.38</v>
      </c>
      <c r="AR728">
        <v>0</v>
      </c>
      <c r="AS728">
        <v>0</v>
      </c>
      <c r="AT728">
        <v>0</v>
      </c>
      <c r="AU728">
        <v>0</v>
      </c>
      <c r="AV728">
        <v>0</v>
      </c>
      <c r="AW728">
        <v>0</v>
      </c>
      <c r="AX728">
        <v>0</v>
      </c>
      <c r="AY728">
        <v>0</v>
      </c>
      <c r="AZ728">
        <v>0</v>
      </c>
      <c r="BA728">
        <v>0</v>
      </c>
      <c r="BB728">
        <v>0</v>
      </c>
      <c r="BC728">
        <v>0</v>
      </c>
      <c r="BD728">
        <v>0</v>
      </c>
      <c r="BE728">
        <v>0</v>
      </c>
      <c r="BF728">
        <v>0</v>
      </c>
      <c r="BG728">
        <v>0</v>
      </c>
      <c r="BH728">
        <v>1</v>
      </c>
      <c r="BI728">
        <v>1</v>
      </c>
      <c r="BJ728">
        <v>0.2</v>
      </c>
      <c r="BK728">
        <v>1</v>
      </c>
      <c r="BL728">
        <v>69.98</v>
      </c>
      <c r="BM728">
        <v>10.5</v>
      </c>
      <c r="BN728">
        <v>80.48</v>
      </c>
      <c r="BO728">
        <v>80.48</v>
      </c>
      <c r="BQ728" t="s">
        <v>1489</v>
      </c>
      <c r="BR728" t="s">
        <v>84</v>
      </c>
      <c r="BS728" s="3">
        <v>45789</v>
      </c>
      <c r="BT728" s="4">
        <v>0.38541666666666669</v>
      </c>
      <c r="BU728" t="s">
        <v>1299</v>
      </c>
      <c r="BV728" t="s">
        <v>86</v>
      </c>
      <c r="BY728">
        <v>1200</v>
      </c>
      <c r="CA728" t="s">
        <v>141</v>
      </c>
      <c r="CC728" t="s">
        <v>137</v>
      </c>
      <c r="CD728" s="5" t="s">
        <v>1490</v>
      </c>
      <c r="CE728" t="s">
        <v>88</v>
      </c>
      <c r="CF728" s="3">
        <v>45789</v>
      </c>
      <c r="CI728">
        <v>1</v>
      </c>
      <c r="CJ728">
        <v>1</v>
      </c>
      <c r="CK728">
        <v>21</v>
      </c>
      <c r="CL728" t="s">
        <v>89</v>
      </c>
    </row>
    <row r="729" spans="1:90" x14ac:dyDescent="0.3">
      <c r="A729" t="s">
        <v>72</v>
      </c>
      <c r="B729" t="s">
        <v>73</v>
      </c>
      <c r="C729" t="s">
        <v>74</v>
      </c>
      <c r="E729" t="str">
        <f>"080065279256"</f>
        <v>080065279256</v>
      </c>
      <c r="F729" s="3">
        <v>45786</v>
      </c>
      <c r="G729">
        <v>202602</v>
      </c>
      <c r="H729" t="s">
        <v>75</v>
      </c>
      <c r="I729" t="s">
        <v>76</v>
      </c>
      <c r="J729" t="s">
        <v>77</v>
      </c>
      <c r="K729" t="s">
        <v>78</v>
      </c>
      <c r="L729" t="s">
        <v>350</v>
      </c>
      <c r="M729" t="s">
        <v>351</v>
      </c>
      <c r="N729" t="s">
        <v>678</v>
      </c>
      <c r="O729" t="s">
        <v>82</v>
      </c>
      <c r="P729" t="str">
        <f>"4170037583                    "</f>
        <v xml:space="preserve">4170037583                    </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21.38</v>
      </c>
      <c r="AR729">
        <v>0</v>
      </c>
      <c r="AS729">
        <v>0</v>
      </c>
      <c r="AT729">
        <v>0</v>
      </c>
      <c r="AU729">
        <v>0</v>
      </c>
      <c r="AV729">
        <v>0</v>
      </c>
      <c r="AW729">
        <v>0</v>
      </c>
      <c r="AX729">
        <v>0</v>
      </c>
      <c r="AY729">
        <v>0</v>
      </c>
      <c r="AZ729">
        <v>0</v>
      </c>
      <c r="BA729">
        <v>0</v>
      </c>
      <c r="BB729">
        <v>0</v>
      </c>
      <c r="BC729">
        <v>0</v>
      </c>
      <c r="BD729">
        <v>0</v>
      </c>
      <c r="BE729">
        <v>0</v>
      </c>
      <c r="BF729">
        <v>0</v>
      </c>
      <c r="BG729">
        <v>0</v>
      </c>
      <c r="BH729">
        <v>1</v>
      </c>
      <c r="BI729">
        <v>1</v>
      </c>
      <c r="BJ729">
        <v>1.1000000000000001</v>
      </c>
      <c r="BK729">
        <v>1.5</v>
      </c>
      <c r="BL729">
        <v>69.98</v>
      </c>
      <c r="BM729">
        <v>10.5</v>
      </c>
      <c r="BN729">
        <v>80.48</v>
      </c>
      <c r="BO729">
        <v>80.48</v>
      </c>
      <c r="BQ729" t="s">
        <v>679</v>
      </c>
      <c r="BR729" t="s">
        <v>84</v>
      </c>
      <c r="BS729" s="3">
        <v>45789</v>
      </c>
      <c r="BT729" s="4">
        <v>0.47013888888888888</v>
      </c>
      <c r="BU729" t="s">
        <v>680</v>
      </c>
      <c r="BV729" t="s">
        <v>89</v>
      </c>
      <c r="BW729" t="s">
        <v>296</v>
      </c>
      <c r="BX729" t="s">
        <v>450</v>
      </c>
      <c r="BY729">
        <v>5320</v>
      </c>
      <c r="CA729" t="s">
        <v>326</v>
      </c>
      <c r="CC729" t="s">
        <v>351</v>
      </c>
      <c r="CD729">
        <v>4052</v>
      </c>
      <c r="CE729" t="s">
        <v>116</v>
      </c>
      <c r="CF729" s="3">
        <v>45790</v>
      </c>
      <c r="CI729">
        <v>1</v>
      </c>
      <c r="CJ729">
        <v>1</v>
      </c>
      <c r="CK729">
        <v>21</v>
      </c>
      <c r="CL729" t="s">
        <v>89</v>
      </c>
    </row>
    <row r="730" spans="1:90" x14ac:dyDescent="0.3">
      <c r="A730" t="s">
        <v>72</v>
      </c>
      <c r="B730" t="s">
        <v>73</v>
      </c>
      <c r="C730" t="s">
        <v>74</v>
      </c>
      <c r="E730" t="str">
        <f>"080065279381"</f>
        <v>080065279381</v>
      </c>
      <c r="F730" s="3">
        <v>45786</v>
      </c>
      <c r="G730">
        <v>202602</v>
      </c>
      <c r="H730" t="s">
        <v>75</v>
      </c>
      <c r="I730" t="s">
        <v>76</v>
      </c>
      <c r="J730" t="s">
        <v>77</v>
      </c>
      <c r="K730" t="s">
        <v>78</v>
      </c>
      <c r="L730" t="s">
        <v>222</v>
      </c>
      <c r="M730" t="s">
        <v>223</v>
      </c>
      <c r="N730" t="s">
        <v>224</v>
      </c>
      <c r="O730" t="s">
        <v>82</v>
      </c>
      <c r="P730" t="str">
        <f>"4170037502                    "</f>
        <v xml:space="preserve">4170037502                    </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c r="AQ730">
        <v>30.07</v>
      </c>
      <c r="AR730">
        <v>0</v>
      </c>
      <c r="AS730">
        <v>0</v>
      </c>
      <c r="AT730">
        <v>0</v>
      </c>
      <c r="AU730">
        <v>0</v>
      </c>
      <c r="AV730">
        <v>0</v>
      </c>
      <c r="AW730">
        <v>0</v>
      </c>
      <c r="AX730">
        <v>0</v>
      </c>
      <c r="AY730">
        <v>0</v>
      </c>
      <c r="AZ730">
        <v>0</v>
      </c>
      <c r="BA730">
        <v>0</v>
      </c>
      <c r="BB730">
        <v>0</v>
      </c>
      <c r="BC730">
        <v>0</v>
      </c>
      <c r="BD730">
        <v>0</v>
      </c>
      <c r="BE730">
        <v>0</v>
      </c>
      <c r="BF730">
        <v>0</v>
      </c>
      <c r="BG730">
        <v>0</v>
      </c>
      <c r="BH730">
        <v>1</v>
      </c>
      <c r="BI730">
        <v>1</v>
      </c>
      <c r="BJ730">
        <v>1.4</v>
      </c>
      <c r="BK730">
        <v>1.5</v>
      </c>
      <c r="BL730">
        <v>98.42</v>
      </c>
      <c r="BM730">
        <v>14.76</v>
      </c>
      <c r="BN730">
        <v>113.18</v>
      </c>
      <c r="BO730">
        <v>113.18</v>
      </c>
      <c r="BQ730" t="s">
        <v>225</v>
      </c>
      <c r="BR730" t="s">
        <v>84</v>
      </c>
      <c r="BS730" s="3">
        <v>45789</v>
      </c>
      <c r="BT730" s="4">
        <v>0.4513888888888889</v>
      </c>
      <c r="BU730" t="s">
        <v>655</v>
      </c>
      <c r="BV730" t="s">
        <v>86</v>
      </c>
      <c r="BY730">
        <v>7000</v>
      </c>
      <c r="CA730" t="s">
        <v>227</v>
      </c>
      <c r="CC730" t="s">
        <v>223</v>
      </c>
      <c r="CD730">
        <v>1754</v>
      </c>
      <c r="CE730" t="s">
        <v>116</v>
      </c>
      <c r="CF730" s="3">
        <v>45790</v>
      </c>
      <c r="CI730">
        <v>1</v>
      </c>
      <c r="CJ730">
        <v>1</v>
      </c>
      <c r="CK730">
        <v>24</v>
      </c>
      <c r="CL730" t="s">
        <v>89</v>
      </c>
    </row>
    <row r="731" spans="1:90" x14ac:dyDescent="0.3">
      <c r="A731" t="s">
        <v>72</v>
      </c>
      <c r="B731" t="s">
        <v>73</v>
      </c>
      <c r="C731" t="s">
        <v>74</v>
      </c>
      <c r="E731" t="str">
        <f>"080065279433"</f>
        <v>080065279433</v>
      </c>
      <c r="F731" s="3">
        <v>45786</v>
      </c>
      <c r="G731">
        <v>202602</v>
      </c>
      <c r="H731" t="s">
        <v>75</v>
      </c>
      <c r="I731" t="s">
        <v>76</v>
      </c>
      <c r="J731" t="s">
        <v>77</v>
      </c>
      <c r="K731" t="s">
        <v>78</v>
      </c>
      <c r="L731" t="s">
        <v>130</v>
      </c>
      <c r="M731" t="s">
        <v>131</v>
      </c>
      <c r="N731" t="s">
        <v>1491</v>
      </c>
      <c r="O731" t="s">
        <v>300</v>
      </c>
      <c r="P731" t="str">
        <f>"4170037469                    "</f>
        <v xml:space="preserve">4170037469                    </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51.59</v>
      </c>
      <c r="AR731">
        <v>0</v>
      </c>
      <c r="AS731">
        <v>0</v>
      </c>
      <c r="AT731">
        <v>0</v>
      </c>
      <c r="AU731">
        <v>0</v>
      </c>
      <c r="AV731">
        <v>0</v>
      </c>
      <c r="AW731">
        <v>0</v>
      </c>
      <c r="AX731">
        <v>0</v>
      </c>
      <c r="AY731">
        <v>0</v>
      </c>
      <c r="AZ731">
        <v>0</v>
      </c>
      <c r="BA731">
        <v>0</v>
      </c>
      <c r="BB731">
        <v>0</v>
      </c>
      <c r="BC731">
        <v>0</v>
      </c>
      <c r="BD731">
        <v>0</v>
      </c>
      <c r="BE731">
        <v>0</v>
      </c>
      <c r="BF731">
        <v>0</v>
      </c>
      <c r="BG731">
        <v>0</v>
      </c>
      <c r="BH731">
        <v>1</v>
      </c>
      <c r="BI731">
        <v>21</v>
      </c>
      <c r="BJ731">
        <v>8.1999999999999993</v>
      </c>
      <c r="BK731">
        <v>21</v>
      </c>
      <c r="BL731">
        <v>174.42</v>
      </c>
      <c r="BM731">
        <v>26.16</v>
      </c>
      <c r="BN731">
        <v>200.58</v>
      </c>
      <c r="BO731">
        <v>200.58</v>
      </c>
      <c r="BQ731" t="s">
        <v>1492</v>
      </c>
      <c r="BR731" t="s">
        <v>84</v>
      </c>
      <c r="BS731" s="3">
        <v>45789</v>
      </c>
      <c r="BT731" s="4">
        <v>0.43055555555555558</v>
      </c>
      <c r="BU731" t="s">
        <v>1493</v>
      </c>
      <c r="BV731" t="s">
        <v>86</v>
      </c>
      <c r="BY731">
        <v>40800</v>
      </c>
      <c r="CA731" t="s">
        <v>1368</v>
      </c>
      <c r="CC731" t="s">
        <v>131</v>
      </c>
      <c r="CD731">
        <v>7800</v>
      </c>
      <c r="CE731" t="s">
        <v>96</v>
      </c>
      <c r="CF731" s="3">
        <v>45790</v>
      </c>
      <c r="CI731">
        <v>3</v>
      </c>
      <c r="CJ731">
        <v>1</v>
      </c>
      <c r="CK731">
        <v>41</v>
      </c>
      <c r="CL731" t="s">
        <v>89</v>
      </c>
    </row>
    <row r="732" spans="1:90" x14ac:dyDescent="0.3">
      <c r="A732" t="s">
        <v>72</v>
      </c>
      <c r="B732" t="s">
        <v>73</v>
      </c>
      <c r="C732" t="s">
        <v>74</v>
      </c>
      <c r="E732" t="str">
        <f>"080065279472"</f>
        <v>080065279472</v>
      </c>
      <c r="F732" s="3">
        <v>45786</v>
      </c>
      <c r="G732">
        <v>202602</v>
      </c>
      <c r="H732" t="s">
        <v>75</v>
      </c>
      <c r="I732" t="s">
        <v>76</v>
      </c>
      <c r="J732" t="s">
        <v>77</v>
      </c>
      <c r="K732" t="s">
        <v>78</v>
      </c>
      <c r="L732" t="s">
        <v>123</v>
      </c>
      <c r="M732" t="s">
        <v>123</v>
      </c>
      <c r="N732" t="s">
        <v>593</v>
      </c>
      <c r="O732" t="s">
        <v>82</v>
      </c>
      <c r="P732" t="str">
        <f>"4170037487                    "</f>
        <v xml:space="preserve">4170037487                    </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125.62</v>
      </c>
      <c r="AR732">
        <v>0</v>
      </c>
      <c r="AS732">
        <v>0</v>
      </c>
      <c r="AT732">
        <v>0</v>
      </c>
      <c r="AU732">
        <v>0</v>
      </c>
      <c r="AV732">
        <v>0</v>
      </c>
      <c r="AW732">
        <v>0</v>
      </c>
      <c r="AX732">
        <v>0</v>
      </c>
      <c r="AY732">
        <v>0</v>
      </c>
      <c r="AZ732">
        <v>0</v>
      </c>
      <c r="BA732">
        <v>0</v>
      </c>
      <c r="BB732">
        <v>0</v>
      </c>
      <c r="BC732">
        <v>0</v>
      </c>
      <c r="BD732">
        <v>0</v>
      </c>
      <c r="BE732">
        <v>0</v>
      </c>
      <c r="BF732">
        <v>0</v>
      </c>
      <c r="BG732">
        <v>0</v>
      </c>
      <c r="BH732">
        <v>2</v>
      </c>
      <c r="BI732">
        <v>4</v>
      </c>
      <c r="BJ732">
        <v>6.1</v>
      </c>
      <c r="BK732">
        <v>6.5</v>
      </c>
      <c r="BL732">
        <v>411.12</v>
      </c>
      <c r="BM732">
        <v>61.67</v>
      </c>
      <c r="BN732">
        <v>472.79</v>
      </c>
      <c r="BO732">
        <v>472.79</v>
      </c>
      <c r="BQ732" t="s">
        <v>594</v>
      </c>
      <c r="BR732" t="s">
        <v>84</v>
      </c>
      <c r="BS732" s="3">
        <v>45789</v>
      </c>
      <c r="BT732" s="4">
        <v>0.51180555555555551</v>
      </c>
      <c r="BU732" t="s">
        <v>595</v>
      </c>
      <c r="BV732" t="s">
        <v>86</v>
      </c>
      <c r="BY732">
        <v>15360</v>
      </c>
      <c r="CA732" t="s">
        <v>128</v>
      </c>
      <c r="CC732" t="s">
        <v>123</v>
      </c>
      <c r="CD732">
        <v>7646</v>
      </c>
      <c r="CE732" t="s">
        <v>1494</v>
      </c>
      <c r="CF732" s="3">
        <v>45790</v>
      </c>
      <c r="CI732">
        <v>1</v>
      </c>
      <c r="CJ732">
        <v>1</v>
      </c>
      <c r="CK732">
        <v>23</v>
      </c>
      <c r="CL732" t="s">
        <v>89</v>
      </c>
    </row>
    <row r="733" spans="1:90" x14ac:dyDescent="0.3">
      <c r="A733" t="s">
        <v>72</v>
      </c>
      <c r="B733" t="s">
        <v>73</v>
      </c>
      <c r="C733" t="s">
        <v>74</v>
      </c>
      <c r="E733" t="str">
        <f>"080065279502"</f>
        <v>080065279502</v>
      </c>
      <c r="F733" s="3">
        <v>45786</v>
      </c>
      <c r="G733">
        <v>202602</v>
      </c>
      <c r="H733" t="s">
        <v>75</v>
      </c>
      <c r="I733" t="s">
        <v>76</v>
      </c>
      <c r="J733" t="s">
        <v>77</v>
      </c>
      <c r="K733" t="s">
        <v>78</v>
      </c>
      <c r="L733" t="s">
        <v>90</v>
      </c>
      <c r="M733" t="s">
        <v>91</v>
      </c>
      <c r="N733" t="s">
        <v>1211</v>
      </c>
      <c r="O733" t="s">
        <v>82</v>
      </c>
      <c r="P733" t="str">
        <f>"4170037536                    "</f>
        <v xml:space="preserve">4170037536                    </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21.38</v>
      </c>
      <c r="AR733">
        <v>0</v>
      </c>
      <c r="AS733">
        <v>0</v>
      </c>
      <c r="AT733">
        <v>0</v>
      </c>
      <c r="AU733">
        <v>0</v>
      </c>
      <c r="AV733">
        <v>0</v>
      </c>
      <c r="AW733">
        <v>0</v>
      </c>
      <c r="AX733">
        <v>0</v>
      </c>
      <c r="AY733">
        <v>0</v>
      </c>
      <c r="AZ733">
        <v>0</v>
      </c>
      <c r="BA733">
        <v>0</v>
      </c>
      <c r="BB733">
        <v>0</v>
      </c>
      <c r="BC733">
        <v>0</v>
      </c>
      <c r="BD733">
        <v>0</v>
      </c>
      <c r="BE733">
        <v>0</v>
      </c>
      <c r="BF733">
        <v>0</v>
      </c>
      <c r="BG733">
        <v>0</v>
      </c>
      <c r="BH733">
        <v>1</v>
      </c>
      <c r="BI733">
        <v>1</v>
      </c>
      <c r="BJ733">
        <v>0.9</v>
      </c>
      <c r="BK733">
        <v>1</v>
      </c>
      <c r="BL733">
        <v>69.98</v>
      </c>
      <c r="BM733">
        <v>10.5</v>
      </c>
      <c r="BN733">
        <v>80.48</v>
      </c>
      <c r="BO733">
        <v>80.48</v>
      </c>
      <c r="BQ733" t="s">
        <v>1212</v>
      </c>
      <c r="BR733" t="s">
        <v>84</v>
      </c>
      <c r="BS733" s="3">
        <v>45789</v>
      </c>
      <c r="BT733" s="4">
        <v>0.42499999999999999</v>
      </c>
      <c r="BU733" t="s">
        <v>1467</v>
      </c>
      <c r="BV733" t="s">
        <v>86</v>
      </c>
      <c r="BY733">
        <v>4560</v>
      </c>
      <c r="CA733" t="s">
        <v>283</v>
      </c>
      <c r="CC733" t="s">
        <v>91</v>
      </c>
      <c r="CD733">
        <v>6012</v>
      </c>
      <c r="CE733" t="s">
        <v>116</v>
      </c>
      <c r="CF733" s="3">
        <v>45789</v>
      </c>
      <c r="CI733">
        <v>1</v>
      </c>
      <c r="CJ733">
        <v>1</v>
      </c>
      <c r="CK733">
        <v>21</v>
      </c>
      <c r="CL733" t="s">
        <v>89</v>
      </c>
    </row>
    <row r="734" spans="1:90" x14ac:dyDescent="0.3">
      <c r="A734" t="s">
        <v>72</v>
      </c>
      <c r="B734" t="s">
        <v>73</v>
      </c>
      <c r="C734" t="s">
        <v>74</v>
      </c>
      <c r="E734" t="str">
        <f>"080065280150"</f>
        <v>080065280150</v>
      </c>
      <c r="F734" s="3">
        <v>45786</v>
      </c>
      <c r="G734">
        <v>202602</v>
      </c>
      <c r="H734" t="s">
        <v>75</v>
      </c>
      <c r="I734" t="s">
        <v>76</v>
      </c>
      <c r="J734" t="s">
        <v>77</v>
      </c>
      <c r="K734" t="s">
        <v>78</v>
      </c>
      <c r="L734" t="s">
        <v>350</v>
      </c>
      <c r="M734" t="s">
        <v>351</v>
      </c>
      <c r="N734" t="s">
        <v>431</v>
      </c>
      <c r="O734" t="s">
        <v>82</v>
      </c>
      <c r="P734" t="str">
        <f>"4170037477                    "</f>
        <v xml:space="preserve">4170037477                    </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21.38</v>
      </c>
      <c r="AR734">
        <v>0</v>
      </c>
      <c r="AS734">
        <v>0</v>
      </c>
      <c r="AT734">
        <v>0</v>
      </c>
      <c r="AU734">
        <v>0</v>
      </c>
      <c r="AV734">
        <v>0</v>
      </c>
      <c r="AW734">
        <v>0</v>
      </c>
      <c r="AX734">
        <v>0</v>
      </c>
      <c r="AY734">
        <v>0</v>
      </c>
      <c r="AZ734">
        <v>0</v>
      </c>
      <c r="BA734">
        <v>0</v>
      </c>
      <c r="BB734">
        <v>0</v>
      </c>
      <c r="BC734">
        <v>0</v>
      </c>
      <c r="BD734">
        <v>0</v>
      </c>
      <c r="BE734">
        <v>0</v>
      </c>
      <c r="BF734">
        <v>0</v>
      </c>
      <c r="BG734">
        <v>0</v>
      </c>
      <c r="BH734">
        <v>1</v>
      </c>
      <c r="BI734">
        <v>1</v>
      </c>
      <c r="BJ734">
        <v>0.9</v>
      </c>
      <c r="BK734">
        <v>1</v>
      </c>
      <c r="BL734">
        <v>69.98</v>
      </c>
      <c r="BM734">
        <v>10.5</v>
      </c>
      <c r="BN734">
        <v>80.48</v>
      </c>
      <c r="BO734">
        <v>80.48</v>
      </c>
      <c r="BQ734" t="s">
        <v>432</v>
      </c>
      <c r="BR734" t="s">
        <v>84</v>
      </c>
      <c r="BS734" s="3">
        <v>45789</v>
      </c>
      <c r="BT734" s="4">
        <v>0.32777777777777778</v>
      </c>
      <c r="BU734" t="s">
        <v>433</v>
      </c>
      <c r="BV734" t="s">
        <v>86</v>
      </c>
      <c r="BY734">
        <v>4275</v>
      </c>
      <c r="CA734" t="s">
        <v>436</v>
      </c>
      <c r="CC734" t="s">
        <v>351</v>
      </c>
      <c r="CD734">
        <v>4052</v>
      </c>
      <c r="CE734" t="s">
        <v>116</v>
      </c>
      <c r="CF734" s="3">
        <v>45790</v>
      </c>
      <c r="CI734">
        <v>1</v>
      </c>
      <c r="CJ734">
        <v>1</v>
      </c>
      <c r="CK734">
        <v>21</v>
      </c>
      <c r="CL734" t="s">
        <v>89</v>
      </c>
    </row>
    <row r="735" spans="1:90" x14ac:dyDescent="0.3">
      <c r="A735" t="s">
        <v>72</v>
      </c>
      <c r="B735" t="s">
        <v>73</v>
      </c>
      <c r="C735" t="s">
        <v>74</v>
      </c>
      <c r="E735" t="str">
        <f>"080065280175"</f>
        <v>080065280175</v>
      </c>
      <c r="F735" s="3">
        <v>45786</v>
      </c>
      <c r="G735">
        <v>202602</v>
      </c>
      <c r="H735" t="s">
        <v>75</v>
      </c>
      <c r="I735" t="s">
        <v>76</v>
      </c>
      <c r="J735" t="s">
        <v>77</v>
      </c>
      <c r="K735" t="s">
        <v>78</v>
      </c>
      <c r="L735" t="s">
        <v>409</v>
      </c>
      <c r="M735" t="s">
        <v>410</v>
      </c>
      <c r="N735" t="s">
        <v>411</v>
      </c>
      <c r="O735" t="s">
        <v>82</v>
      </c>
      <c r="P735" t="str">
        <f>"4170037534                    "</f>
        <v xml:space="preserve">4170037534                    </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97.56</v>
      </c>
      <c r="AR735">
        <v>0</v>
      </c>
      <c r="AS735">
        <v>0</v>
      </c>
      <c r="AT735">
        <v>0</v>
      </c>
      <c r="AU735">
        <v>0</v>
      </c>
      <c r="AV735">
        <v>0</v>
      </c>
      <c r="AW735">
        <v>0</v>
      </c>
      <c r="AX735">
        <v>0</v>
      </c>
      <c r="AY735">
        <v>0</v>
      </c>
      <c r="AZ735">
        <v>0</v>
      </c>
      <c r="BA735">
        <v>0</v>
      </c>
      <c r="BB735">
        <v>0</v>
      </c>
      <c r="BC735">
        <v>0</v>
      </c>
      <c r="BD735">
        <v>0</v>
      </c>
      <c r="BE735">
        <v>0</v>
      </c>
      <c r="BF735">
        <v>0</v>
      </c>
      <c r="BG735">
        <v>0</v>
      </c>
      <c r="BH735">
        <v>1</v>
      </c>
      <c r="BI735">
        <v>5</v>
      </c>
      <c r="BJ735">
        <v>2.4</v>
      </c>
      <c r="BK735">
        <v>5</v>
      </c>
      <c r="BL735">
        <v>319.27999999999997</v>
      </c>
      <c r="BM735">
        <v>47.89</v>
      </c>
      <c r="BN735">
        <v>367.17</v>
      </c>
      <c r="BO735">
        <v>367.17</v>
      </c>
      <c r="BQ735" t="s">
        <v>412</v>
      </c>
      <c r="BR735" t="s">
        <v>84</v>
      </c>
      <c r="BS735" s="3">
        <v>45789</v>
      </c>
      <c r="BT735" s="4">
        <v>0.54305555555555551</v>
      </c>
      <c r="BU735" t="s">
        <v>1495</v>
      </c>
      <c r="BV735" t="s">
        <v>86</v>
      </c>
      <c r="BY735">
        <v>12236</v>
      </c>
      <c r="CA735" t="s">
        <v>414</v>
      </c>
      <c r="CC735" t="s">
        <v>410</v>
      </c>
      <c r="CD735">
        <v>6850</v>
      </c>
      <c r="CE735" t="s">
        <v>116</v>
      </c>
      <c r="CF735" s="3">
        <v>45790</v>
      </c>
      <c r="CI735">
        <v>2</v>
      </c>
      <c r="CJ735">
        <v>1</v>
      </c>
      <c r="CK735">
        <v>23</v>
      </c>
      <c r="CL735" t="s">
        <v>89</v>
      </c>
    </row>
    <row r="736" spans="1:90" x14ac:dyDescent="0.3">
      <c r="A736" t="s">
        <v>72</v>
      </c>
      <c r="B736" t="s">
        <v>73</v>
      </c>
      <c r="C736" t="s">
        <v>74</v>
      </c>
      <c r="E736" t="str">
        <f>"080065280206"</f>
        <v>080065280206</v>
      </c>
      <c r="F736" s="3">
        <v>45786</v>
      </c>
      <c r="G736">
        <v>202602</v>
      </c>
      <c r="H736" t="s">
        <v>75</v>
      </c>
      <c r="I736" t="s">
        <v>76</v>
      </c>
      <c r="J736" t="s">
        <v>77</v>
      </c>
      <c r="K736" t="s">
        <v>78</v>
      </c>
      <c r="L736" t="s">
        <v>526</v>
      </c>
      <c r="M736" t="s">
        <v>527</v>
      </c>
      <c r="N736" t="s">
        <v>528</v>
      </c>
      <c r="O736" t="s">
        <v>82</v>
      </c>
      <c r="P736" t="str">
        <f>"4170037485                    "</f>
        <v xml:space="preserve">4170037485                    </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30.07</v>
      </c>
      <c r="AR736">
        <v>0</v>
      </c>
      <c r="AS736">
        <v>0</v>
      </c>
      <c r="AT736">
        <v>0</v>
      </c>
      <c r="AU736">
        <v>0</v>
      </c>
      <c r="AV736">
        <v>0</v>
      </c>
      <c r="AW736">
        <v>0</v>
      </c>
      <c r="AX736">
        <v>0</v>
      </c>
      <c r="AY736">
        <v>0</v>
      </c>
      <c r="AZ736">
        <v>0</v>
      </c>
      <c r="BA736">
        <v>0</v>
      </c>
      <c r="BB736">
        <v>0</v>
      </c>
      <c r="BC736">
        <v>0</v>
      </c>
      <c r="BD736">
        <v>0</v>
      </c>
      <c r="BE736">
        <v>0</v>
      </c>
      <c r="BF736">
        <v>0</v>
      </c>
      <c r="BG736">
        <v>0</v>
      </c>
      <c r="BH736">
        <v>1</v>
      </c>
      <c r="BI736">
        <v>1</v>
      </c>
      <c r="BJ736">
        <v>1.3</v>
      </c>
      <c r="BK736">
        <v>1.5</v>
      </c>
      <c r="BL736">
        <v>98.42</v>
      </c>
      <c r="BM736">
        <v>14.76</v>
      </c>
      <c r="BN736">
        <v>113.18</v>
      </c>
      <c r="BO736">
        <v>113.18</v>
      </c>
      <c r="BQ736" t="s">
        <v>529</v>
      </c>
      <c r="BR736" t="s">
        <v>84</v>
      </c>
      <c r="BS736" s="3">
        <v>45789</v>
      </c>
      <c r="BT736" s="4">
        <v>0.39305555555555555</v>
      </c>
      <c r="BU736" t="s">
        <v>1121</v>
      </c>
      <c r="BV736" t="s">
        <v>86</v>
      </c>
      <c r="BY736">
        <v>6384</v>
      </c>
      <c r="CA736" t="s">
        <v>829</v>
      </c>
      <c r="CC736" t="s">
        <v>527</v>
      </c>
      <c r="CD736">
        <v>1760</v>
      </c>
      <c r="CE736" t="s">
        <v>116</v>
      </c>
      <c r="CF736" s="3">
        <v>45790</v>
      </c>
      <c r="CI736">
        <v>1</v>
      </c>
      <c r="CJ736">
        <v>1</v>
      </c>
      <c r="CK736">
        <v>24</v>
      </c>
      <c r="CL736" t="s">
        <v>89</v>
      </c>
    </row>
    <row r="737" spans="1:90" x14ac:dyDescent="0.3">
      <c r="A737" t="s">
        <v>72</v>
      </c>
      <c r="B737" t="s">
        <v>73</v>
      </c>
      <c r="C737" t="s">
        <v>74</v>
      </c>
      <c r="E737" t="str">
        <f>"080065280234"</f>
        <v>080065280234</v>
      </c>
      <c r="F737" s="3">
        <v>45786</v>
      </c>
      <c r="G737">
        <v>202602</v>
      </c>
      <c r="H737" t="s">
        <v>75</v>
      </c>
      <c r="I737" t="s">
        <v>76</v>
      </c>
      <c r="J737" t="s">
        <v>77</v>
      </c>
      <c r="K737" t="s">
        <v>78</v>
      </c>
      <c r="L737" t="s">
        <v>130</v>
      </c>
      <c r="M737" t="s">
        <v>131</v>
      </c>
      <c r="N737" t="s">
        <v>327</v>
      </c>
      <c r="O737" t="s">
        <v>82</v>
      </c>
      <c r="P737" t="str">
        <f>"4170037500                    "</f>
        <v xml:space="preserve">4170037500                    </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42.75</v>
      </c>
      <c r="AR737">
        <v>0</v>
      </c>
      <c r="AS737">
        <v>0</v>
      </c>
      <c r="AT737">
        <v>0</v>
      </c>
      <c r="AU737">
        <v>0</v>
      </c>
      <c r="AV737">
        <v>0</v>
      </c>
      <c r="AW737">
        <v>0</v>
      </c>
      <c r="AX737">
        <v>0</v>
      </c>
      <c r="AY737">
        <v>0</v>
      </c>
      <c r="AZ737">
        <v>0</v>
      </c>
      <c r="BA737">
        <v>0</v>
      </c>
      <c r="BB737">
        <v>0</v>
      </c>
      <c r="BC737">
        <v>0</v>
      </c>
      <c r="BD737">
        <v>0</v>
      </c>
      <c r="BE737">
        <v>0</v>
      </c>
      <c r="BF737">
        <v>0</v>
      </c>
      <c r="BG737">
        <v>0</v>
      </c>
      <c r="BH737">
        <v>1</v>
      </c>
      <c r="BI737">
        <v>4</v>
      </c>
      <c r="BJ737">
        <v>3.4</v>
      </c>
      <c r="BK737">
        <v>4</v>
      </c>
      <c r="BL737">
        <v>139.91</v>
      </c>
      <c r="BM737">
        <v>20.99</v>
      </c>
      <c r="BN737">
        <v>160.9</v>
      </c>
      <c r="BO737">
        <v>160.9</v>
      </c>
      <c r="BQ737" t="s">
        <v>328</v>
      </c>
      <c r="BR737" t="s">
        <v>84</v>
      </c>
      <c r="BS737" s="3">
        <v>45789</v>
      </c>
      <c r="BT737" s="4">
        <v>0.38750000000000001</v>
      </c>
      <c r="BU737" t="s">
        <v>329</v>
      </c>
      <c r="BV737" t="s">
        <v>86</v>
      </c>
      <c r="BY737">
        <v>16965</v>
      </c>
      <c r="CA737" t="s">
        <v>330</v>
      </c>
      <c r="CC737" t="s">
        <v>131</v>
      </c>
      <c r="CD737">
        <v>7480</v>
      </c>
      <c r="CE737" t="s">
        <v>96</v>
      </c>
      <c r="CF737" s="3">
        <v>45790</v>
      </c>
      <c r="CI737">
        <v>1</v>
      </c>
      <c r="CJ737">
        <v>1</v>
      </c>
      <c r="CK737">
        <v>21</v>
      </c>
      <c r="CL737" t="s">
        <v>89</v>
      </c>
    </row>
    <row r="738" spans="1:90" x14ac:dyDescent="0.3">
      <c r="A738" t="s">
        <v>72</v>
      </c>
      <c r="B738" t="s">
        <v>73</v>
      </c>
      <c r="C738" t="s">
        <v>74</v>
      </c>
      <c r="E738" t="str">
        <f>"080065280257"</f>
        <v>080065280257</v>
      </c>
      <c r="F738" s="3">
        <v>45786</v>
      </c>
      <c r="G738">
        <v>202602</v>
      </c>
      <c r="H738" t="s">
        <v>75</v>
      </c>
      <c r="I738" t="s">
        <v>76</v>
      </c>
      <c r="J738" t="s">
        <v>77</v>
      </c>
      <c r="K738" t="s">
        <v>78</v>
      </c>
      <c r="L738" t="s">
        <v>130</v>
      </c>
      <c r="M738" t="s">
        <v>131</v>
      </c>
      <c r="N738" t="s">
        <v>343</v>
      </c>
      <c r="O738" t="s">
        <v>82</v>
      </c>
      <c r="P738" t="str">
        <f>"4170037535                    "</f>
        <v xml:space="preserve">4170037535                    </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21.38</v>
      </c>
      <c r="AR738">
        <v>0</v>
      </c>
      <c r="AS738">
        <v>0</v>
      </c>
      <c r="AT738">
        <v>0</v>
      </c>
      <c r="AU738">
        <v>0</v>
      </c>
      <c r="AV738">
        <v>0</v>
      </c>
      <c r="AW738">
        <v>0</v>
      </c>
      <c r="AX738">
        <v>0</v>
      </c>
      <c r="AY738">
        <v>0</v>
      </c>
      <c r="AZ738">
        <v>0</v>
      </c>
      <c r="BA738">
        <v>0</v>
      </c>
      <c r="BB738">
        <v>0</v>
      </c>
      <c r="BC738">
        <v>0</v>
      </c>
      <c r="BD738">
        <v>0</v>
      </c>
      <c r="BE738">
        <v>0</v>
      </c>
      <c r="BF738">
        <v>0</v>
      </c>
      <c r="BG738">
        <v>0</v>
      </c>
      <c r="BH738">
        <v>1</v>
      </c>
      <c r="BI738">
        <v>1</v>
      </c>
      <c r="BJ738">
        <v>1.1000000000000001</v>
      </c>
      <c r="BK738">
        <v>1.5</v>
      </c>
      <c r="BL738">
        <v>69.98</v>
      </c>
      <c r="BM738">
        <v>10.5</v>
      </c>
      <c r="BN738">
        <v>80.48</v>
      </c>
      <c r="BO738">
        <v>80.48</v>
      </c>
      <c r="BQ738" t="s">
        <v>344</v>
      </c>
      <c r="BR738" t="s">
        <v>84</v>
      </c>
      <c r="BS738" s="3">
        <v>45789</v>
      </c>
      <c r="BT738" s="4">
        <v>0.39930555555555558</v>
      </c>
      <c r="BU738" t="s">
        <v>1338</v>
      </c>
      <c r="BV738" t="s">
        <v>86</v>
      </c>
      <c r="BY738">
        <v>5320</v>
      </c>
      <c r="CA738" t="s">
        <v>242</v>
      </c>
      <c r="CC738" t="s">
        <v>131</v>
      </c>
      <c r="CD738">
        <v>7441</v>
      </c>
      <c r="CE738" t="s">
        <v>116</v>
      </c>
      <c r="CF738" s="3">
        <v>45790</v>
      </c>
      <c r="CI738">
        <v>1</v>
      </c>
      <c r="CJ738">
        <v>1</v>
      </c>
      <c r="CK738">
        <v>21</v>
      </c>
      <c r="CL738" t="s">
        <v>89</v>
      </c>
    </row>
    <row r="739" spans="1:90" x14ac:dyDescent="0.3">
      <c r="A739" t="s">
        <v>72</v>
      </c>
      <c r="B739" t="s">
        <v>73</v>
      </c>
      <c r="C739" t="s">
        <v>74</v>
      </c>
      <c r="E739" t="str">
        <f>"080065280281"</f>
        <v>080065280281</v>
      </c>
      <c r="F739" s="3">
        <v>45786</v>
      </c>
      <c r="G739">
        <v>202602</v>
      </c>
      <c r="H739" t="s">
        <v>75</v>
      </c>
      <c r="I739" t="s">
        <v>76</v>
      </c>
      <c r="J739" t="s">
        <v>77</v>
      </c>
      <c r="K739" t="s">
        <v>78</v>
      </c>
      <c r="L739" t="s">
        <v>90</v>
      </c>
      <c r="M739" t="s">
        <v>91</v>
      </c>
      <c r="N739" t="s">
        <v>1211</v>
      </c>
      <c r="O739" t="s">
        <v>82</v>
      </c>
      <c r="P739" t="str">
        <f>"4170037598                    "</f>
        <v xml:space="preserve">4170037598                    </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21.38</v>
      </c>
      <c r="AR739">
        <v>0</v>
      </c>
      <c r="AS739">
        <v>0</v>
      </c>
      <c r="AT739">
        <v>0</v>
      </c>
      <c r="AU739">
        <v>0</v>
      </c>
      <c r="AV739">
        <v>0</v>
      </c>
      <c r="AW739">
        <v>0</v>
      </c>
      <c r="AX739">
        <v>0</v>
      </c>
      <c r="AY739">
        <v>0</v>
      </c>
      <c r="AZ739">
        <v>0</v>
      </c>
      <c r="BA739">
        <v>0</v>
      </c>
      <c r="BB739">
        <v>0</v>
      </c>
      <c r="BC739">
        <v>0</v>
      </c>
      <c r="BD739">
        <v>0</v>
      </c>
      <c r="BE739">
        <v>0</v>
      </c>
      <c r="BF739">
        <v>0</v>
      </c>
      <c r="BG739">
        <v>0</v>
      </c>
      <c r="BH739">
        <v>1</v>
      </c>
      <c r="BI739">
        <v>1</v>
      </c>
      <c r="BJ739">
        <v>1.1000000000000001</v>
      </c>
      <c r="BK739">
        <v>1.5</v>
      </c>
      <c r="BL739">
        <v>69.98</v>
      </c>
      <c r="BM739">
        <v>10.5</v>
      </c>
      <c r="BN739">
        <v>80.48</v>
      </c>
      <c r="BO739">
        <v>80.48</v>
      </c>
      <c r="BQ739" t="s">
        <v>1212</v>
      </c>
      <c r="BR739" t="s">
        <v>84</v>
      </c>
      <c r="BS739" s="3">
        <v>45790</v>
      </c>
      <c r="BT739" s="4">
        <v>0.42916666666666664</v>
      </c>
      <c r="BU739" t="s">
        <v>1496</v>
      </c>
      <c r="BV739" t="s">
        <v>89</v>
      </c>
      <c r="BW739" t="s">
        <v>296</v>
      </c>
      <c r="BX739" t="s">
        <v>297</v>
      </c>
      <c r="BY739">
        <v>5320</v>
      </c>
      <c r="CA739" t="s">
        <v>943</v>
      </c>
      <c r="CC739" t="s">
        <v>91</v>
      </c>
      <c r="CD739">
        <v>6012</v>
      </c>
      <c r="CE739" t="s">
        <v>116</v>
      </c>
      <c r="CF739" s="3">
        <v>45790</v>
      </c>
      <c r="CI739">
        <v>1</v>
      </c>
      <c r="CJ739">
        <v>2</v>
      </c>
      <c r="CK739">
        <v>21</v>
      </c>
      <c r="CL739" t="s">
        <v>89</v>
      </c>
    </row>
    <row r="740" spans="1:90" x14ac:dyDescent="0.3">
      <c r="A740" t="s">
        <v>72</v>
      </c>
      <c r="B740" t="s">
        <v>73</v>
      </c>
      <c r="C740" t="s">
        <v>74</v>
      </c>
      <c r="E740" t="str">
        <f>"080065280439"</f>
        <v>080065280439</v>
      </c>
      <c r="F740" s="3">
        <v>45786</v>
      </c>
      <c r="G740">
        <v>202602</v>
      </c>
      <c r="H740" t="s">
        <v>75</v>
      </c>
      <c r="I740" t="s">
        <v>76</v>
      </c>
      <c r="J740" t="s">
        <v>77</v>
      </c>
      <c r="K740" t="s">
        <v>78</v>
      </c>
      <c r="L740" t="s">
        <v>1214</v>
      </c>
      <c r="M740" t="s">
        <v>1215</v>
      </c>
      <c r="N740" t="s">
        <v>1497</v>
      </c>
      <c r="O740" t="s">
        <v>300</v>
      </c>
      <c r="P740" t="str">
        <f>"4170037696                    "</f>
        <v xml:space="preserve">4170037696                    </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374.26</v>
      </c>
      <c r="AR740">
        <v>0</v>
      </c>
      <c r="AS740">
        <v>0</v>
      </c>
      <c r="AT740">
        <v>0</v>
      </c>
      <c r="AU740">
        <v>0</v>
      </c>
      <c r="AV740">
        <v>0</v>
      </c>
      <c r="AW740">
        <v>0</v>
      </c>
      <c r="AX740">
        <v>0</v>
      </c>
      <c r="AY740">
        <v>0</v>
      </c>
      <c r="AZ740">
        <v>0</v>
      </c>
      <c r="BA740">
        <v>0</v>
      </c>
      <c r="BB740">
        <v>0</v>
      </c>
      <c r="BC740">
        <v>0</v>
      </c>
      <c r="BD740">
        <v>0</v>
      </c>
      <c r="BE740">
        <v>0</v>
      </c>
      <c r="BF740">
        <v>0</v>
      </c>
      <c r="BG740">
        <v>0</v>
      </c>
      <c r="BH740">
        <v>1</v>
      </c>
      <c r="BI740">
        <v>210</v>
      </c>
      <c r="BJ740">
        <v>207.4</v>
      </c>
      <c r="BK740">
        <v>210</v>
      </c>
      <c r="BL740">
        <v>1230.4100000000001</v>
      </c>
      <c r="BM740">
        <v>184.56</v>
      </c>
      <c r="BN740">
        <v>1414.97</v>
      </c>
      <c r="BO740">
        <v>1414.97</v>
      </c>
      <c r="BQ740" t="s">
        <v>1498</v>
      </c>
      <c r="BR740" t="s">
        <v>84</v>
      </c>
      <c r="BS740" s="3">
        <v>45789</v>
      </c>
      <c r="BT740" s="4">
        <v>0.66597222222222219</v>
      </c>
      <c r="BU740" t="s">
        <v>1499</v>
      </c>
      <c r="BV740" t="s">
        <v>86</v>
      </c>
      <c r="BY740">
        <v>1036800</v>
      </c>
      <c r="CA740" t="s">
        <v>1500</v>
      </c>
      <c r="CC740" t="s">
        <v>1215</v>
      </c>
      <c r="CD740">
        <v>4319</v>
      </c>
      <c r="CE740" t="s">
        <v>546</v>
      </c>
      <c r="CF740" s="3">
        <v>45790</v>
      </c>
      <c r="CI740">
        <v>1</v>
      </c>
      <c r="CJ740">
        <v>1</v>
      </c>
      <c r="CK740">
        <v>41</v>
      </c>
      <c r="CL740" t="s">
        <v>89</v>
      </c>
    </row>
    <row r="741" spans="1:90" x14ac:dyDescent="0.3">
      <c r="A741" t="s">
        <v>72</v>
      </c>
      <c r="B741" t="s">
        <v>73</v>
      </c>
      <c r="C741" t="s">
        <v>74</v>
      </c>
      <c r="E741" t="str">
        <f>"080065280724"</f>
        <v>080065280724</v>
      </c>
      <c r="F741" s="3">
        <v>45786</v>
      </c>
      <c r="G741">
        <v>202602</v>
      </c>
      <c r="H741" t="s">
        <v>75</v>
      </c>
      <c r="I741" t="s">
        <v>76</v>
      </c>
      <c r="J741" t="s">
        <v>77</v>
      </c>
      <c r="K741" t="s">
        <v>78</v>
      </c>
      <c r="L741" t="s">
        <v>350</v>
      </c>
      <c r="M741" t="s">
        <v>351</v>
      </c>
      <c r="N741" t="s">
        <v>459</v>
      </c>
      <c r="O741" t="s">
        <v>82</v>
      </c>
      <c r="P741" t="str">
        <f>"4170037542                    "</f>
        <v xml:space="preserve">4170037542                    </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21.38</v>
      </c>
      <c r="AR741">
        <v>0</v>
      </c>
      <c r="AS741">
        <v>0</v>
      </c>
      <c r="AT741">
        <v>0</v>
      </c>
      <c r="AU741">
        <v>0</v>
      </c>
      <c r="AV741">
        <v>0</v>
      </c>
      <c r="AW741">
        <v>0</v>
      </c>
      <c r="AX741">
        <v>0</v>
      </c>
      <c r="AY741">
        <v>0</v>
      </c>
      <c r="AZ741">
        <v>0</v>
      </c>
      <c r="BA741">
        <v>0</v>
      </c>
      <c r="BB741">
        <v>0</v>
      </c>
      <c r="BC741">
        <v>0</v>
      </c>
      <c r="BD741">
        <v>0</v>
      </c>
      <c r="BE741">
        <v>0</v>
      </c>
      <c r="BF741">
        <v>0</v>
      </c>
      <c r="BG741">
        <v>0</v>
      </c>
      <c r="BH741">
        <v>1</v>
      </c>
      <c r="BI741">
        <v>1</v>
      </c>
      <c r="BJ741">
        <v>0.2</v>
      </c>
      <c r="BK741">
        <v>1</v>
      </c>
      <c r="BL741">
        <v>69.98</v>
      </c>
      <c r="BM741">
        <v>10.5</v>
      </c>
      <c r="BN741">
        <v>80.48</v>
      </c>
      <c r="BO741">
        <v>80.48</v>
      </c>
      <c r="BQ741" t="s">
        <v>460</v>
      </c>
      <c r="BR741" t="s">
        <v>84</v>
      </c>
      <c r="BS741" s="3">
        <v>45789</v>
      </c>
      <c r="BT741" s="4">
        <v>0.32291666666666669</v>
      </c>
      <c r="BU741" t="s">
        <v>461</v>
      </c>
      <c r="BV741" t="s">
        <v>86</v>
      </c>
      <c r="BY741">
        <v>1200</v>
      </c>
      <c r="CA741" t="s">
        <v>462</v>
      </c>
      <c r="CC741" t="s">
        <v>351</v>
      </c>
      <c r="CD741">
        <v>4000</v>
      </c>
      <c r="CE741" t="s">
        <v>88</v>
      </c>
      <c r="CF741" s="3">
        <v>45790</v>
      </c>
      <c r="CI741">
        <v>1</v>
      </c>
      <c r="CJ741">
        <v>1</v>
      </c>
      <c r="CK741">
        <v>21</v>
      </c>
      <c r="CL741" t="s">
        <v>89</v>
      </c>
    </row>
    <row r="742" spans="1:90" x14ac:dyDescent="0.3">
      <c r="A742" t="s">
        <v>72</v>
      </c>
      <c r="B742" t="s">
        <v>73</v>
      </c>
      <c r="C742" t="s">
        <v>74</v>
      </c>
      <c r="E742" t="str">
        <f>"080065280755"</f>
        <v>080065280755</v>
      </c>
      <c r="F742" s="3">
        <v>45786</v>
      </c>
      <c r="G742">
        <v>202602</v>
      </c>
      <c r="H742" t="s">
        <v>75</v>
      </c>
      <c r="I742" t="s">
        <v>76</v>
      </c>
      <c r="J742" t="s">
        <v>77</v>
      </c>
      <c r="K742" t="s">
        <v>78</v>
      </c>
      <c r="L742" t="s">
        <v>75</v>
      </c>
      <c r="M742" t="s">
        <v>76</v>
      </c>
      <c r="N742" t="s">
        <v>183</v>
      </c>
      <c r="O742" t="s">
        <v>82</v>
      </c>
      <c r="P742" t="str">
        <f>"4170037582                    "</f>
        <v xml:space="preserve">4170037582                    </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16.7</v>
      </c>
      <c r="AR742">
        <v>0</v>
      </c>
      <c r="AS742">
        <v>0</v>
      </c>
      <c r="AT742">
        <v>0</v>
      </c>
      <c r="AU742">
        <v>0</v>
      </c>
      <c r="AV742">
        <v>0</v>
      </c>
      <c r="AW742">
        <v>0</v>
      </c>
      <c r="AX742">
        <v>0</v>
      </c>
      <c r="AY742">
        <v>0</v>
      </c>
      <c r="AZ742">
        <v>0</v>
      </c>
      <c r="BA742">
        <v>0</v>
      </c>
      <c r="BB742">
        <v>0</v>
      </c>
      <c r="BC742">
        <v>0</v>
      </c>
      <c r="BD742">
        <v>0</v>
      </c>
      <c r="BE742">
        <v>0</v>
      </c>
      <c r="BF742">
        <v>0</v>
      </c>
      <c r="BG742">
        <v>0</v>
      </c>
      <c r="BH742">
        <v>1</v>
      </c>
      <c r="BI742">
        <v>1</v>
      </c>
      <c r="BJ742">
        <v>0.2</v>
      </c>
      <c r="BK742">
        <v>1</v>
      </c>
      <c r="BL742">
        <v>54.66</v>
      </c>
      <c r="BM742">
        <v>8.1999999999999993</v>
      </c>
      <c r="BN742">
        <v>62.86</v>
      </c>
      <c r="BO742">
        <v>62.86</v>
      </c>
      <c r="BQ742" t="s">
        <v>184</v>
      </c>
      <c r="BR742" t="s">
        <v>84</v>
      </c>
      <c r="BS742" s="3">
        <v>45789</v>
      </c>
      <c r="BT742" s="4">
        <v>0.3263888888888889</v>
      </c>
      <c r="BU742" t="s">
        <v>1486</v>
      </c>
      <c r="BV742" t="s">
        <v>86</v>
      </c>
      <c r="BY742">
        <v>1200</v>
      </c>
      <c r="CA742" t="s">
        <v>1450</v>
      </c>
      <c r="CC742" t="s">
        <v>76</v>
      </c>
      <c r="CD742">
        <v>1600</v>
      </c>
      <c r="CE742" t="s">
        <v>88</v>
      </c>
      <c r="CF742" s="3">
        <v>45790</v>
      </c>
      <c r="CI742">
        <v>1</v>
      </c>
      <c r="CJ742">
        <v>1</v>
      </c>
      <c r="CK742">
        <v>22</v>
      </c>
      <c r="CL742" t="s">
        <v>89</v>
      </c>
    </row>
    <row r="743" spans="1:90" x14ac:dyDescent="0.3">
      <c r="A743" t="s">
        <v>72</v>
      </c>
      <c r="B743" t="s">
        <v>73</v>
      </c>
      <c r="C743" t="s">
        <v>74</v>
      </c>
      <c r="E743" t="str">
        <f>"080065280779"</f>
        <v>080065280779</v>
      </c>
      <c r="F743" s="3">
        <v>45786</v>
      </c>
      <c r="G743">
        <v>202602</v>
      </c>
      <c r="H743" t="s">
        <v>75</v>
      </c>
      <c r="I743" t="s">
        <v>76</v>
      </c>
      <c r="J743" t="s">
        <v>77</v>
      </c>
      <c r="K743" t="s">
        <v>78</v>
      </c>
      <c r="L743" t="s">
        <v>90</v>
      </c>
      <c r="M743" t="s">
        <v>91</v>
      </c>
      <c r="N743" t="s">
        <v>385</v>
      </c>
      <c r="O743" t="s">
        <v>82</v>
      </c>
      <c r="P743" t="str">
        <f>"4170037532                    "</f>
        <v xml:space="preserve">4170037532                    </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21.38</v>
      </c>
      <c r="AR743">
        <v>0</v>
      </c>
      <c r="AS743">
        <v>0</v>
      </c>
      <c r="AT743">
        <v>0</v>
      </c>
      <c r="AU743">
        <v>0</v>
      </c>
      <c r="AV743">
        <v>0</v>
      </c>
      <c r="AW743">
        <v>0</v>
      </c>
      <c r="AX743">
        <v>0</v>
      </c>
      <c r="AY743">
        <v>0</v>
      </c>
      <c r="AZ743">
        <v>0</v>
      </c>
      <c r="BA743">
        <v>0</v>
      </c>
      <c r="BB743">
        <v>0</v>
      </c>
      <c r="BC743">
        <v>0</v>
      </c>
      <c r="BD743">
        <v>0</v>
      </c>
      <c r="BE743">
        <v>0</v>
      </c>
      <c r="BF743">
        <v>0</v>
      </c>
      <c r="BG743">
        <v>0</v>
      </c>
      <c r="BH743">
        <v>1</v>
      </c>
      <c r="BI743">
        <v>1</v>
      </c>
      <c r="BJ743">
        <v>0.2</v>
      </c>
      <c r="BK743">
        <v>1</v>
      </c>
      <c r="BL743">
        <v>69.98</v>
      </c>
      <c r="BM743">
        <v>10.5</v>
      </c>
      <c r="BN743">
        <v>80.48</v>
      </c>
      <c r="BO743">
        <v>80.48</v>
      </c>
      <c r="BQ743" t="s">
        <v>386</v>
      </c>
      <c r="BR743" t="s">
        <v>84</v>
      </c>
      <c r="BS743" s="3">
        <v>45789</v>
      </c>
      <c r="BT743" s="4">
        <v>0.39444444444444443</v>
      </c>
      <c r="BU743" t="s">
        <v>387</v>
      </c>
      <c r="BV743" t="s">
        <v>86</v>
      </c>
      <c r="BY743">
        <v>1200</v>
      </c>
      <c r="CA743" t="s">
        <v>95</v>
      </c>
      <c r="CC743" t="s">
        <v>91</v>
      </c>
      <c r="CD743">
        <v>6056</v>
      </c>
      <c r="CE743" t="s">
        <v>88</v>
      </c>
      <c r="CF743" s="3">
        <v>45789</v>
      </c>
      <c r="CI743">
        <v>1</v>
      </c>
      <c r="CJ743">
        <v>1</v>
      </c>
      <c r="CK743">
        <v>21</v>
      </c>
      <c r="CL743" t="s">
        <v>89</v>
      </c>
    </row>
    <row r="744" spans="1:90" x14ac:dyDescent="0.3">
      <c r="A744" t="s">
        <v>72</v>
      </c>
      <c r="B744" t="s">
        <v>73</v>
      </c>
      <c r="C744" t="s">
        <v>74</v>
      </c>
      <c r="E744" t="str">
        <f>"080065280796"</f>
        <v>080065280796</v>
      </c>
      <c r="F744" s="3">
        <v>45786</v>
      </c>
      <c r="G744">
        <v>202602</v>
      </c>
      <c r="H744" t="s">
        <v>75</v>
      </c>
      <c r="I744" t="s">
        <v>76</v>
      </c>
      <c r="J744" t="s">
        <v>77</v>
      </c>
      <c r="K744" t="s">
        <v>78</v>
      </c>
      <c r="L744" t="s">
        <v>374</v>
      </c>
      <c r="M744" t="s">
        <v>375</v>
      </c>
      <c r="N744" t="s">
        <v>376</v>
      </c>
      <c r="O744" t="s">
        <v>82</v>
      </c>
      <c r="P744" t="str">
        <f>"4170037621                    "</f>
        <v xml:space="preserve">4170037621                    </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41.43</v>
      </c>
      <c r="AR744">
        <v>0</v>
      </c>
      <c r="AS744">
        <v>0</v>
      </c>
      <c r="AT744">
        <v>0</v>
      </c>
      <c r="AU744">
        <v>0</v>
      </c>
      <c r="AV744">
        <v>0</v>
      </c>
      <c r="AW744">
        <v>0</v>
      </c>
      <c r="AX744">
        <v>0</v>
      </c>
      <c r="AY744">
        <v>0</v>
      </c>
      <c r="AZ744">
        <v>0</v>
      </c>
      <c r="BA744">
        <v>0</v>
      </c>
      <c r="BB744">
        <v>0</v>
      </c>
      <c r="BC744">
        <v>0</v>
      </c>
      <c r="BD744">
        <v>0</v>
      </c>
      <c r="BE744">
        <v>0</v>
      </c>
      <c r="BF744">
        <v>0</v>
      </c>
      <c r="BG744">
        <v>0</v>
      </c>
      <c r="BH744">
        <v>1</v>
      </c>
      <c r="BI744">
        <v>1</v>
      </c>
      <c r="BJ744">
        <v>0.2</v>
      </c>
      <c r="BK744">
        <v>1</v>
      </c>
      <c r="BL744">
        <v>135.59</v>
      </c>
      <c r="BM744">
        <v>20.34</v>
      </c>
      <c r="BN744">
        <v>155.93</v>
      </c>
      <c r="BO744">
        <v>155.93</v>
      </c>
      <c r="BQ744" t="s">
        <v>377</v>
      </c>
      <c r="BR744" t="s">
        <v>84</v>
      </c>
      <c r="BS744" s="3">
        <v>45789</v>
      </c>
      <c r="BT744" s="4">
        <v>0.3888888888888889</v>
      </c>
      <c r="BU744" t="s">
        <v>378</v>
      </c>
      <c r="BV744" t="s">
        <v>86</v>
      </c>
      <c r="BY744">
        <v>1200</v>
      </c>
      <c r="CA744" t="s">
        <v>379</v>
      </c>
      <c r="CC744" t="s">
        <v>375</v>
      </c>
      <c r="CD744">
        <v>7130</v>
      </c>
      <c r="CE744" t="s">
        <v>88</v>
      </c>
      <c r="CF744" s="3">
        <v>45790</v>
      </c>
      <c r="CI744">
        <v>1</v>
      </c>
      <c r="CJ744">
        <v>1</v>
      </c>
      <c r="CK744">
        <v>23</v>
      </c>
      <c r="CL744" t="s">
        <v>89</v>
      </c>
    </row>
    <row r="745" spans="1:90" x14ac:dyDescent="0.3">
      <c r="A745" t="s">
        <v>72</v>
      </c>
      <c r="B745" t="s">
        <v>73</v>
      </c>
      <c r="C745" t="s">
        <v>74</v>
      </c>
      <c r="E745" t="str">
        <f>"080065280800"</f>
        <v>080065280800</v>
      </c>
      <c r="F745" s="3">
        <v>45786</v>
      </c>
      <c r="G745">
        <v>202602</v>
      </c>
      <c r="H745" t="s">
        <v>75</v>
      </c>
      <c r="I745" t="s">
        <v>76</v>
      </c>
      <c r="J745" t="s">
        <v>77</v>
      </c>
      <c r="K745" t="s">
        <v>78</v>
      </c>
      <c r="L745" t="s">
        <v>75</v>
      </c>
      <c r="M745" t="s">
        <v>76</v>
      </c>
      <c r="N745" t="s">
        <v>390</v>
      </c>
      <c r="O745" t="s">
        <v>82</v>
      </c>
      <c r="P745" t="str">
        <f>"4170037529                    "</f>
        <v xml:space="preserve">4170037529                    </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16.7</v>
      </c>
      <c r="AR745">
        <v>0</v>
      </c>
      <c r="AS745">
        <v>0</v>
      </c>
      <c r="AT745">
        <v>0</v>
      </c>
      <c r="AU745">
        <v>0</v>
      </c>
      <c r="AV745">
        <v>0</v>
      </c>
      <c r="AW745">
        <v>0</v>
      </c>
      <c r="AX745">
        <v>0</v>
      </c>
      <c r="AY745">
        <v>0</v>
      </c>
      <c r="AZ745">
        <v>0</v>
      </c>
      <c r="BA745">
        <v>0</v>
      </c>
      <c r="BB745">
        <v>0</v>
      </c>
      <c r="BC745">
        <v>0</v>
      </c>
      <c r="BD745">
        <v>0</v>
      </c>
      <c r="BE745">
        <v>0</v>
      </c>
      <c r="BF745">
        <v>0</v>
      </c>
      <c r="BG745">
        <v>0</v>
      </c>
      <c r="BH745">
        <v>1</v>
      </c>
      <c r="BI745">
        <v>2</v>
      </c>
      <c r="BJ745">
        <v>2.5</v>
      </c>
      <c r="BK745">
        <v>3</v>
      </c>
      <c r="BL745">
        <v>54.66</v>
      </c>
      <c r="BM745">
        <v>8.1999999999999993</v>
      </c>
      <c r="BN745">
        <v>62.86</v>
      </c>
      <c r="BO745">
        <v>62.86</v>
      </c>
      <c r="BQ745" t="s">
        <v>391</v>
      </c>
      <c r="BR745" t="s">
        <v>84</v>
      </c>
      <c r="BS745" s="3">
        <v>45789</v>
      </c>
      <c r="BT745" s="4">
        <v>0.39652777777777776</v>
      </c>
      <c r="BU745" t="s">
        <v>1449</v>
      </c>
      <c r="BV745" t="s">
        <v>86</v>
      </c>
      <c r="BY745">
        <v>12544</v>
      </c>
      <c r="CA745" t="s">
        <v>1450</v>
      </c>
      <c r="CC745" t="s">
        <v>76</v>
      </c>
      <c r="CD745">
        <v>1600</v>
      </c>
      <c r="CE745" t="s">
        <v>221</v>
      </c>
      <c r="CF745" s="3">
        <v>45790</v>
      </c>
      <c r="CI745">
        <v>1</v>
      </c>
      <c r="CJ745">
        <v>1</v>
      </c>
      <c r="CK745">
        <v>22</v>
      </c>
      <c r="CL745" t="s">
        <v>89</v>
      </c>
    </row>
    <row r="746" spans="1:90" x14ac:dyDescent="0.3">
      <c r="A746" t="s">
        <v>72</v>
      </c>
      <c r="B746" t="s">
        <v>73</v>
      </c>
      <c r="C746" t="s">
        <v>74</v>
      </c>
      <c r="E746" t="str">
        <f>"080065280810"</f>
        <v>080065280810</v>
      </c>
      <c r="F746" s="3">
        <v>45786</v>
      </c>
      <c r="G746">
        <v>202602</v>
      </c>
      <c r="H746" t="s">
        <v>75</v>
      </c>
      <c r="I746" t="s">
        <v>76</v>
      </c>
      <c r="J746" t="s">
        <v>77</v>
      </c>
      <c r="K746" t="s">
        <v>78</v>
      </c>
      <c r="L746" t="s">
        <v>90</v>
      </c>
      <c r="M746" t="s">
        <v>91</v>
      </c>
      <c r="N746" t="s">
        <v>563</v>
      </c>
      <c r="O746" t="s">
        <v>82</v>
      </c>
      <c r="P746" t="str">
        <f>"4170037544                    "</f>
        <v xml:space="preserve">4170037544                    </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21.38</v>
      </c>
      <c r="AR746">
        <v>0</v>
      </c>
      <c r="AS746">
        <v>0</v>
      </c>
      <c r="AT746">
        <v>0</v>
      </c>
      <c r="AU746">
        <v>0</v>
      </c>
      <c r="AV746">
        <v>0</v>
      </c>
      <c r="AW746">
        <v>0</v>
      </c>
      <c r="AX746">
        <v>0</v>
      </c>
      <c r="AY746">
        <v>0</v>
      </c>
      <c r="AZ746">
        <v>0</v>
      </c>
      <c r="BA746">
        <v>0</v>
      </c>
      <c r="BB746">
        <v>0</v>
      </c>
      <c r="BC746">
        <v>0</v>
      </c>
      <c r="BD746">
        <v>0</v>
      </c>
      <c r="BE746">
        <v>0</v>
      </c>
      <c r="BF746">
        <v>0</v>
      </c>
      <c r="BG746">
        <v>0</v>
      </c>
      <c r="BH746">
        <v>1</v>
      </c>
      <c r="BI746">
        <v>1</v>
      </c>
      <c r="BJ746">
        <v>0.2</v>
      </c>
      <c r="BK746">
        <v>1</v>
      </c>
      <c r="BL746">
        <v>69.98</v>
      </c>
      <c r="BM746">
        <v>10.5</v>
      </c>
      <c r="BN746">
        <v>80.48</v>
      </c>
      <c r="BO746">
        <v>80.48</v>
      </c>
      <c r="BQ746" t="s">
        <v>564</v>
      </c>
      <c r="BR746" t="s">
        <v>84</v>
      </c>
      <c r="BS746" s="3">
        <v>45789</v>
      </c>
      <c r="BT746" s="4">
        <v>0.35347222222222224</v>
      </c>
      <c r="BU746" t="s">
        <v>987</v>
      </c>
      <c r="BV746" t="s">
        <v>86</v>
      </c>
      <c r="BY746">
        <v>1200</v>
      </c>
      <c r="CA746" t="s">
        <v>566</v>
      </c>
      <c r="CC746" t="s">
        <v>91</v>
      </c>
      <c r="CD746">
        <v>6001</v>
      </c>
      <c r="CE746" t="s">
        <v>88</v>
      </c>
      <c r="CF746" s="3">
        <v>45789</v>
      </c>
      <c r="CI746">
        <v>1</v>
      </c>
      <c r="CJ746">
        <v>1</v>
      </c>
      <c r="CK746">
        <v>21</v>
      </c>
      <c r="CL746" t="s">
        <v>89</v>
      </c>
    </row>
    <row r="747" spans="1:90" x14ac:dyDescent="0.3">
      <c r="A747" t="s">
        <v>72</v>
      </c>
      <c r="B747" t="s">
        <v>73</v>
      </c>
      <c r="C747" t="s">
        <v>74</v>
      </c>
      <c r="E747" t="str">
        <f>"080065280816"</f>
        <v>080065280816</v>
      </c>
      <c r="F747" s="3">
        <v>45786</v>
      </c>
      <c r="G747">
        <v>202602</v>
      </c>
      <c r="H747" t="s">
        <v>75</v>
      </c>
      <c r="I747" t="s">
        <v>76</v>
      </c>
      <c r="J747" t="s">
        <v>77</v>
      </c>
      <c r="K747" t="s">
        <v>78</v>
      </c>
      <c r="L747" t="s">
        <v>123</v>
      </c>
      <c r="M747" t="s">
        <v>123</v>
      </c>
      <c r="N747" t="s">
        <v>317</v>
      </c>
      <c r="O747" t="s">
        <v>82</v>
      </c>
      <c r="P747" t="str">
        <f>"4170037505                    "</f>
        <v xml:space="preserve">4170037505                    </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41.43</v>
      </c>
      <c r="AR747">
        <v>0</v>
      </c>
      <c r="AS747">
        <v>0</v>
      </c>
      <c r="AT747">
        <v>0</v>
      </c>
      <c r="AU747">
        <v>0</v>
      </c>
      <c r="AV747">
        <v>0</v>
      </c>
      <c r="AW747">
        <v>0</v>
      </c>
      <c r="AX747">
        <v>0</v>
      </c>
      <c r="AY747">
        <v>0</v>
      </c>
      <c r="AZ747">
        <v>0</v>
      </c>
      <c r="BA747">
        <v>0</v>
      </c>
      <c r="BB747">
        <v>0</v>
      </c>
      <c r="BC747">
        <v>0</v>
      </c>
      <c r="BD747">
        <v>0</v>
      </c>
      <c r="BE747">
        <v>0</v>
      </c>
      <c r="BF747">
        <v>0</v>
      </c>
      <c r="BG747">
        <v>0</v>
      </c>
      <c r="BH747">
        <v>1</v>
      </c>
      <c r="BI747">
        <v>2</v>
      </c>
      <c r="BJ747">
        <v>1.1000000000000001</v>
      </c>
      <c r="BK747">
        <v>2</v>
      </c>
      <c r="BL747">
        <v>135.59</v>
      </c>
      <c r="BM747">
        <v>20.34</v>
      </c>
      <c r="BN747">
        <v>155.93</v>
      </c>
      <c r="BO747">
        <v>155.93</v>
      </c>
      <c r="BQ747" t="s">
        <v>318</v>
      </c>
      <c r="BR747" t="s">
        <v>84</v>
      </c>
      <c r="BS747" s="3">
        <v>45789</v>
      </c>
      <c r="BT747" s="4">
        <v>0.52916666666666667</v>
      </c>
      <c r="BU747" t="s">
        <v>319</v>
      </c>
      <c r="BV747" t="s">
        <v>86</v>
      </c>
      <c r="BY747">
        <v>5320</v>
      </c>
      <c r="CA747" t="s">
        <v>128</v>
      </c>
      <c r="CC747" t="s">
        <v>123</v>
      </c>
      <c r="CD747">
        <v>7646</v>
      </c>
      <c r="CE747" t="s">
        <v>1501</v>
      </c>
      <c r="CF747" s="3">
        <v>45790</v>
      </c>
      <c r="CI747">
        <v>1</v>
      </c>
      <c r="CJ747">
        <v>1</v>
      </c>
      <c r="CK747">
        <v>23</v>
      </c>
      <c r="CL747" t="s">
        <v>89</v>
      </c>
    </row>
    <row r="748" spans="1:90" x14ac:dyDescent="0.3">
      <c r="A748" t="s">
        <v>72</v>
      </c>
      <c r="B748" t="s">
        <v>73</v>
      </c>
      <c r="C748" t="s">
        <v>74</v>
      </c>
      <c r="E748" t="str">
        <f>"080065280831"</f>
        <v>080065280831</v>
      </c>
      <c r="F748" s="3">
        <v>45786</v>
      </c>
      <c r="G748">
        <v>202602</v>
      </c>
      <c r="H748" t="s">
        <v>75</v>
      </c>
      <c r="I748" t="s">
        <v>76</v>
      </c>
      <c r="J748" t="s">
        <v>77</v>
      </c>
      <c r="K748" t="s">
        <v>78</v>
      </c>
      <c r="L748" t="s">
        <v>90</v>
      </c>
      <c r="M748" t="s">
        <v>91</v>
      </c>
      <c r="N748" t="s">
        <v>92</v>
      </c>
      <c r="O748" t="s">
        <v>82</v>
      </c>
      <c r="P748" t="str">
        <f>"4170037501                    "</f>
        <v xml:space="preserve">4170037501                    </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21.38</v>
      </c>
      <c r="AR748">
        <v>0</v>
      </c>
      <c r="AS748">
        <v>0</v>
      </c>
      <c r="AT748">
        <v>0</v>
      </c>
      <c r="AU748">
        <v>0</v>
      </c>
      <c r="AV748">
        <v>0</v>
      </c>
      <c r="AW748">
        <v>0</v>
      </c>
      <c r="AX748">
        <v>0</v>
      </c>
      <c r="AY748">
        <v>0</v>
      </c>
      <c r="AZ748">
        <v>0</v>
      </c>
      <c r="BA748">
        <v>0</v>
      </c>
      <c r="BB748">
        <v>0</v>
      </c>
      <c r="BC748">
        <v>0</v>
      </c>
      <c r="BD748">
        <v>0</v>
      </c>
      <c r="BE748">
        <v>0</v>
      </c>
      <c r="BF748">
        <v>0</v>
      </c>
      <c r="BG748">
        <v>0</v>
      </c>
      <c r="BH748">
        <v>1</v>
      </c>
      <c r="BI748">
        <v>1</v>
      </c>
      <c r="BJ748">
        <v>0.2</v>
      </c>
      <c r="BK748">
        <v>1</v>
      </c>
      <c r="BL748">
        <v>69.98</v>
      </c>
      <c r="BM748">
        <v>10.5</v>
      </c>
      <c r="BN748">
        <v>80.48</v>
      </c>
      <c r="BO748">
        <v>80.48</v>
      </c>
      <c r="BQ748" t="s">
        <v>93</v>
      </c>
      <c r="BR748" t="s">
        <v>84</v>
      </c>
      <c r="BS748" s="3">
        <v>45789</v>
      </c>
      <c r="BT748" s="4">
        <v>0.35833333333333334</v>
      </c>
      <c r="BU748" t="s">
        <v>1502</v>
      </c>
      <c r="BV748" t="s">
        <v>86</v>
      </c>
      <c r="BY748">
        <v>1200</v>
      </c>
      <c r="CA748" t="s">
        <v>95</v>
      </c>
      <c r="CC748" t="s">
        <v>91</v>
      </c>
      <c r="CD748">
        <v>6001</v>
      </c>
      <c r="CE748" t="s">
        <v>88</v>
      </c>
      <c r="CF748" s="3">
        <v>45789</v>
      </c>
      <c r="CI748">
        <v>1</v>
      </c>
      <c r="CJ748">
        <v>1</v>
      </c>
      <c r="CK748">
        <v>21</v>
      </c>
      <c r="CL748" t="s">
        <v>89</v>
      </c>
    </row>
    <row r="749" spans="1:90" x14ac:dyDescent="0.3">
      <c r="A749" t="s">
        <v>72</v>
      </c>
      <c r="B749" t="s">
        <v>73</v>
      </c>
      <c r="C749" t="s">
        <v>74</v>
      </c>
      <c r="E749" t="str">
        <f>"080065280860"</f>
        <v>080065280860</v>
      </c>
      <c r="F749" s="3">
        <v>45786</v>
      </c>
      <c r="G749">
        <v>202602</v>
      </c>
      <c r="H749" t="s">
        <v>75</v>
      </c>
      <c r="I749" t="s">
        <v>76</v>
      </c>
      <c r="J749" t="s">
        <v>77</v>
      </c>
      <c r="K749" t="s">
        <v>78</v>
      </c>
      <c r="L749" t="s">
        <v>103</v>
      </c>
      <c r="M749" t="s">
        <v>104</v>
      </c>
      <c r="N749" t="s">
        <v>105</v>
      </c>
      <c r="O749" t="s">
        <v>82</v>
      </c>
      <c r="P749" t="str">
        <f>"4170037506                    "</f>
        <v xml:space="preserve">4170037506                    </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21.38</v>
      </c>
      <c r="AR749">
        <v>0</v>
      </c>
      <c r="AS749">
        <v>0</v>
      </c>
      <c r="AT749">
        <v>0</v>
      </c>
      <c r="AU749">
        <v>0</v>
      </c>
      <c r="AV749">
        <v>0</v>
      </c>
      <c r="AW749">
        <v>0</v>
      </c>
      <c r="AX749">
        <v>0</v>
      </c>
      <c r="AY749">
        <v>0</v>
      </c>
      <c r="AZ749">
        <v>0</v>
      </c>
      <c r="BA749">
        <v>0</v>
      </c>
      <c r="BB749">
        <v>0</v>
      </c>
      <c r="BC749">
        <v>0</v>
      </c>
      <c r="BD749">
        <v>0</v>
      </c>
      <c r="BE749">
        <v>0</v>
      </c>
      <c r="BF749">
        <v>0</v>
      </c>
      <c r="BG749">
        <v>0</v>
      </c>
      <c r="BH749">
        <v>1</v>
      </c>
      <c r="BI749">
        <v>1</v>
      </c>
      <c r="BJ749">
        <v>0.2</v>
      </c>
      <c r="BK749">
        <v>1</v>
      </c>
      <c r="BL749">
        <v>69.98</v>
      </c>
      <c r="BM749">
        <v>10.5</v>
      </c>
      <c r="BN749">
        <v>80.48</v>
      </c>
      <c r="BO749">
        <v>80.48</v>
      </c>
      <c r="BQ749" t="s">
        <v>106</v>
      </c>
      <c r="BR749" t="s">
        <v>84</v>
      </c>
      <c r="BS749" s="3">
        <v>45789</v>
      </c>
      <c r="BT749" s="4">
        <v>0.40208333333333335</v>
      </c>
      <c r="BU749" t="s">
        <v>107</v>
      </c>
      <c r="BV749" t="s">
        <v>86</v>
      </c>
      <c r="BY749">
        <v>1200</v>
      </c>
      <c r="CA749" t="s">
        <v>108</v>
      </c>
      <c r="CC749" t="s">
        <v>104</v>
      </c>
      <c r="CD749">
        <v>3201</v>
      </c>
      <c r="CE749" t="s">
        <v>88</v>
      </c>
      <c r="CF749" s="3">
        <v>45790</v>
      </c>
      <c r="CI749">
        <v>1</v>
      </c>
      <c r="CJ749">
        <v>1</v>
      </c>
      <c r="CK749">
        <v>21</v>
      </c>
      <c r="CL749" t="s">
        <v>89</v>
      </c>
    </row>
    <row r="750" spans="1:90" x14ac:dyDescent="0.3">
      <c r="A750" t="s">
        <v>72</v>
      </c>
      <c r="B750" t="s">
        <v>73</v>
      </c>
      <c r="C750" t="s">
        <v>74</v>
      </c>
      <c r="E750" t="str">
        <f>"080065280871"</f>
        <v>080065280871</v>
      </c>
      <c r="F750" s="3">
        <v>45786</v>
      </c>
      <c r="G750">
        <v>202602</v>
      </c>
      <c r="H750" t="s">
        <v>75</v>
      </c>
      <c r="I750" t="s">
        <v>76</v>
      </c>
      <c r="J750" t="s">
        <v>77</v>
      </c>
      <c r="K750" t="s">
        <v>78</v>
      </c>
      <c r="L750" t="s">
        <v>136</v>
      </c>
      <c r="M750" t="s">
        <v>137</v>
      </c>
      <c r="N750" t="s">
        <v>1307</v>
      </c>
      <c r="O750" t="s">
        <v>82</v>
      </c>
      <c r="P750" t="str">
        <f>"4170037657                    "</f>
        <v xml:space="preserve">4170037657                    </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21.38</v>
      </c>
      <c r="AR750">
        <v>0</v>
      </c>
      <c r="AS750">
        <v>0</v>
      </c>
      <c r="AT750">
        <v>0</v>
      </c>
      <c r="AU750">
        <v>0</v>
      </c>
      <c r="AV750">
        <v>0</v>
      </c>
      <c r="AW750">
        <v>0</v>
      </c>
      <c r="AX750">
        <v>0</v>
      </c>
      <c r="AY750">
        <v>0</v>
      </c>
      <c r="AZ750">
        <v>0</v>
      </c>
      <c r="BA750">
        <v>0</v>
      </c>
      <c r="BB750">
        <v>0</v>
      </c>
      <c r="BC750">
        <v>0</v>
      </c>
      <c r="BD750">
        <v>0</v>
      </c>
      <c r="BE750">
        <v>0</v>
      </c>
      <c r="BF750">
        <v>0</v>
      </c>
      <c r="BG750">
        <v>0</v>
      </c>
      <c r="BH750">
        <v>1</v>
      </c>
      <c r="BI750">
        <v>1</v>
      </c>
      <c r="BJ750">
        <v>1.1000000000000001</v>
      </c>
      <c r="BK750">
        <v>1.5</v>
      </c>
      <c r="BL750">
        <v>69.98</v>
      </c>
      <c r="BM750">
        <v>10.5</v>
      </c>
      <c r="BN750">
        <v>80.48</v>
      </c>
      <c r="BO750">
        <v>80.48</v>
      </c>
      <c r="BQ750" t="s">
        <v>1308</v>
      </c>
      <c r="BR750" t="s">
        <v>84</v>
      </c>
      <c r="BS750" s="3">
        <v>45789</v>
      </c>
      <c r="BT750" s="4">
        <v>0.40833333333333333</v>
      </c>
      <c r="BU750" t="s">
        <v>457</v>
      </c>
      <c r="BV750" t="s">
        <v>86</v>
      </c>
      <c r="BY750">
        <v>5320</v>
      </c>
      <c r="CA750" t="s">
        <v>141</v>
      </c>
      <c r="CC750" t="s">
        <v>137</v>
      </c>
      <c r="CD750" s="5" t="s">
        <v>142</v>
      </c>
      <c r="CE750" t="s">
        <v>116</v>
      </c>
      <c r="CF750" s="3">
        <v>45789</v>
      </c>
      <c r="CI750">
        <v>1</v>
      </c>
      <c r="CJ750">
        <v>1</v>
      </c>
      <c r="CK750">
        <v>21</v>
      </c>
      <c r="CL750" t="s">
        <v>89</v>
      </c>
    </row>
    <row r="751" spans="1:90" x14ac:dyDescent="0.3">
      <c r="A751" t="s">
        <v>72</v>
      </c>
      <c r="B751" t="s">
        <v>73</v>
      </c>
      <c r="C751" t="s">
        <v>74</v>
      </c>
      <c r="E751" t="str">
        <f>"080065280889"</f>
        <v>080065280889</v>
      </c>
      <c r="F751" s="3">
        <v>45786</v>
      </c>
      <c r="G751">
        <v>202602</v>
      </c>
      <c r="H751" t="s">
        <v>75</v>
      </c>
      <c r="I751" t="s">
        <v>76</v>
      </c>
      <c r="J751" t="s">
        <v>77</v>
      </c>
      <c r="K751" t="s">
        <v>78</v>
      </c>
      <c r="L751" t="s">
        <v>1503</v>
      </c>
      <c r="M751" t="s">
        <v>1504</v>
      </c>
      <c r="N751" t="s">
        <v>1505</v>
      </c>
      <c r="O751" t="s">
        <v>82</v>
      </c>
      <c r="P751" t="str">
        <f>"4170037611                    "</f>
        <v xml:space="preserve">4170037611                    </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41.43</v>
      </c>
      <c r="AR751">
        <v>0</v>
      </c>
      <c r="AS751">
        <v>0</v>
      </c>
      <c r="AT751">
        <v>0</v>
      </c>
      <c r="AU751">
        <v>0</v>
      </c>
      <c r="AV751">
        <v>0</v>
      </c>
      <c r="AW751">
        <v>0</v>
      </c>
      <c r="AX751">
        <v>0</v>
      </c>
      <c r="AY751">
        <v>0</v>
      </c>
      <c r="AZ751">
        <v>0</v>
      </c>
      <c r="BA751">
        <v>0</v>
      </c>
      <c r="BB751">
        <v>0</v>
      </c>
      <c r="BC751">
        <v>0</v>
      </c>
      <c r="BD751">
        <v>0</v>
      </c>
      <c r="BE751">
        <v>0</v>
      </c>
      <c r="BF751">
        <v>0</v>
      </c>
      <c r="BG751">
        <v>0</v>
      </c>
      <c r="BH751">
        <v>1</v>
      </c>
      <c r="BI751">
        <v>1</v>
      </c>
      <c r="BJ751">
        <v>0.2</v>
      </c>
      <c r="BK751">
        <v>1</v>
      </c>
      <c r="BL751">
        <v>135.59</v>
      </c>
      <c r="BM751">
        <v>20.34</v>
      </c>
      <c r="BN751">
        <v>155.93</v>
      </c>
      <c r="BO751">
        <v>155.93</v>
      </c>
      <c r="BQ751" t="s">
        <v>1506</v>
      </c>
      <c r="BR751" t="s">
        <v>84</v>
      </c>
      <c r="BS751" s="3">
        <v>45789</v>
      </c>
      <c r="BT751" s="4">
        <v>0.61944444444444446</v>
      </c>
      <c r="BU751" t="s">
        <v>1507</v>
      </c>
      <c r="BV751" t="s">
        <v>89</v>
      </c>
      <c r="BW751" t="s">
        <v>296</v>
      </c>
      <c r="BX751" t="s">
        <v>450</v>
      </c>
      <c r="BY751">
        <v>1200</v>
      </c>
      <c r="CA751" t="s">
        <v>160</v>
      </c>
      <c r="CC751" t="s">
        <v>1504</v>
      </c>
      <c r="CD751">
        <v>4339</v>
      </c>
      <c r="CE751" t="s">
        <v>88</v>
      </c>
      <c r="CF751" s="3">
        <v>45790</v>
      </c>
      <c r="CI751">
        <v>1</v>
      </c>
      <c r="CJ751">
        <v>1</v>
      </c>
      <c r="CK751">
        <v>23</v>
      </c>
      <c r="CL751" t="s">
        <v>89</v>
      </c>
    </row>
    <row r="752" spans="1:90" x14ac:dyDescent="0.3">
      <c r="A752" t="s">
        <v>72</v>
      </c>
      <c r="B752" t="s">
        <v>73</v>
      </c>
      <c r="C752" t="s">
        <v>74</v>
      </c>
      <c r="E752" t="str">
        <f>"080065280912"</f>
        <v>080065280912</v>
      </c>
      <c r="F752" s="3">
        <v>45786</v>
      </c>
      <c r="G752">
        <v>202602</v>
      </c>
      <c r="H752" t="s">
        <v>75</v>
      </c>
      <c r="I752" t="s">
        <v>76</v>
      </c>
      <c r="J752" t="s">
        <v>77</v>
      </c>
      <c r="K752" t="s">
        <v>78</v>
      </c>
      <c r="L752" t="s">
        <v>90</v>
      </c>
      <c r="M752" t="s">
        <v>91</v>
      </c>
      <c r="N752" t="s">
        <v>385</v>
      </c>
      <c r="O752" t="s">
        <v>82</v>
      </c>
      <c r="P752" t="str">
        <f>"4170037531                    "</f>
        <v xml:space="preserve">4170037531                    </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21.38</v>
      </c>
      <c r="AR752">
        <v>0</v>
      </c>
      <c r="AS752">
        <v>0</v>
      </c>
      <c r="AT752">
        <v>0</v>
      </c>
      <c r="AU752">
        <v>0</v>
      </c>
      <c r="AV752">
        <v>0</v>
      </c>
      <c r="AW752">
        <v>0</v>
      </c>
      <c r="AX752">
        <v>0</v>
      </c>
      <c r="AY752">
        <v>0</v>
      </c>
      <c r="AZ752">
        <v>0</v>
      </c>
      <c r="BA752">
        <v>0</v>
      </c>
      <c r="BB752">
        <v>0</v>
      </c>
      <c r="BC752">
        <v>0</v>
      </c>
      <c r="BD752">
        <v>0</v>
      </c>
      <c r="BE752">
        <v>0</v>
      </c>
      <c r="BF752">
        <v>0</v>
      </c>
      <c r="BG752">
        <v>0</v>
      </c>
      <c r="BH752">
        <v>1</v>
      </c>
      <c r="BI752">
        <v>1</v>
      </c>
      <c r="BJ752">
        <v>0.2</v>
      </c>
      <c r="BK752">
        <v>1</v>
      </c>
      <c r="BL752">
        <v>69.98</v>
      </c>
      <c r="BM752">
        <v>10.5</v>
      </c>
      <c r="BN752">
        <v>80.48</v>
      </c>
      <c r="BO752">
        <v>80.48</v>
      </c>
      <c r="BQ752" t="s">
        <v>386</v>
      </c>
      <c r="BR752" t="s">
        <v>84</v>
      </c>
      <c r="BS752" s="3">
        <v>45789</v>
      </c>
      <c r="BT752" s="4">
        <v>0.39444444444444443</v>
      </c>
      <c r="BU752" t="s">
        <v>387</v>
      </c>
      <c r="BV752" t="s">
        <v>86</v>
      </c>
      <c r="BY752">
        <v>1200</v>
      </c>
      <c r="CA752" t="s">
        <v>95</v>
      </c>
      <c r="CC752" t="s">
        <v>91</v>
      </c>
      <c r="CD752">
        <v>6056</v>
      </c>
      <c r="CE752" t="s">
        <v>88</v>
      </c>
      <c r="CF752" s="3">
        <v>45789</v>
      </c>
      <c r="CI752">
        <v>1</v>
      </c>
      <c r="CJ752">
        <v>1</v>
      </c>
      <c r="CK752">
        <v>21</v>
      </c>
      <c r="CL752" t="s">
        <v>89</v>
      </c>
    </row>
    <row r="753" spans="1:90" x14ac:dyDescent="0.3">
      <c r="A753" t="s">
        <v>72</v>
      </c>
      <c r="B753" t="s">
        <v>73</v>
      </c>
      <c r="C753" t="s">
        <v>74</v>
      </c>
      <c r="E753" t="str">
        <f>"080065280946"</f>
        <v>080065280946</v>
      </c>
      <c r="F753" s="3">
        <v>45786</v>
      </c>
      <c r="G753">
        <v>202602</v>
      </c>
      <c r="H753" t="s">
        <v>75</v>
      </c>
      <c r="I753" t="s">
        <v>76</v>
      </c>
      <c r="J753" t="s">
        <v>77</v>
      </c>
      <c r="K753" t="s">
        <v>78</v>
      </c>
      <c r="L753" t="s">
        <v>79</v>
      </c>
      <c r="M753" t="s">
        <v>80</v>
      </c>
      <c r="N753" t="s">
        <v>790</v>
      </c>
      <c r="O753" t="s">
        <v>82</v>
      </c>
      <c r="P753" t="str">
        <f>"4170037520                    "</f>
        <v xml:space="preserve">4170037520                    </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21.38</v>
      </c>
      <c r="AR753">
        <v>0</v>
      </c>
      <c r="AS753">
        <v>0</v>
      </c>
      <c r="AT753">
        <v>0</v>
      </c>
      <c r="AU753">
        <v>0</v>
      </c>
      <c r="AV753">
        <v>0</v>
      </c>
      <c r="AW753">
        <v>0</v>
      </c>
      <c r="AX753">
        <v>0</v>
      </c>
      <c r="AY753">
        <v>0</v>
      </c>
      <c r="AZ753">
        <v>0</v>
      </c>
      <c r="BA753">
        <v>0</v>
      </c>
      <c r="BB753">
        <v>0</v>
      </c>
      <c r="BC753">
        <v>0</v>
      </c>
      <c r="BD753">
        <v>0</v>
      </c>
      <c r="BE753">
        <v>0</v>
      </c>
      <c r="BF753">
        <v>0</v>
      </c>
      <c r="BG753">
        <v>0</v>
      </c>
      <c r="BH753">
        <v>1</v>
      </c>
      <c r="BI753">
        <v>1</v>
      </c>
      <c r="BJ753">
        <v>0.2</v>
      </c>
      <c r="BK753">
        <v>1</v>
      </c>
      <c r="BL753">
        <v>69.98</v>
      </c>
      <c r="BM753">
        <v>10.5</v>
      </c>
      <c r="BN753">
        <v>80.48</v>
      </c>
      <c r="BO753">
        <v>80.48</v>
      </c>
      <c r="BQ753" t="s">
        <v>791</v>
      </c>
      <c r="BR753" t="s">
        <v>84</v>
      </c>
      <c r="BS753" s="3">
        <v>45789</v>
      </c>
      <c r="BT753" s="4">
        <v>0.46319444444444446</v>
      </c>
      <c r="BU753" t="s">
        <v>792</v>
      </c>
      <c r="BV753" t="s">
        <v>89</v>
      </c>
      <c r="BW753" t="s">
        <v>434</v>
      </c>
      <c r="BX753" t="s">
        <v>435</v>
      </c>
      <c r="BY753">
        <v>1200</v>
      </c>
      <c r="CA753" t="s">
        <v>87</v>
      </c>
      <c r="CC753" t="s">
        <v>80</v>
      </c>
      <c r="CD753">
        <v>3600</v>
      </c>
      <c r="CE753" t="s">
        <v>88</v>
      </c>
      <c r="CF753" s="3">
        <v>45790</v>
      </c>
      <c r="CI753">
        <v>1</v>
      </c>
      <c r="CJ753">
        <v>1</v>
      </c>
      <c r="CK753">
        <v>21</v>
      </c>
      <c r="CL753" t="s">
        <v>89</v>
      </c>
    </row>
    <row r="754" spans="1:90" x14ac:dyDescent="0.3">
      <c r="A754" t="s">
        <v>72</v>
      </c>
      <c r="B754" t="s">
        <v>73</v>
      </c>
      <c r="C754" t="s">
        <v>74</v>
      </c>
      <c r="E754" t="str">
        <f>"080065280972"</f>
        <v>080065280972</v>
      </c>
      <c r="F754" s="3">
        <v>45786</v>
      </c>
      <c r="G754">
        <v>202602</v>
      </c>
      <c r="H754" t="s">
        <v>75</v>
      </c>
      <c r="I754" t="s">
        <v>76</v>
      </c>
      <c r="J754" t="s">
        <v>77</v>
      </c>
      <c r="K754" t="s">
        <v>78</v>
      </c>
      <c r="L754" t="s">
        <v>143</v>
      </c>
      <c r="M754" t="s">
        <v>144</v>
      </c>
      <c r="N754" t="s">
        <v>547</v>
      </c>
      <c r="O754" t="s">
        <v>82</v>
      </c>
      <c r="P754" t="str">
        <f>"4170037541                    "</f>
        <v xml:space="preserve">4170037541                    </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16.7</v>
      </c>
      <c r="AR754">
        <v>0</v>
      </c>
      <c r="AS754">
        <v>0</v>
      </c>
      <c r="AT754">
        <v>0</v>
      </c>
      <c r="AU754">
        <v>0</v>
      </c>
      <c r="AV754">
        <v>0</v>
      </c>
      <c r="AW754">
        <v>0</v>
      </c>
      <c r="AX754">
        <v>0</v>
      </c>
      <c r="AY754">
        <v>0</v>
      </c>
      <c r="AZ754">
        <v>0</v>
      </c>
      <c r="BA754">
        <v>0</v>
      </c>
      <c r="BB754">
        <v>0</v>
      </c>
      <c r="BC754">
        <v>0</v>
      </c>
      <c r="BD754">
        <v>0</v>
      </c>
      <c r="BE754">
        <v>0</v>
      </c>
      <c r="BF754">
        <v>0</v>
      </c>
      <c r="BG754">
        <v>0</v>
      </c>
      <c r="BH754">
        <v>1</v>
      </c>
      <c r="BI754">
        <v>1</v>
      </c>
      <c r="BJ754">
        <v>0.2</v>
      </c>
      <c r="BK754">
        <v>1</v>
      </c>
      <c r="BL754">
        <v>54.66</v>
      </c>
      <c r="BM754">
        <v>8.1999999999999993</v>
      </c>
      <c r="BN754">
        <v>62.86</v>
      </c>
      <c r="BO754">
        <v>62.86</v>
      </c>
      <c r="BQ754" t="s">
        <v>548</v>
      </c>
      <c r="BR754" t="s">
        <v>84</v>
      </c>
      <c r="BS754" s="3">
        <v>45789</v>
      </c>
      <c r="BT754" s="4">
        <v>0.36666666666666664</v>
      </c>
      <c r="BU754" t="s">
        <v>1508</v>
      </c>
      <c r="BV754" t="s">
        <v>86</v>
      </c>
      <c r="BY754">
        <v>1200</v>
      </c>
      <c r="CA754" t="s">
        <v>825</v>
      </c>
      <c r="CC754" t="s">
        <v>144</v>
      </c>
      <c r="CD754">
        <v>1401</v>
      </c>
      <c r="CE754" t="s">
        <v>88</v>
      </c>
      <c r="CF754" s="3">
        <v>45789</v>
      </c>
      <c r="CI754">
        <v>1</v>
      </c>
      <c r="CJ754">
        <v>1</v>
      </c>
      <c r="CK754">
        <v>22</v>
      </c>
      <c r="CL754" t="s">
        <v>89</v>
      </c>
    </row>
    <row r="755" spans="1:90" x14ac:dyDescent="0.3">
      <c r="A755" t="s">
        <v>72</v>
      </c>
      <c r="B755" t="s">
        <v>73</v>
      </c>
      <c r="C755" t="s">
        <v>74</v>
      </c>
      <c r="E755" t="str">
        <f>"080065281000"</f>
        <v>080065281000</v>
      </c>
      <c r="F755" s="3">
        <v>45786</v>
      </c>
      <c r="G755">
        <v>202602</v>
      </c>
      <c r="H755" t="s">
        <v>75</v>
      </c>
      <c r="I755" t="s">
        <v>76</v>
      </c>
      <c r="J755" t="s">
        <v>77</v>
      </c>
      <c r="K755" t="s">
        <v>78</v>
      </c>
      <c r="L755" t="s">
        <v>463</v>
      </c>
      <c r="M755" t="s">
        <v>464</v>
      </c>
      <c r="N755" t="s">
        <v>585</v>
      </c>
      <c r="O755" t="s">
        <v>82</v>
      </c>
      <c r="P755" t="str">
        <f>"4170037634                    "</f>
        <v xml:space="preserve">4170037634                    </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21.38</v>
      </c>
      <c r="AR755">
        <v>0</v>
      </c>
      <c r="AS755">
        <v>0</v>
      </c>
      <c r="AT755">
        <v>0</v>
      </c>
      <c r="AU755">
        <v>0</v>
      </c>
      <c r="AV755">
        <v>0</v>
      </c>
      <c r="AW755">
        <v>0</v>
      </c>
      <c r="AX755">
        <v>0</v>
      </c>
      <c r="AY755">
        <v>0</v>
      </c>
      <c r="AZ755">
        <v>0</v>
      </c>
      <c r="BA755">
        <v>0</v>
      </c>
      <c r="BB755">
        <v>0</v>
      </c>
      <c r="BC755">
        <v>0</v>
      </c>
      <c r="BD755">
        <v>0</v>
      </c>
      <c r="BE755">
        <v>0</v>
      </c>
      <c r="BF755">
        <v>0</v>
      </c>
      <c r="BG755">
        <v>0</v>
      </c>
      <c r="BH755">
        <v>1</v>
      </c>
      <c r="BI755">
        <v>1</v>
      </c>
      <c r="BJ755">
        <v>0.2</v>
      </c>
      <c r="BK755">
        <v>1</v>
      </c>
      <c r="BL755">
        <v>69.98</v>
      </c>
      <c r="BM755">
        <v>10.5</v>
      </c>
      <c r="BN755">
        <v>80.48</v>
      </c>
      <c r="BO755">
        <v>80.48</v>
      </c>
      <c r="BQ755" t="s">
        <v>586</v>
      </c>
      <c r="BR755" t="s">
        <v>84</v>
      </c>
      <c r="BS755" s="3">
        <v>45789</v>
      </c>
      <c r="BT755" s="4">
        <v>0.4375</v>
      </c>
      <c r="BU755" t="s">
        <v>1444</v>
      </c>
      <c r="BV755" t="s">
        <v>86</v>
      </c>
      <c r="BY755">
        <v>1200</v>
      </c>
      <c r="CA755" t="s">
        <v>1509</v>
      </c>
      <c r="CC755" t="s">
        <v>464</v>
      </c>
      <c r="CD755">
        <v>5200</v>
      </c>
      <c r="CE755" t="s">
        <v>88</v>
      </c>
      <c r="CF755" s="3">
        <v>45790</v>
      </c>
      <c r="CI755">
        <v>1</v>
      </c>
      <c r="CJ755">
        <v>1</v>
      </c>
      <c r="CK755">
        <v>21</v>
      </c>
      <c r="CL755" t="s">
        <v>89</v>
      </c>
    </row>
    <row r="756" spans="1:90" x14ac:dyDescent="0.3">
      <c r="A756" t="s">
        <v>72</v>
      </c>
      <c r="B756" t="s">
        <v>73</v>
      </c>
      <c r="C756" t="s">
        <v>74</v>
      </c>
      <c r="E756" t="str">
        <f>"080065281005"</f>
        <v>080065281005</v>
      </c>
      <c r="F756" s="3">
        <v>45786</v>
      </c>
      <c r="G756">
        <v>202602</v>
      </c>
      <c r="H756" t="s">
        <v>75</v>
      </c>
      <c r="I756" t="s">
        <v>76</v>
      </c>
      <c r="J756" t="s">
        <v>77</v>
      </c>
      <c r="K756" t="s">
        <v>78</v>
      </c>
      <c r="L756" t="s">
        <v>75</v>
      </c>
      <c r="M756" t="s">
        <v>76</v>
      </c>
      <c r="N756" t="s">
        <v>1510</v>
      </c>
      <c r="O756" t="s">
        <v>82</v>
      </c>
      <c r="P756" t="str">
        <f>"4170037624                    "</f>
        <v xml:space="preserve">4170037624                    </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16.7</v>
      </c>
      <c r="AR756">
        <v>0</v>
      </c>
      <c r="AS756">
        <v>0</v>
      </c>
      <c r="AT756">
        <v>0</v>
      </c>
      <c r="AU756">
        <v>0</v>
      </c>
      <c r="AV756">
        <v>0</v>
      </c>
      <c r="AW756">
        <v>0</v>
      </c>
      <c r="AX756">
        <v>0</v>
      </c>
      <c r="AY756">
        <v>0</v>
      </c>
      <c r="AZ756">
        <v>0</v>
      </c>
      <c r="BA756">
        <v>0</v>
      </c>
      <c r="BB756">
        <v>0</v>
      </c>
      <c r="BC756">
        <v>0</v>
      </c>
      <c r="BD756">
        <v>0</v>
      </c>
      <c r="BE756">
        <v>0</v>
      </c>
      <c r="BF756">
        <v>0</v>
      </c>
      <c r="BG756">
        <v>0</v>
      </c>
      <c r="BH756">
        <v>1</v>
      </c>
      <c r="BI756">
        <v>3</v>
      </c>
      <c r="BJ756">
        <v>3.4</v>
      </c>
      <c r="BK756">
        <v>4</v>
      </c>
      <c r="BL756">
        <v>54.66</v>
      </c>
      <c r="BM756">
        <v>8.1999999999999993</v>
      </c>
      <c r="BN756">
        <v>62.86</v>
      </c>
      <c r="BO756">
        <v>62.86</v>
      </c>
      <c r="BQ756" t="s">
        <v>1511</v>
      </c>
      <c r="BR756" t="s">
        <v>84</v>
      </c>
      <c r="BS756" s="3">
        <v>45789</v>
      </c>
      <c r="BT756" s="4">
        <v>0.42708333333333331</v>
      </c>
      <c r="BU756" t="s">
        <v>190</v>
      </c>
      <c r="BV756" t="s">
        <v>86</v>
      </c>
      <c r="BY756">
        <v>16965</v>
      </c>
      <c r="CA756" t="s">
        <v>246</v>
      </c>
      <c r="CC756" t="s">
        <v>76</v>
      </c>
      <c r="CD756">
        <v>1685</v>
      </c>
      <c r="CE756" t="s">
        <v>96</v>
      </c>
      <c r="CF756" s="3">
        <v>45790</v>
      </c>
      <c r="CI756">
        <v>1</v>
      </c>
      <c r="CJ756">
        <v>1</v>
      </c>
      <c r="CK756">
        <v>22</v>
      </c>
      <c r="CL756" t="s">
        <v>89</v>
      </c>
    </row>
    <row r="757" spans="1:90" x14ac:dyDescent="0.3">
      <c r="A757" t="s">
        <v>72</v>
      </c>
      <c r="B757" t="s">
        <v>73</v>
      </c>
      <c r="C757" t="s">
        <v>74</v>
      </c>
      <c r="E757" t="str">
        <f>"080065281034"</f>
        <v>080065281034</v>
      </c>
      <c r="F757" s="3">
        <v>45786</v>
      </c>
      <c r="G757">
        <v>202602</v>
      </c>
      <c r="H757" t="s">
        <v>75</v>
      </c>
      <c r="I757" t="s">
        <v>76</v>
      </c>
      <c r="J757" t="s">
        <v>77</v>
      </c>
      <c r="K757" t="s">
        <v>78</v>
      </c>
      <c r="L757" t="s">
        <v>672</v>
      </c>
      <c r="M757" t="s">
        <v>673</v>
      </c>
      <c r="N757" t="s">
        <v>674</v>
      </c>
      <c r="O757" t="s">
        <v>82</v>
      </c>
      <c r="P757" t="str">
        <f>"4170037546                    "</f>
        <v xml:space="preserve">4170037546                    </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41.43</v>
      </c>
      <c r="AR757">
        <v>0</v>
      </c>
      <c r="AS757">
        <v>0</v>
      </c>
      <c r="AT757">
        <v>0</v>
      </c>
      <c r="AU757">
        <v>0</v>
      </c>
      <c r="AV757">
        <v>0</v>
      </c>
      <c r="AW757">
        <v>0</v>
      </c>
      <c r="AX757">
        <v>0</v>
      </c>
      <c r="AY757">
        <v>0</v>
      </c>
      <c r="AZ757">
        <v>0</v>
      </c>
      <c r="BA757">
        <v>0</v>
      </c>
      <c r="BB757">
        <v>0</v>
      </c>
      <c r="BC757">
        <v>0</v>
      </c>
      <c r="BD757">
        <v>0</v>
      </c>
      <c r="BE757">
        <v>0</v>
      </c>
      <c r="BF757">
        <v>0</v>
      </c>
      <c r="BG757">
        <v>0</v>
      </c>
      <c r="BH757">
        <v>1</v>
      </c>
      <c r="BI757">
        <v>1</v>
      </c>
      <c r="BJ757">
        <v>0.2</v>
      </c>
      <c r="BK757">
        <v>1</v>
      </c>
      <c r="BL757">
        <v>135.59</v>
      </c>
      <c r="BM757">
        <v>20.34</v>
      </c>
      <c r="BN757">
        <v>155.93</v>
      </c>
      <c r="BO757">
        <v>155.93</v>
      </c>
      <c r="BQ757" t="s">
        <v>675</v>
      </c>
      <c r="BR757" t="s">
        <v>84</v>
      </c>
      <c r="BS757" s="3">
        <v>45789</v>
      </c>
      <c r="BT757" s="4">
        <v>0.43472222222222223</v>
      </c>
      <c r="BU757" t="s">
        <v>1512</v>
      </c>
      <c r="BV757" t="s">
        <v>86</v>
      </c>
      <c r="BY757">
        <v>1200</v>
      </c>
      <c r="CA757" t="s">
        <v>677</v>
      </c>
      <c r="CC757" t="s">
        <v>673</v>
      </c>
      <c r="CD757">
        <v>2531</v>
      </c>
      <c r="CE757" t="s">
        <v>88</v>
      </c>
      <c r="CF757" s="3">
        <v>45790</v>
      </c>
      <c r="CI757">
        <v>1</v>
      </c>
      <c r="CJ757">
        <v>1</v>
      </c>
      <c r="CK757">
        <v>23</v>
      </c>
      <c r="CL757" t="s">
        <v>89</v>
      </c>
    </row>
    <row r="758" spans="1:90" x14ac:dyDescent="0.3">
      <c r="A758" t="s">
        <v>72</v>
      </c>
      <c r="B758" t="s">
        <v>73</v>
      </c>
      <c r="C758" t="s">
        <v>74</v>
      </c>
      <c r="E758" t="str">
        <f>"080065281040"</f>
        <v>080065281040</v>
      </c>
      <c r="F758" s="3">
        <v>45786</v>
      </c>
      <c r="G758">
        <v>202602</v>
      </c>
      <c r="H758" t="s">
        <v>75</v>
      </c>
      <c r="I758" t="s">
        <v>76</v>
      </c>
      <c r="J758" t="s">
        <v>77</v>
      </c>
      <c r="K758" t="s">
        <v>78</v>
      </c>
      <c r="L758" t="s">
        <v>350</v>
      </c>
      <c r="M758" t="s">
        <v>351</v>
      </c>
      <c r="N758" t="s">
        <v>459</v>
      </c>
      <c r="O758" t="s">
        <v>82</v>
      </c>
      <c r="P758" t="str">
        <f>"4170037628                    "</f>
        <v xml:space="preserve">4170037628                    </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21.38</v>
      </c>
      <c r="AR758">
        <v>0</v>
      </c>
      <c r="AS758">
        <v>0</v>
      </c>
      <c r="AT758">
        <v>0</v>
      </c>
      <c r="AU758">
        <v>0</v>
      </c>
      <c r="AV758">
        <v>0</v>
      </c>
      <c r="AW758">
        <v>0</v>
      </c>
      <c r="AX758">
        <v>0</v>
      </c>
      <c r="AY758">
        <v>0</v>
      </c>
      <c r="AZ758">
        <v>0</v>
      </c>
      <c r="BA758">
        <v>0</v>
      </c>
      <c r="BB758">
        <v>0</v>
      </c>
      <c r="BC758">
        <v>0</v>
      </c>
      <c r="BD758">
        <v>0</v>
      </c>
      <c r="BE758">
        <v>0</v>
      </c>
      <c r="BF758">
        <v>0</v>
      </c>
      <c r="BG758">
        <v>0</v>
      </c>
      <c r="BH758">
        <v>1</v>
      </c>
      <c r="BI758">
        <v>1</v>
      </c>
      <c r="BJ758">
        <v>1.7</v>
      </c>
      <c r="BK758">
        <v>2</v>
      </c>
      <c r="BL758">
        <v>69.98</v>
      </c>
      <c r="BM758">
        <v>10.5</v>
      </c>
      <c r="BN758">
        <v>80.48</v>
      </c>
      <c r="BO758">
        <v>80.48</v>
      </c>
      <c r="BQ758" t="s">
        <v>460</v>
      </c>
      <c r="BR758" t="s">
        <v>84</v>
      </c>
      <c r="BS758" s="3">
        <v>45790</v>
      </c>
      <c r="BT758" s="4">
        <v>0.33124999999999999</v>
      </c>
      <c r="BU758" t="s">
        <v>461</v>
      </c>
      <c r="BV758" t="s">
        <v>89</v>
      </c>
      <c r="BW758" t="s">
        <v>296</v>
      </c>
      <c r="BX758" t="s">
        <v>325</v>
      </c>
      <c r="BY758">
        <v>8512</v>
      </c>
      <c r="CA758" t="s">
        <v>462</v>
      </c>
      <c r="CC758" t="s">
        <v>351</v>
      </c>
      <c r="CD758">
        <v>4051</v>
      </c>
      <c r="CE758" t="s">
        <v>96</v>
      </c>
      <c r="CF758" s="3">
        <v>45791</v>
      </c>
      <c r="CI758">
        <v>1</v>
      </c>
      <c r="CJ758">
        <v>2</v>
      </c>
      <c r="CK758">
        <v>21</v>
      </c>
      <c r="CL758" t="s">
        <v>89</v>
      </c>
    </row>
    <row r="759" spans="1:90" x14ac:dyDescent="0.3">
      <c r="A759" t="s">
        <v>72</v>
      </c>
      <c r="B759" t="s">
        <v>73</v>
      </c>
      <c r="C759" t="s">
        <v>74</v>
      </c>
      <c r="E759" t="str">
        <f>"080065281064"</f>
        <v>080065281064</v>
      </c>
      <c r="F759" s="3">
        <v>45786</v>
      </c>
      <c r="G759">
        <v>202602</v>
      </c>
      <c r="H759" t="s">
        <v>75</v>
      </c>
      <c r="I759" t="s">
        <v>76</v>
      </c>
      <c r="J759" t="s">
        <v>77</v>
      </c>
      <c r="K759" t="s">
        <v>78</v>
      </c>
      <c r="L759" t="s">
        <v>97</v>
      </c>
      <c r="M759" t="s">
        <v>98</v>
      </c>
      <c r="N759" t="s">
        <v>172</v>
      </c>
      <c r="O759" t="s">
        <v>82</v>
      </c>
      <c r="P759" t="str">
        <f>"4170037591                    "</f>
        <v xml:space="preserve">4170037591                    </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16.7</v>
      </c>
      <c r="AR759">
        <v>0</v>
      </c>
      <c r="AS759">
        <v>0</v>
      </c>
      <c r="AT759">
        <v>0</v>
      </c>
      <c r="AU759">
        <v>0</v>
      </c>
      <c r="AV759">
        <v>0</v>
      </c>
      <c r="AW759">
        <v>0</v>
      </c>
      <c r="AX759">
        <v>0</v>
      </c>
      <c r="AY759">
        <v>0</v>
      </c>
      <c r="AZ759">
        <v>0</v>
      </c>
      <c r="BA759">
        <v>0</v>
      </c>
      <c r="BB759">
        <v>0</v>
      </c>
      <c r="BC759">
        <v>0</v>
      </c>
      <c r="BD759">
        <v>0</v>
      </c>
      <c r="BE759">
        <v>0</v>
      </c>
      <c r="BF759">
        <v>0</v>
      </c>
      <c r="BG759">
        <v>0</v>
      </c>
      <c r="BH759">
        <v>1</v>
      </c>
      <c r="BI759">
        <v>1</v>
      </c>
      <c r="BJ759">
        <v>0.2</v>
      </c>
      <c r="BK759">
        <v>1</v>
      </c>
      <c r="BL759">
        <v>54.66</v>
      </c>
      <c r="BM759">
        <v>8.1999999999999993</v>
      </c>
      <c r="BN759">
        <v>62.86</v>
      </c>
      <c r="BO759">
        <v>62.86</v>
      </c>
      <c r="BQ759" t="s">
        <v>173</v>
      </c>
      <c r="BR759" t="s">
        <v>84</v>
      </c>
      <c r="BS759" s="3">
        <v>45789</v>
      </c>
      <c r="BT759" s="4">
        <v>0.3888888888888889</v>
      </c>
      <c r="BU759" t="s">
        <v>1513</v>
      </c>
      <c r="BV759" t="s">
        <v>86</v>
      </c>
      <c r="BY759">
        <v>1200</v>
      </c>
      <c r="CA759" t="s">
        <v>175</v>
      </c>
      <c r="CC759" t="s">
        <v>98</v>
      </c>
      <c r="CD759">
        <v>1459</v>
      </c>
      <c r="CE759" t="s">
        <v>88</v>
      </c>
      <c r="CF759" s="3">
        <v>45789</v>
      </c>
      <c r="CI759">
        <v>1</v>
      </c>
      <c r="CJ759">
        <v>1</v>
      </c>
      <c r="CK759">
        <v>22</v>
      </c>
      <c r="CL759" t="s">
        <v>89</v>
      </c>
    </row>
    <row r="760" spans="1:90" x14ac:dyDescent="0.3">
      <c r="A760" t="s">
        <v>72</v>
      </c>
      <c r="B760" t="s">
        <v>73</v>
      </c>
      <c r="C760" t="s">
        <v>74</v>
      </c>
      <c r="E760" t="str">
        <f>"080065281074"</f>
        <v>080065281074</v>
      </c>
      <c r="F760" s="3">
        <v>45786</v>
      </c>
      <c r="G760">
        <v>202602</v>
      </c>
      <c r="H760" t="s">
        <v>75</v>
      </c>
      <c r="I760" t="s">
        <v>76</v>
      </c>
      <c r="J760" t="s">
        <v>77</v>
      </c>
      <c r="K760" t="s">
        <v>78</v>
      </c>
      <c r="L760" t="s">
        <v>130</v>
      </c>
      <c r="M760" t="s">
        <v>131</v>
      </c>
      <c r="N760" t="s">
        <v>239</v>
      </c>
      <c r="O760" t="s">
        <v>82</v>
      </c>
      <c r="P760" t="str">
        <f>"4170037613                    "</f>
        <v xml:space="preserve">4170037613                    </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21.38</v>
      </c>
      <c r="AR760">
        <v>0</v>
      </c>
      <c r="AS760">
        <v>0</v>
      </c>
      <c r="AT760">
        <v>0</v>
      </c>
      <c r="AU760">
        <v>0</v>
      </c>
      <c r="AV760">
        <v>0</v>
      </c>
      <c r="AW760">
        <v>0</v>
      </c>
      <c r="AX760">
        <v>0</v>
      </c>
      <c r="AY760">
        <v>0</v>
      </c>
      <c r="AZ760">
        <v>0</v>
      </c>
      <c r="BA760">
        <v>0</v>
      </c>
      <c r="BB760">
        <v>0</v>
      </c>
      <c r="BC760">
        <v>0</v>
      </c>
      <c r="BD760">
        <v>0</v>
      </c>
      <c r="BE760">
        <v>0</v>
      </c>
      <c r="BF760">
        <v>0</v>
      </c>
      <c r="BG760">
        <v>0</v>
      </c>
      <c r="BH760">
        <v>1</v>
      </c>
      <c r="BI760">
        <v>1</v>
      </c>
      <c r="BJ760">
        <v>0.9</v>
      </c>
      <c r="BK760">
        <v>1</v>
      </c>
      <c r="BL760">
        <v>69.98</v>
      </c>
      <c r="BM760">
        <v>10.5</v>
      </c>
      <c r="BN760">
        <v>80.48</v>
      </c>
      <c r="BO760">
        <v>80.48</v>
      </c>
      <c r="BQ760" t="s">
        <v>240</v>
      </c>
      <c r="BR760" t="s">
        <v>84</v>
      </c>
      <c r="BS760" s="3">
        <v>45789</v>
      </c>
      <c r="BT760" s="4">
        <v>0.38611111111111113</v>
      </c>
      <c r="BU760" t="s">
        <v>241</v>
      </c>
      <c r="BV760" t="s">
        <v>86</v>
      </c>
      <c r="BY760">
        <v>4275</v>
      </c>
      <c r="CA760" t="s">
        <v>242</v>
      </c>
      <c r="CC760" t="s">
        <v>131</v>
      </c>
      <c r="CD760">
        <v>7441</v>
      </c>
      <c r="CE760" t="s">
        <v>116</v>
      </c>
      <c r="CF760" s="3">
        <v>45790</v>
      </c>
      <c r="CI760">
        <v>1</v>
      </c>
      <c r="CJ760">
        <v>1</v>
      </c>
      <c r="CK760">
        <v>21</v>
      </c>
      <c r="CL760" t="s">
        <v>89</v>
      </c>
    </row>
    <row r="761" spans="1:90" x14ac:dyDescent="0.3">
      <c r="A761" t="s">
        <v>72</v>
      </c>
      <c r="B761" t="s">
        <v>73</v>
      </c>
      <c r="C761" t="s">
        <v>74</v>
      </c>
      <c r="E761" t="str">
        <f>"080065281127"</f>
        <v>080065281127</v>
      </c>
      <c r="F761" s="3">
        <v>45786</v>
      </c>
      <c r="G761">
        <v>202602</v>
      </c>
      <c r="H761" t="s">
        <v>75</v>
      </c>
      <c r="I761" t="s">
        <v>76</v>
      </c>
      <c r="J761" t="s">
        <v>77</v>
      </c>
      <c r="K761" t="s">
        <v>78</v>
      </c>
      <c r="L761" t="s">
        <v>350</v>
      </c>
      <c r="M761" t="s">
        <v>351</v>
      </c>
      <c r="N761" t="s">
        <v>459</v>
      </c>
      <c r="O761" t="s">
        <v>82</v>
      </c>
      <c r="P761" t="str">
        <f>"4170037537                    "</f>
        <v xml:space="preserve">4170037537                    </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53.43</v>
      </c>
      <c r="AR761">
        <v>0</v>
      </c>
      <c r="AS761">
        <v>0</v>
      </c>
      <c r="AT761">
        <v>0</v>
      </c>
      <c r="AU761">
        <v>0</v>
      </c>
      <c r="AV761">
        <v>0</v>
      </c>
      <c r="AW761">
        <v>0</v>
      </c>
      <c r="AX761">
        <v>0</v>
      </c>
      <c r="AY761">
        <v>0</v>
      </c>
      <c r="AZ761">
        <v>0</v>
      </c>
      <c r="BA761">
        <v>0</v>
      </c>
      <c r="BB761">
        <v>0</v>
      </c>
      <c r="BC761">
        <v>0</v>
      </c>
      <c r="BD761">
        <v>0</v>
      </c>
      <c r="BE761">
        <v>0</v>
      </c>
      <c r="BF761">
        <v>0</v>
      </c>
      <c r="BG761">
        <v>0</v>
      </c>
      <c r="BH761">
        <v>1</v>
      </c>
      <c r="BI761">
        <v>5</v>
      </c>
      <c r="BJ761">
        <v>3.4</v>
      </c>
      <c r="BK761">
        <v>5</v>
      </c>
      <c r="BL761">
        <v>174.87</v>
      </c>
      <c r="BM761">
        <v>26.23</v>
      </c>
      <c r="BN761">
        <v>201.1</v>
      </c>
      <c r="BO761">
        <v>201.1</v>
      </c>
      <c r="BQ761" t="s">
        <v>460</v>
      </c>
      <c r="BR761" t="s">
        <v>84</v>
      </c>
      <c r="BS761" s="3">
        <v>45790</v>
      </c>
      <c r="BT761" s="4">
        <v>0.33124999999999999</v>
      </c>
      <c r="BU761" t="s">
        <v>461</v>
      </c>
      <c r="BV761" t="s">
        <v>89</v>
      </c>
      <c r="BW761" t="s">
        <v>296</v>
      </c>
      <c r="BX761" t="s">
        <v>325</v>
      </c>
      <c r="BY761">
        <v>16965</v>
      </c>
      <c r="CA761" t="s">
        <v>462</v>
      </c>
      <c r="CC761" t="s">
        <v>351</v>
      </c>
      <c r="CD761">
        <v>4051</v>
      </c>
      <c r="CE761" t="s">
        <v>96</v>
      </c>
      <c r="CF761" s="3">
        <v>45791</v>
      </c>
      <c r="CI761">
        <v>1</v>
      </c>
      <c r="CJ761">
        <v>2</v>
      </c>
      <c r="CK761">
        <v>21</v>
      </c>
      <c r="CL761" t="s">
        <v>89</v>
      </c>
    </row>
    <row r="762" spans="1:90" x14ac:dyDescent="0.3">
      <c r="A762" t="s">
        <v>72</v>
      </c>
      <c r="B762" t="s">
        <v>73</v>
      </c>
      <c r="C762" t="s">
        <v>74</v>
      </c>
      <c r="E762" t="str">
        <f>"080065281152"</f>
        <v>080065281152</v>
      </c>
      <c r="F762" s="3">
        <v>45786</v>
      </c>
      <c r="G762">
        <v>202602</v>
      </c>
      <c r="H762" t="s">
        <v>75</v>
      </c>
      <c r="I762" t="s">
        <v>76</v>
      </c>
      <c r="J762" t="s">
        <v>77</v>
      </c>
      <c r="K762" t="s">
        <v>78</v>
      </c>
      <c r="L762" t="s">
        <v>130</v>
      </c>
      <c r="M762" t="s">
        <v>131</v>
      </c>
      <c r="N762" t="s">
        <v>709</v>
      </c>
      <c r="O762" t="s">
        <v>82</v>
      </c>
      <c r="P762" t="str">
        <f>"4170037629                    "</f>
        <v xml:space="preserve">4170037629                    </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21.38</v>
      </c>
      <c r="AR762">
        <v>0</v>
      </c>
      <c r="AS762">
        <v>0</v>
      </c>
      <c r="AT762">
        <v>0</v>
      </c>
      <c r="AU762">
        <v>0</v>
      </c>
      <c r="AV762">
        <v>0</v>
      </c>
      <c r="AW762">
        <v>0</v>
      </c>
      <c r="AX762">
        <v>0</v>
      </c>
      <c r="AY762">
        <v>0</v>
      </c>
      <c r="AZ762">
        <v>0</v>
      </c>
      <c r="BA762">
        <v>0</v>
      </c>
      <c r="BB762">
        <v>0</v>
      </c>
      <c r="BC762">
        <v>0</v>
      </c>
      <c r="BD762">
        <v>0</v>
      </c>
      <c r="BE762">
        <v>0</v>
      </c>
      <c r="BF762">
        <v>0</v>
      </c>
      <c r="BG762">
        <v>0</v>
      </c>
      <c r="BH762">
        <v>1</v>
      </c>
      <c r="BI762">
        <v>1</v>
      </c>
      <c r="BJ762">
        <v>0.2</v>
      </c>
      <c r="BK762">
        <v>1</v>
      </c>
      <c r="BL762">
        <v>69.98</v>
      </c>
      <c r="BM762">
        <v>10.5</v>
      </c>
      <c r="BN762">
        <v>80.48</v>
      </c>
      <c r="BO762">
        <v>80.48</v>
      </c>
      <c r="BQ762" t="s">
        <v>710</v>
      </c>
      <c r="BR762" t="s">
        <v>84</v>
      </c>
      <c r="BS762" s="3">
        <v>45789</v>
      </c>
      <c r="BT762" s="4">
        <v>0.33680555555555558</v>
      </c>
      <c r="BU762" t="s">
        <v>1272</v>
      </c>
      <c r="BV762" t="s">
        <v>86</v>
      </c>
      <c r="BY762">
        <v>1200</v>
      </c>
      <c r="CA762" t="s">
        <v>712</v>
      </c>
      <c r="CC762" t="s">
        <v>131</v>
      </c>
      <c r="CD762">
        <v>7530</v>
      </c>
      <c r="CE762" t="s">
        <v>88</v>
      </c>
      <c r="CF762" s="3">
        <v>45790</v>
      </c>
      <c r="CI762">
        <v>1</v>
      </c>
      <c r="CJ762">
        <v>1</v>
      </c>
      <c r="CK762">
        <v>21</v>
      </c>
      <c r="CL762" t="s">
        <v>89</v>
      </c>
    </row>
    <row r="763" spans="1:90" x14ac:dyDescent="0.3">
      <c r="A763" t="s">
        <v>72</v>
      </c>
      <c r="B763" t="s">
        <v>73</v>
      </c>
      <c r="C763" t="s">
        <v>74</v>
      </c>
      <c r="E763" t="str">
        <f>"080065281129"</f>
        <v>080065281129</v>
      </c>
      <c r="F763" s="3">
        <v>45786</v>
      </c>
      <c r="G763">
        <v>202602</v>
      </c>
      <c r="H763" t="s">
        <v>75</v>
      </c>
      <c r="I763" t="s">
        <v>76</v>
      </c>
      <c r="J763" t="s">
        <v>77</v>
      </c>
      <c r="K763" t="s">
        <v>78</v>
      </c>
      <c r="L763" t="s">
        <v>136</v>
      </c>
      <c r="M763" t="s">
        <v>137</v>
      </c>
      <c r="N763" t="s">
        <v>1514</v>
      </c>
      <c r="O763" t="s">
        <v>82</v>
      </c>
      <c r="P763" t="str">
        <f>"4170037608                    "</f>
        <v xml:space="preserve">4170037608                    </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21.38</v>
      </c>
      <c r="AR763">
        <v>0</v>
      </c>
      <c r="AS763">
        <v>0</v>
      </c>
      <c r="AT763">
        <v>0</v>
      </c>
      <c r="AU763">
        <v>0</v>
      </c>
      <c r="AV763">
        <v>0</v>
      </c>
      <c r="AW763">
        <v>0</v>
      </c>
      <c r="AX763">
        <v>0</v>
      </c>
      <c r="AY763">
        <v>0</v>
      </c>
      <c r="AZ763">
        <v>0</v>
      </c>
      <c r="BA763">
        <v>0</v>
      </c>
      <c r="BB763">
        <v>0</v>
      </c>
      <c r="BC763">
        <v>0</v>
      </c>
      <c r="BD763">
        <v>0</v>
      </c>
      <c r="BE763">
        <v>0</v>
      </c>
      <c r="BF763">
        <v>0</v>
      </c>
      <c r="BG763">
        <v>0</v>
      </c>
      <c r="BH763">
        <v>1</v>
      </c>
      <c r="BI763">
        <v>1</v>
      </c>
      <c r="BJ763">
        <v>0.2</v>
      </c>
      <c r="BK763">
        <v>1</v>
      </c>
      <c r="BL763">
        <v>69.98</v>
      </c>
      <c r="BM763">
        <v>10.5</v>
      </c>
      <c r="BN763">
        <v>80.48</v>
      </c>
      <c r="BO763">
        <v>80.48</v>
      </c>
      <c r="BQ763" t="s">
        <v>1515</v>
      </c>
      <c r="BR763" t="s">
        <v>84</v>
      </c>
      <c r="BS763" s="3">
        <v>45789</v>
      </c>
      <c r="BT763" s="4">
        <v>0.41180555555555554</v>
      </c>
      <c r="BU763" t="s">
        <v>542</v>
      </c>
      <c r="BV763" t="s">
        <v>86</v>
      </c>
      <c r="BY763">
        <v>1200</v>
      </c>
      <c r="CA763" t="s">
        <v>141</v>
      </c>
      <c r="CC763" t="s">
        <v>137</v>
      </c>
      <c r="CD763" s="5" t="s">
        <v>142</v>
      </c>
      <c r="CE763" t="s">
        <v>88</v>
      </c>
      <c r="CF763" s="3">
        <v>45789</v>
      </c>
      <c r="CI763">
        <v>1</v>
      </c>
      <c r="CJ763">
        <v>1</v>
      </c>
      <c r="CK763">
        <v>21</v>
      </c>
      <c r="CL763" t="s">
        <v>89</v>
      </c>
    </row>
    <row r="764" spans="1:90" x14ac:dyDescent="0.3">
      <c r="A764" t="s">
        <v>72</v>
      </c>
      <c r="B764" t="s">
        <v>73</v>
      </c>
      <c r="C764" t="s">
        <v>74</v>
      </c>
      <c r="E764" t="str">
        <f>"080065281173"</f>
        <v>080065281173</v>
      </c>
      <c r="F764" s="3">
        <v>45786</v>
      </c>
      <c r="G764">
        <v>202602</v>
      </c>
      <c r="H764" t="s">
        <v>75</v>
      </c>
      <c r="I764" t="s">
        <v>76</v>
      </c>
      <c r="J764" t="s">
        <v>77</v>
      </c>
      <c r="K764" t="s">
        <v>78</v>
      </c>
      <c r="L764" t="s">
        <v>90</v>
      </c>
      <c r="M764" t="s">
        <v>91</v>
      </c>
      <c r="N764" t="s">
        <v>914</v>
      </c>
      <c r="O764" t="s">
        <v>82</v>
      </c>
      <c r="P764" t="str">
        <f>"4170037557                    "</f>
        <v xml:space="preserve">4170037557                    </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85.48</v>
      </c>
      <c r="AR764">
        <v>0</v>
      </c>
      <c r="AS764">
        <v>0</v>
      </c>
      <c r="AT764">
        <v>0</v>
      </c>
      <c r="AU764">
        <v>0</v>
      </c>
      <c r="AV764">
        <v>0</v>
      </c>
      <c r="AW764">
        <v>0</v>
      </c>
      <c r="AX764">
        <v>0</v>
      </c>
      <c r="AY764">
        <v>0</v>
      </c>
      <c r="AZ764">
        <v>0</v>
      </c>
      <c r="BA764">
        <v>0</v>
      </c>
      <c r="BB764">
        <v>0</v>
      </c>
      <c r="BC764">
        <v>0</v>
      </c>
      <c r="BD764">
        <v>0</v>
      </c>
      <c r="BE764">
        <v>0</v>
      </c>
      <c r="BF764">
        <v>0</v>
      </c>
      <c r="BG764">
        <v>0</v>
      </c>
      <c r="BH764">
        <v>2</v>
      </c>
      <c r="BI764">
        <v>8</v>
      </c>
      <c r="BJ764">
        <v>7.5</v>
      </c>
      <c r="BK764">
        <v>8</v>
      </c>
      <c r="BL764">
        <v>279.76</v>
      </c>
      <c r="BM764">
        <v>41.96</v>
      </c>
      <c r="BN764">
        <v>321.72000000000003</v>
      </c>
      <c r="BO764">
        <v>321.72000000000003</v>
      </c>
      <c r="BQ764" t="s">
        <v>915</v>
      </c>
      <c r="BR764" t="s">
        <v>84</v>
      </c>
      <c r="BS764" s="3">
        <v>45789</v>
      </c>
      <c r="BT764" s="4">
        <v>0.37430555555555556</v>
      </c>
      <c r="BU764" t="s">
        <v>1516</v>
      </c>
      <c r="BV764" t="s">
        <v>86</v>
      </c>
      <c r="BY764">
        <v>37467</v>
      </c>
      <c r="CA764" t="s">
        <v>95</v>
      </c>
      <c r="CC764" t="s">
        <v>91</v>
      </c>
      <c r="CD764">
        <v>6001</v>
      </c>
      <c r="CE764" t="s">
        <v>221</v>
      </c>
      <c r="CF764" s="3">
        <v>45789</v>
      </c>
      <c r="CI764">
        <v>1</v>
      </c>
      <c r="CJ764">
        <v>1</v>
      </c>
      <c r="CK764">
        <v>21</v>
      </c>
      <c r="CL764" t="s">
        <v>89</v>
      </c>
    </row>
    <row r="765" spans="1:90" x14ac:dyDescent="0.3">
      <c r="A765" t="s">
        <v>72</v>
      </c>
      <c r="B765" t="s">
        <v>73</v>
      </c>
      <c r="C765" t="s">
        <v>74</v>
      </c>
      <c r="E765" t="str">
        <f>"080065281177"</f>
        <v>080065281177</v>
      </c>
      <c r="F765" s="3">
        <v>45786</v>
      </c>
      <c r="G765">
        <v>202602</v>
      </c>
      <c r="H765" t="s">
        <v>75</v>
      </c>
      <c r="I765" t="s">
        <v>76</v>
      </c>
      <c r="J765" t="s">
        <v>77</v>
      </c>
      <c r="K765" t="s">
        <v>78</v>
      </c>
      <c r="L765" t="s">
        <v>75</v>
      </c>
      <c r="M765" t="s">
        <v>76</v>
      </c>
      <c r="N765" t="s">
        <v>346</v>
      </c>
      <c r="O765" t="s">
        <v>82</v>
      </c>
      <c r="P765" t="str">
        <f>"4170037645                    "</f>
        <v xml:space="preserve">4170037645                    </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16.7</v>
      </c>
      <c r="AR765">
        <v>0</v>
      </c>
      <c r="AS765">
        <v>0</v>
      </c>
      <c r="AT765">
        <v>0</v>
      </c>
      <c r="AU765">
        <v>0</v>
      </c>
      <c r="AV765">
        <v>0</v>
      </c>
      <c r="AW765">
        <v>0</v>
      </c>
      <c r="AX765">
        <v>0</v>
      </c>
      <c r="AY765">
        <v>0</v>
      </c>
      <c r="AZ765">
        <v>0</v>
      </c>
      <c r="BA765">
        <v>0</v>
      </c>
      <c r="BB765">
        <v>0</v>
      </c>
      <c r="BC765">
        <v>0</v>
      </c>
      <c r="BD765">
        <v>0</v>
      </c>
      <c r="BE765">
        <v>0</v>
      </c>
      <c r="BF765">
        <v>0</v>
      </c>
      <c r="BG765">
        <v>0</v>
      </c>
      <c r="BH765">
        <v>1</v>
      </c>
      <c r="BI765">
        <v>1</v>
      </c>
      <c r="BJ765">
        <v>0.2</v>
      </c>
      <c r="BK765">
        <v>1</v>
      </c>
      <c r="BL765">
        <v>54.66</v>
      </c>
      <c r="BM765">
        <v>8.1999999999999993</v>
      </c>
      <c r="BN765">
        <v>62.86</v>
      </c>
      <c r="BO765">
        <v>62.86</v>
      </c>
      <c r="BQ765" t="s">
        <v>347</v>
      </c>
      <c r="BR765" t="s">
        <v>84</v>
      </c>
      <c r="BS765" s="3">
        <v>45789</v>
      </c>
      <c r="BT765" s="4">
        <v>0.375</v>
      </c>
      <c r="BU765" t="s">
        <v>407</v>
      </c>
      <c r="BV765" t="s">
        <v>86</v>
      </c>
      <c r="BY765">
        <v>1200</v>
      </c>
      <c r="CA765" t="s">
        <v>349</v>
      </c>
      <c r="CC765" t="s">
        <v>76</v>
      </c>
      <c r="CD765">
        <v>1619</v>
      </c>
      <c r="CE765" t="s">
        <v>88</v>
      </c>
      <c r="CF765" s="3">
        <v>45790</v>
      </c>
      <c r="CI765">
        <v>1</v>
      </c>
      <c r="CJ765">
        <v>1</v>
      </c>
      <c r="CK765">
        <v>22</v>
      </c>
      <c r="CL765" t="s">
        <v>89</v>
      </c>
    </row>
    <row r="766" spans="1:90" x14ac:dyDescent="0.3">
      <c r="A766" t="s">
        <v>72</v>
      </c>
      <c r="B766" t="s">
        <v>73</v>
      </c>
      <c r="C766" t="s">
        <v>74</v>
      </c>
      <c r="E766" t="str">
        <f>"080065281203"</f>
        <v>080065281203</v>
      </c>
      <c r="F766" s="3">
        <v>45786</v>
      </c>
      <c r="G766">
        <v>202602</v>
      </c>
      <c r="H766" t="s">
        <v>75</v>
      </c>
      <c r="I766" t="s">
        <v>76</v>
      </c>
      <c r="J766" t="s">
        <v>77</v>
      </c>
      <c r="K766" t="s">
        <v>78</v>
      </c>
      <c r="L766" t="s">
        <v>90</v>
      </c>
      <c r="M766" t="s">
        <v>91</v>
      </c>
      <c r="N766" t="s">
        <v>385</v>
      </c>
      <c r="O766" t="s">
        <v>82</v>
      </c>
      <c r="P766" t="str">
        <f>"4170037570                    "</f>
        <v xml:space="preserve">4170037570                    </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21.38</v>
      </c>
      <c r="AR766">
        <v>0</v>
      </c>
      <c r="AS766">
        <v>0</v>
      </c>
      <c r="AT766">
        <v>0</v>
      </c>
      <c r="AU766">
        <v>0</v>
      </c>
      <c r="AV766">
        <v>0</v>
      </c>
      <c r="AW766">
        <v>0</v>
      </c>
      <c r="AX766">
        <v>0</v>
      </c>
      <c r="AY766">
        <v>0</v>
      </c>
      <c r="AZ766">
        <v>0</v>
      </c>
      <c r="BA766">
        <v>0</v>
      </c>
      <c r="BB766">
        <v>0</v>
      </c>
      <c r="BC766">
        <v>0</v>
      </c>
      <c r="BD766">
        <v>0</v>
      </c>
      <c r="BE766">
        <v>0</v>
      </c>
      <c r="BF766">
        <v>0</v>
      </c>
      <c r="BG766">
        <v>0</v>
      </c>
      <c r="BH766">
        <v>1</v>
      </c>
      <c r="BI766">
        <v>1</v>
      </c>
      <c r="BJ766">
        <v>0.2</v>
      </c>
      <c r="BK766">
        <v>1</v>
      </c>
      <c r="BL766">
        <v>69.98</v>
      </c>
      <c r="BM766">
        <v>10.5</v>
      </c>
      <c r="BN766">
        <v>80.48</v>
      </c>
      <c r="BO766">
        <v>80.48</v>
      </c>
      <c r="BQ766" t="s">
        <v>386</v>
      </c>
      <c r="BR766" t="s">
        <v>84</v>
      </c>
      <c r="BS766" s="3">
        <v>45789</v>
      </c>
      <c r="BT766" s="4">
        <v>0.39444444444444443</v>
      </c>
      <c r="BU766" t="s">
        <v>387</v>
      </c>
      <c r="BV766" t="s">
        <v>86</v>
      </c>
      <c r="BY766">
        <v>1200</v>
      </c>
      <c r="CA766" t="s">
        <v>95</v>
      </c>
      <c r="CC766" t="s">
        <v>91</v>
      </c>
      <c r="CD766">
        <v>6056</v>
      </c>
      <c r="CE766" t="s">
        <v>88</v>
      </c>
      <c r="CF766" s="3">
        <v>45789</v>
      </c>
      <c r="CI766">
        <v>1</v>
      </c>
      <c r="CJ766">
        <v>1</v>
      </c>
      <c r="CK766">
        <v>21</v>
      </c>
      <c r="CL766" t="s">
        <v>89</v>
      </c>
    </row>
    <row r="767" spans="1:90" x14ac:dyDescent="0.3">
      <c r="A767" t="s">
        <v>72</v>
      </c>
      <c r="B767" t="s">
        <v>73</v>
      </c>
      <c r="C767" t="s">
        <v>74</v>
      </c>
      <c r="E767" t="str">
        <f>"080065281226"</f>
        <v>080065281226</v>
      </c>
      <c r="F767" s="3">
        <v>45786</v>
      </c>
      <c r="G767">
        <v>202602</v>
      </c>
      <c r="H767" t="s">
        <v>75</v>
      </c>
      <c r="I767" t="s">
        <v>76</v>
      </c>
      <c r="J767" t="s">
        <v>77</v>
      </c>
      <c r="K767" t="s">
        <v>78</v>
      </c>
      <c r="L767" t="s">
        <v>130</v>
      </c>
      <c r="M767" t="s">
        <v>131</v>
      </c>
      <c r="N767" t="s">
        <v>865</v>
      </c>
      <c r="O767" t="s">
        <v>82</v>
      </c>
      <c r="P767" t="str">
        <f>"4170037551                    "</f>
        <v xml:space="preserve">4170037551                    </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160.27000000000001</v>
      </c>
      <c r="AR767">
        <v>0</v>
      </c>
      <c r="AS767">
        <v>0</v>
      </c>
      <c r="AT767">
        <v>0</v>
      </c>
      <c r="AU767">
        <v>0</v>
      </c>
      <c r="AV767">
        <v>0</v>
      </c>
      <c r="AW767">
        <v>0</v>
      </c>
      <c r="AX767">
        <v>0</v>
      </c>
      <c r="AY767">
        <v>0</v>
      </c>
      <c r="AZ767">
        <v>0</v>
      </c>
      <c r="BA767">
        <v>0</v>
      </c>
      <c r="BB767">
        <v>0</v>
      </c>
      <c r="BC767">
        <v>0</v>
      </c>
      <c r="BD767">
        <v>0</v>
      </c>
      <c r="BE767">
        <v>0</v>
      </c>
      <c r="BF767">
        <v>0</v>
      </c>
      <c r="BG767">
        <v>0</v>
      </c>
      <c r="BH767">
        <v>1</v>
      </c>
      <c r="BI767">
        <v>15</v>
      </c>
      <c r="BJ767">
        <v>3.4</v>
      </c>
      <c r="BK767">
        <v>15</v>
      </c>
      <c r="BL767">
        <v>524.51</v>
      </c>
      <c r="BM767">
        <v>78.680000000000007</v>
      </c>
      <c r="BN767">
        <v>603.19000000000005</v>
      </c>
      <c r="BO767">
        <v>603.19000000000005</v>
      </c>
      <c r="BQ767" t="s">
        <v>866</v>
      </c>
      <c r="BR767" t="s">
        <v>84</v>
      </c>
      <c r="BS767" s="3">
        <v>45789</v>
      </c>
      <c r="BT767" s="4">
        <v>0.39444444444444443</v>
      </c>
      <c r="BU767" t="s">
        <v>1517</v>
      </c>
      <c r="BV767" t="s">
        <v>86</v>
      </c>
      <c r="BY767">
        <v>16965</v>
      </c>
      <c r="CA767" t="s">
        <v>429</v>
      </c>
      <c r="CC767" t="s">
        <v>131</v>
      </c>
      <c r="CD767">
        <v>7945</v>
      </c>
      <c r="CE767" t="s">
        <v>96</v>
      </c>
      <c r="CF767" s="3">
        <v>45790</v>
      </c>
      <c r="CI767">
        <v>1</v>
      </c>
      <c r="CJ767">
        <v>1</v>
      </c>
      <c r="CK767">
        <v>21</v>
      </c>
      <c r="CL767" t="s">
        <v>89</v>
      </c>
    </row>
    <row r="768" spans="1:90" x14ac:dyDescent="0.3">
      <c r="A768" t="s">
        <v>72</v>
      </c>
      <c r="B768" t="s">
        <v>73</v>
      </c>
      <c r="C768" t="s">
        <v>74</v>
      </c>
      <c r="E768" t="str">
        <f>"080065281235"</f>
        <v>080065281235</v>
      </c>
      <c r="F768" s="3">
        <v>45786</v>
      </c>
      <c r="G768">
        <v>202602</v>
      </c>
      <c r="H768" t="s">
        <v>75</v>
      </c>
      <c r="I768" t="s">
        <v>76</v>
      </c>
      <c r="J768" t="s">
        <v>77</v>
      </c>
      <c r="K768" t="s">
        <v>78</v>
      </c>
      <c r="L768" t="s">
        <v>320</v>
      </c>
      <c r="M768" t="s">
        <v>321</v>
      </c>
      <c r="N768" t="s">
        <v>499</v>
      </c>
      <c r="O768" t="s">
        <v>82</v>
      </c>
      <c r="P768" t="str">
        <f>"4170037539                    "</f>
        <v xml:space="preserve">4170037539                    </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21.38</v>
      </c>
      <c r="AR768">
        <v>0</v>
      </c>
      <c r="AS768">
        <v>0</v>
      </c>
      <c r="AT768">
        <v>0</v>
      </c>
      <c r="AU768">
        <v>0</v>
      </c>
      <c r="AV768">
        <v>0</v>
      </c>
      <c r="AW768">
        <v>0</v>
      </c>
      <c r="AX768">
        <v>0</v>
      </c>
      <c r="AY768">
        <v>0</v>
      </c>
      <c r="AZ768">
        <v>0</v>
      </c>
      <c r="BA768">
        <v>0</v>
      </c>
      <c r="BB768">
        <v>0</v>
      </c>
      <c r="BC768">
        <v>0</v>
      </c>
      <c r="BD768">
        <v>0</v>
      </c>
      <c r="BE768">
        <v>0</v>
      </c>
      <c r="BF768">
        <v>0</v>
      </c>
      <c r="BG768">
        <v>0</v>
      </c>
      <c r="BH768">
        <v>1</v>
      </c>
      <c r="BI768">
        <v>1</v>
      </c>
      <c r="BJ768">
        <v>0.2</v>
      </c>
      <c r="BK768">
        <v>1</v>
      </c>
      <c r="BL768">
        <v>69.98</v>
      </c>
      <c r="BM768">
        <v>10.5</v>
      </c>
      <c r="BN768">
        <v>80.48</v>
      </c>
      <c r="BO768">
        <v>80.48</v>
      </c>
      <c r="BQ768" t="s">
        <v>500</v>
      </c>
      <c r="BR768" t="s">
        <v>84</v>
      </c>
      <c r="BS768" s="3">
        <v>45789</v>
      </c>
      <c r="BT768" s="4">
        <v>0.52777777777777779</v>
      </c>
      <c r="BU768" t="s">
        <v>623</v>
      </c>
      <c r="BV768" t="s">
        <v>89</v>
      </c>
      <c r="BW768" t="s">
        <v>296</v>
      </c>
      <c r="BX768" t="s">
        <v>450</v>
      </c>
      <c r="BY768">
        <v>1200</v>
      </c>
      <c r="CA768" t="s">
        <v>326</v>
      </c>
      <c r="CC768" t="s">
        <v>321</v>
      </c>
      <c r="CD768">
        <v>4133</v>
      </c>
      <c r="CE768" t="s">
        <v>88</v>
      </c>
      <c r="CF768" s="3">
        <v>45790</v>
      </c>
      <c r="CI768">
        <v>1</v>
      </c>
      <c r="CJ768">
        <v>1</v>
      </c>
      <c r="CK768">
        <v>21</v>
      </c>
      <c r="CL768" t="s">
        <v>89</v>
      </c>
    </row>
    <row r="769" spans="1:90" x14ac:dyDescent="0.3">
      <c r="A769" t="s">
        <v>72</v>
      </c>
      <c r="B769" t="s">
        <v>73</v>
      </c>
      <c r="C769" t="s">
        <v>74</v>
      </c>
      <c r="E769" t="str">
        <f>"080065281259"</f>
        <v>080065281259</v>
      </c>
      <c r="F769" s="3">
        <v>45786</v>
      </c>
      <c r="G769">
        <v>202602</v>
      </c>
      <c r="H769" t="s">
        <v>75</v>
      </c>
      <c r="I769" t="s">
        <v>76</v>
      </c>
      <c r="J769" t="s">
        <v>77</v>
      </c>
      <c r="K769" t="s">
        <v>78</v>
      </c>
      <c r="L769" t="s">
        <v>350</v>
      </c>
      <c r="M769" t="s">
        <v>351</v>
      </c>
      <c r="N769" t="s">
        <v>352</v>
      </c>
      <c r="O769" t="s">
        <v>82</v>
      </c>
      <c r="P769" t="str">
        <f>"4170037518                    "</f>
        <v xml:space="preserve">4170037518                    </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53.43</v>
      </c>
      <c r="AR769">
        <v>0</v>
      </c>
      <c r="AS769">
        <v>0</v>
      </c>
      <c r="AT769">
        <v>0</v>
      </c>
      <c r="AU769">
        <v>0</v>
      </c>
      <c r="AV769">
        <v>0</v>
      </c>
      <c r="AW769">
        <v>0</v>
      </c>
      <c r="AX769">
        <v>0</v>
      </c>
      <c r="AY769">
        <v>0</v>
      </c>
      <c r="AZ769">
        <v>0</v>
      </c>
      <c r="BA769">
        <v>0</v>
      </c>
      <c r="BB769">
        <v>0</v>
      </c>
      <c r="BC769">
        <v>0</v>
      </c>
      <c r="BD769">
        <v>0</v>
      </c>
      <c r="BE769">
        <v>0</v>
      </c>
      <c r="BF769">
        <v>0</v>
      </c>
      <c r="BG769">
        <v>0</v>
      </c>
      <c r="BH769">
        <v>1</v>
      </c>
      <c r="BI769">
        <v>5</v>
      </c>
      <c r="BJ769">
        <v>2.4</v>
      </c>
      <c r="BK769">
        <v>5</v>
      </c>
      <c r="BL769">
        <v>174.87</v>
      </c>
      <c r="BM769">
        <v>26.23</v>
      </c>
      <c r="BN769">
        <v>201.1</v>
      </c>
      <c r="BO769">
        <v>201.1</v>
      </c>
      <c r="BQ769" t="s">
        <v>353</v>
      </c>
      <c r="BR769" t="s">
        <v>84</v>
      </c>
      <c r="BS769" s="3">
        <v>45789</v>
      </c>
      <c r="BT769" s="4">
        <v>0.73402777777777772</v>
      </c>
      <c r="BU769" t="s">
        <v>354</v>
      </c>
      <c r="BV769" t="s">
        <v>89</v>
      </c>
      <c r="BW769" t="s">
        <v>434</v>
      </c>
      <c r="BX769" t="s">
        <v>435</v>
      </c>
      <c r="BY769">
        <v>11760</v>
      </c>
      <c r="CA769" t="s">
        <v>160</v>
      </c>
      <c r="CC769" t="s">
        <v>351</v>
      </c>
      <c r="CD769">
        <v>4000</v>
      </c>
      <c r="CE769" t="s">
        <v>221</v>
      </c>
      <c r="CF769" s="3">
        <v>45790</v>
      </c>
      <c r="CI769">
        <v>1</v>
      </c>
      <c r="CJ769">
        <v>1</v>
      </c>
      <c r="CK769">
        <v>21</v>
      </c>
      <c r="CL769" t="s">
        <v>89</v>
      </c>
    </row>
    <row r="770" spans="1:90" x14ac:dyDescent="0.3">
      <c r="A770" t="s">
        <v>72</v>
      </c>
      <c r="B770" t="s">
        <v>73</v>
      </c>
      <c r="C770" t="s">
        <v>74</v>
      </c>
      <c r="E770" t="str">
        <f>"080065281272"</f>
        <v>080065281272</v>
      </c>
      <c r="F770" s="3">
        <v>45786</v>
      </c>
      <c r="G770">
        <v>202602</v>
      </c>
      <c r="H770" t="s">
        <v>75</v>
      </c>
      <c r="I770" t="s">
        <v>76</v>
      </c>
      <c r="J770" t="s">
        <v>77</v>
      </c>
      <c r="K770" t="s">
        <v>78</v>
      </c>
      <c r="L770" t="s">
        <v>331</v>
      </c>
      <c r="M770" t="s">
        <v>332</v>
      </c>
      <c r="N770" t="s">
        <v>499</v>
      </c>
      <c r="O770" t="s">
        <v>82</v>
      </c>
      <c r="P770" t="str">
        <f>"4170037619                    "</f>
        <v xml:space="preserve">4170037619                    </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16.7</v>
      </c>
      <c r="AR770">
        <v>0</v>
      </c>
      <c r="AS770">
        <v>0</v>
      </c>
      <c r="AT770">
        <v>0</v>
      </c>
      <c r="AU770">
        <v>0</v>
      </c>
      <c r="AV770">
        <v>0</v>
      </c>
      <c r="AW770">
        <v>0</v>
      </c>
      <c r="AX770">
        <v>0</v>
      </c>
      <c r="AY770">
        <v>0</v>
      </c>
      <c r="AZ770">
        <v>0</v>
      </c>
      <c r="BA770">
        <v>0</v>
      </c>
      <c r="BB770">
        <v>0</v>
      </c>
      <c r="BC770">
        <v>0</v>
      </c>
      <c r="BD770">
        <v>0</v>
      </c>
      <c r="BE770">
        <v>0</v>
      </c>
      <c r="BF770">
        <v>0</v>
      </c>
      <c r="BG770">
        <v>0</v>
      </c>
      <c r="BH770">
        <v>1</v>
      </c>
      <c r="BI770">
        <v>1</v>
      </c>
      <c r="BJ770">
        <v>0.2</v>
      </c>
      <c r="BK770">
        <v>1</v>
      </c>
      <c r="BL770">
        <v>54.66</v>
      </c>
      <c r="BM770">
        <v>8.1999999999999993</v>
      </c>
      <c r="BN770">
        <v>62.86</v>
      </c>
      <c r="BO770">
        <v>62.86</v>
      </c>
      <c r="BQ770" t="s">
        <v>500</v>
      </c>
      <c r="BR770" t="s">
        <v>84</v>
      </c>
      <c r="BS770" s="3">
        <v>45789</v>
      </c>
      <c r="BT770" s="4">
        <v>0.37152777777777779</v>
      </c>
      <c r="BU770" t="s">
        <v>1185</v>
      </c>
      <c r="BV770" t="s">
        <v>86</v>
      </c>
      <c r="BY770">
        <v>1200</v>
      </c>
      <c r="CA770" t="s">
        <v>336</v>
      </c>
      <c r="CC770" t="s">
        <v>332</v>
      </c>
      <c r="CD770">
        <v>1451</v>
      </c>
      <c r="CE770" t="s">
        <v>88</v>
      </c>
      <c r="CF770" s="3">
        <v>45790</v>
      </c>
      <c r="CI770">
        <v>1</v>
      </c>
      <c r="CJ770">
        <v>1</v>
      </c>
      <c r="CK770">
        <v>22</v>
      </c>
      <c r="CL770" t="s">
        <v>89</v>
      </c>
    </row>
    <row r="771" spans="1:90" x14ac:dyDescent="0.3">
      <c r="A771" t="s">
        <v>72</v>
      </c>
      <c r="B771" t="s">
        <v>73</v>
      </c>
      <c r="C771" t="s">
        <v>74</v>
      </c>
      <c r="E771" t="str">
        <f>"080065281292"</f>
        <v>080065281292</v>
      </c>
      <c r="F771" s="3">
        <v>45786</v>
      </c>
      <c r="G771">
        <v>202602</v>
      </c>
      <c r="H771" t="s">
        <v>75</v>
      </c>
      <c r="I771" t="s">
        <v>76</v>
      </c>
      <c r="J771" t="s">
        <v>77</v>
      </c>
      <c r="K771" t="s">
        <v>78</v>
      </c>
      <c r="L771" t="s">
        <v>75</v>
      </c>
      <c r="M771" t="s">
        <v>76</v>
      </c>
      <c r="N771" t="s">
        <v>346</v>
      </c>
      <c r="O771" t="s">
        <v>82</v>
      </c>
      <c r="P771" t="str">
        <f>"4170037515                    "</f>
        <v xml:space="preserve">4170037515                    </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16.7</v>
      </c>
      <c r="AR771">
        <v>0</v>
      </c>
      <c r="AS771">
        <v>0</v>
      </c>
      <c r="AT771">
        <v>0</v>
      </c>
      <c r="AU771">
        <v>0</v>
      </c>
      <c r="AV771">
        <v>0</v>
      </c>
      <c r="AW771">
        <v>0</v>
      </c>
      <c r="AX771">
        <v>0</v>
      </c>
      <c r="AY771">
        <v>0</v>
      </c>
      <c r="AZ771">
        <v>0</v>
      </c>
      <c r="BA771">
        <v>0</v>
      </c>
      <c r="BB771">
        <v>0</v>
      </c>
      <c r="BC771">
        <v>0</v>
      </c>
      <c r="BD771">
        <v>0</v>
      </c>
      <c r="BE771">
        <v>0</v>
      </c>
      <c r="BF771">
        <v>0</v>
      </c>
      <c r="BG771">
        <v>0</v>
      </c>
      <c r="BH771">
        <v>1</v>
      </c>
      <c r="BI771">
        <v>1</v>
      </c>
      <c r="BJ771">
        <v>0.2</v>
      </c>
      <c r="BK771">
        <v>1</v>
      </c>
      <c r="BL771">
        <v>54.66</v>
      </c>
      <c r="BM771">
        <v>8.1999999999999993</v>
      </c>
      <c r="BN771">
        <v>62.86</v>
      </c>
      <c r="BO771">
        <v>62.86</v>
      </c>
      <c r="BQ771" t="s">
        <v>347</v>
      </c>
      <c r="BR771" t="s">
        <v>84</v>
      </c>
      <c r="BS771" s="3">
        <v>45789</v>
      </c>
      <c r="BT771" s="4">
        <v>0.375</v>
      </c>
      <c r="BU771" t="s">
        <v>1518</v>
      </c>
      <c r="BV771" t="s">
        <v>86</v>
      </c>
      <c r="BY771">
        <v>1200</v>
      </c>
      <c r="CA771" t="s">
        <v>1519</v>
      </c>
      <c r="CC771" t="s">
        <v>76</v>
      </c>
      <c r="CD771">
        <v>1619</v>
      </c>
      <c r="CE771" t="s">
        <v>88</v>
      </c>
      <c r="CF771" s="3">
        <v>45790</v>
      </c>
      <c r="CI771">
        <v>1</v>
      </c>
      <c r="CJ771">
        <v>1</v>
      </c>
      <c r="CK771">
        <v>22</v>
      </c>
      <c r="CL771" t="s">
        <v>89</v>
      </c>
    </row>
    <row r="772" spans="1:90" x14ac:dyDescent="0.3">
      <c r="A772" t="s">
        <v>72</v>
      </c>
      <c r="B772" t="s">
        <v>73</v>
      </c>
      <c r="C772" t="s">
        <v>74</v>
      </c>
      <c r="E772" t="str">
        <f>"080065281330"</f>
        <v>080065281330</v>
      </c>
      <c r="F772" s="3">
        <v>45786</v>
      </c>
      <c r="G772">
        <v>202602</v>
      </c>
      <c r="H772" t="s">
        <v>75</v>
      </c>
      <c r="I772" t="s">
        <v>76</v>
      </c>
      <c r="J772" t="s">
        <v>77</v>
      </c>
      <c r="K772" t="s">
        <v>78</v>
      </c>
      <c r="L772" t="s">
        <v>130</v>
      </c>
      <c r="M772" t="s">
        <v>131</v>
      </c>
      <c r="N772" t="s">
        <v>709</v>
      </c>
      <c r="O772" t="s">
        <v>82</v>
      </c>
      <c r="P772" t="str">
        <f>"4170037522                    "</f>
        <v xml:space="preserve">4170037522                    </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21.38</v>
      </c>
      <c r="AR772">
        <v>0</v>
      </c>
      <c r="AS772">
        <v>0</v>
      </c>
      <c r="AT772">
        <v>0</v>
      </c>
      <c r="AU772">
        <v>0</v>
      </c>
      <c r="AV772">
        <v>0</v>
      </c>
      <c r="AW772">
        <v>0</v>
      </c>
      <c r="AX772">
        <v>0</v>
      </c>
      <c r="AY772">
        <v>0</v>
      </c>
      <c r="AZ772">
        <v>0</v>
      </c>
      <c r="BA772">
        <v>0</v>
      </c>
      <c r="BB772">
        <v>0</v>
      </c>
      <c r="BC772">
        <v>0</v>
      </c>
      <c r="BD772">
        <v>0</v>
      </c>
      <c r="BE772">
        <v>0</v>
      </c>
      <c r="BF772">
        <v>0</v>
      </c>
      <c r="BG772">
        <v>0</v>
      </c>
      <c r="BH772">
        <v>1</v>
      </c>
      <c r="BI772">
        <v>1</v>
      </c>
      <c r="BJ772">
        <v>0.2</v>
      </c>
      <c r="BK772">
        <v>1</v>
      </c>
      <c r="BL772">
        <v>69.98</v>
      </c>
      <c r="BM772">
        <v>10.5</v>
      </c>
      <c r="BN772">
        <v>80.48</v>
      </c>
      <c r="BO772">
        <v>80.48</v>
      </c>
      <c r="BQ772" t="s">
        <v>710</v>
      </c>
      <c r="BR772" t="s">
        <v>84</v>
      </c>
      <c r="BS772" s="3">
        <v>45789</v>
      </c>
      <c r="BT772" s="4">
        <v>0.33680555555555558</v>
      </c>
      <c r="BU772" t="s">
        <v>1272</v>
      </c>
      <c r="BV772" t="s">
        <v>86</v>
      </c>
      <c r="BY772">
        <v>1200</v>
      </c>
      <c r="CA772" t="s">
        <v>712</v>
      </c>
      <c r="CC772" t="s">
        <v>131</v>
      </c>
      <c r="CD772">
        <v>7530</v>
      </c>
      <c r="CE772" t="s">
        <v>88</v>
      </c>
      <c r="CF772" s="3">
        <v>45790</v>
      </c>
      <c r="CI772">
        <v>1</v>
      </c>
      <c r="CJ772">
        <v>1</v>
      </c>
      <c r="CK772">
        <v>21</v>
      </c>
      <c r="CL772" t="s">
        <v>89</v>
      </c>
    </row>
    <row r="773" spans="1:90" x14ac:dyDescent="0.3">
      <c r="A773" t="s">
        <v>72</v>
      </c>
      <c r="B773" t="s">
        <v>73</v>
      </c>
      <c r="C773" t="s">
        <v>74</v>
      </c>
      <c r="E773" t="str">
        <f>"080065281375"</f>
        <v>080065281375</v>
      </c>
      <c r="F773" s="3">
        <v>45786</v>
      </c>
      <c r="G773">
        <v>202602</v>
      </c>
      <c r="H773" t="s">
        <v>75</v>
      </c>
      <c r="I773" t="s">
        <v>76</v>
      </c>
      <c r="J773" t="s">
        <v>77</v>
      </c>
      <c r="K773" t="s">
        <v>78</v>
      </c>
      <c r="L773" t="s">
        <v>90</v>
      </c>
      <c r="M773" t="s">
        <v>91</v>
      </c>
      <c r="N773" t="s">
        <v>109</v>
      </c>
      <c r="O773" t="s">
        <v>82</v>
      </c>
      <c r="P773" t="str">
        <f>"4170037554                    "</f>
        <v xml:space="preserve">4170037554                    </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21.38</v>
      </c>
      <c r="AR773">
        <v>0</v>
      </c>
      <c r="AS773">
        <v>0</v>
      </c>
      <c r="AT773">
        <v>0</v>
      </c>
      <c r="AU773">
        <v>0</v>
      </c>
      <c r="AV773">
        <v>0</v>
      </c>
      <c r="AW773">
        <v>0</v>
      </c>
      <c r="AX773">
        <v>0</v>
      </c>
      <c r="AY773">
        <v>0</v>
      </c>
      <c r="AZ773">
        <v>0</v>
      </c>
      <c r="BA773">
        <v>0</v>
      </c>
      <c r="BB773">
        <v>0</v>
      </c>
      <c r="BC773">
        <v>0</v>
      </c>
      <c r="BD773">
        <v>0</v>
      </c>
      <c r="BE773">
        <v>0</v>
      </c>
      <c r="BF773">
        <v>0</v>
      </c>
      <c r="BG773">
        <v>0</v>
      </c>
      <c r="BH773">
        <v>1</v>
      </c>
      <c r="BI773">
        <v>1</v>
      </c>
      <c r="BJ773">
        <v>1.1000000000000001</v>
      </c>
      <c r="BK773">
        <v>1.5</v>
      </c>
      <c r="BL773">
        <v>69.98</v>
      </c>
      <c r="BM773">
        <v>10.5</v>
      </c>
      <c r="BN773">
        <v>80.48</v>
      </c>
      <c r="BO773">
        <v>80.48</v>
      </c>
      <c r="BQ773" t="s">
        <v>110</v>
      </c>
      <c r="BR773" t="s">
        <v>84</v>
      </c>
      <c r="BS773" s="3">
        <v>45789</v>
      </c>
      <c r="BT773" s="4">
        <v>0.37708333333333333</v>
      </c>
      <c r="BU773" t="s">
        <v>111</v>
      </c>
      <c r="BV773" t="s">
        <v>86</v>
      </c>
      <c r="BY773">
        <v>5320</v>
      </c>
      <c r="CA773" t="s">
        <v>95</v>
      </c>
      <c r="CC773" t="s">
        <v>91</v>
      </c>
      <c r="CD773">
        <v>6001</v>
      </c>
      <c r="CE773" t="s">
        <v>96</v>
      </c>
      <c r="CF773" s="3">
        <v>45789</v>
      </c>
      <c r="CI773">
        <v>1</v>
      </c>
      <c r="CJ773">
        <v>1</v>
      </c>
      <c r="CK773">
        <v>21</v>
      </c>
      <c r="CL773" t="s">
        <v>89</v>
      </c>
    </row>
    <row r="774" spans="1:90" x14ac:dyDescent="0.3">
      <c r="A774" t="s">
        <v>72</v>
      </c>
      <c r="B774" t="s">
        <v>73</v>
      </c>
      <c r="C774" t="s">
        <v>74</v>
      </c>
      <c r="E774" t="str">
        <f>"080065281443"</f>
        <v>080065281443</v>
      </c>
      <c r="F774" s="3">
        <v>45786</v>
      </c>
      <c r="G774">
        <v>202602</v>
      </c>
      <c r="H774" t="s">
        <v>75</v>
      </c>
      <c r="I774" t="s">
        <v>76</v>
      </c>
      <c r="J774" t="s">
        <v>77</v>
      </c>
      <c r="K774" t="s">
        <v>78</v>
      </c>
      <c r="L774" t="s">
        <v>350</v>
      </c>
      <c r="M774" t="s">
        <v>351</v>
      </c>
      <c r="N774" t="s">
        <v>678</v>
      </c>
      <c r="O774" t="s">
        <v>82</v>
      </c>
      <c r="P774" t="str">
        <f>"4170037510                    "</f>
        <v xml:space="preserve">4170037510                    </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21.38</v>
      </c>
      <c r="AR774">
        <v>0</v>
      </c>
      <c r="AS774">
        <v>0</v>
      </c>
      <c r="AT774">
        <v>0</v>
      </c>
      <c r="AU774">
        <v>0</v>
      </c>
      <c r="AV774">
        <v>0</v>
      </c>
      <c r="AW774">
        <v>0</v>
      </c>
      <c r="AX774">
        <v>0</v>
      </c>
      <c r="AY774">
        <v>0</v>
      </c>
      <c r="AZ774">
        <v>0</v>
      </c>
      <c r="BA774">
        <v>0</v>
      </c>
      <c r="BB774">
        <v>0</v>
      </c>
      <c r="BC774">
        <v>0</v>
      </c>
      <c r="BD774">
        <v>0</v>
      </c>
      <c r="BE774">
        <v>0</v>
      </c>
      <c r="BF774">
        <v>0</v>
      </c>
      <c r="BG774">
        <v>0</v>
      </c>
      <c r="BH774">
        <v>1</v>
      </c>
      <c r="BI774">
        <v>1</v>
      </c>
      <c r="BJ774">
        <v>1.1000000000000001</v>
      </c>
      <c r="BK774">
        <v>1.5</v>
      </c>
      <c r="BL774">
        <v>69.98</v>
      </c>
      <c r="BM774">
        <v>10.5</v>
      </c>
      <c r="BN774">
        <v>80.48</v>
      </c>
      <c r="BO774">
        <v>80.48</v>
      </c>
      <c r="BQ774" t="s">
        <v>679</v>
      </c>
      <c r="BR774" t="s">
        <v>84</v>
      </c>
      <c r="BS774" s="3">
        <v>45789</v>
      </c>
      <c r="BT774" s="4">
        <v>0.47013888888888888</v>
      </c>
      <c r="BU774" t="s">
        <v>680</v>
      </c>
      <c r="BV774" t="s">
        <v>89</v>
      </c>
      <c r="BW774" t="s">
        <v>296</v>
      </c>
      <c r="BX774" t="s">
        <v>450</v>
      </c>
      <c r="BY774">
        <v>5320</v>
      </c>
      <c r="CA774" t="s">
        <v>326</v>
      </c>
      <c r="CC774" t="s">
        <v>351</v>
      </c>
      <c r="CD774">
        <v>4052</v>
      </c>
      <c r="CE774" t="s">
        <v>96</v>
      </c>
      <c r="CF774" s="3">
        <v>45790</v>
      </c>
      <c r="CI774">
        <v>1</v>
      </c>
      <c r="CJ774">
        <v>1</v>
      </c>
      <c r="CK774">
        <v>21</v>
      </c>
      <c r="CL774" t="s">
        <v>89</v>
      </c>
    </row>
    <row r="775" spans="1:90" x14ac:dyDescent="0.3">
      <c r="A775" t="s">
        <v>72</v>
      </c>
      <c r="B775" t="s">
        <v>73</v>
      </c>
      <c r="C775" t="s">
        <v>74</v>
      </c>
      <c r="E775" t="str">
        <f>"080065281445"</f>
        <v>080065281445</v>
      </c>
      <c r="F775" s="3">
        <v>45786</v>
      </c>
      <c r="G775">
        <v>202602</v>
      </c>
      <c r="H775" t="s">
        <v>75</v>
      </c>
      <c r="I775" t="s">
        <v>76</v>
      </c>
      <c r="J775" t="s">
        <v>77</v>
      </c>
      <c r="K775" t="s">
        <v>78</v>
      </c>
      <c r="L775" t="s">
        <v>479</v>
      </c>
      <c r="M775" t="s">
        <v>480</v>
      </c>
      <c r="N775" t="s">
        <v>1520</v>
      </c>
      <c r="O775" t="s">
        <v>82</v>
      </c>
      <c r="P775" t="str">
        <f>"4170037560                    "</f>
        <v xml:space="preserve">4170037560                    </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16.7</v>
      </c>
      <c r="AR775">
        <v>0</v>
      </c>
      <c r="AS775">
        <v>0</v>
      </c>
      <c r="AT775">
        <v>0</v>
      </c>
      <c r="AU775">
        <v>0</v>
      </c>
      <c r="AV775">
        <v>0</v>
      </c>
      <c r="AW775">
        <v>0</v>
      </c>
      <c r="AX775">
        <v>0</v>
      </c>
      <c r="AY775">
        <v>0</v>
      </c>
      <c r="AZ775">
        <v>0</v>
      </c>
      <c r="BA775">
        <v>0</v>
      </c>
      <c r="BB775">
        <v>0</v>
      </c>
      <c r="BC775">
        <v>0</v>
      </c>
      <c r="BD775">
        <v>0</v>
      </c>
      <c r="BE775">
        <v>0</v>
      </c>
      <c r="BF775">
        <v>0</v>
      </c>
      <c r="BG775">
        <v>0</v>
      </c>
      <c r="BH775">
        <v>1</v>
      </c>
      <c r="BI775">
        <v>1</v>
      </c>
      <c r="BJ775">
        <v>0.2</v>
      </c>
      <c r="BK775">
        <v>1</v>
      </c>
      <c r="BL775">
        <v>54.66</v>
      </c>
      <c r="BM775">
        <v>8.1999999999999993</v>
      </c>
      <c r="BN775">
        <v>62.86</v>
      </c>
      <c r="BO775">
        <v>62.86</v>
      </c>
      <c r="BQ775" t="s">
        <v>1521</v>
      </c>
      <c r="BR775" t="s">
        <v>84</v>
      </c>
      <c r="BS775" s="3">
        <v>45789</v>
      </c>
      <c r="BT775" s="4">
        <v>0.39583333333333331</v>
      </c>
      <c r="BU775" t="s">
        <v>1522</v>
      </c>
      <c r="BV775" t="s">
        <v>86</v>
      </c>
      <c r="BY775">
        <v>1200</v>
      </c>
      <c r="CA775" t="s">
        <v>1443</v>
      </c>
      <c r="CC775" t="s">
        <v>480</v>
      </c>
      <c r="CD775">
        <v>2194</v>
      </c>
      <c r="CE775" t="s">
        <v>88</v>
      </c>
      <c r="CF775" s="3">
        <v>45790</v>
      </c>
      <c r="CI775">
        <v>1</v>
      </c>
      <c r="CJ775">
        <v>1</v>
      </c>
      <c r="CK775">
        <v>22</v>
      </c>
      <c r="CL775" t="s">
        <v>89</v>
      </c>
    </row>
    <row r="776" spans="1:90" x14ac:dyDescent="0.3">
      <c r="A776" t="s">
        <v>72</v>
      </c>
      <c r="B776" t="s">
        <v>73</v>
      </c>
      <c r="C776" t="s">
        <v>74</v>
      </c>
      <c r="E776" t="str">
        <f>"080065281469"</f>
        <v>080065281469</v>
      </c>
      <c r="F776" s="3">
        <v>45786</v>
      </c>
      <c r="G776">
        <v>202602</v>
      </c>
      <c r="H776" t="s">
        <v>75</v>
      </c>
      <c r="I776" t="s">
        <v>76</v>
      </c>
      <c r="J776" t="s">
        <v>77</v>
      </c>
      <c r="K776" t="s">
        <v>78</v>
      </c>
      <c r="L776" t="s">
        <v>350</v>
      </c>
      <c r="M776" t="s">
        <v>351</v>
      </c>
      <c r="N776" t="s">
        <v>1523</v>
      </c>
      <c r="O776" t="s">
        <v>82</v>
      </c>
      <c r="P776" t="str">
        <f>"4170037504                    "</f>
        <v xml:space="preserve">4170037504                    </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21.38</v>
      </c>
      <c r="AR776">
        <v>0</v>
      </c>
      <c r="AS776">
        <v>0</v>
      </c>
      <c r="AT776">
        <v>0</v>
      </c>
      <c r="AU776">
        <v>0</v>
      </c>
      <c r="AV776">
        <v>0</v>
      </c>
      <c r="AW776">
        <v>0</v>
      </c>
      <c r="AX776">
        <v>0</v>
      </c>
      <c r="AY776">
        <v>0</v>
      </c>
      <c r="AZ776">
        <v>0</v>
      </c>
      <c r="BA776">
        <v>0</v>
      </c>
      <c r="BB776">
        <v>0</v>
      </c>
      <c r="BC776">
        <v>0</v>
      </c>
      <c r="BD776">
        <v>0</v>
      </c>
      <c r="BE776">
        <v>0</v>
      </c>
      <c r="BF776">
        <v>0</v>
      </c>
      <c r="BG776">
        <v>0</v>
      </c>
      <c r="BH776">
        <v>1</v>
      </c>
      <c r="BI776">
        <v>1</v>
      </c>
      <c r="BJ776">
        <v>1.1000000000000001</v>
      </c>
      <c r="BK776">
        <v>1.5</v>
      </c>
      <c r="BL776">
        <v>69.98</v>
      </c>
      <c r="BM776">
        <v>10.5</v>
      </c>
      <c r="BN776">
        <v>80.48</v>
      </c>
      <c r="BO776">
        <v>80.48</v>
      </c>
      <c r="BQ776" t="s">
        <v>1524</v>
      </c>
      <c r="BR776" t="s">
        <v>84</v>
      </c>
      <c r="BS776" s="3">
        <v>45789</v>
      </c>
      <c r="BT776" s="4">
        <v>0.45416666666666666</v>
      </c>
      <c r="BU776" t="s">
        <v>1525</v>
      </c>
      <c r="BV776" t="s">
        <v>86</v>
      </c>
      <c r="BY776">
        <v>5320</v>
      </c>
      <c r="CA776" t="s">
        <v>1526</v>
      </c>
      <c r="CC776" t="s">
        <v>351</v>
      </c>
      <c r="CD776">
        <v>4093</v>
      </c>
      <c r="CE776" t="s">
        <v>96</v>
      </c>
      <c r="CF776" s="3">
        <v>45790</v>
      </c>
      <c r="CI776">
        <v>1</v>
      </c>
      <c r="CJ776">
        <v>1</v>
      </c>
      <c r="CK776">
        <v>21</v>
      </c>
      <c r="CL776" t="s">
        <v>89</v>
      </c>
    </row>
    <row r="777" spans="1:90" x14ac:dyDescent="0.3">
      <c r="A777" t="s">
        <v>72</v>
      </c>
      <c r="B777" t="s">
        <v>73</v>
      </c>
      <c r="C777" t="s">
        <v>74</v>
      </c>
      <c r="E777" t="str">
        <f>"080065281657"</f>
        <v>080065281657</v>
      </c>
      <c r="F777" s="3">
        <v>45786</v>
      </c>
      <c r="G777">
        <v>202602</v>
      </c>
      <c r="H777" t="s">
        <v>75</v>
      </c>
      <c r="I777" t="s">
        <v>76</v>
      </c>
      <c r="J777" t="s">
        <v>77</v>
      </c>
      <c r="K777" t="s">
        <v>78</v>
      </c>
      <c r="L777" t="s">
        <v>409</v>
      </c>
      <c r="M777" t="s">
        <v>410</v>
      </c>
      <c r="N777" t="s">
        <v>512</v>
      </c>
      <c r="O777" t="s">
        <v>82</v>
      </c>
      <c r="P777" t="str">
        <f>"4170037545                    "</f>
        <v xml:space="preserve">4170037545                    </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41.43</v>
      </c>
      <c r="AR777">
        <v>0</v>
      </c>
      <c r="AS777">
        <v>0</v>
      </c>
      <c r="AT777">
        <v>0</v>
      </c>
      <c r="AU777">
        <v>0</v>
      </c>
      <c r="AV777">
        <v>0</v>
      </c>
      <c r="AW777">
        <v>0</v>
      </c>
      <c r="AX777">
        <v>0</v>
      </c>
      <c r="AY777">
        <v>0</v>
      </c>
      <c r="AZ777">
        <v>0</v>
      </c>
      <c r="BA777">
        <v>0</v>
      </c>
      <c r="BB777">
        <v>0</v>
      </c>
      <c r="BC777">
        <v>0</v>
      </c>
      <c r="BD777">
        <v>0</v>
      </c>
      <c r="BE777">
        <v>0</v>
      </c>
      <c r="BF777">
        <v>0</v>
      </c>
      <c r="BG777">
        <v>0</v>
      </c>
      <c r="BH777">
        <v>1</v>
      </c>
      <c r="BI777">
        <v>1</v>
      </c>
      <c r="BJ777">
        <v>0.2</v>
      </c>
      <c r="BK777">
        <v>1</v>
      </c>
      <c r="BL777">
        <v>135.59</v>
      </c>
      <c r="BM777">
        <v>20.34</v>
      </c>
      <c r="BN777">
        <v>155.93</v>
      </c>
      <c r="BO777">
        <v>155.93</v>
      </c>
      <c r="BQ777" t="s">
        <v>513</v>
      </c>
      <c r="BR777" t="s">
        <v>84</v>
      </c>
      <c r="BS777" s="3">
        <v>45789</v>
      </c>
      <c r="BT777" s="4">
        <v>0.53125</v>
      </c>
      <c r="BU777" t="s">
        <v>1527</v>
      </c>
      <c r="BV777" t="s">
        <v>86</v>
      </c>
      <c r="BY777">
        <v>1200</v>
      </c>
      <c r="CA777" t="s">
        <v>414</v>
      </c>
      <c r="CC777" t="s">
        <v>410</v>
      </c>
      <c r="CD777">
        <v>6850</v>
      </c>
      <c r="CE777" t="s">
        <v>88</v>
      </c>
      <c r="CF777" s="3">
        <v>45790</v>
      </c>
      <c r="CI777">
        <v>2</v>
      </c>
      <c r="CJ777">
        <v>1</v>
      </c>
      <c r="CK777">
        <v>23</v>
      </c>
      <c r="CL777" t="s">
        <v>89</v>
      </c>
    </row>
    <row r="778" spans="1:90" x14ac:dyDescent="0.3">
      <c r="A778" t="s">
        <v>72</v>
      </c>
      <c r="B778" t="s">
        <v>73</v>
      </c>
      <c r="C778" t="s">
        <v>74</v>
      </c>
      <c r="E778" t="str">
        <f>"080065281672"</f>
        <v>080065281672</v>
      </c>
      <c r="F778" s="3">
        <v>45786</v>
      </c>
      <c r="G778">
        <v>202602</v>
      </c>
      <c r="H778" t="s">
        <v>75</v>
      </c>
      <c r="I778" t="s">
        <v>76</v>
      </c>
      <c r="J778" t="s">
        <v>77</v>
      </c>
      <c r="K778" t="s">
        <v>78</v>
      </c>
      <c r="L778" t="s">
        <v>222</v>
      </c>
      <c r="M778" t="s">
        <v>223</v>
      </c>
      <c r="N778" t="s">
        <v>1369</v>
      </c>
      <c r="O778" t="s">
        <v>82</v>
      </c>
      <c r="P778" t="str">
        <f>"4170037626                    "</f>
        <v xml:space="preserve">4170037626                    </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30.07</v>
      </c>
      <c r="AR778">
        <v>0</v>
      </c>
      <c r="AS778">
        <v>0</v>
      </c>
      <c r="AT778">
        <v>0</v>
      </c>
      <c r="AU778">
        <v>0</v>
      </c>
      <c r="AV778">
        <v>0</v>
      </c>
      <c r="AW778">
        <v>0</v>
      </c>
      <c r="AX778">
        <v>0</v>
      </c>
      <c r="AY778">
        <v>0</v>
      </c>
      <c r="AZ778">
        <v>0</v>
      </c>
      <c r="BA778">
        <v>0</v>
      </c>
      <c r="BB778">
        <v>0</v>
      </c>
      <c r="BC778">
        <v>0</v>
      </c>
      <c r="BD778">
        <v>0</v>
      </c>
      <c r="BE778">
        <v>0</v>
      </c>
      <c r="BF778">
        <v>0</v>
      </c>
      <c r="BG778">
        <v>0</v>
      </c>
      <c r="BH778">
        <v>1</v>
      </c>
      <c r="BI778">
        <v>1</v>
      </c>
      <c r="BJ778">
        <v>0.2</v>
      </c>
      <c r="BK778">
        <v>1</v>
      </c>
      <c r="BL778">
        <v>98.42</v>
      </c>
      <c r="BM778">
        <v>14.76</v>
      </c>
      <c r="BN778">
        <v>113.18</v>
      </c>
      <c r="BO778">
        <v>113.18</v>
      </c>
      <c r="BQ778" t="s">
        <v>1370</v>
      </c>
      <c r="BR778" t="s">
        <v>84</v>
      </c>
      <c r="BS778" s="3">
        <v>45789</v>
      </c>
      <c r="BT778" s="4">
        <v>0.3840277777777778</v>
      </c>
      <c r="BU778" t="s">
        <v>1371</v>
      </c>
      <c r="BV778" t="s">
        <v>86</v>
      </c>
      <c r="BY778">
        <v>1200</v>
      </c>
      <c r="CA778" t="s">
        <v>592</v>
      </c>
      <c r="CC778" t="s">
        <v>223</v>
      </c>
      <c r="CD778">
        <v>1748</v>
      </c>
      <c r="CE778" t="s">
        <v>88</v>
      </c>
      <c r="CF778" s="3">
        <v>45790</v>
      </c>
      <c r="CI778">
        <v>1</v>
      </c>
      <c r="CJ778">
        <v>1</v>
      </c>
      <c r="CK778">
        <v>24</v>
      </c>
      <c r="CL778" t="s">
        <v>89</v>
      </c>
    </row>
    <row r="779" spans="1:90" x14ac:dyDescent="0.3">
      <c r="A779" t="s">
        <v>72</v>
      </c>
      <c r="B779" t="s">
        <v>73</v>
      </c>
      <c r="C779" t="s">
        <v>74</v>
      </c>
      <c r="E779" t="str">
        <f>"080065281702"</f>
        <v>080065281702</v>
      </c>
      <c r="F779" s="3">
        <v>45786</v>
      </c>
      <c r="G779">
        <v>202602</v>
      </c>
      <c r="H779" t="s">
        <v>75</v>
      </c>
      <c r="I779" t="s">
        <v>76</v>
      </c>
      <c r="J779" t="s">
        <v>77</v>
      </c>
      <c r="K779" t="s">
        <v>78</v>
      </c>
      <c r="L779" t="s">
        <v>75</v>
      </c>
      <c r="M779" t="s">
        <v>76</v>
      </c>
      <c r="N779" t="s">
        <v>390</v>
      </c>
      <c r="O779" t="s">
        <v>82</v>
      </c>
      <c r="P779" t="str">
        <f>"4170037568                    "</f>
        <v xml:space="preserve">4170037568                    </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16.7</v>
      </c>
      <c r="AR779">
        <v>0</v>
      </c>
      <c r="AS779">
        <v>0</v>
      </c>
      <c r="AT779">
        <v>0</v>
      </c>
      <c r="AU779">
        <v>0</v>
      </c>
      <c r="AV779">
        <v>0</v>
      </c>
      <c r="AW779">
        <v>0</v>
      </c>
      <c r="AX779">
        <v>0</v>
      </c>
      <c r="AY779">
        <v>0</v>
      </c>
      <c r="AZ779">
        <v>0</v>
      </c>
      <c r="BA779">
        <v>0</v>
      </c>
      <c r="BB779">
        <v>0</v>
      </c>
      <c r="BC779">
        <v>0</v>
      </c>
      <c r="BD779">
        <v>0</v>
      </c>
      <c r="BE779">
        <v>0</v>
      </c>
      <c r="BF779">
        <v>0</v>
      </c>
      <c r="BG779">
        <v>0</v>
      </c>
      <c r="BH779">
        <v>1</v>
      </c>
      <c r="BI779">
        <v>1</v>
      </c>
      <c r="BJ779">
        <v>0.2</v>
      </c>
      <c r="BK779">
        <v>1</v>
      </c>
      <c r="BL779">
        <v>54.66</v>
      </c>
      <c r="BM779">
        <v>8.1999999999999993</v>
      </c>
      <c r="BN779">
        <v>62.86</v>
      </c>
      <c r="BO779">
        <v>62.86</v>
      </c>
      <c r="BQ779" t="s">
        <v>391</v>
      </c>
      <c r="BR779" t="s">
        <v>84</v>
      </c>
      <c r="BS779" s="3">
        <v>45789</v>
      </c>
      <c r="BT779" s="4">
        <v>0.40555555555555556</v>
      </c>
      <c r="BU779" t="s">
        <v>1449</v>
      </c>
      <c r="BV779" t="s">
        <v>86</v>
      </c>
      <c r="BY779">
        <v>1200</v>
      </c>
      <c r="CA779" t="s">
        <v>1450</v>
      </c>
      <c r="CC779" t="s">
        <v>76</v>
      </c>
      <c r="CD779">
        <v>1600</v>
      </c>
      <c r="CE779" t="s">
        <v>88</v>
      </c>
      <c r="CF779" s="3">
        <v>45790</v>
      </c>
      <c r="CI779">
        <v>1</v>
      </c>
      <c r="CJ779">
        <v>1</v>
      </c>
      <c r="CK779">
        <v>22</v>
      </c>
      <c r="CL779" t="s">
        <v>89</v>
      </c>
    </row>
    <row r="780" spans="1:90" x14ac:dyDescent="0.3">
      <c r="A780" t="s">
        <v>72</v>
      </c>
      <c r="B780" t="s">
        <v>73</v>
      </c>
      <c r="C780" t="s">
        <v>74</v>
      </c>
      <c r="E780" t="str">
        <f>"080065281745"</f>
        <v>080065281745</v>
      </c>
      <c r="F780" s="3">
        <v>45786</v>
      </c>
      <c r="G780">
        <v>202602</v>
      </c>
      <c r="H780" t="s">
        <v>75</v>
      </c>
      <c r="I780" t="s">
        <v>76</v>
      </c>
      <c r="J780" t="s">
        <v>77</v>
      </c>
      <c r="K780" t="s">
        <v>78</v>
      </c>
      <c r="L780" t="s">
        <v>75</v>
      </c>
      <c r="M780" t="s">
        <v>76</v>
      </c>
      <c r="N780" t="s">
        <v>661</v>
      </c>
      <c r="O780" t="s">
        <v>82</v>
      </c>
      <c r="P780" t="str">
        <f>"4170037625                    "</f>
        <v xml:space="preserve">4170037625                    </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16.7</v>
      </c>
      <c r="AR780">
        <v>0</v>
      </c>
      <c r="AS780">
        <v>0</v>
      </c>
      <c r="AT780">
        <v>0</v>
      </c>
      <c r="AU780">
        <v>0</v>
      </c>
      <c r="AV780">
        <v>0</v>
      </c>
      <c r="AW780">
        <v>0</v>
      </c>
      <c r="AX780">
        <v>0</v>
      </c>
      <c r="AY780">
        <v>0</v>
      </c>
      <c r="AZ780">
        <v>0</v>
      </c>
      <c r="BA780">
        <v>0</v>
      </c>
      <c r="BB780">
        <v>0</v>
      </c>
      <c r="BC780">
        <v>0</v>
      </c>
      <c r="BD780">
        <v>0</v>
      </c>
      <c r="BE780">
        <v>0</v>
      </c>
      <c r="BF780">
        <v>0</v>
      </c>
      <c r="BG780">
        <v>0</v>
      </c>
      <c r="BH780">
        <v>1</v>
      </c>
      <c r="BI780">
        <v>1</v>
      </c>
      <c r="BJ780">
        <v>0.2</v>
      </c>
      <c r="BK780">
        <v>1</v>
      </c>
      <c r="BL780">
        <v>54.66</v>
      </c>
      <c r="BM780">
        <v>8.1999999999999993</v>
      </c>
      <c r="BN780">
        <v>62.86</v>
      </c>
      <c r="BO780">
        <v>62.86</v>
      </c>
      <c r="BQ780" t="s">
        <v>460</v>
      </c>
      <c r="BR780" t="s">
        <v>84</v>
      </c>
      <c r="BS780" s="3">
        <v>45789</v>
      </c>
      <c r="BT780" s="4">
        <v>0.41666666666666669</v>
      </c>
      <c r="BU780" t="s">
        <v>1478</v>
      </c>
      <c r="BV780" t="s">
        <v>86</v>
      </c>
      <c r="BY780">
        <v>1200</v>
      </c>
      <c r="CA780" t="s">
        <v>1012</v>
      </c>
      <c r="CC780" t="s">
        <v>76</v>
      </c>
      <c r="CD780">
        <v>1614</v>
      </c>
      <c r="CE780" t="s">
        <v>88</v>
      </c>
      <c r="CF780" s="3">
        <v>45789</v>
      </c>
      <c r="CI780">
        <v>1</v>
      </c>
      <c r="CJ780">
        <v>1</v>
      </c>
      <c r="CK780">
        <v>22</v>
      </c>
      <c r="CL780" t="s">
        <v>89</v>
      </c>
    </row>
    <row r="781" spans="1:90" x14ac:dyDescent="0.3">
      <c r="A781" t="s">
        <v>72</v>
      </c>
      <c r="B781" t="s">
        <v>73</v>
      </c>
      <c r="C781" t="s">
        <v>74</v>
      </c>
      <c r="E781" t="str">
        <f>"080065281583"</f>
        <v>080065281583</v>
      </c>
      <c r="F781" s="3">
        <v>45786</v>
      </c>
      <c r="G781">
        <v>202602</v>
      </c>
      <c r="H781" t="s">
        <v>75</v>
      </c>
      <c r="I781" t="s">
        <v>76</v>
      </c>
      <c r="J781" t="s">
        <v>77</v>
      </c>
      <c r="K781" t="s">
        <v>78</v>
      </c>
      <c r="L781" t="s">
        <v>350</v>
      </c>
      <c r="M781" t="s">
        <v>351</v>
      </c>
      <c r="N781" t="s">
        <v>678</v>
      </c>
      <c r="O781" t="s">
        <v>82</v>
      </c>
      <c r="P781" t="str">
        <f>"4170037512                    "</f>
        <v xml:space="preserve">4170037512                    </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32.07</v>
      </c>
      <c r="AR781">
        <v>0</v>
      </c>
      <c r="AS781">
        <v>0</v>
      </c>
      <c r="AT781">
        <v>0</v>
      </c>
      <c r="AU781">
        <v>0</v>
      </c>
      <c r="AV781">
        <v>0</v>
      </c>
      <c r="AW781">
        <v>0</v>
      </c>
      <c r="AX781">
        <v>0</v>
      </c>
      <c r="AY781">
        <v>0</v>
      </c>
      <c r="AZ781">
        <v>0</v>
      </c>
      <c r="BA781">
        <v>0</v>
      </c>
      <c r="BB781">
        <v>0</v>
      </c>
      <c r="BC781">
        <v>0</v>
      </c>
      <c r="BD781">
        <v>0</v>
      </c>
      <c r="BE781">
        <v>0</v>
      </c>
      <c r="BF781">
        <v>0</v>
      </c>
      <c r="BG781">
        <v>0</v>
      </c>
      <c r="BH781">
        <v>1</v>
      </c>
      <c r="BI781">
        <v>3</v>
      </c>
      <c r="BJ781">
        <v>1.1000000000000001</v>
      </c>
      <c r="BK781">
        <v>3</v>
      </c>
      <c r="BL781">
        <v>104.95</v>
      </c>
      <c r="BM781">
        <v>15.74</v>
      </c>
      <c r="BN781">
        <v>120.69</v>
      </c>
      <c r="BO781">
        <v>120.69</v>
      </c>
      <c r="BQ781" t="s">
        <v>679</v>
      </c>
      <c r="BR781" t="s">
        <v>84</v>
      </c>
      <c r="BS781" s="3">
        <v>45789</v>
      </c>
      <c r="BT781" s="4">
        <v>0.47013888888888888</v>
      </c>
      <c r="BU781" t="s">
        <v>680</v>
      </c>
      <c r="BV781" t="s">
        <v>89</v>
      </c>
      <c r="BW781" t="s">
        <v>296</v>
      </c>
      <c r="BX781" t="s">
        <v>450</v>
      </c>
      <c r="BY781">
        <v>5320</v>
      </c>
      <c r="CA781" t="s">
        <v>326</v>
      </c>
      <c r="CC781" t="s">
        <v>351</v>
      </c>
      <c r="CD781">
        <v>4052</v>
      </c>
      <c r="CE781" t="s">
        <v>96</v>
      </c>
      <c r="CF781" s="3">
        <v>45790</v>
      </c>
      <c r="CI781">
        <v>1</v>
      </c>
      <c r="CJ781">
        <v>1</v>
      </c>
      <c r="CK781">
        <v>21</v>
      </c>
      <c r="CL781" t="s">
        <v>89</v>
      </c>
    </row>
    <row r="782" spans="1:90" x14ac:dyDescent="0.3">
      <c r="A782" t="s">
        <v>72</v>
      </c>
      <c r="B782" t="s">
        <v>73</v>
      </c>
      <c r="C782" t="s">
        <v>74</v>
      </c>
      <c r="E782" t="str">
        <f>"080065281574"</f>
        <v>080065281574</v>
      </c>
      <c r="F782" s="3">
        <v>45786</v>
      </c>
      <c r="G782">
        <v>202602</v>
      </c>
      <c r="H782" t="s">
        <v>75</v>
      </c>
      <c r="I782" t="s">
        <v>76</v>
      </c>
      <c r="J782" t="s">
        <v>77</v>
      </c>
      <c r="K782" t="s">
        <v>78</v>
      </c>
      <c r="L782" t="s">
        <v>117</v>
      </c>
      <c r="M782" t="s">
        <v>118</v>
      </c>
      <c r="N782" t="s">
        <v>1153</v>
      </c>
      <c r="O782" t="s">
        <v>82</v>
      </c>
      <c r="P782" t="str">
        <f>"4170037646                    "</f>
        <v xml:space="preserve">4170037646                    </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16.7</v>
      </c>
      <c r="AR782">
        <v>0</v>
      </c>
      <c r="AS782">
        <v>0</v>
      </c>
      <c r="AT782">
        <v>0</v>
      </c>
      <c r="AU782">
        <v>0</v>
      </c>
      <c r="AV782">
        <v>0</v>
      </c>
      <c r="AW782">
        <v>0</v>
      </c>
      <c r="AX782">
        <v>0</v>
      </c>
      <c r="AY782">
        <v>0</v>
      </c>
      <c r="AZ782">
        <v>0</v>
      </c>
      <c r="BA782">
        <v>0</v>
      </c>
      <c r="BB782">
        <v>0</v>
      </c>
      <c r="BC782">
        <v>0</v>
      </c>
      <c r="BD782">
        <v>0</v>
      </c>
      <c r="BE782">
        <v>0</v>
      </c>
      <c r="BF782">
        <v>0</v>
      </c>
      <c r="BG782">
        <v>0</v>
      </c>
      <c r="BH782">
        <v>1</v>
      </c>
      <c r="BI782">
        <v>1</v>
      </c>
      <c r="BJ782">
        <v>0.2</v>
      </c>
      <c r="BK782">
        <v>1</v>
      </c>
      <c r="BL782">
        <v>54.66</v>
      </c>
      <c r="BM782">
        <v>8.1999999999999993</v>
      </c>
      <c r="BN782">
        <v>62.86</v>
      </c>
      <c r="BO782">
        <v>62.86</v>
      </c>
      <c r="BQ782" t="s">
        <v>1154</v>
      </c>
      <c r="BR782" t="s">
        <v>84</v>
      </c>
      <c r="BS782" s="3">
        <v>45789</v>
      </c>
      <c r="BT782" s="4">
        <v>0.39305555555555555</v>
      </c>
      <c r="BU782" t="s">
        <v>1528</v>
      </c>
      <c r="BV782" t="s">
        <v>86</v>
      </c>
      <c r="BY782">
        <v>1200</v>
      </c>
      <c r="CA782" t="s">
        <v>605</v>
      </c>
      <c r="CC782" t="s">
        <v>118</v>
      </c>
      <c r="CD782">
        <v>2065</v>
      </c>
      <c r="CE782" t="s">
        <v>88</v>
      </c>
      <c r="CF782" s="3">
        <v>45790</v>
      </c>
      <c r="CI782">
        <v>1</v>
      </c>
      <c r="CJ782">
        <v>1</v>
      </c>
      <c r="CK782">
        <v>22</v>
      </c>
      <c r="CL782" t="s">
        <v>89</v>
      </c>
    </row>
    <row r="783" spans="1:90" x14ac:dyDescent="0.3">
      <c r="A783" t="s">
        <v>72</v>
      </c>
      <c r="B783" t="s">
        <v>73</v>
      </c>
      <c r="C783" t="s">
        <v>74</v>
      </c>
      <c r="E783" t="str">
        <f>"080065281789"</f>
        <v>080065281789</v>
      </c>
      <c r="F783" s="3">
        <v>45786</v>
      </c>
      <c r="G783">
        <v>202602</v>
      </c>
      <c r="H783" t="s">
        <v>75</v>
      </c>
      <c r="I783" t="s">
        <v>76</v>
      </c>
      <c r="J783" t="s">
        <v>77</v>
      </c>
      <c r="K783" t="s">
        <v>78</v>
      </c>
      <c r="L783" t="s">
        <v>463</v>
      </c>
      <c r="M783" t="s">
        <v>464</v>
      </c>
      <c r="N783" t="s">
        <v>1529</v>
      </c>
      <c r="O783" t="s">
        <v>82</v>
      </c>
      <c r="P783" t="str">
        <f>"4170037633                    "</f>
        <v xml:space="preserve">4170037633                    </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21.38</v>
      </c>
      <c r="AR783">
        <v>0</v>
      </c>
      <c r="AS783">
        <v>0</v>
      </c>
      <c r="AT783">
        <v>0</v>
      </c>
      <c r="AU783">
        <v>0</v>
      </c>
      <c r="AV783">
        <v>0</v>
      </c>
      <c r="AW783">
        <v>0</v>
      </c>
      <c r="AX783">
        <v>0</v>
      </c>
      <c r="AY783">
        <v>0</v>
      </c>
      <c r="AZ783">
        <v>0</v>
      </c>
      <c r="BA783">
        <v>0</v>
      </c>
      <c r="BB783">
        <v>0</v>
      </c>
      <c r="BC783">
        <v>0</v>
      </c>
      <c r="BD783">
        <v>0</v>
      </c>
      <c r="BE783">
        <v>0</v>
      </c>
      <c r="BF783">
        <v>0</v>
      </c>
      <c r="BG783">
        <v>0</v>
      </c>
      <c r="BH783">
        <v>1</v>
      </c>
      <c r="BI783">
        <v>1</v>
      </c>
      <c r="BJ783">
        <v>0.2</v>
      </c>
      <c r="BK783">
        <v>1</v>
      </c>
      <c r="BL783">
        <v>69.98</v>
      </c>
      <c r="BM783">
        <v>10.5</v>
      </c>
      <c r="BN783">
        <v>80.48</v>
      </c>
      <c r="BO783">
        <v>80.48</v>
      </c>
      <c r="BQ783" t="s">
        <v>1530</v>
      </c>
      <c r="BR783" t="s">
        <v>84</v>
      </c>
      <c r="BS783" s="3">
        <v>45789</v>
      </c>
      <c r="BT783" s="4">
        <v>0.67708333333333337</v>
      </c>
      <c r="BU783" t="s">
        <v>1531</v>
      </c>
      <c r="BV783" t="s">
        <v>89</v>
      </c>
      <c r="BY783">
        <v>1200</v>
      </c>
      <c r="CA783" t="s">
        <v>468</v>
      </c>
      <c r="CC783" t="s">
        <v>464</v>
      </c>
      <c r="CD783">
        <v>5201</v>
      </c>
      <c r="CE783" t="s">
        <v>88</v>
      </c>
      <c r="CF783" s="3">
        <v>45790</v>
      </c>
      <c r="CI783">
        <v>1</v>
      </c>
      <c r="CJ783">
        <v>1</v>
      </c>
      <c r="CK783">
        <v>21</v>
      </c>
      <c r="CL783" t="s">
        <v>89</v>
      </c>
    </row>
    <row r="784" spans="1:90" x14ac:dyDescent="0.3">
      <c r="A784" t="s">
        <v>72</v>
      </c>
      <c r="B784" t="s">
        <v>73</v>
      </c>
      <c r="C784" t="s">
        <v>74</v>
      </c>
      <c r="E784" t="str">
        <f>"080065281831"</f>
        <v>080065281831</v>
      </c>
      <c r="F784" s="3">
        <v>45786</v>
      </c>
      <c r="G784">
        <v>202602</v>
      </c>
      <c r="H784" t="s">
        <v>75</v>
      </c>
      <c r="I784" t="s">
        <v>76</v>
      </c>
      <c r="J784" t="s">
        <v>77</v>
      </c>
      <c r="K784" t="s">
        <v>78</v>
      </c>
      <c r="L784" t="s">
        <v>103</v>
      </c>
      <c r="M784" t="s">
        <v>104</v>
      </c>
      <c r="N784" t="s">
        <v>686</v>
      </c>
      <c r="O784" t="s">
        <v>82</v>
      </c>
      <c r="P784" t="str">
        <f>"4170037658                    "</f>
        <v xml:space="preserve">4170037658                    </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21.38</v>
      </c>
      <c r="AR784">
        <v>0</v>
      </c>
      <c r="AS784">
        <v>0</v>
      </c>
      <c r="AT784">
        <v>0</v>
      </c>
      <c r="AU784">
        <v>0</v>
      </c>
      <c r="AV784">
        <v>0</v>
      </c>
      <c r="AW784">
        <v>0</v>
      </c>
      <c r="AX784">
        <v>0</v>
      </c>
      <c r="AY784">
        <v>0</v>
      </c>
      <c r="AZ784">
        <v>0</v>
      </c>
      <c r="BA784">
        <v>0</v>
      </c>
      <c r="BB784">
        <v>0</v>
      </c>
      <c r="BC784">
        <v>0</v>
      </c>
      <c r="BD784">
        <v>0</v>
      </c>
      <c r="BE784">
        <v>0</v>
      </c>
      <c r="BF784">
        <v>0</v>
      </c>
      <c r="BG784">
        <v>0</v>
      </c>
      <c r="BH784">
        <v>1</v>
      </c>
      <c r="BI784">
        <v>1</v>
      </c>
      <c r="BJ784">
        <v>0.2</v>
      </c>
      <c r="BK784">
        <v>1</v>
      </c>
      <c r="BL784">
        <v>69.98</v>
      </c>
      <c r="BM784">
        <v>10.5</v>
      </c>
      <c r="BN784">
        <v>80.48</v>
      </c>
      <c r="BO784">
        <v>80.48</v>
      </c>
      <c r="BQ784" t="s">
        <v>687</v>
      </c>
      <c r="BR784" t="s">
        <v>84</v>
      </c>
      <c r="BS784" s="3">
        <v>45789</v>
      </c>
      <c r="BT784" s="4">
        <v>0.4201388888888889</v>
      </c>
      <c r="BU784" t="s">
        <v>1485</v>
      </c>
      <c r="BV784" t="s">
        <v>86</v>
      </c>
      <c r="BY784">
        <v>1200</v>
      </c>
      <c r="CA784" t="s">
        <v>1169</v>
      </c>
      <c r="CC784" t="s">
        <v>104</v>
      </c>
      <c r="CD784">
        <v>3201</v>
      </c>
      <c r="CE784" t="s">
        <v>88</v>
      </c>
      <c r="CF784" s="3">
        <v>45789</v>
      </c>
      <c r="CI784">
        <v>1</v>
      </c>
      <c r="CJ784">
        <v>1</v>
      </c>
      <c r="CK784">
        <v>21</v>
      </c>
      <c r="CL784" t="s">
        <v>89</v>
      </c>
    </row>
    <row r="785" spans="1:90" x14ac:dyDescent="0.3">
      <c r="A785" t="s">
        <v>72</v>
      </c>
      <c r="B785" t="s">
        <v>73</v>
      </c>
      <c r="C785" t="s">
        <v>74</v>
      </c>
      <c r="E785" t="str">
        <f>"080065281874"</f>
        <v>080065281874</v>
      </c>
      <c r="F785" s="3">
        <v>45786</v>
      </c>
      <c r="G785">
        <v>202602</v>
      </c>
      <c r="H785" t="s">
        <v>75</v>
      </c>
      <c r="I785" t="s">
        <v>76</v>
      </c>
      <c r="J785" t="s">
        <v>77</v>
      </c>
      <c r="K785" t="s">
        <v>78</v>
      </c>
      <c r="L785" t="s">
        <v>75</v>
      </c>
      <c r="M785" t="s">
        <v>76</v>
      </c>
      <c r="N785" t="s">
        <v>822</v>
      </c>
      <c r="O785" t="s">
        <v>82</v>
      </c>
      <c r="P785" t="str">
        <f>"4170037543                    "</f>
        <v xml:space="preserve">4170037543                    </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16.7</v>
      </c>
      <c r="AR785">
        <v>0</v>
      </c>
      <c r="AS785">
        <v>0</v>
      </c>
      <c r="AT785">
        <v>0</v>
      </c>
      <c r="AU785">
        <v>0</v>
      </c>
      <c r="AV785">
        <v>0</v>
      </c>
      <c r="AW785">
        <v>0</v>
      </c>
      <c r="AX785">
        <v>0</v>
      </c>
      <c r="AY785">
        <v>0</v>
      </c>
      <c r="AZ785">
        <v>0</v>
      </c>
      <c r="BA785">
        <v>0</v>
      </c>
      <c r="BB785">
        <v>0</v>
      </c>
      <c r="BC785">
        <v>0</v>
      </c>
      <c r="BD785">
        <v>0</v>
      </c>
      <c r="BE785">
        <v>0</v>
      </c>
      <c r="BF785">
        <v>0</v>
      </c>
      <c r="BG785">
        <v>0</v>
      </c>
      <c r="BH785">
        <v>1</v>
      </c>
      <c r="BI785">
        <v>1</v>
      </c>
      <c r="BJ785">
        <v>0.2</v>
      </c>
      <c r="BK785">
        <v>1</v>
      </c>
      <c r="BL785">
        <v>54.66</v>
      </c>
      <c r="BM785">
        <v>8.1999999999999993</v>
      </c>
      <c r="BN785">
        <v>62.86</v>
      </c>
      <c r="BO785">
        <v>62.86</v>
      </c>
      <c r="BQ785" t="s">
        <v>823</v>
      </c>
      <c r="BR785" t="s">
        <v>84</v>
      </c>
      <c r="BS785" s="3">
        <v>45789</v>
      </c>
      <c r="BT785" s="4">
        <v>0.53125</v>
      </c>
      <c r="BU785" t="s">
        <v>1532</v>
      </c>
      <c r="BV785" t="s">
        <v>89</v>
      </c>
      <c r="BW785" t="s">
        <v>148</v>
      </c>
      <c r="BX785" t="s">
        <v>1130</v>
      </c>
      <c r="BY785">
        <v>1200</v>
      </c>
      <c r="CA785" t="s">
        <v>1012</v>
      </c>
      <c r="CC785" t="s">
        <v>76</v>
      </c>
      <c r="CD785">
        <v>1614</v>
      </c>
      <c r="CE785" t="s">
        <v>88</v>
      </c>
      <c r="CF785" s="3">
        <v>45789</v>
      </c>
      <c r="CI785">
        <v>1</v>
      </c>
      <c r="CJ785">
        <v>1</v>
      </c>
      <c r="CK785">
        <v>22</v>
      </c>
      <c r="CL785" t="s">
        <v>89</v>
      </c>
    </row>
    <row r="786" spans="1:90" x14ac:dyDescent="0.3">
      <c r="A786" t="s">
        <v>72</v>
      </c>
      <c r="B786" t="s">
        <v>73</v>
      </c>
      <c r="C786" t="s">
        <v>74</v>
      </c>
      <c r="E786" t="str">
        <f>"080065281881"</f>
        <v>080065281881</v>
      </c>
      <c r="F786" s="3">
        <v>45786</v>
      </c>
      <c r="G786">
        <v>202602</v>
      </c>
      <c r="H786" t="s">
        <v>75</v>
      </c>
      <c r="I786" t="s">
        <v>76</v>
      </c>
      <c r="J786" t="s">
        <v>77</v>
      </c>
      <c r="K786" t="s">
        <v>78</v>
      </c>
      <c r="L786" t="s">
        <v>117</v>
      </c>
      <c r="M786" t="s">
        <v>118</v>
      </c>
      <c r="N786" t="s">
        <v>1533</v>
      </c>
      <c r="O786" t="s">
        <v>82</v>
      </c>
      <c r="P786" t="str">
        <f>"4170037533                    "</f>
        <v xml:space="preserve">4170037533                    </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16.7</v>
      </c>
      <c r="AR786">
        <v>0</v>
      </c>
      <c r="AS786">
        <v>0</v>
      </c>
      <c r="AT786">
        <v>0</v>
      </c>
      <c r="AU786">
        <v>0</v>
      </c>
      <c r="AV786">
        <v>0</v>
      </c>
      <c r="AW786">
        <v>0</v>
      </c>
      <c r="AX786">
        <v>0</v>
      </c>
      <c r="AY786">
        <v>0</v>
      </c>
      <c r="AZ786">
        <v>0</v>
      </c>
      <c r="BA786">
        <v>0</v>
      </c>
      <c r="BB786">
        <v>0</v>
      </c>
      <c r="BC786">
        <v>0</v>
      </c>
      <c r="BD786">
        <v>0</v>
      </c>
      <c r="BE786">
        <v>0</v>
      </c>
      <c r="BF786">
        <v>0</v>
      </c>
      <c r="BG786">
        <v>0</v>
      </c>
      <c r="BH786">
        <v>1</v>
      </c>
      <c r="BI786">
        <v>1</v>
      </c>
      <c r="BJ786">
        <v>0.2</v>
      </c>
      <c r="BK786">
        <v>1</v>
      </c>
      <c r="BL786">
        <v>54.66</v>
      </c>
      <c r="BM786">
        <v>8.1999999999999993</v>
      </c>
      <c r="BN786">
        <v>62.86</v>
      </c>
      <c r="BO786">
        <v>62.86</v>
      </c>
      <c r="BQ786" t="s">
        <v>1534</v>
      </c>
      <c r="BR786" t="s">
        <v>84</v>
      </c>
      <c r="BS786" s="3">
        <v>45789</v>
      </c>
      <c r="BT786" s="4">
        <v>0.38194444444444442</v>
      </c>
      <c r="BU786" t="s">
        <v>1535</v>
      </c>
      <c r="BV786" t="s">
        <v>86</v>
      </c>
      <c r="BY786">
        <v>1200</v>
      </c>
      <c r="CA786" t="s">
        <v>275</v>
      </c>
      <c r="CC786" t="s">
        <v>118</v>
      </c>
      <c r="CD786">
        <v>2091</v>
      </c>
      <c r="CE786" t="s">
        <v>88</v>
      </c>
      <c r="CF786" s="3">
        <v>45790</v>
      </c>
      <c r="CI786">
        <v>1</v>
      </c>
      <c r="CJ786">
        <v>1</v>
      </c>
      <c r="CK786">
        <v>22</v>
      </c>
      <c r="CL786" t="s">
        <v>89</v>
      </c>
    </row>
    <row r="787" spans="1:90" x14ac:dyDescent="0.3">
      <c r="A787" t="s">
        <v>72</v>
      </c>
      <c r="B787" t="s">
        <v>73</v>
      </c>
      <c r="C787" t="s">
        <v>74</v>
      </c>
      <c r="E787" t="str">
        <f>"080065281908"</f>
        <v>080065281908</v>
      </c>
      <c r="F787" s="3">
        <v>45786</v>
      </c>
      <c r="G787">
        <v>202602</v>
      </c>
      <c r="H787" t="s">
        <v>75</v>
      </c>
      <c r="I787" t="s">
        <v>76</v>
      </c>
      <c r="J787" t="s">
        <v>77</v>
      </c>
      <c r="K787" t="s">
        <v>78</v>
      </c>
      <c r="L787" t="s">
        <v>350</v>
      </c>
      <c r="M787" t="s">
        <v>351</v>
      </c>
      <c r="N787" t="s">
        <v>678</v>
      </c>
      <c r="O787" t="s">
        <v>82</v>
      </c>
      <c r="P787" t="str">
        <f>"4170037660                    "</f>
        <v xml:space="preserve">4170037660                    </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21.38</v>
      </c>
      <c r="AR787">
        <v>0</v>
      </c>
      <c r="AS787">
        <v>0</v>
      </c>
      <c r="AT787">
        <v>0</v>
      </c>
      <c r="AU787">
        <v>0</v>
      </c>
      <c r="AV787">
        <v>0</v>
      </c>
      <c r="AW787">
        <v>0</v>
      </c>
      <c r="AX787">
        <v>0</v>
      </c>
      <c r="AY787">
        <v>0</v>
      </c>
      <c r="AZ787">
        <v>0</v>
      </c>
      <c r="BA787">
        <v>0</v>
      </c>
      <c r="BB787">
        <v>0</v>
      </c>
      <c r="BC787">
        <v>0</v>
      </c>
      <c r="BD787">
        <v>0</v>
      </c>
      <c r="BE787">
        <v>0</v>
      </c>
      <c r="BF787">
        <v>0</v>
      </c>
      <c r="BG787">
        <v>0</v>
      </c>
      <c r="BH787">
        <v>1</v>
      </c>
      <c r="BI787">
        <v>1</v>
      </c>
      <c r="BJ787">
        <v>0.2</v>
      </c>
      <c r="BK787">
        <v>1</v>
      </c>
      <c r="BL787">
        <v>69.98</v>
      </c>
      <c r="BM787">
        <v>10.5</v>
      </c>
      <c r="BN787">
        <v>80.48</v>
      </c>
      <c r="BO787">
        <v>80.48</v>
      </c>
      <c r="BQ787" t="s">
        <v>679</v>
      </c>
      <c r="BR787" t="s">
        <v>84</v>
      </c>
      <c r="BS787" s="3">
        <v>45789</v>
      </c>
      <c r="BT787" s="4">
        <v>0.47013888888888888</v>
      </c>
      <c r="BU787" t="s">
        <v>680</v>
      </c>
      <c r="BV787" t="s">
        <v>89</v>
      </c>
      <c r="BW787" t="s">
        <v>296</v>
      </c>
      <c r="BX787" t="s">
        <v>450</v>
      </c>
      <c r="BY787">
        <v>1200</v>
      </c>
      <c r="CA787" t="s">
        <v>326</v>
      </c>
      <c r="CC787" t="s">
        <v>351</v>
      </c>
      <c r="CD787">
        <v>4052</v>
      </c>
      <c r="CE787" t="s">
        <v>88</v>
      </c>
      <c r="CF787" s="3">
        <v>45790</v>
      </c>
      <c r="CI787">
        <v>1</v>
      </c>
      <c r="CJ787">
        <v>1</v>
      </c>
      <c r="CK787">
        <v>21</v>
      </c>
      <c r="CL787" t="s">
        <v>89</v>
      </c>
    </row>
    <row r="788" spans="1:90" x14ac:dyDescent="0.3">
      <c r="A788" t="s">
        <v>72</v>
      </c>
      <c r="B788" t="s">
        <v>73</v>
      </c>
      <c r="C788" t="s">
        <v>74</v>
      </c>
      <c r="E788" t="str">
        <f>"080065281940"</f>
        <v>080065281940</v>
      </c>
      <c r="F788" s="3">
        <v>45786</v>
      </c>
      <c r="G788">
        <v>202602</v>
      </c>
      <c r="H788" t="s">
        <v>75</v>
      </c>
      <c r="I788" t="s">
        <v>76</v>
      </c>
      <c r="J788" t="s">
        <v>77</v>
      </c>
      <c r="K788" t="s">
        <v>78</v>
      </c>
      <c r="L788" t="s">
        <v>79</v>
      </c>
      <c r="M788" t="s">
        <v>80</v>
      </c>
      <c r="N788" t="s">
        <v>157</v>
      </c>
      <c r="O788" t="s">
        <v>82</v>
      </c>
      <c r="P788" t="str">
        <f>"4170037513                    "</f>
        <v xml:space="preserve">4170037513                    </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21.38</v>
      </c>
      <c r="AR788">
        <v>0</v>
      </c>
      <c r="AS788">
        <v>0</v>
      </c>
      <c r="AT788">
        <v>0</v>
      </c>
      <c r="AU788">
        <v>0</v>
      </c>
      <c r="AV788">
        <v>0</v>
      </c>
      <c r="AW788">
        <v>0</v>
      </c>
      <c r="AX788">
        <v>0</v>
      </c>
      <c r="AY788">
        <v>0</v>
      </c>
      <c r="AZ788">
        <v>0</v>
      </c>
      <c r="BA788">
        <v>0</v>
      </c>
      <c r="BB788">
        <v>0</v>
      </c>
      <c r="BC788">
        <v>0</v>
      </c>
      <c r="BD788">
        <v>0</v>
      </c>
      <c r="BE788">
        <v>0</v>
      </c>
      <c r="BF788">
        <v>0</v>
      </c>
      <c r="BG788">
        <v>0</v>
      </c>
      <c r="BH788">
        <v>1</v>
      </c>
      <c r="BI788">
        <v>1</v>
      </c>
      <c r="BJ788">
        <v>0.2</v>
      </c>
      <c r="BK788">
        <v>1</v>
      </c>
      <c r="BL788">
        <v>69.98</v>
      </c>
      <c r="BM788">
        <v>10.5</v>
      </c>
      <c r="BN788">
        <v>80.48</v>
      </c>
      <c r="BO788">
        <v>80.48</v>
      </c>
      <c r="BQ788" t="s">
        <v>158</v>
      </c>
      <c r="BR788" t="s">
        <v>84</v>
      </c>
      <c r="BS788" s="3">
        <v>45789</v>
      </c>
      <c r="BT788" s="4">
        <v>0.48055555555555557</v>
      </c>
      <c r="BU788" t="s">
        <v>1536</v>
      </c>
      <c r="BV788" t="s">
        <v>86</v>
      </c>
      <c r="BY788">
        <v>1200</v>
      </c>
      <c r="CA788" t="s">
        <v>160</v>
      </c>
      <c r="CC788" t="s">
        <v>80</v>
      </c>
      <c r="CD788">
        <v>3610</v>
      </c>
      <c r="CE788" t="s">
        <v>88</v>
      </c>
      <c r="CF788" s="3">
        <v>45790</v>
      </c>
      <c r="CI788">
        <v>1</v>
      </c>
      <c r="CJ788">
        <v>1</v>
      </c>
      <c r="CK788">
        <v>21</v>
      </c>
      <c r="CL788" t="s">
        <v>89</v>
      </c>
    </row>
    <row r="789" spans="1:90" x14ac:dyDescent="0.3">
      <c r="A789" t="s">
        <v>72</v>
      </c>
      <c r="B789" t="s">
        <v>73</v>
      </c>
      <c r="C789" t="s">
        <v>74</v>
      </c>
      <c r="E789" t="str">
        <f>"080065281998"</f>
        <v>080065281998</v>
      </c>
      <c r="F789" s="3">
        <v>45786</v>
      </c>
      <c r="G789">
        <v>202602</v>
      </c>
      <c r="H789" t="s">
        <v>75</v>
      </c>
      <c r="I789" t="s">
        <v>76</v>
      </c>
      <c r="J789" t="s">
        <v>77</v>
      </c>
      <c r="K789" t="s">
        <v>78</v>
      </c>
      <c r="L789" t="s">
        <v>1537</v>
      </c>
      <c r="M789" t="s">
        <v>1537</v>
      </c>
      <c r="N789" t="s">
        <v>1538</v>
      </c>
      <c r="O789" t="s">
        <v>82</v>
      </c>
      <c r="P789" t="str">
        <f>"4170037549                    "</f>
        <v xml:space="preserve">4170037549                    </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41.43</v>
      </c>
      <c r="AR789">
        <v>0</v>
      </c>
      <c r="AS789">
        <v>0</v>
      </c>
      <c r="AT789">
        <v>0</v>
      </c>
      <c r="AU789">
        <v>0</v>
      </c>
      <c r="AV789">
        <v>0</v>
      </c>
      <c r="AW789">
        <v>0</v>
      </c>
      <c r="AX789">
        <v>0</v>
      </c>
      <c r="AY789">
        <v>0</v>
      </c>
      <c r="AZ789">
        <v>0</v>
      </c>
      <c r="BA789">
        <v>0</v>
      </c>
      <c r="BB789">
        <v>0</v>
      </c>
      <c r="BC789">
        <v>0</v>
      </c>
      <c r="BD789">
        <v>0</v>
      </c>
      <c r="BE789">
        <v>0</v>
      </c>
      <c r="BF789">
        <v>0</v>
      </c>
      <c r="BG789">
        <v>0</v>
      </c>
      <c r="BH789">
        <v>1</v>
      </c>
      <c r="BI789">
        <v>1</v>
      </c>
      <c r="BJ789">
        <v>0.2</v>
      </c>
      <c r="BK789">
        <v>1</v>
      </c>
      <c r="BL789">
        <v>135.59</v>
      </c>
      <c r="BM789">
        <v>20.34</v>
      </c>
      <c r="BN789">
        <v>155.93</v>
      </c>
      <c r="BO789">
        <v>155.93</v>
      </c>
      <c r="BQ789" t="s">
        <v>1539</v>
      </c>
      <c r="BR789" t="s">
        <v>84</v>
      </c>
      <c r="BS789" t="s">
        <v>1540</v>
      </c>
      <c r="BY789">
        <v>1200</v>
      </c>
      <c r="CC789" t="s">
        <v>1537</v>
      </c>
      <c r="CD789">
        <v>7681</v>
      </c>
      <c r="CE789" t="s">
        <v>88</v>
      </c>
      <c r="CI789">
        <v>1</v>
      </c>
      <c r="CJ789" t="s">
        <v>1540</v>
      </c>
      <c r="CK789">
        <v>23</v>
      </c>
      <c r="CL789" t="s">
        <v>89</v>
      </c>
    </row>
    <row r="790" spans="1:90" x14ac:dyDescent="0.3">
      <c r="A790" t="s">
        <v>72</v>
      </c>
      <c r="B790" t="s">
        <v>73</v>
      </c>
      <c r="C790" t="s">
        <v>74</v>
      </c>
      <c r="E790" t="str">
        <f>"080065281982"</f>
        <v>080065281982</v>
      </c>
      <c r="F790" s="3">
        <v>45786</v>
      </c>
      <c r="G790">
        <v>202602</v>
      </c>
      <c r="H790" t="s">
        <v>75</v>
      </c>
      <c r="I790" t="s">
        <v>76</v>
      </c>
      <c r="J790" t="s">
        <v>77</v>
      </c>
      <c r="K790" t="s">
        <v>78</v>
      </c>
      <c r="L790" t="s">
        <v>90</v>
      </c>
      <c r="M790" t="s">
        <v>91</v>
      </c>
      <c r="N790" t="s">
        <v>385</v>
      </c>
      <c r="O790" t="s">
        <v>82</v>
      </c>
      <c r="P790" t="str">
        <f>"4170037605                    "</f>
        <v xml:space="preserve">4170037605                    </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21.38</v>
      </c>
      <c r="AR790">
        <v>0</v>
      </c>
      <c r="AS790">
        <v>0</v>
      </c>
      <c r="AT790">
        <v>0</v>
      </c>
      <c r="AU790">
        <v>0</v>
      </c>
      <c r="AV790">
        <v>0</v>
      </c>
      <c r="AW790">
        <v>0</v>
      </c>
      <c r="AX790">
        <v>0</v>
      </c>
      <c r="AY790">
        <v>0</v>
      </c>
      <c r="AZ790">
        <v>0</v>
      </c>
      <c r="BA790">
        <v>0</v>
      </c>
      <c r="BB790">
        <v>0</v>
      </c>
      <c r="BC790">
        <v>0</v>
      </c>
      <c r="BD790">
        <v>0</v>
      </c>
      <c r="BE790">
        <v>0</v>
      </c>
      <c r="BF790">
        <v>0</v>
      </c>
      <c r="BG790">
        <v>0</v>
      </c>
      <c r="BH790">
        <v>1</v>
      </c>
      <c r="BI790">
        <v>1</v>
      </c>
      <c r="BJ790">
        <v>0.2</v>
      </c>
      <c r="BK790">
        <v>1</v>
      </c>
      <c r="BL790">
        <v>69.98</v>
      </c>
      <c r="BM790">
        <v>10.5</v>
      </c>
      <c r="BN790">
        <v>80.48</v>
      </c>
      <c r="BO790">
        <v>80.48</v>
      </c>
      <c r="BQ790" t="s">
        <v>386</v>
      </c>
      <c r="BR790" t="s">
        <v>84</v>
      </c>
      <c r="BS790" s="3">
        <v>45789</v>
      </c>
      <c r="BT790" s="4">
        <v>0.39444444444444443</v>
      </c>
      <c r="BU790" t="s">
        <v>387</v>
      </c>
      <c r="BV790" t="s">
        <v>86</v>
      </c>
      <c r="BY790">
        <v>1200</v>
      </c>
      <c r="CA790" t="s">
        <v>95</v>
      </c>
      <c r="CC790" t="s">
        <v>91</v>
      </c>
      <c r="CD790">
        <v>6056</v>
      </c>
      <c r="CE790" t="s">
        <v>88</v>
      </c>
      <c r="CF790" s="3">
        <v>45789</v>
      </c>
      <c r="CI790">
        <v>1</v>
      </c>
      <c r="CJ790">
        <v>1</v>
      </c>
      <c r="CK790">
        <v>21</v>
      </c>
      <c r="CL790" t="s">
        <v>89</v>
      </c>
    </row>
    <row r="791" spans="1:90" x14ac:dyDescent="0.3">
      <c r="A791" t="s">
        <v>72</v>
      </c>
      <c r="B791" t="s">
        <v>73</v>
      </c>
      <c r="C791" t="s">
        <v>74</v>
      </c>
      <c r="E791" t="str">
        <f>"080065282037"</f>
        <v>080065282037</v>
      </c>
      <c r="F791" s="3">
        <v>45786</v>
      </c>
      <c r="G791">
        <v>202602</v>
      </c>
      <c r="H791" t="s">
        <v>75</v>
      </c>
      <c r="I791" t="s">
        <v>76</v>
      </c>
      <c r="J791" t="s">
        <v>77</v>
      </c>
      <c r="K791" t="s">
        <v>78</v>
      </c>
      <c r="L791" t="s">
        <v>90</v>
      </c>
      <c r="M791" t="s">
        <v>91</v>
      </c>
      <c r="N791" t="s">
        <v>371</v>
      </c>
      <c r="O791" t="s">
        <v>82</v>
      </c>
      <c r="P791" t="str">
        <f>"4170037654                    "</f>
        <v xml:space="preserve">4170037654                    </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21.38</v>
      </c>
      <c r="AR791">
        <v>0</v>
      </c>
      <c r="AS791">
        <v>0</v>
      </c>
      <c r="AT791">
        <v>0</v>
      </c>
      <c r="AU791">
        <v>0</v>
      </c>
      <c r="AV791">
        <v>0</v>
      </c>
      <c r="AW791">
        <v>0</v>
      </c>
      <c r="AX791">
        <v>0</v>
      </c>
      <c r="AY791">
        <v>0</v>
      </c>
      <c r="AZ791">
        <v>0</v>
      </c>
      <c r="BA791">
        <v>0</v>
      </c>
      <c r="BB791">
        <v>0</v>
      </c>
      <c r="BC791">
        <v>0</v>
      </c>
      <c r="BD791">
        <v>0</v>
      </c>
      <c r="BE791">
        <v>0</v>
      </c>
      <c r="BF791">
        <v>0</v>
      </c>
      <c r="BG791">
        <v>0</v>
      </c>
      <c r="BH791">
        <v>1</v>
      </c>
      <c r="BI791">
        <v>1</v>
      </c>
      <c r="BJ791">
        <v>0.2</v>
      </c>
      <c r="BK791">
        <v>1</v>
      </c>
      <c r="BL791">
        <v>69.98</v>
      </c>
      <c r="BM791">
        <v>10.5</v>
      </c>
      <c r="BN791">
        <v>80.48</v>
      </c>
      <c r="BO791">
        <v>80.48</v>
      </c>
      <c r="BQ791" t="s">
        <v>372</v>
      </c>
      <c r="BR791" t="s">
        <v>84</v>
      </c>
      <c r="BS791" s="3">
        <v>45789</v>
      </c>
      <c r="BT791" s="4">
        <v>0.41388888888888886</v>
      </c>
      <c r="BU791" t="s">
        <v>373</v>
      </c>
      <c r="BV791" t="s">
        <v>86</v>
      </c>
      <c r="BY791">
        <v>1200</v>
      </c>
      <c r="CA791" t="s">
        <v>298</v>
      </c>
      <c r="CC791" t="s">
        <v>91</v>
      </c>
      <c r="CD791">
        <v>6001</v>
      </c>
      <c r="CE791" t="s">
        <v>88</v>
      </c>
      <c r="CF791" s="3">
        <v>45789</v>
      </c>
      <c r="CI791">
        <v>1</v>
      </c>
      <c r="CJ791">
        <v>1</v>
      </c>
      <c r="CK791">
        <v>21</v>
      </c>
      <c r="CL791" t="s">
        <v>89</v>
      </c>
    </row>
    <row r="792" spans="1:90" x14ac:dyDescent="0.3">
      <c r="A792" t="s">
        <v>72</v>
      </c>
      <c r="B792" t="s">
        <v>73</v>
      </c>
      <c r="C792" t="s">
        <v>74</v>
      </c>
      <c r="E792" t="str">
        <f>"080065282048"</f>
        <v>080065282048</v>
      </c>
      <c r="F792" s="3">
        <v>45786</v>
      </c>
      <c r="G792">
        <v>202602</v>
      </c>
      <c r="H792" t="s">
        <v>75</v>
      </c>
      <c r="I792" t="s">
        <v>76</v>
      </c>
      <c r="J792" t="s">
        <v>77</v>
      </c>
      <c r="K792" t="s">
        <v>78</v>
      </c>
      <c r="L792" t="s">
        <v>350</v>
      </c>
      <c r="M792" t="s">
        <v>351</v>
      </c>
      <c r="N792" t="s">
        <v>459</v>
      </c>
      <c r="O792" t="s">
        <v>82</v>
      </c>
      <c r="P792" t="str">
        <f>"4170037691                    "</f>
        <v xml:space="preserve">4170037691                    </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21.38</v>
      </c>
      <c r="AR792">
        <v>0</v>
      </c>
      <c r="AS792">
        <v>0</v>
      </c>
      <c r="AT792">
        <v>0</v>
      </c>
      <c r="AU792">
        <v>0</v>
      </c>
      <c r="AV792">
        <v>0</v>
      </c>
      <c r="AW792">
        <v>0</v>
      </c>
      <c r="AX792">
        <v>0</v>
      </c>
      <c r="AY792">
        <v>0</v>
      </c>
      <c r="AZ792">
        <v>0</v>
      </c>
      <c r="BA792">
        <v>0</v>
      </c>
      <c r="BB792">
        <v>0</v>
      </c>
      <c r="BC792">
        <v>0</v>
      </c>
      <c r="BD792">
        <v>0</v>
      </c>
      <c r="BE792">
        <v>0</v>
      </c>
      <c r="BF792">
        <v>0</v>
      </c>
      <c r="BG792">
        <v>0</v>
      </c>
      <c r="BH792">
        <v>1</v>
      </c>
      <c r="BI792">
        <v>1</v>
      </c>
      <c r="BJ792">
        <v>0.2</v>
      </c>
      <c r="BK792">
        <v>1</v>
      </c>
      <c r="BL792">
        <v>69.98</v>
      </c>
      <c r="BM792">
        <v>10.5</v>
      </c>
      <c r="BN792">
        <v>80.48</v>
      </c>
      <c r="BO792">
        <v>80.48</v>
      </c>
      <c r="BQ792" t="s">
        <v>460</v>
      </c>
      <c r="BR792" t="s">
        <v>84</v>
      </c>
      <c r="BS792" s="3">
        <v>45789</v>
      </c>
      <c r="BT792" s="4">
        <v>0.55694444444444446</v>
      </c>
      <c r="BU792" t="s">
        <v>1121</v>
      </c>
      <c r="BV792" t="s">
        <v>89</v>
      </c>
      <c r="BW792" t="s">
        <v>296</v>
      </c>
      <c r="BX792" t="s">
        <v>450</v>
      </c>
      <c r="BY792">
        <v>1200</v>
      </c>
      <c r="CA792" t="s">
        <v>1541</v>
      </c>
      <c r="CC792" t="s">
        <v>351</v>
      </c>
      <c r="CD792">
        <v>4051</v>
      </c>
      <c r="CE792" t="s">
        <v>88</v>
      </c>
      <c r="CF792" s="3">
        <v>45790</v>
      </c>
      <c r="CI792">
        <v>1</v>
      </c>
      <c r="CJ792">
        <v>1</v>
      </c>
      <c r="CK792">
        <v>21</v>
      </c>
      <c r="CL792" t="s">
        <v>89</v>
      </c>
    </row>
    <row r="793" spans="1:90" x14ac:dyDescent="0.3">
      <c r="A793" t="s">
        <v>72</v>
      </c>
      <c r="B793" t="s">
        <v>73</v>
      </c>
      <c r="C793" t="s">
        <v>74</v>
      </c>
      <c r="E793" t="str">
        <f>"080065282072"</f>
        <v>080065282072</v>
      </c>
      <c r="F793" s="3">
        <v>45786</v>
      </c>
      <c r="G793">
        <v>202602</v>
      </c>
      <c r="H793" t="s">
        <v>75</v>
      </c>
      <c r="I793" t="s">
        <v>76</v>
      </c>
      <c r="J793" t="s">
        <v>77</v>
      </c>
      <c r="K793" t="s">
        <v>78</v>
      </c>
      <c r="L793" t="s">
        <v>130</v>
      </c>
      <c r="M793" t="s">
        <v>131</v>
      </c>
      <c r="N793" t="s">
        <v>455</v>
      </c>
      <c r="O793" t="s">
        <v>82</v>
      </c>
      <c r="P793" t="str">
        <f>"4170037640                    "</f>
        <v xml:space="preserve">4170037640                    </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21.38</v>
      </c>
      <c r="AR793">
        <v>0</v>
      </c>
      <c r="AS793">
        <v>0</v>
      </c>
      <c r="AT793">
        <v>0</v>
      </c>
      <c r="AU793">
        <v>0</v>
      </c>
      <c r="AV793">
        <v>0</v>
      </c>
      <c r="AW793">
        <v>16.739999999999998</v>
      </c>
      <c r="AX793">
        <v>0</v>
      </c>
      <c r="AY793">
        <v>0</v>
      </c>
      <c r="AZ793">
        <v>0</v>
      </c>
      <c r="BA793">
        <v>0</v>
      </c>
      <c r="BB793">
        <v>0</v>
      </c>
      <c r="BC793">
        <v>0</v>
      </c>
      <c r="BD793">
        <v>0</v>
      </c>
      <c r="BE793">
        <v>0</v>
      </c>
      <c r="BF793">
        <v>0</v>
      </c>
      <c r="BG793">
        <v>0</v>
      </c>
      <c r="BH793">
        <v>1</v>
      </c>
      <c r="BI793">
        <v>1</v>
      </c>
      <c r="BJ793">
        <v>0.2</v>
      </c>
      <c r="BK793">
        <v>1</v>
      </c>
      <c r="BL793">
        <v>86.72</v>
      </c>
      <c r="BM793">
        <v>13.01</v>
      </c>
      <c r="BN793">
        <v>99.73</v>
      </c>
      <c r="BO793">
        <v>99.73</v>
      </c>
      <c r="BQ793" t="s">
        <v>456</v>
      </c>
      <c r="BR793" t="s">
        <v>84</v>
      </c>
      <c r="BS793" s="3">
        <v>45789</v>
      </c>
      <c r="BT793" s="4">
        <v>0.41666666666666669</v>
      </c>
      <c r="BU793" t="s">
        <v>1542</v>
      </c>
      <c r="BV793" t="s">
        <v>86</v>
      </c>
      <c r="BY793">
        <v>1200</v>
      </c>
      <c r="BZ793" t="s">
        <v>30</v>
      </c>
      <c r="CC793" t="s">
        <v>131</v>
      </c>
      <c r="CD793">
        <v>7781</v>
      </c>
      <c r="CE793" t="s">
        <v>88</v>
      </c>
      <c r="CF793" s="3">
        <v>45790</v>
      </c>
      <c r="CI793">
        <v>1</v>
      </c>
      <c r="CJ793">
        <v>1</v>
      </c>
      <c r="CK793">
        <v>21</v>
      </c>
      <c r="CL793" t="s">
        <v>89</v>
      </c>
    </row>
    <row r="794" spans="1:90" x14ac:dyDescent="0.3">
      <c r="A794" t="s">
        <v>72</v>
      </c>
      <c r="B794" t="s">
        <v>73</v>
      </c>
      <c r="C794" t="s">
        <v>74</v>
      </c>
      <c r="E794" t="str">
        <f>"080065282074"</f>
        <v>080065282074</v>
      </c>
      <c r="F794" s="3">
        <v>45786</v>
      </c>
      <c r="G794">
        <v>202602</v>
      </c>
      <c r="H794" t="s">
        <v>75</v>
      </c>
      <c r="I794" t="s">
        <v>76</v>
      </c>
      <c r="J794" t="s">
        <v>77</v>
      </c>
      <c r="K794" t="s">
        <v>78</v>
      </c>
      <c r="L794" t="s">
        <v>409</v>
      </c>
      <c r="M794" t="s">
        <v>410</v>
      </c>
      <c r="N794" t="s">
        <v>411</v>
      </c>
      <c r="O794" t="s">
        <v>82</v>
      </c>
      <c r="P794" t="str">
        <f>"4170037648                    "</f>
        <v xml:space="preserve">4170037648                    </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41.43</v>
      </c>
      <c r="AR794">
        <v>0</v>
      </c>
      <c r="AS794">
        <v>0</v>
      </c>
      <c r="AT794">
        <v>0</v>
      </c>
      <c r="AU794">
        <v>0</v>
      </c>
      <c r="AV794">
        <v>0</v>
      </c>
      <c r="AW794">
        <v>0</v>
      </c>
      <c r="AX794">
        <v>0</v>
      </c>
      <c r="AY794">
        <v>0</v>
      </c>
      <c r="AZ794">
        <v>0</v>
      </c>
      <c r="BA794">
        <v>0</v>
      </c>
      <c r="BB794">
        <v>0</v>
      </c>
      <c r="BC794">
        <v>0</v>
      </c>
      <c r="BD794">
        <v>0</v>
      </c>
      <c r="BE794">
        <v>0</v>
      </c>
      <c r="BF794">
        <v>0</v>
      </c>
      <c r="BG794">
        <v>0</v>
      </c>
      <c r="BH794">
        <v>1</v>
      </c>
      <c r="BI794">
        <v>1</v>
      </c>
      <c r="BJ794">
        <v>0.2</v>
      </c>
      <c r="BK794">
        <v>1</v>
      </c>
      <c r="BL794">
        <v>135.59</v>
      </c>
      <c r="BM794">
        <v>20.34</v>
      </c>
      <c r="BN794">
        <v>155.93</v>
      </c>
      <c r="BO794">
        <v>155.93</v>
      </c>
      <c r="BQ794" t="s">
        <v>412</v>
      </c>
      <c r="BR794" t="s">
        <v>84</v>
      </c>
      <c r="BS794" s="3">
        <v>45789</v>
      </c>
      <c r="BT794" s="4">
        <v>0.54305555555555551</v>
      </c>
      <c r="BU794" t="s">
        <v>1495</v>
      </c>
      <c r="BV794" t="s">
        <v>86</v>
      </c>
      <c r="BY794">
        <v>1200</v>
      </c>
      <c r="CA794" t="s">
        <v>414</v>
      </c>
      <c r="CC794" t="s">
        <v>410</v>
      </c>
      <c r="CD794">
        <v>6850</v>
      </c>
      <c r="CE794" t="s">
        <v>88</v>
      </c>
      <c r="CF794" s="3">
        <v>45790</v>
      </c>
      <c r="CI794">
        <v>2</v>
      </c>
      <c r="CJ794">
        <v>1</v>
      </c>
      <c r="CK794">
        <v>23</v>
      </c>
      <c r="CL794" t="s">
        <v>89</v>
      </c>
    </row>
    <row r="795" spans="1:90" x14ac:dyDescent="0.3">
      <c r="A795" t="s">
        <v>72</v>
      </c>
      <c r="B795" t="s">
        <v>73</v>
      </c>
      <c r="C795" t="s">
        <v>74</v>
      </c>
      <c r="E795" t="str">
        <f>"080065282130"</f>
        <v>080065282130</v>
      </c>
      <c r="F795" s="3">
        <v>45786</v>
      </c>
      <c r="G795">
        <v>202602</v>
      </c>
      <c r="H795" t="s">
        <v>75</v>
      </c>
      <c r="I795" t="s">
        <v>76</v>
      </c>
      <c r="J795" t="s">
        <v>77</v>
      </c>
      <c r="K795" t="s">
        <v>78</v>
      </c>
      <c r="L795" t="s">
        <v>755</v>
      </c>
      <c r="M795" t="s">
        <v>756</v>
      </c>
      <c r="N795" t="s">
        <v>1543</v>
      </c>
      <c r="O795" t="s">
        <v>82</v>
      </c>
      <c r="P795" t="str">
        <f>"4170037689                    "</f>
        <v xml:space="preserve">4170037689                    </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16.7</v>
      </c>
      <c r="AR795">
        <v>0</v>
      </c>
      <c r="AS795">
        <v>0</v>
      </c>
      <c r="AT795">
        <v>0</v>
      </c>
      <c r="AU795">
        <v>0</v>
      </c>
      <c r="AV795">
        <v>0</v>
      </c>
      <c r="AW795">
        <v>0</v>
      </c>
      <c r="AX795">
        <v>0</v>
      </c>
      <c r="AY795">
        <v>0</v>
      </c>
      <c r="AZ795">
        <v>0</v>
      </c>
      <c r="BA795">
        <v>0</v>
      </c>
      <c r="BB795">
        <v>0</v>
      </c>
      <c r="BC795">
        <v>0</v>
      </c>
      <c r="BD795">
        <v>0</v>
      </c>
      <c r="BE795">
        <v>0</v>
      </c>
      <c r="BF795">
        <v>0</v>
      </c>
      <c r="BG795">
        <v>0</v>
      </c>
      <c r="BH795">
        <v>1</v>
      </c>
      <c r="BI795">
        <v>1</v>
      </c>
      <c r="BJ795">
        <v>0.2</v>
      </c>
      <c r="BK795">
        <v>1</v>
      </c>
      <c r="BL795">
        <v>54.66</v>
      </c>
      <c r="BM795">
        <v>8.1999999999999993</v>
      </c>
      <c r="BN795">
        <v>62.86</v>
      </c>
      <c r="BO795">
        <v>62.86</v>
      </c>
      <c r="BQ795" t="s">
        <v>1544</v>
      </c>
      <c r="BR795" t="s">
        <v>84</v>
      </c>
      <c r="BS795" s="3">
        <v>45789</v>
      </c>
      <c r="BT795" s="4">
        <v>0.42222222222222222</v>
      </c>
      <c r="BU795" t="s">
        <v>392</v>
      </c>
      <c r="BV795" t="s">
        <v>86</v>
      </c>
      <c r="BY795">
        <v>1200</v>
      </c>
      <c r="CA795" t="s">
        <v>1178</v>
      </c>
      <c r="CC795" t="s">
        <v>756</v>
      </c>
      <c r="CD795">
        <v>1684</v>
      </c>
      <c r="CE795" t="s">
        <v>88</v>
      </c>
      <c r="CF795" s="3">
        <v>45790</v>
      </c>
      <c r="CI795">
        <v>1</v>
      </c>
      <c r="CJ795">
        <v>1</v>
      </c>
      <c r="CK795">
        <v>22</v>
      </c>
      <c r="CL795" t="s">
        <v>89</v>
      </c>
    </row>
    <row r="796" spans="1:90" x14ac:dyDescent="0.3">
      <c r="A796" t="s">
        <v>72</v>
      </c>
      <c r="B796" t="s">
        <v>73</v>
      </c>
      <c r="C796" t="s">
        <v>74</v>
      </c>
      <c r="E796" t="str">
        <f>"080065282158"</f>
        <v>080065282158</v>
      </c>
      <c r="F796" s="3">
        <v>45786</v>
      </c>
      <c r="G796">
        <v>202602</v>
      </c>
      <c r="H796" t="s">
        <v>75</v>
      </c>
      <c r="I796" t="s">
        <v>76</v>
      </c>
      <c r="J796" t="s">
        <v>77</v>
      </c>
      <c r="K796" t="s">
        <v>78</v>
      </c>
      <c r="L796" t="s">
        <v>75</v>
      </c>
      <c r="M796" t="s">
        <v>76</v>
      </c>
      <c r="N796" t="s">
        <v>803</v>
      </c>
      <c r="O796" t="s">
        <v>82</v>
      </c>
      <c r="P796" t="str">
        <f>"4170037617                    "</f>
        <v xml:space="preserve">4170037617                    </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16.7</v>
      </c>
      <c r="AR796">
        <v>0</v>
      </c>
      <c r="AS796">
        <v>0</v>
      </c>
      <c r="AT796">
        <v>0</v>
      </c>
      <c r="AU796">
        <v>0</v>
      </c>
      <c r="AV796">
        <v>0</v>
      </c>
      <c r="AW796">
        <v>0</v>
      </c>
      <c r="AX796">
        <v>0</v>
      </c>
      <c r="AY796">
        <v>0</v>
      </c>
      <c r="AZ796">
        <v>0</v>
      </c>
      <c r="BA796">
        <v>0</v>
      </c>
      <c r="BB796">
        <v>0</v>
      </c>
      <c r="BC796">
        <v>0</v>
      </c>
      <c r="BD796">
        <v>0</v>
      </c>
      <c r="BE796">
        <v>0</v>
      </c>
      <c r="BF796">
        <v>0</v>
      </c>
      <c r="BG796">
        <v>0</v>
      </c>
      <c r="BH796">
        <v>1</v>
      </c>
      <c r="BI796">
        <v>1</v>
      </c>
      <c r="BJ796">
        <v>0.2</v>
      </c>
      <c r="BK796">
        <v>1</v>
      </c>
      <c r="BL796">
        <v>54.66</v>
      </c>
      <c r="BM796">
        <v>8.1999999999999993</v>
      </c>
      <c r="BN796">
        <v>62.86</v>
      </c>
      <c r="BO796">
        <v>62.86</v>
      </c>
      <c r="BQ796" t="s">
        <v>804</v>
      </c>
      <c r="BR796" t="s">
        <v>84</v>
      </c>
      <c r="BS796" s="3">
        <v>45789</v>
      </c>
      <c r="BT796" s="4">
        <v>0.37986111111111109</v>
      </c>
      <c r="BU796" t="s">
        <v>1545</v>
      </c>
      <c r="BV796" t="s">
        <v>86</v>
      </c>
      <c r="BY796">
        <v>1200</v>
      </c>
      <c r="CA796" t="s">
        <v>484</v>
      </c>
      <c r="CC796" t="s">
        <v>76</v>
      </c>
      <c r="CD796">
        <v>1619</v>
      </c>
      <c r="CE796" t="s">
        <v>88</v>
      </c>
      <c r="CF796" s="3">
        <v>45789</v>
      </c>
      <c r="CI796">
        <v>1</v>
      </c>
      <c r="CJ796">
        <v>1</v>
      </c>
      <c r="CK796">
        <v>22</v>
      </c>
      <c r="CL796" t="s">
        <v>89</v>
      </c>
    </row>
    <row r="797" spans="1:90" x14ac:dyDescent="0.3">
      <c r="A797" t="s">
        <v>72</v>
      </c>
      <c r="B797" t="s">
        <v>73</v>
      </c>
      <c r="C797" t="s">
        <v>74</v>
      </c>
      <c r="E797" t="str">
        <f>"080065282177"</f>
        <v>080065282177</v>
      </c>
      <c r="F797" s="3">
        <v>45786</v>
      </c>
      <c r="G797">
        <v>202602</v>
      </c>
      <c r="H797" t="s">
        <v>75</v>
      </c>
      <c r="I797" t="s">
        <v>76</v>
      </c>
      <c r="J797" t="s">
        <v>77</v>
      </c>
      <c r="K797" t="s">
        <v>78</v>
      </c>
      <c r="L797" t="s">
        <v>374</v>
      </c>
      <c r="M797" t="s">
        <v>375</v>
      </c>
      <c r="N797" t="s">
        <v>376</v>
      </c>
      <c r="O797" t="s">
        <v>82</v>
      </c>
      <c r="P797" t="str">
        <f>"4170037653                    "</f>
        <v xml:space="preserve">4170037653                    </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41.43</v>
      </c>
      <c r="AR797">
        <v>0</v>
      </c>
      <c r="AS797">
        <v>0</v>
      </c>
      <c r="AT797">
        <v>0</v>
      </c>
      <c r="AU797">
        <v>0</v>
      </c>
      <c r="AV797">
        <v>0</v>
      </c>
      <c r="AW797">
        <v>0</v>
      </c>
      <c r="AX797">
        <v>0</v>
      </c>
      <c r="AY797">
        <v>0</v>
      </c>
      <c r="AZ797">
        <v>0</v>
      </c>
      <c r="BA797">
        <v>0</v>
      </c>
      <c r="BB797">
        <v>0</v>
      </c>
      <c r="BC797">
        <v>0</v>
      </c>
      <c r="BD797">
        <v>0</v>
      </c>
      <c r="BE797">
        <v>0</v>
      </c>
      <c r="BF797">
        <v>0</v>
      </c>
      <c r="BG797">
        <v>0</v>
      </c>
      <c r="BH797">
        <v>1</v>
      </c>
      <c r="BI797">
        <v>1</v>
      </c>
      <c r="BJ797">
        <v>0.2</v>
      </c>
      <c r="BK797">
        <v>1</v>
      </c>
      <c r="BL797">
        <v>135.59</v>
      </c>
      <c r="BM797">
        <v>20.34</v>
      </c>
      <c r="BN797">
        <v>155.93</v>
      </c>
      <c r="BO797">
        <v>155.93</v>
      </c>
      <c r="BQ797" t="s">
        <v>377</v>
      </c>
      <c r="BR797" t="s">
        <v>84</v>
      </c>
      <c r="BS797" s="3">
        <v>45789</v>
      </c>
      <c r="BT797" s="4">
        <v>0.3888888888888889</v>
      </c>
      <c r="BU797" t="s">
        <v>378</v>
      </c>
      <c r="BV797" t="s">
        <v>86</v>
      </c>
      <c r="BY797">
        <v>1200</v>
      </c>
      <c r="CA797" t="s">
        <v>379</v>
      </c>
      <c r="CC797" t="s">
        <v>375</v>
      </c>
      <c r="CD797">
        <v>7130</v>
      </c>
      <c r="CE797" t="s">
        <v>88</v>
      </c>
      <c r="CF797" s="3">
        <v>45790</v>
      </c>
      <c r="CI797">
        <v>1</v>
      </c>
      <c r="CJ797">
        <v>1</v>
      </c>
      <c r="CK797">
        <v>23</v>
      </c>
      <c r="CL797" t="s">
        <v>89</v>
      </c>
    </row>
    <row r="798" spans="1:90" x14ac:dyDescent="0.3">
      <c r="A798" t="s">
        <v>72</v>
      </c>
      <c r="B798" t="s">
        <v>73</v>
      </c>
      <c r="C798" t="s">
        <v>74</v>
      </c>
      <c r="E798" t="str">
        <f>"080065282216"</f>
        <v>080065282216</v>
      </c>
      <c r="F798" s="3">
        <v>45786</v>
      </c>
      <c r="G798">
        <v>202602</v>
      </c>
      <c r="H798" t="s">
        <v>75</v>
      </c>
      <c r="I798" t="s">
        <v>76</v>
      </c>
      <c r="J798" t="s">
        <v>77</v>
      </c>
      <c r="K798" t="s">
        <v>78</v>
      </c>
      <c r="L798" t="s">
        <v>90</v>
      </c>
      <c r="M798" t="s">
        <v>91</v>
      </c>
      <c r="N798" t="s">
        <v>1546</v>
      </c>
      <c r="O798" t="s">
        <v>82</v>
      </c>
      <c r="P798" t="str">
        <f>"4170037567                    "</f>
        <v xml:space="preserve">4170037567                    </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21.38</v>
      </c>
      <c r="AR798">
        <v>0</v>
      </c>
      <c r="AS798">
        <v>0</v>
      </c>
      <c r="AT798">
        <v>0</v>
      </c>
      <c r="AU798">
        <v>0</v>
      </c>
      <c r="AV798">
        <v>0</v>
      </c>
      <c r="AW798">
        <v>0</v>
      </c>
      <c r="AX798">
        <v>0</v>
      </c>
      <c r="AY798">
        <v>0</v>
      </c>
      <c r="AZ798">
        <v>0</v>
      </c>
      <c r="BA798">
        <v>0</v>
      </c>
      <c r="BB798">
        <v>0</v>
      </c>
      <c r="BC798">
        <v>0</v>
      </c>
      <c r="BD798">
        <v>0</v>
      </c>
      <c r="BE798">
        <v>0</v>
      </c>
      <c r="BF798">
        <v>0</v>
      </c>
      <c r="BG798">
        <v>0</v>
      </c>
      <c r="BH798">
        <v>1</v>
      </c>
      <c r="BI798">
        <v>1</v>
      </c>
      <c r="BJ798">
        <v>0.2</v>
      </c>
      <c r="BK798">
        <v>1</v>
      </c>
      <c r="BL798">
        <v>69.98</v>
      </c>
      <c r="BM798">
        <v>10.5</v>
      </c>
      <c r="BN798">
        <v>80.48</v>
      </c>
      <c r="BO798">
        <v>80.48</v>
      </c>
      <c r="BQ798" t="s">
        <v>1547</v>
      </c>
      <c r="BR798" t="s">
        <v>84</v>
      </c>
      <c r="BS798" s="3">
        <v>45789</v>
      </c>
      <c r="BT798" s="4">
        <v>0.41805555555555557</v>
      </c>
      <c r="BU798" t="s">
        <v>843</v>
      </c>
      <c r="BV798" t="s">
        <v>86</v>
      </c>
      <c r="BY798">
        <v>1200</v>
      </c>
      <c r="CA798" t="s">
        <v>824</v>
      </c>
      <c r="CC798" t="s">
        <v>91</v>
      </c>
      <c r="CD798">
        <v>6020</v>
      </c>
      <c r="CE798" t="s">
        <v>88</v>
      </c>
      <c r="CF798" s="3">
        <v>45789</v>
      </c>
      <c r="CI798">
        <v>1</v>
      </c>
      <c r="CJ798">
        <v>1</v>
      </c>
      <c r="CK798">
        <v>21</v>
      </c>
      <c r="CL798" t="s">
        <v>89</v>
      </c>
    </row>
    <row r="799" spans="1:90" x14ac:dyDescent="0.3">
      <c r="A799" t="s">
        <v>72</v>
      </c>
      <c r="B799" t="s">
        <v>73</v>
      </c>
      <c r="C799" t="s">
        <v>74</v>
      </c>
      <c r="E799" t="str">
        <f>"080065282241"</f>
        <v>080065282241</v>
      </c>
      <c r="F799" s="3">
        <v>45786</v>
      </c>
      <c r="G799">
        <v>202602</v>
      </c>
      <c r="H799" t="s">
        <v>75</v>
      </c>
      <c r="I799" t="s">
        <v>76</v>
      </c>
      <c r="J799" t="s">
        <v>77</v>
      </c>
      <c r="K799" t="s">
        <v>78</v>
      </c>
      <c r="L799" t="s">
        <v>143</v>
      </c>
      <c r="M799" t="s">
        <v>144</v>
      </c>
      <c r="N799" t="s">
        <v>719</v>
      </c>
      <c r="O799" t="s">
        <v>82</v>
      </c>
      <c r="P799" t="str">
        <f>"4170037566                    "</f>
        <v xml:space="preserve">4170037566                    </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16.7</v>
      </c>
      <c r="AR799">
        <v>0</v>
      </c>
      <c r="AS799">
        <v>0</v>
      </c>
      <c r="AT799">
        <v>0</v>
      </c>
      <c r="AU799">
        <v>0</v>
      </c>
      <c r="AV799">
        <v>0</v>
      </c>
      <c r="AW799">
        <v>0</v>
      </c>
      <c r="AX799">
        <v>0</v>
      </c>
      <c r="AY799">
        <v>0</v>
      </c>
      <c r="AZ799">
        <v>0</v>
      </c>
      <c r="BA799">
        <v>0</v>
      </c>
      <c r="BB799">
        <v>0</v>
      </c>
      <c r="BC799">
        <v>0</v>
      </c>
      <c r="BD799">
        <v>0</v>
      </c>
      <c r="BE799">
        <v>0</v>
      </c>
      <c r="BF799">
        <v>0</v>
      </c>
      <c r="BG799">
        <v>0</v>
      </c>
      <c r="BH799">
        <v>1</v>
      </c>
      <c r="BI799">
        <v>1</v>
      </c>
      <c r="BJ799">
        <v>0.2</v>
      </c>
      <c r="BK799">
        <v>1</v>
      </c>
      <c r="BL799">
        <v>54.66</v>
      </c>
      <c r="BM799">
        <v>8.1999999999999993</v>
      </c>
      <c r="BN799">
        <v>62.86</v>
      </c>
      <c r="BO799">
        <v>62.86</v>
      </c>
      <c r="BQ799" t="s">
        <v>720</v>
      </c>
      <c r="BR799" t="s">
        <v>84</v>
      </c>
      <c r="BS799" s="3">
        <v>45789</v>
      </c>
      <c r="BT799" s="4">
        <v>0.45833333333333331</v>
      </c>
      <c r="BU799" t="s">
        <v>1548</v>
      </c>
      <c r="BV799" t="s">
        <v>89</v>
      </c>
      <c r="BW799" t="s">
        <v>148</v>
      </c>
      <c r="BX799" t="s">
        <v>1130</v>
      </c>
      <c r="BY799">
        <v>1200</v>
      </c>
      <c r="CA799" t="s">
        <v>1012</v>
      </c>
      <c r="CC799" t="s">
        <v>144</v>
      </c>
      <c r="CD799">
        <v>1401</v>
      </c>
      <c r="CE799" t="s">
        <v>88</v>
      </c>
      <c r="CF799" s="3">
        <v>45789</v>
      </c>
      <c r="CI799">
        <v>1</v>
      </c>
      <c r="CJ799">
        <v>1</v>
      </c>
      <c r="CK799">
        <v>22</v>
      </c>
      <c r="CL799" t="s">
        <v>89</v>
      </c>
    </row>
    <row r="800" spans="1:90" x14ac:dyDescent="0.3">
      <c r="A800" t="s">
        <v>72</v>
      </c>
      <c r="B800" t="s">
        <v>73</v>
      </c>
      <c r="C800" t="s">
        <v>74</v>
      </c>
      <c r="E800" t="str">
        <f>"080065282248"</f>
        <v>080065282248</v>
      </c>
      <c r="F800" s="3">
        <v>45786</v>
      </c>
      <c r="G800">
        <v>202602</v>
      </c>
      <c r="H800" t="s">
        <v>75</v>
      </c>
      <c r="I800" t="s">
        <v>76</v>
      </c>
      <c r="J800" t="s">
        <v>77</v>
      </c>
      <c r="K800" t="s">
        <v>78</v>
      </c>
      <c r="L800" t="s">
        <v>648</v>
      </c>
      <c r="M800" t="s">
        <v>649</v>
      </c>
      <c r="N800" t="s">
        <v>1549</v>
      </c>
      <c r="O800" t="s">
        <v>82</v>
      </c>
      <c r="P800" t="str">
        <f>"4170037271                    "</f>
        <v xml:space="preserve">4170037271                    </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16.7</v>
      </c>
      <c r="AR800">
        <v>0</v>
      </c>
      <c r="AS800">
        <v>0</v>
      </c>
      <c r="AT800">
        <v>0</v>
      </c>
      <c r="AU800">
        <v>0</v>
      </c>
      <c r="AV800">
        <v>0</v>
      </c>
      <c r="AW800">
        <v>0</v>
      </c>
      <c r="AX800">
        <v>0</v>
      </c>
      <c r="AY800">
        <v>0</v>
      </c>
      <c r="AZ800">
        <v>0</v>
      </c>
      <c r="BA800">
        <v>0</v>
      </c>
      <c r="BB800">
        <v>0</v>
      </c>
      <c r="BC800">
        <v>0</v>
      </c>
      <c r="BD800">
        <v>0</v>
      </c>
      <c r="BE800">
        <v>0</v>
      </c>
      <c r="BF800">
        <v>0</v>
      </c>
      <c r="BG800">
        <v>0</v>
      </c>
      <c r="BH800">
        <v>1</v>
      </c>
      <c r="BI800">
        <v>1</v>
      </c>
      <c r="BJ800">
        <v>1.7</v>
      </c>
      <c r="BK800">
        <v>2</v>
      </c>
      <c r="BL800">
        <v>54.66</v>
      </c>
      <c r="BM800">
        <v>8.1999999999999993</v>
      </c>
      <c r="BN800">
        <v>62.86</v>
      </c>
      <c r="BO800">
        <v>62.86</v>
      </c>
      <c r="BQ800" t="s">
        <v>1550</v>
      </c>
      <c r="BR800" t="s">
        <v>84</v>
      </c>
      <c r="BS800" s="3">
        <v>45789</v>
      </c>
      <c r="BT800" s="4">
        <v>0.3923611111111111</v>
      </c>
      <c r="BU800" t="s">
        <v>1551</v>
      </c>
      <c r="BV800" t="s">
        <v>86</v>
      </c>
      <c r="BY800">
        <v>8550</v>
      </c>
      <c r="CA800" t="s">
        <v>1552</v>
      </c>
      <c r="CC800" t="s">
        <v>649</v>
      </c>
      <c r="CD800">
        <v>1559</v>
      </c>
      <c r="CE800" t="s">
        <v>96</v>
      </c>
      <c r="CF800" s="3">
        <v>45790</v>
      </c>
      <c r="CI800">
        <v>1</v>
      </c>
      <c r="CJ800">
        <v>1</v>
      </c>
      <c r="CK800">
        <v>22</v>
      </c>
      <c r="CL800" t="s">
        <v>89</v>
      </c>
    </row>
    <row r="801" spans="1:90" x14ac:dyDescent="0.3">
      <c r="A801" t="s">
        <v>72</v>
      </c>
      <c r="B801" t="s">
        <v>73</v>
      </c>
      <c r="C801" t="s">
        <v>74</v>
      </c>
      <c r="E801" t="str">
        <f>"080065282261"</f>
        <v>080065282261</v>
      </c>
      <c r="F801" s="3">
        <v>45786</v>
      </c>
      <c r="G801">
        <v>202602</v>
      </c>
      <c r="H801" t="s">
        <v>75</v>
      </c>
      <c r="I801" t="s">
        <v>76</v>
      </c>
      <c r="J801" t="s">
        <v>77</v>
      </c>
      <c r="K801" t="s">
        <v>78</v>
      </c>
      <c r="L801" t="s">
        <v>75</v>
      </c>
      <c r="M801" t="s">
        <v>76</v>
      </c>
      <c r="N801" t="s">
        <v>183</v>
      </c>
      <c r="O801" t="s">
        <v>82</v>
      </c>
      <c r="P801" t="str">
        <f>"4170037564                    "</f>
        <v xml:space="preserve">4170037564                    </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16.7</v>
      </c>
      <c r="AR801">
        <v>0</v>
      </c>
      <c r="AS801">
        <v>0</v>
      </c>
      <c r="AT801">
        <v>0</v>
      </c>
      <c r="AU801">
        <v>0</v>
      </c>
      <c r="AV801">
        <v>0</v>
      </c>
      <c r="AW801">
        <v>0</v>
      </c>
      <c r="AX801">
        <v>0</v>
      </c>
      <c r="AY801">
        <v>0</v>
      </c>
      <c r="AZ801">
        <v>0</v>
      </c>
      <c r="BA801">
        <v>0</v>
      </c>
      <c r="BB801">
        <v>0</v>
      </c>
      <c r="BC801">
        <v>0</v>
      </c>
      <c r="BD801">
        <v>0</v>
      </c>
      <c r="BE801">
        <v>0</v>
      </c>
      <c r="BF801">
        <v>0</v>
      </c>
      <c r="BG801">
        <v>0</v>
      </c>
      <c r="BH801">
        <v>1</v>
      </c>
      <c r="BI801">
        <v>1</v>
      </c>
      <c r="BJ801">
        <v>0.2</v>
      </c>
      <c r="BK801">
        <v>1</v>
      </c>
      <c r="BL801">
        <v>54.66</v>
      </c>
      <c r="BM801">
        <v>8.1999999999999993</v>
      </c>
      <c r="BN801">
        <v>62.86</v>
      </c>
      <c r="BO801">
        <v>62.86</v>
      </c>
      <c r="BQ801" t="s">
        <v>184</v>
      </c>
      <c r="BR801" t="s">
        <v>84</v>
      </c>
      <c r="BS801" s="3">
        <v>45789</v>
      </c>
      <c r="BT801" s="4">
        <v>0.32569444444444445</v>
      </c>
      <c r="BU801" t="s">
        <v>1486</v>
      </c>
      <c r="BV801" t="s">
        <v>86</v>
      </c>
      <c r="BY801">
        <v>1200</v>
      </c>
      <c r="CA801" t="s">
        <v>1450</v>
      </c>
      <c r="CC801" t="s">
        <v>76</v>
      </c>
      <c r="CD801">
        <v>1600</v>
      </c>
      <c r="CE801" t="s">
        <v>88</v>
      </c>
      <c r="CF801" s="3">
        <v>45790</v>
      </c>
      <c r="CI801">
        <v>1</v>
      </c>
      <c r="CJ801">
        <v>1</v>
      </c>
      <c r="CK801">
        <v>22</v>
      </c>
      <c r="CL801" t="s">
        <v>89</v>
      </c>
    </row>
    <row r="802" spans="1:90" x14ac:dyDescent="0.3">
      <c r="A802" t="s">
        <v>72</v>
      </c>
      <c r="B802" t="s">
        <v>73</v>
      </c>
      <c r="C802" t="s">
        <v>74</v>
      </c>
      <c r="E802" t="str">
        <f>"080065282296"</f>
        <v>080065282296</v>
      </c>
      <c r="F802" s="3">
        <v>45786</v>
      </c>
      <c r="G802">
        <v>202602</v>
      </c>
      <c r="H802" t="s">
        <v>75</v>
      </c>
      <c r="I802" t="s">
        <v>76</v>
      </c>
      <c r="J802" t="s">
        <v>77</v>
      </c>
      <c r="K802" t="s">
        <v>78</v>
      </c>
      <c r="L802" t="s">
        <v>350</v>
      </c>
      <c r="M802" t="s">
        <v>351</v>
      </c>
      <c r="N802" t="s">
        <v>352</v>
      </c>
      <c r="O802" t="s">
        <v>82</v>
      </c>
      <c r="P802" t="str">
        <f>"4170037685                    "</f>
        <v xml:space="preserve">4170037685                    </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21.38</v>
      </c>
      <c r="AR802">
        <v>0</v>
      </c>
      <c r="AS802">
        <v>0</v>
      </c>
      <c r="AT802">
        <v>0</v>
      </c>
      <c r="AU802">
        <v>0</v>
      </c>
      <c r="AV802">
        <v>0</v>
      </c>
      <c r="AW802">
        <v>0</v>
      </c>
      <c r="AX802">
        <v>0</v>
      </c>
      <c r="AY802">
        <v>0</v>
      </c>
      <c r="AZ802">
        <v>0</v>
      </c>
      <c r="BA802">
        <v>0</v>
      </c>
      <c r="BB802">
        <v>0</v>
      </c>
      <c r="BC802">
        <v>0</v>
      </c>
      <c r="BD802">
        <v>0</v>
      </c>
      <c r="BE802">
        <v>0</v>
      </c>
      <c r="BF802">
        <v>0</v>
      </c>
      <c r="BG802">
        <v>0</v>
      </c>
      <c r="BH802">
        <v>1</v>
      </c>
      <c r="BI802">
        <v>1</v>
      </c>
      <c r="BJ802">
        <v>0.2</v>
      </c>
      <c r="BK802">
        <v>1</v>
      </c>
      <c r="BL802">
        <v>69.98</v>
      </c>
      <c r="BM802">
        <v>10.5</v>
      </c>
      <c r="BN802">
        <v>80.48</v>
      </c>
      <c r="BO802">
        <v>80.48</v>
      </c>
      <c r="BQ802" t="s">
        <v>353</v>
      </c>
      <c r="BR802" t="s">
        <v>84</v>
      </c>
      <c r="BS802" s="3">
        <v>45789</v>
      </c>
      <c r="BT802" s="4">
        <v>0.73402777777777772</v>
      </c>
      <c r="BU802" t="s">
        <v>354</v>
      </c>
      <c r="BV802" t="s">
        <v>89</v>
      </c>
      <c r="BW802" t="s">
        <v>434</v>
      </c>
      <c r="BX802" t="s">
        <v>435</v>
      </c>
      <c r="BY802">
        <v>1200</v>
      </c>
      <c r="CA802" t="s">
        <v>160</v>
      </c>
      <c r="CC802" t="s">
        <v>351</v>
      </c>
      <c r="CD802">
        <v>4000</v>
      </c>
      <c r="CE802" t="s">
        <v>88</v>
      </c>
      <c r="CF802" s="3">
        <v>45790</v>
      </c>
      <c r="CI802">
        <v>1</v>
      </c>
      <c r="CJ802">
        <v>1</v>
      </c>
      <c r="CK802">
        <v>21</v>
      </c>
      <c r="CL802" t="s">
        <v>89</v>
      </c>
    </row>
    <row r="803" spans="1:90" x14ac:dyDescent="0.3">
      <c r="A803" t="s">
        <v>72</v>
      </c>
      <c r="B803" t="s">
        <v>73</v>
      </c>
      <c r="C803" t="s">
        <v>74</v>
      </c>
      <c r="E803" t="str">
        <f>"080065282332"</f>
        <v>080065282332</v>
      </c>
      <c r="F803" s="3">
        <v>45786</v>
      </c>
      <c r="G803">
        <v>202602</v>
      </c>
      <c r="H803" t="s">
        <v>75</v>
      </c>
      <c r="I803" t="s">
        <v>76</v>
      </c>
      <c r="J803" t="s">
        <v>77</v>
      </c>
      <c r="K803" t="s">
        <v>78</v>
      </c>
      <c r="L803" t="s">
        <v>463</v>
      </c>
      <c r="M803" t="s">
        <v>464</v>
      </c>
      <c r="N803" t="s">
        <v>585</v>
      </c>
      <c r="O803" t="s">
        <v>82</v>
      </c>
      <c r="P803" t="str">
        <f>"4170037682                    "</f>
        <v xml:space="preserve">4170037682                    </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21.38</v>
      </c>
      <c r="AR803">
        <v>0</v>
      </c>
      <c r="AS803">
        <v>0</v>
      </c>
      <c r="AT803">
        <v>0</v>
      </c>
      <c r="AU803">
        <v>0</v>
      </c>
      <c r="AV803">
        <v>0</v>
      </c>
      <c r="AW803">
        <v>0</v>
      </c>
      <c r="AX803">
        <v>0</v>
      </c>
      <c r="AY803">
        <v>0</v>
      </c>
      <c r="AZ803">
        <v>0</v>
      </c>
      <c r="BA803">
        <v>0</v>
      </c>
      <c r="BB803">
        <v>0</v>
      </c>
      <c r="BC803">
        <v>0</v>
      </c>
      <c r="BD803">
        <v>0</v>
      </c>
      <c r="BE803">
        <v>0</v>
      </c>
      <c r="BF803">
        <v>0</v>
      </c>
      <c r="BG803">
        <v>0</v>
      </c>
      <c r="BH803">
        <v>1</v>
      </c>
      <c r="BI803">
        <v>1</v>
      </c>
      <c r="BJ803">
        <v>0.2</v>
      </c>
      <c r="BK803">
        <v>1</v>
      </c>
      <c r="BL803">
        <v>69.98</v>
      </c>
      <c r="BM803">
        <v>10.5</v>
      </c>
      <c r="BN803">
        <v>80.48</v>
      </c>
      <c r="BO803">
        <v>80.48</v>
      </c>
      <c r="BQ803" t="s">
        <v>586</v>
      </c>
      <c r="BR803" t="s">
        <v>84</v>
      </c>
      <c r="BS803" s="3">
        <v>45789</v>
      </c>
      <c r="BT803" s="4">
        <v>0.43680555555555556</v>
      </c>
      <c r="BU803" t="s">
        <v>1444</v>
      </c>
      <c r="BV803" t="s">
        <v>86</v>
      </c>
      <c r="BY803">
        <v>1200</v>
      </c>
      <c r="CA803" t="s">
        <v>1509</v>
      </c>
      <c r="CC803" t="s">
        <v>464</v>
      </c>
      <c r="CD803">
        <v>5200</v>
      </c>
      <c r="CE803" t="s">
        <v>88</v>
      </c>
      <c r="CF803" s="3">
        <v>45790</v>
      </c>
      <c r="CI803">
        <v>1</v>
      </c>
      <c r="CJ803">
        <v>1</v>
      </c>
      <c r="CK803">
        <v>21</v>
      </c>
      <c r="CL803" t="s">
        <v>89</v>
      </c>
    </row>
    <row r="804" spans="1:90" x14ac:dyDescent="0.3">
      <c r="A804" t="s">
        <v>72</v>
      </c>
      <c r="B804" t="s">
        <v>73</v>
      </c>
      <c r="C804" t="s">
        <v>74</v>
      </c>
      <c r="E804" t="str">
        <f>"080065282402"</f>
        <v>080065282402</v>
      </c>
      <c r="F804" s="3">
        <v>45786</v>
      </c>
      <c r="G804">
        <v>202602</v>
      </c>
      <c r="H804" t="s">
        <v>75</v>
      </c>
      <c r="I804" t="s">
        <v>76</v>
      </c>
      <c r="J804" t="s">
        <v>77</v>
      </c>
      <c r="K804" t="s">
        <v>78</v>
      </c>
      <c r="L804" t="s">
        <v>1553</v>
      </c>
      <c r="M804" t="s">
        <v>1554</v>
      </c>
      <c r="N804" t="s">
        <v>1555</v>
      </c>
      <c r="O804" t="s">
        <v>82</v>
      </c>
      <c r="P804" t="str">
        <f>"4170037687                    "</f>
        <v xml:space="preserve">4170037687                    </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96.17</v>
      </c>
      <c r="AR804">
        <v>0</v>
      </c>
      <c r="AS804">
        <v>0</v>
      </c>
      <c r="AT804">
        <v>0</v>
      </c>
      <c r="AU804">
        <v>0</v>
      </c>
      <c r="AV804">
        <v>0</v>
      </c>
      <c r="AW804">
        <v>0</v>
      </c>
      <c r="AX804">
        <v>0</v>
      </c>
      <c r="AY804">
        <v>0</v>
      </c>
      <c r="AZ804">
        <v>0</v>
      </c>
      <c r="BA804">
        <v>0</v>
      </c>
      <c r="BB804">
        <v>0</v>
      </c>
      <c r="BC804">
        <v>0</v>
      </c>
      <c r="BD804">
        <v>0</v>
      </c>
      <c r="BE804">
        <v>0</v>
      </c>
      <c r="BF804">
        <v>0</v>
      </c>
      <c r="BG804">
        <v>0</v>
      </c>
      <c r="BH804">
        <v>1</v>
      </c>
      <c r="BI804">
        <v>5</v>
      </c>
      <c r="BJ804">
        <v>8.9</v>
      </c>
      <c r="BK804">
        <v>9</v>
      </c>
      <c r="BL804">
        <v>314.73</v>
      </c>
      <c r="BM804">
        <v>47.21</v>
      </c>
      <c r="BN804">
        <v>361.94</v>
      </c>
      <c r="BO804">
        <v>361.94</v>
      </c>
      <c r="BQ804" t="s">
        <v>1556</v>
      </c>
      <c r="BR804" t="s">
        <v>84</v>
      </c>
      <c r="BS804" s="3">
        <v>45789</v>
      </c>
      <c r="BT804" s="4">
        <v>0.38124999999999998</v>
      </c>
      <c r="BU804" t="s">
        <v>1557</v>
      </c>
      <c r="BV804" t="s">
        <v>86</v>
      </c>
      <c r="BY804">
        <v>44640</v>
      </c>
      <c r="CA804" t="s">
        <v>1558</v>
      </c>
      <c r="CC804" t="s">
        <v>1554</v>
      </c>
      <c r="CD804" s="5" t="s">
        <v>1559</v>
      </c>
      <c r="CE804" t="s">
        <v>96</v>
      </c>
      <c r="CF804" s="3">
        <v>45789</v>
      </c>
      <c r="CI804">
        <v>1</v>
      </c>
      <c r="CJ804">
        <v>1</v>
      </c>
      <c r="CK804">
        <v>21</v>
      </c>
      <c r="CL804" t="s">
        <v>89</v>
      </c>
    </row>
    <row r="805" spans="1:90" x14ac:dyDescent="0.3">
      <c r="A805" t="s">
        <v>72</v>
      </c>
      <c r="B805" t="s">
        <v>73</v>
      </c>
      <c r="C805" t="s">
        <v>74</v>
      </c>
      <c r="E805" t="str">
        <f>"080065282416"</f>
        <v>080065282416</v>
      </c>
      <c r="F805" s="3">
        <v>45786</v>
      </c>
      <c r="G805">
        <v>202602</v>
      </c>
      <c r="H805" t="s">
        <v>75</v>
      </c>
      <c r="I805" t="s">
        <v>76</v>
      </c>
      <c r="J805" t="s">
        <v>77</v>
      </c>
      <c r="K805" t="s">
        <v>78</v>
      </c>
      <c r="L805" t="s">
        <v>567</v>
      </c>
      <c r="M805" t="s">
        <v>568</v>
      </c>
      <c r="N805" t="s">
        <v>1560</v>
      </c>
      <c r="O805" t="s">
        <v>82</v>
      </c>
      <c r="P805" t="str">
        <f>"4170037604                    "</f>
        <v xml:space="preserve">4170037604                    </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41.43</v>
      </c>
      <c r="AR805">
        <v>0</v>
      </c>
      <c r="AS805">
        <v>0</v>
      </c>
      <c r="AT805">
        <v>0</v>
      </c>
      <c r="AU805">
        <v>0</v>
      </c>
      <c r="AV805">
        <v>0</v>
      </c>
      <c r="AW805">
        <v>0</v>
      </c>
      <c r="AX805">
        <v>0</v>
      </c>
      <c r="AY805">
        <v>0</v>
      </c>
      <c r="AZ805">
        <v>0</v>
      </c>
      <c r="BA805">
        <v>0</v>
      </c>
      <c r="BB805">
        <v>0</v>
      </c>
      <c r="BC805">
        <v>0</v>
      </c>
      <c r="BD805">
        <v>0</v>
      </c>
      <c r="BE805">
        <v>0</v>
      </c>
      <c r="BF805">
        <v>0</v>
      </c>
      <c r="BG805">
        <v>0</v>
      </c>
      <c r="BH805">
        <v>1</v>
      </c>
      <c r="BI805">
        <v>1</v>
      </c>
      <c r="BJ805">
        <v>0.2</v>
      </c>
      <c r="BK805">
        <v>1</v>
      </c>
      <c r="BL805">
        <v>135.59</v>
      </c>
      <c r="BM805">
        <v>20.34</v>
      </c>
      <c r="BN805">
        <v>155.93</v>
      </c>
      <c r="BO805">
        <v>155.93</v>
      </c>
      <c r="BQ805" t="s">
        <v>1561</v>
      </c>
      <c r="BR805" t="s">
        <v>84</v>
      </c>
      <c r="BS805" s="3">
        <v>45789</v>
      </c>
      <c r="BT805" s="4">
        <v>0.41736111111111113</v>
      </c>
      <c r="BU805" t="s">
        <v>1562</v>
      </c>
      <c r="BV805" t="s">
        <v>86</v>
      </c>
      <c r="BY805">
        <v>1200</v>
      </c>
      <c r="CA805" s="5" t="s">
        <v>1563</v>
      </c>
      <c r="CC805" t="s">
        <v>568</v>
      </c>
      <c r="CD805" s="5" t="s">
        <v>573</v>
      </c>
      <c r="CE805" t="s">
        <v>88</v>
      </c>
      <c r="CF805" s="3">
        <v>45790</v>
      </c>
      <c r="CI805">
        <v>1</v>
      </c>
      <c r="CJ805">
        <v>1</v>
      </c>
      <c r="CK805">
        <v>23</v>
      </c>
      <c r="CL805" t="s">
        <v>89</v>
      </c>
    </row>
    <row r="806" spans="1:90" x14ac:dyDescent="0.3">
      <c r="A806" t="s">
        <v>72</v>
      </c>
      <c r="B806" t="s">
        <v>73</v>
      </c>
      <c r="C806" t="s">
        <v>74</v>
      </c>
      <c r="E806" t="str">
        <f>"080065282450"</f>
        <v>080065282450</v>
      </c>
      <c r="F806" s="3">
        <v>45786</v>
      </c>
      <c r="G806">
        <v>202602</v>
      </c>
      <c r="H806" t="s">
        <v>75</v>
      </c>
      <c r="I806" t="s">
        <v>76</v>
      </c>
      <c r="J806" t="s">
        <v>77</v>
      </c>
      <c r="K806" t="s">
        <v>78</v>
      </c>
      <c r="L806" t="s">
        <v>103</v>
      </c>
      <c r="M806" t="s">
        <v>104</v>
      </c>
      <c r="N806" t="s">
        <v>633</v>
      </c>
      <c r="O806" t="s">
        <v>82</v>
      </c>
      <c r="P806" t="str">
        <f>"4170037561                    "</f>
        <v xml:space="preserve">4170037561                    </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42.75</v>
      </c>
      <c r="AR806">
        <v>0</v>
      </c>
      <c r="AS806">
        <v>0</v>
      </c>
      <c r="AT806">
        <v>0</v>
      </c>
      <c r="AU806">
        <v>0</v>
      </c>
      <c r="AV806">
        <v>0</v>
      </c>
      <c r="AW806">
        <v>0</v>
      </c>
      <c r="AX806">
        <v>0</v>
      </c>
      <c r="AY806">
        <v>0</v>
      </c>
      <c r="AZ806">
        <v>0</v>
      </c>
      <c r="BA806">
        <v>0</v>
      </c>
      <c r="BB806">
        <v>0</v>
      </c>
      <c r="BC806">
        <v>0</v>
      </c>
      <c r="BD806">
        <v>0</v>
      </c>
      <c r="BE806">
        <v>0</v>
      </c>
      <c r="BF806">
        <v>0</v>
      </c>
      <c r="BG806">
        <v>0</v>
      </c>
      <c r="BH806">
        <v>1</v>
      </c>
      <c r="BI806">
        <v>4</v>
      </c>
      <c r="BJ806">
        <v>1.9</v>
      </c>
      <c r="BK806">
        <v>4</v>
      </c>
      <c r="BL806">
        <v>139.91</v>
      </c>
      <c r="BM806">
        <v>20.99</v>
      </c>
      <c r="BN806">
        <v>160.9</v>
      </c>
      <c r="BO806">
        <v>160.9</v>
      </c>
      <c r="BQ806" t="s">
        <v>634</v>
      </c>
      <c r="BR806" t="s">
        <v>84</v>
      </c>
      <c r="BS806" s="3">
        <v>45789</v>
      </c>
      <c r="BT806" s="4">
        <v>0.41666666666666669</v>
      </c>
      <c r="BU806" t="s">
        <v>1466</v>
      </c>
      <c r="BV806" t="s">
        <v>86</v>
      </c>
      <c r="BY806">
        <v>9600</v>
      </c>
      <c r="CA806" t="s">
        <v>440</v>
      </c>
      <c r="CC806" t="s">
        <v>104</v>
      </c>
      <c r="CD806">
        <v>3212</v>
      </c>
      <c r="CE806" t="s">
        <v>96</v>
      </c>
      <c r="CF806" s="3">
        <v>45790</v>
      </c>
      <c r="CI806">
        <v>2</v>
      </c>
      <c r="CJ806">
        <v>1</v>
      </c>
      <c r="CK806">
        <v>21</v>
      </c>
      <c r="CL806" t="s">
        <v>89</v>
      </c>
    </row>
    <row r="807" spans="1:90" x14ac:dyDescent="0.3">
      <c r="A807" t="s">
        <v>72</v>
      </c>
      <c r="B807" t="s">
        <v>73</v>
      </c>
      <c r="C807" t="s">
        <v>74</v>
      </c>
      <c r="E807" t="str">
        <f>"080065282501"</f>
        <v>080065282501</v>
      </c>
      <c r="F807" s="3">
        <v>45786</v>
      </c>
      <c r="G807">
        <v>202602</v>
      </c>
      <c r="H807" t="s">
        <v>75</v>
      </c>
      <c r="I807" t="s">
        <v>76</v>
      </c>
      <c r="J807" t="s">
        <v>77</v>
      </c>
      <c r="K807" t="s">
        <v>78</v>
      </c>
      <c r="L807" t="s">
        <v>117</v>
      </c>
      <c r="M807" t="s">
        <v>118</v>
      </c>
      <c r="N807" t="s">
        <v>1564</v>
      </c>
      <c r="O807" t="s">
        <v>82</v>
      </c>
      <c r="P807" t="str">
        <f>"4170037556                    "</f>
        <v xml:space="preserve">4170037556                    </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16.7</v>
      </c>
      <c r="AR807">
        <v>0</v>
      </c>
      <c r="AS807">
        <v>0</v>
      </c>
      <c r="AT807">
        <v>0</v>
      </c>
      <c r="AU807">
        <v>0</v>
      </c>
      <c r="AV807">
        <v>0</v>
      </c>
      <c r="AW807">
        <v>0</v>
      </c>
      <c r="AX807">
        <v>0</v>
      </c>
      <c r="AY807">
        <v>0</v>
      </c>
      <c r="AZ807">
        <v>0</v>
      </c>
      <c r="BA807">
        <v>0</v>
      </c>
      <c r="BB807">
        <v>0</v>
      </c>
      <c r="BC807">
        <v>0</v>
      </c>
      <c r="BD807">
        <v>0</v>
      </c>
      <c r="BE807">
        <v>0</v>
      </c>
      <c r="BF807">
        <v>0</v>
      </c>
      <c r="BG807">
        <v>0</v>
      </c>
      <c r="BH807">
        <v>1</v>
      </c>
      <c r="BI807">
        <v>2</v>
      </c>
      <c r="BJ807">
        <v>1.4</v>
      </c>
      <c r="BK807">
        <v>2</v>
      </c>
      <c r="BL807">
        <v>54.66</v>
      </c>
      <c r="BM807">
        <v>8.1999999999999993</v>
      </c>
      <c r="BN807">
        <v>62.86</v>
      </c>
      <c r="BO807">
        <v>62.86</v>
      </c>
      <c r="BQ807" t="s">
        <v>1565</v>
      </c>
      <c r="BR807" t="s">
        <v>84</v>
      </c>
      <c r="BS807" s="3">
        <v>45789</v>
      </c>
      <c r="BT807" s="4">
        <v>0.3527777777777778</v>
      </c>
      <c r="BU807" t="s">
        <v>1566</v>
      </c>
      <c r="BV807" t="s">
        <v>86</v>
      </c>
      <c r="BY807">
        <v>7056</v>
      </c>
      <c r="CA807" t="s">
        <v>1567</v>
      </c>
      <c r="CC807" t="s">
        <v>118</v>
      </c>
      <c r="CD807">
        <v>2091</v>
      </c>
      <c r="CE807" t="s">
        <v>221</v>
      </c>
      <c r="CF807" s="3">
        <v>45789</v>
      </c>
      <c r="CI807">
        <v>1</v>
      </c>
      <c r="CJ807">
        <v>1</v>
      </c>
      <c r="CK807">
        <v>22</v>
      </c>
      <c r="CL807" t="s">
        <v>89</v>
      </c>
    </row>
    <row r="808" spans="1:90" x14ac:dyDescent="0.3">
      <c r="A808" t="s">
        <v>72</v>
      </c>
      <c r="B808" t="s">
        <v>73</v>
      </c>
      <c r="C808" t="s">
        <v>74</v>
      </c>
      <c r="E808" t="str">
        <f>"080065282540"</f>
        <v>080065282540</v>
      </c>
      <c r="F808" s="3">
        <v>45786</v>
      </c>
      <c r="G808">
        <v>202602</v>
      </c>
      <c r="H808" t="s">
        <v>75</v>
      </c>
      <c r="I808" t="s">
        <v>76</v>
      </c>
      <c r="J808" t="s">
        <v>77</v>
      </c>
      <c r="K808" t="s">
        <v>78</v>
      </c>
      <c r="L808" t="s">
        <v>177</v>
      </c>
      <c r="M808" t="s">
        <v>178</v>
      </c>
      <c r="N808" t="s">
        <v>212</v>
      </c>
      <c r="O808" t="s">
        <v>82</v>
      </c>
      <c r="P808" t="str">
        <f>"4170037692                    "</f>
        <v xml:space="preserve">4170037692                    </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42.75</v>
      </c>
      <c r="AR808">
        <v>0</v>
      </c>
      <c r="AS808">
        <v>0</v>
      </c>
      <c r="AT808">
        <v>0</v>
      </c>
      <c r="AU808">
        <v>0</v>
      </c>
      <c r="AV808">
        <v>0</v>
      </c>
      <c r="AW808">
        <v>0</v>
      </c>
      <c r="AX808">
        <v>0</v>
      </c>
      <c r="AY808">
        <v>0</v>
      </c>
      <c r="AZ808">
        <v>0</v>
      </c>
      <c r="BA808">
        <v>0</v>
      </c>
      <c r="BB808">
        <v>0</v>
      </c>
      <c r="BC808">
        <v>0</v>
      </c>
      <c r="BD808">
        <v>0</v>
      </c>
      <c r="BE808">
        <v>0</v>
      </c>
      <c r="BF808">
        <v>0</v>
      </c>
      <c r="BG808">
        <v>0</v>
      </c>
      <c r="BH808">
        <v>1</v>
      </c>
      <c r="BI808">
        <v>4</v>
      </c>
      <c r="BJ808">
        <v>2.2000000000000002</v>
      </c>
      <c r="BK808">
        <v>4</v>
      </c>
      <c r="BL808">
        <v>139.91</v>
      </c>
      <c r="BM808">
        <v>20.99</v>
      </c>
      <c r="BN808">
        <v>160.9</v>
      </c>
      <c r="BO808">
        <v>160.9</v>
      </c>
      <c r="BQ808" t="s">
        <v>213</v>
      </c>
      <c r="BR808" t="s">
        <v>84</v>
      </c>
      <c r="BS808" s="3">
        <v>45789</v>
      </c>
      <c r="BT808" s="4">
        <v>0.33680555555555558</v>
      </c>
      <c r="BU808" t="s">
        <v>1568</v>
      </c>
      <c r="BV808" t="s">
        <v>86</v>
      </c>
      <c r="BY808">
        <v>10800</v>
      </c>
      <c r="CA808" t="s">
        <v>182</v>
      </c>
      <c r="CC808" t="s">
        <v>178</v>
      </c>
      <c r="CD808">
        <v>6229</v>
      </c>
      <c r="CE808" t="s">
        <v>96</v>
      </c>
      <c r="CF808" s="3">
        <v>45789</v>
      </c>
      <c r="CI808">
        <v>1</v>
      </c>
      <c r="CJ808">
        <v>1</v>
      </c>
      <c r="CK808">
        <v>21</v>
      </c>
      <c r="CL808" t="s">
        <v>89</v>
      </c>
    </row>
    <row r="809" spans="1:90" x14ac:dyDescent="0.3">
      <c r="A809" t="s">
        <v>72</v>
      </c>
      <c r="B809" t="s">
        <v>73</v>
      </c>
      <c r="C809" t="s">
        <v>74</v>
      </c>
      <c r="E809" t="str">
        <f>"080065282591"</f>
        <v>080065282591</v>
      </c>
      <c r="F809" s="3">
        <v>45786</v>
      </c>
      <c r="G809">
        <v>202602</v>
      </c>
      <c r="H809" t="s">
        <v>75</v>
      </c>
      <c r="I809" t="s">
        <v>76</v>
      </c>
      <c r="J809" t="s">
        <v>77</v>
      </c>
      <c r="K809" t="s">
        <v>78</v>
      </c>
      <c r="L809" t="s">
        <v>136</v>
      </c>
      <c r="M809" t="s">
        <v>137</v>
      </c>
      <c r="N809" t="s">
        <v>735</v>
      </c>
      <c r="O809" t="s">
        <v>82</v>
      </c>
      <c r="P809" t="str">
        <f>"4170037519                    "</f>
        <v xml:space="preserve">4170037519                    </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32.07</v>
      </c>
      <c r="AR809">
        <v>0</v>
      </c>
      <c r="AS809">
        <v>0</v>
      </c>
      <c r="AT809">
        <v>0</v>
      </c>
      <c r="AU809">
        <v>0</v>
      </c>
      <c r="AV809">
        <v>0</v>
      </c>
      <c r="AW809">
        <v>0</v>
      </c>
      <c r="AX809">
        <v>0</v>
      </c>
      <c r="AY809">
        <v>0</v>
      </c>
      <c r="AZ809">
        <v>0</v>
      </c>
      <c r="BA809">
        <v>0</v>
      </c>
      <c r="BB809">
        <v>0</v>
      </c>
      <c r="BC809">
        <v>0</v>
      </c>
      <c r="BD809">
        <v>0</v>
      </c>
      <c r="BE809">
        <v>0</v>
      </c>
      <c r="BF809">
        <v>0</v>
      </c>
      <c r="BG809">
        <v>0</v>
      </c>
      <c r="BH809">
        <v>1</v>
      </c>
      <c r="BI809">
        <v>3</v>
      </c>
      <c r="BJ809">
        <v>1.1000000000000001</v>
      </c>
      <c r="BK809">
        <v>3</v>
      </c>
      <c r="BL809">
        <v>104.95</v>
      </c>
      <c r="BM809">
        <v>15.74</v>
      </c>
      <c r="BN809">
        <v>120.69</v>
      </c>
      <c r="BO809">
        <v>120.69</v>
      </c>
      <c r="BQ809" t="s">
        <v>736</v>
      </c>
      <c r="BR809" t="s">
        <v>84</v>
      </c>
      <c r="BS809" s="3">
        <v>45789</v>
      </c>
      <c r="BT809" s="4">
        <v>0.3972222222222222</v>
      </c>
      <c r="BU809" t="s">
        <v>1569</v>
      </c>
      <c r="BV809" t="s">
        <v>86</v>
      </c>
      <c r="BY809">
        <v>5320</v>
      </c>
      <c r="CA809" t="s">
        <v>258</v>
      </c>
      <c r="CC809" t="s">
        <v>137</v>
      </c>
      <c r="CD809" s="5" t="s">
        <v>738</v>
      </c>
      <c r="CE809" t="s">
        <v>96</v>
      </c>
      <c r="CF809" s="3">
        <v>45789</v>
      </c>
      <c r="CI809">
        <v>1</v>
      </c>
      <c r="CJ809">
        <v>1</v>
      </c>
      <c r="CK809">
        <v>21</v>
      </c>
      <c r="CL809" t="s">
        <v>89</v>
      </c>
    </row>
    <row r="810" spans="1:90" x14ac:dyDescent="0.3">
      <c r="A810" t="s">
        <v>72</v>
      </c>
      <c r="B810" t="s">
        <v>73</v>
      </c>
      <c r="C810" t="s">
        <v>74</v>
      </c>
      <c r="E810" t="str">
        <f>"080065316312"</f>
        <v>080065316312</v>
      </c>
      <c r="F810" s="3">
        <v>45789</v>
      </c>
      <c r="G810">
        <v>202602</v>
      </c>
      <c r="H810" t="s">
        <v>75</v>
      </c>
      <c r="I810" t="s">
        <v>76</v>
      </c>
      <c r="J810" t="s">
        <v>77</v>
      </c>
      <c r="K810" t="s">
        <v>78</v>
      </c>
      <c r="L810" t="s">
        <v>502</v>
      </c>
      <c r="M810" t="s">
        <v>503</v>
      </c>
      <c r="N810" t="s">
        <v>1570</v>
      </c>
      <c r="O810" t="s">
        <v>82</v>
      </c>
      <c r="P810" t="str">
        <f>"4170037662                    "</f>
        <v xml:space="preserve">4170037662                    </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41.43</v>
      </c>
      <c r="AR810">
        <v>0</v>
      </c>
      <c r="AS810">
        <v>0</v>
      </c>
      <c r="AT810">
        <v>0</v>
      </c>
      <c r="AU810">
        <v>0</v>
      </c>
      <c r="AV810">
        <v>0</v>
      </c>
      <c r="AW810">
        <v>0</v>
      </c>
      <c r="AX810">
        <v>0</v>
      </c>
      <c r="AY810">
        <v>0</v>
      </c>
      <c r="AZ810">
        <v>0</v>
      </c>
      <c r="BA810">
        <v>0</v>
      </c>
      <c r="BB810">
        <v>0</v>
      </c>
      <c r="BC810">
        <v>0</v>
      </c>
      <c r="BD810">
        <v>0</v>
      </c>
      <c r="BE810">
        <v>0</v>
      </c>
      <c r="BF810">
        <v>0</v>
      </c>
      <c r="BG810">
        <v>0</v>
      </c>
      <c r="BH810">
        <v>1</v>
      </c>
      <c r="BI810">
        <v>1</v>
      </c>
      <c r="BJ810">
        <v>0.2</v>
      </c>
      <c r="BK810">
        <v>1</v>
      </c>
      <c r="BL810">
        <v>135.59</v>
      </c>
      <c r="BM810">
        <v>20.34</v>
      </c>
      <c r="BN810">
        <v>155.93</v>
      </c>
      <c r="BO810">
        <v>155.93</v>
      </c>
      <c r="BQ810" t="s">
        <v>1571</v>
      </c>
      <c r="BR810" t="s">
        <v>84</v>
      </c>
      <c r="BS810" s="3">
        <v>45791</v>
      </c>
      <c r="BT810" s="4">
        <v>0.64930555555555558</v>
      </c>
      <c r="BU810" t="s">
        <v>1572</v>
      </c>
      <c r="BV810" t="s">
        <v>86</v>
      </c>
      <c r="BY810">
        <v>1200</v>
      </c>
      <c r="CA810" t="s">
        <v>507</v>
      </c>
      <c r="CC810" t="s">
        <v>503</v>
      </c>
      <c r="CD810">
        <v>3370</v>
      </c>
      <c r="CE810" t="s">
        <v>88</v>
      </c>
      <c r="CF810" s="3">
        <v>45792</v>
      </c>
      <c r="CI810">
        <v>2</v>
      </c>
      <c r="CJ810">
        <v>2</v>
      </c>
      <c r="CK810">
        <v>23</v>
      </c>
      <c r="CL810" t="s">
        <v>89</v>
      </c>
    </row>
    <row r="811" spans="1:90" x14ac:dyDescent="0.3">
      <c r="A811" t="s">
        <v>72</v>
      </c>
      <c r="B811" t="s">
        <v>73</v>
      </c>
      <c r="C811" t="s">
        <v>74</v>
      </c>
      <c r="E811" t="str">
        <f>"080065316391"</f>
        <v>080065316391</v>
      </c>
      <c r="F811" s="3">
        <v>45789</v>
      </c>
      <c r="G811">
        <v>202602</v>
      </c>
      <c r="H811" t="s">
        <v>75</v>
      </c>
      <c r="I811" t="s">
        <v>76</v>
      </c>
      <c r="J811" t="s">
        <v>77</v>
      </c>
      <c r="K811" t="s">
        <v>78</v>
      </c>
      <c r="L811" t="s">
        <v>489</v>
      </c>
      <c r="M811" t="s">
        <v>490</v>
      </c>
      <c r="N811" t="s">
        <v>491</v>
      </c>
      <c r="O811" t="s">
        <v>82</v>
      </c>
      <c r="P811" t="str">
        <f>"4170037620                    "</f>
        <v xml:space="preserve">4170037620                    </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265.94</v>
      </c>
      <c r="AR811">
        <v>0</v>
      </c>
      <c r="AS811">
        <v>0</v>
      </c>
      <c r="AT811">
        <v>0</v>
      </c>
      <c r="AU811">
        <v>0</v>
      </c>
      <c r="AV811">
        <v>0</v>
      </c>
      <c r="AW811">
        <v>0</v>
      </c>
      <c r="AX811">
        <v>0</v>
      </c>
      <c r="AY811">
        <v>0</v>
      </c>
      <c r="AZ811">
        <v>0</v>
      </c>
      <c r="BA811">
        <v>0</v>
      </c>
      <c r="BB811">
        <v>0</v>
      </c>
      <c r="BC811">
        <v>0</v>
      </c>
      <c r="BD811">
        <v>0</v>
      </c>
      <c r="BE811">
        <v>0</v>
      </c>
      <c r="BF811">
        <v>0</v>
      </c>
      <c r="BG811">
        <v>0</v>
      </c>
      <c r="BH811">
        <v>1</v>
      </c>
      <c r="BI811">
        <v>14</v>
      </c>
      <c r="BJ811">
        <v>4.4000000000000004</v>
      </c>
      <c r="BK811">
        <v>14</v>
      </c>
      <c r="BL811">
        <v>870.34</v>
      </c>
      <c r="BM811">
        <v>130.55000000000001</v>
      </c>
      <c r="BN811">
        <v>1000.89</v>
      </c>
      <c r="BO811">
        <v>1000.89</v>
      </c>
      <c r="BQ811" t="s">
        <v>492</v>
      </c>
      <c r="BR811" t="s">
        <v>84</v>
      </c>
      <c r="BS811" s="3">
        <v>45790</v>
      </c>
      <c r="BT811" s="4">
        <v>0.53888888888888886</v>
      </c>
      <c r="BU811" t="s">
        <v>493</v>
      </c>
      <c r="BV811" t="s">
        <v>86</v>
      </c>
      <c r="BY811">
        <v>22050</v>
      </c>
      <c r="CA811" t="s">
        <v>1573</v>
      </c>
      <c r="CC811" t="s">
        <v>490</v>
      </c>
      <c r="CD811">
        <v>2740</v>
      </c>
      <c r="CE811" t="s">
        <v>221</v>
      </c>
      <c r="CF811" s="3">
        <v>45790</v>
      </c>
      <c r="CI811">
        <v>1</v>
      </c>
      <c r="CJ811">
        <v>1</v>
      </c>
      <c r="CK811">
        <v>23</v>
      </c>
      <c r="CL811" t="s">
        <v>89</v>
      </c>
    </row>
    <row r="812" spans="1:90" x14ac:dyDescent="0.3">
      <c r="A812" t="s">
        <v>72</v>
      </c>
      <c r="B812" t="s">
        <v>73</v>
      </c>
      <c r="C812" t="s">
        <v>74</v>
      </c>
      <c r="E812" t="str">
        <f>"080065316548"</f>
        <v>080065316548</v>
      </c>
      <c r="F812" s="3">
        <v>45789</v>
      </c>
      <c r="G812">
        <v>202602</v>
      </c>
      <c r="H812" t="s">
        <v>75</v>
      </c>
      <c r="I812" t="s">
        <v>76</v>
      </c>
      <c r="J812" t="s">
        <v>77</v>
      </c>
      <c r="K812" t="s">
        <v>78</v>
      </c>
      <c r="L812" t="s">
        <v>75</v>
      </c>
      <c r="M812" t="s">
        <v>76</v>
      </c>
      <c r="N812" t="s">
        <v>1574</v>
      </c>
      <c r="O812" t="s">
        <v>82</v>
      </c>
      <c r="P812" t="str">
        <f>"4170037615                    "</f>
        <v xml:space="preserve">4170037615                    </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16.7</v>
      </c>
      <c r="AR812">
        <v>0</v>
      </c>
      <c r="AS812">
        <v>0</v>
      </c>
      <c r="AT812">
        <v>0</v>
      </c>
      <c r="AU812">
        <v>0</v>
      </c>
      <c r="AV812">
        <v>0</v>
      </c>
      <c r="AW812">
        <v>0</v>
      </c>
      <c r="AX812">
        <v>0</v>
      </c>
      <c r="AY812">
        <v>0</v>
      </c>
      <c r="AZ812">
        <v>0</v>
      </c>
      <c r="BA812">
        <v>0</v>
      </c>
      <c r="BB812">
        <v>0</v>
      </c>
      <c r="BC812">
        <v>0</v>
      </c>
      <c r="BD812">
        <v>0</v>
      </c>
      <c r="BE812">
        <v>0</v>
      </c>
      <c r="BF812">
        <v>0</v>
      </c>
      <c r="BG812">
        <v>0</v>
      </c>
      <c r="BH812">
        <v>1</v>
      </c>
      <c r="BI812">
        <v>1</v>
      </c>
      <c r="BJ812">
        <v>0.2</v>
      </c>
      <c r="BK812">
        <v>1</v>
      </c>
      <c r="BL812">
        <v>54.66</v>
      </c>
      <c r="BM812">
        <v>8.1999999999999993</v>
      </c>
      <c r="BN812">
        <v>62.86</v>
      </c>
      <c r="BO812">
        <v>62.86</v>
      </c>
      <c r="BQ812" t="s">
        <v>1575</v>
      </c>
      <c r="BR812" t="s">
        <v>84</v>
      </c>
      <c r="BS812" s="3">
        <v>45790</v>
      </c>
      <c r="BT812" s="4">
        <v>0.39305555555555555</v>
      </c>
      <c r="BU812" t="s">
        <v>1576</v>
      </c>
      <c r="BV812" t="s">
        <v>86</v>
      </c>
      <c r="BY812">
        <v>1200</v>
      </c>
      <c r="CA812" t="s">
        <v>605</v>
      </c>
      <c r="CC812" t="s">
        <v>76</v>
      </c>
      <c r="CD812">
        <v>1609</v>
      </c>
      <c r="CE812" t="s">
        <v>88</v>
      </c>
      <c r="CF812" s="3">
        <v>45790</v>
      </c>
      <c r="CI812">
        <v>1</v>
      </c>
      <c r="CJ812">
        <v>1</v>
      </c>
      <c r="CK812">
        <v>22</v>
      </c>
      <c r="CL812" t="s">
        <v>89</v>
      </c>
    </row>
    <row r="813" spans="1:90" x14ac:dyDescent="0.3">
      <c r="A813" t="s">
        <v>72</v>
      </c>
      <c r="B813" t="s">
        <v>73</v>
      </c>
      <c r="C813" t="s">
        <v>74</v>
      </c>
      <c r="E813" t="str">
        <f>"080065316511"</f>
        <v>080065316511</v>
      </c>
      <c r="F813" s="3">
        <v>45789</v>
      </c>
      <c r="G813">
        <v>202602</v>
      </c>
      <c r="H813" t="s">
        <v>75</v>
      </c>
      <c r="I813" t="s">
        <v>76</v>
      </c>
      <c r="J813" t="s">
        <v>77</v>
      </c>
      <c r="K813" t="s">
        <v>78</v>
      </c>
      <c r="L813" t="s">
        <v>97</v>
      </c>
      <c r="M813" t="s">
        <v>98</v>
      </c>
      <c r="N813" t="s">
        <v>99</v>
      </c>
      <c r="O813" t="s">
        <v>82</v>
      </c>
      <c r="P813" t="str">
        <f>"4170037606                    "</f>
        <v xml:space="preserve">4170037606                    </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16.7</v>
      </c>
      <c r="AR813">
        <v>0</v>
      </c>
      <c r="AS813">
        <v>0</v>
      </c>
      <c r="AT813">
        <v>0</v>
      </c>
      <c r="AU813">
        <v>0</v>
      </c>
      <c r="AV813">
        <v>0</v>
      </c>
      <c r="AW813">
        <v>0</v>
      </c>
      <c r="AX813">
        <v>0</v>
      </c>
      <c r="AY813">
        <v>0</v>
      </c>
      <c r="AZ813">
        <v>0</v>
      </c>
      <c r="BA813">
        <v>0</v>
      </c>
      <c r="BB813">
        <v>0</v>
      </c>
      <c r="BC813">
        <v>0</v>
      </c>
      <c r="BD813">
        <v>0</v>
      </c>
      <c r="BE813">
        <v>0</v>
      </c>
      <c r="BF813">
        <v>0</v>
      </c>
      <c r="BG813">
        <v>0</v>
      </c>
      <c r="BH813">
        <v>1</v>
      </c>
      <c r="BI813">
        <v>1</v>
      </c>
      <c r="BJ813">
        <v>0.2</v>
      </c>
      <c r="BK813">
        <v>1</v>
      </c>
      <c r="BL813">
        <v>54.66</v>
      </c>
      <c r="BM813">
        <v>8.1999999999999993</v>
      </c>
      <c r="BN813">
        <v>62.86</v>
      </c>
      <c r="BO813">
        <v>62.86</v>
      </c>
      <c r="BQ813" t="s">
        <v>100</v>
      </c>
      <c r="BR813" t="s">
        <v>84</v>
      </c>
      <c r="BS813" s="3">
        <v>45790</v>
      </c>
      <c r="BT813" s="4">
        <v>0.34513888888888888</v>
      </c>
      <c r="BU813" t="s">
        <v>1310</v>
      </c>
      <c r="BV813" t="s">
        <v>86</v>
      </c>
      <c r="BY813">
        <v>1200</v>
      </c>
      <c r="CA813" t="s">
        <v>279</v>
      </c>
      <c r="CC813" t="s">
        <v>98</v>
      </c>
      <c r="CD813">
        <v>1459</v>
      </c>
      <c r="CE813" t="s">
        <v>88</v>
      </c>
      <c r="CF813" s="3">
        <v>45790</v>
      </c>
      <c r="CI813">
        <v>1</v>
      </c>
      <c r="CJ813">
        <v>1</v>
      </c>
      <c r="CK813">
        <v>22</v>
      </c>
      <c r="CL813" t="s">
        <v>89</v>
      </c>
    </row>
    <row r="814" spans="1:90" x14ac:dyDescent="0.3">
      <c r="A814" t="s">
        <v>72</v>
      </c>
      <c r="B814" t="s">
        <v>73</v>
      </c>
      <c r="C814" t="s">
        <v>74</v>
      </c>
      <c r="E814" t="str">
        <f>"080065316719"</f>
        <v>080065316719</v>
      </c>
      <c r="F814" s="3">
        <v>45789</v>
      </c>
      <c r="G814">
        <v>202602</v>
      </c>
      <c r="H814" t="s">
        <v>75</v>
      </c>
      <c r="I814" t="s">
        <v>76</v>
      </c>
      <c r="J814" t="s">
        <v>77</v>
      </c>
      <c r="K814" t="s">
        <v>78</v>
      </c>
      <c r="L814" t="s">
        <v>75</v>
      </c>
      <c r="M814" t="s">
        <v>76</v>
      </c>
      <c r="N814" t="s">
        <v>1321</v>
      </c>
      <c r="O814" t="s">
        <v>82</v>
      </c>
      <c r="P814" t="str">
        <f>"4170037559                    "</f>
        <v xml:space="preserve">4170037559                    </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16.7</v>
      </c>
      <c r="AR814">
        <v>0</v>
      </c>
      <c r="AS814">
        <v>0</v>
      </c>
      <c r="AT814">
        <v>0</v>
      </c>
      <c r="AU814">
        <v>0</v>
      </c>
      <c r="AV814">
        <v>0</v>
      </c>
      <c r="AW814">
        <v>0</v>
      </c>
      <c r="AX814">
        <v>0</v>
      </c>
      <c r="AY814">
        <v>0</v>
      </c>
      <c r="AZ814">
        <v>0</v>
      </c>
      <c r="BA814">
        <v>0</v>
      </c>
      <c r="BB814">
        <v>0</v>
      </c>
      <c r="BC814">
        <v>0</v>
      </c>
      <c r="BD814">
        <v>0</v>
      </c>
      <c r="BE814">
        <v>0</v>
      </c>
      <c r="BF814">
        <v>0</v>
      </c>
      <c r="BG814">
        <v>0</v>
      </c>
      <c r="BH814">
        <v>1</v>
      </c>
      <c r="BI814">
        <v>2</v>
      </c>
      <c r="BJ814">
        <v>2.2000000000000002</v>
      </c>
      <c r="BK814">
        <v>3</v>
      </c>
      <c r="BL814">
        <v>54.66</v>
      </c>
      <c r="BM814">
        <v>8.1999999999999993</v>
      </c>
      <c r="BN814">
        <v>62.86</v>
      </c>
      <c r="BO814">
        <v>62.86</v>
      </c>
      <c r="BQ814" t="s">
        <v>1322</v>
      </c>
      <c r="BR814" t="s">
        <v>84</v>
      </c>
      <c r="BS814" s="3">
        <v>45790</v>
      </c>
      <c r="BT814" s="4">
        <v>0.39444444444444443</v>
      </c>
      <c r="BU814" t="s">
        <v>1338</v>
      </c>
      <c r="BV814" t="s">
        <v>86</v>
      </c>
      <c r="BY814">
        <v>11040</v>
      </c>
      <c r="CA814" t="s">
        <v>115</v>
      </c>
      <c r="CC814" t="s">
        <v>76</v>
      </c>
      <c r="CD814">
        <v>1618</v>
      </c>
      <c r="CE814" t="s">
        <v>221</v>
      </c>
      <c r="CF814" s="3">
        <v>45790</v>
      </c>
      <c r="CI814">
        <v>1</v>
      </c>
      <c r="CJ814">
        <v>1</v>
      </c>
      <c r="CK814">
        <v>22</v>
      </c>
      <c r="CL814" t="s">
        <v>89</v>
      </c>
    </row>
    <row r="815" spans="1:90" x14ac:dyDescent="0.3">
      <c r="A815" t="s">
        <v>72</v>
      </c>
      <c r="B815" t="s">
        <v>73</v>
      </c>
      <c r="C815" t="s">
        <v>74</v>
      </c>
      <c r="E815" t="str">
        <f>"080065316795"</f>
        <v>080065316795</v>
      </c>
      <c r="F815" s="3">
        <v>45789</v>
      </c>
      <c r="G815">
        <v>202602</v>
      </c>
      <c r="H815" t="s">
        <v>75</v>
      </c>
      <c r="I815" t="s">
        <v>76</v>
      </c>
      <c r="J815" t="s">
        <v>77</v>
      </c>
      <c r="K815" t="s">
        <v>78</v>
      </c>
      <c r="L815" t="s">
        <v>1203</v>
      </c>
      <c r="M815" t="s">
        <v>1204</v>
      </c>
      <c r="N815" t="s">
        <v>1205</v>
      </c>
      <c r="O815" t="s">
        <v>82</v>
      </c>
      <c r="P815" t="str">
        <f>"4170037552                    "</f>
        <v xml:space="preserve">4170037552                    </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41.43</v>
      </c>
      <c r="AR815">
        <v>0</v>
      </c>
      <c r="AS815">
        <v>0</v>
      </c>
      <c r="AT815">
        <v>0</v>
      </c>
      <c r="AU815">
        <v>0</v>
      </c>
      <c r="AV815">
        <v>0</v>
      </c>
      <c r="AW815">
        <v>0</v>
      </c>
      <c r="AX815">
        <v>0</v>
      </c>
      <c r="AY815">
        <v>0</v>
      </c>
      <c r="AZ815">
        <v>0</v>
      </c>
      <c r="BA815">
        <v>0</v>
      </c>
      <c r="BB815">
        <v>0</v>
      </c>
      <c r="BC815">
        <v>0</v>
      </c>
      <c r="BD815">
        <v>0</v>
      </c>
      <c r="BE815">
        <v>0</v>
      </c>
      <c r="BF815">
        <v>0</v>
      </c>
      <c r="BG815">
        <v>0</v>
      </c>
      <c r="BH815">
        <v>1</v>
      </c>
      <c r="BI815">
        <v>1</v>
      </c>
      <c r="BJ815">
        <v>0.2</v>
      </c>
      <c r="BK815">
        <v>1</v>
      </c>
      <c r="BL815">
        <v>135.59</v>
      </c>
      <c r="BM815">
        <v>20.34</v>
      </c>
      <c r="BN815">
        <v>155.93</v>
      </c>
      <c r="BO815">
        <v>155.93</v>
      </c>
      <c r="BQ815" t="s">
        <v>1206</v>
      </c>
      <c r="BR815" t="s">
        <v>84</v>
      </c>
      <c r="BS815" s="3">
        <v>45790</v>
      </c>
      <c r="BT815" s="4">
        <v>0.51249999999999996</v>
      </c>
      <c r="BU815" t="s">
        <v>1577</v>
      </c>
      <c r="BV815" t="s">
        <v>86</v>
      </c>
      <c r="BY815">
        <v>1200</v>
      </c>
      <c r="CA815" t="s">
        <v>1578</v>
      </c>
      <c r="CC815" t="s">
        <v>1204</v>
      </c>
      <c r="CD815">
        <v>6500</v>
      </c>
      <c r="CE815" t="s">
        <v>88</v>
      </c>
      <c r="CF815" s="3">
        <v>45790</v>
      </c>
      <c r="CI815">
        <v>1</v>
      </c>
      <c r="CJ815">
        <v>1</v>
      </c>
      <c r="CK815">
        <v>23</v>
      </c>
      <c r="CL815" t="s">
        <v>89</v>
      </c>
    </row>
    <row r="816" spans="1:90" x14ac:dyDescent="0.3">
      <c r="A816" t="s">
        <v>72</v>
      </c>
      <c r="B816" t="s">
        <v>73</v>
      </c>
      <c r="C816" t="s">
        <v>74</v>
      </c>
      <c r="E816" t="str">
        <f>"080065316809"</f>
        <v>080065316809</v>
      </c>
      <c r="F816" s="3">
        <v>45789</v>
      </c>
      <c r="G816">
        <v>202602</v>
      </c>
      <c r="H816" t="s">
        <v>75</v>
      </c>
      <c r="I816" t="s">
        <v>76</v>
      </c>
      <c r="J816" t="s">
        <v>77</v>
      </c>
      <c r="K816" t="s">
        <v>78</v>
      </c>
      <c r="L816" t="s">
        <v>136</v>
      </c>
      <c r="M816" t="s">
        <v>137</v>
      </c>
      <c r="N816" t="s">
        <v>1297</v>
      </c>
      <c r="O816" t="s">
        <v>82</v>
      </c>
      <c r="P816" t="str">
        <f>"4170037622                    "</f>
        <v xml:space="preserve">4170037622                    </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21.38</v>
      </c>
      <c r="AR816">
        <v>0</v>
      </c>
      <c r="AS816">
        <v>0</v>
      </c>
      <c r="AT816">
        <v>0</v>
      </c>
      <c r="AU816">
        <v>0</v>
      </c>
      <c r="AV816">
        <v>0</v>
      </c>
      <c r="AW816">
        <v>0</v>
      </c>
      <c r="AX816">
        <v>0</v>
      </c>
      <c r="AY816">
        <v>0</v>
      </c>
      <c r="AZ816">
        <v>0</v>
      </c>
      <c r="BA816">
        <v>0</v>
      </c>
      <c r="BB816">
        <v>0</v>
      </c>
      <c r="BC816">
        <v>0</v>
      </c>
      <c r="BD816">
        <v>0</v>
      </c>
      <c r="BE816">
        <v>0</v>
      </c>
      <c r="BF816">
        <v>0</v>
      </c>
      <c r="BG816">
        <v>0</v>
      </c>
      <c r="BH816">
        <v>1</v>
      </c>
      <c r="BI816">
        <v>1</v>
      </c>
      <c r="BJ816">
        <v>0.3</v>
      </c>
      <c r="BK816">
        <v>1</v>
      </c>
      <c r="BL816">
        <v>69.98</v>
      </c>
      <c r="BM816">
        <v>10.5</v>
      </c>
      <c r="BN816">
        <v>80.48</v>
      </c>
      <c r="BO816">
        <v>80.48</v>
      </c>
      <c r="BQ816" t="s">
        <v>1298</v>
      </c>
      <c r="BR816" t="s">
        <v>84</v>
      </c>
      <c r="BS816" s="3">
        <v>45790</v>
      </c>
      <c r="BT816" s="4">
        <v>0.37291666666666667</v>
      </c>
      <c r="BU816" t="s">
        <v>1299</v>
      </c>
      <c r="BV816" t="s">
        <v>86</v>
      </c>
      <c r="BY816">
        <v>1692</v>
      </c>
      <c r="CA816" t="s">
        <v>141</v>
      </c>
      <c r="CC816" t="s">
        <v>137</v>
      </c>
      <c r="CD816" s="5" t="s">
        <v>1239</v>
      </c>
      <c r="CE816" t="s">
        <v>221</v>
      </c>
      <c r="CF816" s="3">
        <v>45790</v>
      </c>
      <c r="CI816">
        <v>1</v>
      </c>
      <c r="CJ816">
        <v>1</v>
      </c>
      <c r="CK816">
        <v>21</v>
      </c>
      <c r="CL816" t="s">
        <v>89</v>
      </c>
    </row>
    <row r="817" spans="1:90" x14ac:dyDescent="0.3">
      <c r="A817" t="s">
        <v>72</v>
      </c>
      <c r="B817" t="s">
        <v>73</v>
      </c>
      <c r="C817" t="s">
        <v>74</v>
      </c>
      <c r="E817" t="str">
        <f>"080065316935"</f>
        <v>080065316935</v>
      </c>
      <c r="F817" s="3">
        <v>45789</v>
      </c>
      <c r="G817">
        <v>202602</v>
      </c>
      <c r="H817" t="s">
        <v>75</v>
      </c>
      <c r="I817" t="s">
        <v>76</v>
      </c>
      <c r="J817" t="s">
        <v>77</v>
      </c>
      <c r="K817" t="s">
        <v>78</v>
      </c>
      <c r="L817" t="s">
        <v>75</v>
      </c>
      <c r="M817" t="s">
        <v>76</v>
      </c>
      <c r="N817" t="s">
        <v>661</v>
      </c>
      <c r="O817" t="s">
        <v>82</v>
      </c>
      <c r="P817" t="str">
        <f>"4170037635                    "</f>
        <v xml:space="preserve">4170037635                    </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16.7</v>
      </c>
      <c r="AR817">
        <v>0</v>
      </c>
      <c r="AS817">
        <v>0</v>
      </c>
      <c r="AT817">
        <v>0</v>
      </c>
      <c r="AU817">
        <v>0</v>
      </c>
      <c r="AV817">
        <v>0</v>
      </c>
      <c r="AW817">
        <v>0</v>
      </c>
      <c r="AX817">
        <v>0</v>
      </c>
      <c r="AY817">
        <v>0</v>
      </c>
      <c r="AZ817">
        <v>0</v>
      </c>
      <c r="BA817">
        <v>0</v>
      </c>
      <c r="BB817">
        <v>0</v>
      </c>
      <c r="BC817">
        <v>0</v>
      </c>
      <c r="BD817">
        <v>0</v>
      </c>
      <c r="BE817">
        <v>0</v>
      </c>
      <c r="BF817">
        <v>0</v>
      </c>
      <c r="BG817">
        <v>0</v>
      </c>
      <c r="BH817">
        <v>1</v>
      </c>
      <c r="BI817">
        <v>3</v>
      </c>
      <c r="BJ817">
        <v>1.2</v>
      </c>
      <c r="BK817">
        <v>3</v>
      </c>
      <c r="BL817">
        <v>54.66</v>
      </c>
      <c r="BM817">
        <v>8.1999999999999993</v>
      </c>
      <c r="BN817">
        <v>62.86</v>
      </c>
      <c r="BO817">
        <v>62.86</v>
      </c>
      <c r="BQ817" t="s">
        <v>460</v>
      </c>
      <c r="BR817" t="s">
        <v>84</v>
      </c>
      <c r="BS817" s="3">
        <v>45790</v>
      </c>
      <c r="BT817" s="4">
        <v>0.43888888888888888</v>
      </c>
      <c r="BU817" t="s">
        <v>1579</v>
      </c>
      <c r="BV817" t="s">
        <v>89</v>
      </c>
      <c r="BW817" t="s">
        <v>148</v>
      </c>
      <c r="BX817" t="s">
        <v>149</v>
      </c>
      <c r="BY817">
        <v>5916</v>
      </c>
      <c r="CA817" t="s">
        <v>150</v>
      </c>
      <c r="CC817" t="s">
        <v>76</v>
      </c>
      <c r="CD817">
        <v>1614</v>
      </c>
      <c r="CE817" t="s">
        <v>221</v>
      </c>
      <c r="CF817" s="3">
        <v>45791</v>
      </c>
      <c r="CI817">
        <v>1</v>
      </c>
      <c r="CJ817">
        <v>1</v>
      </c>
      <c r="CK817">
        <v>22</v>
      </c>
      <c r="CL817" t="s">
        <v>89</v>
      </c>
    </row>
    <row r="818" spans="1:90" x14ac:dyDescent="0.3">
      <c r="A818" t="s">
        <v>72</v>
      </c>
      <c r="B818" t="s">
        <v>73</v>
      </c>
      <c r="C818" t="s">
        <v>74</v>
      </c>
      <c r="E818" t="str">
        <f>"080065316990"</f>
        <v>080065316990</v>
      </c>
      <c r="F818" s="3">
        <v>45789</v>
      </c>
      <c r="G818">
        <v>202602</v>
      </c>
      <c r="H818" t="s">
        <v>75</v>
      </c>
      <c r="I818" t="s">
        <v>76</v>
      </c>
      <c r="J818" t="s">
        <v>77</v>
      </c>
      <c r="K818" t="s">
        <v>78</v>
      </c>
      <c r="L818" t="s">
        <v>75</v>
      </c>
      <c r="M818" t="s">
        <v>76</v>
      </c>
      <c r="N818" t="s">
        <v>601</v>
      </c>
      <c r="O818" t="s">
        <v>82</v>
      </c>
      <c r="P818" t="str">
        <f>"4170037550                    "</f>
        <v xml:space="preserve">4170037550                    </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16.7</v>
      </c>
      <c r="AR818">
        <v>0</v>
      </c>
      <c r="AS818">
        <v>0</v>
      </c>
      <c r="AT818">
        <v>0</v>
      </c>
      <c r="AU818">
        <v>0</v>
      </c>
      <c r="AV818">
        <v>0</v>
      </c>
      <c r="AW818">
        <v>0</v>
      </c>
      <c r="AX818">
        <v>0</v>
      </c>
      <c r="AY818">
        <v>0</v>
      </c>
      <c r="AZ818">
        <v>0</v>
      </c>
      <c r="BA818">
        <v>0</v>
      </c>
      <c r="BB818">
        <v>0</v>
      </c>
      <c r="BC818">
        <v>0</v>
      </c>
      <c r="BD818">
        <v>0</v>
      </c>
      <c r="BE818">
        <v>0</v>
      </c>
      <c r="BF818">
        <v>0</v>
      </c>
      <c r="BG818">
        <v>0</v>
      </c>
      <c r="BH818">
        <v>1</v>
      </c>
      <c r="BI818">
        <v>2</v>
      </c>
      <c r="BJ818">
        <v>1.1000000000000001</v>
      </c>
      <c r="BK818">
        <v>2</v>
      </c>
      <c r="BL818">
        <v>54.66</v>
      </c>
      <c r="BM818">
        <v>8.1999999999999993</v>
      </c>
      <c r="BN818">
        <v>62.86</v>
      </c>
      <c r="BO818">
        <v>62.86</v>
      </c>
      <c r="BQ818" t="s">
        <v>603</v>
      </c>
      <c r="BR818" t="s">
        <v>84</v>
      </c>
      <c r="BS818" s="3">
        <v>45790</v>
      </c>
      <c r="BT818" s="4">
        <v>0.41875000000000001</v>
      </c>
      <c r="BU818" t="s">
        <v>604</v>
      </c>
      <c r="BV818" t="s">
        <v>86</v>
      </c>
      <c r="BY818">
        <v>5320</v>
      </c>
      <c r="CA818" t="s">
        <v>605</v>
      </c>
      <c r="CC818" t="s">
        <v>76</v>
      </c>
      <c r="CD818">
        <v>1645</v>
      </c>
      <c r="CE818" t="s">
        <v>176</v>
      </c>
      <c r="CF818" s="3">
        <v>45790</v>
      </c>
      <c r="CI818">
        <v>1</v>
      </c>
      <c r="CJ818">
        <v>1</v>
      </c>
      <c r="CK818">
        <v>22</v>
      </c>
      <c r="CL818" t="s">
        <v>89</v>
      </c>
    </row>
    <row r="819" spans="1:90" x14ac:dyDescent="0.3">
      <c r="A819" t="s">
        <v>72</v>
      </c>
      <c r="B819" t="s">
        <v>73</v>
      </c>
      <c r="C819" t="s">
        <v>74</v>
      </c>
      <c r="E819" t="str">
        <f>"080065317147"</f>
        <v>080065317147</v>
      </c>
      <c r="F819" s="3">
        <v>45789</v>
      </c>
      <c r="G819">
        <v>202602</v>
      </c>
      <c r="H819" t="s">
        <v>75</v>
      </c>
      <c r="I819" t="s">
        <v>76</v>
      </c>
      <c r="J819" t="s">
        <v>77</v>
      </c>
      <c r="K819" t="s">
        <v>78</v>
      </c>
      <c r="L819" t="s">
        <v>463</v>
      </c>
      <c r="M819" t="s">
        <v>464</v>
      </c>
      <c r="N819" t="s">
        <v>585</v>
      </c>
      <c r="O819" t="s">
        <v>82</v>
      </c>
      <c r="P819" t="str">
        <f>"4170037610                    "</f>
        <v xml:space="preserve">4170037610                    </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21.38</v>
      </c>
      <c r="AR819">
        <v>0</v>
      </c>
      <c r="AS819">
        <v>0</v>
      </c>
      <c r="AT819">
        <v>0</v>
      </c>
      <c r="AU819">
        <v>0</v>
      </c>
      <c r="AV819">
        <v>0</v>
      </c>
      <c r="AW819">
        <v>0</v>
      </c>
      <c r="AX819">
        <v>0</v>
      </c>
      <c r="AY819">
        <v>0</v>
      </c>
      <c r="AZ819">
        <v>0</v>
      </c>
      <c r="BA819">
        <v>0</v>
      </c>
      <c r="BB819">
        <v>0</v>
      </c>
      <c r="BC819">
        <v>0</v>
      </c>
      <c r="BD819">
        <v>0</v>
      </c>
      <c r="BE819">
        <v>0</v>
      </c>
      <c r="BF819">
        <v>0</v>
      </c>
      <c r="BG819">
        <v>0</v>
      </c>
      <c r="BH819">
        <v>1</v>
      </c>
      <c r="BI819">
        <v>2</v>
      </c>
      <c r="BJ819">
        <v>1.7</v>
      </c>
      <c r="BK819">
        <v>2</v>
      </c>
      <c r="BL819">
        <v>69.98</v>
      </c>
      <c r="BM819">
        <v>10.5</v>
      </c>
      <c r="BN819">
        <v>80.48</v>
      </c>
      <c r="BO819">
        <v>80.48</v>
      </c>
      <c r="BQ819" t="s">
        <v>586</v>
      </c>
      <c r="BR819" t="s">
        <v>84</v>
      </c>
      <c r="BS819" s="3">
        <v>45790</v>
      </c>
      <c r="BT819" s="4">
        <v>0.5</v>
      </c>
      <c r="BU819" t="s">
        <v>587</v>
      </c>
      <c r="BV819" t="s">
        <v>89</v>
      </c>
      <c r="BY819">
        <v>8512</v>
      </c>
      <c r="CA819" t="s">
        <v>588</v>
      </c>
      <c r="CC819" t="s">
        <v>464</v>
      </c>
      <c r="CD819">
        <v>5201</v>
      </c>
      <c r="CE819" t="s">
        <v>176</v>
      </c>
      <c r="CF819" s="3">
        <v>45790</v>
      </c>
      <c r="CI819">
        <v>1</v>
      </c>
      <c r="CJ819">
        <v>1</v>
      </c>
      <c r="CK819">
        <v>21</v>
      </c>
      <c r="CL819" t="s">
        <v>89</v>
      </c>
    </row>
    <row r="820" spans="1:90" x14ac:dyDescent="0.3">
      <c r="A820" t="s">
        <v>72</v>
      </c>
      <c r="B820" t="s">
        <v>73</v>
      </c>
      <c r="C820" t="s">
        <v>74</v>
      </c>
      <c r="E820" t="str">
        <f>"080065317685"</f>
        <v>080065317685</v>
      </c>
      <c r="F820" s="3">
        <v>45789</v>
      </c>
      <c r="G820">
        <v>202602</v>
      </c>
      <c r="H820" t="s">
        <v>75</v>
      </c>
      <c r="I820" t="s">
        <v>76</v>
      </c>
      <c r="J820" t="s">
        <v>77</v>
      </c>
      <c r="K820" t="s">
        <v>78</v>
      </c>
      <c r="L820" t="s">
        <v>130</v>
      </c>
      <c r="M820" t="s">
        <v>131</v>
      </c>
      <c r="N820" t="s">
        <v>1580</v>
      </c>
      <c r="O820" t="s">
        <v>82</v>
      </c>
      <c r="P820" t="str">
        <f>"4170037618                    "</f>
        <v xml:space="preserve">4170037618                    </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74.8</v>
      </c>
      <c r="AR820">
        <v>0</v>
      </c>
      <c r="AS820">
        <v>0</v>
      </c>
      <c r="AT820">
        <v>0</v>
      </c>
      <c r="AU820">
        <v>0</v>
      </c>
      <c r="AV820">
        <v>0</v>
      </c>
      <c r="AW820">
        <v>0</v>
      </c>
      <c r="AX820">
        <v>0</v>
      </c>
      <c r="AY820">
        <v>0</v>
      </c>
      <c r="AZ820">
        <v>0</v>
      </c>
      <c r="BA820">
        <v>0</v>
      </c>
      <c r="BB820">
        <v>0</v>
      </c>
      <c r="BC820">
        <v>0</v>
      </c>
      <c r="BD820">
        <v>0</v>
      </c>
      <c r="BE820">
        <v>0</v>
      </c>
      <c r="BF820">
        <v>0</v>
      </c>
      <c r="BG820">
        <v>0</v>
      </c>
      <c r="BH820">
        <v>1</v>
      </c>
      <c r="BI820">
        <v>7</v>
      </c>
      <c r="BJ820">
        <v>1.9</v>
      </c>
      <c r="BK820">
        <v>7</v>
      </c>
      <c r="BL820">
        <v>244.8</v>
      </c>
      <c r="BM820">
        <v>36.72</v>
      </c>
      <c r="BN820">
        <v>281.52</v>
      </c>
      <c r="BO820">
        <v>281.52</v>
      </c>
      <c r="BQ820" t="s">
        <v>1581</v>
      </c>
      <c r="BR820" t="s">
        <v>84</v>
      </c>
      <c r="BS820" s="3">
        <v>45790</v>
      </c>
      <c r="BT820" s="4">
        <v>0.47499999999999998</v>
      </c>
      <c r="BU820" t="s">
        <v>1582</v>
      </c>
      <c r="BV820" t="s">
        <v>89</v>
      </c>
      <c r="BW820" t="s">
        <v>340</v>
      </c>
      <c r="BX820" t="s">
        <v>578</v>
      </c>
      <c r="BY820">
        <v>9504</v>
      </c>
      <c r="CA820" t="s">
        <v>784</v>
      </c>
      <c r="CC820" t="s">
        <v>131</v>
      </c>
      <c r="CD820">
        <v>7405</v>
      </c>
      <c r="CE820" t="s">
        <v>221</v>
      </c>
      <c r="CF820" s="3">
        <v>45791</v>
      </c>
      <c r="CI820">
        <v>1</v>
      </c>
      <c r="CJ820">
        <v>1</v>
      </c>
      <c r="CK820">
        <v>21</v>
      </c>
      <c r="CL820" t="s">
        <v>89</v>
      </c>
    </row>
    <row r="821" spans="1:90" x14ac:dyDescent="0.3">
      <c r="A821" t="s">
        <v>72</v>
      </c>
      <c r="B821" t="s">
        <v>73</v>
      </c>
      <c r="C821" t="s">
        <v>74</v>
      </c>
      <c r="E821" t="str">
        <f>"080065317729"</f>
        <v>080065317729</v>
      </c>
      <c r="F821" s="3">
        <v>45789</v>
      </c>
      <c r="G821">
        <v>202602</v>
      </c>
      <c r="H821" t="s">
        <v>75</v>
      </c>
      <c r="I821" t="s">
        <v>76</v>
      </c>
      <c r="J821" t="s">
        <v>77</v>
      </c>
      <c r="K821" t="s">
        <v>78</v>
      </c>
      <c r="L821" t="s">
        <v>117</v>
      </c>
      <c r="M821" t="s">
        <v>118</v>
      </c>
      <c r="N821" t="s">
        <v>272</v>
      </c>
      <c r="O821" t="s">
        <v>82</v>
      </c>
      <c r="P821" t="str">
        <f>"4170037641                    "</f>
        <v xml:space="preserve">4170037641                    </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16.7</v>
      </c>
      <c r="AR821">
        <v>0</v>
      </c>
      <c r="AS821">
        <v>0</v>
      </c>
      <c r="AT821">
        <v>0</v>
      </c>
      <c r="AU821">
        <v>0</v>
      </c>
      <c r="AV821">
        <v>0</v>
      </c>
      <c r="AW821">
        <v>0</v>
      </c>
      <c r="AX821">
        <v>0</v>
      </c>
      <c r="AY821">
        <v>0</v>
      </c>
      <c r="AZ821">
        <v>0</v>
      </c>
      <c r="BA821">
        <v>0</v>
      </c>
      <c r="BB821">
        <v>0</v>
      </c>
      <c r="BC821">
        <v>0</v>
      </c>
      <c r="BD821">
        <v>0</v>
      </c>
      <c r="BE821">
        <v>0</v>
      </c>
      <c r="BF821">
        <v>0</v>
      </c>
      <c r="BG821">
        <v>0</v>
      </c>
      <c r="BH821">
        <v>1</v>
      </c>
      <c r="BI821">
        <v>1</v>
      </c>
      <c r="BJ821">
        <v>0.2</v>
      </c>
      <c r="BK821">
        <v>1</v>
      </c>
      <c r="BL821">
        <v>54.66</v>
      </c>
      <c r="BM821">
        <v>8.1999999999999993</v>
      </c>
      <c r="BN821">
        <v>62.86</v>
      </c>
      <c r="BO821">
        <v>62.86</v>
      </c>
      <c r="BQ821" t="s">
        <v>273</v>
      </c>
      <c r="BR821" t="s">
        <v>84</v>
      </c>
      <c r="BS821" s="3">
        <v>45790</v>
      </c>
      <c r="BT821" s="4">
        <v>0.39583333333333331</v>
      </c>
      <c r="BU821" t="s">
        <v>1583</v>
      </c>
      <c r="BV821" t="s">
        <v>86</v>
      </c>
      <c r="BY821">
        <v>1200</v>
      </c>
      <c r="CC821" t="s">
        <v>118</v>
      </c>
      <c r="CD821">
        <v>2013</v>
      </c>
      <c r="CE821" t="s">
        <v>88</v>
      </c>
      <c r="CF821" s="3">
        <v>45790</v>
      </c>
      <c r="CI821">
        <v>1</v>
      </c>
      <c r="CJ821">
        <v>1</v>
      </c>
      <c r="CK821">
        <v>22</v>
      </c>
      <c r="CL821" t="s">
        <v>89</v>
      </c>
    </row>
    <row r="822" spans="1:90" x14ac:dyDescent="0.3">
      <c r="A822" t="s">
        <v>72</v>
      </c>
      <c r="B822" t="s">
        <v>73</v>
      </c>
      <c r="C822" t="s">
        <v>74</v>
      </c>
      <c r="E822" t="str">
        <f>"080065317748"</f>
        <v>080065317748</v>
      </c>
      <c r="F822" s="3">
        <v>45789</v>
      </c>
      <c r="G822">
        <v>202602</v>
      </c>
      <c r="H822" t="s">
        <v>75</v>
      </c>
      <c r="I822" t="s">
        <v>76</v>
      </c>
      <c r="J822" t="s">
        <v>77</v>
      </c>
      <c r="K822" t="s">
        <v>78</v>
      </c>
      <c r="L822" t="s">
        <v>713</v>
      </c>
      <c r="M822" t="s">
        <v>714</v>
      </c>
      <c r="N822" t="s">
        <v>715</v>
      </c>
      <c r="O822" t="s">
        <v>82</v>
      </c>
      <c r="P822" t="str">
        <f>"4170037684                    "</f>
        <v xml:space="preserve">4170037684                    </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134.97</v>
      </c>
      <c r="AR822">
        <v>0</v>
      </c>
      <c r="AS822">
        <v>0</v>
      </c>
      <c r="AT822">
        <v>0</v>
      </c>
      <c r="AU822">
        <v>0</v>
      </c>
      <c r="AV822">
        <v>0</v>
      </c>
      <c r="AW822">
        <v>0</v>
      </c>
      <c r="AX822">
        <v>0</v>
      </c>
      <c r="AY822">
        <v>0</v>
      </c>
      <c r="AZ822">
        <v>0</v>
      </c>
      <c r="BA822">
        <v>0</v>
      </c>
      <c r="BB822">
        <v>0</v>
      </c>
      <c r="BC822">
        <v>0</v>
      </c>
      <c r="BD822">
        <v>0</v>
      </c>
      <c r="BE822">
        <v>0</v>
      </c>
      <c r="BF822">
        <v>0</v>
      </c>
      <c r="BG822">
        <v>0</v>
      </c>
      <c r="BH822">
        <v>1</v>
      </c>
      <c r="BI822">
        <v>3</v>
      </c>
      <c r="BJ822">
        <v>6.7</v>
      </c>
      <c r="BK822">
        <v>7</v>
      </c>
      <c r="BL822">
        <v>441.73</v>
      </c>
      <c r="BM822">
        <v>66.260000000000005</v>
      </c>
      <c r="BN822">
        <v>507.99</v>
      </c>
      <c r="BO822">
        <v>507.99</v>
      </c>
      <c r="BQ822" t="s">
        <v>716</v>
      </c>
      <c r="BR822" t="s">
        <v>84</v>
      </c>
      <c r="BS822" s="3">
        <v>45790</v>
      </c>
      <c r="BT822" s="4">
        <v>0.375</v>
      </c>
      <c r="BU822" t="s">
        <v>1584</v>
      </c>
      <c r="BV822" t="s">
        <v>86</v>
      </c>
      <c r="BY822">
        <v>33592</v>
      </c>
      <c r="CA822" t="s">
        <v>1585</v>
      </c>
      <c r="CC822" t="s">
        <v>714</v>
      </c>
      <c r="CD822">
        <v>6300</v>
      </c>
      <c r="CE822" t="s">
        <v>221</v>
      </c>
      <c r="CF822" s="3">
        <v>45790</v>
      </c>
      <c r="CI822">
        <v>2</v>
      </c>
      <c r="CJ822">
        <v>1</v>
      </c>
      <c r="CK822">
        <v>23</v>
      </c>
      <c r="CL822" t="s">
        <v>89</v>
      </c>
    </row>
    <row r="823" spans="1:90" x14ac:dyDescent="0.3">
      <c r="A823" t="s">
        <v>72</v>
      </c>
      <c r="B823" t="s">
        <v>73</v>
      </c>
      <c r="C823" t="s">
        <v>74</v>
      </c>
      <c r="E823" t="str">
        <f>"080065317762"</f>
        <v>080065317762</v>
      </c>
      <c r="F823" s="3">
        <v>45789</v>
      </c>
      <c r="G823">
        <v>202602</v>
      </c>
      <c r="H823" t="s">
        <v>75</v>
      </c>
      <c r="I823" t="s">
        <v>76</v>
      </c>
      <c r="J823" t="s">
        <v>77</v>
      </c>
      <c r="K823" t="s">
        <v>78</v>
      </c>
      <c r="L823" t="s">
        <v>489</v>
      </c>
      <c r="M823" t="s">
        <v>490</v>
      </c>
      <c r="N823" t="s">
        <v>491</v>
      </c>
      <c r="O823" t="s">
        <v>82</v>
      </c>
      <c r="P823" t="str">
        <f>"4170037643                    "</f>
        <v xml:space="preserve">4170037643                    </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41.43</v>
      </c>
      <c r="AR823">
        <v>0</v>
      </c>
      <c r="AS823">
        <v>0</v>
      </c>
      <c r="AT823">
        <v>0</v>
      </c>
      <c r="AU823">
        <v>0</v>
      </c>
      <c r="AV823">
        <v>0</v>
      </c>
      <c r="AW823">
        <v>0</v>
      </c>
      <c r="AX823">
        <v>0</v>
      </c>
      <c r="AY823">
        <v>0</v>
      </c>
      <c r="AZ823">
        <v>0</v>
      </c>
      <c r="BA823">
        <v>0</v>
      </c>
      <c r="BB823">
        <v>0</v>
      </c>
      <c r="BC823">
        <v>0</v>
      </c>
      <c r="BD823">
        <v>0</v>
      </c>
      <c r="BE823">
        <v>0</v>
      </c>
      <c r="BF823">
        <v>0</v>
      </c>
      <c r="BG823">
        <v>0</v>
      </c>
      <c r="BH823">
        <v>1</v>
      </c>
      <c r="BI823">
        <v>1</v>
      </c>
      <c r="BJ823">
        <v>0.2</v>
      </c>
      <c r="BK823">
        <v>1</v>
      </c>
      <c r="BL823">
        <v>135.59</v>
      </c>
      <c r="BM823">
        <v>20.34</v>
      </c>
      <c r="BN823">
        <v>155.93</v>
      </c>
      <c r="BO823">
        <v>155.93</v>
      </c>
      <c r="BQ823" t="s">
        <v>492</v>
      </c>
      <c r="BR823" t="s">
        <v>84</v>
      </c>
      <c r="BS823" s="3">
        <v>45790</v>
      </c>
      <c r="BT823" s="4">
        <v>0.54027777777777775</v>
      </c>
      <c r="BU823" t="s">
        <v>493</v>
      </c>
      <c r="BV823" t="s">
        <v>86</v>
      </c>
      <c r="BY823">
        <v>1200</v>
      </c>
      <c r="CA823" t="s">
        <v>1573</v>
      </c>
      <c r="CC823" t="s">
        <v>490</v>
      </c>
      <c r="CD823">
        <v>2740</v>
      </c>
      <c r="CE823" t="s">
        <v>88</v>
      </c>
      <c r="CF823" s="3">
        <v>45790</v>
      </c>
      <c r="CI823">
        <v>1</v>
      </c>
      <c r="CJ823">
        <v>1</v>
      </c>
      <c r="CK823">
        <v>23</v>
      </c>
      <c r="CL823" t="s">
        <v>89</v>
      </c>
    </row>
    <row r="824" spans="1:90" x14ac:dyDescent="0.3">
      <c r="A824" t="s">
        <v>72</v>
      </c>
      <c r="B824" t="s">
        <v>73</v>
      </c>
      <c r="C824" t="s">
        <v>74</v>
      </c>
      <c r="E824" t="str">
        <f>"080065317793"</f>
        <v>080065317793</v>
      </c>
      <c r="F824" s="3">
        <v>45789</v>
      </c>
      <c r="G824">
        <v>202602</v>
      </c>
      <c r="H824" t="s">
        <v>75</v>
      </c>
      <c r="I824" t="s">
        <v>76</v>
      </c>
      <c r="J824" t="s">
        <v>77</v>
      </c>
      <c r="K824" t="s">
        <v>78</v>
      </c>
      <c r="L824" t="s">
        <v>90</v>
      </c>
      <c r="M824" t="s">
        <v>91</v>
      </c>
      <c r="N824" t="s">
        <v>1586</v>
      </c>
      <c r="O824" t="s">
        <v>82</v>
      </c>
      <c r="P824" t="str">
        <f>"4170037526                    "</f>
        <v xml:space="preserve">4170037526                    </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21.38</v>
      </c>
      <c r="AR824">
        <v>0</v>
      </c>
      <c r="AS824">
        <v>0</v>
      </c>
      <c r="AT824">
        <v>0</v>
      </c>
      <c r="AU824">
        <v>0</v>
      </c>
      <c r="AV824">
        <v>0</v>
      </c>
      <c r="AW824">
        <v>0</v>
      </c>
      <c r="AX824">
        <v>0</v>
      </c>
      <c r="AY824">
        <v>0</v>
      </c>
      <c r="AZ824">
        <v>0</v>
      </c>
      <c r="BA824">
        <v>0</v>
      </c>
      <c r="BB824">
        <v>0</v>
      </c>
      <c r="BC824">
        <v>0</v>
      </c>
      <c r="BD824">
        <v>0</v>
      </c>
      <c r="BE824">
        <v>0</v>
      </c>
      <c r="BF824">
        <v>0</v>
      </c>
      <c r="BG824">
        <v>0</v>
      </c>
      <c r="BH824">
        <v>1</v>
      </c>
      <c r="BI824">
        <v>1</v>
      </c>
      <c r="BJ824">
        <v>0.2</v>
      </c>
      <c r="BK824">
        <v>1</v>
      </c>
      <c r="BL824">
        <v>69.98</v>
      </c>
      <c r="BM824">
        <v>10.5</v>
      </c>
      <c r="BN824">
        <v>80.48</v>
      </c>
      <c r="BO824">
        <v>80.48</v>
      </c>
      <c r="BQ824" t="s">
        <v>1587</v>
      </c>
      <c r="BR824" t="s">
        <v>84</v>
      </c>
      <c r="BS824" s="3">
        <v>45790</v>
      </c>
      <c r="BT824" s="4">
        <v>0.43055555555555558</v>
      </c>
      <c r="BU824" t="s">
        <v>742</v>
      </c>
      <c r="BV824" t="s">
        <v>86</v>
      </c>
      <c r="BY824">
        <v>1200</v>
      </c>
      <c r="CA824" t="s">
        <v>298</v>
      </c>
      <c r="CC824" t="s">
        <v>91</v>
      </c>
      <c r="CD824">
        <v>6001</v>
      </c>
      <c r="CE824" t="s">
        <v>88</v>
      </c>
      <c r="CF824" s="3">
        <v>45790</v>
      </c>
      <c r="CI824">
        <v>1</v>
      </c>
      <c r="CJ824">
        <v>1</v>
      </c>
      <c r="CK824">
        <v>21</v>
      </c>
      <c r="CL824" t="s">
        <v>89</v>
      </c>
    </row>
    <row r="825" spans="1:90" x14ac:dyDescent="0.3">
      <c r="A825" t="s">
        <v>72</v>
      </c>
      <c r="B825" t="s">
        <v>73</v>
      </c>
      <c r="C825" t="s">
        <v>74</v>
      </c>
      <c r="E825" t="str">
        <f>"080065317794"</f>
        <v>080065317794</v>
      </c>
      <c r="F825" s="3">
        <v>45789</v>
      </c>
      <c r="G825">
        <v>202602</v>
      </c>
      <c r="H825" t="s">
        <v>75</v>
      </c>
      <c r="I825" t="s">
        <v>76</v>
      </c>
      <c r="J825" t="s">
        <v>77</v>
      </c>
      <c r="K825" t="s">
        <v>78</v>
      </c>
      <c r="L825" t="s">
        <v>350</v>
      </c>
      <c r="M825" t="s">
        <v>351</v>
      </c>
      <c r="N825" t="s">
        <v>404</v>
      </c>
      <c r="O825" t="s">
        <v>82</v>
      </c>
      <c r="P825" t="str">
        <f>"4170037607                    "</f>
        <v xml:space="preserve">4170037607                    </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106.85</v>
      </c>
      <c r="AR825">
        <v>0</v>
      </c>
      <c r="AS825">
        <v>0</v>
      </c>
      <c r="AT825">
        <v>0</v>
      </c>
      <c r="AU825">
        <v>0</v>
      </c>
      <c r="AV825">
        <v>0</v>
      </c>
      <c r="AW825">
        <v>0</v>
      </c>
      <c r="AX825">
        <v>0</v>
      </c>
      <c r="AY825">
        <v>0</v>
      </c>
      <c r="AZ825">
        <v>0</v>
      </c>
      <c r="BA825">
        <v>0</v>
      </c>
      <c r="BB825">
        <v>0</v>
      </c>
      <c r="BC825">
        <v>0</v>
      </c>
      <c r="BD825">
        <v>0</v>
      </c>
      <c r="BE825">
        <v>0</v>
      </c>
      <c r="BF825">
        <v>0</v>
      </c>
      <c r="BG825">
        <v>0</v>
      </c>
      <c r="BH825">
        <v>1</v>
      </c>
      <c r="BI825">
        <v>10</v>
      </c>
      <c r="BJ825">
        <v>3.4</v>
      </c>
      <c r="BK825">
        <v>10</v>
      </c>
      <c r="BL825">
        <v>349.69</v>
      </c>
      <c r="BM825">
        <v>52.45</v>
      </c>
      <c r="BN825">
        <v>402.14</v>
      </c>
      <c r="BO825">
        <v>402.14</v>
      </c>
      <c r="BQ825" t="s">
        <v>405</v>
      </c>
      <c r="BR825" t="s">
        <v>84</v>
      </c>
      <c r="BS825" s="3">
        <v>45790</v>
      </c>
      <c r="BT825" s="4">
        <v>0.54791666666666672</v>
      </c>
      <c r="BU825" t="s">
        <v>1588</v>
      </c>
      <c r="BV825" t="s">
        <v>89</v>
      </c>
      <c r="BW825" t="s">
        <v>296</v>
      </c>
      <c r="BX825" t="s">
        <v>325</v>
      </c>
      <c r="BY825">
        <v>16965</v>
      </c>
      <c r="CA825" t="s">
        <v>326</v>
      </c>
      <c r="CC825" t="s">
        <v>351</v>
      </c>
      <c r="CD825">
        <v>4052</v>
      </c>
      <c r="CE825" t="s">
        <v>96</v>
      </c>
      <c r="CF825" s="3">
        <v>45791</v>
      </c>
      <c r="CI825">
        <v>1</v>
      </c>
      <c r="CJ825">
        <v>1</v>
      </c>
      <c r="CK825">
        <v>21</v>
      </c>
      <c r="CL825" t="s">
        <v>89</v>
      </c>
    </row>
    <row r="826" spans="1:90" x14ac:dyDescent="0.3">
      <c r="A826" t="s">
        <v>72</v>
      </c>
      <c r="B826" t="s">
        <v>73</v>
      </c>
      <c r="C826" t="s">
        <v>74</v>
      </c>
      <c r="E826" t="str">
        <f>"080065317817"</f>
        <v>080065317817</v>
      </c>
      <c r="F826" s="3">
        <v>45789</v>
      </c>
      <c r="G826">
        <v>202602</v>
      </c>
      <c r="H826" t="s">
        <v>75</v>
      </c>
      <c r="I826" t="s">
        <v>76</v>
      </c>
      <c r="J826" t="s">
        <v>77</v>
      </c>
      <c r="K826" t="s">
        <v>78</v>
      </c>
      <c r="L826" t="s">
        <v>177</v>
      </c>
      <c r="M826" t="s">
        <v>178</v>
      </c>
      <c r="N826" t="s">
        <v>393</v>
      </c>
      <c r="O826" t="s">
        <v>82</v>
      </c>
      <c r="P826" t="str">
        <f>"4170037665                    "</f>
        <v xml:space="preserve">4170037665                    </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21.38</v>
      </c>
      <c r="AR826">
        <v>0</v>
      </c>
      <c r="AS826">
        <v>0</v>
      </c>
      <c r="AT826">
        <v>0</v>
      </c>
      <c r="AU826">
        <v>0</v>
      </c>
      <c r="AV826">
        <v>0</v>
      </c>
      <c r="AW826">
        <v>0</v>
      </c>
      <c r="AX826">
        <v>0</v>
      </c>
      <c r="AY826">
        <v>0</v>
      </c>
      <c r="AZ826">
        <v>0</v>
      </c>
      <c r="BA826">
        <v>0</v>
      </c>
      <c r="BB826">
        <v>0</v>
      </c>
      <c r="BC826">
        <v>0</v>
      </c>
      <c r="BD826">
        <v>0</v>
      </c>
      <c r="BE826">
        <v>0</v>
      </c>
      <c r="BF826">
        <v>0</v>
      </c>
      <c r="BG826">
        <v>0</v>
      </c>
      <c r="BH826">
        <v>1</v>
      </c>
      <c r="BI826">
        <v>1</v>
      </c>
      <c r="BJ826">
        <v>0.2</v>
      </c>
      <c r="BK826">
        <v>1</v>
      </c>
      <c r="BL826">
        <v>69.98</v>
      </c>
      <c r="BM826">
        <v>10.5</v>
      </c>
      <c r="BN826">
        <v>80.48</v>
      </c>
      <c r="BO826">
        <v>80.48</v>
      </c>
      <c r="BQ826" t="s">
        <v>394</v>
      </c>
      <c r="BR826" t="s">
        <v>84</v>
      </c>
      <c r="BS826" s="3">
        <v>45790</v>
      </c>
      <c r="BT826" s="4">
        <v>0.33402777777777776</v>
      </c>
      <c r="BU826" t="s">
        <v>920</v>
      </c>
      <c r="BV826" t="s">
        <v>86</v>
      </c>
      <c r="BY826">
        <v>1200</v>
      </c>
      <c r="CA826" t="s">
        <v>182</v>
      </c>
      <c r="CC826" t="s">
        <v>178</v>
      </c>
      <c r="CD826">
        <v>6230</v>
      </c>
      <c r="CE826" t="s">
        <v>88</v>
      </c>
      <c r="CF826" s="3">
        <v>45790</v>
      </c>
      <c r="CI826">
        <v>1</v>
      </c>
      <c r="CJ826">
        <v>1</v>
      </c>
      <c r="CK826">
        <v>21</v>
      </c>
      <c r="CL826" t="s">
        <v>89</v>
      </c>
    </row>
    <row r="827" spans="1:90" x14ac:dyDescent="0.3">
      <c r="A827" t="s">
        <v>72</v>
      </c>
      <c r="B827" t="s">
        <v>73</v>
      </c>
      <c r="C827" t="s">
        <v>74</v>
      </c>
      <c r="E827" t="str">
        <f>"080065317838"</f>
        <v>080065317838</v>
      </c>
      <c r="F827" s="3">
        <v>45789</v>
      </c>
      <c r="G827">
        <v>202602</v>
      </c>
      <c r="H827" t="s">
        <v>75</v>
      </c>
      <c r="I827" t="s">
        <v>76</v>
      </c>
      <c r="J827" t="s">
        <v>77</v>
      </c>
      <c r="K827" t="s">
        <v>78</v>
      </c>
      <c r="L827" t="s">
        <v>177</v>
      </c>
      <c r="M827" t="s">
        <v>178</v>
      </c>
      <c r="N827" t="s">
        <v>393</v>
      </c>
      <c r="O827" t="s">
        <v>82</v>
      </c>
      <c r="P827" t="str">
        <f>"4170037499                    "</f>
        <v xml:space="preserve">4170037499                    </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21.38</v>
      </c>
      <c r="AR827">
        <v>0</v>
      </c>
      <c r="AS827">
        <v>0</v>
      </c>
      <c r="AT827">
        <v>0</v>
      </c>
      <c r="AU827">
        <v>0</v>
      </c>
      <c r="AV827">
        <v>0</v>
      </c>
      <c r="AW827">
        <v>0</v>
      </c>
      <c r="AX827">
        <v>0</v>
      </c>
      <c r="AY827">
        <v>0</v>
      </c>
      <c r="AZ827">
        <v>0</v>
      </c>
      <c r="BA827">
        <v>0</v>
      </c>
      <c r="BB827">
        <v>0</v>
      </c>
      <c r="BC827">
        <v>0</v>
      </c>
      <c r="BD827">
        <v>0</v>
      </c>
      <c r="BE827">
        <v>0</v>
      </c>
      <c r="BF827">
        <v>0</v>
      </c>
      <c r="BG827">
        <v>0</v>
      </c>
      <c r="BH827">
        <v>1</v>
      </c>
      <c r="BI827">
        <v>1</v>
      </c>
      <c r="BJ827">
        <v>0.2</v>
      </c>
      <c r="BK827">
        <v>1</v>
      </c>
      <c r="BL827">
        <v>69.98</v>
      </c>
      <c r="BM827">
        <v>10.5</v>
      </c>
      <c r="BN827">
        <v>80.48</v>
      </c>
      <c r="BO827">
        <v>80.48</v>
      </c>
      <c r="BQ827" t="s">
        <v>394</v>
      </c>
      <c r="BR827" t="s">
        <v>84</v>
      </c>
      <c r="BS827" s="3">
        <v>45790</v>
      </c>
      <c r="BT827" s="4">
        <v>0.3347222222222222</v>
      </c>
      <c r="BU827" t="s">
        <v>920</v>
      </c>
      <c r="BV827" t="s">
        <v>86</v>
      </c>
      <c r="BY827">
        <v>1200</v>
      </c>
      <c r="CA827" t="s">
        <v>182</v>
      </c>
      <c r="CC827" t="s">
        <v>178</v>
      </c>
      <c r="CD827">
        <v>6230</v>
      </c>
      <c r="CE827" t="s">
        <v>88</v>
      </c>
      <c r="CF827" s="3">
        <v>45790</v>
      </c>
      <c r="CI827">
        <v>1</v>
      </c>
      <c r="CJ827">
        <v>1</v>
      </c>
      <c r="CK827">
        <v>21</v>
      </c>
      <c r="CL827" t="s">
        <v>89</v>
      </c>
    </row>
    <row r="828" spans="1:90" x14ac:dyDescent="0.3">
      <c r="A828" t="s">
        <v>72</v>
      </c>
      <c r="B828" t="s">
        <v>73</v>
      </c>
      <c r="C828" t="s">
        <v>74</v>
      </c>
      <c r="E828" t="str">
        <f>"080065317865"</f>
        <v>080065317865</v>
      </c>
      <c r="F828" s="3">
        <v>45789</v>
      </c>
      <c r="G828">
        <v>202602</v>
      </c>
      <c r="H828" t="s">
        <v>75</v>
      </c>
      <c r="I828" t="s">
        <v>76</v>
      </c>
      <c r="J828" t="s">
        <v>77</v>
      </c>
      <c r="K828" t="s">
        <v>78</v>
      </c>
      <c r="L828" t="s">
        <v>130</v>
      </c>
      <c r="M828" t="s">
        <v>131</v>
      </c>
      <c r="N828" t="s">
        <v>709</v>
      </c>
      <c r="O828" t="s">
        <v>82</v>
      </c>
      <c r="P828" t="str">
        <f>"4170037677                    "</f>
        <v xml:space="preserve">4170037677                    </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21.38</v>
      </c>
      <c r="AR828">
        <v>0</v>
      </c>
      <c r="AS828">
        <v>0</v>
      </c>
      <c r="AT828">
        <v>0</v>
      </c>
      <c r="AU828">
        <v>0</v>
      </c>
      <c r="AV828">
        <v>0</v>
      </c>
      <c r="AW828">
        <v>0</v>
      </c>
      <c r="AX828">
        <v>0</v>
      </c>
      <c r="AY828">
        <v>0</v>
      </c>
      <c r="AZ828">
        <v>0</v>
      </c>
      <c r="BA828">
        <v>0</v>
      </c>
      <c r="BB828">
        <v>0</v>
      </c>
      <c r="BC828">
        <v>0</v>
      </c>
      <c r="BD828">
        <v>0</v>
      </c>
      <c r="BE828">
        <v>0</v>
      </c>
      <c r="BF828">
        <v>0</v>
      </c>
      <c r="BG828">
        <v>0</v>
      </c>
      <c r="BH828">
        <v>1</v>
      </c>
      <c r="BI828">
        <v>1</v>
      </c>
      <c r="BJ828">
        <v>0.2</v>
      </c>
      <c r="BK828">
        <v>1</v>
      </c>
      <c r="BL828">
        <v>69.98</v>
      </c>
      <c r="BM828">
        <v>10.5</v>
      </c>
      <c r="BN828">
        <v>80.48</v>
      </c>
      <c r="BO828">
        <v>80.48</v>
      </c>
      <c r="BQ828" t="s">
        <v>710</v>
      </c>
      <c r="BR828" t="s">
        <v>84</v>
      </c>
      <c r="BS828" s="3">
        <v>45790</v>
      </c>
      <c r="BT828" s="4">
        <v>0.41805555555555557</v>
      </c>
      <c r="BU828" t="s">
        <v>1589</v>
      </c>
      <c r="BV828" t="s">
        <v>86</v>
      </c>
      <c r="BY828">
        <v>1200</v>
      </c>
      <c r="CA828" t="s">
        <v>712</v>
      </c>
      <c r="CC828" t="s">
        <v>131</v>
      </c>
      <c r="CD828">
        <v>7530</v>
      </c>
      <c r="CE828" t="s">
        <v>88</v>
      </c>
      <c r="CF828" s="3">
        <v>45791</v>
      </c>
      <c r="CI828">
        <v>1</v>
      </c>
      <c r="CJ828">
        <v>1</v>
      </c>
      <c r="CK828">
        <v>21</v>
      </c>
      <c r="CL828" t="s">
        <v>89</v>
      </c>
    </row>
    <row r="829" spans="1:90" x14ac:dyDescent="0.3">
      <c r="A829" t="s">
        <v>72</v>
      </c>
      <c r="B829" t="s">
        <v>73</v>
      </c>
      <c r="C829" t="s">
        <v>74</v>
      </c>
      <c r="E829" t="str">
        <f>"080065317870"</f>
        <v>080065317870</v>
      </c>
      <c r="F829" s="3">
        <v>45789</v>
      </c>
      <c r="G829">
        <v>202602</v>
      </c>
      <c r="H829" t="s">
        <v>75</v>
      </c>
      <c r="I829" t="s">
        <v>76</v>
      </c>
      <c r="J829" t="s">
        <v>77</v>
      </c>
      <c r="K829" t="s">
        <v>78</v>
      </c>
      <c r="L829" t="s">
        <v>567</v>
      </c>
      <c r="M829" t="s">
        <v>568</v>
      </c>
      <c r="N829" t="s">
        <v>1590</v>
      </c>
      <c r="O829" t="s">
        <v>82</v>
      </c>
      <c r="P829" t="str">
        <f>"4170037612                    "</f>
        <v xml:space="preserve">4170037612                    </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41.43</v>
      </c>
      <c r="AR829">
        <v>0</v>
      </c>
      <c r="AS829">
        <v>0</v>
      </c>
      <c r="AT829">
        <v>0</v>
      </c>
      <c r="AU829">
        <v>0</v>
      </c>
      <c r="AV829">
        <v>0</v>
      </c>
      <c r="AW829">
        <v>0</v>
      </c>
      <c r="AX829">
        <v>0</v>
      </c>
      <c r="AY829">
        <v>0</v>
      </c>
      <c r="AZ829">
        <v>0</v>
      </c>
      <c r="BA829">
        <v>0</v>
      </c>
      <c r="BB829">
        <v>0</v>
      </c>
      <c r="BC829">
        <v>0</v>
      </c>
      <c r="BD829">
        <v>0</v>
      </c>
      <c r="BE829">
        <v>0</v>
      </c>
      <c r="BF829">
        <v>0</v>
      </c>
      <c r="BG829">
        <v>0</v>
      </c>
      <c r="BH829">
        <v>1</v>
      </c>
      <c r="BI829">
        <v>1</v>
      </c>
      <c r="BJ829">
        <v>0.2</v>
      </c>
      <c r="BK829">
        <v>1</v>
      </c>
      <c r="BL829">
        <v>135.59</v>
      </c>
      <c r="BM829">
        <v>20.34</v>
      </c>
      <c r="BN829">
        <v>155.93</v>
      </c>
      <c r="BO829">
        <v>155.93</v>
      </c>
      <c r="BQ829" t="s">
        <v>1591</v>
      </c>
      <c r="BR829" t="s">
        <v>84</v>
      </c>
      <c r="BS829" s="3">
        <v>45790</v>
      </c>
      <c r="BT829" s="4">
        <v>0.41666666666666669</v>
      </c>
      <c r="BU829" t="s">
        <v>1592</v>
      </c>
      <c r="BV829" t="s">
        <v>86</v>
      </c>
      <c r="BY829">
        <v>1200</v>
      </c>
      <c r="CC829" t="s">
        <v>568</v>
      </c>
      <c r="CD829" s="5" t="s">
        <v>573</v>
      </c>
      <c r="CE829" t="s">
        <v>88</v>
      </c>
      <c r="CF829" s="3">
        <v>45791</v>
      </c>
      <c r="CI829">
        <v>1</v>
      </c>
      <c r="CJ829">
        <v>1</v>
      </c>
      <c r="CK829">
        <v>23</v>
      </c>
      <c r="CL829" t="s">
        <v>89</v>
      </c>
    </row>
    <row r="830" spans="1:90" x14ac:dyDescent="0.3">
      <c r="A830" t="s">
        <v>72</v>
      </c>
      <c r="B830" t="s">
        <v>73</v>
      </c>
      <c r="C830" t="s">
        <v>74</v>
      </c>
      <c r="E830" t="str">
        <f>"080065317908"</f>
        <v>080065317908</v>
      </c>
      <c r="F830" s="3">
        <v>45789</v>
      </c>
      <c r="G830">
        <v>202602</v>
      </c>
      <c r="H830" t="s">
        <v>75</v>
      </c>
      <c r="I830" t="s">
        <v>76</v>
      </c>
      <c r="J830" t="s">
        <v>77</v>
      </c>
      <c r="K830" t="s">
        <v>78</v>
      </c>
      <c r="L830" t="s">
        <v>117</v>
      </c>
      <c r="M830" t="s">
        <v>118</v>
      </c>
      <c r="N830" t="s">
        <v>1228</v>
      </c>
      <c r="O830" t="s">
        <v>82</v>
      </c>
      <c r="P830" t="str">
        <f>"4170037935                    "</f>
        <v xml:space="preserve">4170037935                    </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16.7</v>
      </c>
      <c r="AR830">
        <v>0</v>
      </c>
      <c r="AS830">
        <v>0</v>
      </c>
      <c r="AT830">
        <v>0</v>
      </c>
      <c r="AU830">
        <v>0</v>
      </c>
      <c r="AV830">
        <v>0</v>
      </c>
      <c r="AW830">
        <v>0</v>
      </c>
      <c r="AX830">
        <v>0</v>
      </c>
      <c r="AY830">
        <v>0</v>
      </c>
      <c r="AZ830">
        <v>0</v>
      </c>
      <c r="BA830">
        <v>0</v>
      </c>
      <c r="BB830">
        <v>0</v>
      </c>
      <c r="BC830">
        <v>0</v>
      </c>
      <c r="BD830">
        <v>0</v>
      </c>
      <c r="BE830">
        <v>0</v>
      </c>
      <c r="BF830">
        <v>0</v>
      </c>
      <c r="BG830">
        <v>0</v>
      </c>
      <c r="BH830">
        <v>1</v>
      </c>
      <c r="BI830">
        <v>1</v>
      </c>
      <c r="BJ830">
        <v>0.2</v>
      </c>
      <c r="BK830">
        <v>1</v>
      </c>
      <c r="BL830">
        <v>54.66</v>
      </c>
      <c r="BM830">
        <v>8.1999999999999993</v>
      </c>
      <c r="BN830">
        <v>62.86</v>
      </c>
      <c r="BO830">
        <v>62.86</v>
      </c>
      <c r="BQ830" t="s">
        <v>1229</v>
      </c>
      <c r="BR830" t="s">
        <v>84</v>
      </c>
      <c r="BS830" s="3">
        <v>45790</v>
      </c>
      <c r="BT830" s="4">
        <v>0.43055555555555558</v>
      </c>
      <c r="BU830" t="s">
        <v>1593</v>
      </c>
      <c r="BV830" t="s">
        <v>86</v>
      </c>
      <c r="BY830">
        <v>1200</v>
      </c>
      <c r="CC830" t="s">
        <v>118</v>
      </c>
      <c r="CD830">
        <v>2190</v>
      </c>
      <c r="CE830" t="s">
        <v>88</v>
      </c>
      <c r="CF830" s="3">
        <v>45790</v>
      </c>
      <c r="CI830">
        <v>1</v>
      </c>
      <c r="CJ830">
        <v>1</v>
      </c>
      <c r="CK830">
        <v>22</v>
      </c>
      <c r="CL830" t="s">
        <v>89</v>
      </c>
    </row>
    <row r="831" spans="1:90" x14ac:dyDescent="0.3">
      <c r="A831" t="s">
        <v>72</v>
      </c>
      <c r="B831" t="s">
        <v>73</v>
      </c>
      <c r="C831" t="s">
        <v>74</v>
      </c>
      <c r="E831" t="str">
        <f>"080065317930"</f>
        <v>080065317930</v>
      </c>
      <c r="F831" s="3">
        <v>45789</v>
      </c>
      <c r="G831">
        <v>202602</v>
      </c>
      <c r="H831" t="s">
        <v>75</v>
      </c>
      <c r="I831" t="s">
        <v>76</v>
      </c>
      <c r="J831" t="s">
        <v>77</v>
      </c>
      <c r="K831" t="s">
        <v>78</v>
      </c>
      <c r="L831" t="s">
        <v>90</v>
      </c>
      <c r="M831" t="s">
        <v>91</v>
      </c>
      <c r="N831" t="s">
        <v>563</v>
      </c>
      <c r="O831" t="s">
        <v>82</v>
      </c>
      <c r="P831" t="str">
        <f>"4170037865                    "</f>
        <v xml:space="preserve">4170037865                    </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154.91999999999999</v>
      </c>
      <c r="AR831">
        <v>0</v>
      </c>
      <c r="AS831">
        <v>0</v>
      </c>
      <c r="AT831">
        <v>0</v>
      </c>
      <c r="AU831">
        <v>0</v>
      </c>
      <c r="AV831">
        <v>0</v>
      </c>
      <c r="AW831">
        <v>0</v>
      </c>
      <c r="AX831">
        <v>0</v>
      </c>
      <c r="AY831">
        <v>0</v>
      </c>
      <c r="AZ831">
        <v>0</v>
      </c>
      <c r="BA831">
        <v>0</v>
      </c>
      <c r="BB831">
        <v>0</v>
      </c>
      <c r="BC831">
        <v>0</v>
      </c>
      <c r="BD831">
        <v>0</v>
      </c>
      <c r="BE831">
        <v>0</v>
      </c>
      <c r="BF831">
        <v>0</v>
      </c>
      <c r="BG831">
        <v>0</v>
      </c>
      <c r="BH831">
        <v>1</v>
      </c>
      <c r="BI831">
        <v>9</v>
      </c>
      <c r="BJ831">
        <v>14.4</v>
      </c>
      <c r="BK831">
        <v>14.5</v>
      </c>
      <c r="BL831">
        <v>507.02</v>
      </c>
      <c r="BM831">
        <v>76.05</v>
      </c>
      <c r="BN831">
        <v>583.07000000000005</v>
      </c>
      <c r="BO831">
        <v>583.07000000000005</v>
      </c>
      <c r="BQ831" t="s">
        <v>564</v>
      </c>
      <c r="BR831" t="s">
        <v>84</v>
      </c>
      <c r="BS831" s="3">
        <v>45790</v>
      </c>
      <c r="BT831" s="4">
        <v>0.40555555555555556</v>
      </c>
      <c r="BU831" t="s">
        <v>780</v>
      </c>
      <c r="BV831" t="s">
        <v>86</v>
      </c>
      <c r="BY831">
        <v>71990</v>
      </c>
      <c r="CC831" t="s">
        <v>91</v>
      </c>
      <c r="CD831">
        <v>6001</v>
      </c>
      <c r="CE831" t="s">
        <v>550</v>
      </c>
      <c r="CF831" s="3">
        <v>45790</v>
      </c>
      <c r="CI831">
        <v>1</v>
      </c>
      <c r="CJ831">
        <v>1</v>
      </c>
      <c r="CK831">
        <v>21</v>
      </c>
      <c r="CL831" t="s">
        <v>89</v>
      </c>
    </row>
    <row r="832" spans="1:90" x14ac:dyDescent="0.3">
      <c r="A832" t="s">
        <v>72</v>
      </c>
      <c r="B832" t="s">
        <v>73</v>
      </c>
      <c r="C832" t="s">
        <v>74</v>
      </c>
      <c r="E832" t="str">
        <f>"080065317933"</f>
        <v>080065317933</v>
      </c>
      <c r="F832" s="3">
        <v>45789</v>
      </c>
      <c r="G832">
        <v>202602</v>
      </c>
      <c r="H832" t="s">
        <v>75</v>
      </c>
      <c r="I832" t="s">
        <v>76</v>
      </c>
      <c r="J832" t="s">
        <v>77</v>
      </c>
      <c r="K832" t="s">
        <v>78</v>
      </c>
      <c r="L832" t="s">
        <v>972</v>
      </c>
      <c r="M832" t="s">
        <v>973</v>
      </c>
      <c r="N832" t="s">
        <v>1594</v>
      </c>
      <c r="O832" t="s">
        <v>82</v>
      </c>
      <c r="P832" t="str">
        <f>"4170037937                    "</f>
        <v xml:space="preserve">4170037937                    </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16.7</v>
      </c>
      <c r="AR832">
        <v>0</v>
      </c>
      <c r="AS832">
        <v>0</v>
      </c>
      <c r="AT832">
        <v>0</v>
      </c>
      <c r="AU832">
        <v>0</v>
      </c>
      <c r="AV832">
        <v>0</v>
      </c>
      <c r="AW832">
        <v>0</v>
      </c>
      <c r="AX832">
        <v>0</v>
      </c>
      <c r="AY832">
        <v>0</v>
      </c>
      <c r="AZ832">
        <v>0</v>
      </c>
      <c r="BA832">
        <v>0</v>
      </c>
      <c r="BB832">
        <v>0</v>
      </c>
      <c r="BC832">
        <v>0</v>
      </c>
      <c r="BD832">
        <v>0</v>
      </c>
      <c r="BE832">
        <v>0</v>
      </c>
      <c r="BF832">
        <v>0</v>
      </c>
      <c r="BG832">
        <v>0</v>
      </c>
      <c r="BH832">
        <v>1</v>
      </c>
      <c r="BI832">
        <v>1</v>
      </c>
      <c r="BJ832">
        <v>0.2</v>
      </c>
      <c r="BK832">
        <v>1</v>
      </c>
      <c r="BL832">
        <v>54.66</v>
      </c>
      <c r="BM832">
        <v>8.1999999999999993</v>
      </c>
      <c r="BN832">
        <v>62.86</v>
      </c>
      <c r="BO832">
        <v>62.86</v>
      </c>
      <c r="BQ832" t="s">
        <v>1595</v>
      </c>
      <c r="BR832" t="s">
        <v>84</v>
      </c>
      <c r="BS832" s="3">
        <v>45790</v>
      </c>
      <c r="BT832" s="4">
        <v>0.37361111111111112</v>
      </c>
      <c r="BU832" t="s">
        <v>701</v>
      </c>
      <c r="BV832" t="s">
        <v>86</v>
      </c>
      <c r="BY832">
        <v>1200</v>
      </c>
      <c r="CA832" t="s">
        <v>1596</v>
      </c>
      <c r="CC832" t="s">
        <v>973</v>
      </c>
      <c r="CD832">
        <v>1709</v>
      </c>
      <c r="CE832" t="s">
        <v>88</v>
      </c>
      <c r="CF832" s="3">
        <v>45791</v>
      </c>
      <c r="CI832">
        <v>1</v>
      </c>
      <c r="CJ832">
        <v>1</v>
      </c>
      <c r="CK832">
        <v>22</v>
      </c>
      <c r="CL832" t="s">
        <v>89</v>
      </c>
    </row>
    <row r="833" spans="1:90" x14ac:dyDescent="0.3">
      <c r="A833" t="s">
        <v>72</v>
      </c>
      <c r="B833" t="s">
        <v>73</v>
      </c>
      <c r="C833" t="s">
        <v>74</v>
      </c>
      <c r="E833" t="str">
        <f>"080065317965"</f>
        <v>080065317965</v>
      </c>
      <c r="F833" s="3">
        <v>45789</v>
      </c>
      <c r="G833">
        <v>202602</v>
      </c>
      <c r="H833" t="s">
        <v>75</v>
      </c>
      <c r="I833" t="s">
        <v>76</v>
      </c>
      <c r="J833" t="s">
        <v>77</v>
      </c>
      <c r="K833" t="s">
        <v>78</v>
      </c>
      <c r="L833" t="s">
        <v>479</v>
      </c>
      <c r="M833" t="s">
        <v>480</v>
      </c>
      <c r="N833" t="s">
        <v>1379</v>
      </c>
      <c r="O833" t="s">
        <v>82</v>
      </c>
      <c r="P833" t="str">
        <f>"4170037905                    "</f>
        <v xml:space="preserve">4170037905                    </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16.7</v>
      </c>
      <c r="AR833">
        <v>0</v>
      </c>
      <c r="AS833">
        <v>0</v>
      </c>
      <c r="AT833">
        <v>0</v>
      </c>
      <c r="AU833">
        <v>0</v>
      </c>
      <c r="AV833">
        <v>0</v>
      </c>
      <c r="AW833">
        <v>0</v>
      </c>
      <c r="AX833">
        <v>0</v>
      </c>
      <c r="AY833">
        <v>0</v>
      </c>
      <c r="AZ833">
        <v>0</v>
      </c>
      <c r="BA833">
        <v>0</v>
      </c>
      <c r="BB833">
        <v>0</v>
      </c>
      <c r="BC833">
        <v>0</v>
      </c>
      <c r="BD833">
        <v>0</v>
      </c>
      <c r="BE833">
        <v>0</v>
      </c>
      <c r="BF833">
        <v>0</v>
      </c>
      <c r="BG833">
        <v>0</v>
      </c>
      <c r="BH833">
        <v>1</v>
      </c>
      <c r="BI833">
        <v>1</v>
      </c>
      <c r="BJ833">
        <v>0.2</v>
      </c>
      <c r="BK833">
        <v>1</v>
      </c>
      <c r="BL833">
        <v>54.66</v>
      </c>
      <c r="BM833">
        <v>8.1999999999999993</v>
      </c>
      <c r="BN833">
        <v>62.86</v>
      </c>
      <c r="BO833">
        <v>62.86</v>
      </c>
      <c r="BQ833" t="s">
        <v>1380</v>
      </c>
      <c r="BR833" t="s">
        <v>84</v>
      </c>
      <c r="BS833" s="3">
        <v>45790</v>
      </c>
      <c r="BT833" s="4">
        <v>0.41666666666666669</v>
      </c>
      <c r="BU833" t="s">
        <v>1597</v>
      </c>
      <c r="BV833" t="s">
        <v>86</v>
      </c>
      <c r="BY833">
        <v>1200</v>
      </c>
      <c r="CA833" t="s">
        <v>796</v>
      </c>
      <c r="CC833" t="s">
        <v>480</v>
      </c>
      <c r="CD833">
        <v>2163</v>
      </c>
      <c r="CE833" t="s">
        <v>88</v>
      </c>
      <c r="CF833" s="3">
        <v>45791</v>
      </c>
      <c r="CI833">
        <v>1</v>
      </c>
      <c r="CJ833">
        <v>1</v>
      </c>
      <c r="CK833">
        <v>22</v>
      </c>
      <c r="CL833" t="s">
        <v>89</v>
      </c>
    </row>
    <row r="834" spans="1:90" x14ac:dyDescent="0.3">
      <c r="A834" t="s">
        <v>72</v>
      </c>
      <c r="B834" t="s">
        <v>73</v>
      </c>
      <c r="C834" t="s">
        <v>74</v>
      </c>
      <c r="E834" t="str">
        <f>"080065317996"</f>
        <v>080065317996</v>
      </c>
      <c r="F834" s="3">
        <v>45789</v>
      </c>
      <c r="G834">
        <v>202602</v>
      </c>
      <c r="H834" t="s">
        <v>75</v>
      </c>
      <c r="I834" t="s">
        <v>76</v>
      </c>
      <c r="J834" t="s">
        <v>77</v>
      </c>
      <c r="K834" t="s">
        <v>78</v>
      </c>
      <c r="L834" t="s">
        <v>117</v>
      </c>
      <c r="M834" t="s">
        <v>118</v>
      </c>
      <c r="N834" t="s">
        <v>1228</v>
      </c>
      <c r="O834" t="s">
        <v>82</v>
      </c>
      <c r="P834" t="str">
        <f>"4170037632                    "</f>
        <v xml:space="preserve">4170037632                    </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16.7</v>
      </c>
      <c r="AR834">
        <v>0</v>
      </c>
      <c r="AS834">
        <v>0</v>
      </c>
      <c r="AT834">
        <v>0</v>
      </c>
      <c r="AU834">
        <v>0</v>
      </c>
      <c r="AV834">
        <v>0</v>
      </c>
      <c r="AW834">
        <v>0</v>
      </c>
      <c r="AX834">
        <v>0</v>
      </c>
      <c r="AY834">
        <v>0</v>
      </c>
      <c r="AZ834">
        <v>0</v>
      </c>
      <c r="BA834">
        <v>0</v>
      </c>
      <c r="BB834">
        <v>0</v>
      </c>
      <c r="BC834">
        <v>0</v>
      </c>
      <c r="BD834">
        <v>0</v>
      </c>
      <c r="BE834">
        <v>0</v>
      </c>
      <c r="BF834">
        <v>0</v>
      </c>
      <c r="BG834">
        <v>0</v>
      </c>
      <c r="BH834">
        <v>1</v>
      </c>
      <c r="BI834">
        <v>3</v>
      </c>
      <c r="BJ834">
        <v>1.2</v>
      </c>
      <c r="BK834">
        <v>3</v>
      </c>
      <c r="BL834">
        <v>54.66</v>
      </c>
      <c r="BM834">
        <v>8.1999999999999993</v>
      </c>
      <c r="BN834">
        <v>62.86</v>
      </c>
      <c r="BO834">
        <v>62.86</v>
      </c>
      <c r="BQ834" t="s">
        <v>1229</v>
      </c>
      <c r="BR834" t="s">
        <v>84</v>
      </c>
      <c r="BS834" s="3">
        <v>45790</v>
      </c>
      <c r="BT834" s="4">
        <v>0.43055555555555558</v>
      </c>
      <c r="BU834" t="s">
        <v>1593</v>
      </c>
      <c r="BV834" t="s">
        <v>86</v>
      </c>
      <c r="BY834">
        <v>6000</v>
      </c>
      <c r="CC834" t="s">
        <v>118</v>
      </c>
      <c r="CD834">
        <v>2190</v>
      </c>
      <c r="CE834" t="s">
        <v>221</v>
      </c>
      <c r="CF834" s="3">
        <v>45790</v>
      </c>
      <c r="CI834">
        <v>1</v>
      </c>
      <c r="CJ834">
        <v>1</v>
      </c>
      <c r="CK834">
        <v>22</v>
      </c>
      <c r="CL834" t="s">
        <v>89</v>
      </c>
    </row>
    <row r="835" spans="1:90" x14ac:dyDescent="0.3">
      <c r="A835" t="s">
        <v>72</v>
      </c>
      <c r="B835" t="s">
        <v>73</v>
      </c>
      <c r="C835" t="s">
        <v>74</v>
      </c>
      <c r="E835" t="str">
        <f>"080065318004"</f>
        <v>080065318004</v>
      </c>
      <c r="F835" s="3">
        <v>45789</v>
      </c>
      <c r="G835">
        <v>202602</v>
      </c>
      <c r="H835" t="s">
        <v>75</v>
      </c>
      <c r="I835" t="s">
        <v>76</v>
      </c>
      <c r="J835" t="s">
        <v>77</v>
      </c>
      <c r="K835" t="s">
        <v>78</v>
      </c>
      <c r="L835" t="s">
        <v>103</v>
      </c>
      <c r="M835" t="s">
        <v>104</v>
      </c>
      <c r="N835" t="s">
        <v>228</v>
      </c>
      <c r="O835" t="s">
        <v>82</v>
      </c>
      <c r="P835" t="str">
        <f>"4170037932                    "</f>
        <v xml:space="preserve">4170037932                    </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21.38</v>
      </c>
      <c r="AR835">
        <v>0</v>
      </c>
      <c r="AS835">
        <v>0</v>
      </c>
      <c r="AT835">
        <v>0</v>
      </c>
      <c r="AU835">
        <v>0</v>
      </c>
      <c r="AV835">
        <v>0</v>
      </c>
      <c r="AW835">
        <v>16.739999999999998</v>
      </c>
      <c r="AX835">
        <v>0</v>
      </c>
      <c r="AY835">
        <v>0</v>
      </c>
      <c r="AZ835">
        <v>0</v>
      </c>
      <c r="BA835">
        <v>0</v>
      </c>
      <c r="BB835">
        <v>0</v>
      </c>
      <c r="BC835">
        <v>0</v>
      </c>
      <c r="BD835">
        <v>0</v>
      </c>
      <c r="BE835">
        <v>0</v>
      </c>
      <c r="BF835">
        <v>0</v>
      </c>
      <c r="BG835">
        <v>0</v>
      </c>
      <c r="BH835">
        <v>1</v>
      </c>
      <c r="BI835">
        <v>1</v>
      </c>
      <c r="BJ835">
        <v>0.2</v>
      </c>
      <c r="BK835">
        <v>1</v>
      </c>
      <c r="BL835">
        <v>86.72</v>
      </c>
      <c r="BM835">
        <v>13.01</v>
      </c>
      <c r="BN835">
        <v>99.73</v>
      </c>
      <c r="BO835">
        <v>99.73</v>
      </c>
      <c r="BQ835" t="s">
        <v>229</v>
      </c>
      <c r="BR835" t="s">
        <v>84</v>
      </c>
      <c r="BS835" s="3">
        <v>45790</v>
      </c>
      <c r="BT835" s="4">
        <v>0.66180555555555554</v>
      </c>
      <c r="BU835" t="s">
        <v>1598</v>
      </c>
      <c r="BV835" t="s">
        <v>86</v>
      </c>
      <c r="BY835">
        <v>1200</v>
      </c>
      <c r="BZ835" t="s">
        <v>30</v>
      </c>
      <c r="CA835" t="s">
        <v>945</v>
      </c>
      <c r="CC835" t="s">
        <v>104</v>
      </c>
      <c r="CD835">
        <v>3699</v>
      </c>
      <c r="CE835" t="s">
        <v>88</v>
      </c>
      <c r="CF835" s="3">
        <v>45791</v>
      </c>
      <c r="CI835">
        <v>1</v>
      </c>
      <c r="CJ835">
        <v>1</v>
      </c>
      <c r="CK835">
        <v>21</v>
      </c>
      <c r="CL835" t="s">
        <v>89</v>
      </c>
    </row>
    <row r="836" spans="1:90" x14ac:dyDescent="0.3">
      <c r="A836" t="s">
        <v>72</v>
      </c>
      <c r="B836" t="s">
        <v>73</v>
      </c>
      <c r="C836" t="s">
        <v>74</v>
      </c>
      <c r="E836" t="str">
        <f>"080065318038"</f>
        <v>080065318038</v>
      </c>
      <c r="F836" s="3">
        <v>45789</v>
      </c>
      <c r="G836">
        <v>202602</v>
      </c>
      <c r="H836" t="s">
        <v>75</v>
      </c>
      <c r="I836" t="s">
        <v>76</v>
      </c>
      <c r="J836" t="s">
        <v>77</v>
      </c>
      <c r="K836" t="s">
        <v>78</v>
      </c>
      <c r="L836" t="s">
        <v>97</v>
      </c>
      <c r="M836" t="s">
        <v>98</v>
      </c>
      <c r="N836" t="s">
        <v>1599</v>
      </c>
      <c r="O836" t="s">
        <v>82</v>
      </c>
      <c r="P836" t="str">
        <f>"4170037678                    "</f>
        <v xml:space="preserve">4170037678                    </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16.7</v>
      </c>
      <c r="AR836">
        <v>0</v>
      </c>
      <c r="AS836">
        <v>0</v>
      </c>
      <c r="AT836">
        <v>0</v>
      </c>
      <c r="AU836">
        <v>0</v>
      </c>
      <c r="AV836">
        <v>0</v>
      </c>
      <c r="AW836">
        <v>0</v>
      </c>
      <c r="AX836">
        <v>0</v>
      </c>
      <c r="AY836">
        <v>0</v>
      </c>
      <c r="AZ836">
        <v>0</v>
      </c>
      <c r="BA836">
        <v>0</v>
      </c>
      <c r="BB836">
        <v>0</v>
      </c>
      <c r="BC836">
        <v>0</v>
      </c>
      <c r="BD836">
        <v>0</v>
      </c>
      <c r="BE836">
        <v>0</v>
      </c>
      <c r="BF836">
        <v>0</v>
      </c>
      <c r="BG836">
        <v>0</v>
      </c>
      <c r="BH836">
        <v>1</v>
      </c>
      <c r="BI836">
        <v>1</v>
      </c>
      <c r="BJ836">
        <v>0.2</v>
      </c>
      <c r="BK836">
        <v>1</v>
      </c>
      <c r="BL836">
        <v>54.66</v>
      </c>
      <c r="BM836">
        <v>8.1999999999999993</v>
      </c>
      <c r="BN836">
        <v>62.86</v>
      </c>
      <c r="BO836">
        <v>62.86</v>
      </c>
      <c r="BQ836" t="s">
        <v>1600</v>
      </c>
      <c r="BR836" t="s">
        <v>84</v>
      </c>
      <c r="BS836" s="3">
        <v>45790</v>
      </c>
      <c r="BT836" s="4">
        <v>0.37152777777777779</v>
      </c>
      <c r="BU836" t="s">
        <v>1338</v>
      </c>
      <c r="BV836" t="s">
        <v>86</v>
      </c>
      <c r="BY836">
        <v>1200</v>
      </c>
      <c r="CA836" t="s">
        <v>175</v>
      </c>
      <c r="CC836" t="s">
        <v>98</v>
      </c>
      <c r="CD836">
        <v>1460</v>
      </c>
      <c r="CE836" t="s">
        <v>88</v>
      </c>
      <c r="CF836" s="3">
        <v>45791</v>
      </c>
      <c r="CI836">
        <v>1</v>
      </c>
      <c r="CJ836">
        <v>1</v>
      </c>
      <c r="CK836">
        <v>22</v>
      </c>
      <c r="CL836" t="s">
        <v>89</v>
      </c>
    </row>
    <row r="837" spans="1:90" x14ac:dyDescent="0.3">
      <c r="A837" t="s">
        <v>72</v>
      </c>
      <c r="B837" t="s">
        <v>73</v>
      </c>
      <c r="C837" t="s">
        <v>74</v>
      </c>
      <c r="E837" t="str">
        <f>"080065318035"</f>
        <v>080065318035</v>
      </c>
      <c r="F837" s="3">
        <v>45789</v>
      </c>
      <c r="G837">
        <v>202602</v>
      </c>
      <c r="H837" t="s">
        <v>75</v>
      </c>
      <c r="I837" t="s">
        <v>76</v>
      </c>
      <c r="J837" t="s">
        <v>77</v>
      </c>
      <c r="K837" t="s">
        <v>78</v>
      </c>
      <c r="L837" t="s">
        <v>713</v>
      </c>
      <c r="M837" t="s">
        <v>714</v>
      </c>
      <c r="N837" t="s">
        <v>715</v>
      </c>
      <c r="O837" t="s">
        <v>82</v>
      </c>
      <c r="P837" t="str">
        <f>"4170037984                    "</f>
        <v xml:space="preserve">4170037984                    </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60.14</v>
      </c>
      <c r="AR837">
        <v>0</v>
      </c>
      <c r="AS837">
        <v>0</v>
      </c>
      <c r="AT837">
        <v>0</v>
      </c>
      <c r="AU837">
        <v>0</v>
      </c>
      <c r="AV837">
        <v>0</v>
      </c>
      <c r="AW837">
        <v>0</v>
      </c>
      <c r="AX837">
        <v>0</v>
      </c>
      <c r="AY837">
        <v>0</v>
      </c>
      <c r="AZ837">
        <v>0</v>
      </c>
      <c r="BA837">
        <v>0</v>
      </c>
      <c r="BB837">
        <v>0</v>
      </c>
      <c r="BC837">
        <v>0</v>
      </c>
      <c r="BD837">
        <v>0</v>
      </c>
      <c r="BE837">
        <v>0</v>
      </c>
      <c r="BF837">
        <v>0</v>
      </c>
      <c r="BG837">
        <v>0</v>
      </c>
      <c r="BH837">
        <v>1</v>
      </c>
      <c r="BI837">
        <v>3</v>
      </c>
      <c r="BJ837">
        <v>1.1000000000000001</v>
      </c>
      <c r="BK837">
        <v>3</v>
      </c>
      <c r="BL837">
        <v>196.82</v>
      </c>
      <c r="BM837">
        <v>29.52</v>
      </c>
      <c r="BN837">
        <v>226.34</v>
      </c>
      <c r="BO837">
        <v>226.34</v>
      </c>
      <c r="BQ837" t="s">
        <v>716</v>
      </c>
      <c r="BR837" t="s">
        <v>84</v>
      </c>
      <c r="BS837" s="3">
        <v>45790</v>
      </c>
      <c r="BT837" s="4">
        <v>0.375</v>
      </c>
      <c r="BU837" t="s">
        <v>1584</v>
      </c>
      <c r="BV837" t="s">
        <v>86</v>
      </c>
      <c r="BY837">
        <v>5320</v>
      </c>
      <c r="CA837" t="s">
        <v>1585</v>
      </c>
      <c r="CC837" t="s">
        <v>714</v>
      </c>
      <c r="CD837">
        <v>6300</v>
      </c>
      <c r="CE837" t="s">
        <v>116</v>
      </c>
      <c r="CF837" s="3">
        <v>45790</v>
      </c>
      <c r="CI837">
        <v>2</v>
      </c>
      <c r="CJ837">
        <v>1</v>
      </c>
      <c r="CK837">
        <v>23</v>
      </c>
      <c r="CL837" t="s">
        <v>89</v>
      </c>
    </row>
    <row r="838" spans="1:90" x14ac:dyDescent="0.3">
      <c r="A838" t="s">
        <v>72</v>
      </c>
      <c r="B838" t="s">
        <v>73</v>
      </c>
      <c r="C838" t="s">
        <v>74</v>
      </c>
      <c r="E838" t="str">
        <f>"080065318073"</f>
        <v>080065318073</v>
      </c>
      <c r="F838" s="3">
        <v>45789</v>
      </c>
      <c r="G838">
        <v>202602</v>
      </c>
      <c r="H838" t="s">
        <v>75</v>
      </c>
      <c r="I838" t="s">
        <v>76</v>
      </c>
      <c r="J838" t="s">
        <v>77</v>
      </c>
      <c r="K838" t="s">
        <v>78</v>
      </c>
      <c r="L838" t="s">
        <v>374</v>
      </c>
      <c r="M838" t="s">
        <v>375</v>
      </c>
      <c r="N838" t="s">
        <v>376</v>
      </c>
      <c r="O838" t="s">
        <v>82</v>
      </c>
      <c r="P838" t="str">
        <f>"4170037528                    "</f>
        <v xml:space="preserve">4170037528                    </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41.43</v>
      </c>
      <c r="AR838">
        <v>0</v>
      </c>
      <c r="AS838">
        <v>0</v>
      </c>
      <c r="AT838">
        <v>0</v>
      </c>
      <c r="AU838">
        <v>0</v>
      </c>
      <c r="AV838">
        <v>0</v>
      </c>
      <c r="AW838">
        <v>0</v>
      </c>
      <c r="AX838">
        <v>0</v>
      </c>
      <c r="AY838">
        <v>0</v>
      </c>
      <c r="AZ838">
        <v>0</v>
      </c>
      <c r="BA838">
        <v>0</v>
      </c>
      <c r="BB838">
        <v>0</v>
      </c>
      <c r="BC838">
        <v>0</v>
      </c>
      <c r="BD838">
        <v>0</v>
      </c>
      <c r="BE838">
        <v>0</v>
      </c>
      <c r="BF838">
        <v>0</v>
      </c>
      <c r="BG838">
        <v>0</v>
      </c>
      <c r="BH838">
        <v>1</v>
      </c>
      <c r="BI838">
        <v>1</v>
      </c>
      <c r="BJ838">
        <v>0.2</v>
      </c>
      <c r="BK838">
        <v>1</v>
      </c>
      <c r="BL838">
        <v>135.59</v>
      </c>
      <c r="BM838">
        <v>20.34</v>
      </c>
      <c r="BN838">
        <v>155.93</v>
      </c>
      <c r="BO838">
        <v>155.93</v>
      </c>
      <c r="BQ838" t="s">
        <v>377</v>
      </c>
      <c r="BR838" t="s">
        <v>84</v>
      </c>
      <c r="BS838" s="3">
        <v>45790</v>
      </c>
      <c r="BT838" s="4">
        <v>0.52500000000000002</v>
      </c>
      <c r="BU838" t="s">
        <v>1601</v>
      </c>
      <c r="BV838" t="s">
        <v>86</v>
      </c>
      <c r="BY838">
        <v>1200</v>
      </c>
      <c r="CA838" t="s">
        <v>379</v>
      </c>
      <c r="CC838" t="s">
        <v>375</v>
      </c>
      <c r="CD838">
        <v>7130</v>
      </c>
      <c r="CE838" t="s">
        <v>88</v>
      </c>
      <c r="CF838" s="3">
        <v>45791</v>
      </c>
      <c r="CI838">
        <v>1</v>
      </c>
      <c r="CJ838">
        <v>1</v>
      </c>
      <c r="CK838">
        <v>23</v>
      </c>
      <c r="CL838" t="s">
        <v>89</v>
      </c>
    </row>
    <row r="839" spans="1:90" x14ac:dyDescent="0.3">
      <c r="A839" t="s">
        <v>72</v>
      </c>
      <c r="B839" t="s">
        <v>73</v>
      </c>
      <c r="C839" t="s">
        <v>74</v>
      </c>
      <c r="E839" t="str">
        <f>"080065318085"</f>
        <v>080065318085</v>
      </c>
      <c r="F839" s="3">
        <v>45789</v>
      </c>
      <c r="G839">
        <v>202602</v>
      </c>
      <c r="H839" t="s">
        <v>75</v>
      </c>
      <c r="I839" t="s">
        <v>76</v>
      </c>
      <c r="J839" t="s">
        <v>77</v>
      </c>
      <c r="K839" t="s">
        <v>78</v>
      </c>
      <c r="L839" t="s">
        <v>1241</v>
      </c>
      <c r="M839" t="s">
        <v>1242</v>
      </c>
      <c r="N839" t="s">
        <v>1243</v>
      </c>
      <c r="O839" t="s">
        <v>82</v>
      </c>
      <c r="P839" t="str">
        <f>"4170037856                    "</f>
        <v xml:space="preserve">4170037856                    </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41.43</v>
      </c>
      <c r="AR839">
        <v>0</v>
      </c>
      <c r="AS839">
        <v>0</v>
      </c>
      <c r="AT839">
        <v>0</v>
      </c>
      <c r="AU839">
        <v>0</v>
      </c>
      <c r="AV839">
        <v>0</v>
      </c>
      <c r="AW839">
        <v>0</v>
      </c>
      <c r="AX839">
        <v>0</v>
      </c>
      <c r="AY839">
        <v>0</v>
      </c>
      <c r="AZ839">
        <v>0</v>
      </c>
      <c r="BA839">
        <v>0</v>
      </c>
      <c r="BB839">
        <v>0</v>
      </c>
      <c r="BC839">
        <v>0</v>
      </c>
      <c r="BD839">
        <v>0</v>
      </c>
      <c r="BE839">
        <v>0</v>
      </c>
      <c r="BF839">
        <v>0</v>
      </c>
      <c r="BG839">
        <v>0</v>
      </c>
      <c r="BH839">
        <v>1</v>
      </c>
      <c r="BI839">
        <v>1</v>
      </c>
      <c r="BJ839">
        <v>0.6</v>
      </c>
      <c r="BK839">
        <v>1</v>
      </c>
      <c r="BL839">
        <v>135.59</v>
      </c>
      <c r="BM839">
        <v>20.34</v>
      </c>
      <c r="BN839">
        <v>155.93</v>
      </c>
      <c r="BO839">
        <v>155.93</v>
      </c>
      <c r="BQ839" t="s">
        <v>1244</v>
      </c>
      <c r="BR839" t="s">
        <v>84</v>
      </c>
      <c r="BS839" s="3">
        <v>45790</v>
      </c>
      <c r="BT839" s="4">
        <v>0.4375</v>
      </c>
      <c r="BU839" t="s">
        <v>1602</v>
      </c>
      <c r="BV839" t="s">
        <v>86</v>
      </c>
      <c r="BY839">
        <v>3192</v>
      </c>
      <c r="CC839" t="s">
        <v>1242</v>
      </c>
      <c r="CD839">
        <v>1871</v>
      </c>
      <c r="CE839" t="s">
        <v>116</v>
      </c>
      <c r="CF839" s="3">
        <v>45791</v>
      </c>
      <c r="CI839">
        <v>1</v>
      </c>
      <c r="CJ839">
        <v>1</v>
      </c>
      <c r="CK839">
        <v>23</v>
      </c>
      <c r="CL839" t="s">
        <v>89</v>
      </c>
    </row>
    <row r="840" spans="1:90" x14ac:dyDescent="0.3">
      <c r="A840" t="s">
        <v>72</v>
      </c>
      <c r="B840" t="s">
        <v>73</v>
      </c>
      <c r="C840" t="s">
        <v>74</v>
      </c>
      <c r="E840" t="str">
        <f>"080065318116"</f>
        <v>080065318116</v>
      </c>
      <c r="F840" s="3">
        <v>45789</v>
      </c>
      <c r="G840">
        <v>202602</v>
      </c>
      <c r="H840" t="s">
        <v>75</v>
      </c>
      <c r="I840" t="s">
        <v>76</v>
      </c>
      <c r="J840" t="s">
        <v>77</v>
      </c>
      <c r="K840" t="s">
        <v>78</v>
      </c>
      <c r="L840" t="s">
        <v>350</v>
      </c>
      <c r="M840" t="s">
        <v>351</v>
      </c>
      <c r="N840" t="s">
        <v>1333</v>
      </c>
      <c r="O840" t="s">
        <v>82</v>
      </c>
      <c r="P840" t="str">
        <f>"4170037671                    "</f>
        <v xml:space="preserve">4170037671                    </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21.38</v>
      </c>
      <c r="AR840">
        <v>0</v>
      </c>
      <c r="AS840">
        <v>0</v>
      </c>
      <c r="AT840">
        <v>0</v>
      </c>
      <c r="AU840">
        <v>0</v>
      </c>
      <c r="AV840">
        <v>0</v>
      </c>
      <c r="AW840">
        <v>0</v>
      </c>
      <c r="AX840">
        <v>0</v>
      </c>
      <c r="AY840">
        <v>0</v>
      </c>
      <c r="AZ840">
        <v>0</v>
      </c>
      <c r="BA840">
        <v>0</v>
      </c>
      <c r="BB840">
        <v>0</v>
      </c>
      <c r="BC840">
        <v>0</v>
      </c>
      <c r="BD840">
        <v>0</v>
      </c>
      <c r="BE840">
        <v>0</v>
      </c>
      <c r="BF840">
        <v>0</v>
      </c>
      <c r="BG840">
        <v>0</v>
      </c>
      <c r="BH840">
        <v>1</v>
      </c>
      <c r="BI840">
        <v>1</v>
      </c>
      <c r="BJ840">
        <v>0.2</v>
      </c>
      <c r="BK840">
        <v>1</v>
      </c>
      <c r="BL840">
        <v>69.98</v>
      </c>
      <c r="BM840">
        <v>10.5</v>
      </c>
      <c r="BN840">
        <v>80.48</v>
      </c>
      <c r="BO840">
        <v>80.48</v>
      </c>
      <c r="BQ840" t="s">
        <v>1334</v>
      </c>
      <c r="BR840" t="s">
        <v>84</v>
      </c>
      <c r="BS840" s="3">
        <v>45790</v>
      </c>
      <c r="BT840" s="4">
        <v>0.4236111111111111</v>
      </c>
      <c r="BU840" t="s">
        <v>1603</v>
      </c>
      <c r="BV840" t="s">
        <v>86</v>
      </c>
      <c r="BY840">
        <v>1200</v>
      </c>
      <c r="CC840" t="s">
        <v>351</v>
      </c>
      <c r="CD840">
        <v>4000</v>
      </c>
      <c r="CE840" t="s">
        <v>88</v>
      </c>
      <c r="CF840" s="3">
        <v>45791</v>
      </c>
      <c r="CI840">
        <v>1</v>
      </c>
      <c r="CJ840">
        <v>1</v>
      </c>
      <c r="CK840">
        <v>21</v>
      </c>
      <c r="CL840" t="s">
        <v>89</v>
      </c>
    </row>
    <row r="841" spans="1:90" x14ac:dyDescent="0.3">
      <c r="A841" t="s">
        <v>72</v>
      </c>
      <c r="B841" t="s">
        <v>73</v>
      </c>
      <c r="C841" t="s">
        <v>74</v>
      </c>
      <c r="E841" t="str">
        <f>"080065318131"</f>
        <v>080065318131</v>
      </c>
      <c r="F841" s="3">
        <v>45789</v>
      </c>
      <c r="G841">
        <v>202602</v>
      </c>
      <c r="H841" t="s">
        <v>75</v>
      </c>
      <c r="I841" t="s">
        <v>76</v>
      </c>
      <c r="J841" t="s">
        <v>77</v>
      </c>
      <c r="K841" t="s">
        <v>78</v>
      </c>
      <c r="L841" t="s">
        <v>136</v>
      </c>
      <c r="M841" t="s">
        <v>137</v>
      </c>
      <c r="N841" t="s">
        <v>1235</v>
      </c>
      <c r="O841" t="s">
        <v>82</v>
      </c>
      <c r="P841" t="str">
        <f>"4170037683                    "</f>
        <v xml:space="preserve">4170037683                    </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21.38</v>
      </c>
      <c r="AR841">
        <v>0</v>
      </c>
      <c r="AS841">
        <v>0</v>
      </c>
      <c r="AT841">
        <v>0</v>
      </c>
      <c r="AU841">
        <v>0</v>
      </c>
      <c r="AV841">
        <v>0</v>
      </c>
      <c r="AW841">
        <v>0</v>
      </c>
      <c r="AX841">
        <v>0</v>
      </c>
      <c r="AY841">
        <v>0</v>
      </c>
      <c r="AZ841">
        <v>0</v>
      </c>
      <c r="BA841">
        <v>0</v>
      </c>
      <c r="BB841">
        <v>0</v>
      </c>
      <c r="BC841">
        <v>0</v>
      </c>
      <c r="BD841">
        <v>0</v>
      </c>
      <c r="BE841">
        <v>0</v>
      </c>
      <c r="BF841">
        <v>0</v>
      </c>
      <c r="BG841">
        <v>0</v>
      </c>
      <c r="BH841">
        <v>1</v>
      </c>
      <c r="BI841">
        <v>2</v>
      </c>
      <c r="BJ841">
        <v>1.7</v>
      </c>
      <c r="BK841">
        <v>2</v>
      </c>
      <c r="BL841">
        <v>69.98</v>
      </c>
      <c r="BM841">
        <v>10.5</v>
      </c>
      <c r="BN841">
        <v>80.48</v>
      </c>
      <c r="BO841">
        <v>80.48</v>
      </c>
      <c r="BQ841" t="s">
        <v>1236</v>
      </c>
      <c r="BR841" t="s">
        <v>84</v>
      </c>
      <c r="BS841" s="3">
        <v>45790</v>
      </c>
      <c r="BT841" s="4">
        <v>0.33888888888888891</v>
      </c>
      <c r="BU841" t="s">
        <v>1604</v>
      </c>
      <c r="BV841" t="s">
        <v>86</v>
      </c>
      <c r="BY841">
        <v>8550</v>
      </c>
      <c r="CA841" t="s">
        <v>1238</v>
      </c>
      <c r="CC841" t="s">
        <v>137</v>
      </c>
      <c r="CD841" s="5" t="s">
        <v>1239</v>
      </c>
      <c r="CE841" t="s">
        <v>116</v>
      </c>
      <c r="CF841" s="3">
        <v>45790</v>
      </c>
      <c r="CI841">
        <v>1</v>
      </c>
      <c r="CJ841">
        <v>1</v>
      </c>
      <c r="CK841">
        <v>21</v>
      </c>
      <c r="CL841" t="s">
        <v>89</v>
      </c>
    </row>
    <row r="842" spans="1:90" x14ac:dyDescent="0.3">
      <c r="A842" t="s">
        <v>72</v>
      </c>
      <c r="B842" t="s">
        <v>73</v>
      </c>
      <c r="C842" t="s">
        <v>74</v>
      </c>
      <c r="E842" t="str">
        <f>"080065318155"</f>
        <v>080065318155</v>
      </c>
      <c r="F842" s="3">
        <v>45789</v>
      </c>
      <c r="G842">
        <v>202602</v>
      </c>
      <c r="H842" t="s">
        <v>75</v>
      </c>
      <c r="I842" t="s">
        <v>76</v>
      </c>
      <c r="J842" t="s">
        <v>77</v>
      </c>
      <c r="K842" t="s">
        <v>78</v>
      </c>
      <c r="L842" t="s">
        <v>136</v>
      </c>
      <c r="M842" t="s">
        <v>137</v>
      </c>
      <c r="N842" t="s">
        <v>192</v>
      </c>
      <c r="O842" t="s">
        <v>82</v>
      </c>
      <c r="P842" t="str">
        <f>"4170037675                    "</f>
        <v xml:space="preserve">4170037675                    </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21.38</v>
      </c>
      <c r="AR842">
        <v>0</v>
      </c>
      <c r="AS842">
        <v>0</v>
      </c>
      <c r="AT842">
        <v>0</v>
      </c>
      <c r="AU842">
        <v>0</v>
      </c>
      <c r="AV842">
        <v>0</v>
      </c>
      <c r="AW842">
        <v>0</v>
      </c>
      <c r="AX842">
        <v>0</v>
      </c>
      <c r="AY842">
        <v>0</v>
      </c>
      <c r="AZ842">
        <v>0</v>
      </c>
      <c r="BA842">
        <v>0</v>
      </c>
      <c r="BB842">
        <v>0</v>
      </c>
      <c r="BC842">
        <v>0</v>
      </c>
      <c r="BD842">
        <v>0</v>
      </c>
      <c r="BE842">
        <v>0</v>
      </c>
      <c r="BF842">
        <v>0</v>
      </c>
      <c r="BG842">
        <v>0</v>
      </c>
      <c r="BH842">
        <v>1</v>
      </c>
      <c r="BI842">
        <v>1</v>
      </c>
      <c r="BJ842">
        <v>0.2</v>
      </c>
      <c r="BK842">
        <v>1</v>
      </c>
      <c r="BL842">
        <v>69.98</v>
      </c>
      <c r="BM842">
        <v>10.5</v>
      </c>
      <c r="BN842">
        <v>80.48</v>
      </c>
      <c r="BO842">
        <v>80.48</v>
      </c>
      <c r="BQ842" t="s">
        <v>193</v>
      </c>
      <c r="BR842" t="s">
        <v>84</v>
      </c>
      <c r="BS842" s="3">
        <v>45791</v>
      </c>
      <c r="BT842" s="4">
        <v>0.41666666666666669</v>
      </c>
      <c r="BU842" t="s">
        <v>1605</v>
      </c>
      <c r="BV842" t="s">
        <v>89</v>
      </c>
      <c r="BW842" t="s">
        <v>148</v>
      </c>
      <c r="BX842" t="s">
        <v>1386</v>
      </c>
      <c r="BY842">
        <v>1200</v>
      </c>
      <c r="CA842" t="s">
        <v>1606</v>
      </c>
      <c r="CC842" t="s">
        <v>137</v>
      </c>
      <c r="CD842" s="5" t="s">
        <v>196</v>
      </c>
      <c r="CE842" t="s">
        <v>88</v>
      </c>
      <c r="CF842" s="3">
        <v>45791</v>
      </c>
      <c r="CI842">
        <v>1</v>
      </c>
      <c r="CJ842">
        <v>2</v>
      </c>
      <c r="CK842">
        <v>21</v>
      </c>
      <c r="CL842" t="s">
        <v>89</v>
      </c>
    </row>
    <row r="843" spans="1:90" x14ac:dyDescent="0.3">
      <c r="A843" t="s">
        <v>72</v>
      </c>
      <c r="B843" t="s">
        <v>73</v>
      </c>
      <c r="C843" t="s">
        <v>74</v>
      </c>
      <c r="E843" t="str">
        <f>"080065318169"</f>
        <v>080065318169</v>
      </c>
      <c r="F843" s="3">
        <v>45789</v>
      </c>
      <c r="G843">
        <v>202602</v>
      </c>
      <c r="H843" t="s">
        <v>75</v>
      </c>
      <c r="I843" t="s">
        <v>76</v>
      </c>
      <c r="J843" t="s">
        <v>77</v>
      </c>
      <c r="K843" t="s">
        <v>78</v>
      </c>
      <c r="L843" t="s">
        <v>713</v>
      </c>
      <c r="M843" t="s">
        <v>714</v>
      </c>
      <c r="N843" t="s">
        <v>715</v>
      </c>
      <c r="O843" t="s">
        <v>82</v>
      </c>
      <c r="P843" t="str">
        <f>"4170037954                    "</f>
        <v xml:space="preserve">4170037954                    </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60.14</v>
      </c>
      <c r="AR843">
        <v>0</v>
      </c>
      <c r="AS843">
        <v>0</v>
      </c>
      <c r="AT843">
        <v>0</v>
      </c>
      <c r="AU843">
        <v>0</v>
      </c>
      <c r="AV843">
        <v>0</v>
      </c>
      <c r="AW843">
        <v>0</v>
      </c>
      <c r="AX843">
        <v>0</v>
      </c>
      <c r="AY843">
        <v>0</v>
      </c>
      <c r="AZ843">
        <v>0</v>
      </c>
      <c r="BA843">
        <v>0</v>
      </c>
      <c r="BB843">
        <v>0</v>
      </c>
      <c r="BC843">
        <v>0</v>
      </c>
      <c r="BD843">
        <v>0</v>
      </c>
      <c r="BE843">
        <v>0</v>
      </c>
      <c r="BF843">
        <v>0</v>
      </c>
      <c r="BG843">
        <v>0</v>
      </c>
      <c r="BH843">
        <v>1</v>
      </c>
      <c r="BI843">
        <v>3</v>
      </c>
      <c r="BJ843">
        <v>1.1000000000000001</v>
      </c>
      <c r="BK843">
        <v>3</v>
      </c>
      <c r="BL843">
        <v>196.82</v>
      </c>
      <c r="BM843">
        <v>29.52</v>
      </c>
      <c r="BN843">
        <v>226.34</v>
      </c>
      <c r="BO843">
        <v>226.34</v>
      </c>
      <c r="BQ843" t="s">
        <v>716</v>
      </c>
      <c r="BR843" t="s">
        <v>84</v>
      </c>
      <c r="BS843" s="3">
        <v>45790</v>
      </c>
      <c r="BT843" s="4">
        <v>0.375</v>
      </c>
      <c r="BU843" t="s">
        <v>1584</v>
      </c>
      <c r="BV843" t="s">
        <v>86</v>
      </c>
      <c r="BY843">
        <v>5320</v>
      </c>
      <c r="CA843" t="s">
        <v>1585</v>
      </c>
      <c r="CC843" t="s">
        <v>714</v>
      </c>
      <c r="CD843">
        <v>6300</v>
      </c>
      <c r="CE843" t="s">
        <v>116</v>
      </c>
      <c r="CF843" s="3">
        <v>45790</v>
      </c>
      <c r="CI843">
        <v>2</v>
      </c>
      <c r="CJ843">
        <v>1</v>
      </c>
      <c r="CK843">
        <v>23</v>
      </c>
      <c r="CL843" t="s">
        <v>89</v>
      </c>
    </row>
    <row r="844" spans="1:90" x14ac:dyDescent="0.3">
      <c r="A844" t="s">
        <v>72</v>
      </c>
      <c r="B844" t="s">
        <v>73</v>
      </c>
      <c r="C844" t="s">
        <v>74</v>
      </c>
      <c r="E844" t="str">
        <f>"080065318216"</f>
        <v>080065318216</v>
      </c>
      <c r="F844" s="3">
        <v>45789</v>
      </c>
      <c r="G844">
        <v>202602</v>
      </c>
      <c r="H844" t="s">
        <v>75</v>
      </c>
      <c r="I844" t="s">
        <v>76</v>
      </c>
      <c r="J844" t="s">
        <v>77</v>
      </c>
      <c r="K844" t="s">
        <v>78</v>
      </c>
      <c r="L844" t="s">
        <v>320</v>
      </c>
      <c r="M844" t="s">
        <v>321</v>
      </c>
      <c r="N844" t="s">
        <v>1607</v>
      </c>
      <c r="O844" t="s">
        <v>82</v>
      </c>
      <c r="P844" t="str">
        <f>"4170037631                    "</f>
        <v xml:space="preserve">4170037631                    </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21.38</v>
      </c>
      <c r="AR844">
        <v>0</v>
      </c>
      <c r="AS844">
        <v>0</v>
      </c>
      <c r="AT844">
        <v>0</v>
      </c>
      <c r="AU844">
        <v>0</v>
      </c>
      <c r="AV844">
        <v>0</v>
      </c>
      <c r="AW844">
        <v>0</v>
      </c>
      <c r="AX844">
        <v>0</v>
      </c>
      <c r="AY844">
        <v>0</v>
      </c>
      <c r="AZ844">
        <v>0</v>
      </c>
      <c r="BA844">
        <v>0</v>
      </c>
      <c r="BB844">
        <v>0</v>
      </c>
      <c r="BC844">
        <v>0</v>
      </c>
      <c r="BD844">
        <v>0</v>
      </c>
      <c r="BE844">
        <v>0</v>
      </c>
      <c r="BF844">
        <v>0</v>
      </c>
      <c r="BG844">
        <v>0</v>
      </c>
      <c r="BH844">
        <v>1</v>
      </c>
      <c r="BI844">
        <v>1</v>
      </c>
      <c r="BJ844">
        <v>0.6</v>
      </c>
      <c r="BK844">
        <v>1</v>
      </c>
      <c r="BL844">
        <v>69.98</v>
      </c>
      <c r="BM844">
        <v>10.5</v>
      </c>
      <c r="BN844">
        <v>80.48</v>
      </c>
      <c r="BO844">
        <v>80.48</v>
      </c>
      <c r="BQ844" t="s">
        <v>1608</v>
      </c>
      <c r="BR844" t="s">
        <v>84</v>
      </c>
      <c r="BS844" s="3">
        <v>45793</v>
      </c>
      <c r="BT844" s="4">
        <v>0.58333333333333337</v>
      </c>
      <c r="BU844" t="s">
        <v>1609</v>
      </c>
      <c r="BV844" t="s">
        <v>89</v>
      </c>
      <c r="BW844" t="s">
        <v>434</v>
      </c>
      <c r="BX844" t="s">
        <v>1610</v>
      </c>
      <c r="BY844">
        <v>3192</v>
      </c>
      <c r="CC844" t="s">
        <v>321</v>
      </c>
      <c r="CD844">
        <v>4113</v>
      </c>
      <c r="CE844" t="s">
        <v>116</v>
      </c>
      <c r="CF844" s="3">
        <v>45799</v>
      </c>
      <c r="CI844">
        <v>1</v>
      </c>
      <c r="CJ844">
        <v>4</v>
      </c>
      <c r="CK844">
        <v>21</v>
      </c>
      <c r="CL844" t="s">
        <v>89</v>
      </c>
    </row>
    <row r="845" spans="1:90" x14ac:dyDescent="0.3">
      <c r="A845" t="s">
        <v>72</v>
      </c>
      <c r="B845" t="s">
        <v>73</v>
      </c>
      <c r="C845" t="s">
        <v>74</v>
      </c>
      <c r="E845" t="str">
        <f>"080065318299"</f>
        <v>080065318299</v>
      </c>
      <c r="F845" s="3">
        <v>45789</v>
      </c>
      <c r="G845">
        <v>202602</v>
      </c>
      <c r="H845" t="s">
        <v>75</v>
      </c>
      <c r="I845" t="s">
        <v>76</v>
      </c>
      <c r="J845" t="s">
        <v>77</v>
      </c>
      <c r="K845" t="s">
        <v>78</v>
      </c>
      <c r="L845" t="s">
        <v>350</v>
      </c>
      <c r="M845" t="s">
        <v>351</v>
      </c>
      <c r="N845" t="s">
        <v>1417</v>
      </c>
      <c r="O845" t="s">
        <v>82</v>
      </c>
      <c r="P845" t="str">
        <f>"4170037674                    "</f>
        <v xml:space="preserve">4170037674                    </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69.459999999999994</v>
      </c>
      <c r="AR845">
        <v>0</v>
      </c>
      <c r="AS845">
        <v>0</v>
      </c>
      <c r="AT845">
        <v>0</v>
      </c>
      <c r="AU845">
        <v>0</v>
      </c>
      <c r="AV845">
        <v>0</v>
      </c>
      <c r="AW845">
        <v>0</v>
      </c>
      <c r="AX845">
        <v>0</v>
      </c>
      <c r="AY845">
        <v>0</v>
      </c>
      <c r="AZ845">
        <v>0</v>
      </c>
      <c r="BA845">
        <v>0</v>
      </c>
      <c r="BB845">
        <v>0</v>
      </c>
      <c r="BC845">
        <v>0</v>
      </c>
      <c r="BD845">
        <v>0</v>
      </c>
      <c r="BE845">
        <v>0</v>
      </c>
      <c r="BF845">
        <v>0</v>
      </c>
      <c r="BG845">
        <v>0</v>
      </c>
      <c r="BH845">
        <v>1</v>
      </c>
      <c r="BI845">
        <v>3</v>
      </c>
      <c r="BJ845">
        <v>6.4</v>
      </c>
      <c r="BK845">
        <v>6.5</v>
      </c>
      <c r="BL845">
        <v>227.32</v>
      </c>
      <c r="BM845">
        <v>34.1</v>
      </c>
      <c r="BN845">
        <v>261.42</v>
      </c>
      <c r="BO845">
        <v>261.42</v>
      </c>
      <c r="BQ845" t="s">
        <v>1418</v>
      </c>
      <c r="BR845" t="s">
        <v>84</v>
      </c>
      <c r="BS845" s="3">
        <v>45790</v>
      </c>
      <c r="BT845" s="4">
        <v>0.39305555555555555</v>
      </c>
      <c r="BU845" t="s">
        <v>1611</v>
      </c>
      <c r="BV845" t="s">
        <v>86</v>
      </c>
      <c r="BY845">
        <v>31824</v>
      </c>
      <c r="CA845" t="s">
        <v>879</v>
      </c>
      <c r="CC845" t="s">
        <v>351</v>
      </c>
      <c r="CD845">
        <v>4072</v>
      </c>
      <c r="CE845" t="s">
        <v>221</v>
      </c>
      <c r="CF845" s="3">
        <v>45791</v>
      </c>
      <c r="CI845">
        <v>1</v>
      </c>
      <c r="CJ845">
        <v>1</v>
      </c>
      <c r="CK845">
        <v>21</v>
      </c>
      <c r="CL845" t="s">
        <v>89</v>
      </c>
    </row>
    <row r="846" spans="1:90" x14ac:dyDescent="0.3">
      <c r="A846" t="s">
        <v>72</v>
      </c>
      <c r="B846" t="s">
        <v>73</v>
      </c>
      <c r="C846" t="s">
        <v>74</v>
      </c>
      <c r="E846" t="str">
        <f>"080065318343"</f>
        <v>080065318343</v>
      </c>
      <c r="F846" s="3">
        <v>45789</v>
      </c>
      <c r="G846">
        <v>202602</v>
      </c>
      <c r="H846" t="s">
        <v>75</v>
      </c>
      <c r="I846" t="s">
        <v>76</v>
      </c>
      <c r="J846" t="s">
        <v>77</v>
      </c>
      <c r="K846" t="s">
        <v>78</v>
      </c>
      <c r="L846" t="s">
        <v>177</v>
      </c>
      <c r="M846" t="s">
        <v>178</v>
      </c>
      <c r="N846" t="s">
        <v>393</v>
      </c>
      <c r="O846" t="s">
        <v>82</v>
      </c>
      <c r="P846" t="str">
        <f>"4170037603                    "</f>
        <v xml:space="preserve">4170037603                    </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42.75</v>
      </c>
      <c r="AR846">
        <v>0</v>
      </c>
      <c r="AS846">
        <v>0</v>
      </c>
      <c r="AT846">
        <v>0</v>
      </c>
      <c r="AU846">
        <v>0</v>
      </c>
      <c r="AV846">
        <v>0</v>
      </c>
      <c r="AW846">
        <v>0</v>
      </c>
      <c r="AX846">
        <v>0</v>
      </c>
      <c r="AY846">
        <v>0</v>
      </c>
      <c r="AZ846">
        <v>0</v>
      </c>
      <c r="BA846">
        <v>0</v>
      </c>
      <c r="BB846">
        <v>0</v>
      </c>
      <c r="BC846">
        <v>0</v>
      </c>
      <c r="BD846">
        <v>0</v>
      </c>
      <c r="BE846">
        <v>0</v>
      </c>
      <c r="BF846">
        <v>0</v>
      </c>
      <c r="BG846">
        <v>0</v>
      </c>
      <c r="BH846">
        <v>1</v>
      </c>
      <c r="BI846">
        <v>4</v>
      </c>
      <c r="BJ846">
        <v>3.4</v>
      </c>
      <c r="BK846">
        <v>4</v>
      </c>
      <c r="BL846">
        <v>139.91</v>
      </c>
      <c r="BM846">
        <v>20.99</v>
      </c>
      <c r="BN846">
        <v>160.9</v>
      </c>
      <c r="BO846">
        <v>160.9</v>
      </c>
      <c r="BQ846" t="s">
        <v>394</v>
      </c>
      <c r="BR846" t="s">
        <v>84</v>
      </c>
      <c r="BS846" s="3">
        <v>45790</v>
      </c>
      <c r="BT846" s="4">
        <v>0.33333333333333331</v>
      </c>
      <c r="BU846" t="s">
        <v>920</v>
      </c>
      <c r="BV846" t="s">
        <v>86</v>
      </c>
      <c r="BY846">
        <v>16965</v>
      </c>
      <c r="CA846" t="s">
        <v>182</v>
      </c>
      <c r="CC846" t="s">
        <v>178</v>
      </c>
      <c r="CD846">
        <v>6230</v>
      </c>
      <c r="CE846" t="s">
        <v>96</v>
      </c>
      <c r="CF846" s="3">
        <v>45790</v>
      </c>
      <c r="CI846">
        <v>1</v>
      </c>
      <c r="CJ846">
        <v>1</v>
      </c>
      <c r="CK846">
        <v>21</v>
      </c>
      <c r="CL846" t="s">
        <v>89</v>
      </c>
    </row>
    <row r="847" spans="1:90" x14ac:dyDescent="0.3">
      <c r="A847" t="s">
        <v>72</v>
      </c>
      <c r="B847" t="s">
        <v>73</v>
      </c>
      <c r="C847" t="s">
        <v>74</v>
      </c>
      <c r="E847" t="str">
        <f>"080065318384"</f>
        <v>080065318384</v>
      </c>
      <c r="F847" s="3">
        <v>45789</v>
      </c>
      <c r="G847">
        <v>202602</v>
      </c>
      <c r="H847" t="s">
        <v>75</v>
      </c>
      <c r="I847" t="s">
        <v>76</v>
      </c>
      <c r="J847" t="s">
        <v>77</v>
      </c>
      <c r="K847" t="s">
        <v>78</v>
      </c>
      <c r="L847" t="s">
        <v>350</v>
      </c>
      <c r="M847" t="s">
        <v>351</v>
      </c>
      <c r="N847" t="s">
        <v>678</v>
      </c>
      <c r="O847" t="s">
        <v>300</v>
      </c>
      <c r="P847" t="str">
        <f>"4170037693                    "</f>
        <v xml:space="preserve">4170037693                    </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44.77</v>
      </c>
      <c r="AR847">
        <v>0</v>
      </c>
      <c r="AS847">
        <v>0</v>
      </c>
      <c r="AT847">
        <v>0</v>
      </c>
      <c r="AU847">
        <v>0</v>
      </c>
      <c r="AV847">
        <v>0</v>
      </c>
      <c r="AW847">
        <v>0</v>
      </c>
      <c r="AX847">
        <v>0</v>
      </c>
      <c r="AY847">
        <v>0</v>
      </c>
      <c r="AZ847">
        <v>0</v>
      </c>
      <c r="BA847">
        <v>0</v>
      </c>
      <c r="BB847">
        <v>0</v>
      </c>
      <c r="BC847">
        <v>0</v>
      </c>
      <c r="BD847">
        <v>0</v>
      </c>
      <c r="BE847">
        <v>0</v>
      </c>
      <c r="BF847">
        <v>0</v>
      </c>
      <c r="BG847">
        <v>0</v>
      </c>
      <c r="BH847">
        <v>1</v>
      </c>
      <c r="BI847">
        <v>16</v>
      </c>
      <c r="BJ847">
        <v>16.3</v>
      </c>
      <c r="BK847">
        <v>17</v>
      </c>
      <c r="BL847">
        <v>152.08000000000001</v>
      </c>
      <c r="BM847">
        <v>22.81</v>
      </c>
      <c r="BN847">
        <v>174.89</v>
      </c>
      <c r="BO847">
        <v>174.89</v>
      </c>
      <c r="BQ847" t="s">
        <v>679</v>
      </c>
      <c r="BR847" t="s">
        <v>84</v>
      </c>
      <c r="BS847" s="3">
        <v>45790</v>
      </c>
      <c r="BT847" s="4">
        <v>0.85486111111111107</v>
      </c>
      <c r="BU847" t="s">
        <v>1612</v>
      </c>
      <c r="BV847" t="s">
        <v>86</v>
      </c>
      <c r="BY847">
        <v>81675</v>
      </c>
      <c r="CA847" t="s">
        <v>1613</v>
      </c>
      <c r="CC847" t="s">
        <v>351</v>
      </c>
      <c r="CD847">
        <v>4052</v>
      </c>
      <c r="CE847" t="s">
        <v>511</v>
      </c>
      <c r="CF847" s="3">
        <v>45791</v>
      </c>
      <c r="CI847">
        <v>1</v>
      </c>
      <c r="CJ847">
        <v>1</v>
      </c>
      <c r="CK847">
        <v>41</v>
      </c>
      <c r="CL847" t="s">
        <v>89</v>
      </c>
    </row>
    <row r="848" spans="1:90" x14ac:dyDescent="0.3">
      <c r="A848" t="s">
        <v>72</v>
      </c>
      <c r="B848" t="s">
        <v>73</v>
      </c>
      <c r="C848" t="s">
        <v>74</v>
      </c>
      <c r="E848" t="str">
        <f>"080065318434"</f>
        <v>080065318434</v>
      </c>
      <c r="F848" s="3">
        <v>45789</v>
      </c>
      <c r="G848">
        <v>202602</v>
      </c>
      <c r="H848" t="s">
        <v>75</v>
      </c>
      <c r="I848" t="s">
        <v>76</v>
      </c>
      <c r="J848" t="s">
        <v>77</v>
      </c>
      <c r="K848" t="s">
        <v>78</v>
      </c>
      <c r="L848" t="s">
        <v>350</v>
      </c>
      <c r="M848" t="s">
        <v>351</v>
      </c>
      <c r="N848" t="s">
        <v>459</v>
      </c>
      <c r="O848" t="s">
        <v>300</v>
      </c>
      <c r="P848" t="str">
        <f>"4170037538                    "</f>
        <v xml:space="preserve">4170037538                    </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73.790000000000006</v>
      </c>
      <c r="AR848">
        <v>0</v>
      </c>
      <c r="AS848">
        <v>0</v>
      </c>
      <c r="AT848">
        <v>0</v>
      </c>
      <c r="AU848">
        <v>0</v>
      </c>
      <c r="AV848">
        <v>0</v>
      </c>
      <c r="AW848">
        <v>0</v>
      </c>
      <c r="AX848">
        <v>0</v>
      </c>
      <c r="AY848">
        <v>0</v>
      </c>
      <c r="AZ848">
        <v>0</v>
      </c>
      <c r="BA848">
        <v>0</v>
      </c>
      <c r="BB848">
        <v>0</v>
      </c>
      <c r="BC848">
        <v>0</v>
      </c>
      <c r="BD848">
        <v>0</v>
      </c>
      <c r="BE848">
        <v>0</v>
      </c>
      <c r="BF848">
        <v>0</v>
      </c>
      <c r="BG848">
        <v>0</v>
      </c>
      <c r="BH848">
        <v>2</v>
      </c>
      <c r="BI848">
        <v>34</v>
      </c>
      <c r="BJ848">
        <v>17.899999999999999</v>
      </c>
      <c r="BK848">
        <v>34</v>
      </c>
      <c r="BL848">
        <v>247.06</v>
      </c>
      <c r="BM848">
        <v>37.06</v>
      </c>
      <c r="BN848">
        <v>284.12</v>
      </c>
      <c r="BO848">
        <v>284.12</v>
      </c>
      <c r="BQ848" t="s">
        <v>460</v>
      </c>
      <c r="BR848" t="s">
        <v>84</v>
      </c>
      <c r="BS848" s="3">
        <v>45790</v>
      </c>
      <c r="BT848" s="4">
        <v>0.33124999999999999</v>
      </c>
      <c r="BU848" t="s">
        <v>461</v>
      </c>
      <c r="BV848" t="s">
        <v>86</v>
      </c>
      <c r="BY848">
        <v>44640</v>
      </c>
      <c r="CA848" t="s">
        <v>462</v>
      </c>
      <c r="CC848" t="s">
        <v>351</v>
      </c>
      <c r="CD848">
        <v>4051</v>
      </c>
      <c r="CE848" t="s">
        <v>1494</v>
      </c>
      <c r="CF848" s="3">
        <v>45791</v>
      </c>
      <c r="CI848">
        <v>1</v>
      </c>
      <c r="CJ848">
        <v>1</v>
      </c>
      <c r="CK848">
        <v>41</v>
      </c>
      <c r="CL848" t="s">
        <v>89</v>
      </c>
    </row>
    <row r="849" spans="1:90" x14ac:dyDescent="0.3">
      <c r="A849" t="s">
        <v>72</v>
      </c>
      <c r="B849" t="s">
        <v>73</v>
      </c>
      <c r="C849" t="s">
        <v>74</v>
      </c>
      <c r="E849" t="str">
        <f>"080065318835"</f>
        <v>080065318835</v>
      </c>
      <c r="F849" s="3">
        <v>45789</v>
      </c>
      <c r="G849">
        <v>202602</v>
      </c>
      <c r="H849" t="s">
        <v>75</v>
      </c>
      <c r="I849" t="s">
        <v>76</v>
      </c>
      <c r="J849" t="s">
        <v>77</v>
      </c>
      <c r="K849" t="s">
        <v>78</v>
      </c>
      <c r="L849" t="s">
        <v>123</v>
      </c>
      <c r="M849" t="s">
        <v>123</v>
      </c>
      <c r="N849" t="s">
        <v>766</v>
      </c>
      <c r="O849" t="s">
        <v>82</v>
      </c>
      <c r="P849" t="str">
        <f>"4170037793                    "</f>
        <v xml:space="preserve">4170037793                    </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41.43</v>
      </c>
      <c r="AR849">
        <v>0</v>
      </c>
      <c r="AS849">
        <v>0</v>
      </c>
      <c r="AT849">
        <v>0</v>
      </c>
      <c r="AU849">
        <v>0</v>
      </c>
      <c r="AV849">
        <v>0</v>
      </c>
      <c r="AW849">
        <v>0</v>
      </c>
      <c r="AX849">
        <v>0</v>
      </c>
      <c r="AY849">
        <v>0</v>
      </c>
      <c r="AZ849">
        <v>0</v>
      </c>
      <c r="BA849">
        <v>0</v>
      </c>
      <c r="BB849">
        <v>0</v>
      </c>
      <c r="BC849">
        <v>0</v>
      </c>
      <c r="BD849">
        <v>0</v>
      </c>
      <c r="BE849">
        <v>0</v>
      </c>
      <c r="BF849">
        <v>0</v>
      </c>
      <c r="BG849">
        <v>0</v>
      </c>
      <c r="BH849">
        <v>1</v>
      </c>
      <c r="BI849">
        <v>1</v>
      </c>
      <c r="BJ849">
        <v>0.2</v>
      </c>
      <c r="BK849">
        <v>1</v>
      </c>
      <c r="BL849">
        <v>135.59</v>
      </c>
      <c r="BM849">
        <v>20.34</v>
      </c>
      <c r="BN849">
        <v>155.93</v>
      </c>
      <c r="BO849">
        <v>155.93</v>
      </c>
      <c r="BQ849" t="s">
        <v>767</v>
      </c>
      <c r="BR849" t="s">
        <v>84</v>
      </c>
      <c r="BS849" s="3">
        <v>45790</v>
      </c>
      <c r="BT849" s="4">
        <v>0.53680555555555554</v>
      </c>
      <c r="BU849" t="s">
        <v>768</v>
      </c>
      <c r="BV849" t="s">
        <v>86</v>
      </c>
      <c r="BY849">
        <v>1200</v>
      </c>
      <c r="CA849" t="s">
        <v>128</v>
      </c>
      <c r="CC849" t="s">
        <v>123</v>
      </c>
      <c r="CD849">
        <v>7646</v>
      </c>
      <c r="CE849" t="s">
        <v>88</v>
      </c>
      <c r="CF849" s="3">
        <v>45791</v>
      </c>
      <c r="CI849">
        <v>1</v>
      </c>
      <c r="CJ849">
        <v>1</v>
      </c>
      <c r="CK849">
        <v>23</v>
      </c>
      <c r="CL849" t="s">
        <v>89</v>
      </c>
    </row>
    <row r="850" spans="1:90" x14ac:dyDescent="0.3">
      <c r="A850" t="s">
        <v>72</v>
      </c>
      <c r="B850" t="s">
        <v>73</v>
      </c>
      <c r="C850" t="s">
        <v>74</v>
      </c>
      <c r="E850" t="str">
        <f>"080065318869"</f>
        <v>080065318869</v>
      </c>
      <c r="F850" s="3">
        <v>45789</v>
      </c>
      <c r="G850">
        <v>202602</v>
      </c>
      <c r="H850" t="s">
        <v>75</v>
      </c>
      <c r="I850" t="s">
        <v>76</v>
      </c>
      <c r="J850" t="s">
        <v>77</v>
      </c>
      <c r="K850" t="s">
        <v>78</v>
      </c>
      <c r="L850" t="s">
        <v>103</v>
      </c>
      <c r="M850" t="s">
        <v>104</v>
      </c>
      <c r="N850" t="s">
        <v>228</v>
      </c>
      <c r="O850" t="s">
        <v>82</v>
      </c>
      <c r="P850" t="str">
        <f>"4170037721                    "</f>
        <v xml:space="preserve">4170037721                    </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21.38</v>
      </c>
      <c r="AR850">
        <v>0</v>
      </c>
      <c r="AS850">
        <v>0</v>
      </c>
      <c r="AT850">
        <v>0</v>
      </c>
      <c r="AU850">
        <v>0</v>
      </c>
      <c r="AV850">
        <v>0</v>
      </c>
      <c r="AW850">
        <v>16.739999999999998</v>
      </c>
      <c r="AX850">
        <v>0</v>
      </c>
      <c r="AY850">
        <v>0</v>
      </c>
      <c r="AZ850">
        <v>0</v>
      </c>
      <c r="BA850">
        <v>0</v>
      </c>
      <c r="BB850">
        <v>0</v>
      </c>
      <c r="BC850">
        <v>0</v>
      </c>
      <c r="BD850">
        <v>0</v>
      </c>
      <c r="BE850">
        <v>0</v>
      </c>
      <c r="BF850">
        <v>0</v>
      </c>
      <c r="BG850">
        <v>0</v>
      </c>
      <c r="BH850">
        <v>1</v>
      </c>
      <c r="BI850">
        <v>1</v>
      </c>
      <c r="BJ850">
        <v>0.2</v>
      </c>
      <c r="BK850">
        <v>1</v>
      </c>
      <c r="BL850">
        <v>86.72</v>
      </c>
      <c r="BM850">
        <v>13.01</v>
      </c>
      <c r="BN850">
        <v>99.73</v>
      </c>
      <c r="BO850">
        <v>99.73</v>
      </c>
      <c r="BQ850" t="s">
        <v>229</v>
      </c>
      <c r="BR850" t="s">
        <v>84</v>
      </c>
      <c r="BS850" s="3">
        <v>45790</v>
      </c>
      <c r="BT850" s="4">
        <v>0.66180555555555554</v>
      </c>
      <c r="BU850" t="s">
        <v>1598</v>
      </c>
      <c r="BV850" t="s">
        <v>86</v>
      </c>
      <c r="BY850">
        <v>1200</v>
      </c>
      <c r="BZ850" t="s">
        <v>30</v>
      </c>
      <c r="CA850" t="s">
        <v>945</v>
      </c>
      <c r="CC850" t="s">
        <v>104</v>
      </c>
      <c r="CD850">
        <v>3699</v>
      </c>
      <c r="CE850" t="s">
        <v>88</v>
      </c>
      <c r="CF850" s="3">
        <v>45791</v>
      </c>
      <c r="CI850">
        <v>1</v>
      </c>
      <c r="CJ850">
        <v>1</v>
      </c>
      <c r="CK850">
        <v>21</v>
      </c>
      <c r="CL850" t="s">
        <v>89</v>
      </c>
    </row>
    <row r="851" spans="1:90" x14ac:dyDescent="0.3">
      <c r="A851" t="s">
        <v>72</v>
      </c>
      <c r="B851" t="s">
        <v>73</v>
      </c>
      <c r="C851" t="s">
        <v>74</v>
      </c>
      <c r="E851" t="str">
        <f>"080065318915"</f>
        <v>080065318915</v>
      </c>
      <c r="F851" s="3">
        <v>45789</v>
      </c>
      <c r="G851">
        <v>202602</v>
      </c>
      <c r="H851" t="s">
        <v>75</v>
      </c>
      <c r="I851" t="s">
        <v>76</v>
      </c>
      <c r="J851" t="s">
        <v>77</v>
      </c>
      <c r="K851" t="s">
        <v>78</v>
      </c>
      <c r="L851" t="s">
        <v>463</v>
      </c>
      <c r="M851" t="s">
        <v>464</v>
      </c>
      <c r="N851" t="s">
        <v>744</v>
      </c>
      <c r="O851" t="s">
        <v>82</v>
      </c>
      <c r="P851" t="str">
        <f>"4170037936                    "</f>
        <v xml:space="preserve">4170037936                    </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21.38</v>
      </c>
      <c r="AR851">
        <v>0</v>
      </c>
      <c r="AS851">
        <v>0</v>
      </c>
      <c r="AT851">
        <v>0</v>
      </c>
      <c r="AU851">
        <v>0</v>
      </c>
      <c r="AV851">
        <v>0</v>
      </c>
      <c r="AW851">
        <v>0</v>
      </c>
      <c r="AX851">
        <v>0</v>
      </c>
      <c r="AY851">
        <v>0</v>
      </c>
      <c r="AZ851">
        <v>0</v>
      </c>
      <c r="BA851">
        <v>0</v>
      </c>
      <c r="BB851">
        <v>0</v>
      </c>
      <c r="BC851">
        <v>0</v>
      </c>
      <c r="BD851">
        <v>0</v>
      </c>
      <c r="BE851">
        <v>0</v>
      </c>
      <c r="BF851">
        <v>0</v>
      </c>
      <c r="BG851">
        <v>0</v>
      </c>
      <c r="BH851">
        <v>1</v>
      </c>
      <c r="BI851">
        <v>1</v>
      </c>
      <c r="BJ851">
        <v>0.2</v>
      </c>
      <c r="BK851">
        <v>1</v>
      </c>
      <c r="BL851">
        <v>69.98</v>
      </c>
      <c r="BM851">
        <v>10.5</v>
      </c>
      <c r="BN851">
        <v>80.48</v>
      </c>
      <c r="BO851">
        <v>80.48</v>
      </c>
      <c r="BQ851" t="s">
        <v>745</v>
      </c>
      <c r="BR851" t="s">
        <v>84</v>
      </c>
      <c r="BS851" s="3">
        <v>45790</v>
      </c>
      <c r="BT851" s="4">
        <v>0.45624999999999999</v>
      </c>
      <c r="BU851" t="s">
        <v>388</v>
      </c>
      <c r="BV851" t="s">
        <v>89</v>
      </c>
      <c r="BY851">
        <v>1200</v>
      </c>
      <c r="CA851" t="s">
        <v>588</v>
      </c>
      <c r="CC851" t="s">
        <v>464</v>
      </c>
      <c r="CD851">
        <v>5201</v>
      </c>
      <c r="CE851" t="s">
        <v>88</v>
      </c>
      <c r="CF851" s="3">
        <v>45790</v>
      </c>
      <c r="CI851">
        <v>1</v>
      </c>
      <c r="CJ851">
        <v>1</v>
      </c>
      <c r="CK851">
        <v>21</v>
      </c>
      <c r="CL851" t="s">
        <v>89</v>
      </c>
    </row>
    <row r="852" spans="1:90" x14ac:dyDescent="0.3">
      <c r="A852" t="s">
        <v>72</v>
      </c>
      <c r="B852" t="s">
        <v>73</v>
      </c>
      <c r="C852" t="s">
        <v>74</v>
      </c>
      <c r="E852" t="str">
        <f>"080065318918"</f>
        <v>080065318918</v>
      </c>
      <c r="F852" s="3">
        <v>45789</v>
      </c>
      <c r="G852">
        <v>202602</v>
      </c>
      <c r="H852" t="s">
        <v>75</v>
      </c>
      <c r="I852" t="s">
        <v>76</v>
      </c>
      <c r="J852" t="s">
        <v>77</v>
      </c>
      <c r="K852" t="s">
        <v>78</v>
      </c>
      <c r="L852" t="s">
        <v>350</v>
      </c>
      <c r="M852" t="s">
        <v>351</v>
      </c>
      <c r="N852" t="s">
        <v>459</v>
      </c>
      <c r="O852" t="s">
        <v>82</v>
      </c>
      <c r="P852" t="str">
        <f>"4170037722                    "</f>
        <v xml:space="preserve">4170037722                    </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21.38</v>
      </c>
      <c r="AR852">
        <v>0</v>
      </c>
      <c r="AS852">
        <v>0</v>
      </c>
      <c r="AT852">
        <v>0</v>
      </c>
      <c r="AU852">
        <v>0</v>
      </c>
      <c r="AV852">
        <v>0</v>
      </c>
      <c r="AW852">
        <v>0</v>
      </c>
      <c r="AX852">
        <v>0</v>
      </c>
      <c r="AY852">
        <v>0</v>
      </c>
      <c r="AZ852">
        <v>0</v>
      </c>
      <c r="BA852">
        <v>0</v>
      </c>
      <c r="BB852">
        <v>0</v>
      </c>
      <c r="BC852">
        <v>0</v>
      </c>
      <c r="BD852">
        <v>0</v>
      </c>
      <c r="BE852">
        <v>0</v>
      </c>
      <c r="BF852">
        <v>0</v>
      </c>
      <c r="BG852">
        <v>0</v>
      </c>
      <c r="BH852">
        <v>1</v>
      </c>
      <c r="BI852">
        <v>2</v>
      </c>
      <c r="BJ852">
        <v>1.4</v>
      </c>
      <c r="BK852">
        <v>2</v>
      </c>
      <c r="BL852">
        <v>69.98</v>
      </c>
      <c r="BM852">
        <v>10.5</v>
      </c>
      <c r="BN852">
        <v>80.48</v>
      </c>
      <c r="BO852">
        <v>80.48</v>
      </c>
      <c r="BQ852" t="s">
        <v>460</v>
      </c>
      <c r="BR852" t="s">
        <v>84</v>
      </c>
      <c r="BS852" s="3">
        <v>45790</v>
      </c>
      <c r="BT852" s="4">
        <v>0.33124999999999999</v>
      </c>
      <c r="BU852" t="s">
        <v>461</v>
      </c>
      <c r="BV852" t="s">
        <v>86</v>
      </c>
      <c r="BY852">
        <v>7000</v>
      </c>
      <c r="CA852" t="s">
        <v>462</v>
      </c>
      <c r="CC852" t="s">
        <v>351</v>
      </c>
      <c r="CD852">
        <v>4051</v>
      </c>
      <c r="CE852" t="s">
        <v>116</v>
      </c>
      <c r="CF852" s="3">
        <v>45791</v>
      </c>
      <c r="CI852">
        <v>1</v>
      </c>
      <c r="CJ852">
        <v>1</v>
      </c>
      <c r="CK852">
        <v>21</v>
      </c>
      <c r="CL852" t="s">
        <v>89</v>
      </c>
    </row>
    <row r="853" spans="1:90" x14ac:dyDescent="0.3">
      <c r="A853" t="s">
        <v>72</v>
      </c>
      <c r="B853" t="s">
        <v>73</v>
      </c>
      <c r="C853" t="s">
        <v>74</v>
      </c>
      <c r="E853" t="str">
        <f>"080065318942"</f>
        <v>080065318942</v>
      </c>
      <c r="F853" s="3">
        <v>45789</v>
      </c>
      <c r="G853">
        <v>202602</v>
      </c>
      <c r="H853" t="s">
        <v>75</v>
      </c>
      <c r="I853" t="s">
        <v>76</v>
      </c>
      <c r="J853" t="s">
        <v>77</v>
      </c>
      <c r="K853" t="s">
        <v>78</v>
      </c>
      <c r="L853" t="s">
        <v>103</v>
      </c>
      <c r="M853" t="s">
        <v>104</v>
      </c>
      <c r="N853" t="s">
        <v>1614</v>
      </c>
      <c r="O853" t="s">
        <v>82</v>
      </c>
      <c r="P853" t="str">
        <f>"4170037708                    "</f>
        <v xml:space="preserve">4170037708                    </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21.38</v>
      </c>
      <c r="AR853">
        <v>0</v>
      </c>
      <c r="AS853">
        <v>0</v>
      </c>
      <c r="AT853">
        <v>0</v>
      </c>
      <c r="AU853">
        <v>0</v>
      </c>
      <c r="AV853">
        <v>0</v>
      </c>
      <c r="AW853">
        <v>16.739999999999998</v>
      </c>
      <c r="AX853">
        <v>0</v>
      </c>
      <c r="AY853">
        <v>0</v>
      </c>
      <c r="AZ853">
        <v>0</v>
      </c>
      <c r="BA853">
        <v>0</v>
      </c>
      <c r="BB853">
        <v>0</v>
      </c>
      <c r="BC853">
        <v>0</v>
      </c>
      <c r="BD853">
        <v>0</v>
      </c>
      <c r="BE853">
        <v>0</v>
      </c>
      <c r="BF853">
        <v>0</v>
      </c>
      <c r="BG853">
        <v>0</v>
      </c>
      <c r="BH853">
        <v>1</v>
      </c>
      <c r="BI853">
        <v>1</v>
      </c>
      <c r="BJ853">
        <v>0.2</v>
      </c>
      <c r="BK853">
        <v>1</v>
      </c>
      <c r="BL853">
        <v>86.72</v>
      </c>
      <c r="BM853">
        <v>13.01</v>
      </c>
      <c r="BN853">
        <v>99.73</v>
      </c>
      <c r="BO853">
        <v>99.73</v>
      </c>
      <c r="BQ853" t="s">
        <v>1615</v>
      </c>
      <c r="BR853" t="s">
        <v>84</v>
      </c>
      <c r="BS853" s="3">
        <v>45790</v>
      </c>
      <c r="BT853" s="4">
        <v>0.66319444444444442</v>
      </c>
      <c r="BU853" t="s">
        <v>1616</v>
      </c>
      <c r="BV853" t="s">
        <v>86</v>
      </c>
      <c r="BY853">
        <v>1200</v>
      </c>
      <c r="BZ853" t="s">
        <v>30</v>
      </c>
      <c r="CA853" t="s">
        <v>945</v>
      </c>
      <c r="CC853" t="s">
        <v>104</v>
      </c>
      <c r="CD853">
        <v>3699</v>
      </c>
      <c r="CE853" t="s">
        <v>88</v>
      </c>
      <c r="CF853" s="3">
        <v>45791</v>
      </c>
      <c r="CI853">
        <v>1</v>
      </c>
      <c r="CJ853">
        <v>1</v>
      </c>
      <c r="CK853">
        <v>21</v>
      </c>
      <c r="CL853" t="s">
        <v>89</v>
      </c>
    </row>
    <row r="854" spans="1:90" x14ac:dyDescent="0.3">
      <c r="A854" t="s">
        <v>72</v>
      </c>
      <c r="B854" t="s">
        <v>73</v>
      </c>
      <c r="C854" t="s">
        <v>74</v>
      </c>
      <c r="E854" t="str">
        <f>"080065319000"</f>
        <v>080065319000</v>
      </c>
      <c r="F854" s="3">
        <v>45789</v>
      </c>
      <c r="G854">
        <v>202602</v>
      </c>
      <c r="H854" t="s">
        <v>75</v>
      </c>
      <c r="I854" t="s">
        <v>76</v>
      </c>
      <c r="J854" t="s">
        <v>77</v>
      </c>
      <c r="K854" t="s">
        <v>78</v>
      </c>
      <c r="L854" t="s">
        <v>90</v>
      </c>
      <c r="M854" t="s">
        <v>91</v>
      </c>
      <c r="N854" t="s">
        <v>1546</v>
      </c>
      <c r="O854" t="s">
        <v>82</v>
      </c>
      <c r="P854" t="str">
        <f>"4170037711                    "</f>
        <v xml:space="preserve">4170037711                    </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85.48</v>
      </c>
      <c r="AR854">
        <v>0</v>
      </c>
      <c r="AS854">
        <v>0</v>
      </c>
      <c r="AT854">
        <v>0</v>
      </c>
      <c r="AU854">
        <v>0</v>
      </c>
      <c r="AV854">
        <v>0</v>
      </c>
      <c r="AW854">
        <v>0</v>
      </c>
      <c r="AX854">
        <v>0</v>
      </c>
      <c r="AY854">
        <v>0</v>
      </c>
      <c r="AZ854">
        <v>0</v>
      </c>
      <c r="BA854">
        <v>0</v>
      </c>
      <c r="BB854">
        <v>0</v>
      </c>
      <c r="BC854">
        <v>0</v>
      </c>
      <c r="BD854">
        <v>0</v>
      </c>
      <c r="BE854">
        <v>0</v>
      </c>
      <c r="BF854">
        <v>0</v>
      </c>
      <c r="BG854">
        <v>0</v>
      </c>
      <c r="BH854">
        <v>2</v>
      </c>
      <c r="BI854">
        <v>8</v>
      </c>
      <c r="BJ854">
        <v>7.7</v>
      </c>
      <c r="BK854">
        <v>8</v>
      </c>
      <c r="BL854">
        <v>279.76</v>
      </c>
      <c r="BM854">
        <v>41.96</v>
      </c>
      <c r="BN854">
        <v>321.72000000000003</v>
      </c>
      <c r="BO854">
        <v>321.72000000000003</v>
      </c>
      <c r="BQ854" t="s">
        <v>1547</v>
      </c>
      <c r="BR854" t="s">
        <v>84</v>
      </c>
      <c r="BS854" s="3">
        <v>45790</v>
      </c>
      <c r="BT854" s="4">
        <v>0.37986111111111109</v>
      </c>
      <c r="BU854" t="s">
        <v>1617</v>
      </c>
      <c r="BV854" t="s">
        <v>86</v>
      </c>
      <c r="BY854">
        <v>38523</v>
      </c>
      <c r="CA854" t="s">
        <v>1618</v>
      </c>
      <c r="CC854" t="s">
        <v>91</v>
      </c>
      <c r="CD854">
        <v>6020</v>
      </c>
      <c r="CE854" t="s">
        <v>88</v>
      </c>
      <c r="CF854" s="3">
        <v>45790</v>
      </c>
      <c r="CI854">
        <v>1</v>
      </c>
      <c r="CJ854">
        <v>1</v>
      </c>
      <c r="CK854">
        <v>21</v>
      </c>
      <c r="CL854" t="s">
        <v>89</v>
      </c>
    </row>
    <row r="855" spans="1:90" x14ac:dyDescent="0.3">
      <c r="A855" t="s">
        <v>72</v>
      </c>
      <c r="B855" t="s">
        <v>73</v>
      </c>
      <c r="C855" t="s">
        <v>74</v>
      </c>
      <c r="E855" t="str">
        <f>"080065319119"</f>
        <v>080065319119</v>
      </c>
      <c r="F855" s="3">
        <v>45789</v>
      </c>
      <c r="G855">
        <v>202602</v>
      </c>
      <c r="H855" t="s">
        <v>75</v>
      </c>
      <c r="I855" t="s">
        <v>76</v>
      </c>
      <c r="J855" t="s">
        <v>77</v>
      </c>
      <c r="K855" t="s">
        <v>78</v>
      </c>
      <c r="L855" t="s">
        <v>130</v>
      </c>
      <c r="M855" t="s">
        <v>131</v>
      </c>
      <c r="N855" t="s">
        <v>1619</v>
      </c>
      <c r="O855" t="s">
        <v>82</v>
      </c>
      <c r="P855" t="str">
        <f>"4170037680                    "</f>
        <v xml:space="preserve">4170037680                    </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58.78</v>
      </c>
      <c r="AR855">
        <v>0</v>
      </c>
      <c r="AS855">
        <v>0</v>
      </c>
      <c r="AT855">
        <v>0</v>
      </c>
      <c r="AU855">
        <v>0</v>
      </c>
      <c r="AV855">
        <v>0</v>
      </c>
      <c r="AW855">
        <v>0</v>
      </c>
      <c r="AX855">
        <v>0</v>
      </c>
      <c r="AY855">
        <v>0</v>
      </c>
      <c r="AZ855">
        <v>0</v>
      </c>
      <c r="BA855">
        <v>0</v>
      </c>
      <c r="BB855">
        <v>0</v>
      </c>
      <c r="BC855">
        <v>0</v>
      </c>
      <c r="BD855">
        <v>0</v>
      </c>
      <c r="BE855">
        <v>0</v>
      </c>
      <c r="BF855">
        <v>0</v>
      </c>
      <c r="BG855">
        <v>0</v>
      </c>
      <c r="BH855">
        <v>1</v>
      </c>
      <c r="BI855">
        <v>3</v>
      </c>
      <c r="BJ855">
        <v>5.4</v>
      </c>
      <c r="BK855">
        <v>5.5</v>
      </c>
      <c r="BL855">
        <v>192.36</v>
      </c>
      <c r="BM855">
        <v>28.85</v>
      </c>
      <c r="BN855">
        <v>221.21</v>
      </c>
      <c r="BO855">
        <v>221.21</v>
      </c>
      <c r="BQ855" t="s">
        <v>1620</v>
      </c>
      <c r="BR855" t="s">
        <v>84</v>
      </c>
      <c r="BS855" s="3">
        <v>45790</v>
      </c>
      <c r="BT855" s="4">
        <v>0.47499999999999998</v>
      </c>
      <c r="BU855" t="s">
        <v>1582</v>
      </c>
      <c r="BV855" t="s">
        <v>89</v>
      </c>
      <c r="BW855" t="s">
        <v>340</v>
      </c>
      <c r="BX855" t="s">
        <v>578</v>
      </c>
      <c r="BY855">
        <v>27144</v>
      </c>
      <c r="CA855" t="s">
        <v>784</v>
      </c>
      <c r="CC855" t="s">
        <v>131</v>
      </c>
      <c r="CD855">
        <v>7405</v>
      </c>
      <c r="CE855" t="s">
        <v>96</v>
      </c>
      <c r="CF855" s="3">
        <v>45791</v>
      </c>
      <c r="CI855">
        <v>1</v>
      </c>
      <c r="CJ855">
        <v>1</v>
      </c>
      <c r="CK855">
        <v>21</v>
      </c>
      <c r="CL855" t="s">
        <v>89</v>
      </c>
    </row>
    <row r="856" spans="1:90" x14ac:dyDescent="0.3">
      <c r="A856" t="s">
        <v>72</v>
      </c>
      <c r="B856" t="s">
        <v>73</v>
      </c>
      <c r="C856" t="s">
        <v>74</v>
      </c>
      <c r="E856" t="str">
        <f>"080065319179"</f>
        <v>080065319179</v>
      </c>
      <c r="F856" s="3">
        <v>45789</v>
      </c>
      <c r="G856">
        <v>202602</v>
      </c>
      <c r="H856" t="s">
        <v>75</v>
      </c>
      <c r="I856" t="s">
        <v>76</v>
      </c>
      <c r="J856" t="s">
        <v>77</v>
      </c>
      <c r="K856" t="s">
        <v>78</v>
      </c>
      <c r="L856" t="s">
        <v>103</v>
      </c>
      <c r="M856" t="s">
        <v>104</v>
      </c>
      <c r="N856" t="s">
        <v>633</v>
      </c>
      <c r="O856" t="s">
        <v>82</v>
      </c>
      <c r="P856" t="str">
        <f>"4170037985                    "</f>
        <v xml:space="preserve">4170037985                    </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53.43</v>
      </c>
      <c r="AR856">
        <v>0</v>
      </c>
      <c r="AS856">
        <v>0</v>
      </c>
      <c r="AT856">
        <v>0</v>
      </c>
      <c r="AU856">
        <v>0</v>
      </c>
      <c r="AV856">
        <v>0</v>
      </c>
      <c r="AW856">
        <v>0</v>
      </c>
      <c r="AX856">
        <v>0</v>
      </c>
      <c r="AY856">
        <v>0</v>
      </c>
      <c r="AZ856">
        <v>0</v>
      </c>
      <c r="BA856">
        <v>0</v>
      </c>
      <c r="BB856">
        <v>0</v>
      </c>
      <c r="BC856">
        <v>0</v>
      </c>
      <c r="BD856">
        <v>0</v>
      </c>
      <c r="BE856">
        <v>0</v>
      </c>
      <c r="BF856">
        <v>0</v>
      </c>
      <c r="BG856">
        <v>0</v>
      </c>
      <c r="BH856">
        <v>1</v>
      </c>
      <c r="BI856">
        <v>5</v>
      </c>
      <c r="BJ856">
        <v>5</v>
      </c>
      <c r="BK856">
        <v>5</v>
      </c>
      <c r="BL856">
        <v>174.87</v>
      </c>
      <c r="BM856">
        <v>26.23</v>
      </c>
      <c r="BN856">
        <v>201.1</v>
      </c>
      <c r="BO856">
        <v>201.1</v>
      </c>
      <c r="BQ856" t="s">
        <v>634</v>
      </c>
      <c r="BR856" t="s">
        <v>84</v>
      </c>
      <c r="BS856" s="3">
        <v>45790</v>
      </c>
      <c r="BT856" s="4">
        <v>0.5</v>
      </c>
      <c r="BU856" t="s">
        <v>635</v>
      </c>
      <c r="BV856" t="s">
        <v>86</v>
      </c>
      <c r="BY856">
        <v>24882</v>
      </c>
      <c r="CA856" t="s">
        <v>440</v>
      </c>
      <c r="CC856" t="s">
        <v>104</v>
      </c>
      <c r="CD856">
        <v>3212</v>
      </c>
      <c r="CE856" t="s">
        <v>96</v>
      </c>
      <c r="CF856" s="3">
        <v>45791</v>
      </c>
      <c r="CI856">
        <v>2</v>
      </c>
      <c r="CJ856">
        <v>1</v>
      </c>
      <c r="CK856">
        <v>21</v>
      </c>
      <c r="CL856" t="s">
        <v>89</v>
      </c>
    </row>
    <row r="857" spans="1:90" x14ac:dyDescent="0.3">
      <c r="A857" t="s">
        <v>72</v>
      </c>
      <c r="B857" t="s">
        <v>73</v>
      </c>
      <c r="C857" t="s">
        <v>74</v>
      </c>
      <c r="E857" t="str">
        <f>"080065314674"</f>
        <v>080065314674</v>
      </c>
      <c r="F857" s="3">
        <v>45789</v>
      </c>
      <c r="G857">
        <v>202602</v>
      </c>
      <c r="H857" t="s">
        <v>75</v>
      </c>
      <c r="I857" t="s">
        <v>76</v>
      </c>
      <c r="J857" t="s">
        <v>77</v>
      </c>
      <c r="K857" t="s">
        <v>78</v>
      </c>
      <c r="L857" t="s">
        <v>97</v>
      </c>
      <c r="M857" t="s">
        <v>98</v>
      </c>
      <c r="N857" t="s">
        <v>1061</v>
      </c>
      <c r="O857" t="s">
        <v>82</v>
      </c>
      <c r="P857" t="str">
        <f>"4170037988                    "</f>
        <v xml:space="preserve">4170037988                    </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16.7</v>
      </c>
      <c r="AR857">
        <v>0</v>
      </c>
      <c r="AS857">
        <v>0</v>
      </c>
      <c r="AT857">
        <v>0</v>
      </c>
      <c r="AU857">
        <v>0</v>
      </c>
      <c r="AV857">
        <v>0</v>
      </c>
      <c r="AW857">
        <v>0</v>
      </c>
      <c r="AX857">
        <v>0</v>
      </c>
      <c r="AY857">
        <v>0</v>
      </c>
      <c r="AZ857">
        <v>0</v>
      </c>
      <c r="BA857">
        <v>0</v>
      </c>
      <c r="BB857">
        <v>0</v>
      </c>
      <c r="BC857">
        <v>0</v>
      </c>
      <c r="BD857">
        <v>0</v>
      </c>
      <c r="BE857">
        <v>0</v>
      </c>
      <c r="BF857">
        <v>0</v>
      </c>
      <c r="BG857">
        <v>0</v>
      </c>
      <c r="BH857">
        <v>1</v>
      </c>
      <c r="BI857">
        <v>1</v>
      </c>
      <c r="BJ857">
        <v>3.1</v>
      </c>
      <c r="BK857">
        <v>4</v>
      </c>
      <c r="BL857">
        <v>54.66</v>
      </c>
      <c r="BM857">
        <v>8.1999999999999993</v>
      </c>
      <c r="BN857">
        <v>62.86</v>
      </c>
      <c r="BO857">
        <v>62.86</v>
      </c>
      <c r="BQ857" t="s">
        <v>1062</v>
      </c>
      <c r="BR857" t="s">
        <v>84</v>
      </c>
      <c r="BS857" s="3">
        <v>45790</v>
      </c>
      <c r="BT857" s="4">
        <v>0.46180555555555558</v>
      </c>
      <c r="BU857" t="s">
        <v>1351</v>
      </c>
      <c r="BV857" t="s">
        <v>89</v>
      </c>
      <c r="BW857" t="s">
        <v>148</v>
      </c>
      <c r="BX857" t="s">
        <v>203</v>
      </c>
      <c r="BY857">
        <v>15360</v>
      </c>
      <c r="CA857" t="s">
        <v>1320</v>
      </c>
      <c r="CC857" t="s">
        <v>98</v>
      </c>
      <c r="CD857">
        <v>1459</v>
      </c>
      <c r="CE857" t="s">
        <v>96</v>
      </c>
      <c r="CF857" s="3">
        <v>45790</v>
      </c>
      <c r="CI857">
        <v>1</v>
      </c>
      <c r="CJ857">
        <v>1</v>
      </c>
      <c r="CK857">
        <v>22</v>
      </c>
      <c r="CL857" t="s">
        <v>89</v>
      </c>
    </row>
    <row r="858" spans="1:90" x14ac:dyDescent="0.3">
      <c r="A858" t="s">
        <v>72</v>
      </c>
      <c r="B858" t="s">
        <v>73</v>
      </c>
      <c r="C858" t="s">
        <v>74</v>
      </c>
      <c r="E858" t="str">
        <f>"080065319205"</f>
        <v>080065319205</v>
      </c>
      <c r="F858" s="3">
        <v>45789</v>
      </c>
      <c r="G858">
        <v>202602</v>
      </c>
      <c r="H858" t="s">
        <v>75</v>
      </c>
      <c r="I858" t="s">
        <v>76</v>
      </c>
      <c r="J858" t="s">
        <v>77</v>
      </c>
      <c r="K858" t="s">
        <v>78</v>
      </c>
      <c r="L858" t="s">
        <v>502</v>
      </c>
      <c r="M858" t="s">
        <v>503</v>
      </c>
      <c r="N858" t="s">
        <v>504</v>
      </c>
      <c r="O858" t="s">
        <v>82</v>
      </c>
      <c r="P858" t="str">
        <f>"4170037957                    "</f>
        <v xml:space="preserve">4170037957                    </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41.43</v>
      </c>
      <c r="AR858">
        <v>0</v>
      </c>
      <c r="AS858">
        <v>0</v>
      </c>
      <c r="AT858">
        <v>0</v>
      </c>
      <c r="AU858">
        <v>0</v>
      </c>
      <c r="AV858">
        <v>0</v>
      </c>
      <c r="AW858">
        <v>0</v>
      </c>
      <c r="AX858">
        <v>0</v>
      </c>
      <c r="AY858">
        <v>0</v>
      </c>
      <c r="AZ858">
        <v>0</v>
      </c>
      <c r="BA858">
        <v>0</v>
      </c>
      <c r="BB858">
        <v>0</v>
      </c>
      <c r="BC858">
        <v>0</v>
      </c>
      <c r="BD858">
        <v>0</v>
      </c>
      <c r="BE858">
        <v>0</v>
      </c>
      <c r="BF858">
        <v>0</v>
      </c>
      <c r="BG858">
        <v>0</v>
      </c>
      <c r="BH858">
        <v>1</v>
      </c>
      <c r="BI858">
        <v>1</v>
      </c>
      <c r="BJ858">
        <v>1.9</v>
      </c>
      <c r="BK858">
        <v>2</v>
      </c>
      <c r="BL858">
        <v>135.59</v>
      </c>
      <c r="BM858">
        <v>20.34</v>
      </c>
      <c r="BN858">
        <v>155.93</v>
      </c>
      <c r="BO858">
        <v>155.93</v>
      </c>
      <c r="BQ858" t="s">
        <v>505</v>
      </c>
      <c r="BR858" t="s">
        <v>84</v>
      </c>
      <c r="BS858" s="3">
        <v>45790</v>
      </c>
      <c r="BT858" s="4">
        <v>0.47222222222222221</v>
      </c>
      <c r="BU858" t="s">
        <v>506</v>
      </c>
      <c r="BV858" t="s">
        <v>86</v>
      </c>
      <c r="BY858">
        <v>9600</v>
      </c>
      <c r="CA858" t="s">
        <v>507</v>
      </c>
      <c r="CC858" t="s">
        <v>503</v>
      </c>
      <c r="CD858">
        <v>3370</v>
      </c>
      <c r="CE858" t="s">
        <v>96</v>
      </c>
      <c r="CF858" s="3">
        <v>45791</v>
      </c>
      <c r="CI858">
        <v>2</v>
      </c>
      <c r="CJ858">
        <v>1</v>
      </c>
      <c r="CK858">
        <v>23</v>
      </c>
      <c r="CL858" t="s">
        <v>89</v>
      </c>
    </row>
    <row r="859" spans="1:90" x14ac:dyDescent="0.3">
      <c r="A859" t="s">
        <v>72</v>
      </c>
      <c r="B859" t="s">
        <v>73</v>
      </c>
      <c r="C859" t="s">
        <v>74</v>
      </c>
      <c r="E859" t="str">
        <f>"080065314752"</f>
        <v>080065314752</v>
      </c>
      <c r="F859" s="3">
        <v>45789</v>
      </c>
      <c r="G859">
        <v>202602</v>
      </c>
      <c r="H859" t="s">
        <v>75</v>
      </c>
      <c r="I859" t="s">
        <v>76</v>
      </c>
      <c r="J859" t="s">
        <v>77</v>
      </c>
      <c r="K859" t="s">
        <v>78</v>
      </c>
      <c r="L859" t="s">
        <v>75</v>
      </c>
      <c r="M859" t="s">
        <v>76</v>
      </c>
      <c r="N859" t="s">
        <v>346</v>
      </c>
      <c r="O859" t="s">
        <v>82</v>
      </c>
      <c r="P859" t="str">
        <f>"4170037644                    "</f>
        <v xml:space="preserve">4170037644                    </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16.7</v>
      </c>
      <c r="AR859">
        <v>0</v>
      </c>
      <c r="AS859">
        <v>0</v>
      </c>
      <c r="AT859">
        <v>0</v>
      </c>
      <c r="AU859">
        <v>0</v>
      </c>
      <c r="AV859">
        <v>0</v>
      </c>
      <c r="AW859">
        <v>0</v>
      </c>
      <c r="AX859">
        <v>0</v>
      </c>
      <c r="AY859">
        <v>0</v>
      </c>
      <c r="AZ859">
        <v>0</v>
      </c>
      <c r="BA859">
        <v>0</v>
      </c>
      <c r="BB859">
        <v>0</v>
      </c>
      <c r="BC859">
        <v>0</v>
      </c>
      <c r="BD859">
        <v>0</v>
      </c>
      <c r="BE859">
        <v>0</v>
      </c>
      <c r="BF859">
        <v>0</v>
      </c>
      <c r="BG859">
        <v>0</v>
      </c>
      <c r="BH859">
        <v>1</v>
      </c>
      <c r="BI859">
        <v>4</v>
      </c>
      <c r="BJ859">
        <v>1.7</v>
      </c>
      <c r="BK859">
        <v>4</v>
      </c>
      <c r="BL859">
        <v>54.66</v>
      </c>
      <c r="BM859">
        <v>8.1999999999999993</v>
      </c>
      <c r="BN859">
        <v>62.86</v>
      </c>
      <c r="BO859">
        <v>62.86</v>
      </c>
      <c r="BQ859" t="s">
        <v>347</v>
      </c>
      <c r="BR859" t="s">
        <v>84</v>
      </c>
      <c r="BS859" s="3">
        <v>45790</v>
      </c>
      <c r="BT859" s="4">
        <v>0.37847222222222221</v>
      </c>
      <c r="BU859" t="s">
        <v>348</v>
      </c>
      <c r="BV859" t="s">
        <v>86</v>
      </c>
      <c r="BY859">
        <v>8512</v>
      </c>
      <c r="CA859" t="s">
        <v>349</v>
      </c>
      <c r="CC859" t="s">
        <v>76</v>
      </c>
      <c r="CD859">
        <v>1619</v>
      </c>
      <c r="CE859" t="s">
        <v>116</v>
      </c>
      <c r="CF859" s="3">
        <v>45791</v>
      </c>
      <c r="CI859">
        <v>1</v>
      </c>
      <c r="CJ859">
        <v>1</v>
      </c>
      <c r="CK859">
        <v>22</v>
      </c>
      <c r="CL859" t="s">
        <v>89</v>
      </c>
    </row>
    <row r="860" spans="1:90" x14ac:dyDescent="0.3">
      <c r="A860" t="s">
        <v>72</v>
      </c>
      <c r="B860" t="s">
        <v>73</v>
      </c>
      <c r="C860" t="s">
        <v>74</v>
      </c>
      <c r="E860" t="str">
        <f>"080065319234"</f>
        <v>080065319234</v>
      </c>
      <c r="F860" s="3">
        <v>45789</v>
      </c>
      <c r="G860">
        <v>202602</v>
      </c>
      <c r="H860" t="s">
        <v>75</v>
      </c>
      <c r="I860" t="s">
        <v>76</v>
      </c>
      <c r="J860" t="s">
        <v>77</v>
      </c>
      <c r="K860" t="s">
        <v>78</v>
      </c>
      <c r="L860" t="s">
        <v>130</v>
      </c>
      <c r="M860" t="s">
        <v>131</v>
      </c>
      <c r="N860" t="s">
        <v>1470</v>
      </c>
      <c r="O860" t="s">
        <v>82</v>
      </c>
      <c r="P860" t="str">
        <f>"4170037953                    "</f>
        <v xml:space="preserve">4170037953                    </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21.38</v>
      </c>
      <c r="AR860">
        <v>0</v>
      </c>
      <c r="AS860">
        <v>0</v>
      </c>
      <c r="AT860">
        <v>0</v>
      </c>
      <c r="AU860">
        <v>0</v>
      </c>
      <c r="AV860">
        <v>0</v>
      </c>
      <c r="AW860">
        <v>0</v>
      </c>
      <c r="AX860">
        <v>0</v>
      </c>
      <c r="AY860">
        <v>0</v>
      </c>
      <c r="AZ860">
        <v>0</v>
      </c>
      <c r="BA860">
        <v>0</v>
      </c>
      <c r="BB860">
        <v>0</v>
      </c>
      <c r="BC860">
        <v>0</v>
      </c>
      <c r="BD860">
        <v>0</v>
      </c>
      <c r="BE860">
        <v>0</v>
      </c>
      <c r="BF860">
        <v>0</v>
      </c>
      <c r="BG860">
        <v>0</v>
      </c>
      <c r="BH860">
        <v>1</v>
      </c>
      <c r="BI860">
        <v>1</v>
      </c>
      <c r="BJ860">
        <v>1.9</v>
      </c>
      <c r="BK860">
        <v>2</v>
      </c>
      <c r="BL860">
        <v>69.98</v>
      </c>
      <c r="BM860">
        <v>10.5</v>
      </c>
      <c r="BN860">
        <v>80.48</v>
      </c>
      <c r="BO860">
        <v>80.48</v>
      </c>
      <c r="BQ860" t="s">
        <v>1471</v>
      </c>
      <c r="BR860" t="s">
        <v>84</v>
      </c>
      <c r="BS860" s="3">
        <v>45790</v>
      </c>
      <c r="BT860" s="4">
        <v>0.6166666666666667</v>
      </c>
      <c r="BU860" t="s">
        <v>1472</v>
      </c>
      <c r="BV860" t="s">
        <v>89</v>
      </c>
      <c r="BW860" t="s">
        <v>340</v>
      </c>
      <c r="BX860" t="s">
        <v>618</v>
      </c>
      <c r="BY860">
        <v>9600</v>
      </c>
      <c r="CA860" t="s">
        <v>488</v>
      </c>
      <c r="CC860" t="s">
        <v>131</v>
      </c>
      <c r="CD860">
        <v>7499</v>
      </c>
      <c r="CE860" t="s">
        <v>96</v>
      </c>
      <c r="CF860" s="3">
        <v>45791</v>
      </c>
      <c r="CI860">
        <v>1</v>
      </c>
      <c r="CJ860">
        <v>1</v>
      </c>
      <c r="CK860">
        <v>21</v>
      </c>
      <c r="CL860" t="s">
        <v>89</v>
      </c>
    </row>
    <row r="861" spans="1:90" x14ac:dyDescent="0.3">
      <c r="A861" t="s">
        <v>72</v>
      </c>
      <c r="B861" t="s">
        <v>73</v>
      </c>
      <c r="C861" t="s">
        <v>74</v>
      </c>
      <c r="E861" t="str">
        <f>"080065314837"</f>
        <v>080065314837</v>
      </c>
      <c r="F861" s="3">
        <v>45789</v>
      </c>
      <c r="G861">
        <v>202602</v>
      </c>
      <c r="H861" t="s">
        <v>75</v>
      </c>
      <c r="I861" t="s">
        <v>76</v>
      </c>
      <c r="J861" t="s">
        <v>77</v>
      </c>
      <c r="K861" t="s">
        <v>78</v>
      </c>
      <c r="L861" t="s">
        <v>90</v>
      </c>
      <c r="M861" t="s">
        <v>91</v>
      </c>
      <c r="N861" t="s">
        <v>563</v>
      </c>
      <c r="O861" t="s">
        <v>82</v>
      </c>
      <c r="P861" t="str">
        <f>"4170037507                    "</f>
        <v xml:space="preserve">4170037507                    </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96.17</v>
      </c>
      <c r="AR861">
        <v>0</v>
      </c>
      <c r="AS861">
        <v>0</v>
      </c>
      <c r="AT861">
        <v>0</v>
      </c>
      <c r="AU861">
        <v>0</v>
      </c>
      <c r="AV861">
        <v>0</v>
      </c>
      <c r="AW861">
        <v>0</v>
      </c>
      <c r="AX861">
        <v>0</v>
      </c>
      <c r="AY861">
        <v>0</v>
      </c>
      <c r="AZ861">
        <v>0</v>
      </c>
      <c r="BA861">
        <v>0</v>
      </c>
      <c r="BB861">
        <v>0</v>
      </c>
      <c r="BC861">
        <v>0</v>
      </c>
      <c r="BD861">
        <v>0</v>
      </c>
      <c r="BE861">
        <v>0</v>
      </c>
      <c r="BF861">
        <v>0</v>
      </c>
      <c r="BG861">
        <v>0</v>
      </c>
      <c r="BH861">
        <v>2</v>
      </c>
      <c r="BI861">
        <v>9</v>
      </c>
      <c r="BJ861">
        <v>5</v>
      </c>
      <c r="BK861">
        <v>9</v>
      </c>
      <c r="BL861">
        <v>314.73</v>
      </c>
      <c r="BM861">
        <v>47.21</v>
      </c>
      <c r="BN861">
        <v>361.94</v>
      </c>
      <c r="BO861">
        <v>361.94</v>
      </c>
      <c r="BQ861" t="s">
        <v>564</v>
      </c>
      <c r="BR861" t="s">
        <v>84</v>
      </c>
      <c r="BS861" s="3">
        <v>45790</v>
      </c>
      <c r="BT861" s="4">
        <v>0.35208333333333336</v>
      </c>
      <c r="BU861" t="s">
        <v>1621</v>
      </c>
      <c r="BV861" t="s">
        <v>86</v>
      </c>
      <c r="BY861">
        <v>24896</v>
      </c>
      <c r="CA861" t="s">
        <v>1622</v>
      </c>
      <c r="CC861" t="s">
        <v>91</v>
      </c>
      <c r="CD861">
        <v>6001</v>
      </c>
      <c r="CE861" t="s">
        <v>116</v>
      </c>
      <c r="CF861" s="3">
        <v>45790</v>
      </c>
      <c r="CI861">
        <v>1</v>
      </c>
      <c r="CJ861">
        <v>1</v>
      </c>
      <c r="CK861">
        <v>21</v>
      </c>
      <c r="CL861" t="s">
        <v>89</v>
      </c>
    </row>
    <row r="862" spans="1:90" x14ac:dyDescent="0.3">
      <c r="A862" t="s">
        <v>72</v>
      </c>
      <c r="B862" t="s">
        <v>73</v>
      </c>
      <c r="C862" t="s">
        <v>74</v>
      </c>
      <c r="E862" t="str">
        <f>"080065319268"</f>
        <v>080065319268</v>
      </c>
      <c r="F862" s="3">
        <v>45789</v>
      </c>
      <c r="G862">
        <v>202602</v>
      </c>
      <c r="H862" t="s">
        <v>75</v>
      </c>
      <c r="I862" t="s">
        <v>76</v>
      </c>
      <c r="J862" t="s">
        <v>77</v>
      </c>
      <c r="K862" t="s">
        <v>78</v>
      </c>
      <c r="L862" t="s">
        <v>75</v>
      </c>
      <c r="M862" t="s">
        <v>76</v>
      </c>
      <c r="N862" t="s">
        <v>247</v>
      </c>
      <c r="O862" t="s">
        <v>82</v>
      </c>
      <c r="P862" t="str">
        <f>"4170037763                    "</f>
        <v xml:space="preserve">4170037763                    </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16.7</v>
      </c>
      <c r="AR862">
        <v>0</v>
      </c>
      <c r="AS862">
        <v>0</v>
      </c>
      <c r="AT862">
        <v>0</v>
      </c>
      <c r="AU862">
        <v>0</v>
      </c>
      <c r="AV862">
        <v>0</v>
      </c>
      <c r="AW862">
        <v>0</v>
      </c>
      <c r="AX862">
        <v>0</v>
      </c>
      <c r="AY862">
        <v>0</v>
      </c>
      <c r="AZ862">
        <v>0</v>
      </c>
      <c r="BA862">
        <v>0</v>
      </c>
      <c r="BB862">
        <v>0</v>
      </c>
      <c r="BC862">
        <v>0</v>
      </c>
      <c r="BD862">
        <v>0</v>
      </c>
      <c r="BE862">
        <v>0</v>
      </c>
      <c r="BF862">
        <v>0</v>
      </c>
      <c r="BG862">
        <v>0</v>
      </c>
      <c r="BH862">
        <v>1</v>
      </c>
      <c r="BI862">
        <v>3</v>
      </c>
      <c r="BJ862">
        <v>1.7</v>
      </c>
      <c r="BK862">
        <v>3</v>
      </c>
      <c r="BL862">
        <v>54.66</v>
      </c>
      <c r="BM862">
        <v>8.1999999999999993</v>
      </c>
      <c r="BN862">
        <v>62.86</v>
      </c>
      <c r="BO862">
        <v>62.86</v>
      </c>
      <c r="BQ862" t="s">
        <v>248</v>
      </c>
      <c r="BR862" t="s">
        <v>84</v>
      </c>
      <c r="BS862" s="3">
        <v>45790</v>
      </c>
      <c r="BT862" s="4">
        <v>0.43055555555555558</v>
      </c>
      <c r="BU862" t="s">
        <v>249</v>
      </c>
      <c r="BV862" t="s">
        <v>86</v>
      </c>
      <c r="BY862">
        <v>8512</v>
      </c>
      <c r="CA862" t="s">
        <v>115</v>
      </c>
      <c r="CC862" t="s">
        <v>76</v>
      </c>
      <c r="CD862">
        <v>1624</v>
      </c>
      <c r="CE862" t="s">
        <v>116</v>
      </c>
      <c r="CF862" s="3">
        <v>45790</v>
      </c>
      <c r="CI862">
        <v>1</v>
      </c>
      <c r="CJ862">
        <v>1</v>
      </c>
      <c r="CK862">
        <v>22</v>
      </c>
      <c r="CL862" t="s">
        <v>89</v>
      </c>
    </row>
    <row r="863" spans="1:90" x14ac:dyDescent="0.3">
      <c r="A863" t="s">
        <v>72</v>
      </c>
      <c r="B863" t="s">
        <v>73</v>
      </c>
      <c r="C863" t="s">
        <v>74</v>
      </c>
      <c r="E863" t="str">
        <f>"080065319308"</f>
        <v>080065319308</v>
      </c>
      <c r="F863" s="3">
        <v>45789</v>
      </c>
      <c r="G863">
        <v>202602</v>
      </c>
      <c r="H863" t="s">
        <v>75</v>
      </c>
      <c r="I863" t="s">
        <v>76</v>
      </c>
      <c r="J863" t="s">
        <v>77</v>
      </c>
      <c r="K863" t="s">
        <v>78</v>
      </c>
      <c r="L863" t="s">
        <v>90</v>
      </c>
      <c r="M863" t="s">
        <v>91</v>
      </c>
      <c r="N863" t="s">
        <v>563</v>
      </c>
      <c r="O863" t="s">
        <v>82</v>
      </c>
      <c r="P863" t="str">
        <f>"4170037845                    "</f>
        <v xml:space="preserve">4170037845                    </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42.75</v>
      </c>
      <c r="AR863">
        <v>0</v>
      </c>
      <c r="AS863">
        <v>0</v>
      </c>
      <c r="AT863">
        <v>0</v>
      </c>
      <c r="AU863">
        <v>0</v>
      </c>
      <c r="AV863">
        <v>0</v>
      </c>
      <c r="AW863">
        <v>0</v>
      </c>
      <c r="AX863">
        <v>0</v>
      </c>
      <c r="AY863">
        <v>0</v>
      </c>
      <c r="AZ863">
        <v>0</v>
      </c>
      <c r="BA863">
        <v>0</v>
      </c>
      <c r="BB863">
        <v>0</v>
      </c>
      <c r="BC863">
        <v>0</v>
      </c>
      <c r="BD863">
        <v>0</v>
      </c>
      <c r="BE863">
        <v>0</v>
      </c>
      <c r="BF863">
        <v>0</v>
      </c>
      <c r="BG863">
        <v>0</v>
      </c>
      <c r="BH863">
        <v>1</v>
      </c>
      <c r="BI863">
        <v>3</v>
      </c>
      <c r="BJ863">
        <v>4</v>
      </c>
      <c r="BK863">
        <v>4</v>
      </c>
      <c r="BL863">
        <v>139.91</v>
      </c>
      <c r="BM863">
        <v>20.99</v>
      </c>
      <c r="BN863">
        <v>160.9</v>
      </c>
      <c r="BO863">
        <v>160.9</v>
      </c>
      <c r="BQ863" t="s">
        <v>564</v>
      </c>
      <c r="BR863" t="s">
        <v>84</v>
      </c>
      <c r="BS863" s="3">
        <v>45790</v>
      </c>
      <c r="BT863" s="4">
        <v>0.35208333333333336</v>
      </c>
      <c r="BU863" t="s">
        <v>1621</v>
      </c>
      <c r="BV863" t="s">
        <v>86</v>
      </c>
      <c r="BY863">
        <v>20216</v>
      </c>
      <c r="CA863" t="s">
        <v>1622</v>
      </c>
      <c r="CC863" t="s">
        <v>91</v>
      </c>
      <c r="CD863">
        <v>6001</v>
      </c>
      <c r="CE863" t="s">
        <v>221</v>
      </c>
      <c r="CF863" s="3">
        <v>45790</v>
      </c>
      <c r="CI863">
        <v>1</v>
      </c>
      <c r="CJ863">
        <v>1</v>
      </c>
      <c r="CK863">
        <v>21</v>
      </c>
      <c r="CL863" t="s">
        <v>89</v>
      </c>
    </row>
    <row r="864" spans="1:90" x14ac:dyDescent="0.3">
      <c r="A864" t="s">
        <v>72</v>
      </c>
      <c r="B864" t="s">
        <v>73</v>
      </c>
      <c r="C864" t="s">
        <v>74</v>
      </c>
      <c r="E864" t="str">
        <f>"080065319317"</f>
        <v>080065319317</v>
      </c>
      <c r="F864" s="3">
        <v>45789</v>
      </c>
      <c r="G864">
        <v>202602</v>
      </c>
      <c r="H864" t="s">
        <v>75</v>
      </c>
      <c r="I864" t="s">
        <v>76</v>
      </c>
      <c r="J864" t="s">
        <v>77</v>
      </c>
      <c r="K864" t="s">
        <v>78</v>
      </c>
      <c r="L864" t="s">
        <v>130</v>
      </c>
      <c r="M864" t="s">
        <v>131</v>
      </c>
      <c r="N864" t="s">
        <v>751</v>
      </c>
      <c r="O864" t="s">
        <v>300</v>
      </c>
      <c r="P864" t="str">
        <f>"009943879269                  "</f>
        <v xml:space="preserve">009943879269                  </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78.91</v>
      </c>
      <c r="AR864">
        <v>0</v>
      </c>
      <c r="AS864">
        <v>0</v>
      </c>
      <c r="AT864">
        <v>0</v>
      </c>
      <c r="AU864">
        <v>0</v>
      </c>
      <c r="AV864">
        <v>0</v>
      </c>
      <c r="AW864">
        <v>0</v>
      </c>
      <c r="AX864">
        <v>0</v>
      </c>
      <c r="AY864">
        <v>0</v>
      </c>
      <c r="AZ864">
        <v>0</v>
      </c>
      <c r="BA864">
        <v>0</v>
      </c>
      <c r="BB864">
        <v>0</v>
      </c>
      <c r="BC864">
        <v>0</v>
      </c>
      <c r="BD864">
        <v>0</v>
      </c>
      <c r="BE864">
        <v>0</v>
      </c>
      <c r="BF864">
        <v>0</v>
      </c>
      <c r="BG864">
        <v>0</v>
      </c>
      <c r="BH864">
        <v>2</v>
      </c>
      <c r="BI864">
        <v>35</v>
      </c>
      <c r="BJ864">
        <v>36.5</v>
      </c>
      <c r="BK864">
        <v>37</v>
      </c>
      <c r="BL864">
        <v>263.82</v>
      </c>
      <c r="BM864">
        <v>39.57</v>
      </c>
      <c r="BN864">
        <v>303.39</v>
      </c>
      <c r="BO864">
        <v>303.39</v>
      </c>
      <c r="BQ864" t="s">
        <v>752</v>
      </c>
      <c r="BR864" t="s">
        <v>84</v>
      </c>
      <c r="BS864" s="3">
        <v>45791</v>
      </c>
      <c r="BT864" s="4">
        <v>0.59583333333333333</v>
      </c>
      <c r="BU864" t="s">
        <v>753</v>
      </c>
      <c r="BV864" t="s">
        <v>86</v>
      </c>
      <c r="BY864">
        <v>182528</v>
      </c>
      <c r="BZ864" t="s">
        <v>303</v>
      </c>
      <c r="CA864" t="s">
        <v>754</v>
      </c>
      <c r="CC864" t="s">
        <v>131</v>
      </c>
      <c r="CD864">
        <v>7535</v>
      </c>
      <c r="CE864" t="s">
        <v>419</v>
      </c>
      <c r="CF864" s="3">
        <v>45792</v>
      </c>
      <c r="CI864">
        <v>3</v>
      </c>
      <c r="CJ864">
        <v>2</v>
      </c>
      <c r="CK864">
        <v>41</v>
      </c>
      <c r="CL864" t="s">
        <v>89</v>
      </c>
    </row>
    <row r="865" spans="1:90" x14ac:dyDescent="0.3">
      <c r="A865" t="s">
        <v>72</v>
      </c>
      <c r="B865" t="s">
        <v>73</v>
      </c>
      <c r="C865" t="s">
        <v>74</v>
      </c>
      <c r="E865" t="str">
        <f>"080065319351"</f>
        <v>080065319351</v>
      </c>
      <c r="F865" s="3">
        <v>45789</v>
      </c>
      <c r="G865">
        <v>202602</v>
      </c>
      <c r="H865" t="s">
        <v>75</v>
      </c>
      <c r="I865" t="s">
        <v>76</v>
      </c>
      <c r="J865" t="s">
        <v>77</v>
      </c>
      <c r="K865" t="s">
        <v>78</v>
      </c>
      <c r="L865" t="s">
        <v>103</v>
      </c>
      <c r="M865" t="s">
        <v>104</v>
      </c>
      <c r="N865" t="s">
        <v>1623</v>
      </c>
      <c r="O865" t="s">
        <v>82</v>
      </c>
      <c r="P865" t="str">
        <f>"4170037826                    "</f>
        <v xml:space="preserve">4170037826                    </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64.12</v>
      </c>
      <c r="AR865">
        <v>0</v>
      </c>
      <c r="AS865">
        <v>0</v>
      </c>
      <c r="AT865">
        <v>0</v>
      </c>
      <c r="AU865">
        <v>0</v>
      </c>
      <c r="AV865">
        <v>0</v>
      </c>
      <c r="AW865">
        <v>0</v>
      </c>
      <c r="AX865">
        <v>0</v>
      </c>
      <c r="AY865">
        <v>0</v>
      </c>
      <c r="AZ865">
        <v>0</v>
      </c>
      <c r="BA865">
        <v>0</v>
      </c>
      <c r="BB865">
        <v>0</v>
      </c>
      <c r="BC865">
        <v>0</v>
      </c>
      <c r="BD865">
        <v>0</v>
      </c>
      <c r="BE865">
        <v>0</v>
      </c>
      <c r="BF865">
        <v>0</v>
      </c>
      <c r="BG865">
        <v>0</v>
      </c>
      <c r="BH865">
        <v>1</v>
      </c>
      <c r="BI865">
        <v>4</v>
      </c>
      <c r="BJ865">
        <v>6</v>
      </c>
      <c r="BK865">
        <v>6</v>
      </c>
      <c r="BL865">
        <v>209.84</v>
      </c>
      <c r="BM865">
        <v>31.48</v>
      </c>
      <c r="BN865">
        <v>241.32</v>
      </c>
      <c r="BO865">
        <v>241.32</v>
      </c>
      <c r="BQ865" t="s">
        <v>1624</v>
      </c>
      <c r="BR865" t="s">
        <v>84</v>
      </c>
      <c r="BS865" s="3">
        <v>45790</v>
      </c>
      <c r="BT865" s="4">
        <v>0.54166666666666663</v>
      </c>
      <c r="BU865" t="s">
        <v>1625</v>
      </c>
      <c r="BV865" t="s">
        <v>86</v>
      </c>
      <c r="BY865">
        <v>30096</v>
      </c>
      <c r="BZ865" t="s">
        <v>127</v>
      </c>
      <c r="CC865" t="s">
        <v>104</v>
      </c>
      <c r="CD865">
        <v>3201</v>
      </c>
      <c r="CE865" t="s">
        <v>221</v>
      </c>
      <c r="CF865" s="3">
        <v>45791</v>
      </c>
      <c r="CI865">
        <v>1</v>
      </c>
      <c r="CJ865">
        <v>1</v>
      </c>
      <c r="CK865">
        <v>21</v>
      </c>
      <c r="CL865" t="s">
        <v>89</v>
      </c>
    </row>
    <row r="866" spans="1:90" x14ac:dyDescent="0.3">
      <c r="A866" t="s">
        <v>72</v>
      </c>
      <c r="B866" t="s">
        <v>73</v>
      </c>
      <c r="C866" t="s">
        <v>74</v>
      </c>
      <c r="E866" t="str">
        <f>"080065319385"</f>
        <v>080065319385</v>
      </c>
      <c r="F866" s="3">
        <v>45789</v>
      </c>
      <c r="G866">
        <v>202602</v>
      </c>
      <c r="H866" t="s">
        <v>75</v>
      </c>
      <c r="I866" t="s">
        <v>76</v>
      </c>
      <c r="J866" t="s">
        <v>77</v>
      </c>
      <c r="K866" t="s">
        <v>78</v>
      </c>
      <c r="L866" t="s">
        <v>374</v>
      </c>
      <c r="M866" t="s">
        <v>375</v>
      </c>
      <c r="N866" t="s">
        <v>376</v>
      </c>
      <c r="O866" t="s">
        <v>82</v>
      </c>
      <c r="P866" t="str">
        <f>"4170037818                    "</f>
        <v xml:space="preserve">4170037818                    </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41.43</v>
      </c>
      <c r="AR866">
        <v>0</v>
      </c>
      <c r="AS866">
        <v>0</v>
      </c>
      <c r="AT866">
        <v>0</v>
      </c>
      <c r="AU866">
        <v>0</v>
      </c>
      <c r="AV866">
        <v>0</v>
      </c>
      <c r="AW866">
        <v>0</v>
      </c>
      <c r="AX866">
        <v>0</v>
      </c>
      <c r="AY866">
        <v>0</v>
      </c>
      <c r="AZ866">
        <v>0</v>
      </c>
      <c r="BA866">
        <v>0</v>
      </c>
      <c r="BB866">
        <v>0</v>
      </c>
      <c r="BC866">
        <v>0</v>
      </c>
      <c r="BD866">
        <v>0</v>
      </c>
      <c r="BE866">
        <v>0</v>
      </c>
      <c r="BF866">
        <v>0</v>
      </c>
      <c r="BG866">
        <v>0</v>
      </c>
      <c r="BH866">
        <v>1</v>
      </c>
      <c r="BI866">
        <v>1</v>
      </c>
      <c r="BJ866">
        <v>0.2</v>
      </c>
      <c r="BK866">
        <v>1</v>
      </c>
      <c r="BL866">
        <v>135.59</v>
      </c>
      <c r="BM866">
        <v>20.34</v>
      </c>
      <c r="BN866">
        <v>155.93</v>
      </c>
      <c r="BO866">
        <v>155.93</v>
      </c>
      <c r="BQ866" t="s">
        <v>377</v>
      </c>
      <c r="BR866" t="s">
        <v>84</v>
      </c>
      <c r="BS866" s="3">
        <v>45790</v>
      </c>
      <c r="BT866" s="4">
        <v>0.52500000000000002</v>
      </c>
      <c r="BU866" t="s">
        <v>1626</v>
      </c>
      <c r="BV866" t="s">
        <v>86</v>
      </c>
      <c r="BY866">
        <v>1200</v>
      </c>
      <c r="BZ866" t="s">
        <v>127</v>
      </c>
      <c r="CA866" t="s">
        <v>379</v>
      </c>
      <c r="CC866" t="s">
        <v>375</v>
      </c>
      <c r="CD866">
        <v>7130</v>
      </c>
      <c r="CE866" t="s">
        <v>129</v>
      </c>
      <c r="CF866" s="3">
        <v>45791</v>
      </c>
      <c r="CI866">
        <v>1</v>
      </c>
      <c r="CJ866">
        <v>1</v>
      </c>
      <c r="CK866">
        <v>23</v>
      </c>
      <c r="CL866" t="s">
        <v>89</v>
      </c>
    </row>
    <row r="867" spans="1:90" x14ac:dyDescent="0.3">
      <c r="A867" t="s">
        <v>72</v>
      </c>
      <c r="B867" t="s">
        <v>73</v>
      </c>
      <c r="C867" t="s">
        <v>74</v>
      </c>
      <c r="E867" t="str">
        <f>"080065315115"</f>
        <v>080065315115</v>
      </c>
      <c r="F867" s="3">
        <v>45789</v>
      </c>
      <c r="G867">
        <v>202602</v>
      </c>
      <c r="H867" t="s">
        <v>75</v>
      </c>
      <c r="I867" t="s">
        <v>76</v>
      </c>
      <c r="J867" t="s">
        <v>77</v>
      </c>
      <c r="K867" t="s">
        <v>78</v>
      </c>
      <c r="L867" t="s">
        <v>672</v>
      </c>
      <c r="M867" t="s">
        <v>673</v>
      </c>
      <c r="N867" t="s">
        <v>674</v>
      </c>
      <c r="O867" t="s">
        <v>82</v>
      </c>
      <c r="P867" t="str">
        <f>"4170037614                    "</f>
        <v xml:space="preserve">4170037614                    </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97.56</v>
      </c>
      <c r="AR867">
        <v>0</v>
      </c>
      <c r="AS867">
        <v>0</v>
      </c>
      <c r="AT867">
        <v>0</v>
      </c>
      <c r="AU867">
        <v>0</v>
      </c>
      <c r="AV867">
        <v>0</v>
      </c>
      <c r="AW867">
        <v>0</v>
      </c>
      <c r="AX867">
        <v>0</v>
      </c>
      <c r="AY867">
        <v>0</v>
      </c>
      <c r="AZ867">
        <v>0</v>
      </c>
      <c r="BA867">
        <v>0</v>
      </c>
      <c r="BB867">
        <v>0</v>
      </c>
      <c r="BC867">
        <v>0</v>
      </c>
      <c r="BD867">
        <v>0</v>
      </c>
      <c r="BE867">
        <v>0</v>
      </c>
      <c r="BF867">
        <v>0</v>
      </c>
      <c r="BG867">
        <v>0</v>
      </c>
      <c r="BH867">
        <v>1</v>
      </c>
      <c r="BI867">
        <v>5</v>
      </c>
      <c r="BJ867">
        <v>2.8</v>
      </c>
      <c r="BK867">
        <v>5</v>
      </c>
      <c r="BL867">
        <v>319.27999999999997</v>
      </c>
      <c r="BM867">
        <v>47.89</v>
      </c>
      <c r="BN867">
        <v>367.17</v>
      </c>
      <c r="BO867">
        <v>367.17</v>
      </c>
      <c r="BQ867" t="s">
        <v>675</v>
      </c>
      <c r="BR867" t="s">
        <v>84</v>
      </c>
      <c r="BS867" s="3">
        <v>45790</v>
      </c>
      <c r="BT867" s="4">
        <v>0.53055555555555556</v>
      </c>
      <c r="BU867" t="s">
        <v>1627</v>
      </c>
      <c r="BV867" t="s">
        <v>86</v>
      </c>
      <c r="BY867">
        <v>14112</v>
      </c>
      <c r="BZ867" t="s">
        <v>127</v>
      </c>
      <c r="CA867" t="s">
        <v>677</v>
      </c>
      <c r="CC867" t="s">
        <v>673</v>
      </c>
      <c r="CD867">
        <v>2531</v>
      </c>
      <c r="CE867" t="s">
        <v>221</v>
      </c>
      <c r="CF867" s="3">
        <v>45791</v>
      </c>
      <c r="CI867">
        <v>1</v>
      </c>
      <c r="CJ867">
        <v>1</v>
      </c>
      <c r="CK867">
        <v>23</v>
      </c>
      <c r="CL867" t="s">
        <v>89</v>
      </c>
    </row>
    <row r="868" spans="1:90" x14ac:dyDescent="0.3">
      <c r="A868" t="s">
        <v>72</v>
      </c>
      <c r="B868" t="s">
        <v>73</v>
      </c>
      <c r="C868" t="s">
        <v>74</v>
      </c>
      <c r="E868" t="str">
        <f>"080065319396"</f>
        <v>080065319396</v>
      </c>
      <c r="F868" s="3">
        <v>45789</v>
      </c>
      <c r="G868">
        <v>202602</v>
      </c>
      <c r="H868" t="s">
        <v>75</v>
      </c>
      <c r="I868" t="s">
        <v>76</v>
      </c>
      <c r="J868" t="s">
        <v>77</v>
      </c>
      <c r="K868" t="s">
        <v>78</v>
      </c>
      <c r="L868" t="s">
        <v>320</v>
      </c>
      <c r="M868" t="s">
        <v>321</v>
      </c>
      <c r="N868" t="s">
        <v>322</v>
      </c>
      <c r="O868" t="s">
        <v>82</v>
      </c>
      <c r="P868" t="str">
        <f>"4170037627                    "</f>
        <v xml:space="preserve">4170037627                    </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21.38</v>
      </c>
      <c r="AR868">
        <v>0</v>
      </c>
      <c r="AS868">
        <v>0</v>
      </c>
      <c r="AT868">
        <v>0</v>
      </c>
      <c r="AU868">
        <v>0</v>
      </c>
      <c r="AV868">
        <v>0</v>
      </c>
      <c r="AW868">
        <v>0</v>
      </c>
      <c r="AX868">
        <v>0</v>
      </c>
      <c r="AY868">
        <v>0</v>
      </c>
      <c r="AZ868">
        <v>0</v>
      </c>
      <c r="BA868">
        <v>0</v>
      </c>
      <c r="BB868">
        <v>0</v>
      </c>
      <c r="BC868">
        <v>0</v>
      </c>
      <c r="BD868">
        <v>0</v>
      </c>
      <c r="BE868">
        <v>0</v>
      </c>
      <c r="BF868">
        <v>0</v>
      </c>
      <c r="BG868">
        <v>0</v>
      </c>
      <c r="BH868">
        <v>1</v>
      </c>
      <c r="BI868">
        <v>1</v>
      </c>
      <c r="BJ868">
        <v>1.1000000000000001</v>
      </c>
      <c r="BK868">
        <v>1.5</v>
      </c>
      <c r="BL868">
        <v>69.98</v>
      </c>
      <c r="BM868">
        <v>10.5</v>
      </c>
      <c r="BN868">
        <v>80.48</v>
      </c>
      <c r="BO868">
        <v>80.48</v>
      </c>
      <c r="BQ868" t="s">
        <v>323</v>
      </c>
      <c r="BR868" t="s">
        <v>84</v>
      </c>
      <c r="BS868" s="3">
        <v>45790</v>
      </c>
      <c r="BT868" s="4">
        <v>0.53125</v>
      </c>
      <c r="BU868" t="s">
        <v>324</v>
      </c>
      <c r="BV868" t="s">
        <v>89</v>
      </c>
      <c r="BW868" t="s">
        <v>296</v>
      </c>
      <c r="BX868" t="s">
        <v>325</v>
      </c>
      <c r="BY868">
        <v>5320</v>
      </c>
      <c r="BZ868" t="s">
        <v>127</v>
      </c>
      <c r="CA868" t="s">
        <v>326</v>
      </c>
      <c r="CC868" t="s">
        <v>321</v>
      </c>
      <c r="CD868">
        <v>4113</v>
      </c>
      <c r="CE868" t="s">
        <v>408</v>
      </c>
      <c r="CF868" s="3">
        <v>45791</v>
      </c>
      <c r="CI868">
        <v>1</v>
      </c>
      <c r="CJ868">
        <v>1</v>
      </c>
      <c r="CK868">
        <v>21</v>
      </c>
      <c r="CL868" t="s">
        <v>89</v>
      </c>
    </row>
    <row r="869" spans="1:90" x14ac:dyDescent="0.3">
      <c r="A869" t="s">
        <v>72</v>
      </c>
      <c r="B869" t="s">
        <v>73</v>
      </c>
      <c r="C869" t="s">
        <v>74</v>
      </c>
      <c r="E869" t="str">
        <f>"080065319419"</f>
        <v>080065319419</v>
      </c>
      <c r="F869" s="3">
        <v>45789</v>
      </c>
      <c r="G869">
        <v>202602</v>
      </c>
      <c r="H869" t="s">
        <v>75</v>
      </c>
      <c r="I869" t="s">
        <v>76</v>
      </c>
      <c r="J869" t="s">
        <v>77</v>
      </c>
      <c r="K869" t="s">
        <v>78</v>
      </c>
      <c r="L869" t="s">
        <v>90</v>
      </c>
      <c r="M869" t="s">
        <v>91</v>
      </c>
      <c r="N869" t="s">
        <v>563</v>
      </c>
      <c r="O869" t="s">
        <v>82</v>
      </c>
      <c r="P869" t="str">
        <f>"4170037666                    "</f>
        <v xml:space="preserve">4170037666                    </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21.38</v>
      </c>
      <c r="AR869">
        <v>0</v>
      </c>
      <c r="AS869">
        <v>0</v>
      </c>
      <c r="AT869">
        <v>0</v>
      </c>
      <c r="AU869">
        <v>0</v>
      </c>
      <c r="AV869">
        <v>0</v>
      </c>
      <c r="AW869">
        <v>0</v>
      </c>
      <c r="AX869">
        <v>0</v>
      </c>
      <c r="AY869">
        <v>0</v>
      </c>
      <c r="AZ869">
        <v>0</v>
      </c>
      <c r="BA869">
        <v>0</v>
      </c>
      <c r="BB869">
        <v>0</v>
      </c>
      <c r="BC869">
        <v>0</v>
      </c>
      <c r="BD869">
        <v>0</v>
      </c>
      <c r="BE869">
        <v>0</v>
      </c>
      <c r="BF869">
        <v>0</v>
      </c>
      <c r="BG869">
        <v>0</v>
      </c>
      <c r="BH869">
        <v>1</v>
      </c>
      <c r="BI869">
        <v>1</v>
      </c>
      <c r="BJ869">
        <v>0.2</v>
      </c>
      <c r="BK869">
        <v>1</v>
      </c>
      <c r="BL869">
        <v>69.98</v>
      </c>
      <c r="BM869">
        <v>10.5</v>
      </c>
      <c r="BN869">
        <v>80.48</v>
      </c>
      <c r="BO869">
        <v>80.48</v>
      </c>
      <c r="BQ869" t="s">
        <v>564</v>
      </c>
      <c r="BR869" t="s">
        <v>84</v>
      </c>
      <c r="BS869" s="3">
        <v>45790</v>
      </c>
      <c r="BT869" s="4">
        <v>0.35208333333333336</v>
      </c>
      <c r="BU869" t="s">
        <v>1621</v>
      </c>
      <c r="BV869" t="s">
        <v>86</v>
      </c>
      <c r="BY869">
        <v>1200</v>
      </c>
      <c r="CA869" t="s">
        <v>1622</v>
      </c>
      <c r="CC869" t="s">
        <v>91</v>
      </c>
      <c r="CD869">
        <v>6001</v>
      </c>
      <c r="CE869" t="s">
        <v>88</v>
      </c>
      <c r="CF869" s="3">
        <v>45790</v>
      </c>
      <c r="CI869">
        <v>1</v>
      </c>
      <c r="CJ869">
        <v>1</v>
      </c>
      <c r="CK869">
        <v>21</v>
      </c>
      <c r="CL869" t="s">
        <v>89</v>
      </c>
    </row>
    <row r="870" spans="1:90" x14ac:dyDescent="0.3">
      <c r="A870" t="s">
        <v>72</v>
      </c>
      <c r="B870" t="s">
        <v>73</v>
      </c>
      <c r="C870" t="s">
        <v>74</v>
      </c>
      <c r="E870" t="str">
        <f>"080065315176"</f>
        <v>080065315176</v>
      </c>
      <c r="F870" s="3">
        <v>45789</v>
      </c>
      <c r="G870">
        <v>202602</v>
      </c>
      <c r="H870" t="s">
        <v>75</v>
      </c>
      <c r="I870" t="s">
        <v>76</v>
      </c>
      <c r="J870" t="s">
        <v>77</v>
      </c>
      <c r="K870" t="s">
        <v>78</v>
      </c>
      <c r="L870" t="s">
        <v>1628</v>
      </c>
      <c r="M870" t="s">
        <v>1629</v>
      </c>
      <c r="N870" t="s">
        <v>1630</v>
      </c>
      <c r="O870" t="s">
        <v>82</v>
      </c>
      <c r="P870" t="str">
        <f>"4170037637                    "</f>
        <v xml:space="preserve">4170037637                    </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41.43</v>
      </c>
      <c r="AR870">
        <v>0</v>
      </c>
      <c r="AS870">
        <v>0</v>
      </c>
      <c r="AT870">
        <v>0</v>
      </c>
      <c r="AU870">
        <v>0</v>
      </c>
      <c r="AV870">
        <v>0</v>
      </c>
      <c r="AW870">
        <v>0</v>
      </c>
      <c r="AX870">
        <v>0</v>
      </c>
      <c r="AY870">
        <v>0</v>
      </c>
      <c r="AZ870">
        <v>0</v>
      </c>
      <c r="BA870">
        <v>0</v>
      </c>
      <c r="BB870">
        <v>0</v>
      </c>
      <c r="BC870">
        <v>0</v>
      </c>
      <c r="BD870">
        <v>0</v>
      </c>
      <c r="BE870">
        <v>0</v>
      </c>
      <c r="BF870">
        <v>0</v>
      </c>
      <c r="BG870">
        <v>0</v>
      </c>
      <c r="BH870">
        <v>1</v>
      </c>
      <c r="BI870">
        <v>1</v>
      </c>
      <c r="BJ870">
        <v>0.6</v>
      </c>
      <c r="BK870">
        <v>1</v>
      </c>
      <c r="BL870">
        <v>135.59</v>
      </c>
      <c r="BM870">
        <v>20.34</v>
      </c>
      <c r="BN870">
        <v>155.93</v>
      </c>
      <c r="BO870">
        <v>155.93</v>
      </c>
      <c r="BQ870" t="s">
        <v>1631</v>
      </c>
      <c r="BR870" t="s">
        <v>84</v>
      </c>
      <c r="BS870" s="3">
        <v>45791</v>
      </c>
      <c r="BT870" s="4">
        <v>0.45277777777777778</v>
      </c>
      <c r="BU870" t="s">
        <v>1632</v>
      </c>
      <c r="BV870" t="s">
        <v>86</v>
      </c>
      <c r="BY870">
        <v>3072</v>
      </c>
      <c r="CC870" t="s">
        <v>1629</v>
      </c>
      <c r="CD870">
        <v>5320</v>
      </c>
      <c r="CE870" t="s">
        <v>221</v>
      </c>
      <c r="CF870" s="3">
        <v>45791</v>
      </c>
      <c r="CI870">
        <v>5</v>
      </c>
      <c r="CJ870">
        <v>2</v>
      </c>
      <c r="CK870">
        <v>23</v>
      </c>
      <c r="CL870" t="s">
        <v>89</v>
      </c>
    </row>
    <row r="871" spans="1:90" x14ac:dyDescent="0.3">
      <c r="A871" t="s">
        <v>72</v>
      </c>
      <c r="B871" t="s">
        <v>73</v>
      </c>
      <c r="C871" t="s">
        <v>74</v>
      </c>
      <c r="E871" t="str">
        <f>"080065319433"</f>
        <v>080065319433</v>
      </c>
      <c r="F871" s="3">
        <v>45789</v>
      </c>
      <c r="G871">
        <v>202602</v>
      </c>
      <c r="H871" t="s">
        <v>75</v>
      </c>
      <c r="I871" t="s">
        <v>76</v>
      </c>
      <c r="J871" t="s">
        <v>77</v>
      </c>
      <c r="K871" t="s">
        <v>78</v>
      </c>
      <c r="L871" t="s">
        <v>130</v>
      </c>
      <c r="M871" t="s">
        <v>131</v>
      </c>
      <c r="N871" t="s">
        <v>343</v>
      </c>
      <c r="O871" t="s">
        <v>82</v>
      </c>
      <c r="P871" t="str">
        <f>"4170037775                    "</f>
        <v xml:space="preserve">4170037775                    </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21.38</v>
      </c>
      <c r="AR871">
        <v>0</v>
      </c>
      <c r="AS871">
        <v>0</v>
      </c>
      <c r="AT871">
        <v>0</v>
      </c>
      <c r="AU871">
        <v>0</v>
      </c>
      <c r="AV871">
        <v>0</v>
      </c>
      <c r="AW871">
        <v>0</v>
      </c>
      <c r="AX871">
        <v>0</v>
      </c>
      <c r="AY871">
        <v>0</v>
      </c>
      <c r="AZ871">
        <v>0</v>
      </c>
      <c r="BA871">
        <v>0</v>
      </c>
      <c r="BB871">
        <v>0</v>
      </c>
      <c r="BC871">
        <v>0</v>
      </c>
      <c r="BD871">
        <v>0</v>
      </c>
      <c r="BE871">
        <v>0</v>
      </c>
      <c r="BF871">
        <v>0</v>
      </c>
      <c r="BG871">
        <v>0</v>
      </c>
      <c r="BH871">
        <v>1</v>
      </c>
      <c r="BI871">
        <v>1</v>
      </c>
      <c r="BJ871">
        <v>1.1000000000000001</v>
      </c>
      <c r="BK871">
        <v>1.5</v>
      </c>
      <c r="BL871">
        <v>69.98</v>
      </c>
      <c r="BM871">
        <v>10.5</v>
      </c>
      <c r="BN871">
        <v>80.48</v>
      </c>
      <c r="BO871">
        <v>80.48</v>
      </c>
      <c r="BQ871" t="s">
        <v>344</v>
      </c>
      <c r="BR871" t="s">
        <v>84</v>
      </c>
      <c r="BS871" s="3">
        <v>45790</v>
      </c>
      <c r="BT871" s="4">
        <v>0.3888888888888889</v>
      </c>
      <c r="BU871" t="s">
        <v>1633</v>
      </c>
      <c r="BV871" t="s">
        <v>86</v>
      </c>
      <c r="BY871">
        <v>5320</v>
      </c>
      <c r="CA871" t="s">
        <v>1634</v>
      </c>
      <c r="CC871" t="s">
        <v>131</v>
      </c>
      <c r="CD871">
        <v>7441</v>
      </c>
      <c r="CE871" t="s">
        <v>116</v>
      </c>
      <c r="CF871" s="3">
        <v>45791</v>
      </c>
      <c r="CI871">
        <v>1</v>
      </c>
      <c r="CJ871">
        <v>1</v>
      </c>
      <c r="CK871">
        <v>21</v>
      </c>
      <c r="CL871" t="s">
        <v>89</v>
      </c>
    </row>
    <row r="872" spans="1:90" x14ac:dyDescent="0.3">
      <c r="A872" t="s">
        <v>72</v>
      </c>
      <c r="B872" t="s">
        <v>73</v>
      </c>
      <c r="C872" t="s">
        <v>74</v>
      </c>
      <c r="E872" t="str">
        <f>"080065319442"</f>
        <v>080065319442</v>
      </c>
      <c r="F872" s="3">
        <v>45789</v>
      </c>
      <c r="G872">
        <v>202602</v>
      </c>
      <c r="H872" t="s">
        <v>75</v>
      </c>
      <c r="I872" t="s">
        <v>76</v>
      </c>
      <c r="J872" t="s">
        <v>77</v>
      </c>
      <c r="K872" t="s">
        <v>78</v>
      </c>
      <c r="L872" t="s">
        <v>103</v>
      </c>
      <c r="M872" t="s">
        <v>104</v>
      </c>
      <c r="N872" t="s">
        <v>105</v>
      </c>
      <c r="O872" t="s">
        <v>82</v>
      </c>
      <c r="P872" t="str">
        <f>"4170037842                    "</f>
        <v xml:space="preserve">4170037842                    </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21.38</v>
      </c>
      <c r="AR872">
        <v>0</v>
      </c>
      <c r="AS872">
        <v>0</v>
      </c>
      <c r="AT872">
        <v>0</v>
      </c>
      <c r="AU872">
        <v>0</v>
      </c>
      <c r="AV872">
        <v>0</v>
      </c>
      <c r="AW872">
        <v>0</v>
      </c>
      <c r="AX872">
        <v>0</v>
      </c>
      <c r="AY872">
        <v>0</v>
      </c>
      <c r="AZ872">
        <v>0</v>
      </c>
      <c r="BA872">
        <v>0</v>
      </c>
      <c r="BB872">
        <v>0</v>
      </c>
      <c r="BC872">
        <v>0</v>
      </c>
      <c r="BD872">
        <v>0</v>
      </c>
      <c r="BE872">
        <v>0</v>
      </c>
      <c r="BF872">
        <v>0</v>
      </c>
      <c r="BG872">
        <v>0</v>
      </c>
      <c r="BH872">
        <v>1</v>
      </c>
      <c r="BI872">
        <v>1</v>
      </c>
      <c r="BJ872">
        <v>0.2</v>
      </c>
      <c r="BK872">
        <v>1</v>
      </c>
      <c r="BL872">
        <v>69.98</v>
      </c>
      <c r="BM872">
        <v>10.5</v>
      </c>
      <c r="BN872">
        <v>80.48</v>
      </c>
      <c r="BO872">
        <v>80.48</v>
      </c>
      <c r="BQ872" t="s">
        <v>106</v>
      </c>
      <c r="BR872" t="s">
        <v>84</v>
      </c>
      <c r="BS872" s="3">
        <v>45790</v>
      </c>
      <c r="BT872" s="4">
        <v>0.46180555555555558</v>
      </c>
      <c r="BU872" t="s">
        <v>107</v>
      </c>
      <c r="BV872" t="s">
        <v>86</v>
      </c>
      <c r="BY872">
        <v>1200</v>
      </c>
      <c r="CA872" t="s">
        <v>108</v>
      </c>
      <c r="CC872" t="s">
        <v>104</v>
      </c>
      <c r="CD872">
        <v>3201</v>
      </c>
      <c r="CE872" t="s">
        <v>88</v>
      </c>
      <c r="CF872" s="3">
        <v>45791</v>
      </c>
      <c r="CI872">
        <v>1</v>
      </c>
      <c r="CJ872">
        <v>1</v>
      </c>
      <c r="CK872">
        <v>21</v>
      </c>
      <c r="CL872" t="s">
        <v>89</v>
      </c>
    </row>
    <row r="873" spans="1:90" x14ac:dyDescent="0.3">
      <c r="A873" t="s">
        <v>72</v>
      </c>
      <c r="B873" t="s">
        <v>73</v>
      </c>
      <c r="C873" t="s">
        <v>74</v>
      </c>
      <c r="E873" t="str">
        <f>"080065315257"</f>
        <v>080065315257</v>
      </c>
      <c r="F873" s="3">
        <v>45789</v>
      </c>
      <c r="G873">
        <v>202602</v>
      </c>
      <c r="H873" t="s">
        <v>75</v>
      </c>
      <c r="I873" t="s">
        <v>76</v>
      </c>
      <c r="J873" t="s">
        <v>77</v>
      </c>
      <c r="K873" t="s">
        <v>78</v>
      </c>
      <c r="L873" t="s">
        <v>117</v>
      </c>
      <c r="M873" t="s">
        <v>118</v>
      </c>
      <c r="N873" t="s">
        <v>1635</v>
      </c>
      <c r="O873" t="s">
        <v>82</v>
      </c>
      <c r="P873" t="str">
        <f>"4170037521                    "</f>
        <v xml:space="preserve">4170037521                    </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16.7</v>
      </c>
      <c r="AR873">
        <v>0</v>
      </c>
      <c r="AS873">
        <v>0</v>
      </c>
      <c r="AT873">
        <v>0</v>
      </c>
      <c r="AU873">
        <v>0</v>
      </c>
      <c r="AV873">
        <v>0</v>
      </c>
      <c r="AW873">
        <v>0</v>
      </c>
      <c r="AX873">
        <v>0</v>
      </c>
      <c r="AY873">
        <v>0</v>
      </c>
      <c r="AZ873">
        <v>0</v>
      </c>
      <c r="BA873">
        <v>0</v>
      </c>
      <c r="BB873">
        <v>0</v>
      </c>
      <c r="BC873">
        <v>0</v>
      </c>
      <c r="BD873">
        <v>0</v>
      </c>
      <c r="BE873">
        <v>0</v>
      </c>
      <c r="BF873">
        <v>0</v>
      </c>
      <c r="BG873">
        <v>0</v>
      </c>
      <c r="BH873">
        <v>1</v>
      </c>
      <c r="BI873">
        <v>2</v>
      </c>
      <c r="BJ873">
        <v>1.9</v>
      </c>
      <c r="BK873">
        <v>2</v>
      </c>
      <c r="BL873">
        <v>54.66</v>
      </c>
      <c r="BM873">
        <v>8.1999999999999993</v>
      </c>
      <c r="BN873">
        <v>62.86</v>
      </c>
      <c r="BO873">
        <v>62.86</v>
      </c>
      <c r="BQ873" t="s">
        <v>1636</v>
      </c>
      <c r="BR873" t="s">
        <v>84</v>
      </c>
      <c r="BS873" s="3">
        <v>45790</v>
      </c>
      <c r="BT873" s="4">
        <v>0.375</v>
      </c>
      <c r="BU873" t="s">
        <v>1637</v>
      </c>
      <c r="BV873" t="s">
        <v>86</v>
      </c>
      <c r="BY873">
        <v>9675</v>
      </c>
      <c r="CA873" t="s">
        <v>535</v>
      </c>
      <c r="CC873" t="s">
        <v>118</v>
      </c>
      <c r="CD873">
        <v>2094</v>
      </c>
      <c r="CE873" t="s">
        <v>116</v>
      </c>
      <c r="CF873" s="3">
        <v>45791</v>
      </c>
      <c r="CI873">
        <v>1</v>
      </c>
      <c r="CJ873">
        <v>1</v>
      </c>
      <c r="CK873">
        <v>22</v>
      </c>
      <c r="CL873" t="s">
        <v>89</v>
      </c>
    </row>
    <row r="874" spans="1:90" x14ac:dyDescent="0.3">
      <c r="A874" t="s">
        <v>72</v>
      </c>
      <c r="B874" t="s">
        <v>73</v>
      </c>
      <c r="C874" t="s">
        <v>74</v>
      </c>
      <c r="E874" t="str">
        <f>"080065319457"</f>
        <v>080065319457</v>
      </c>
      <c r="F874" s="3">
        <v>45789</v>
      </c>
      <c r="G874">
        <v>202602</v>
      </c>
      <c r="H874" t="s">
        <v>75</v>
      </c>
      <c r="I874" t="s">
        <v>76</v>
      </c>
      <c r="J874" t="s">
        <v>77</v>
      </c>
      <c r="K874" t="s">
        <v>78</v>
      </c>
      <c r="L874" t="s">
        <v>232</v>
      </c>
      <c r="M874" t="s">
        <v>233</v>
      </c>
      <c r="N874" t="s">
        <v>234</v>
      </c>
      <c r="O874" t="s">
        <v>82</v>
      </c>
      <c r="P874" t="str">
        <f>"4170037690                    "</f>
        <v xml:space="preserve">4170037690                    </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21.38</v>
      </c>
      <c r="AR874">
        <v>0</v>
      </c>
      <c r="AS874">
        <v>0</v>
      </c>
      <c r="AT874">
        <v>0</v>
      </c>
      <c r="AU874">
        <v>0</v>
      </c>
      <c r="AV874">
        <v>0</v>
      </c>
      <c r="AW874">
        <v>0</v>
      </c>
      <c r="AX874">
        <v>0</v>
      </c>
      <c r="AY874">
        <v>0</v>
      </c>
      <c r="AZ874">
        <v>0</v>
      </c>
      <c r="BA874">
        <v>0</v>
      </c>
      <c r="BB874">
        <v>0</v>
      </c>
      <c r="BC874">
        <v>0</v>
      </c>
      <c r="BD874">
        <v>0</v>
      </c>
      <c r="BE874">
        <v>0</v>
      </c>
      <c r="BF874">
        <v>0</v>
      </c>
      <c r="BG874">
        <v>0</v>
      </c>
      <c r="BH874">
        <v>1</v>
      </c>
      <c r="BI874">
        <v>1</v>
      </c>
      <c r="BJ874">
        <v>0.2</v>
      </c>
      <c r="BK874">
        <v>1</v>
      </c>
      <c r="BL874">
        <v>69.98</v>
      </c>
      <c r="BM874">
        <v>10.5</v>
      </c>
      <c r="BN874">
        <v>80.48</v>
      </c>
      <c r="BO874">
        <v>80.48</v>
      </c>
      <c r="BQ874" t="s">
        <v>235</v>
      </c>
      <c r="BR874" t="s">
        <v>84</v>
      </c>
      <c r="BS874" s="3">
        <v>45790</v>
      </c>
      <c r="BT874" s="4">
        <v>0.39027777777777778</v>
      </c>
      <c r="BU874" t="s">
        <v>236</v>
      </c>
      <c r="BV874" t="s">
        <v>86</v>
      </c>
      <c r="BY874">
        <v>1200</v>
      </c>
      <c r="CA874" t="s">
        <v>237</v>
      </c>
      <c r="CC874" t="s">
        <v>233</v>
      </c>
      <c r="CD874" s="5" t="s">
        <v>238</v>
      </c>
      <c r="CE874" t="s">
        <v>88</v>
      </c>
      <c r="CF874" s="3">
        <v>45790</v>
      </c>
      <c r="CI874">
        <v>1</v>
      </c>
      <c r="CJ874">
        <v>1</v>
      </c>
      <c r="CK874">
        <v>21</v>
      </c>
      <c r="CL874" t="s">
        <v>89</v>
      </c>
    </row>
    <row r="875" spans="1:90" x14ac:dyDescent="0.3">
      <c r="A875" t="s">
        <v>72</v>
      </c>
      <c r="B875" t="s">
        <v>73</v>
      </c>
      <c r="C875" t="s">
        <v>74</v>
      </c>
      <c r="E875" t="str">
        <f>"080065319811"</f>
        <v>080065319811</v>
      </c>
      <c r="F875" s="3">
        <v>45789</v>
      </c>
      <c r="G875">
        <v>202602</v>
      </c>
      <c r="H875" t="s">
        <v>75</v>
      </c>
      <c r="I875" t="s">
        <v>76</v>
      </c>
      <c r="J875" t="s">
        <v>77</v>
      </c>
      <c r="K875" t="s">
        <v>78</v>
      </c>
      <c r="L875" t="s">
        <v>331</v>
      </c>
      <c r="M875" t="s">
        <v>332</v>
      </c>
      <c r="N875" t="s">
        <v>1638</v>
      </c>
      <c r="O875" t="s">
        <v>82</v>
      </c>
      <c r="P875" t="str">
        <f>"4170037636                    "</f>
        <v xml:space="preserve">4170037636                    </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16.7</v>
      </c>
      <c r="AR875">
        <v>0</v>
      </c>
      <c r="AS875">
        <v>0</v>
      </c>
      <c r="AT875">
        <v>0</v>
      </c>
      <c r="AU875">
        <v>0</v>
      </c>
      <c r="AV875">
        <v>0</v>
      </c>
      <c r="AW875">
        <v>0</v>
      </c>
      <c r="AX875">
        <v>0</v>
      </c>
      <c r="AY875">
        <v>0</v>
      </c>
      <c r="AZ875">
        <v>0</v>
      </c>
      <c r="BA875">
        <v>0</v>
      </c>
      <c r="BB875">
        <v>0</v>
      </c>
      <c r="BC875">
        <v>0</v>
      </c>
      <c r="BD875">
        <v>0</v>
      </c>
      <c r="BE875">
        <v>0</v>
      </c>
      <c r="BF875">
        <v>0</v>
      </c>
      <c r="BG875">
        <v>0</v>
      </c>
      <c r="BH875">
        <v>1</v>
      </c>
      <c r="BI875">
        <v>1</v>
      </c>
      <c r="BJ875">
        <v>0.2</v>
      </c>
      <c r="BK875">
        <v>1</v>
      </c>
      <c r="BL875">
        <v>54.66</v>
      </c>
      <c r="BM875">
        <v>8.1999999999999993</v>
      </c>
      <c r="BN875">
        <v>62.86</v>
      </c>
      <c r="BO875">
        <v>62.86</v>
      </c>
      <c r="BQ875" t="s">
        <v>1639</v>
      </c>
      <c r="BR875" t="s">
        <v>84</v>
      </c>
      <c r="BS875" s="3">
        <v>45790</v>
      </c>
      <c r="BT875" s="4">
        <v>0.33819444444444446</v>
      </c>
      <c r="BU875" t="s">
        <v>1640</v>
      </c>
      <c r="BV875" t="s">
        <v>86</v>
      </c>
      <c r="BY875">
        <v>1200</v>
      </c>
      <c r="CA875" t="s">
        <v>336</v>
      </c>
      <c r="CC875" t="s">
        <v>332</v>
      </c>
      <c r="CD875">
        <v>1451</v>
      </c>
      <c r="CE875" t="s">
        <v>88</v>
      </c>
      <c r="CF875" s="3">
        <v>45790</v>
      </c>
      <c r="CI875">
        <v>1</v>
      </c>
      <c r="CJ875">
        <v>1</v>
      </c>
      <c r="CK875">
        <v>22</v>
      </c>
      <c r="CL875" t="s">
        <v>89</v>
      </c>
    </row>
    <row r="876" spans="1:90" x14ac:dyDescent="0.3">
      <c r="A876" t="s">
        <v>72</v>
      </c>
      <c r="B876" t="s">
        <v>73</v>
      </c>
      <c r="C876" t="s">
        <v>74</v>
      </c>
      <c r="E876" t="str">
        <f>"080065319814"</f>
        <v>080065319814</v>
      </c>
      <c r="F876" s="3">
        <v>45789</v>
      </c>
      <c r="G876">
        <v>202602</v>
      </c>
      <c r="H876" t="s">
        <v>75</v>
      </c>
      <c r="I876" t="s">
        <v>76</v>
      </c>
      <c r="J876" t="s">
        <v>77</v>
      </c>
      <c r="K876" t="s">
        <v>78</v>
      </c>
      <c r="L876" t="s">
        <v>130</v>
      </c>
      <c r="M876" t="s">
        <v>131</v>
      </c>
      <c r="N876" t="s">
        <v>909</v>
      </c>
      <c r="O876" t="s">
        <v>300</v>
      </c>
      <c r="P876" t="str">
        <f>"4170037710                    "</f>
        <v xml:space="preserve">4170037710                    </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95.98</v>
      </c>
      <c r="AR876">
        <v>0</v>
      </c>
      <c r="AS876">
        <v>0</v>
      </c>
      <c r="AT876">
        <v>0</v>
      </c>
      <c r="AU876">
        <v>0</v>
      </c>
      <c r="AV876">
        <v>0</v>
      </c>
      <c r="AW876">
        <v>0</v>
      </c>
      <c r="AX876">
        <v>0</v>
      </c>
      <c r="AY876">
        <v>0</v>
      </c>
      <c r="AZ876">
        <v>0</v>
      </c>
      <c r="BA876">
        <v>0</v>
      </c>
      <c r="BB876">
        <v>0</v>
      </c>
      <c r="BC876">
        <v>0</v>
      </c>
      <c r="BD876">
        <v>0</v>
      </c>
      <c r="BE876">
        <v>0</v>
      </c>
      <c r="BF876">
        <v>0</v>
      </c>
      <c r="BG876">
        <v>0</v>
      </c>
      <c r="BH876">
        <v>1</v>
      </c>
      <c r="BI876">
        <v>29</v>
      </c>
      <c r="BJ876">
        <v>46.4</v>
      </c>
      <c r="BK876">
        <v>47</v>
      </c>
      <c r="BL876">
        <v>319.69</v>
      </c>
      <c r="BM876">
        <v>47.95</v>
      </c>
      <c r="BN876">
        <v>367.64</v>
      </c>
      <c r="BO876">
        <v>367.64</v>
      </c>
      <c r="BQ876" t="s">
        <v>910</v>
      </c>
      <c r="BR876" t="s">
        <v>84</v>
      </c>
      <c r="BS876" s="3">
        <v>45791</v>
      </c>
      <c r="BT876" s="4">
        <v>0.4513888888888889</v>
      </c>
      <c r="BU876" t="s">
        <v>1033</v>
      </c>
      <c r="BV876" t="s">
        <v>86</v>
      </c>
      <c r="BY876">
        <v>232227</v>
      </c>
      <c r="CA876" t="s">
        <v>1641</v>
      </c>
      <c r="CC876" t="s">
        <v>131</v>
      </c>
      <c r="CD876">
        <v>7530</v>
      </c>
      <c r="CE876" t="s">
        <v>96</v>
      </c>
      <c r="CF876" s="3">
        <v>45792</v>
      </c>
      <c r="CI876">
        <v>3</v>
      </c>
      <c r="CJ876">
        <v>2</v>
      </c>
      <c r="CK876">
        <v>41</v>
      </c>
      <c r="CL876" t="s">
        <v>89</v>
      </c>
    </row>
    <row r="877" spans="1:90" x14ac:dyDescent="0.3">
      <c r="A877" t="s">
        <v>72</v>
      </c>
      <c r="B877" t="s">
        <v>73</v>
      </c>
      <c r="C877" t="s">
        <v>74</v>
      </c>
      <c r="E877" t="str">
        <f>"080065319855"</f>
        <v>080065319855</v>
      </c>
      <c r="F877" s="3">
        <v>45789</v>
      </c>
      <c r="G877">
        <v>202602</v>
      </c>
      <c r="H877" t="s">
        <v>75</v>
      </c>
      <c r="I877" t="s">
        <v>76</v>
      </c>
      <c r="J877" t="s">
        <v>77</v>
      </c>
      <c r="K877" t="s">
        <v>78</v>
      </c>
      <c r="L877" t="s">
        <v>103</v>
      </c>
      <c r="M877" t="s">
        <v>104</v>
      </c>
      <c r="N877" t="s">
        <v>105</v>
      </c>
      <c r="O877" t="s">
        <v>82</v>
      </c>
      <c r="P877" t="str">
        <f>"4170037750                    "</f>
        <v xml:space="preserve">4170037750                    </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21.38</v>
      </c>
      <c r="AR877">
        <v>0</v>
      </c>
      <c r="AS877">
        <v>0</v>
      </c>
      <c r="AT877">
        <v>0</v>
      </c>
      <c r="AU877">
        <v>0</v>
      </c>
      <c r="AV877">
        <v>0</v>
      </c>
      <c r="AW877">
        <v>0</v>
      </c>
      <c r="AX877">
        <v>0</v>
      </c>
      <c r="AY877">
        <v>0</v>
      </c>
      <c r="AZ877">
        <v>0</v>
      </c>
      <c r="BA877">
        <v>0</v>
      </c>
      <c r="BB877">
        <v>0</v>
      </c>
      <c r="BC877">
        <v>0</v>
      </c>
      <c r="BD877">
        <v>0</v>
      </c>
      <c r="BE877">
        <v>0</v>
      </c>
      <c r="BF877">
        <v>0</v>
      </c>
      <c r="BG877">
        <v>0</v>
      </c>
      <c r="BH877">
        <v>1</v>
      </c>
      <c r="BI877">
        <v>1</v>
      </c>
      <c r="BJ877">
        <v>0.2</v>
      </c>
      <c r="BK877">
        <v>1</v>
      </c>
      <c r="BL877">
        <v>69.98</v>
      </c>
      <c r="BM877">
        <v>10.5</v>
      </c>
      <c r="BN877">
        <v>80.48</v>
      </c>
      <c r="BO877">
        <v>80.48</v>
      </c>
      <c r="BQ877" t="s">
        <v>106</v>
      </c>
      <c r="BR877" t="s">
        <v>84</v>
      </c>
      <c r="BS877" s="3">
        <v>45790</v>
      </c>
      <c r="BT877" s="4">
        <v>0.46180555555555558</v>
      </c>
      <c r="BU877" t="s">
        <v>107</v>
      </c>
      <c r="BV877" t="s">
        <v>86</v>
      </c>
      <c r="BY877">
        <v>1200</v>
      </c>
      <c r="CA877" t="s">
        <v>108</v>
      </c>
      <c r="CC877" t="s">
        <v>104</v>
      </c>
      <c r="CD877">
        <v>3201</v>
      </c>
      <c r="CE877" t="s">
        <v>88</v>
      </c>
      <c r="CF877" s="3">
        <v>45791</v>
      </c>
      <c r="CI877">
        <v>1</v>
      </c>
      <c r="CJ877">
        <v>1</v>
      </c>
      <c r="CK877">
        <v>21</v>
      </c>
      <c r="CL877" t="s">
        <v>89</v>
      </c>
    </row>
    <row r="878" spans="1:90" x14ac:dyDescent="0.3">
      <c r="A878" t="s">
        <v>72</v>
      </c>
      <c r="B878" t="s">
        <v>73</v>
      </c>
      <c r="C878" t="s">
        <v>74</v>
      </c>
      <c r="E878" t="str">
        <f>"080065319870"</f>
        <v>080065319870</v>
      </c>
      <c r="F878" s="3">
        <v>45789</v>
      </c>
      <c r="G878">
        <v>202602</v>
      </c>
      <c r="H878" t="s">
        <v>75</v>
      </c>
      <c r="I878" t="s">
        <v>76</v>
      </c>
      <c r="J878" t="s">
        <v>77</v>
      </c>
      <c r="K878" t="s">
        <v>78</v>
      </c>
      <c r="L878" t="s">
        <v>350</v>
      </c>
      <c r="M878" t="s">
        <v>351</v>
      </c>
      <c r="N878" t="s">
        <v>404</v>
      </c>
      <c r="O878" t="s">
        <v>82</v>
      </c>
      <c r="P878" t="str">
        <f>"4170037725                    "</f>
        <v xml:space="preserve">4170037725                    </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64.12</v>
      </c>
      <c r="AR878">
        <v>0</v>
      </c>
      <c r="AS878">
        <v>0</v>
      </c>
      <c r="AT878">
        <v>0</v>
      </c>
      <c r="AU878">
        <v>0</v>
      </c>
      <c r="AV878">
        <v>0</v>
      </c>
      <c r="AW878">
        <v>0</v>
      </c>
      <c r="AX878">
        <v>0</v>
      </c>
      <c r="AY878">
        <v>0</v>
      </c>
      <c r="AZ878">
        <v>0</v>
      </c>
      <c r="BA878">
        <v>0</v>
      </c>
      <c r="BB878">
        <v>0</v>
      </c>
      <c r="BC878">
        <v>0</v>
      </c>
      <c r="BD878">
        <v>0</v>
      </c>
      <c r="BE878">
        <v>0</v>
      </c>
      <c r="BF878">
        <v>0</v>
      </c>
      <c r="BG878">
        <v>0</v>
      </c>
      <c r="BH878">
        <v>1</v>
      </c>
      <c r="BI878">
        <v>6</v>
      </c>
      <c r="BJ878">
        <v>1.7</v>
      </c>
      <c r="BK878">
        <v>6</v>
      </c>
      <c r="BL878">
        <v>209.84</v>
      </c>
      <c r="BM878">
        <v>31.48</v>
      </c>
      <c r="BN878">
        <v>241.32</v>
      </c>
      <c r="BO878">
        <v>241.32</v>
      </c>
      <c r="BQ878" t="s">
        <v>405</v>
      </c>
      <c r="BR878" t="s">
        <v>84</v>
      </c>
      <c r="BS878" s="3">
        <v>45790</v>
      </c>
      <c r="BT878" s="4">
        <v>0.54791666666666672</v>
      </c>
      <c r="BU878" t="s">
        <v>1588</v>
      </c>
      <c r="BV878" t="s">
        <v>89</v>
      </c>
      <c r="BW878" t="s">
        <v>296</v>
      </c>
      <c r="BX878" t="s">
        <v>325</v>
      </c>
      <c r="BY878">
        <v>8512</v>
      </c>
      <c r="CA878" t="s">
        <v>326</v>
      </c>
      <c r="CC878" t="s">
        <v>351</v>
      </c>
      <c r="CD878">
        <v>4052</v>
      </c>
      <c r="CE878" t="s">
        <v>116</v>
      </c>
      <c r="CF878" s="3">
        <v>45791</v>
      </c>
      <c r="CI878">
        <v>1</v>
      </c>
      <c r="CJ878">
        <v>1</v>
      </c>
      <c r="CK878">
        <v>21</v>
      </c>
      <c r="CL878" t="s">
        <v>89</v>
      </c>
    </row>
    <row r="879" spans="1:90" x14ac:dyDescent="0.3">
      <c r="A879" t="s">
        <v>72</v>
      </c>
      <c r="B879" t="s">
        <v>73</v>
      </c>
      <c r="C879" t="s">
        <v>74</v>
      </c>
      <c r="E879" t="str">
        <f>"080065319910"</f>
        <v>080065319910</v>
      </c>
      <c r="F879" s="3">
        <v>45789</v>
      </c>
      <c r="G879">
        <v>202602</v>
      </c>
      <c r="H879" t="s">
        <v>75</v>
      </c>
      <c r="I879" t="s">
        <v>76</v>
      </c>
      <c r="J879" t="s">
        <v>77</v>
      </c>
      <c r="K879" t="s">
        <v>78</v>
      </c>
      <c r="L879" t="s">
        <v>130</v>
      </c>
      <c r="M879" t="s">
        <v>131</v>
      </c>
      <c r="N879" t="s">
        <v>865</v>
      </c>
      <c r="O879" t="s">
        <v>82</v>
      </c>
      <c r="P879" t="str">
        <f>"4170037712                    "</f>
        <v xml:space="preserve">4170037712                    </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21.38</v>
      </c>
      <c r="AR879">
        <v>0</v>
      </c>
      <c r="AS879">
        <v>0</v>
      </c>
      <c r="AT879">
        <v>0</v>
      </c>
      <c r="AU879">
        <v>0</v>
      </c>
      <c r="AV879">
        <v>0</v>
      </c>
      <c r="AW879">
        <v>0</v>
      </c>
      <c r="AX879">
        <v>0</v>
      </c>
      <c r="AY879">
        <v>0</v>
      </c>
      <c r="AZ879">
        <v>0</v>
      </c>
      <c r="BA879">
        <v>0</v>
      </c>
      <c r="BB879">
        <v>0</v>
      </c>
      <c r="BC879">
        <v>0</v>
      </c>
      <c r="BD879">
        <v>0</v>
      </c>
      <c r="BE879">
        <v>0</v>
      </c>
      <c r="BF879">
        <v>0</v>
      </c>
      <c r="BG879">
        <v>0</v>
      </c>
      <c r="BH879">
        <v>1</v>
      </c>
      <c r="BI879">
        <v>1</v>
      </c>
      <c r="BJ879">
        <v>0.2</v>
      </c>
      <c r="BK879">
        <v>1</v>
      </c>
      <c r="BL879">
        <v>69.98</v>
      </c>
      <c r="BM879">
        <v>10.5</v>
      </c>
      <c r="BN879">
        <v>80.48</v>
      </c>
      <c r="BO879">
        <v>80.48</v>
      </c>
      <c r="BQ879" t="s">
        <v>866</v>
      </c>
      <c r="BR879" t="s">
        <v>84</v>
      </c>
      <c r="BS879" s="3">
        <v>45793</v>
      </c>
      <c r="BT879" s="4">
        <v>0.41249999999999998</v>
      </c>
      <c r="BU879" t="s">
        <v>1642</v>
      </c>
      <c r="BV879" t="s">
        <v>89</v>
      </c>
      <c r="BY879">
        <v>1200</v>
      </c>
      <c r="CA879" t="s">
        <v>1643</v>
      </c>
      <c r="CC879" t="s">
        <v>131</v>
      </c>
      <c r="CD879">
        <v>7945</v>
      </c>
      <c r="CE879" t="s">
        <v>88</v>
      </c>
      <c r="CF879" s="3">
        <v>45797</v>
      </c>
      <c r="CI879">
        <v>1</v>
      </c>
      <c r="CJ879">
        <v>4</v>
      </c>
      <c r="CK879">
        <v>21</v>
      </c>
      <c r="CL879" t="s">
        <v>89</v>
      </c>
    </row>
    <row r="880" spans="1:90" x14ac:dyDescent="0.3">
      <c r="A880" t="s">
        <v>72</v>
      </c>
      <c r="B880" t="s">
        <v>73</v>
      </c>
      <c r="C880" t="s">
        <v>74</v>
      </c>
      <c r="E880" t="str">
        <f>"080065319922"</f>
        <v>080065319922</v>
      </c>
      <c r="F880" s="3">
        <v>45789</v>
      </c>
      <c r="G880">
        <v>202602</v>
      </c>
      <c r="H880" t="s">
        <v>75</v>
      </c>
      <c r="I880" t="s">
        <v>76</v>
      </c>
      <c r="J880" t="s">
        <v>77</v>
      </c>
      <c r="K880" t="s">
        <v>78</v>
      </c>
      <c r="L880" t="s">
        <v>75</v>
      </c>
      <c r="M880" t="s">
        <v>76</v>
      </c>
      <c r="N880" t="s">
        <v>346</v>
      </c>
      <c r="O880" t="s">
        <v>82</v>
      </c>
      <c r="P880" t="str">
        <f>"4170037847                    "</f>
        <v xml:space="preserve">4170037847                    </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16.7</v>
      </c>
      <c r="AR880">
        <v>0</v>
      </c>
      <c r="AS880">
        <v>0</v>
      </c>
      <c r="AT880">
        <v>0</v>
      </c>
      <c r="AU880">
        <v>0</v>
      </c>
      <c r="AV880">
        <v>0</v>
      </c>
      <c r="AW880">
        <v>0</v>
      </c>
      <c r="AX880">
        <v>0</v>
      </c>
      <c r="AY880">
        <v>0</v>
      </c>
      <c r="AZ880">
        <v>0</v>
      </c>
      <c r="BA880">
        <v>0</v>
      </c>
      <c r="BB880">
        <v>0</v>
      </c>
      <c r="BC880">
        <v>0</v>
      </c>
      <c r="BD880">
        <v>0</v>
      </c>
      <c r="BE880">
        <v>0</v>
      </c>
      <c r="BF880">
        <v>0</v>
      </c>
      <c r="BG880">
        <v>0</v>
      </c>
      <c r="BH880">
        <v>1</v>
      </c>
      <c r="BI880">
        <v>2</v>
      </c>
      <c r="BJ880">
        <v>1.1000000000000001</v>
      </c>
      <c r="BK880">
        <v>2</v>
      </c>
      <c r="BL880">
        <v>54.66</v>
      </c>
      <c r="BM880">
        <v>8.1999999999999993</v>
      </c>
      <c r="BN880">
        <v>62.86</v>
      </c>
      <c r="BO880">
        <v>62.86</v>
      </c>
      <c r="BQ880" t="s">
        <v>347</v>
      </c>
      <c r="BR880" t="s">
        <v>84</v>
      </c>
      <c r="BS880" s="3">
        <v>45790</v>
      </c>
      <c r="BT880" s="4">
        <v>0.37916666666666665</v>
      </c>
      <c r="BU880" t="s">
        <v>348</v>
      </c>
      <c r="BV880" t="s">
        <v>86</v>
      </c>
      <c r="BY880">
        <v>5320</v>
      </c>
      <c r="CA880" t="s">
        <v>349</v>
      </c>
      <c r="CC880" t="s">
        <v>76</v>
      </c>
      <c r="CD880">
        <v>1619</v>
      </c>
      <c r="CE880" t="s">
        <v>116</v>
      </c>
      <c r="CF880" s="3">
        <v>45791</v>
      </c>
      <c r="CI880">
        <v>1</v>
      </c>
      <c r="CJ880">
        <v>1</v>
      </c>
      <c r="CK880">
        <v>22</v>
      </c>
      <c r="CL880" t="s">
        <v>89</v>
      </c>
    </row>
    <row r="881" spans="1:90" x14ac:dyDescent="0.3">
      <c r="A881" t="s">
        <v>72</v>
      </c>
      <c r="B881" t="s">
        <v>73</v>
      </c>
      <c r="C881" t="s">
        <v>74</v>
      </c>
      <c r="E881" t="str">
        <f>"080065319963"</f>
        <v>080065319963</v>
      </c>
      <c r="F881" s="3">
        <v>45789</v>
      </c>
      <c r="G881">
        <v>202602</v>
      </c>
      <c r="H881" t="s">
        <v>75</v>
      </c>
      <c r="I881" t="s">
        <v>76</v>
      </c>
      <c r="J881" t="s">
        <v>77</v>
      </c>
      <c r="K881" t="s">
        <v>78</v>
      </c>
      <c r="L881" t="s">
        <v>374</v>
      </c>
      <c r="M881" t="s">
        <v>375</v>
      </c>
      <c r="N881" t="s">
        <v>376</v>
      </c>
      <c r="O881" t="s">
        <v>82</v>
      </c>
      <c r="P881" t="str">
        <f>"4170037817                    "</f>
        <v xml:space="preserve">4170037817                    </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60.14</v>
      </c>
      <c r="AR881">
        <v>0</v>
      </c>
      <c r="AS881">
        <v>0</v>
      </c>
      <c r="AT881">
        <v>0</v>
      </c>
      <c r="AU881">
        <v>0</v>
      </c>
      <c r="AV881">
        <v>0</v>
      </c>
      <c r="AW881">
        <v>0</v>
      </c>
      <c r="AX881">
        <v>0</v>
      </c>
      <c r="AY881">
        <v>0</v>
      </c>
      <c r="AZ881">
        <v>0</v>
      </c>
      <c r="BA881">
        <v>0</v>
      </c>
      <c r="BB881">
        <v>0</v>
      </c>
      <c r="BC881">
        <v>0</v>
      </c>
      <c r="BD881">
        <v>0</v>
      </c>
      <c r="BE881">
        <v>0</v>
      </c>
      <c r="BF881">
        <v>0</v>
      </c>
      <c r="BG881">
        <v>0</v>
      </c>
      <c r="BH881">
        <v>1</v>
      </c>
      <c r="BI881">
        <v>3</v>
      </c>
      <c r="BJ881">
        <v>1.7</v>
      </c>
      <c r="BK881">
        <v>3</v>
      </c>
      <c r="BL881">
        <v>196.82</v>
      </c>
      <c r="BM881">
        <v>29.52</v>
      </c>
      <c r="BN881">
        <v>226.34</v>
      </c>
      <c r="BO881">
        <v>226.34</v>
      </c>
      <c r="BQ881" t="s">
        <v>377</v>
      </c>
      <c r="BR881" t="s">
        <v>84</v>
      </c>
      <c r="BS881" s="3">
        <v>45790</v>
      </c>
      <c r="BT881" s="4">
        <v>0.52500000000000002</v>
      </c>
      <c r="BU881" t="s">
        <v>1601</v>
      </c>
      <c r="BV881" t="s">
        <v>86</v>
      </c>
      <c r="BY881">
        <v>8512</v>
      </c>
      <c r="CA881" t="s">
        <v>379</v>
      </c>
      <c r="CC881" t="s">
        <v>375</v>
      </c>
      <c r="CD881">
        <v>7130</v>
      </c>
      <c r="CE881" t="s">
        <v>116</v>
      </c>
      <c r="CF881" s="3">
        <v>45791</v>
      </c>
      <c r="CI881">
        <v>1</v>
      </c>
      <c r="CJ881">
        <v>1</v>
      </c>
      <c r="CK881">
        <v>23</v>
      </c>
      <c r="CL881" t="s">
        <v>89</v>
      </c>
    </row>
    <row r="882" spans="1:90" x14ac:dyDescent="0.3">
      <c r="A882" t="s">
        <v>72</v>
      </c>
      <c r="B882" t="s">
        <v>73</v>
      </c>
      <c r="C882" t="s">
        <v>74</v>
      </c>
      <c r="E882" t="str">
        <f>"080065320130"</f>
        <v>080065320130</v>
      </c>
      <c r="F882" s="3">
        <v>45789</v>
      </c>
      <c r="G882">
        <v>202602</v>
      </c>
      <c r="H882" t="s">
        <v>75</v>
      </c>
      <c r="I882" t="s">
        <v>76</v>
      </c>
      <c r="J882" t="s">
        <v>77</v>
      </c>
      <c r="K882" t="s">
        <v>78</v>
      </c>
      <c r="L882" t="s">
        <v>130</v>
      </c>
      <c r="M882" t="s">
        <v>131</v>
      </c>
      <c r="N882" t="s">
        <v>343</v>
      </c>
      <c r="O882" t="s">
        <v>82</v>
      </c>
      <c r="P882" t="str">
        <f>"4170037913                    "</f>
        <v xml:space="preserve">4170037913                    </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21.38</v>
      </c>
      <c r="AR882">
        <v>0</v>
      </c>
      <c r="AS882">
        <v>0</v>
      </c>
      <c r="AT882">
        <v>0</v>
      </c>
      <c r="AU882">
        <v>0</v>
      </c>
      <c r="AV882">
        <v>0</v>
      </c>
      <c r="AW882">
        <v>0</v>
      </c>
      <c r="AX882">
        <v>0</v>
      </c>
      <c r="AY882">
        <v>0</v>
      </c>
      <c r="AZ882">
        <v>0</v>
      </c>
      <c r="BA882">
        <v>0</v>
      </c>
      <c r="BB882">
        <v>0</v>
      </c>
      <c r="BC882">
        <v>0</v>
      </c>
      <c r="BD882">
        <v>0</v>
      </c>
      <c r="BE882">
        <v>0</v>
      </c>
      <c r="BF882">
        <v>0</v>
      </c>
      <c r="BG882">
        <v>0</v>
      </c>
      <c r="BH882">
        <v>1</v>
      </c>
      <c r="BI882">
        <v>1</v>
      </c>
      <c r="BJ882">
        <v>0.2</v>
      </c>
      <c r="BK882">
        <v>1</v>
      </c>
      <c r="BL882">
        <v>69.98</v>
      </c>
      <c r="BM882">
        <v>10.5</v>
      </c>
      <c r="BN882">
        <v>80.48</v>
      </c>
      <c r="BO882">
        <v>80.48</v>
      </c>
      <c r="BQ882" t="s">
        <v>344</v>
      </c>
      <c r="BR882" t="s">
        <v>84</v>
      </c>
      <c r="BS882" s="3">
        <v>45790</v>
      </c>
      <c r="BT882" s="4">
        <v>0.3888888888888889</v>
      </c>
      <c r="BU882" t="s">
        <v>1633</v>
      </c>
      <c r="BV882" t="s">
        <v>86</v>
      </c>
      <c r="BY882">
        <v>1200</v>
      </c>
      <c r="CA882" t="s">
        <v>1634</v>
      </c>
      <c r="CC882" t="s">
        <v>131</v>
      </c>
      <c r="CD882">
        <v>7441</v>
      </c>
      <c r="CE882" t="s">
        <v>88</v>
      </c>
      <c r="CF882" s="3">
        <v>45791</v>
      </c>
      <c r="CI882">
        <v>1</v>
      </c>
      <c r="CJ882">
        <v>1</v>
      </c>
      <c r="CK882">
        <v>21</v>
      </c>
      <c r="CL882" t="s">
        <v>89</v>
      </c>
    </row>
    <row r="883" spans="1:90" x14ac:dyDescent="0.3">
      <c r="A883" t="s">
        <v>72</v>
      </c>
      <c r="B883" t="s">
        <v>73</v>
      </c>
      <c r="C883" t="s">
        <v>74</v>
      </c>
      <c r="E883" t="str">
        <f>"080065320160"</f>
        <v>080065320160</v>
      </c>
      <c r="F883" s="3">
        <v>45789</v>
      </c>
      <c r="G883">
        <v>202602</v>
      </c>
      <c r="H883" t="s">
        <v>75</v>
      </c>
      <c r="I883" t="s">
        <v>76</v>
      </c>
      <c r="J883" t="s">
        <v>77</v>
      </c>
      <c r="K883" t="s">
        <v>78</v>
      </c>
      <c r="L883" t="s">
        <v>177</v>
      </c>
      <c r="M883" t="s">
        <v>178</v>
      </c>
      <c r="N883" t="s">
        <v>1439</v>
      </c>
      <c r="O883" t="s">
        <v>82</v>
      </c>
      <c r="P883" t="str">
        <f>"4170037888                    "</f>
        <v xml:space="preserve">4170037888                    </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21.38</v>
      </c>
      <c r="AR883">
        <v>0</v>
      </c>
      <c r="AS883">
        <v>0</v>
      </c>
      <c r="AT883">
        <v>0</v>
      </c>
      <c r="AU883">
        <v>0</v>
      </c>
      <c r="AV883">
        <v>0</v>
      </c>
      <c r="AW883">
        <v>0</v>
      </c>
      <c r="AX883">
        <v>0</v>
      </c>
      <c r="AY883">
        <v>0</v>
      </c>
      <c r="AZ883">
        <v>0</v>
      </c>
      <c r="BA883">
        <v>0</v>
      </c>
      <c r="BB883">
        <v>0</v>
      </c>
      <c r="BC883">
        <v>0</v>
      </c>
      <c r="BD883">
        <v>0</v>
      </c>
      <c r="BE883">
        <v>0</v>
      </c>
      <c r="BF883">
        <v>0</v>
      </c>
      <c r="BG883">
        <v>0</v>
      </c>
      <c r="BH883">
        <v>1</v>
      </c>
      <c r="BI883">
        <v>1</v>
      </c>
      <c r="BJ883">
        <v>0.2</v>
      </c>
      <c r="BK883">
        <v>1</v>
      </c>
      <c r="BL883">
        <v>69.98</v>
      </c>
      <c r="BM883">
        <v>10.5</v>
      </c>
      <c r="BN883">
        <v>80.48</v>
      </c>
      <c r="BO883">
        <v>80.48</v>
      </c>
      <c r="BQ883" t="s">
        <v>1440</v>
      </c>
      <c r="BR883" t="s">
        <v>84</v>
      </c>
      <c r="BS883" s="3">
        <v>45790</v>
      </c>
      <c r="BT883" s="4">
        <v>0.34027777777777779</v>
      </c>
      <c r="BU883" t="s">
        <v>1644</v>
      </c>
      <c r="BV883" t="s">
        <v>86</v>
      </c>
      <c r="BY883">
        <v>1200</v>
      </c>
      <c r="CA883" t="s">
        <v>182</v>
      </c>
      <c r="CC883" t="s">
        <v>178</v>
      </c>
      <c r="CD883">
        <v>6021</v>
      </c>
      <c r="CE883" t="s">
        <v>88</v>
      </c>
      <c r="CF883" s="3">
        <v>45790</v>
      </c>
      <c r="CI883">
        <v>1</v>
      </c>
      <c r="CJ883">
        <v>1</v>
      </c>
      <c r="CK883">
        <v>21</v>
      </c>
      <c r="CL883" t="s">
        <v>89</v>
      </c>
    </row>
    <row r="884" spans="1:90" x14ac:dyDescent="0.3">
      <c r="A884" t="s">
        <v>72</v>
      </c>
      <c r="B884" t="s">
        <v>73</v>
      </c>
      <c r="C884" t="s">
        <v>74</v>
      </c>
      <c r="E884" t="str">
        <f>"080065320191"</f>
        <v>080065320191</v>
      </c>
      <c r="F884" s="3">
        <v>45789</v>
      </c>
      <c r="G884">
        <v>202602</v>
      </c>
      <c r="H884" t="s">
        <v>75</v>
      </c>
      <c r="I884" t="s">
        <v>76</v>
      </c>
      <c r="J884" t="s">
        <v>77</v>
      </c>
      <c r="K884" t="s">
        <v>78</v>
      </c>
      <c r="L884" t="s">
        <v>79</v>
      </c>
      <c r="M884" t="s">
        <v>80</v>
      </c>
      <c r="N884" t="s">
        <v>452</v>
      </c>
      <c r="O884" t="s">
        <v>82</v>
      </c>
      <c r="P884" t="str">
        <f>"4170037723                    "</f>
        <v xml:space="preserve">4170037723                    </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21.38</v>
      </c>
      <c r="AR884">
        <v>0</v>
      </c>
      <c r="AS884">
        <v>0</v>
      </c>
      <c r="AT884">
        <v>0</v>
      </c>
      <c r="AU884">
        <v>0</v>
      </c>
      <c r="AV884">
        <v>0</v>
      </c>
      <c r="AW884">
        <v>0</v>
      </c>
      <c r="AX884">
        <v>0</v>
      </c>
      <c r="AY884">
        <v>0</v>
      </c>
      <c r="AZ884">
        <v>0</v>
      </c>
      <c r="BA884">
        <v>0</v>
      </c>
      <c r="BB884">
        <v>0</v>
      </c>
      <c r="BC884">
        <v>0</v>
      </c>
      <c r="BD884">
        <v>0</v>
      </c>
      <c r="BE884">
        <v>0</v>
      </c>
      <c r="BF884">
        <v>0</v>
      </c>
      <c r="BG884">
        <v>0</v>
      </c>
      <c r="BH884">
        <v>1</v>
      </c>
      <c r="BI884">
        <v>1</v>
      </c>
      <c r="BJ884">
        <v>0.2</v>
      </c>
      <c r="BK884">
        <v>1</v>
      </c>
      <c r="BL884">
        <v>69.98</v>
      </c>
      <c r="BM884">
        <v>10.5</v>
      </c>
      <c r="BN884">
        <v>80.48</v>
      </c>
      <c r="BO884">
        <v>80.48</v>
      </c>
      <c r="BQ884" t="s">
        <v>453</v>
      </c>
      <c r="BR884" t="s">
        <v>84</v>
      </c>
      <c r="BS884" s="3">
        <v>45790</v>
      </c>
      <c r="BT884" s="4">
        <v>0.38541666666666669</v>
      </c>
      <c r="BU884" t="s">
        <v>1645</v>
      </c>
      <c r="BV884" t="s">
        <v>86</v>
      </c>
      <c r="BY884">
        <v>1200</v>
      </c>
      <c r="CA884" t="s">
        <v>160</v>
      </c>
      <c r="CC884" t="s">
        <v>80</v>
      </c>
      <c r="CD884">
        <v>3610</v>
      </c>
      <c r="CE884" t="s">
        <v>88</v>
      </c>
      <c r="CF884" s="3">
        <v>45791</v>
      </c>
      <c r="CI884">
        <v>1</v>
      </c>
      <c r="CJ884">
        <v>1</v>
      </c>
      <c r="CK884">
        <v>21</v>
      </c>
      <c r="CL884" t="s">
        <v>89</v>
      </c>
    </row>
    <row r="885" spans="1:90" x14ac:dyDescent="0.3">
      <c r="A885" t="s">
        <v>72</v>
      </c>
      <c r="B885" t="s">
        <v>73</v>
      </c>
      <c r="C885" t="s">
        <v>74</v>
      </c>
      <c r="E885" t="str">
        <f>"080065320212"</f>
        <v>080065320212</v>
      </c>
      <c r="F885" s="3">
        <v>45789</v>
      </c>
      <c r="G885">
        <v>202602</v>
      </c>
      <c r="H885" t="s">
        <v>75</v>
      </c>
      <c r="I885" t="s">
        <v>76</v>
      </c>
      <c r="J885" t="s">
        <v>77</v>
      </c>
      <c r="K885" t="s">
        <v>78</v>
      </c>
      <c r="L885" t="s">
        <v>136</v>
      </c>
      <c r="M885" t="s">
        <v>137</v>
      </c>
      <c r="N885" t="s">
        <v>161</v>
      </c>
      <c r="O885" t="s">
        <v>82</v>
      </c>
      <c r="P885" t="str">
        <f>"4170037881                    "</f>
        <v xml:space="preserve">4170037881                    </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21.38</v>
      </c>
      <c r="AR885">
        <v>0</v>
      </c>
      <c r="AS885">
        <v>0</v>
      </c>
      <c r="AT885">
        <v>0</v>
      </c>
      <c r="AU885">
        <v>0</v>
      </c>
      <c r="AV885">
        <v>0</v>
      </c>
      <c r="AW885">
        <v>0</v>
      </c>
      <c r="AX885">
        <v>0</v>
      </c>
      <c r="AY885">
        <v>0</v>
      </c>
      <c r="AZ885">
        <v>0</v>
      </c>
      <c r="BA885">
        <v>0</v>
      </c>
      <c r="BB885">
        <v>0</v>
      </c>
      <c r="BC885">
        <v>0</v>
      </c>
      <c r="BD885">
        <v>0</v>
      </c>
      <c r="BE885">
        <v>0</v>
      </c>
      <c r="BF885">
        <v>0</v>
      </c>
      <c r="BG885">
        <v>0</v>
      </c>
      <c r="BH885">
        <v>1</v>
      </c>
      <c r="BI885">
        <v>2</v>
      </c>
      <c r="BJ885">
        <v>1.7</v>
      </c>
      <c r="BK885">
        <v>2</v>
      </c>
      <c r="BL885">
        <v>69.98</v>
      </c>
      <c r="BM885">
        <v>10.5</v>
      </c>
      <c r="BN885">
        <v>80.48</v>
      </c>
      <c r="BO885">
        <v>80.48</v>
      </c>
      <c r="BQ885" t="s">
        <v>162</v>
      </c>
      <c r="BR885" t="s">
        <v>84</v>
      </c>
      <c r="BS885" s="3">
        <v>45790</v>
      </c>
      <c r="BT885" s="4">
        <v>0.43472222222222223</v>
      </c>
      <c r="BU885" t="s">
        <v>1646</v>
      </c>
      <c r="BV885" t="s">
        <v>86</v>
      </c>
      <c r="BY885">
        <v>8512</v>
      </c>
      <c r="CA885" t="s">
        <v>575</v>
      </c>
      <c r="CC885" t="s">
        <v>137</v>
      </c>
      <c r="CD885" s="5" t="s">
        <v>165</v>
      </c>
      <c r="CE885" t="s">
        <v>116</v>
      </c>
      <c r="CF885" s="3">
        <v>45790</v>
      </c>
      <c r="CI885">
        <v>1</v>
      </c>
      <c r="CJ885">
        <v>1</v>
      </c>
      <c r="CK885">
        <v>21</v>
      </c>
      <c r="CL885" t="s">
        <v>89</v>
      </c>
    </row>
    <row r="886" spans="1:90" x14ac:dyDescent="0.3">
      <c r="A886" t="s">
        <v>72</v>
      </c>
      <c r="B886" t="s">
        <v>73</v>
      </c>
      <c r="C886" t="s">
        <v>74</v>
      </c>
      <c r="E886" t="str">
        <f>"080065320216"</f>
        <v>080065320216</v>
      </c>
      <c r="F886" s="3">
        <v>45789</v>
      </c>
      <c r="G886">
        <v>202602</v>
      </c>
      <c r="H886" t="s">
        <v>75</v>
      </c>
      <c r="I886" t="s">
        <v>76</v>
      </c>
      <c r="J886" t="s">
        <v>77</v>
      </c>
      <c r="K886" t="s">
        <v>78</v>
      </c>
      <c r="L886" t="s">
        <v>90</v>
      </c>
      <c r="M886" t="s">
        <v>91</v>
      </c>
      <c r="N886" t="s">
        <v>543</v>
      </c>
      <c r="O886" t="s">
        <v>82</v>
      </c>
      <c r="P886" t="str">
        <f>"4170037737                    "</f>
        <v xml:space="preserve">4170037737                    </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21.38</v>
      </c>
      <c r="AR886">
        <v>0</v>
      </c>
      <c r="AS886">
        <v>0</v>
      </c>
      <c r="AT886">
        <v>0</v>
      </c>
      <c r="AU886">
        <v>0</v>
      </c>
      <c r="AV886">
        <v>0</v>
      </c>
      <c r="AW886">
        <v>0</v>
      </c>
      <c r="AX886">
        <v>0</v>
      </c>
      <c r="AY886">
        <v>0</v>
      </c>
      <c r="AZ886">
        <v>0</v>
      </c>
      <c r="BA886">
        <v>0</v>
      </c>
      <c r="BB886">
        <v>0</v>
      </c>
      <c r="BC886">
        <v>0</v>
      </c>
      <c r="BD886">
        <v>0</v>
      </c>
      <c r="BE886">
        <v>0</v>
      </c>
      <c r="BF886">
        <v>0</v>
      </c>
      <c r="BG886">
        <v>0</v>
      </c>
      <c r="BH886">
        <v>1</v>
      </c>
      <c r="BI886">
        <v>1</v>
      </c>
      <c r="BJ886">
        <v>0.2</v>
      </c>
      <c r="BK886">
        <v>1</v>
      </c>
      <c r="BL886">
        <v>69.98</v>
      </c>
      <c r="BM886">
        <v>10.5</v>
      </c>
      <c r="BN886">
        <v>80.48</v>
      </c>
      <c r="BO886">
        <v>80.48</v>
      </c>
      <c r="BQ886" t="s">
        <v>544</v>
      </c>
      <c r="BR886" t="s">
        <v>84</v>
      </c>
      <c r="BS886" s="3">
        <v>45790</v>
      </c>
      <c r="BT886" s="4">
        <v>0.35555555555555557</v>
      </c>
      <c r="BU886" t="s">
        <v>1647</v>
      </c>
      <c r="BV886" t="s">
        <v>86</v>
      </c>
      <c r="BY886">
        <v>1200</v>
      </c>
      <c r="CA886" t="s">
        <v>271</v>
      </c>
      <c r="CC886" t="s">
        <v>91</v>
      </c>
      <c r="CD886">
        <v>6001</v>
      </c>
      <c r="CE886" t="s">
        <v>88</v>
      </c>
      <c r="CF886" s="3">
        <v>45790</v>
      </c>
      <c r="CI886">
        <v>1</v>
      </c>
      <c r="CJ886">
        <v>1</v>
      </c>
      <c r="CK886">
        <v>21</v>
      </c>
      <c r="CL886" t="s">
        <v>89</v>
      </c>
    </row>
    <row r="887" spans="1:90" x14ac:dyDescent="0.3">
      <c r="A887" t="s">
        <v>72</v>
      </c>
      <c r="B887" t="s">
        <v>73</v>
      </c>
      <c r="C887" t="s">
        <v>74</v>
      </c>
      <c r="E887" t="str">
        <f>"080065320267"</f>
        <v>080065320267</v>
      </c>
      <c r="F887" s="3">
        <v>45789</v>
      </c>
      <c r="G887">
        <v>202602</v>
      </c>
      <c r="H887" t="s">
        <v>75</v>
      </c>
      <c r="I887" t="s">
        <v>76</v>
      </c>
      <c r="J887" t="s">
        <v>77</v>
      </c>
      <c r="K887" t="s">
        <v>78</v>
      </c>
      <c r="L887" t="s">
        <v>90</v>
      </c>
      <c r="M887" t="s">
        <v>91</v>
      </c>
      <c r="N887" t="s">
        <v>476</v>
      </c>
      <c r="O887" t="s">
        <v>82</v>
      </c>
      <c r="P887" t="str">
        <f>"4170037734                    "</f>
        <v xml:space="preserve">4170037734                    </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21.38</v>
      </c>
      <c r="AR887">
        <v>0</v>
      </c>
      <c r="AS887">
        <v>0</v>
      </c>
      <c r="AT887">
        <v>0</v>
      </c>
      <c r="AU887">
        <v>0</v>
      </c>
      <c r="AV887">
        <v>0</v>
      </c>
      <c r="AW887">
        <v>0</v>
      </c>
      <c r="AX887">
        <v>0</v>
      </c>
      <c r="AY887">
        <v>0</v>
      </c>
      <c r="AZ887">
        <v>0</v>
      </c>
      <c r="BA887">
        <v>0</v>
      </c>
      <c r="BB887">
        <v>0</v>
      </c>
      <c r="BC887">
        <v>0</v>
      </c>
      <c r="BD887">
        <v>0</v>
      </c>
      <c r="BE887">
        <v>0</v>
      </c>
      <c r="BF887">
        <v>0</v>
      </c>
      <c r="BG887">
        <v>0</v>
      </c>
      <c r="BH887">
        <v>1</v>
      </c>
      <c r="BI887">
        <v>1</v>
      </c>
      <c r="BJ887">
        <v>0.2</v>
      </c>
      <c r="BK887">
        <v>1</v>
      </c>
      <c r="BL887">
        <v>69.98</v>
      </c>
      <c r="BM887">
        <v>10.5</v>
      </c>
      <c r="BN887">
        <v>80.48</v>
      </c>
      <c r="BO887">
        <v>80.48</v>
      </c>
      <c r="BQ887" t="s">
        <v>477</v>
      </c>
      <c r="BR887" t="s">
        <v>84</v>
      </c>
      <c r="BS887" s="3">
        <v>45790</v>
      </c>
      <c r="BT887" s="4">
        <v>0.39305555555555555</v>
      </c>
      <c r="BU887" t="s">
        <v>478</v>
      </c>
      <c r="BV887" t="s">
        <v>86</v>
      </c>
      <c r="BY887">
        <v>1200</v>
      </c>
      <c r="CA887" t="s">
        <v>1648</v>
      </c>
      <c r="CC887" t="s">
        <v>91</v>
      </c>
      <c r="CD887">
        <v>6001</v>
      </c>
      <c r="CE887" t="s">
        <v>88</v>
      </c>
      <c r="CF887" s="3">
        <v>45790</v>
      </c>
      <c r="CI887">
        <v>1</v>
      </c>
      <c r="CJ887">
        <v>1</v>
      </c>
      <c r="CK887">
        <v>21</v>
      </c>
      <c r="CL887" t="s">
        <v>89</v>
      </c>
    </row>
    <row r="888" spans="1:90" x14ac:dyDescent="0.3">
      <c r="A888" t="s">
        <v>72</v>
      </c>
      <c r="B888" t="s">
        <v>73</v>
      </c>
      <c r="C888" t="s">
        <v>74</v>
      </c>
      <c r="E888" t="str">
        <f>"080065320271"</f>
        <v>080065320271</v>
      </c>
      <c r="F888" s="3">
        <v>45789</v>
      </c>
      <c r="G888">
        <v>202602</v>
      </c>
      <c r="H888" t="s">
        <v>75</v>
      </c>
      <c r="I888" t="s">
        <v>76</v>
      </c>
      <c r="J888" t="s">
        <v>77</v>
      </c>
      <c r="K888" t="s">
        <v>78</v>
      </c>
      <c r="L888" t="s">
        <v>151</v>
      </c>
      <c r="M888" t="s">
        <v>152</v>
      </c>
      <c r="N888" t="s">
        <v>124</v>
      </c>
      <c r="O888" t="s">
        <v>82</v>
      </c>
      <c r="P888" t="str">
        <f>"4170037717                    "</f>
        <v xml:space="preserve">4170037717                    </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41.43</v>
      </c>
      <c r="AR888">
        <v>0</v>
      </c>
      <c r="AS888">
        <v>0</v>
      </c>
      <c r="AT888">
        <v>0</v>
      </c>
      <c r="AU888">
        <v>0</v>
      </c>
      <c r="AV888">
        <v>0</v>
      </c>
      <c r="AW888">
        <v>0</v>
      </c>
      <c r="AX888">
        <v>0</v>
      </c>
      <c r="AY888">
        <v>0</v>
      </c>
      <c r="AZ888">
        <v>0</v>
      </c>
      <c r="BA888">
        <v>0</v>
      </c>
      <c r="BB888">
        <v>0</v>
      </c>
      <c r="BC888">
        <v>0</v>
      </c>
      <c r="BD888">
        <v>0</v>
      </c>
      <c r="BE888">
        <v>0</v>
      </c>
      <c r="BF888">
        <v>0</v>
      </c>
      <c r="BG888">
        <v>0</v>
      </c>
      <c r="BH888">
        <v>1</v>
      </c>
      <c r="BI888">
        <v>1</v>
      </c>
      <c r="BJ888">
        <v>0.6</v>
      </c>
      <c r="BK888">
        <v>1</v>
      </c>
      <c r="BL888">
        <v>135.59</v>
      </c>
      <c r="BM888">
        <v>20.34</v>
      </c>
      <c r="BN888">
        <v>155.93</v>
      </c>
      <c r="BO888">
        <v>155.93</v>
      </c>
      <c r="BQ888" t="s">
        <v>125</v>
      </c>
      <c r="BR888" t="s">
        <v>84</v>
      </c>
      <c r="BS888" s="3">
        <v>45790</v>
      </c>
      <c r="BT888" s="4">
        <v>0.42291666666666666</v>
      </c>
      <c r="BU888" t="s">
        <v>274</v>
      </c>
      <c r="BV888" t="s">
        <v>86</v>
      </c>
      <c r="BY888">
        <v>3192</v>
      </c>
      <c r="CA888" t="s">
        <v>156</v>
      </c>
      <c r="CC888" t="s">
        <v>152</v>
      </c>
      <c r="CD888">
        <v>1900</v>
      </c>
      <c r="CE888" t="s">
        <v>116</v>
      </c>
      <c r="CF888" s="3">
        <v>45790</v>
      </c>
      <c r="CI888">
        <v>1</v>
      </c>
      <c r="CJ888">
        <v>1</v>
      </c>
      <c r="CK888">
        <v>23</v>
      </c>
      <c r="CL888" t="s">
        <v>89</v>
      </c>
    </row>
    <row r="889" spans="1:90" x14ac:dyDescent="0.3">
      <c r="A889" t="s">
        <v>72</v>
      </c>
      <c r="B889" t="s">
        <v>73</v>
      </c>
      <c r="C889" t="s">
        <v>74</v>
      </c>
      <c r="E889" t="str">
        <f>"080065320301"</f>
        <v>080065320301</v>
      </c>
      <c r="F889" s="3">
        <v>45789</v>
      </c>
      <c r="G889">
        <v>202602</v>
      </c>
      <c r="H889" t="s">
        <v>75</v>
      </c>
      <c r="I889" t="s">
        <v>76</v>
      </c>
      <c r="J889" t="s">
        <v>77</v>
      </c>
      <c r="K889" t="s">
        <v>78</v>
      </c>
      <c r="L889" t="s">
        <v>130</v>
      </c>
      <c r="M889" t="s">
        <v>131</v>
      </c>
      <c r="N889" t="s">
        <v>1649</v>
      </c>
      <c r="O889" t="s">
        <v>82</v>
      </c>
      <c r="P889" t="str">
        <f>"4170037945                    "</f>
        <v xml:space="preserve">4170037945                    </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21.38</v>
      </c>
      <c r="AR889">
        <v>0</v>
      </c>
      <c r="AS889">
        <v>0</v>
      </c>
      <c r="AT889">
        <v>0</v>
      </c>
      <c r="AU889">
        <v>0</v>
      </c>
      <c r="AV889">
        <v>0</v>
      </c>
      <c r="AW889">
        <v>0</v>
      </c>
      <c r="AX889">
        <v>0</v>
      </c>
      <c r="AY889">
        <v>0</v>
      </c>
      <c r="AZ889">
        <v>0</v>
      </c>
      <c r="BA889">
        <v>0</v>
      </c>
      <c r="BB889">
        <v>0</v>
      </c>
      <c r="BC889">
        <v>0</v>
      </c>
      <c r="BD889">
        <v>0</v>
      </c>
      <c r="BE889">
        <v>0</v>
      </c>
      <c r="BF889">
        <v>0</v>
      </c>
      <c r="BG889">
        <v>0</v>
      </c>
      <c r="BH889">
        <v>1</v>
      </c>
      <c r="BI889">
        <v>1</v>
      </c>
      <c r="BJ889">
        <v>0.2</v>
      </c>
      <c r="BK889">
        <v>1</v>
      </c>
      <c r="BL889">
        <v>69.98</v>
      </c>
      <c r="BM889">
        <v>10.5</v>
      </c>
      <c r="BN889">
        <v>80.48</v>
      </c>
      <c r="BO889">
        <v>80.48</v>
      </c>
      <c r="BQ889" t="s">
        <v>1650</v>
      </c>
      <c r="BR889" t="s">
        <v>84</v>
      </c>
      <c r="BS889" s="3">
        <v>45790</v>
      </c>
      <c r="BT889" s="4">
        <v>0.4284722222222222</v>
      </c>
      <c r="BU889" t="s">
        <v>1651</v>
      </c>
      <c r="BV889" t="s">
        <v>86</v>
      </c>
      <c r="BY889">
        <v>1200</v>
      </c>
      <c r="CA889" t="s">
        <v>784</v>
      </c>
      <c r="CC889" t="s">
        <v>131</v>
      </c>
      <c r="CD889">
        <v>7405</v>
      </c>
      <c r="CE889" t="s">
        <v>88</v>
      </c>
      <c r="CF889" s="3">
        <v>45791</v>
      </c>
      <c r="CI889">
        <v>1</v>
      </c>
      <c r="CJ889">
        <v>1</v>
      </c>
      <c r="CK889">
        <v>21</v>
      </c>
      <c r="CL889" t="s">
        <v>89</v>
      </c>
    </row>
    <row r="890" spans="1:90" x14ac:dyDescent="0.3">
      <c r="A890" t="s">
        <v>72</v>
      </c>
      <c r="B890" t="s">
        <v>73</v>
      </c>
      <c r="C890" t="s">
        <v>74</v>
      </c>
      <c r="E890" t="str">
        <f>"080065320304"</f>
        <v>080065320304</v>
      </c>
      <c r="F890" s="3">
        <v>45789</v>
      </c>
      <c r="G890">
        <v>202602</v>
      </c>
      <c r="H890" t="s">
        <v>75</v>
      </c>
      <c r="I890" t="s">
        <v>76</v>
      </c>
      <c r="J890" t="s">
        <v>77</v>
      </c>
      <c r="K890" t="s">
        <v>78</v>
      </c>
      <c r="L890" t="s">
        <v>90</v>
      </c>
      <c r="M890" t="s">
        <v>91</v>
      </c>
      <c r="N890" t="s">
        <v>563</v>
      </c>
      <c r="O890" t="s">
        <v>82</v>
      </c>
      <c r="P890" t="str">
        <f>"4170037891                    "</f>
        <v xml:space="preserve">4170037891                    </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64.12</v>
      </c>
      <c r="AR890">
        <v>0</v>
      </c>
      <c r="AS890">
        <v>0</v>
      </c>
      <c r="AT890">
        <v>0</v>
      </c>
      <c r="AU890">
        <v>0</v>
      </c>
      <c r="AV890">
        <v>0</v>
      </c>
      <c r="AW890">
        <v>0</v>
      </c>
      <c r="AX890">
        <v>0</v>
      </c>
      <c r="AY890">
        <v>0</v>
      </c>
      <c r="AZ890">
        <v>0</v>
      </c>
      <c r="BA890">
        <v>0</v>
      </c>
      <c r="BB890">
        <v>0</v>
      </c>
      <c r="BC890">
        <v>0</v>
      </c>
      <c r="BD890">
        <v>0</v>
      </c>
      <c r="BE890">
        <v>0</v>
      </c>
      <c r="BF890">
        <v>0</v>
      </c>
      <c r="BG890">
        <v>0</v>
      </c>
      <c r="BH890">
        <v>1</v>
      </c>
      <c r="BI890">
        <v>6</v>
      </c>
      <c r="BJ890">
        <v>1.7</v>
      </c>
      <c r="BK890">
        <v>6</v>
      </c>
      <c r="BL890">
        <v>209.84</v>
      </c>
      <c r="BM890">
        <v>31.48</v>
      </c>
      <c r="BN890">
        <v>241.32</v>
      </c>
      <c r="BO890">
        <v>241.32</v>
      </c>
      <c r="BQ890" t="s">
        <v>564</v>
      </c>
      <c r="BR890" t="s">
        <v>84</v>
      </c>
      <c r="BS890" s="3">
        <v>45790</v>
      </c>
      <c r="BT890" s="4">
        <v>0.35208333333333336</v>
      </c>
      <c r="BU890" t="s">
        <v>1621</v>
      </c>
      <c r="BV890" t="s">
        <v>86</v>
      </c>
      <c r="BY890">
        <v>8512</v>
      </c>
      <c r="CA890" t="s">
        <v>1622</v>
      </c>
      <c r="CC890" t="s">
        <v>91</v>
      </c>
      <c r="CD890">
        <v>6001</v>
      </c>
      <c r="CE890" t="s">
        <v>116</v>
      </c>
      <c r="CF890" s="3">
        <v>45790</v>
      </c>
      <c r="CI890">
        <v>1</v>
      </c>
      <c r="CJ890">
        <v>1</v>
      </c>
      <c r="CK890">
        <v>21</v>
      </c>
      <c r="CL890" t="s">
        <v>89</v>
      </c>
    </row>
    <row r="891" spans="1:90" x14ac:dyDescent="0.3">
      <c r="A891" t="s">
        <v>72</v>
      </c>
      <c r="B891" t="s">
        <v>73</v>
      </c>
      <c r="C891" t="s">
        <v>74</v>
      </c>
      <c r="E891" t="str">
        <f>"080065320322"</f>
        <v>080065320322</v>
      </c>
      <c r="F891" s="3">
        <v>45789</v>
      </c>
      <c r="G891">
        <v>202602</v>
      </c>
      <c r="H891" t="s">
        <v>75</v>
      </c>
      <c r="I891" t="s">
        <v>76</v>
      </c>
      <c r="J891" t="s">
        <v>77</v>
      </c>
      <c r="K891" t="s">
        <v>78</v>
      </c>
      <c r="L891" t="s">
        <v>90</v>
      </c>
      <c r="M891" t="s">
        <v>91</v>
      </c>
      <c r="N891" t="s">
        <v>748</v>
      </c>
      <c r="O891" t="s">
        <v>82</v>
      </c>
      <c r="P891" t="str">
        <f>"4170037784                    "</f>
        <v xml:space="preserve">4170037784                    </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21.38</v>
      </c>
      <c r="AR891">
        <v>0</v>
      </c>
      <c r="AS891">
        <v>0</v>
      </c>
      <c r="AT891">
        <v>0</v>
      </c>
      <c r="AU891">
        <v>0</v>
      </c>
      <c r="AV891">
        <v>0</v>
      </c>
      <c r="AW891">
        <v>0</v>
      </c>
      <c r="AX891">
        <v>0</v>
      </c>
      <c r="AY891">
        <v>0</v>
      </c>
      <c r="AZ891">
        <v>0</v>
      </c>
      <c r="BA891">
        <v>0</v>
      </c>
      <c r="BB891">
        <v>0</v>
      </c>
      <c r="BC891">
        <v>0</v>
      </c>
      <c r="BD891">
        <v>0</v>
      </c>
      <c r="BE891">
        <v>0</v>
      </c>
      <c r="BF891">
        <v>0</v>
      </c>
      <c r="BG891">
        <v>0</v>
      </c>
      <c r="BH891">
        <v>1</v>
      </c>
      <c r="BI891">
        <v>1</v>
      </c>
      <c r="BJ891">
        <v>0.2</v>
      </c>
      <c r="BK891">
        <v>1</v>
      </c>
      <c r="BL891">
        <v>69.98</v>
      </c>
      <c r="BM891">
        <v>10.5</v>
      </c>
      <c r="BN891">
        <v>80.48</v>
      </c>
      <c r="BO891">
        <v>80.48</v>
      </c>
      <c r="BQ891" t="s">
        <v>1198</v>
      </c>
      <c r="BR891" t="s">
        <v>84</v>
      </c>
      <c r="BS891" s="3">
        <v>45790</v>
      </c>
      <c r="BT891" s="4">
        <v>0.32569444444444445</v>
      </c>
      <c r="BU891" t="s">
        <v>1652</v>
      </c>
      <c r="BV891" t="s">
        <v>86</v>
      </c>
      <c r="BY891">
        <v>1200</v>
      </c>
      <c r="CA891" t="s">
        <v>298</v>
      </c>
      <c r="CC891" t="s">
        <v>91</v>
      </c>
      <c r="CD891">
        <v>6045</v>
      </c>
      <c r="CE891" t="s">
        <v>88</v>
      </c>
      <c r="CF891" s="3">
        <v>45790</v>
      </c>
      <c r="CI891">
        <v>1</v>
      </c>
      <c r="CJ891">
        <v>1</v>
      </c>
      <c r="CK891">
        <v>21</v>
      </c>
      <c r="CL891" t="s">
        <v>89</v>
      </c>
    </row>
    <row r="892" spans="1:90" x14ac:dyDescent="0.3">
      <c r="A892" t="s">
        <v>72</v>
      </c>
      <c r="B892" t="s">
        <v>73</v>
      </c>
      <c r="C892" t="s">
        <v>74</v>
      </c>
      <c r="E892" t="str">
        <f>"080065320325"</f>
        <v>080065320325</v>
      </c>
      <c r="F892" s="3">
        <v>45789</v>
      </c>
      <c r="G892">
        <v>202602</v>
      </c>
      <c r="H892" t="s">
        <v>75</v>
      </c>
      <c r="I892" t="s">
        <v>76</v>
      </c>
      <c r="J892" t="s">
        <v>77</v>
      </c>
      <c r="K892" t="s">
        <v>78</v>
      </c>
      <c r="L892" t="s">
        <v>350</v>
      </c>
      <c r="M892" t="s">
        <v>351</v>
      </c>
      <c r="N892" t="s">
        <v>404</v>
      </c>
      <c r="O892" t="s">
        <v>82</v>
      </c>
      <c r="P892" t="str">
        <f>"4170037718                    "</f>
        <v xml:space="preserve">4170037718                    </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21.38</v>
      </c>
      <c r="AR892">
        <v>0</v>
      </c>
      <c r="AS892">
        <v>0</v>
      </c>
      <c r="AT892">
        <v>0</v>
      </c>
      <c r="AU892">
        <v>0</v>
      </c>
      <c r="AV892">
        <v>0</v>
      </c>
      <c r="AW892">
        <v>0</v>
      </c>
      <c r="AX892">
        <v>0</v>
      </c>
      <c r="AY892">
        <v>0</v>
      </c>
      <c r="AZ892">
        <v>0</v>
      </c>
      <c r="BA892">
        <v>0</v>
      </c>
      <c r="BB892">
        <v>0</v>
      </c>
      <c r="BC892">
        <v>0</v>
      </c>
      <c r="BD892">
        <v>0</v>
      </c>
      <c r="BE892">
        <v>0</v>
      </c>
      <c r="BF892">
        <v>0</v>
      </c>
      <c r="BG892">
        <v>0</v>
      </c>
      <c r="BH892">
        <v>1</v>
      </c>
      <c r="BI892">
        <v>2</v>
      </c>
      <c r="BJ892">
        <v>1.1000000000000001</v>
      </c>
      <c r="BK892">
        <v>2</v>
      </c>
      <c r="BL892">
        <v>69.98</v>
      </c>
      <c r="BM892">
        <v>10.5</v>
      </c>
      <c r="BN892">
        <v>80.48</v>
      </c>
      <c r="BO892">
        <v>80.48</v>
      </c>
      <c r="BQ892" t="s">
        <v>405</v>
      </c>
      <c r="BR892" t="s">
        <v>84</v>
      </c>
      <c r="BS892" s="3">
        <v>45790</v>
      </c>
      <c r="BT892" s="4">
        <v>0.54791666666666672</v>
      </c>
      <c r="BU892" t="s">
        <v>1588</v>
      </c>
      <c r="BV892" t="s">
        <v>89</v>
      </c>
      <c r="BW892" t="s">
        <v>296</v>
      </c>
      <c r="BX892" t="s">
        <v>325</v>
      </c>
      <c r="BY892">
        <v>5320</v>
      </c>
      <c r="CA892" t="s">
        <v>326</v>
      </c>
      <c r="CC892" t="s">
        <v>351</v>
      </c>
      <c r="CD892">
        <v>4052</v>
      </c>
      <c r="CE892" t="s">
        <v>116</v>
      </c>
      <c r="CF892" s="3">
        <v>45791</v>
      </c>
      <c r="CI892">
        <v>1</v>
      </c>
      <c r="CJ892">
        <v>1</v>
      </c>
      <c r="CK892">
        <v>21</v>
      </c>
      <c r="CL892" t="s">
        <v>89</v>
      </c>
    </row>
    <row r="893" spans="1:90" x14ac:dyDescent="0.3">
      <c r="A893" t="s">
        <v>72</v>
      </c>
      <c r="B893" t="s">
        <v>73</v>
      </c>
      <c r="C893" t="s">
        <v>74</v>
      </c>
      <c r="E893" t="str">
        <f>"080065320346"</f>
        <v>080065320346</v>
      </c>
      <c r="F893" s="3">
        <v>45789</v>
      </c>
      <c r="G893">
        <v>202602</v>
      </c>
      <c r="H893" t="s">
        <v>75</v>
      </c>
      <c r="I893" t="s">
        <v>76</v>
      </c>
      <c r="J893" t="s">
        <v>77</v>
      </c>
      <c r="K893" t="s">
        <v>78</v>
      </c>
      <c r="L893" t="s">
        <v>946</v>
      </c>
      <c r="M893" t="s">
        <v>947</v>
      </c>
      <c r="N893" t="s">
        <v>948</v>
      </c>
      <c r="O893" t="s">
        <v>82</v>
      </c>
      <c r="P893" t="str">
        <f>"4170037754                    "</f>
        <v xml:space="preserve">4170037754                    </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41.43</v>
      </c>
      <c r="AR893">
        <v>0</v>
      </c>
      <c r="AS893">
        <v>0</v>
      </c>
      <c r="AT893">
        <v>0</v>
      </c>
      <c r="AU893">
        <v>0</v>
      </c>
      <c r="AV893">
        <v>0</v>
      </c>
      <c r="AW893">
        <v>0</v>
      </c>
      <c r="AX893">
        <v>0</v>
      </c>
      <c r="AY893">
        <v>0</v>
      </c>
      <c r="AZ893">
        <v>0</v>
      </c>
      <c r="BA893">
        <v>0</v>
      </c>
      <c r="BB893">
        <v>0</v>
      </c>
      <c r="BC893">
        <v>0</v>
      </c>
      <c r="BD893">
        <v>0</v>
      </c>
      <c r="BE893">
        <v>0</v>
      </c>
      <c r="BF893">
        <v>0</v>
      </c>
      <c r="BG893">
        <v>0</v>
      </c>
      <c r="BH893">
        <v>1</v>
      </c>
      <c r="BI893">
        <v>1</v>
      </c>
      <c r="BJ893">
        <v>0.2</v>
      </c>
      <c r="BK893">
        <v>1</v>
      </c>
      <c r="BL893">
        <v>135.59</v>
      </c>
      <c r="BM893">
        <v>20.34</v>
      </c>
      <c r="BN893">
        <v>155.93</v>
      </c>
      <c r="BO893">
        <v>155.93</v>
      </c>
      <c r="BQ893" t="s">
        <v>949</v>
      </c>
      <c r="BR893" t="s">
        <v>84</v>
      </c>
      <c r="BS893" s="3">
        <v>45791</v>
      </c>
      <c r="BT893" s="4">
        <v>0.56666666666666665</v>
      </c>
      <c r="BU893" t="s">
        <v>950</v>
      </c>
      <c r="BV893" t="s">
        <v>86</v>
      </c>
      <c r="BY893">
        <v>1200</v>
      </c>
      <c r="CA893" t="s">
        <v>951</v>
      </c>
      <c r="CC893" t="s">
        <v>947</v>
      </c>
      <c r="CD893">
        <v>4490</v>
      </c>
      <c r="CE893" t="s">
        <v>88</v>
      </c>
      <c r="CF893" s="3">
        <v>45791</v>
      </c>
      <c r="CI893">
        <v>5</v>
      </c>
      <c r="CJ893">
        <v>2</v>
      </c>
      <c r="CK893">
        <v>23</v>
      </c>
      <c r="CL893" t="s">
        <v>89</v>
      </c>
    </row>
    <row r="894" spans="1:90" x14ac:dyDescent="0.3">
      <c r="A894" t="s">
        <v>72</v>
      </c>
      <c r="B894" t="s">
        <v>73</v>
      </c>
      <c r="C894" t="s">
        <v>74</v>
      </c>
      <c r="E894" t="str">
        <f>"080065320357"</f>
        <v>080065320357</v>
      </c>
      <c r="F894" s="3">
        <v>45789</v>
      </c>
      <c r="G894">
        <v>202602</v>
      </c>
      <c r="H894" t="s">
        <v>75</v>
      </c>
      <c r="I894" t="s">
        <v>76</v>
      </c>
      <c r="J894" t="s">
        <v>77</v>
      </c>
      <c r="K894" t="s">
        <v>78</v>
      </c>
      <c r="L894" t="s">
        <v>130</v>
      </c>
      <c r="M894" t="s">
        <v>131</v>
      </c>
      <c r="N894" t="s">
        <v>665</v>
      </c>
      <c r="O894" t="s">
        <v>82</v>
      </c>
      <c r="P894" t="str">
        <f>"4170037785                    "</f>
        <v xml:space="preserve">4170037785                    </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21.38</v>
      </c>
      <c r="AR894">
        <v>0</v>
      </c>
      <c r="AS894">
        <v>0</v>
      </c>
      <c r="AT894">
        <v>0</v>
      </c>
      <c r="AU894">
        <v>0</v>
      </c>
      <c r="AV894">
        <v>0</v>
      </c>
      <c r="AW894">
        <v>0</v>
      </c>
      <c r="AX894">
        <v>0</v>
      </c>
      <c r="AY894">
        <v>0</v>
      </c>
      <c r="AZ894">
        <v>0</v>
      </c>
      <c r="BA894">
        <v>0</v>
      </c>
      <c r="BB894">
        <v>0</v>
      </c>
      <c r="BC894">
        <v>0</v>
      </c>
      <c r="BD894">
        <v>0</v>
      </c>
      <c r="BE894">
        <v>0</v>
      </c>
      <c r="BF894">
        <v>0</v>
      </c>
      <c r="BG894">
        <v>0</v>
      </c>
      <c r="BH894">
        <v>1</v>
      </c>
      <c r="BI894">
        <v>1</v>
      </c>
      <c r="BJ894">
        <v>0.2</v>
      </c>
      <c r="BK894">
        <v>1</v>
      </c>
      <c r="BL894">
        <v>69.98</v>
      </c>
      <c r="BM894">
        <v>10.5</v>
      </c>
      <c r="BN894">
        <v>80.48</v>
      </c>
      <c r="BO894">
        <v>80.48</v>
      </c>
      <c r="BQ894" t="s">
        <v>666</v>
      </c>
      <c r="BR894" t="s">
        <v>84</v>
      </c>
      <c r="BS894" s="3">
        <v>45790</v>
      </c>
      <c r="BT894" s="4">
        <v>0.43958333333333333</v>
      </c>
      <c r="BU894" t="s">
        <v>1653</v>
      </c>
      <c r="BV894" t="s">
        <v>89</v>
      </c>
      <c r="BW894" t="s">
        <v>340</v>
      </c>
      <c r="BX894" t="s">
        <v>618</v>
      </c>
      <c r="BY894">
        <v>1200</v>
      </c>
      <c r="CA894" t="s">
        <v>389</v>
      </c>
      <c r="CC894" t="s">
        <v>131</v>
      </c>
      <c r="CD894">
        <v>7535</v>
      </c>
      <c r="CE894" t="s">
        <v>88</v>
      </c>
      <c r="CF894" s="3">
        <v>45791</v>
      </c>
      <c r="CI894">
        <v>1</v>
      </c>
      <c r="CJ894">
        <v>1</v>
      </c>
      <c r="CK894">
        <v>21</v>
      </c>
      <c r="CL894" t="s">
        <v>89</v>
      </c>
    </row>
    <row r="895" spans="1:90" x14ac:dyDescent="0.3">
      <c r="A895" t="s">
        <v>72</v>
      </c>
      <c r="B895" t="s">
        <v>73</v>
      </c>
      <c r="C895" t="s">
        <v>74</v>
      </c>
      <c r="E895" t="str">
        <f>"080065320382"</f>
        <v>080065320382</v>
      </c>
      <c r="F895" s="3">
        <v>45789</v>
      </c>
      <c r="G895">
        <v>202602</v>
      </c>
      <c r="H895" t="s">
        <v>75</v>
      </c>
      <c r="I895" t="s">
        <v>76</v>
      </c>
      <c r="J895" t="s">
        <v>77</v>
      </c>
      <c r="K895" t="s">
        <v>78</v>
      </c>
      <c r="L895" t="s">
        <v>232</v>
      </c>
      <c r="M895" t="s">
        <v>233</v>
      </c>
      <c r="N895" t="s">
        <v>834</v>
      </c>
      <c r="O895" t="s">
        <v>82</v>
      </c>
      <c r="P895" t="str">
        <f>"4170037777                    "</f>
        <v xml:space="preserve">4170037777                    </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21.38</v>
      </c>
      <c r="AR895">
        <v>0</v>
      </c>
      <c r="AS895">
        <v>0</v>
      </c>
      <c r="AT895">
        <v>0</v>
      </c>
      <c r="AU895">
        <v>0</v>
      </c>
      <c r="AV895">
        <v>0</v>
      </c>
      <c r="AW895">
        <v>0</v>
      </c>
      <c r="AX895">
        <v>0</v>
      </c>
      <c r="AY895">
        <v>0</v>
      </c>
      <c r="AZ895">
        <v>0</v>
      </c>
      <c r="BA895">
        <v>0</v>
      </c>
      <c r="BB895">
        <v>0</v>
      </c>
      <c r="BC895">
        <v>0</v>
      </c>
      <c r="BD895">
        <v>0</v>
      </c>
      <c r="BE895">
        <v>0</v>
      </c>
      <c r="BF895">
        <v>0</v>
      </c>
      <c r="BG895">
        <v>0</v>
      </c>
      <c r="BH895">
        <v>1</v>
      </c>
      <c r="BI895">
        <v>1</v>
      </c>
      <c r="BJ895">
        <v>0.2</v>
      </c>
      <c r="BK895">
        <v>1</v>
      </c>
      <c r="BL895">
        <v>69.98</v>
      </c>
      <c r="BM895">
        <v>10.5</v>
      </c>
      <c r="BN895">
        <v>80.48</v>
      </c>
      <c r="BO895">
        <v>80.48</v>
      </c>
      <c r="BQ895" t="s">
        <v>835</v>
      </c>
      <c r="BR895" t="s">
        <v>84</v>
      </c>
      <c r="BS895" s="3">
        <v>45790</v>
      </c>
      <c r="BT895" s="4">
        <v>0.37291666666666667</v>
      </c>
      <c r="BU895" t="s">
        <v>1654</v>
      </c>
      <c r="BV895" t="s">
        <v>86</v>
      </c>
      <c r="BY895">
        <v>1200</v>
      </c>
      <c r="CA895" t="s">
        <v>258</v>
      </c>
      <c r="CC895" t="s">
        <v>233</v>
      </c>
      <c r="CD895" s="5" t="s">
        <v>238</v>
      </c>
      <c r="CE895" t="s">
        <v>88</v>
      </c>
      <c r="CF895" s="3">
        <v>45790</v>
      </c>
      <c r="CI895">
        <v>1</v>
      </c>
      <c r="CJ895">
        <v>1</v>
      </c>
      <c r="CK895">
        <v>21</v>
      </c>
      <c r="CL895" t="s">
        <v>89</v>
      </c>
    </row>
    <row r="896" spans="1:90" x14ac:dyDescent="0.3">
      <c r="A896" t="s">
        <v>72</v>
      </c>
      <c r="B896" t="s">
        <v>73</v>
      </c>
      <c r="C896" t="s">
        <v>74</v>
      </c>
      <c r="E896" t="str">
        <f>"080065320411"</f>
        <v>080065320411</v>
      </c>
      <c r="F896" s="3">
        <v>45789</v>
      </c>
      <c r="G896">
        <v>202602</v>
      </c>
      <c r="H896" t="s">
        <v>75</v>
      </c>
      <c r="I896" t="s">
        <v>76</v>
      </c>
      <c r="J896" t="s">
        <v>77</v>
      </c>
      <c r="K896" t="s">
        <v>78</v>
      </c>
      <c r="L896" t="s">
        <v>713</v>
      </c>
      <c r="M896" t="s">
        <v>714</v>
      </c>
      <c r="N896" t="s">
        <v>715</v>
      </c>
      <c r="O896" t="s">
        <v>82</v>
      </c>
      <c r="P896" t="str">
        <f>"4170037686                    "</f>
        <v xml:space="preserve">4170037686                    </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60.14</v>
      </c>
      <c r="AR896">
        <v>0</v>
      </c>
      <c r="AS896">
        <v>0</v>
      </c>
      <c r="AT896">
        <v>0</v>
      </c>
      <c r="AU896">
        <v>0</v>
      </c>
      <c r="AV896">
        <v>0</v>
      </c>
      <c r="AW896">
        <v>0</v>
      </c>
      <c r="AX896">
        <v>0</v>
      </c>
      <c r="AY896">
        <v>0</v>
      </c>
      <c r="AZ896">
        <v>0</v>
      </c>
      <c r="BA896">
        <v>0</v>
      </c>
      <c r="BB896">
        <v>0</v>
      </c>
      <c r="BC896">
        <v>0</v>
      </c>
      <c r="BD896">
        <v>0</v>
      </c>
      <c r="BE896">
        <v>0</v>
      </c>
      <c r="BF896">
        <v>0</v>
      </c>
      <c r="BG896">
        <v>0</v>
      </c>
      <c r="BH896">
        <v>1</v>
      </c>
      <c r="BI896">
        <v>2</v>
      </c>
      <c r="BJ896">
        <v>3</v>
      </c>
      <c r="BK896">
        <v>3</v>
      </c>
      <c r="BL896">
        <v>196.82</v>
      </c>
      <c r="BM896">
        <v>29.52</v>
      </c>
      <c r="BN896">
        <v>226.34</v>
      </c>
      <c r="BO896">
        <v>226.34</v>
      </c>
      <c r="BQ896" t="s">
        <v>716</v>
      </c>
      <c r="BR896" t="s">
        <v>84</v>
      </c>
      <c r="BS896" s="3">
        <v>45790</v>
      </c>
      <c r="BT896" s="4">
        <v>0.375</v>
      </c>
      <c r="BU896" t="s">
        <v>1655</v>
      </c>
      <c r="BV896" t="s">
        <v>86</v>
      </c>
      <c r="BY896">
        <v>15232</v>
      </c>
      <c r="CA896" t="s">
        <v>1585</v>
      </c>
      <c r="CC896" t="s">
        <v>714</v>
      </c>
      <c r="CD896">
        <v>6300</v>
      </c>
      <c r="CE896" t="s">
        <v>176</v>
      </c>
      <c r="CF896" s="3">
        <v>45790</v>
      </c>
      <c r="CI896">
        <v>2</v>
      </c>
      <c r="CJ896">
        <v>1</v>
      </c>
      <c r="CK896">
        <v>23</v>
      </c>
      <c r="CL896" t="s">
        <v>89</v>
      </c>
    </row>
    <row r="897" spans="1:90" x14ac:dyDescent="0.3">
      <c r="A897" t="s">
        <v>72</v>
      </c>
      <c r="B897" t="s">
        <v>73</v>
      </c>
      <c r="C897" t="s">
        <v>74</v>
      </c>
      <c r="E897" t="str">
        <f>"080065320436"</f>
        <v>080065320436</v>
      </c>
      <c r="F897" s="3">
        <v>45789</v>
      </c>
      <c r="G897">
        <v>202602</v>
      </c>
      <c r="H897" t="s">
        <v>75</v>
      </c>
      <c r="I897" t="s">
        <v>76</v>
      </c>
      <c r="J897" t="s">
        <v>77</v>
      </c>
      <c r="K897" t="s">
        <v>78</v>
      </c>
      <c r="L897" t="s">
        <v>103</v>
      </c>
      <c r="M897" t="s">
        <v>104</v>
      </c>
      <c r="N897" t="s">
        <v>105</v>
      </c>
      <c r="O897" t="s">
        <v>82</v>
      </c>
      <c r="P897" t="str">
        <f>"4170037790                    "</f>
        <v xml:space="preserve">4170037790                    </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21.38</v>
      </c>
      <c r="AR897">
        <v>0</v>
      </c>
      <c r="AS897">
        <v>0</v>
      </c>
      <c r="AT897">
        <v>0</v>
      </c>
      <c r="AU897">
        <v>0</v>
      </c>
      <c r="AV897">
        <v>0</v>
      </c>
      <c r="AW897">
        <v>0</v>
      </c>
      <c r="AX897">
        <v>0</v>
      </c>
      <c r="AY897">
        <v>0</v>
      </c>
      <c r="AZ897">
        <v>0</v>
      </c>
      <c r="BA897">
        <v>0</v>
      </c>
      <c r="BB897">
        <v>0</v>
      </c>
      <c r="BC897">
        <v>0</v>
      </c>
      <c r="BD897">
        <v>0</v>
      </c>
      <c r="BE897">
        <v>0</v>
      </c>
      <c r="BF897">
        <v>0</v>
      </c>
      <c r="BG897">
        <v>0</v>
      </c>
      <c r="BH897">
        <v>1</v>
      </c>
      <c r="BI897">
        <v>1</v>
      </c>
      <c r="BJ897">
        <v>1.1000000000000001</v>
      </c>
      <c r="BK897">
        <v>1.5</v>
      </c>
      <c r="BL897">
        <v>69.98</v>
      </c>
      <c r="BM897">
        <v>10.5</v>
      </c>
      <c r="BN897">
        <v>80.48</v>
      </c>
      <c r="BO897">
        <v>80.48</v>
      </c>
      <c r="BQ897" t="s">
        <v>106</v>
      </c>
      <c r="BR897" t="s">
        <v>84</v>
      </c>
      <c r="BS897" s="3">
        <v>45790</v>
      </c>
      <c r="BT897" s="4">
        <v>0.46180555555555558</v>
      </c>
      <c r="BU897" t="s">
        <v>107</v>
      </c>
      <c r="BV897" t="s">
        <v>86</v>
      </c>
      <c r="BY897">
        <v>5320</v>
      </c>
      <c r="CA897" t="s">
        <v>108</v>
      </c>
      <c r="CC897" t="s">
        <v>104</v>
      </c>
      <c r="CD897">
        <v>3201</v>
      </c>
      <c r="CE897" t="s">
        <v>116</v>
      </c>
      <c r="CF897" s="3">
        <v>45791</v>
      </c>
      <c r="CI897">
        <v>1</v>
      </c>
      <c r="CJ897">
        <v>1</v>
      </c>
      <c r="CK897">
        <v>21</v>
      </c>
      <c r="CL897" t="s">
        <v>89</v>
      </c>
    </row>
    <row r="898" spans="1:90" x14ac:dyDescent="0.3">
      <c r="A898" t="s">
        <v>72</v>
      </c>
      <c r="B898" t="s">
        <v>73</v>
      </c>
      <c r="C898" t="s">
        <v>74</v>
      </c>
      <c r="E898" t="str">
        <f>"080065320469"</f>
        <v>080065320469</v>
      </c>
      <c r="F898" s="3">
        <v>45789</v>
      </c>
      <c r="G898">
        <v>202602</v>
      </c>
      <c r="H898" t="s">
        <v>75</v>
      </c>
      <c r="I898" t="s">
        <v>76</v>
      </c>
      <c r="J898" t="s">
        <v>77</v>
      </c>
      <c r="K898" t="s">
        <v>78</v>
      </c>
      <c r="L898" t="s">
        <v>130</v>
      </c>
      <c r="M898" t="s">
        <v>131</v>
      </c>
      <c r="N898" t="s">
        <v>1619</v>
      </c>
      <c r="O898" t="s">
        <v>82</v>
      </c>
      <c r="P898" t="str">
        <f>"4170037679                    "</f>
        <v xml:space="preserve">4170037679                    </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64.12</v>
      </c>
      <c r="AR898">
        <v>0</v>
      </c>
      <c r="AS898">
        <v>0</v>
      </c>
      <c r="AT898">
        <v>0</v>
      </c>
      <c r="AU898">
        <v>0</v>
      </c>
      <c r="AV898">
        <v>0</v>
      </c>
      <c r="AW898">
        <v>0</v>
      </c>
      <c r="AX898">
        <v>0</v>
      </c>
      <c r="AY898">
        <v>0</v>
      </c>
      <c r="AZ898">
        <v>0</v>
      </c>
      <c r="BA898">
        <v>0</v>
      </c>
      <c r="BB898">
        <v>0</v>
      </c>
      <c r="BC898">
        <v>0</v>
      </c>
      <c r="BD898">
        <v>0</v>
      </c>
      <c r="BE898">
        <v>0</v>
      </c>
      <c r="BF898">
        <v>0</v>
      </c>
      <c r="BG898">
        <v>0</v>
      </c>
      <c r="BH898">
        <v>1</v>
      </c>
      <c r="BI898">
        <v>2</v>
      </c>
      <c r="BJ898">
        <v>5.9</v>
      </c>
      <c r="BK898">
        <v>6</v>
      </c>
      <c r="BL898">
        <v>209.84</v>
      </c>
      <c r="BM898">
        <v>31.48</v>
      </c>
      <c r="BN898">
        <v>241.32</v>
      </c>
      <c r="BO898">
        <v>241.32</v>
      </c>
      <c r="BQ898" t="s">
        <v>1620</v>
      </c>
      <c r="BR898" t="s">
        <v>84</v>
      </c>
      <c r="BS898" s="3">
        <v>45790</v>
      </c>
      <c r="BT898" s="4">
        <v>0.47499999999999998</v>
      </c>
      <c r="BU898" t="s">
        <v>1582</v>
      </c>
      <c r="BV898" t="s">
        <v>89</v>
      </c>
      <c r="BW898" t="s">
        <v>340</v>
      </c>
      <c r="BX898" t="s">
        <v>578</v>
      </c>
      <c r="BY898">
        <v>29406</v>
      </c>
      <c r="CA898" t="s">
        <v>784</v>
      </c>
      <c r="CC898" t="s">
        <v>131</v>
      </c>
      <c r="CD898">
        <v>7405</v>
      </c>
      <c r="CE898" t="s">
        <v>96</v>
      </c>
      <c r="CF898" s="3">
        <v>45791</v>
      </c>
      <c r="CI898">
        <v>1</v>
      </c>
      <c r="CJ898">
        <v>1</v>
      </c>
      <c r="CK898">
        <v>21</v>
      </c>
      <c r="CL898" t="s">
        <v>89</v>
      </c>
    </row>
    <row r="899" spans="1:90" x14ac:dyDescent="0.3">
      <c r="A899" t="s">
        <v>72</v>
      </c>
      <c r="B899" t="s">
        <v>73</v>
      </c>
      <c r="C899" t="s">
        <v>74</v>
      </c>
      <c r="E899" t="str">
        <f>"080065321467"</f>
        <v>080065321467</v>
      </c>
      <c r="F899" s="3">
        <v>45789</v>
      </c>
      <c r="G899">
        <v>202602</v>
      </c>
      <c r="H899" t="s">
        <v>75</v>
      </c>
      <c r="I899" t="s">
        <v>76</v>
      </c>
      <c r="J899" t="s">
        <v>77</v>
      </c>
      <c r="K899" t="s">
        <v>78</v>
      </c>
      <c r="L899" t="s">
        <v>136</v>
      </c>
      <c r="M899" t="s">
        <v>137</v>
      </c>
      <c r="N899" t="s">
        <v>1656</v>
      </c>
      <c r="O899" t="s">
        <v>82</v>
      </c>
      <c r="P899" t="str">
        <f>"4170037912                    "</f>
        <v xml:space="preserve">4170037912                    </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21.38</v>
      </c>
      <c r="AR899">
        <v>0</v>
      </c>
      <c r="AS899">
        <v>0</v>
      </c>
      <c r="AT899">
        <v>0</v>
      </c>
      <c r="AU899">
        <v>0</v>
      </c>
      <c r="AV899">
        <v>0</v>
      </c>
      <c r="AW899">
        <v>0</v>
      </c>
      <c r="AX899">
        <v>0</v>
      </c>
      <c r="AY899">
        <v>0</v>
      </c>
      <c r="AZ899">
        <v>0</v>
      </c>
      <c r="BA899">
        <v>0</v>
      </c>
      <c r="BB899">
        <v>0</v>
      </c>
      <c r="BC899">
        <v>0</v>
      </c>
      <c r="BD899">
        <v>0</v>
      </c>
      <c r="BE899">
        <v>0</v>
      </c>
      <c r="BF899">
        <v>0</v>
      </c>
      <c r="BG899">
        <v>0</v>
      </c>
      <c r="BH899">
        <v>1</v>
      </c>
      <c r="BI899">
        <v>1</v>
      </c>
      <c r="BJ899">
        <v>0.2</v>
      </c>
      <c r="BK899">
        <v>1</v>
      </c>
      <c r="BL899">
        <v>69.98</v>
      </c>
      <c r="BM899">
        <v>10.5</v>
      </c>
      <c r="BN899">
        <v>80.48</v>
      </c>
      <c r="BO899">
        <v>80.48</v>
      </c>
      <c r="BQ899" t="s">
        <v>1657</v>
      </c>
      <c r="BR899" t="s">
        <v>84</v>
      </c>
      <c r="BS899" s="3">
        <v>45790</v>
      </c>
      <c r="BT899" s="4">
        <v>0.39583333333333331</v>
      </c>
      <c r="BU899" t="s">
        <v>1658</v>
      </c>
      <c r="BV899" t="s">
        <v>86</v>
      </c>
      <c r="BY899">
        <v>1200</v>
      </c>
      <c r="CA899" t="s">
        <v>141</v>
      </c>
      <c r="CC899" t="s">
        <v>137</v>
      </c>
      <c r="CD899" s="5" t="s">
        <v>142</v>
      </c>
      <c r="CE899" t="s">
        <v>88</v>
      </c>
      <c r="CF899" s="3">
        <v>45790</v>
      </c>
      <c r="CI899">
        <v>1</v>
      </c>
      <c r="CJ899">
        <v>1</v>
      </c>
      <c r="CK899">
        <v>21</v>
      </c>
      <c r="CL899" t="s">
        <v>89</v>
      </c>
    </row>
    <row r="900" spans="1:90" x14ac:dyDescent="0.3">
      <c r="A900" t="s">
        <v>72</v>
      </c>
      <c r="B900" t="s">
        <v>73</v>
      </c>
      <c r="C900" t="s">
        <v>74</v>
      </c>
      <c r="E900" t="str">
        <f>"080065321516"</f>
        <v>080065321516</v>
      </c>
      <c r="F900" s="3">
        <v>45789</v>
      </c>
      <c r="G900">
        <v>202602</v>
      </c>
      <c r="H900" t="s">
        <v>75</v>
      </c>
      <c r="I900" t="s">
        <v>76</v>
      </c>
      <c r="J900" t="s">
        <v>77</v>
      </c>
      <c r="K900" t="s">
        <v>78</v>
      </c>
      <c r="L900" t="s">
        <v>90</v>
      </c>
      <c r="M900" t="s">
        <v>91</v>
      </c>
      <c r="N900" t="s">
        <v>515</v>
      </c>
      <c r="O900" t="s">
        <v>82</v>
      </c>
      <c r="P900" t="str">
        <f>"4170037977                    "</f>
        <v xml:space="preserve">4170037977                    </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21.38</v>
      </c>
      <c r="AR900">
        <v>0</v>
      </c>
      <c r="AS900">
        <v>0</v>
      </c>
      <c r="AT900">
        <v>0</v>
      </c>
      <c r="AU900">
        <v>0</v>
      </c>
      <c r="AV900">
        <v>0</v>
      </c>
      <c r="AW900">
        <v>0</v>
      </c>
      <c r="AX900">
        <v>0</v>
      </c>
      <c r="AY900">
        <v>0</v>
      </c>
      <c r="AZ900">
        <v>0</v>
      </c>
      <c r="BA900">
        <v>0</v>
      </c>
      <c r="BB900">
        <v>0</v>
      </c>
      <c r="BC900">
        <v>0</v>
      </c>
      <c r="BD900">
        <v>0</v>
      </c>
      <c r="BE900">
        <v>0</v>
      </c>
      <c r="BF900">
        <v>0</v>
      </c>
      <c r="BG900">
        <v>0</v>
      </c>
      <c r="BH900">
        <v>1</v>
      </c>
      <c r="BI900">
        <v>1</v>
      </c>
      <c r="BJ900">
        <v>0.2</v>
      </c>
      <c r="BK900">
        <v>1</v>
      </c>
      <c r="BL900">
        <v>69.98</v>
      </c>
      <c r="BM900">
        <v>10.5</v>
      </c>
      <c r="BN900">
        <v>80.48</v>
      </c>
      <c r="BO900">
        <v>80.48</v>
      </c>
      <c r="BQ900" t="s">
        <v>516</v>
      </c>
      <c r="BR900" t="s">
        <v>84</v>
      </c>
      <c r="BS900" s="3">
        <v>45790</v>
      </c>
      <c r="BT900" s="4">
        <v>0.4236111111111111</v>
      </c>
      <c r="BU900" t="s">
        <v>1659</v>
      </c>
      <c r="BV900" t="s">
        <v>86</v>
      </c>
      <c r="BY900">
        <v>1200</v>
      </c>
      <c r="CA900" t="s">
        <v>1618</v>
      </c>
      <c r="CC900" t="s">
        <v>91</v>
      </c>
      <c r="CD900">
        <v>6001</v>
      </c>
      <c r="CE900" t="s">
        <v>88</v>
      </c>
      <c r="CF900" s="3">
        <v>45790</v>
      </c>
      <c r="CI900">
        <v>1</v>
      </c>
      <c r="CJ900">
        <v>1</v>
      </c>
      <c r="CK900">
        <v>21</v>
      </c>
      <c r="CL900" t="s">
        <v>89</v>
      </c>
    </row>
    <row r="901" spans="1:90" x14ac:dyDescent="0.3">
      <c r="A901" t="s">
        <v>72</v>
      </c>
      <c r="B901" t="s">
        <v>73</v>
      </c>
      <c r="C901" t="s">
        <v>74</v>
      </c>
      <c r="E901" t="str">
        <f>"080065321555"</f>
        <v>080065321555</v>
      </c>
      <c r="F901" s="3">
        <v>45789</v>
      </c>
      <c r="G901">
        <v>202602</v>
      </c>
      <c r="H901" t="s">
        <v>75</v>
      </c>
      <c r="I901" t="s">
        <v>76</v>
      </c>
      <c r="J901" t="s">
        <v>77</v>
      </c>
      <c r="K901" t="s">
        <v>78</v>
      </c>
      <c r="L901" t="s">
        <v>177</v>
      </c>
      <c r="M901" t="s">
        <v>178</v>
      </c>
      <c r="N901" t="s">
        <v>212</v>
      </c>
      <c r="O901" t="s">
        <v>82</v>
      </c>
      <c r="P901" t="str">
        <f>"4170037811                    "</f>
        <v xml:space="preserve">4170037811                    </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21.38</v>
      </c>
      <c r="AR901">
        <v>0</v>
      </c>
      <c r="AS901">
        <v>0</v>
      </c>
      <c r="AT901">
        <v>0</v>
      </c>
      <c r="AU901">
        <v>0</v>
      </c>
      <c r="AV901">
        <v>0</v>
      </c>
      <c r="AW901">
        <v>0</v>
      </c>
      <c r="AX901">
        <v>0</v>
      </c>
      <c r="AY901">
        <v>0</v>
      </c>
      <c r="AZ901">
        <v>0</v>
      </c>
      <c r="BA901">
        <v>0</v>
      </c>
      <c r="BB901">
        <v>0</v>
      </c>
      <c r="BC901">
        <v>0</v>
      </c>
      <c r="BD901">
        <v>0</v>
      </c>
      <c r="BE901">
        <v>0</v>
      </c>
      <c r="BF901">
        <v>0</v>
      </c>
      <c r="BG901">
        <v>0</v>
      </c>
      <c r="BH901">
        <v>1</v>
      </c>
      <c r="BI901">
        <v>1</v>
      </c>
      <c r="BJ901">
        <v>1.9</v>
      </c>
      <c r="BK901">
        <v>2</v>
      </c>
      <c r="BL901">
        <v>69.98</v>
      </c>
      <c r="BM901">
        <v>10.5</v>
      </c>
      <c r="BN901">
        <v>80.48</v>
      </c>
      <c r="BO901">
        <v>80.48</v>
      </c>
      <c r="BQ901" t="s">
        <v>213</v>
      </c>
      <c r="BR901" t="s">
        <v>84</v>
      </c>
      <c r="BS901" s="3">
        <v>45790</v>
      </c>
      <c r="BT901" s="4">
        <v>0.35138888888888886</v>
      </c>
      <c r="BU901" t="s">
        <v>1568</v>
      </c>
      <c r="BV901" t="s">
        <v>86</v>
      </c>
      <c r="BY901">
        <v>9600</v>
      </c>
      <c r="CA901" t="s">
        <v>182</v>
      </c>
      <c r="CC901" t="s">
        <v>178</v>
      </c>
      <c r="CD901">
        <v>6229</v>
      </c>
      <c r="CE901" t="s">
        <v>116</v>
      </c>
      <c r="CF901" s="3">
        <v>45790</v>
      </c>
      <c r="CI901">
        <v>1</v>
      </c>
      <c r="CJ901">
        <v>1</v>
      </c>
      <c r="CK901">
        <v>21</v>
      </c>
      <c r="CL901" t="s">
        <v>89</v>
      </c>
    </row>
    <row r="902" spans="1:90" x14ac:dyDescent="0.3">
      <c r="A902" t="s">
        <v>72</v>
      </c>
      <c r="B902" t="s">
        <v>73</v>
      </c>
      <c r="C902" t="s">
        <v>74</v>
      </c>
      <c r="E902" t="str">
        <f>"080065321558"</f>
        <v>080065321558</v>
      </c>
      <c r="F902" s="3">
        <v>45789</v>
      </c>
      <c r="G902">
        <v>202602</v>
      </c>
      <c r="H902" t="s">
        <v>75</v>
      </c>
      <c r="I902" t="s">
        <v>76</v>
      </c>
      <c r="J902" t="s">
        <v>77</v>
      </c>
      <c r="K902" t="s">
        <v>78</v>
      </c>
      <c r="L902" t="s">
        <v>75</v>
      </c>
      <c r="M902" t="s">
        <v>76</v>
      </c>
      <c r="N902" t="s">
        <v>390</v>
      </c>
      <c r="O902" t="s">
        <v>82</v>
      </c>
      <c r="P902" t="str">
        <f>"4170037676                    "</f>
        <v xml:space="preserve">4170037676                    </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16.7</v>
      </c>
      <c r="AR902">
        <v>0</v>
      </c>
      <c r="AS902">
        <v>0</v>
      </c>
      <c r="AT902">
        <v>0</v>
      </c>
      <c r="AU902">
        <v>0</v>
      </c>
      <c r="AV902">
        <v>0</v>
      </c>
      <c r="AW902">
        <v>0</v>
      </c>
      <c r="AX902">
        <v>0</v>
      </c>
      <c r="AY902">
        <v>0</v>
      </c>
      <c r="AZ902">
        <v>0</v>
      </c>
      <c r="BA902">
        <v>0</v>
      </c>
      <c r="BB902">
        <v>0</v>
      </c>
      <c r="BC902">
        <v>0</v>
      </c>
      <c r="BD902">
        <v>0</v>
      </c>
      <c r="BE902">
        <v>0</v>
      </c>
      <c r="BF902">
        <v>0</v>
      </c>
      <c r="BG902">
        <v>0</v>
      </c>
      <c r="BH902">
        <v>1</v>
      </c>
      <c r="BI902">
        <v>1</v>
      </c>
      <c r="BJ902">
        <v>0.2</v>
      </c>
      <c r="BK902">
        <v>1</v>
      </c>
      <c r="BL902">
        <v>54.66</v>
      </c>
      <c r="BM902">
        <v>8.1999999999999993</v>
      </c>
      <c r="BN902">
        <v>62.86</v>
      </c>
      <c r="BO902">
        <v>62.86</v>
      </c>
      <c r="BQ902" t="s">
        <v>391</v>
      </c>
      <c r="BR902" t="s">
        <v>84</v>
      </c>
      <c r="BS902" s="3">
        <v>45790</v>
      </c>
      <c r="BT902" s="4">
        <v>0.35416666666666669</v>
      </c>
      <c r="BU902" t="s">
        <v>1660</v>
      </c>
      <c r="BV902" t="s">
        <v>86</v>
      </c>
      <c r="BY902">
        <v>1200</v>
      </c>
      <c r="CA902" t="s">
        <v>115</v>
      </c>
      <c r="CC902" t="s">
        <v>76</v>
      </c>
      <c r="CD902">
        <v>1600</v>
      </c>
      <c r="CE902" t="s">
        <v>88</v>
      </c>
      <c r="CF902" s="3">
        <v>45790</v>
      </c>
      <c r="CI902">
        <v>1</v>
      </c>
      <c r="CJ902">
        <v>1</v>
      </c>
      <c r="CK902">
        <v>22</v>
      </c>
      <c r="CL902" t="s">
        <v>89</v>
      </c>
    </row>
    <row r="903" spans="1:90" x14ac:dyDescent="0.3">
      <c r="A903" t="s">
        <v>72</v>
      </c>
      <c r="B903" t="s">
        <v>73</v>
      </c>
      <c r="C903" t="s">
        <v>74</v>
      </c>
      <c r="E903" t="str">
        <f>"080065321595"</f>
        <v>080065321595</v>
      </c>
      <c r="F903" s="3">
        <v>45789</v>
      </c>
      <c r="G903">
        <v>202602</v>
      </c>
      <c r="H903" t="s">
        <v>75</v>
      </c>
      <c r="I903" t="s">
        <v>76</v>
      </c>
      <c r="J903" t="s">
        <v>77</v>
      </c>
      <c r="K903" t="s">
        <v>78</v>
      </c>
      <c r="L903" t="s">
        <v>75</v>
      </c>
      <c r="M903" t="s">
        <v>76</v>
      </c>
      <c r="N903" t="s">
        <v>661</v>
      </c>
      <c r="O903" t="s">
        <v>82</v>
      </c>
      <c r="P903" t="str">
        <f>"4170037740                    "</f>
        <v xml:space="preserve">4170037740                    </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16.7</v>
      </c>
      <c r="AR903">
        <v>0</v>
      </c>
      <c r="AS903">
        <v>0</v>
      </c>
      <c r="AT903">
        <v>0</v>
      </c>
      <c r="AU903">
        <v>0</v>
      </c>
      <c r="AV903">
        <v>0</v>
      </c>
      <c r="AW903">
        <v>0</v>
      </c>
      <c r="AX903">
        <v>0</v>
      </c>
      <c r="AY903">
        <v>0</v>
      </c>
      <c r="AZ903">
        <v>0</v>
      </c>
      <c r="BA903">
        <v>0</v>
      </c>
      <c r="BB903">
        <v>0</v>
      </c>
      <c r="BC903">
        <v>0</v>
      </c>
      <c r="BD903">
        <v>0</v>
      </c>
      <c r="BE903">
        <v>0</v>
      </c>
      <c r="BF903">
        <v>0</v>
      </c>
      <c r="BG903">
        <v>0</v>
      </c>
      <c r="BH903">
        <v>1</v>
      </c>
      <c r="BI903">
        <v>1</v>
      </c>
      <c r="BJ903">
        <v>0.2</v>
      </c>
      <c r="BK903">
        <v>1</v>
      </c>
      <c r="BL903">
        <v>54.66</v>
      </c>
      <c r="BM903">
        <v>8.1999999999999993</v>
      </c>
      <c r="BN903">
        <v>62.86</v>
      </c>
      <c r="BO903">
        <v>62.86</v>
      </c>
      <c r="BQ903" t="s">
        <v>460</v>
      </c>
      <c r="BR903" t="s">
        <v>84</v>
      </c>
      <c r="BS903" s="3">
        <v>45790</v>
      </c>
      <c r="BT903" s="4">
        <v>0.44027777777777777</v>
      </c>
      <c r="BU903" t="s">
        <v>1478</v>
      </c>
      <c r="BV903" t="s">
        <v>89</v>
      </c>
      <c r="BW903" t="s">
        <v>148</v>
      </c>
      <c r="BX903" t="s">
        <v>149</v>
      </c>
      <c r="BY903">
        <v>1200</v>
      </c>
      <c r="CA903" t="s">
        <v>1012</v>
      </c>
      <c r="CC903" t="s">
        <v>76</v>
      </c>
      <c r="CD903">
        <v>1614</v>
      </c>
      <c r="CE903" t="s">
        <v>88</v>
      </c>
      <c r="CF903" s="3">
        <v>45791</v>
      </c>
      <c r="CI903">
        <v>1</v>
      </c>
      <c r="CJ903">
        <v>1</v>
      </c>
      <c r="CK903">
        <v>22</v>
      </c>
      <c r="CL903" t="s">
        <v>89</v>
      </c>
    </row>
    <row r="904" spans="1:90" x14ac:dyDescent="0.3">
      <c r="A904" t="s">
        <v>72</v>
      </c>
      <c r="B904" t="s">
        <v>73</v>
      </c>
      <c r="C904" t="s">
        <v>74</v>
      </c>
      <c r="E904" t="str">
        <f>"080065321601"</f>
        <v>080065321601</v>
      </c>
      <c r="F904" s="3">
        <v>45789</v>
      </c>
      <c r="G904">
        <v>202602</v>
      </c>
      <c r="H904" t="s">
        <v>75</v>
      </c>
      <c r="I904" t="s">
        <v>76</v>
      </c>
      <c r="J904" t="s">
        <v>77</v>
      </c>
      <c r="K904" t="s">
        <v>78</v>
      </c>
      <c r="L904" t="s">
        <v>374</v>
      </c>
      <c r="M904" t="s">
        <v>375</v>
      </c>
      <c r="N904" t="s">
        <v>376</v>
      </c>
      <c r="O904" t="s">
        <v>82</v>
      </c>
      <c r="P904" t="str">
        <f>"4170037816                    "</f>
        <v xml:space="preserve">4170037816                    </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41.43</v>
      </c>
      <c r="AR904">
        <v>0</v>
      </c>
      <c r="AS904">
        <v>0</v>
      </c>
      <c r="AT904">
        <v>0</v>
      </c>
      <c r="AU904">
        <v>0</v>
      </c>
      <c r="AV904">
        <v>0</v>
      </c>
      <c r="AW904">
        <v>0</v>
      </c>
      <c r="AX904">
        <v>0</v>
      </c>
      <c r="AY904">
        <v>0</v>
      </c>
      <c r="AZ904">
        <v>0</v>
      </c>
      <c r="BA904">
        <v>0</v>
      </c>
      <c r="BB904">
        <v>0</v>
      </c>
      <c r="BC904">
        <v>0</v>
      </c>
      <c r="BD904">
        <v>0</v>
      </c>
      <c r="BE904">
        <v>0</v>
      </c>
      <c r="BF904">
        <v>0</v>
      </c>
      <c r="BG904">
        <v>0</v>
      </c>
      <c r="BH904">
        <v>1</v>
      </c>
      <c r="BI904">
        <v>1</v>
      </c>
      <c r="BJ904">
        <v>1.7</v>
      </c>
      <c r="BK904">
        <v>2</v>
      </c>
      <c r="BL904">
        <v>135.59</v>
      </c>
      <c r="BM904">
        <v>20.34</v>
      </c>
      <c r="BN904">
        <v>155.93</v>
      </c>
      <c r="BO904">
        <v>155.93</v>
      </c>
      <c r="BQ904" t="s">
        <v>377</v>
      </c>
      <c r="BR904" t="s">
        <v>84</v>
      </c>
      <c r="BS904" s="3">
        <v>45790</v>
      </c>
      <c r="BT904" s="4">
        <v>0.52500000000000002</v>
      </c>
      <c r="BU904" t="s">
        <v>1601</v>
      </c>
      <c r="BV904" t="s">
        <v>86</v>
      </c>
      <c r="BY904">
        <v>8512</v>
      </c>
      <c r="CA904" t="s">
        <v>379</v>
      </c>
      <c r="CC904" t="s">
        <v>375</v>
      </c>
      <c r="CD904">
        <v>7130</v>
      </c>
      <c r="CE904" t="s">
        <v>116</v>
      </c>
      <c r="CF904" s="3">
        <v>45791</v>
      </c>
      <c r="CI904">
        <v>1</v>
      </c>
      <c r="CJ904">
        <v>1</v>
      </c>
      <c r="CK904">
        <v>23</v>
      </c>
      <c r="CL904" t="s">
        <v>89</v>
      </c>
    </row>
    <row r="905" spans="1:90" x14ac:dyDescent="0.3">
      <c r="A905" t="s">
        <v>72</v>
      </c>
      <c r="B905" t="s">
        <v>73</v>
      </c>
      <c r="C905" t="s">
        <v>74</v>
      </c>
      <c r="E905" t="str">
        <f>"080065321792"</f>
        <v>080065321792</v>
      </c>
      <c r="F905" s="3">
        <v>45789</v>
      </c>
      <c r="G905">
        <v>202602</v>
      </c>
      <c r="H905" t="s">
        <v>75</v>
      </c>
      <c r="I905" t="s">
        <v>76</v>
      </c>
      <c r="J905" t="s">
        <v>77</v>
      </c>
      <c r="K905" t="s">
        <v>78</v>
      </c>
      <c r="L905" t="s">
        <v>186</v>
      </c>
      <c r="M905" t="s">
        <v>187</v>
      </c>
      <c r="N905" t="s">
        <v>188</v>
      </c>
      <c r="O905" t="s">
        <v>82</v>
      </c>
      <c r="P905" t="str">
        <f>"4170037764                    "</f>
        <v xml:space="preserve">4170037764                    </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21.38</v>
      </c>
      <c r="AR905">
        <v>0</v>
      </c>
      <c r="AS905">
        <v>0</v>
      </c>
      <c r="AT905">
        <v>0</v>
      </c>
      <c r="AU905">
        <v>0</v>
      </c>
      <c r="AV905">
        <v>0</v>
      </c>
      <c r="AW905">
        <v>0</v>
      </c>
      <c r="AX905">
        <v>0</v>
      </c>
      <c r="AY905">
        <v>0</v>
      </c>
      <c r="AZ905">
        <v>0</v>
      </c>
      <c r="BA905">
        <v>0</v>
      </c>
      <c r="BB905">
        <v>0</v>
      </c>
      <c r="BC905">
        <v>0</v>
      </c>
      <c r="BD905">
        <v>0</v>
      </c>
      <c r="BE905">
        <v>0</v>
      </c>
      <c r="BF905">
        <v>0</v>
      </c>
      <c r="BG905">
        <v>0</v>
      </c>
      <c r="BH905">
        <v>1</v>
      </c>
      <c r="BI905">
        <v>1</v>
      </c>
      <c r="BJ905">
        <v>0.2</v>
      </c>
      <c r="BK905">
        <v>1</v>
      </c>
      <c r="BL905">
        <v>69.98</v>
      </c>
      <c r="BM905">
        <v>10.5</v>
      </c>
      <c r="BN905">
        <v>80.48</v>
      </c>
      <c r="BO905">
        <v>80.48</v>
      </c>
      <c r="BQ905" t="s">
        <v>189</v>
      </c>
      <c r="BR905" t="s">
        <v>84</v>
      </c>
      <c r="BS905" s="3">
        <v>45790</v>
      </c>
      <c r="BT905" s="4">
        <v>0.42083333333333334</v>
      </c>
      <c r="BU905" t="s">
        <v>1661</v>
      </c>
      <c r="BV905" t="s">
        <v>86</v>
      </c>
      <c r="BY905">
        <v>1200</v>
      </c>
      <c r="CA905" t="s">
        <v>191</v>
      </c>
      <c r="CC905" t="s">
        <v>187</v>
      </c>
      <c r="CD905">
        <v>4126</v>
      </c>
      <c r="CE905" t="s">
        <v>88</v>
      </c>
      <c r="CF905" s="3">
        <v>45792</v>
      </c>
      <c r="CI905">
        <v>1</v>
      </c>
      <c r="CJ905">
        <v>1</v>
      </c>
      <c r="CK905">
        <v>21</v>
      </c>
      <c r="CL905" t="s">
        <v>89</v>
      </c>
    </row>
    <row r="906" spans="1:90" x14ac:dyDescent="0.3">
      <c r="A906" t="s">
        <v>72</v>
      </c>
      <c r="B906" t="s">
        <v>73</v>
      </c>
      <c r="C906" t="s">
        <v>74</v>
      </c>
      <c r="E906" t="str">
        <f>"080065321851"</f>
        <v>080065321851</v>
      </c>
      <c r="F906" s="3">
        <v>45789</v>
      </c>
      <c r="G906">
        <v>202602</v>
      </c>
      <c r="H906" t="s">
        <v>75</v>
      </c>
      <c r="I906" t="s">
        <v>76</v>
      </c>
      <c r="J906" t="s">
        <v>77</v>
      </c>
      <c r="K906" t="s">
        <v>78</v>
      </c>
      <c r="L906" t="s">
        <v>123</v>
      </c>
      <c r="M906" t="s">
        <v>123</v>
      </c>
      <c r="N906" t="s">
        <v>658</v>
      </c>
      <c r="O906" t="s">
        <v>82</v>
      </c>
      <c r="P906" t="str">
        <f>"4170037729                    "</f>
        <v xml:space="preserve">4170037729                    </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41.43</v>
      </c>
      <c r="AR906">
        <v>0</v>
      </c>
      <c r="AS906">
        <v>0</v>
      </c>
      <c r="AT906">
        <v>0</v>
      </c>
      <c r="AU906">
        <v>0</v>
      </c>
      <c r="AV906">
        <v>0</v>
      </c>
      <c r="AW906">
        <v>0</v>
      </c>
      <c r="AX906">
        <v>0</v>
      </c>
      <c r="AY906">
        <v>0</v>
      </c>
      <c r="AZ906">
        <v>0</v>
      </c>
      <c r="BA906">
        <v>0</v>
      </c>
      <c r="BB906">
        <v>0</v>
      </c>
      <c r="BC906">
        <v>0</v>
      </c>
      <c r="BD906">
        <v>0</v>
      </c>
      <c r="BE906">
        <v>0</v>
      </c>
      <c r="BF906">
        <v>0</v>
      </c>
      <c r="BG906">
        <v>0</v>
      </c>
      <c r="BH906">
        <v>1</v>
      </c>
      <c r="BI906">
        <v>1</v>
      </c>
      <c r="BJ906">
        <v>0.2</v>
      </c>
      <c r="BK906">
        <v>1</v>
      </c>
      <c r="BL906">
        <v>135.59</v>
      </c>
      <c r="BM906">
        <v>20.34</v>
      </c>
      <c r="BN906">
        <v>155.93</v>
      </c>
      <c r="BO906">
        <v>155.93</v>
      </c>
      <c r="BQ906" t="s">
        <v>659</v>
      </c>
      <c r="BR906" t="s">
        <v>84</v>
      </c>
      <c r="BS906" s="3">
        <v>45790</v>
      </c>
      <c r="BT906" s="4">
        <v>0.47916666666666669</v>
      </c>
      <c r="BU906" t="s">
        <v>660</v>
      </c>
      <c r="BV906" t="s">
        <v>86</v>
      </c>
      <c r="BY906">
        <v>1200</v>
      </c>
      <c r="CA906" t="s">
        <v>128</v>
      </c>
      <c r="CC906" t="s">
        <v>123</v>
      </c>
      <c r="CD906">
        <v>7646</v>
      </c>
      <c r="CE906" t="s">
        <v>88</v>
      </c>
      <c r="CF906" s="3">
        <v>45791</v>
      </c>
      <c r="CI906">
        <v>1</v>
      </c>
      <c r="CJ906">
        <v>1</v>
      </c>
      <c r="CK906">
        <v>23</v>
      </c>
      <c r="CL906" t="s">
        <v>89</v>
      </c>
    </row>
    <row r="907" spans="1:90" x14ac:dyDescent="0.3">
      <c r="A907" t="s">
        <v>72</v>
      </c>
      <c r="B907" t="s">
        <v>73</v>
      </c>
      <c r="C907" t="s">
        <v>74</v>
      </c>
      <c r="E907" t="str">
        <f>"080065321862"</f>
        <v>080065321862</v>
      </c>
      <c r="F907" s="3">
        <v>45789</v>
      </c>
      <c r="G907">
        <v>202602</v>
      </c>
      <c r="H907" t="s">
        <v>75</v>
      </c>
      <c r="I907" t="s">
        <v>76</v>
      </c>
      <c r="J907" t="s">
        <v>77</v>
      </c>
      <c r="K907" t="s">
        <v>78</v>
      </c>
      <c r="L907" t="s">
        <v>90</v>
      </c>
      <c r="M907" t="s">
        <v>91</v>
      </c>
      <c r="N907" t="s">
        <v>385</v>
      </c>
      <c r="O907" t="s">
        <v>82</v>
      </c>
      <c r="P907" t="str">
        <f>"4170037930                    "</f>
        <v xml:space="preserve">4170037930                    </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21.38</v>
      </c>
      <c r="AR907">
        <v>0</v>
      </c>
      <c r="AS907">
        <v>0</v>
      </c>
      <c r="AT907">
        <v>0</v>
      </c>
      <c r="AU907">
        <v>0</v>
      </c>
      <c r="AV907">
        <v>0</v>
      </c>
      <c r="AW907">
        <v>0</v>
      </c>
      <c r="AX907">
        <v>0</v>
      </c>
      <c r="AY907">
        <v>0</v>
      </c>
      <c r="AZ907">
        <v>0</v>
      </c>
      <c r="BA907">
        <v>0</v>
      </c>
      <c r="BB907">
        <v>0</v>
      </c>
      <c r="BC907">
        <v>0</v>
      </c>
      <c r="BD907">
        <v>0</v>
      </c>
      <c r="BE907">
        <v>0</v>
      </c>
      <c r="BF907">
        <v>0</v>
      </c>
      <c r="BG907">
        <v>0</v>
      </c>
      <c r="BH907">
        <v>1</v>
      </c>
      <c r="BI907">
        <v>1</v>
      </c>
      <c r="BJ907">
        <v>0.9</v>
      </c>
      <c r="BK907">
        <v>1</v>
      </c>
      <c r="BL907">
        <v>69.98</v>
      </c>
      <c r="BM907">
        <v>10.5</v>
      </c>
      <c r="BN907">
        <v>80.48</v>
      </c>
      <c r="BO907">
        <v>80.48</v>
      </c>
      <c r="BQ907" t="s">
        <v>386</v>
      </c>
      <c r="BR907" t="s">
        <v>84</v>
      </c>
      <c r="BS907" s="3">
        <v>45790</v>
      </c>
      <c r="BT907" s="4">
        <v>0.3972222222222222</v>
      </c>
      <c r="BU907" t="s">
        <v>387</v>
      </c>
      <c r="BV907" t="s">
        <v>86</v>
      </c>
      <c r="BY907">
        <v>4560</v>
      </c>
      <c r="CA907" t="s">
        <v>95</v>
      </c>
      <c r="CC907" t="s">
        <v>91</v>
      </c>
      <c r="CD907">
        <v>6056</v>
      </c>
      <c r="CE907" t="s">
        <v>116</v>
      </c>
      <c r="CF907" s="3">
        <v>45790</v>
      </c>
      <c r="CI907">
        <v>1</v>
      </c>
      <c r="CJ907">
        <v>1</v>
      </c>
      <c r="CK907">
        <v>21</v>
      </c>
      <c r="CL907" t="s">
        <v>89</v>
      </c>
    </row>
    <row r="908" spans="1:90" x14ac:dyDescent="0.3">
      <c r="A908" t="s">
        <v>72</v>
      </c>
      <c r="B908" t="s">
        <v>73</v>
      </c>
      <c r="C908" t="s">
        <v>74</v>
      </c>
      <c r="E908" t="str">
        <f>"080065321915"</f>
        <v>080065321915</v>
      </c>
      <c r="F908" s="3">
        <v>45789</v>
      </c>
      <c r="G908">
        <v>202602</v>
      </c>
      <c r="H908" t="s">
        <v>75</v>
      </c>
      <c r="I908" t="s">
        <v>76</v>
      </c>
      <c r="J908" t="s">
        <v>77</v>
      </c>
      <c r="K908" t="s">
        <v>78</v>
      </c>
      <c r="L908" t="s">
        <v>117</v>
      </c>
      <c r="M908" t="s">
        <v>118</v>
      </c>
      <c r="N908" t="s">
        <v>1421</v>
      </c>
      <c r="O908" t="s">
        <v>82</v>
      </c>
      <c r="P908" t="str">
        <f>"4170037681                    "</f>
        <v xml:space="preserve">4170037681                    </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16.7</v>
      </c>
      <c r="AR908">
        <v>0</v>
      </c>
      <c r="AS908">
        <v>0</v>
      </c>
      <c r="AT908">
        <v>0</v>
      </c>
      <c r="AU908">
        <v>0</v>
      </c>
      <c r="AV908">
        <v>0</v>
      </c>
      <c r="AW908">
        <v>16.739999999999998</v>
      </c>
      <c r="AX908">
        <v>0</v>
      </c>
      <c r="AY908">
        <v>0</v>
      </c>
      <c r="AZ908">
        <v>0</v>
      </c>
      <c r="BA908">
        <v>0</v>
      </c>
      <c r="BB908">
        <v>0</v>
      </c>
      <c r="BC908">
        <v>0</v>
      </c>
      <c r="BD908">
        <v>0</v>
      </c>
      <c r="BE908">
        <v>0</v>
      </c>
      <c r="BF908">
        <v>0</v>
      </c>
      <c r="BG908">
        <v>0</v>
      </c>
      <c r="BH908">
        <v>1</v>
      </c>
      <c r="BI908">
        <v>7</v>
      </c>
      <c r="BJ908">
        <v>4.8</v>
      </c>
      <c r="BK908">
        <v>7</v>
      </c>
      <c r="BL908">
        <v>71.400000000000006</v>
      </c>
      <c r="BM908">
        <v>10.71</v>
      </c>
      <c r="BN908">
        <v>82.11</v>
      </c>
      <c r="BO908">
        <v>82.11</v>
      </c>
      <c r="BQ908" t="s">
        <v>1422</v>
      </c>
      <c r="BR908" t="s">
        <v>84</v>
      </c>
      <c r="BS908" s="3">
        <v>45790</v>
      </c>
      <c r="BT908" s="4">
        <v>0.55277777777777781</v>
      </c>
      <c r="BU908" t="s">
        <v>1423</v>
      </c>
      <c r="BV908" t="s">
        <v>89</v>
      </c>
      <c r="BW908" t="s">
        <v>148</v>
      </c>
      <c r="BX908" t="s">
        <v>149</v>
      </c>
      <c r="BY908">
        <v>23751</v>
      </c>
      <c r="BZ908" t="s">
        <v>30</v>
      </c>
      <c r="CA908" t="s">
        <v>1662</v>
      </c>
      <c r="CC908" t="s">
        <v>118</v>
      </c>
      <c r="CD908">
        <v>2188</v>
      </c>
      <c r="CE908" t="s">
        <v>96</v>
      </c>
      <c r="CF908" s="3">
        <v>45790</v>
      </c>
      <c r="CI908">
        <v>1</v>
      </c>
      <c r="CJ908">
        <v>1</v>
      </c>
      <c r="CK908">
        <v>22</v>
      </c>
      <c r="CL908" t="s">
        <v>89</v>
      </c>
    </row>
    <row r="909" spans="1:90" x14ac:dyDescent="0.3">
      <c r="A909" t="s">
        <v>72</v>
      </c>
      <c r="B909" t="s">
        <v>73</v>
      </c>
      <c r="C909" t="s">
        <v>74</v>
      </c>
      <c r="E909" t="str">
        <f>"080065316610"</f>
        <v>080065316610</v>
      </c>
      <c r="F909" s="3">
        <v>45789</v>
      </c>
      <c r="G909">
        <v>202602</v>
      </c>
      <c r="H909" t="s">
        <v>75</v>
      </c>
      <c r="I909" t="s">
        <v>76</v>
      </c>
      <c r="J909" t="s">
        <v>77</v>
      </c>
      <c r="K909" t="s">
        <v>78</v>
      </c>
      <c r="L909" t="s">
        <v>75</v>
      </c>
      <c r="M909" t="s">
        <v>76</v>
      </c>
      <c r="N909" t="s">
        <v>1321</v>
      </c>
      <c r="O909" t="s">
        <v>82</v>
      </c>
      <c r="P909" t="str">
        <f>"4170037559                    "</f>
        <v xml:space="preserve">4170037559                    </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1</v>
      </c>
      <c r="BI909">
        <v>2</v>
      </c>
      <c r="BJ909">
        <v>2.2000000000000002</v>
      </c>
      <c r="BK909">
        <v>3</v>
      </c>
      <c r="BL909">
        <v>0</v>
      </c>
      <c r="BM909">
        <v>0</v>
      </c>
      <c r="BN909">
        <v>0</v>
      </c>
      <c r="BO909">
        <v>0</v>
      </c>
      <c r="BQ909" t="s">
        <v>1322</v>
      </c>
      <c r="BR909" t="s">
        <v>84</v>
      </c>
      <c r="BS909" s="3">
        <v>45789</v>
      </c>
      <c r="BT909" s="4">
        <v>0.59027777777777779</v>
      </c>
      <c r="BU909" t="s">
        <v>1663</v>
      </c>
      <c r="BV909" t="s">
        <v>86</v>
      </c>
      <c r="BY909">
        <v>11040</v>
      </c>
      <c r="BZ909" t="s">
        <v>1664</v>
      </c>
      <c r="CA909" t="s">
        <v>1665</v>
      </c>
      <c r="CC909" t="s">
        <v>76</v>
      </c>
      <c r="CD909">
        <v>1618</v>
      </c>
      <c r="CE909" t="s">
        <v>221</v>
      </c>
      <c r="CF909" s="3">
        <v>45790</v>
      </c>
      <c r="CI909">
        <v>1</v>
      </c>
      <c r="CJ909">
        <v>0</v>
      </c>
      <c r="CK909">
        <v>-1</v>
      </c>
      <c r="CL909" t="s">
        <v>89</v>
      </c>
    </row>
    <row r="910" spans="1:90" x14ac:dyDescent="0.3">
      <c r="A910" t="s">
        <v>72</v>
      </c>
      <c r="B910" t="s">
        <v>73</v>
      </c>
      <c r="C910" t="s">
        <v>74</v>
      </c>
      <c r="E910" t="str">
        <f>"080065322620"</f>
        <v>080065322620</v>
      </c>
      <c r="F910" s="3">
        <v>45789</v>
      </c>
      <c r="G910">
        <v>202602</v>
      </c>
      <c r="H910" t="s">
        <v>75</v>
      </c>
      <c r="I910" t="s">
        <v>76</v>
      </c>
      <c r="J910" t="s">
        <v>77</v>
      </c>
      <c r="K910" t="s">
        <v>78</v>
      </c>
      <c r="L910" t="s">
        <v>130</v>
      </c>
      <c r="M910" t="s">
        <v>131</v>
      </c>
      <c r="N910" t="s">
        <v>343</v>
      </c>
      <c r="O910" t="s">
        <v>82</v>
      </c>
      <c r="P910" t="str">
        <f>"4170037964                    "</f>
        <v xml:space="preserve">4170037964                    </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0</v>
      </c>
      <c r="AP910">
        <v>0</v>
      </c>
      <c r="AQ910">
        <v>48.09</v>
      </c>
      <c r="AR910">
        <v>0</v>
      </c>
      <c r="AS910">
        <v>0</v>
      </c>
      <c r="AT910">
        <v>0</v>
      </c>
      <c r="AU910">
        <v>0</v>
      </c>
      <c r="AV910">
        <v>0</v>
      </c>
      <c r="AW910">
        <v>0</v>
      </c>
      <c r="AX910">
        <v>0</v>
      </c>
      <c r="AY910">
        <v>0</v>
      </c>
      <c r="AZ910">
        <v>0</v>
      </c>
      <c r="BA910">
        <v>0</v>
      </c>
      <c r="BB910">
        <v>0</v>
      </c>
      <c r="BC910">
        <v>0</v>
      </c>
      <c r="BD910">
        <v>0</v>
      </c>
      <c r="BE910">
        <v>0</v>
      </c>
      <c r="BF910">
        <v>0</v>
      </c>
      <c r="BG910">
        <v>0</v>
      </c>
      <c r="BH910">
        <v>1</v>
      </c>
      <c r="BI910">
        <v>2</v>
      </c>
      <c r="BJ910">
        <v>4.0999999999999996</v>
      </c>
      <c r="BK910">
        <v>4.5</v>
      </c>
      <c r="BL910">
        <v>157.38999999999999</v>
      </c>
      <c r="BM910">
        <v>23.61</v>
      </c>
      <c r="BN910">
        <v>181</v>
      </c>
      <c r="BO910">
        <v>181</v>
      </c>
      <c r="BQ910" t="s">
        <v>344</v>
      </c>
      <c r="BR910" t="s">
        <v>84</v>
      </c>
      <c r="BS910" s="3">
        <v>45790</v>
      </c>
      <c r="BT910" s="4">
        <v>0.3888888888888889</v>
      </c>
      <c r="BU910" t="s">
        <v>1633</v>
      </c>
      <c r="BV910" t="s">
        <v>86</v>
      </c>
      <c r="BY910">
        <v>20358</v>
      </c>
      <c r="CA910" t="s">
        <v>1634</v>
      </c>
      <c r="CC910" t="s">
        <v>131</v>
      </c>
      <c r="CD910">
        <v>7441</v>
      </c>
      <c r="CE910" t="s">
        <v>176</v>
      </c>
      <c r="CF910" s="3">
        <v>45791</v>
      </c>
      <c r="CI910">
        <v>1</v>
      </c>
      <c r="CJ910">
        <v>1</v>
      </c>
      <c r="CK910">
        <v>21</v>
      </c>
      <c r="CL910" t="s">
        <v>89</v>
      </c>
    </row>
    <row r="911" spans="1:90" x14ac:dyDescent="0.3">
      <c r="A911" t="s">
        <v>72</v>
      </c>
      <c r="B911" t="s">
        <v>73</v>
      </c>
      <c r="C911" t="s">
        <v>74</v>
      </c>
      <c r="E911" t="str">
        <f>"080065322650"</f>
        <v>080065322650</v>
      </c>
      <c r="F911" s="3">
        <v>45789</v>
      </c>
      <c r="G911">
        <v>202602</v>
      </c>
      <c r="H911" t="s">
        <v>75</v>
      </c>
      <c r="I911" t="s">
        <v>76</v>
      </c>
      <c r="J911" t="s">
        <v>77</v>
      </c>
      <c r="K911" t="s">
        <v>78</v>
      </c>
      <c r="L911" t="s">
        <v>97</v>
      </c>
      <c r="M911" t="s">
        <v>98</v>
      </c>
      <c r="N911" t="s">
        <v>99</v>
      </c>
      <c r="O911" t="s">
        <v>82</v>
      </c>
      <c r="P911" t="str">
        <f>"4170037910                    "</f>
        <v xml:space="preserve">4170037910                    </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0</v>
      </c>
      <c r="AL911">
        <v>0</v>
      </c>
      <c r="AM911">
        <v>0</v>
      </c>
      <c r="AN911">
        <v>0</v>
      </c>
      <c r="AO911">
        <v>0</v>
      </c>
      <c r="AP911">
        <v>0</v>
      </c>
      <c r="AQ911">
        <v>16.7</v>
      </c>
      <c r="AR911">
        <v>0</v>
      </c>
      <c r="AS911">
        <v>0</v>
      </c>
      <c r="AT911">
        <v>0</v>
      </c>
      <c r="AU911">
        <v>0</v>
      </c>
      <c r="AV911">
        <v>0</v>
      </c>
      <c r="AW911">
        <v>0</v>
      </c>
      <c r="AX911">
        <v>0</v>
      </c>
      <c r="AY911">
        <v>0</v>
      </c>
      <c r="AZ911">
        <v>0</v>
      </c>
      <c r="BA911">
        <v>0</v>
      </c>
      <c r="BB911">
        <v>0</v>
      </c>
      <c r="BC911">
        <v>0</v>
      </c>
      <c r="BD911">
        <v>0</v>
      </c>
      <c r="BE911">
        <v>0</v>
      </c>
      <c r="BF911">
        <v>0</v>
      </c>
      <c r="BG911">
        <v>0</v>
      </c>
      <c r="BH911">
        <v>1</v>
      </c>
      <c r="BI911">
        <v>1</v>
      </c>
      <c r="BJ911">
        <v>0.9</v>
      </c>
      <c r="BK911">
        <v>1</v>
      </c>
      <c r="BL911">
        <v>54.66</v>
      </c>
      <c r="BM911">
        <v>8.1999999999999993</v>
      </c>
      <c r="BN911">
        <v>62.86</v>
      </c>
      <c r="BO911">
        <v>62.86</v>
      </c>
      <c r="BQ911" t="s">
        <v>100</v>
      </c>
      <c r="BR911" t="s">
        <v>84</v>
      </c>
      <c r="BS911" s="3">
        <v>45790</v>
      </c>
      <c r="BT911" s="4">
        <v>0.34444444444444444</v>
      </c>
      <c r="BU911" t="s">
        <v>1310</v>
      </c>
      <c r="BV911" t="s">
        <v>86</v>
      </c>
      <c r="BY911">
        <v>4275</v>
      </c>
      <c r="CA911" t="s">
        <v>279</v>
      </c>
      <c r="CC911" t="s">
        <v>98</v>
      </c>
      <c r="CD911">
        <v>1459</v>
      </c>
      <c r="CE911" t="s">
        <v>96</v>
      </c>
      <c r="CF911" s="3">
        <v>45790</v>
      </c>
      <c r="CI911">
        <v>1</v>
      </c>
      <c r="CJ911">
        <v>1</v>
      </c>
      <c r="CK911">
        <v>22</v>
      </c>
      <c r="CL911" t="s">
        <v>89</v>
      </c>
    </row>
    <row r="912" spans="1:90" x14ac:dyDescent="0.3">
      <c r="A912" t="s">
        <v>72</v>
      </c>
      <c r="B912" t="s">
        <v>73</v>
      </c>
      <c r="C912" t="s">
        <v>74</v>
      </c>
      <c r="E912" t="str">
        <f>"080065322654"</f>
        <v>080065322654</v>
      </c>
      <c r="F912" s="3">
        <v>45789</v>
      </c>
      <c r="G912">
        <v>202602</v>
      </c>
      <c r="H912" t="s">
        <v>75</v>
      </c>
      <c r="I912" t="s">
        <v>76</v>
      </c>
      <c r="J912" t="s">
        <v>77</v>
      </c>
      <c r="K912" t="s">
        <v>78</v>
      </c>
      <c r="L912" t="s">
        <v>75</v>
      </c>
      <c r="M912" t="s">
        <v>76</v>
      </c>
      <c r="N912" t="s">
        <v>803</v>
      </c>
      <c r="O912" t="s">
        <v>82</v>
      </c>
      <c r="P912" t="str">
        <f>"4170037950                    "</f>
        <v xml:space="preserve">4170037950                    </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16.7</v>
      </c>
      <c r="AR912">
        <v>0</v>
      </c>
      <c r="AS912">
        <v>0</v>
      </c>
      <c r="AT912">
        <v>0</v>
      </c>
      <c r="AU912">
        <v>0</v>
      </c>
      <c r="AV912">
        <v>0</v>
      </c>
      <c r="AW912">
        <v>0</v>
      </c>
      <c r="AX912">
        <v>0</v>
      </c>
      <c r="AY912">
        <v>0</v>
      </c>
      <c r="AZ912">
        <v>0</v>
      </c>
      <c r="BA912">
        <v>0</v>
      </c>
      <c r="BB912">
        <v>0</v>
      </c>
      <c r="BC912">
        <v>0</v>
      </c>
      <c r="BD912">
        <v>0</v>
      </c>
      <c r="BE912">
        <v>0</v>
      </c>
      <c r="BF912">
        <v>0</v>
      </c>
      <c r="BG912">
        <v>0</v>
      </c>
      <c r="BH912">
        <v>1</v>
      </c>
      <c r="BI912">
        <v>1</v>
      </c>
      <c r="BJ912">
        <v>0.2</v>
      </c>
      <c r="BK912">
        <v>1</v>
      </c>
      <c r="BL912">
        <v>54.66</v>
      </c>
      <c r="BM912">
        <v>8.1999999999999993</v>
      </c>
      <c r="BN912">
        <v>62.86</v>
      </c>
      <c r="BO912">
        <v>62.86</v>
      </c>
      <c r="BQ912" t="s">
        <v>804</v>
      </c>
      <c r="BR912" t="s">
        <v>84</v>
      </c>
      <c r="BS912" s="3">
        <v>45790</v>
      </c>
      <c r="BT912" s="4">
        <v>0.42152777777777778</v>
      </c>
      <c r="BU912" t="s">
        <v>1666</v>
      </c>
      <c r="BV912" t="s">
        <v>86</v>
      </c>
      <c r="BY912">
        <v>1200</v>
      </c>
      <c r="CA912" t="s">
        <v>484</v>
      </c>
      <c r="CC912" t="s">
        <v>76</v>
      </c>
      <c r="CD912">
        <v>1619</v>
      </c>
      <c r="CE912" t="s">
        <v>88</v>
      </c>
      <c r="CF912" s="3">
        <v>45790</v>
      </c>
      <c r="CI912">
        <v>1</v>
      </c>
      <c r="CJ912">
        <v>1</v>
      </c>
      <c r="CK912">
        <v>22</v>
      </c>
      <c r="CL912" t="s">
        <v>89</v>
      </c>
    </row>
    <row r="913" spans="1:90" x14ac:dyDescent="0.3">
      <c r="A913" t="s">
        <v>72</v>
      </c>
      <c r="B913" t="s">
        <v>73</v>
      </c>
      <c r="C913" t="s">
        <v>74</v>
      </c>
      <c r="E913" t="str">
        <f>"080065328595"</f>
        <v>080065328595</v>
      </c>
      <c r="F913" s="3">
        <v>45789</v>
      </c>
      <c r="G913">
        <v>202602</v>
      </c>
      <c r="H913" t="s">
        <v>75</v>
      </c>
      <c r="I913" t="s">
        <v>76</v>
      </c>
      <c r="J913" t="s">
        <v>77</v>
      </c>
      <c r="K913" t="s">
        <v>78</v>
      </c>
      <c r="L913" t="s">
        <v>123</v>
      </c>
      <c r="M913" t="s">
        <v>123</v>
      </c>
      <c r="N913" t="s">
        <v>766</v>
      </c>
      <c r="O913" t="s">
        <v>82</v>
      </c>
      <c r="P913" t="str">
        <f>"4170037780                    "</f>
        <v xml:space="preserve">4170037780                    </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41.43</v>
      </c>
      <c r="AR913">
        <v>0</v>
      </c>
      <c r="AS913">
        <v>0</v>
      </c>
      <c r="AT913">
        <v>0</v>
      </c>
      <c r="AU913">
        <v>0</v>
      </c>
      <c r="AV913">
        <v>0</v>
      </c>
      <c r="AW913">
        <v>0</v>
      </c>
      <c r="AX913">
        <v>0</v>
      </c>
      <c r="AY913">
        <v>0</v>
      </c>
      <c r="AZ913">
        <v>0</v>
      </c>
      <c r="BA913">
        <v>0</v>
      </c>
      <c r="BB913">
        <v>0</v>
      </c>
      <c r="BC913">
        <v>0</v>
      </c>
      <c r="BD913">
        <v>0</v>
      </c>
      <c r="BE913">
        <v>0</v>
      </c>
      <c r="BF913">
        <v>0</v>
      </c>
      <c r="BG913">
        <v>0</v>
      </c>
      <c r="BH913">
        <v>1</v>
      </c>
      <c r="BI913">
        <v>1</v>
      </c>
      <c r="BJ913">
        <v>0.2</v>
      </c>
      <c r="BK913">
        <v>1</v>
      </c>
      <c r="BL913">
        <v>135.59</v>
      </c>
      <c r="BM913">
        <v>20.34</v>
      </c>
      <c r="BN913">
        <v>155.93</v>
      </c>
      <c r="BO913">
        <v>155.93</v>
      </c>
      <c r="BQ913" t="s">
        <v>767</v>
      </c>
      <c r="BR913" t="s">
        <v>84</v>
      </c>
      <c r="BS913" s="3">
        <v>45790</v>
      </c>
      <c r="BT913" s="4">
        <v>0.53680555555555554</v>
      </c>
      <c r="BU913" t="s">
        <v>768</v>
      </c>
      <c r="BV913" t="s">
        <v>86</v>
      </c>
      <c r="BY913">
        <v>1200</v>
      </c>
      <c r="CA913" t="s">
        <v>128</v>
      </c>
      <c r="CC913" t="s">
        <v>123</v>
      </c>
      <c r="CD913">
        <v>7646</v>
      </c>
      <c r="CE913" t="s">
        <v>88</v>
      </c>
      <c r="CF913" s="3">
        <v>45791</v>
      </c>
      <c r="CI913">
        <v>1</v>
      </c>
      <c r="CJ913">
        <v>1</v>
      </c>
      <c r="CK913">
        <v>23</v>
      </c>
      <c r="CL913" t="s">
        <v>89</v>
      </c>
    </row>
    <row r="914" spans="1:90" x14ac:dyDescent="0.3">
      <c r="A914" t="s">
        <v>72</v>
      </c>
      <c r="B914" t="s">
        <v>73</v>
      </c>
      <c r="C914" t="s">
        <v>74</v>
      </c>
      <c r="E914" t="str">
        <f>"080065328551"</f>
        <v>080065328551</v>
      </c>
      <c r="F914" s="3">
        <v>45789</v>
      </c>
      <c r="G914">
        <v>202602</v>
      </c>
      <c r="H914" t="s">
        <v>75</v>
      </c>
      <c r="I914" t="s">
        <v>76</v>
      </c>
      <c r="J914" t="s">
        <v>77</v>
      </c>
      <c r="K914" t="s">
        <v>78</v>
      </c>
      <c r="L914" t="s">
        <v>75</v>
      </c>
      <c r="M914" t="s">
        <v>76</v>
      </c>
      <c r="N914" t="s">
        <v>803</v>
      </c>
      <c r="O914" t="s">
        <v>82</v>
      </c>
      <c r="P914" t="str">
        <f>"4170038034                    "</f>
        <v xml:space="preserve">4170038034                    </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16.7</v>
      </c>
      <c r="AR914">
        <v>0</v>
      </c>
      <c r="AS914">
        <v>0</v>
      </c>
      <c r="AT914">
        <v>0</v>
      </c>
      <c r="AU914">
        <v>0</v>
      </c>
      <c r="AV914">
        <v>0</v>
      </c>
      <c r="AW914">
        <v>0</v>
      </c>
      <c r="AX914">
        <v>0</v>
      </c>
      <c r="AY914">
        <v>0</v>
      </c>
      <c r="AZ914">
        <v>0</v>
      </c>
      <c r="BA914">
        <v>0</v>
      </c>
      <c r="BB914">
        <v>0</v>
      </c>
      <c r="BC914">
        <v>0</v>
      </c>
      <c r="BD914">
        <v>0</v>
      </c>
      <c r="BE914">
        <v>0</v>
      </c>
      <c r="BF914">
        <v>0</v>
      </c>
      <c r="BG914">
        <v>0</v>
      </c>
      <c r="BH914">
        <v>1</v>
      </c>
      <c r="BI914">
        <v>1</v>
      </c>
      <c r="BJ914">
        <v>0.2</v>
      </c>
      <c r="BK914">
        <v>1</v>
      </c>
      <c r="BL914">
        <v>54.66</v>
      </c>
      <c r="BM914">
        <v>8.1999999999999993</v>
      </c>
      <c r="BN914">
        <v>62.86</v>
      </c>
      <c r="BO914">
        <v>62.86</v>
      </c>
      <c r="BQ914" t="s">
        <v>804</v>
      </c>
      <c r="BR914" t="s">
        <v>84</v>
      </c>
      <c r="BS914" s="3">
        <v>45790</v>
      </c>
      <c r="BT914" s="4">
        <v>0.42152777777777778</v>
      </c>
      <c r="BU914" t="s">
        <v>1666</v>
      </c>
      <c r="BV914" t="s">
        <v>86</v>
      </c>
      <c r="BY914">
        <v>1200</v>
      </c>
      <c r="CA914" t="s">
        <v>484</v>
      </c>
      <c r="CC914" t="s">
        <v>76</v>
      </c>
      <c r="CD914">
        <v>1619</v>
      </c>
      <c r="CE914" t="s">
        <v>88</v>
      </c>
      <c r="CF914" s="3">
        <v>45790</v>
      </c>
      <c r="CI914">
        <v>1</v>
      </c>
      <c r="CJ914">
        <v>1</v>
      </c>
      <c r="CK914">
        <v>22</v>
      </c>
      <c r="CL914" t="s">
        <v>89</v>
      </c>
    </row>
    <row r="915" spans="1:90" x14ac:dyDescent="0.3">
      <c r="A915" t="s">
        <v>72</v>
      </c>
      <c r="B915" t="s">
        <v>73</v>
      </c>
      <c r="C915" t="s">
        <v>74</v>
      </c>
      <c r="E915" t="str">
        <f>"080065322700"</f>
        <v>080065322700</v>
      </c>
      <c r="F915" s="3">
        <v>45789</v>
      </c>
      <c r="G915">
        <v>202602</v>
      </c>
      <c r="H915" t="s">
        <v>75</v>
      </c>
      <c r="I915" t="s">
        <v>76</v>
      </c>
      <c r="J915" t="s">
        <v>77</v>
      </c>
      <c r="K915" t="s">
        <v>78</v>
      </c>
      <c r="L915" t="s">
        <v>90</v>
      </c>
      <c r="M915" t="s">
        <v>91</v>
      </c>
      <c r="N915" t="s">
        <v>563</v>
      </c>
      <c r="O915" t="s">
        <v>82</v>
      </c>
      <c r="P915" t="str">
        <f>"4170037850                    "</f>
        <v xml:space="preserve">4170037850                    </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21.38</v>
      </c>
      <c r="AR915">
        <v>0</v>
      </c>
      <c r="AS915">
        <v>0</v>
      </c>
      <c r="AT915">
        <v>0</v>
      </c>
      <c r="AU915">
        <v>0</v>
      </c>
      <c r="AV915">
        <v>0</v>
      </c>
      <c r="AW915">
        <v>0</v>
      </c>
      <c r="AX915">
        <v>0</v>
      </c>
      <c r="AY915">
        <v>0</v>
      </c>
      <c r="AZ915">
        <v>0</v>
      </c>
      <c r="BA915">
        <v>0</v>
      </c>
      <c r="BB915">
        <v>0</v>
      </c>
      <c r="BC915">
        <v>0</v>
      </c>
      <c r="BD915">
        <v>0</v>
      </c>
      <c r="BE915">
        <v>0</v>
      </c>
      <c r="BF915">
        <v>0</v>
      </c>
      <c r="BG915">
        <v>0</v>
      </c>
      <c r="BH915">
        <v>1</v>
      </c>
      <c r="BI915">
        <v>1</v>
      </c>
      <c r="BJ915">
        <v>0.2</v>
      </c>
      <c r="BK915">
        <v>1</v>
      </c>
      <c r="BL915">
        <v>69.98</v>
      </c>
      <c r="BM915">
        <v>10.5</v>
      </c>
      <c r="BN915">
        <v>80.48</v>
      </c>
      <c r="BO915">
        <v>80.48</v>
      </c>
      <c r="BQ915" t="s">
        <v>564</v>
      </c>
      <c r="BR915" t="s">
        <v>84</v>
      </c>
      <c r="BS915" s="3">
        <v>45790</v>
      </c>
      <c r="BT915" s="4">
        <v>0.35208333333333336</v>
      </c>
      <c r="BU915" t="s">
        <v>1621</v>
      </c>
      <c r="BV915" t="s">
        <v>86</v>
      </c>
      <c r="BY915">
        <v>1200</v>
      </c>
      <c r="CA915" t="s">
        <v>1622</v>
      </c>
      <c r="CC915" t="s">
        <v>91</v>
      </c>
      <c r="CD915">
        <v>6001</v>
      </c>
      <c r="CE915" t="s">
        <v>176</v>
      </c>
      <c r="CF915" s="3">
        <v>45790</v>
      </c>
      <c r="CI915">
        <v>1</v>
      </c>
      <c r="CJ915">
        <v>1</v>
      </c>
      <c r="CK915">
        <v>21</v>
      </c>
      <c r="CL915" t="s">
        <v>89</v>
      </c>
    </row>
    <row r="916" spans="1:90" x14ac:dyDescent="0.3">
      <c r="A916" t="s">
        <v>72</v>
      </c>
      <c r="B916" t="s">
        <v>73</v>
      </c>
      <c r="C916" t="s">
        <v>74</v>
      </c>
      <c r="E916" t="str">
        <f>"080065322729"</f>
        <v>080065322729</v>
      </c>
      <c r="F916" s="3">
        <v>45789</v>
      </c>
      <c r="G916">
        <v>202602</v>
      </c>
      <c r="H916" t="s">
        <v>75</v>
      </c>
      <c r="I916" t="s">
        <v>76</v>
      </c>
      <c r="J916" t="s">
        <v>77</v>
      </c>
      <c r="K916" t="s">
        <v>78</v>
      </c>
      <c r="L916" t="s">
        <v>130</v>
      </c>
      <c r="M916" t="s">
        <v>131</v>
      </c>
      <c r="N916" t="s">
        <v>1533</v>
      </c>
      <c r="O916" t="s">
        <v>82</v>
      </c>
      <c r="P916" t="str">
        <f>"4170037924                    "</f>
        <v xml:space="preserve">4170037924                    </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0</v>
      </c>
      <c r="AL916">
        <v>0</v>
      </c>
      <c r="AM916">
        <v>0</v>
      </c>
      <c r="AN916">
        <v>0</v>
      </c>
      <c r="AO916">
        <v>0</v>
      </c>
      <c r="AP916">
        <v>0</v>
      </c>
      <c r="AQ916">
        <v>21.38</v>
      </c>
      <c r="AR916">
        <v>0</v>
      </c>
      <c r="AS916">
        <v>0</v>
      </c>
      <c r="AT916">
        <v>0</v>
      </c>
      <c r="AU916">
        <v>0</v>
      </c>
      <c r="AV916">
        <v>0</v>
      </c>
      <c r="AW916">
        <v>0</v>
      </c>
      <c r="AX916">
        <v>0</v>
      </c>
      <c r="AY916">
        <v>0</v>
      </c>
      <c r="AZ916">
        <v>0</v>
      </c>
      <c r="BA916">
        <v>0</v>
      </c>
      <c r="BB916">
        <v>0</v>
      </c>
      <c r="BC916">
        <v>0</v>
      </c>
      <c r="BD916">
        <v>0</v>
      </c>
      <c r="BE916">
        <v>0</v>
      </c>
      <c r="BF916">
        <v>0</v>
      </c>
      <c r="BG916">
        <v>0</v>
      </c>
      <c r="BH916">
        <v>1</v>
      </c>
      <c r="BI916">
        <v>1</v>
      </c>
      <c r="BJ916">
        <v>0.2</v>
      </c>
      <c r="BK916">
        <v>1</v>
      </c>
      <c r="BL916">
        <v>69.98</v>
      </c>
      <c r="BM916">
        <v>10.5</v>
      </c>
      <c r="BN916">
        <v>80.48</v>
      </c>
      <c r="BO916">
        <v>80.48</v>
      </c>
      <c r="BQ916" t="s">
        <v>1534</v>
      </c>
      <c r="BR916" t="s">
        <v>84</v>
      </c>
      <c r="BS916" s="3">
        <v>45791</v>
      </c>
      <c r="BT916" s="4">
        <v>0.49305555555555558</v>
      </c>
      <c r="BU916" t="s">
        <v>1667</v>
      </c>
      <c r="BV916" t="s">
        <v>89</v>
      </c>
      <c r="BW916" t="s">
        <v>340</v>
      </c>
      <c r="BX916" t="s">
        <v>341</v>
      </c>
      <c r="BY916">
        <v>1200</v>
      </c>
      <c r="CC916" t="s">
        <v>131</v>
      </c>
      <c r="CD916">
        <v>7490</v>
      </c>
      <c r="CE916" t="s">
        <v>176</v>
      </c>
      <c r="CF916" s="3">
        <v>45792</v>
      </c>
      <c r="CI916">
        <v>1</v>
      </c>
      <c r="CJ916">
        <v>2</v>
      </c>
      <c r="CK916">
        <v>21</v>
      </c>
      <c r="CL916" t="s">
        <v>89</v>
      </c>
    </row>
    <row r="917" spans="1:90" x14ac:dyDescent="0.3">
      <c r="A917" t="s">
        <v>72</v>
      </c>
      <c r="B917" t="s">
        <v>73</v>
      </c>
      <c r="C917" t="s">
        <v>74</v>
      </c>
      <c r="E917" t="str">
        <f>"080065322762"</f>
        <v>080065322762</v>
      </c>
      <c r="F917" s="3">
        <v>45789</v>
      </c>
      <c r="G917">
        <v>202602</v>
      </c>
      <c r="H917" t="s">
        <v>75</v>
      </c>
      <c r="I917" t="s">
        <v>76</v>
      </c>
      <c r="J917" t="s">
        <v>77</v>
      </c>
      <c r="K917" t="s">
        <v>78</v>
      </c>
      <c r="L917" t="s">
        <v>463</v>
      </c>
      <c r="M917" t="s">
        <v>464</v>
      </c>
      <c r="N917" t="s">
        <v>1560</v>
      </c>
      <c r="O917" t="s">
        <v>82</v>
      </c>
      <c r="P917" t="str">
        <f>"4170037958                    "</f>
        <v xml:space="preserve">4170037958                    </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21.38</v>
      </c>
      <c r="AR917">
        <v>0</v>
      </c>
      <c r="AS917">
        <v>0</v>
      </c>
      <c r="AT917">
        <v>0</v>
      </c>
      <c r="AU917">
        <v>0</v>
      </c>
      <c r="AV917">
        <v>0</v>
      </c>
      <c r="AW917">
        <v>0</v>
      </c>
      <c r="AX917">
        <v>0</v>
      </c>
      <c r="AY917">
        <v>0</v>
      </c>
      <c r="AZ917">
        <v>0</v>
      </c>
      <c r="BA917">
        <v>0</v>
      </c>
      <c r="BB917">
        <v>0</v>
      </c>
      <c r="BC917">
        <v>0</v>
      </c>
      <c r="BD917">
        <v>0</v>
      </c>
      <c r="BE917">
        <v>0</v>
      </c>
      <c r="BF917">
        <v>0</v>
      </c>
      <c r="BG917">
        <v>0</v>
      </c>
      <c r="BH917">
        <v>1</v>
      </c>
      <c r="BI917">
        <v>1</v>
      </c>
      <c r="BJ917">
        <v>0.9</v>
      </c>
      <c r="BK917">
        <v>1</v>
      </c>
      <c r="BL917">
        <v>69.98</v>
      </c>
      <c r="BM917">
        <v>10.5</v>
      </c>
      <c r="BN917">
        <v>80.48</v>
      </c>
      <c r="BO917">
        <v>80.48</v>
      </c>
      <c r="BQ917" t="s">
        <v>1561</v>
      </c>
      <c r="BR917" t="s">
        <v>84</v>
      </c>
      <c r="BS917" s="3">
        <v>45790</v>
      </c>
      <c r="BT917" s="4">
        <v>0.46388888888888891</v>
      </c>
      <c r="BU917" t="s">
        <v>1668</v>
      </c>
      <c r="BV917" t="s">
        <v>86</v>
      </c>
      <c r="BY917">
        <v>4275</v>
      </c>
      <c r="CA917" t="s">
        <v>468</v>
      </c>
      <c r="CC917" t="s">
        <v>464</v>
      </c>
      <c r="CD917">
        <v>5201</v>
      </c>
      <c r="CE917" t="s">
        <v>96</v>
      </c>
      <c r="CF917" s="3">
        <v>45790</v>
      </c>
      <c r="CI917">
        <v>5</v>
      </c>
      <c r="CJ917">
        <v>1</v>
      </c>
      <c r="CK917">
        <v>21</v>
      </c>
      <c r="CL917" t="s">
        <v>89</v>
      </c>
    </row>
    <row r="918" spans="1:90" x14ac:dyDescent="0.3">
      <c r="A918" t="s">
        <v>72</v>
      </c>
      <c r="B918" t="s">
        <v>73</v>
      </c>
      <c r="C918" t="s">
        <v>74</v>
      </c>
      <c r="E918" t="str">
        <f>"080065322763"</f>
        <v>080065322763</v>
      </c>
      <c r="F918" s="3">
        <v>45789</v>
      </c>
      <c r="G918">
        <v>202602</v>
      </c>
      <c r="H918" t="s">
        <v>75</v>
      </c>
      <c r="I918" t="s">
        <v>76</v>
      </c>
      <c r="J918" t="s">
        <v>77</v>
      </c>
      <c r="K918" t="s">
        <v>78</v>
      </c>
      <c r="L918" t="s">
        <v>117</v>
      </c>
      <c r="M918" t="s">
        <v>118</v>
      </c>
      <c r="N918" t="s">
        <v>1228</v>
      </c>
      <c r="O918" t="s">
        <v>82</v>
      </c>
      <c r="P918" t="str">
        <f>"4170037934                    "</f>
        <v xml:space="preserve">4170037934                    </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16.7</v>
      </c>
      <c r="AR918">
        <v>0</v>
      </c>
      <c r="AS918">
        <v>0</v>
      </c>
      <c r="AT918">
        <v>0</v>
      </c>
      <c r="AU918">
        <v>0</v>
      </c>
      <c r="AV918">
        <v>0</v>
      </c>
      <c r="AW918">
        <v>0</v>
      </c>
      <c r="AX918">
        <v>0</v>
      </c>
      <c r="AY918">
        <v>0</v>
      </c>
      <c r="AZ918">
        <v>0</v>
      </c>
      <c r="BA918">
        <v>0</v>
      </c>
      <c r="BB918">
        <v>0</v>
      </c>
      <c r="BC918">
        <v>0</v>
      </c>
      <c r="BD918">
        <v>0</v>
      </c>
      <c r="BE918">
        <v>0</v>
      </c>
      <c r="BF918">
        <v>0</v>
      </c>
      <c r="BG918">
        <v>0</v>
      </c>
      <c r="BH918">
        <v>1</v>
      </c>
      <c r="BI918">
        <v>1</v>
      </c>
      <c r="BJ918">
        <v>0.2</v>
      </c>
      <c r="BK918">
        <v>1</v>
      </c>
      <c r="BL918">
        <v>54.66</v>
      </c>
      <c r="BM918">
        <v>8.1999999999999993</v>
      </c>
      <c r="BN918">
        <v>62.86</v>
      </c>
      <c r="BO918">
        <v>62.86</v>
      </c>
      <c r="BQ918" t="s">
        <v>1229</v>
      </c>
      <c r="BR918" t="s">
        <v>84</v>
      </c>
      <c r="BS918" s="3">
        <v>45790</v>
      </c>
      <c r="BT918" s="4">
        <v>0.43055555555555558</v>
      </c>
      <c r="BU918" t="s">
        <v>1593</v>
      </c>
      <c r="BV918" t="s">
        <v>86</v>
      </c>
      <c r="BY918">
        <v>1200</v>
      </c>
      <c r="CC918" t="s">
        <v>118</v>
      </c>
      <c r="CD918">
        <v>2190</v>
      </c>
      <c r="CE918" t="s">
        <v>88</v>
      </c>
      <c r="CF918" s="3">
        <v>45790</v>
      </c>
      <c r="CI918">
        <v>1</v>
      </c>
      <c r="CJ918">
        <v>1</v>
      </c>
      <c r="CK918">
        <v>22</v>
      </c>
      <c r="CL918" t="s">
        <v>89</v>
      </c>
    </row>
    <row r="919" spans="1:90" x14ac:dyDescent="0.3">
      <c r="A919" t="s">
        <v>72</v>
      </c>
      <c r="B919" t="s">
        <v>73</v>
      </c>
      <c r="C919" t="s">
        <v>74</v>
      </c>
      <c r="E919" t="str">
        <f>"080065322800"</f>
        <v>080065322800</v>
      </c>
      <c r="F919" s="3">
        <v>45789</v>
      </c>
      <c r="G919">
        <v>202602</v>
      </c>
      <c r="H919" t="s">
        <v>75</v>
      </c>
      <c r="I919" t="s">
        <v>76</v>
      </c>
      <c r="J919" t="s">
        <v>77</v>
      </c>
      <c r="K919" t="s">
        <v>78</v>
      </c>
      <c r="L919" t="s">
        <v>648</v>
      </c>
      <c r="M919" t="s">
        <v>649</v>
      </c>
      <c r="N919" t="s">
        <v>695</v>
      </c>
      <c r="O919" t="s">
        <v>82</v>
      </c>
      <c r="P919" t="str">
        <f>"4170037949                    "</f>
        <v xml:space="preserve">4170037949                    </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16.7</v>
      </c>
      <c r="AR919">
        <v>0</v>
      </c>
      <c r="AS919">
        <v>0</v>
      </c>
      <c r="AT919">
        <v>0</v>
      </c>
      <c r="AU919">
        <v>0</v>
      </c>
      <c r="AV919">
        <v>0</v>
      </c>
      <c r="AW919">
        <v>0</v>
      </c>
      <c r="AX919">
        <v>0</v>
      </c>
      <c r="AY919">
        <v>0</v>
      </c>
      <c r="AZ919">
        <v>0</v>
      </c>
      <c r="BA919">
        <v>0</v>
      </c>
      <c r="BB919">
        <v>0</v>
      </c>
      <c r="BC919">
        <v>0</v>
      </c>
      <c r="BD919">
        <v>0</v>
      </c>
      <c r="BE919">
        <v>0</v>
      </c>
      <c r="BF919">
        <v>0</v>
      </c>
      <c r="BG919">
        <v>0</v>
      </c>
      <c r="BH919">
        <v>1</v>
      </c>
      <c r="BI919">
        <v>1</v>
      </c>
      <c r="BJ919">
        <v>0.2</v>
      </c>
      <c r="BK919">
        <v>1</v>
      </c>
      <c r="BL919">
        <v>54.66</v>
      </c>
      <c r="BM919">
        <v>8.1999999999999993</v>
      </c>
      <c r="BN919">
        <v>62.86</v>
      </c>
      <c r="BO919">
        <v>62.86</v>
      </c>
      <c r="BQ919" t="s">
        <v>696</v>
      </c>
      <c r="BR919" t="s">
        <v>84</v>
      </c>
      <c r="BS919" s="3">
        <v>45790</v>
      </c>
      <c r="BT919" s="4">
        <v>0.34027777777777779</v>
      </c>
      <c r="BU919" t="s">
        <v>697</v>
      </c>
      <c r="BV919" t="s">
        <v>86</v>
      </c>
      <c r="BY919">
        <v>1200</v>
      </c>
      <c r="CA919" t="s">
        <v>698</v>
      </c>
      <c r="CC919" t="s">
        <v>649</v>
      </c>
      <c r="CD919">
        <v>1559</v>
      </c>
      <c r="CE919" t="s">
        <v>88</v>
      </c>
      <c r="CF919" s="3">
        <v>45790</v>
      </c>
      <c r="CI919">
        <v>1</v>
      </c>
      <c r="CJ919">
        <v>1</v>
      </c>
      <c r="CK919">
        <v>22</v>
      </c>
      <c r="CL919" t="s">
        <v>89</v>
      </c>
    </row>
    <row r="920" spans="1:90" x14ac:dyDescent="0.3">
      <c r="A920" t="s">
        <v>72</v>
      </c>
      <c r="B920" t="s">
        <v>73</v>
      </c>
      <c r="C920" t="s">
        <v>74</v>
      </c>
      <c r="E920" t="str">
        <f>"080065322824"</f>
        <v>080065322824</v>
      </c>
      <c r="F920" s="3">
        <v>45789</v>
      </c>
      <c r="G920">
        <v>202602</v>
      </c>
      <c r="H920" t="s">
        <v>75</v>
      </c>
      <c r="I920" t="s">
        <v>76</v>
      </c>
      <c r="J920" t="s">
        <v>77</v>
      </c>
      <c r="K920" t="s">
        <v>78</v>
      </c>
      <c r="L920" t="s">
        <v>130</v>
      </c>
      <c r="M920" t="s">
        <v>131</v>
      </c>
      <c r="N920" t="s">
        <v>1066</v>
      </c>
      <c r="O920" t="s">
        <v>82</v>
      </c>
      <c r="P920" t="str">
        <f>"4170037707                    "</f>
        <v xml:space="preserve">4170037707                    </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21.38</v>
      </c>
      <c r="AR920">
        <v>0</v>
      </c>
      <c r="AS920">
        <v>0</v>
      </c>
      <c r="AT920">
        <v>0</v>
      </c>
      <c r="AU920">
        <v>0</v>
      </c>
      <c r="AV920">
        <v>0</v>
      </c>
      <c r="AW920">
        <v>0</v>
      </c>
      <c r="AX920">
        <v>0</v>
      </c>
      <c r="AY920">
        <v>0</v>
      </c>
      <c r="AZ920">
        <v>0</v>
      </c>
      <c r="BA920">
        <v>0</v>
      </c>
      <c r="BB920">
        <v>0</v>
      </c>
      <c r="BC920">
        <v>0</v>
      </c>
      <c r="BD920">
        <v>0</v>
      </c>
      <c r="BE920">
        <v>0</v>
      </c>
      <c r="BF920">
        <v>0</v>
      </c>
      <c r="BG920">
        <v>0</v>
      </c>
      <c r="BH920">
        <v>1</v>
      </c>
      <c r="BI920">
        <v>1</v>
      </c>
      <c r="BJ920">
        <v>0.2</v>
      </c>
      <c r="BK920">
        <v>1</v>
      </c>
      <c r="BL920">
        <v>69.98</v>
      </c>
      <c r="BM920">
        <v>10.5</v>
      </c>
      <c r="BN920">
        <v>80.48</v>
      </c>
      <c r="BO920">
        <v>80.48</v>
      </c>
      <c r="BQ920" t="s">
        <v>1067</v>
      </c>
      <c r="BR920" t="s">
        <v>84</v>
      </c>
      <c r="BS920" s="3">
        <v>45790</v>
      </c>
      <c r="BT920" s="4">
        <v>0.46319444444444446</v>
      </c>
      <c r="BU920" t="s">
        <v>1669</v>
      </c>
      <c r="BV920" t="s">
        <v>89</v>
      </c>
      <c r="BW920" t="s">
        <v>340</v>
      </c>
      <c r="BX920" t="s">
        <v>618</v>
      </c>
      <c r="BY920">
        <v>1200</v>
      </c>
      <c r="CA920" t="s">
        <v>712</v>
      </c>
      <c r="CC920" t="s">
        <v>131</v>
      </c>
      <c r="CD920">
        <v>7561</v>
      </c>
      <c r="CE920" t="s">
        <v>88</v>
      </c>
      <c r="CF920" s="3">
        <v>45791</v>
      </c>
      <c r="CI920">
        <v>1</v>
      </c>
      <c r="CJ920">
        <v>1</v>
      </c>
      <c r="CK920">
        <v>21</v>
      </c>
      <c r="CL920" t="s">
        <v>89</v>
      </c>
    </row>
    <row r="921" spans="1:90" x14ac:dyDescent="0.3">
      <c r="A921" t="s">
        <v>72</v>
      </c>
      <c r="B921" t="s">
        <v>73</v>
      </c>
      <c r="C921" t="s">
        <v>74</v>
      </c>
      <c r="E921" t="str">
        <f>"080065322838"</f>
        <v>080065322838</v>
      </c>
      <c r="F921" s="3">
        <v>45789</v>
      </c>
      <c r="G921">
        <v>202602</v>
      </c>
      <c r="H921" t="s">
        <v>75</v>
      </c>
      <c r="I921" t="s">
        <v>76</v>
      </c>
      <c r="J921" t="s">
        <v>77</v>
      </c>
      <c r="K921" t="s">
        <v>78</v>
      </c>
      <c r="L921" t="s">
        <v>117</v>
      </c>
      <c r="M921" t="s">
        <v>118</v>
      </c>
      <c r="N921" t="s">
        <v>1670</v>
      </c>
      <c r="O921" t="s">
        <v>82</v>
      </c>
      <c r="P921" t="str">
        <f>"4170037716                    "</f>
        <v xml:space="preserve">4170037716                    </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16.7</v>
      </c>
      <c r="AR921">
        <v>0</v>
      </c>
      <c r="AS921">
        <v>0</v>
      </c>
      <c r="AT921">
        <v>0</v>
      </c>
      <c r="AU921">
        <v>0</v>
      </c>
      <c r="AV921">
        <v>0</v>
      </c>
      <c r="AW921">
        <v>0</v>
      </c>
      <c r="AX921">
        <v>0</v>
      </c>
      <c r="AY921">
        <v>0</v>
      </c>
      <c r="AZ921">
        <v>0</v>
      </c>
      <c r="BA921">
        <v>0</v>
      </c>
      <c r="BB921">
        <v>0</v>
      </c>
      <c r="BC921">
        <v>0</v>
      </c>
      <c r="BD921">
        <v>0</v>
      </c>
      <c r="BE921">
        <v>0</v>
      </c>
      <c r="BF921">
        <v>0</v>
      </c>
      <c r="BG921">
        <v>0</v>
      </c>
      <c r="BH921">
        <v>1</v>
      </c>
      <c r="BI921">
        <v>4</v>
      </c>
      <c r="BJ921">
        <v>2</v>
      </c>
      <c r="BK921">
        <v>4</v>
      </c>
      <c r="BL921">
        <v>54.66</v>
      </c>
      <c r="BM921">
        <v>8.1999999999999993</v>
      </c>
      <c r="BN921">
        <v>62.86</v>
      </c>
      <c r="BO921">
        <v>62.86</v>
      </c>
      <c r="BQ921" t="s">
        <v>1671</v>
      </c>
      <c r="BR921" t="s">
        <v>84</v>
      </c>
      <c r="BS921" s="3">
        <v>45790</v>
      </c>
      <c r="BT921" s="4">
        <v>0.50486111111111109</v>
      </c>
      <c r="BU921" t="s">
        <v>1672</v>
      </c>
      <c r="BV921" t="s">
        <v>89</v>
      </c>
      <c r="BW921" t="s">
        <v>148</v>
      </c>
      <c r="BX921" t="s">
        <v>149</v>
      </c>
      <c r="BY921">
        <v>9918</v>
      </c>
      <c r="CA921" t="s">
        <v>1662</v>
      </c>
      <c r="CC921" t="s">
        <v>118</v>
      </c>
      <c r="CD921">
        <v>2040</v>
      </c>
      <c r="CE921" t="s">
        <v>96</v>
      </c>
      <c r="CF921" s="3">
        <v>45790</v>
      </c>
      <c r="CI921">
        <v>1</v>
      </c>
      <c r="CJ921">
        <v>1</v>
      </c>
      <c r="CK921">
        <v>22</v>
      </c>
      <c r="CL921" t="s">
        <v>89</v>
      </c>
    </row>
    <row r="922" spans="1:90" x14ac:dyDescent="0.3">
      <c r="A922" t="s">
        <v>72</v>
      </c>
      <c r="B922" t="s">
        <v>73</v>
      </c>
      <c r="C922" t="s">
        <v>74</v>
      </c>
      <c r="E922" t="str">
        <f>"080065322856"</f>
        <v>080065322856</v>
      </c>
      <c r="F922" s="3">
        <v>45789</v>
      </c>
      <c r="G922">
        <v>202602</v>
      </c>
      <c r="H922" t="s">
        <v>75</v>
      </c>
      <c r="I922" t="s">
        <v>76</v>
      </c>
      <c r="J922" t="s">
        <v>77</v>
      </c>
      <c r="K922" t="s">
        <v>78</v>
      </c>
      <c r="L922" t="s">
        <v>967</v>
      </c>
      <c r="M922" t="s">
        <v>967</v>
      </c>
      <c r="N922" t="s">
        <v>850</v>
      </c>
      <c r="O922" t="s">
        <v>82</v>
      </c>
      <c r="P922" t="str">
        <f>"4170037706                    "</f>
        <v xml:space="preserve">4170037706                    </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30.07</v>
      </c>
      <c r="AR922">
        <v>0</v>
      </c>
      <c r="AS922">
        <v>0</v>
      </c>
      <c r="AT922">
        <v>0</v>
      </c>
      <c r="AU922">
        <v>0</v>
      </c>
      <c r="AV922">
        <v>0</v>
      </c>
      <c r="AW922">
        <v>0</v>
      </c>
      <c r="AX922">
        <v>0</v>
      </c>
      <c r="AY922">
        <v>0</v>
      </c>
      <c r="AZ922">
        <v>0</v>
      </c>
      <c r="BA922">
        <v>0</v>
      </c>
      <c r="BB922">
        <v>0</v>
      </c>
      <c r="BC922">
        <v>0</v>
      </c>
      <c r="BD922">
        <v>0</v>
      </c>
      <c r="BE922">
        <v>0</v>
      </c>
      <c r="BF922">
        <v>0</v>
      </c>
      <c r="BG922">
        <v>0</v>
      </c>
      <c r="BH922">
        <v>1</v>
      </c>
      <c r="BI922">
        <v>1</v>
      </c>
      <c r="BJ922">
        <v>0.2</v>
      </c>
      <c r="BK922">
        <v>1</v>
      </c>
      <c r="BL922">
        <v>98.42</v>
      </c>
      <c r="BM922">
        <v>14.76</v>
      </c>
      <c r="BN922">
        <v>113.18</v>
      </c>
      <c r="BO922">
        <v>113.18</v>
      </c>
      <c r="BQ922" t="s">
        <v>851</v>
      </c>
      <c r="BR922" t="s">
        <v>84</v>
      </c>
      <c r="BS922" s="3">
        <v>45790</v>
      </c>
      <c r="BT922" s="4">
        <v>0.40763888888888888</v>
      </c>
      <c r="BU922" t="s">
        <v>1673</v>
      </c>
      <c r="BV922" t="s">
        <v>86</v>
      </c>
      <c r="BY922">
        <v>1200</v>
      </c>
      <c r="CA922" t="s">
        <v>525</v>
      </c>
      <c r="CC922" t="s">
        <v>967</v>
      </c>
      <c r="CD922">
        <v>1491</v>
      </c>
      <c r="CE922" t="s">
        <v>88</v>
      </c>
      <c r="CF922" s="3">
        <v>45791</v>
      </c>
      <c r="CI922">
        <v>1</v>
      </c>
      <c r="CJ922">
        <v>1</v>
      </c>
      <c r="CK922">
        <v>24</v>
      </c>
      <c r="CL922" t="s">
        <v>89</v>
      </c>
    </row>
    <row r="923" spans="1:90" x14ac:dyDescent="0.3">
      <c r="A923" t="s">
        <v>72</v>
      </c>
      <c r="B923" t="s">
        <v>73</v>
      </c>
      <c r="C923" t="s">
        <v>74</v>
      </c>
      <c r="E923" t="str">
        <f>"080065322874"</f>
        <v>080065322874</v>
      </c>
      <c r="F923" s="3">
        <v>45789</v>
      </c>
      <c r="G923">
        <v>202602</v>
      </c>
      <c r="H923" t="s">
        <v>75</v>
      </c>
      <c r="I923" t="s">
        <v>76</v>
      </c>
      <c r="J923" t="s">
        <v>77</v>
      </c>
      <c r="K923" t="s">
        <v>78</v>
      </c>
      <c r="L923" t="s">
        <v>374</v>
      </c>
      <c r="M923" t="s">
        <v>375</v>
      </c>
      <c r="N923" t="s">
        <v>376</v>
      </c>
      <c r="O923" t="s">
        <v>82</v>
      </c>
      <c r="P923" t="str">
        <f>"4170037694                    "</f>
        <v xml:space="preserve">4170037694                    </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191.1</v>
      </c>
      <c r="AR923">
        <v>0</v>
      </c>
      <c r="AS923">
        <v>0</v>
      </c>
      <c r="AT923">
        <v>0</v>
      </c>
      <c r="AU923">
        <v>0</v>
      </c>
      <c r="AV923">
        <v>0</v>
      </c>
      <c r="AW923">
        <v>0</v>
      </c>
      <c r="AX923">
        <v>0</v>
      </c>
      <c r="AY923">
        <v>0</v>
      </c>
      <c r="AZ923">
        <v>0</v>
      </c>
      <c r="BA923">
        <v>0</v>
      </c>
      <c r="BB923">
        <v>0</v>
      </c>
      <c r="BC923">
        <v>0</v>
      </c>
      <c r="BD923">
        <v>0</v>
      </c>
      <c r="BE923">
        <v>0</v>
      </c>
      <c r="BF923">
        <v>0</v>
      </c>
      <c r="BG923">
        <v>0</v>
      </c>
      <c r="BH923">
        <v>1</v>
      </c>
      <c r="BI923">
        <v>10</v>
      </c>
      <c r="BJ923">
        <v>9.1</v>
      </c>
      <c r="BK923">
        <v>10</v>
      </c>
      <c r="BL923">
        <v>625.41999999999996</v>
      </c>
      <c r="BM923">
        <v>93.81</v>
      </c>
      <c r="BN923">
        <v>719.23</v>
      </c>
      <c r="BO923">
        <v>719.23</v>
      </c>
      <c r="BQ923" t="s">
        <v>377</v>
      </c>
      <c r="BR923" t="s">
        <v>84</v>
      </c>
      <c r="BS923" s="3">
        <v>45790</v>
      </c>
      <c r="BT923" s="4">
        <v>0.52500000000000002</v>
      </c>
      <c r="BU923" t="s">
        <v>1626</v>
      </c>
      <c r="BV923" t="s">
        <v>86</v>
      </c>
      <c r="BY923">
        <v>45632</v>
      </c>
      <c r="CA923" t="s">
        <v>379</v>
      </c>
      <c r="CC923" t="s">
        <v>375</v>
      </c>
      <c r="CD923">
        <v>7130</v>
      </c>
      <c r="CE923" t="s">
        <v>96</v>
      </c>
      <c r="CF923" s="3">
        <v>45791</v>
      </c>
      <c r="CI923">
        <v>1</v>
      </c>
      <c r="CJ923">
        <v>1</v>
      </c>
      <c r="CK923">
        <v>23</v>
      </c>
      <c r="CL923" t="s">
        <v>89</v>
      </c>
    </row>
    <row r="924" spans="1:90" x14ac:dyDescent="0.3">
      <c r="A924" t="s">
        <v>72</v>
      </c>
      <c r="B924" t="s">
        <v>73</v>
      </c>
      <c r="C924" t="s">
        <v>74</v>
      </c>
      <c r="E924" t="str">
        <f>"080065322880"</f>
        <v>080065322880</v>
      </c>
      <c r="F924" s="3">
        <v>45789</v>
      </c>
      <c r="G924">
        <v>202602</v>
      </c>
      <c r="H924" t="s">
        <v>75</v>
      </c>
      <c r="I924" t="s">
        <v>76</v>
      </c>
      <c r="J924" t="s">
        <v>77</v>
      </c>
      <c r="K924" t="s">
        <v>78</v>
      </c>
      <c r="L924" t="s">
        <v>624</v>
      </c>
      <c r="M924" t="s">
        <v>625</v>
      </c>
      <c r="N924" t="s">
        <v>626</v>
      </c>
      <c r="O924" t="s">
        <v>82</v>
      </c>
      <c r="P924" t="str">
        <f>"4170037939                    "</f>
        <v xml:space="preserve">4170037939                    </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41.43</v>
      </c>
      <c r="AR924">
        <v>0</v>
      </c>
      <c r="AS924">
        <v>0</v>
      </c>
      <c r="AT924">
        <v>0</v>
      </c>
      <c r="AU924">
        <v>0</v>
      </c>
      <c r="AV924">
        <v>0</v>
      </c>
      <c r="AW924">
        <v>0</v>
      </c>
      <c r="AX924">
        <v>0</v>
      </c>
      <c r="AY924">
        <v>0</v>
      </c>
      <c r="AZ924">
        <v>0</v>
      </c>
      <c r="BA924">
        <v>0</v>
      </c>
      <c r="BB924">
        <v>0</v>
      </c>
      <c r="BC924">
        <v>0</v>
      </c>
      <c r="BD924">
        <v>0</v>
      </c>
      <c r="BE924">
        <v>0</v>
      </c>
      <c r="BF924">
        <v>0</v>
      </c>
      <c r="BG924">
        <v>0</v>
      </c>
      <c r="BH924">
        <v>1</v>
      </c>
      <c r="BI924">
        <v>1</v>
      </c>
      <c r="BJ924">
        <v>0.2</v>
      </c>
      <c r="BK924">
        <v>1</v>
      </c>
      <c r="BL924">
        <v>135.59</v>
      </c>
      <c r="BM924">
        <v>20.34</v>
      </c>
      <c r="BN924">
        <v>155.93</v>
      </c>
      <c r="BO924">
        <v>155.93</v>
      </c>
      <c r="BQ924" t="s">
        <v>627</v>
      </c>
      <c r="BR924" t="s">
        <v>84</v>
      </c>
      <c r="BS924" s="3">
        <v>45790</v>
      </c>
      <c r="BT924" s="4">
        <v>0.34583333333333333</v>
      </c>
      <c r="BU924" t="s">
        <v>1674</v>
      </c>
      <c r="BV924" t="s">
        <v>86</v>
      </c>
      <c r="BY924">
        <v>1200</v>
      </c>
      <c r="CC924" t="s">
        <v>625</v>
      </c>
      <c r="CD924">
        <v>1947</v>
      </c>
      <c r="CE924" t="s">
        <v>88</v>
      </c>
      <c r="CF924" s="3">
        <v>45791</v>
      </c>
      <c r="CI924">
        <v>1</v>
      </c>
      <c r="CJ924">
        <v>1</v>
      </c>
      <c r="CK924">
        <v>23</v>
      </c>
      <c r="CL924" t="s">
        <v>89</v>
      </c>
    </row>
    <row r="925" spans="1:90" x14ac:dyDescent="0.3">
      <c r="A925" t="s">
        <v>72</v>
      </c>
      <c r="B925" t="s">
        <v>73</v>
      </c>
      <c r="C925" t="s">
        <v>74</v>
      </c>
      <c r="E925" t="str">
        <f>"080065322909"</f>
        <v>080065322909</v>
      </c>
      <c r="F925" s="3">
        <v>45789</v>
      </c>
      <c r="G925">
        <v>202602</v>
      </c>
      <c r="H925" t="s">
        <v>75</v>
      </c>
      <c r="I925" t="s">
        <v>76</v>
      </c>
      <c r="J925" t="s">
        <v>77</v>
      </c>
      <c r="K925" t="s">
        <v>78</v>
      </c>
      <c r="L925" t="s">
        <v>222</v>
      </c>
      <c r="M925" t="s">
        <v>223</v>
      </c>
      <c r="N925" t="s">
        <v>224</v>
      </c>
      <c r="O925" t="s">
        <v>82</v>
      </c>
      <c r="P925" t="str">
        <f>"4170037746                    "</f>
        <v xml:space="preserve">4170037746                    </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30.07</v>
      </c>
      <c r="AR925">
        <v>0</v>
      </c>
      <c r="AS925">
        <v>0</v>
      </c>
      <c r="AT925">
        <v>0</v>
      </c>
      <c r="AU925">
        <v>0</v>
      </c>
      <c r="AV925">
        <v>0</v>
      </c>
      <c r="AW925">
        <v>0</v>
      </c>
      <c r="AX925">
        <v>0</v>
      </c>
      <c r="AY925">
        <v>0</v>
      </c>
      <c r="AZ925">
        <v>0</v>
      </c>
      <c r="BA925">
        <v>0</v>
      </c>
      <c r="BB925">
        <v>0</v>
      </c>
      <c r="BC925">
        <v>0</v>
      </c>
      <c r="BD925">
        <v>0</v>
      </c>
      <c r="BE925">
        <v>0</v>
      </c>
      <c r="BF925">
        <v>0</v>
      </c>
      <c r="BG925">
        <v>0</v>
      </c>
      <c r="BH925">
        <v>1</v>
      </c>
      <c r="BI925">
        <v>1</v>
      </c>
      <c r="BJ925">
        <v>0.2</v>
      </c>
      <c r="BK925">
        <v>1</v>
      </c>
      <c r="BL925">
        <v>98.42</v>
      </c>
      <c r="BM925">
        <v>14.76</v>
      </c>
      <c r="BN925">
        <v>113.18</v>
      </c>
      <c r="BO925">
        <v>113.18</v>
      </c>
      <c r="BQ925" t="s">
        <v>225</v>
      </c>
      <c r="BR925" t="s">
        <v>84</v>
      </c>
      <c r="BS925" s="3">
        <v>45790</v>
      </c>
      <c r="BT925" s="4">
        <v>0.45763888888888887</v>
      </c>
      <c r="BU925" t="s">
        <v>226</v>
      </c>
      <c r="BV925" t="s">
        <v>86</v>
      </c>
      <c r="BY925">
        <v>1200</v>
      </c>
      <c r="CA925" t="s">
        <v>227</v>
      </c>
      <c r="CC925" t="s">
        <v>223</v>
      </c>
      <c r="CD925">
        <v>1754</v>
      </c>
      <c r="CE925" t="s">
        <v>88</v>
      </c>
      <c r="CF925" s="3">
        <v>45791</v>
      </c>
      <c r="CI925">
        <v>1</v>
      </c>
      <c r="CJ925">
        <v>1</v>
      </c>
      <c r="CK925">
        <v>24</v>
      </c>
      <c r="CL925" t="s">
        <v>89</v>
      </c>
    </row>
    <row r="926" spans="1:90" x14ac:dyDescent="0.3">
      <c r="A926" t="s">
        <v>72</v>
      </c>
      <c r="B926" t="s">
        <v>73</v>
      </c>
      <c r="C926" t="s">
        <v>74</v>
      </c>
      <c r="E926" t="str">
        <f>"080065322945"</f>
        <v>080065322945</v>
      </c>
      <c r="F926" s="3">
        <v>45789</v>
      </c>
      <c r="G926">
        <v>202602</v>
      </c>
      <c r="H926" t="s">
        <v>75</v>
      </c>
      <c r="I926" t="s">
        <v>76</v>
      </c>
      <c r="J926" t="s">
        <v>77</v>
      </c>
      <c r="K926" t="s">
        <v>78</v>
      </c>
      <c r="L926" t="s">
        <v>1099</v>
      </c>
      <c r="M926" t="s">
        <v>1100</v>
      </c>
      <c r="N926" t="s">
        <v>1287</v>
      </c>
      <c r="O926" t="s">
        <v>300</v>
      </c>
      <c r="P926" t="str">
        <f>"4170037778                    "</f>
        <v xml:space="preserve">4170037778                    </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58.32</v>
      </c>
      <c r="AR926">
        <v>0</v>
      </c>
      <c r="AS926">
        <v>0</v>
      </c>
      <c r="AT926">
        <v>0</v>
      </c>
      <c r="AU926">
        <v>0</v>
      </c>
      <c r="AV926">
        <v>0</v>
      </c>
      <c r="AW926">
        <v>0</v>
      </c>
      <c r="AX926">
        <v>0</v>
      </c>
      <c r="AY926">
        <v>0</v>
      </c>
      <c r="AZ926">
        <v>0</v>
      </c>
      <c r="BA926">
        <v>0</v>
      </c>
      <c r="BB926">
        <v>0</v>
      </c>
      <c r="BC926">
        <v>0</v>
      </c>
      <c r="BD926">
        <v>0</v>
      </c>
      <c r="BE926">
        <v>0</v>
      </c>
      <c r="BF926">
        <v>0</v>
      </c>
      <c r="BG926">
        <v>0</v>
      </c>
      <c r="BH926">
        <v>1</v>
      </c>
      <c r="BI926">
        <v>7</v>
      </c>
      <c r="BJ926">
        <v>5.4</v>
      </c>
      <c r="BK926">
        <v>7</v>
      </c>
      <c r="BL926">
        <v>196.44</v>
      </c>
      <c r="BM926">
        <v>29.47</v>
      </c>
      <c r="BN926">
        <v>225.91</v>
      </c>
      <c r="BO926">
        <v>225.91</v>
      </c>
      <c r="BQ926" t="s">
        <v>1288</v>
      </c>
      <c r="BR926" t="s">
        <v>84</v>
      </c>
      <c r="BS926" s="3">
        <v>45790</v>
      </c>
      <c r="BT926" s="4">
        <v>0.47083333333333333</v>
      </c>
      <c r="BU926" t="s">
        <v>1675</v>
      </c>
      <c r="BV926" t="s">
        <v>86</v>
      </c>
      <c r="BY926">
        <v>26910</v>
      </c>
      <c r="CA926" t="s">
        <v>1104</v>
      </c>
      <c r="CC926" t="s">
        <v>1100</v>
      </c>
      <c r="CD926" s="5" t="s">
        <v>1291</v>
      </c>
      <c r="CE926" t="s">
        <v>1676</v>
      </c>
      <c r="CF926" s="3">
        <v>45791</v>
      </c>
      <c r="CI926">
        <v>1</v>
      </c>
      <c r="CJ926">
        <v>1</v>
      </c>
      <c r="CK926">
        <v>43</v>
      </c>
      <c r="CL926" t="s">
        <v>89</v>
      </c>
    </row>
    <row r="927" spans="1:90" x14ac:dyDescent="0.3">
      <c r="A927" t="s">
        <v>72</v>
      </c>
      <c r="B927" t="s">
        <v>73</v>
      </c>
      <c r="C927" t="s">
        <v>74</v>
      </c>
      <c r="E927" t="str">
        <f>"080065322947"</f>
        <v>080065322947</v>
      </c>
      <c r="F927" s="3">
        <v>45789</v>
      </c>
      <c r="G927">
        <v>202602</v>
      </c>
      <c r="H927" t="s">
        <v>75</v>
      </c>
      <c r="I927" t="s">
        <v>76</v>
      </c>
      <c r="J927" t="s">
        <v>77</v>
      </c>
      <c r="K927" t="s">
        <v>78</v>
      </c>
      <c r="L927" t="s">
        <v>130</v>
      </c>
      <c r="M927" t="s">
        <v>131</v>
      </c>
      <c r="N927" t="s">
        <v>343</v>
      </c>
      <c r="O927" t="s">
        <v>82</v>
      </c>
      <c r="P927" t="str">
        <f>"4170037720                    "</f>
        <v xml:space="preserve">4170037720                    </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21.38</v>
      </c>
      <c r="AR927">
        <v>0</v>
      </c>
      <c r="AS927">
        <v>0</v>
      </c>
      <c r="AT927">
        <v>0</v>
      </c>
      <c r="AU927">
        <v>0</v>
      </c>
      <c r="AV927">
        <v>0</v>
      </c>
      <c r="AW927">
        <v>0</v>
      </c>
      <c r="AX927">
        <v>0</v>
      </c>
      <c r="AY927">
        <v>0</v>
      </c>
      <c r="AZ927">
        <v>0</v>
      </c>
      <c r="BA927">
        <v>0</v>
      </c>
      <c r="BB927">
        <v>0</v>
      </c>
      <c r="BC927">
        <v>0</v>
      </c>
      <c r="BD927">
        <v>0</v>
      </c>
      <c r="BE927">
        <v>0</v>
      </c>
      <c r="BF927">
        <v>0</v>
      </c>
      <c r="BG927">
        <v>0</v>
      </c>
      <c r="BH927">
        <v>1</v>
      </c>
      <c r="BI927">
        <v>1</v>
      </c>
      <c r="BJ927">
        <v>0.2</v>
      </c>
      <c r="BK927">
        <v>1</v>
      </c>
      <c r="BL927">
        <v>69.98</v>
      </c>
      <c r="BM927">
        <v>10.5</v>
      </c>
      <c r="BN927">
        <v>80.48</v>
      </c>
      <c r="BO927">
        <v>80.48</v>
      </c>
      <c r="BQ927" t="s">
        <v>344</v>
      </c>
      <c r="BR927" t="s">
        <v>84</v>
      </c>
      <c r="BS927" s="3">
        <v>45790</v>
      </c>
      <c r="BT927" s="4">
        <v>0.3888888888888889</v>
      </c>
      <c r="BU927" t="s">
        <v>1633</v>
      </c>
      <c r="BV927" t="s">
        <v>86</v>
      </c>
      <c r="BY927">
        <v>1200</v>
      </c>
      <c r="CA927" t="s">
        <v>1634</v>
      </c>
      <c r="CC927" t="s">
        <v>131</v>
      </c>
      <c r="CD927">
        <v>7441</v>
      </c>
      <c r="CE927" t="s">
        <v>88</v>
      </c>
      <c r="CF927" s="3">
        <v>45791</v>
      </c>
      <c r="CI927">
        <v>1</v>
      </c>
      <c r="CJ927">
        <v>1</v>
      </c>
      <c r="CK927">
        <v>21</v>
      </c>
      <c r="CL927" t="s">
        <v>89</v>
      </c>
    </row>
    <row r="928" spans="1:90" x14ac:dyDescent="0.3">
      <c r="A928" t="s">
        <v>72</v>
      </c>
      <c r="B928" t="s">
        <v>73</v>
      </c>
      <c r="C928" t="s">
        <v>74</v>
      </c>
      <c r="E928" t="str">
        <f>"080065322970"</f>
        <v>080065322970</v>
      </c>
      <c r="F928" s="3">
        <v>45789</v>
      </c>
      <c r="G928">
        <v>202602</v>
      </c>
      <c r="H928" t="s">
        <v>75</v>
      </c>
      <c r="I928" t="s">
        <v>76</v>
      </c>
      <c r="J928" t="s">
        <v>77</v>
      </c>
      <c r="K928" t="s">
        <v>78</v>
      </c>
      <c r="L928" t="s">
        <v>610</v>
      </c>
      <c r="M928" t="s">
        <v>611</v>
      </c>
      <c r="N928" t="s">
        <v>612</v>
      </c>
      <c r="O928" t="s">
        <v>82</v>
      </c>
      <c r="P928" t="str">
        <f>"4170037751                    "</f>
        <v xml:space="preserve">4170037751                    </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41.43</v>
      </c>
      <c r="AR928">
        <v>0</v>
      </c>
      <c r="AS928">
        <v>0</v>
      </c>
      <c r="AT928">
        <v>0</v>
      </c>
      <c r="AU928">
        <v>0</v>
      </c>
      <c r="AV928">
        <v>0</v>
      </c>
      <c r="AW928">
        <v>0</v>
      </c>
      <c r="AX928">
        <v>0</v>
      </c>
      <c r="AY928">
        <v>0</v>
      </c>
      <c r="AZ928">
        <v>0</v>
      </c>
      <c r="BA928">
        <v>0</v>
      </c>
      <c r="BB928">
        <v>0</v>
      </c>
      <c r="BC928">
        <v>0</v>
      </c>
      <c r="BD928">
        <v>0</v>
      </c>
      <c r="BE928">
        <v>0</v>
      </c>
      <c r="BF928">
        <v>0</v>
      </c>
      <c r="BG928">
        <v>0</v>
      </c>
      <c r="BH928">
        <v>1</v>
      </c>
      <c r="BI928">
        <v>1</v>
      </c>
      <c r="BJ928">
        <v>0.2</v>
      </c>
      <c r="BK928">
        <v>1</v>
      </c>
      <c r="BL928">
        <v>135.59</v>
      </c>
      <c r="BM928">
        <v>20.34</v>
      </c>
      <c r="BN928">
        <v>155.93</v>
      </c>
      <c r="BO928">
        <v>155.93</v>
      </c>
      <c r="BQ928" t="s">
        <v>613</v>
      </c>
      <c r="BR928" t="s">
        <v>84</v>
      </c>
      <c r="BS928" s="3">
        <v>45790</v>
      </c>
      <c r="BT928" s="4">
        <v>0.55069444444444449</v>
      </c>
      <c r="BU928" t="s">
        <v>1677</v>
      </c>
      <c r="BV928" t="s">
        <v>89</v>
      </c>
      <c r="BW928" t="s">
        <v>340</v>
      </c>
      <c r="BX928" t="s">
        <v>1367</v>
      </c>
      <c r="BY928">
        <v>1200</v>
      </c>
      <c r="CC928" t="s">
        <v>611</v>
      </c>
      <c r="CD928">
        <v>7349</v>
      </c>
      <c r="CE928" t="s">
        <v>88</v>
      </c>
      <c r="CF928" s="3">
        <v>45791</v>
      </c>
      <c r="CI928">
        <v>1</v>
      </c>
      <c r="CJ928">
        <v>1</v>
      </c>
      <c r="CK928">
        <v>23</v>
      </c>
      <c r="CL928" t="s">
        <v>89</v>
      </c>
    </row>
    <row r="929" spans="1:90" x14ac:dyDescent="0.3">
      <c r="A929" t="s">
        <v>72</v>
      </c>
      <c r="B929" t="s">
        <v>73</v>
      </c>
      <c r="C929" t="s">
        <v>74</v>
      </c>
      <c r="E929" t="str">
        <f>"080065322998"</f>
        <v>080065322998</v>
      </c>
      <c r="F929" s="3">
        <v>45789</v>
      </c>
      <c r="G929">
        <v>202602</v>
      </c>
      <c r="H929" t="s">
        <v>75</v>
      </c>
      <c r="I929" t="s">
        <v>76</v>
      </c>
      <c r="J929" t="s">
        <v>77</v>
      </c>
      <c r="K929" t="s">
        <v>78</v>
      </c>
      <c r="L929" t="s">
        <v>97</v>
      </c>
      <c r="M929" t="s">
        <v>98</v>
      </c>
      <c r="N929" t="s">
        <v>1061</v>
      </c>
      <c r="O929" t="s">
        <v>82</v>
      </c>
      <c r="P929" t="str">
        <f>"4170037947                    "</f>
        <v xml:space="preserve">4170037947                    </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20.71</v>
      </c>
      <c r="AR929">
        <v>0</v>
      </c>
      <c r="AS929">
        <v>0</v>
      </c>
      <c r="AT929">
        <v>0</v>
      </c>
      <c r="AU929">
        <v>0</v>
      </c>
      <c r="AV929">
        <v>0</v>
      </c>
      <c r="AW929">
        <v>0</v>
      </c>
      <c r="AX929">
        <v>0</v>
      </c>
      <c r="AY929">
        <v>0</v>
      </c>
      <c r="AZ929">
        <v>0</v>
      </c>
      <c r="BA929">
        <v>0</v>
      </c>
      <c r="BB929">
        <v>0</v>
      </c>
      <c r="BC929">
        <v>0</v>
      </c>
      <c r="BD929">
        <v>0</v>
      </c>
      <c r="BE929">
        <v>0</v>
      </c>
      <c r="BF929">
        <v>0</v>
      </c>
      <c r="BG929">
        <v>0</v>
      </c>
      <c r="BH929">
        <v>1</v>
      </c>
      <c r="BI929">
        <v>10</v>
      </c>
      <c r="BJ929">
        <v>4.0999999999999996</v>
      </c>
      <c r="BK929">
        <v>10</v>
      </c>
      <c r="BL929">
        <v>67.77</v>
      </c>
      <c r="BM929">
        <v>10.17</v>
      </c>
      <c r="BN929">
        <v>77.94</v>
      </c>
      <c r="BO929">
        <v>77.94</v>
      </c>
      <c r="BQ929" t="s">
        <v>1062</v>
      </c>
      <c r="BR929" t="s">
        <v>84</v>
      </c>
      <c r="BS929" s="3">
        <v>45790</v>
      </c>
      <c r="BT929" s="4">
        <v>0.46180555555555558</v>
      </c>
      <c r="BU929" t="s">
        <v>1351</v>
      </c>
      <c r="BV929" t="s">
        <v>89</v>
      </c>
      <c r="BW929" t="s">
        <v>148</v>
      </c>
      <c r="BX929" t="s">
        <v>203</v>
      </c>
      <c r="BY929">
        <v>20358</v>
      </c>
      <c r="CA929" t="s">
        <v>1320</v>
      </c>
      <c r="CC929" t="s">
        <v>98</v>
      </c>
      <c r="CD929">
        <v>1459</v>
      </c>
      <c r="CE929" t="s">
        <v>96</v>
      </c>
      <c r="CF929" s="3">
        <v>45790</v>
      </c>
      <c r="CI929">
        <v>1</v>
      </c>
      <c r="CJ929">
        <v>1</v>
      </c>
      <c r="CK929">
        <v>22</v>
      </c>
      <c r="CL929" t="s">
        <v>89</v>
      </c>
    </row>
    <row r="930" spans="1:90" x14ac:dyDescent="0.3">
      <c r="A930" t="s">
        <v>72</v>
      </c>
      <c r="B930" t="s">
        <v>73</v>
      </c>
      <c r="C930" t="s">
        <v>74</v>
      </c>
      <c r="E930" t="str">
        <f>"080065323005"</f>
        <v>080065323005</v>
      </c>
      <c r="F930" s="3">
        <v>45789</v>
      </c>
      <c r="G930">
        <v>202602</v>
      </c>
      <c r="H930" t="s">
        <v>75</v>
      </c>
      <c r="I930" t="s">
        <v>76</v>
      </c>
      <c r="J930" t="s">
        <v>77</v>
      </c>
      <c r="K930" t="s">
        <v>78</v>
      </c>
      <c r="L930" t="s">
        <v>130</v>
      </c>
      <c r="M930" t="s">
        <v>131</v>
      </c>
      <c r="N930" t="s">
        <v>1066</v>
      </c>
      <c r="O930" t="s">
        <v>82</v>
      </c>
      <c r="P930" t="str">
        <f>"4170037813                    "</f>
        <v xml:space="preserve">4170037813                    </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21.38</v>
      </c>
      <c r="AR930">
        <v>0</v>
      </c>
      <c r="AS930">
        <v>0</v>
      </c>
      <c r="AT930">
        <v>0</v>
      </c>
      <c r="AU930">
        <v>0</v>
      </c>
      <c r="AV930">
        <v>0</v>
      </c>
      <c r="AW930">
        <v>0</v>
      </c>
      <c r="AX930">
        <v>0</v>
      </c>
      <c r="AY930">
        <v>0</v>
      </c>
      <c r="AZ930">
        <v>0</v>
      </c>
      <c r="BA930">
        <v>0</v>
      </c>
      <c r="BB930">
        <v>0</v>
      </c>
      <c r="BC930">
        <v>0</v>
      </c>
      <c r="BD930">
        <v>0</v>
      </c>
      <c r="BE930">
        <v>0</v>
      </c>
      <c r="BF930">
        <v>0</v>
      </c>
      <c r="BG930">
        <v>0</v>
      </c>
      <c r="BH930">
        <v>1</v>
      </c>
      <c r="BI930">
        <v>1</v>
      </c>
      <c r="BJ930">
        <v>0.2</v>
      </c>
      <c r="BK930">
        <v>1</v>
      </c>
      <c r="BL930">
        <v>69.98</v>
      </c>
      <c r="BM930">
        <v>10.5</v>
      </c>
      <c r="BN930">
        <v>80.48</v>
      </c>
      <c r="BO930">
        <v>80.48</v>
      </c>
      <c r="BQ930" t="s">
        <v>1067</v>
      </c>
      <c r="BR930" t="s">
        <v>84</v>
      </c>
      <c r="BS930" s="3">
        <v>45790</v>
      </c>
      <c r="BT930" s="4">
        <v>0.46458333333333335</v>
      </c>
      <c r="BU930" t="s">
        <v>1669</v>
      </c>
      <c r="BV930" t="s">
        <v>89</v>
      </c>
      <c r="BW930" t="s">
        <v>340</v>
      </c>
      <c r="BX930" t="s">
        <v>618</v>
      </c>
      <c r="BY930">
        <v>1200</v>
      </c>
      <c r="CA930" t="s">
        <v>712</v>
      </c>
      <c r="CC930" t="s">
        <v>131</v>
      </c>
      <c r="CD930">
        <v>7561</v>
      </c>
      <c r="CE930" t="s">
        <v>88</v>
      </c>
      <c r="CF930" s="3">
        <v>45791</v>
      </c>
      <c r="CI930">
        <v>1</v>
      </c>
      <c r="CJ930">
        <v>1</v>
      </c>
      <c r="CK930">
        <v>21</v>
      </c>
      <c r="CL930" t="s">
        <v>89</v>
      </c>
    </row>
    <row r="931" spans="1:90" x14ac:dyDescent="0.3">
      <c r="A931" t="s">
        <v>72</v>
      </c>
      <c r="B931" t="s">
        <v>73</v>
      </c>
      <c r="C931" t="s">
        <v>74</v>
      </c>
      <c r="E931" t="str">
        <f>"080065323038"</f>
        <v>080065323038</v>
      </c>
      <c r="F931" s="3">
        <v>45789</v>
      </c>
      <c r="G931">
        <v>202602</v>
      </c>
      <c r="H931" t="s">
        <v>75</v>
      </c>
      <c r="I931" t="s">
        <v>76</v>
      </c>
      <c r="J931" t="s">
        <v>77</v>
      </c>
      <c r="K931" t="s">
        <v>78</v>
      </c>
      <c r="L931" t="s">
        <v>117</v>
      </c>
      <c r="M931" t="s">
        <v>118</v>
      </c>
      <c r="N931" t="s">
        <v>1019</v>
      </c>
      <c r="O931" t="s">
        <v>82</v>
      </c>
      <c r="P931" t="str">
        <f>"4170037782                    "</f>
        <v xml:space="preserve">4170037782                    </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c r="AQ931">
        <v>16.7</v>
      </c>
      <c r="AR931">
        <v>0</v>
      </c>
      <c r="AS931">
        <v>0</v>
      </c>
      <c r="AT931">
        <v>0</v>
      </c>
      <c r="AU931">
        <v>0</v>
      </c>
      <c r="AV931">
        <v>0</v>
      </c>
      <c r="AW931">
        <v>0</v>
      </c>
      <c r="AX931">
        <v>0</v>
      </c>
      <c r="AY931">
        <v>0</v>
      </c>
      <c r="AZ931">
        <v>0</v>
      </c>
      <c r="BA931">
        <v>0</v>
      </c>
      <c r="BB931">
        <v>0</v>
      </c>
      <c r="BC931">
        <v>0</v>
      </c>
      <c r="BD931">
        <v>0</v>
      </c>
      <c r="BE931">
        <v>0</v>
      </c>
      <c r="BF931">
        <v>0</v>
      </c>
      <c r="BG931">
        <v>0</v>
      </c>
      <c r="BH931">
        <v>1</v>
      </c>
      <c r="BI931">
        <v>1</v>
      </c>
      <c r="BJ931">
        <v>0.2</v>
      </c>
      <c r="BK931">
        <v>1</v>
      </c>
      <c r="BL931">
        <v>54.66</v>
      </c>
      <c r="BM931">
        <v>8.1999999999999993</v>
      </c>
      <c r="BN931">
        <v>62.86</v>
      </c>
      <c r="BO931">
        <v>62.86</v>
      </c>
      <c r="BQ931" t="s">
        <v>1020</v>
      </c>
      <c r="BR931" t="s">
        <v>84</v>
      </c>
      <c r="BS931" s="3">
        <v>45790</v>
      </c>
      <c r="BT931" s="4">
        <v>0.38194444444444442</v>
      </c>
      <c r="BU931" t="s">
        <v>1678</v>
      </c>
      <c r="BV931" t="s">
        <v>86</v>
      </c>
      <c r="BY931">
        <v>1200</v>
      </c>
      <c r="CC931" t="s">
        <v>118</v>
      </c>
      <c r="CD931">
        <v>2013</v>
      </c>
      <c r="CE931" t="s">
        <v>88</v>
      </c>
      <c r="CF931" s="3">
        <v>45790</v>
      </c>
      <c r="CI931">
        <v>1</v>
      </c>
      <c r="CJ931">
        <v>1</v>
      </c>
      <c r="CK931">
        <v>22</v>
      </c>
      <c r="CL931" t="s">
        <v>89</v>
      </c>
    </row>
    <row r="932" spans="1:90" x14ac:dyDescent="0.3">
      <c r="A932" t="s">
        <v>72</v>
      </c>
      <c r="B932" t="s">
        <v>73</v>
      </c>
      <c r="C932" t="s">
        <v>74</v>
      </c>
      <c r="E932" t="str">
        <f>"080065323041"</f>
        <v>080065323041</v>
      </c>
      <c r="F932" s="3">
        <v>45789</v>
      </c>
      <c r="G932">
        <v>202602</v>
      </c>
      <c r="H932" t="s">
        <v>75</v>
      </c>
      <c r="I932" t="s">
        <v>76</v>
      </c>
      <c r="J932" t="s">
        <v>77</v>
      </c>
      <c r="K932" t="s">
        <v>78</v>
      </c>
      <c r="L932" t="s">
        <v>117</v>
      </c>
      <c r="M932" t="s">
        <v>118</v>
      </c>
      <c r="N932" t="s">
        <v>1670</v>
      </c>
      <c r="O932" t="s">
        <v>82</v>
      </c>
      <c r="P932" t="str">
        <f>"4170037938                    "</f>
        <v xml:space="preserve">4170037938                    </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16.7</v>
      </c>
      <c r="AR932">
        <v>0</v>
      </c>
      <c r="AS932">
        <v>0</v>
      </c>
      <c r="AT932">
        <v>0</v>
      </c>
      <c r="AU932">
        <v>0</v>
      </c>
      <c r="AV932">
        <v>0</v>
      </c>
      <c r="AW932">
        <v>0</v>
      </c>
      <c r="AX932">
        <v>0</v>
      </c>
      <c r="AY932">
        <v>0</v>
      </c>
      <c r="AZ932">
        <v>0</v>
      </c>
      <c r="BA932">
        <v>0</v>
      </c>
      <c r="BB932">
        <v>0</v>
      </c>
      <c r="BC932">
        <v>0</v>
      </c>
      <c r="BD932">
        <v>0</v>
      </c>
      <c r="BE932">
        <v>0</v>
      </c>
      <c r="BF932">
        <v>0</v>
      </c>
      <c r="BG932">
        <v>0</v>
      </c>
      <c r="BH932">
        <v>1</v>
      </c>
      <c r="BI932">
        <v>3</v>
      </c>
      <c r="BJ932">
        <v>0.9</v>
      </c>
      <c r="BK932">
        <v>3</v>
      </c>
      <c r="BL932">
        <v>54.66</v>
      </c>
      <c r="BM932">
        <v>8.1999999999999993</v>
      </c>
      <c r="BN932">
        <v>62.86</v>
      </c>
      <c r="BO932">
        <v>62.86</v>
      </c>
      <c r="BQ932" t="s">
        <v>1671</v>
      </c>
      <c r="BR932" t="s">
        <v>84</v>
      </c>
      <c r="BS932" s="3">
        <v>45790</v>
      </c>
      <c r="BT932" s="4">
        <v>0.5</v>
      </c>
      <c r="BU932" t="s">
        <v>1672</v>
      </c>
      <c r="BV932" t="s">
        <v>89</v>
      </c>
      <c r="BW932" t="s">
        <v>148</v>
      </c>
      <c r="BX932" t="s">
        <v>149</v>
      </c>
      <c r="BY932">
        <v>4275</v>
      </c>
      <c r="CA932" t="s">
        <v>1662</v>
      </c>
      <c r="CC932" t="s">
        <v>118</v>
      </c>
      <c r="CD932">
        <v>2040</v>
      </c>
      <c r="CE932" t="s">
        <v>96</v>
      </c>
      <c r="CF932" s="3">
        <v>45790</v>
      </c>
      <c r="CI932">
        <v>1</v>
      </c>
      <c r="CJ932">
        <v>1</v>
      </c>
      <c r="CK932">
        <v>22</v>
      </c>
      <c r="CL932" t="s">
        <v>89</v>
      </c>
    </row>
    <row r="933" spans="1:90" x14ac:dyDescent="0.3">
      <c r="A933" t="s">
        <v>72</v>
      </c>
      <c r="B933" t="s">
        <v>73</v>
      </c>
      <c r="C933" t="s">
        <v>74</v>
      </c>
      <c r="E933" t="str">
        <f>"080065323078"</f>
        <v>080065323078</v>
      </c>
      <c r="F933" s="3">
        <v>45789</v>
      </c>
      <c r="G933">
        <v>202602</v>
      </c>
      <c r="H933" t="s">
        <v>75</v>
      </c>
      <c r="I933" t="s">
        <v>76</v>
      </c>
      <c r="J933" t="s">
        <v>77</v>
      </c>
      <c r="K933" t="s">
        <v>78</v>
      </c>
      <c r="L933" t="s">
        <v>117</v>
      </c>
      <c r="M933" t="s">
        <v>118</v>
      </c>
      <c r="N933" t="s">
        <v>1679</v>
      </c>
      <c r="O933" t="s">
        <v>82</v>
      </c>
      <c r="P933" t="str">
        <f>"4170037752                    "</f>
        <v xml:space="preserve">4170037752                    </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16.7</v>
      </c>
      <c r="AR933">
        <v>0</v>
      </c>
      <c r="AS933">
        <v>0</v>
      </c>
      <c r="AT933">
        <v>0</v>
      </c>
      <c r="AU933">
        <v>0</v>
      </c>
      <c r="AV933">
        <v>0</v>
      </c>
      <c r="AW933">
        <v>0</v>
      </c>
      <c r="AX933">
        <v>0</v>
      </c>
      <c r="AY933">
        <v>0</v>
      </c>
      <c r="AZ933">
        <v>0</v>
      </c>
      <c r="BA933">
        <v>0</v>
      </c>
      <c r="BB933">
        <v>0</v>
      </c>
      <c r="BC933">
        <v>0</v>
      </c>
      <c r="BD933">
        <v>0</v>
      </c>
      <c r="BE933">
        <v>0</v>
      </c>
      <c r="BF933">
        <v>0</v>
      </c>
      <c r="BG933">
        <v>0</v>
      </c>
      <c r="BH933">
        <v>1</v>
      </c>
      <c r="BI933">
        <v>1</v>
      </c>
      <c r="BJ933">
        <v>1.8</v>
      </c>
      <c r="BK933">
        <v>2</v>
      </c>
      <c r="BL933">
        <v>54.66</v>
      </c>
      <c r="BM933">
        <v>8.1999999999999993</v>
      </c>
      <c r="BN933">
        <v>62.86</v>
      </c>
      <c r="BO933">
        <v>62.86</v>
      </c>
      <c r="BQ933" t="s">
        <v>1680</v>
      </c>
      <c r="BR933" t="s">
        <v>84</v>
      </c>
      <c r="BS933" s="3">
        <v>45790</v>
      </c>
      <c r="BT933" s="4">
        <v>0.66597222222222219</v>
      </c>
      <c r="BU933" t="s">
        <v>1681</v>
      </c>
      <c r="BV933" t="s">
        <v>89</v>
      </c>
      <c r="BW933" t="s">
        <v>148</v>
      </c>
      <c r="BX933" t="s">
        <v>858</v>
      </c>
      <c r="BY933">
        <v>8775</v>
      </c>
      <c r="CA933" t="s">
        <v>231</v>
      </c>
      <c r="CC933" t="s">
        <v>118</v>
      </c>
      <c r="CD933">
        <v>2092</v>
      </c>
      <c r="CE933" t="s">
        <v>96</v>
      </c>
      <c r="CF933" s="3">
        <v>45791</v>
      </c>
      <c r="CI933">
        <v>1</v>
      </c>
      <c r="CJ933">
        <v>1</v>
      </c>
      <c r="CK933">
        <v>22</v>
      </c>
      <c r="CL933" t="s">
        <v>89</v>
      </c>
    </row>
    <row r="934" spans="1:90" x14ac:dyDescent="0.3">
      <c r="A934" t="s">
        <v>72</v>
      </c>
      <c r="B934" t="s">
        <v>73</v>
      </c>
      <c r="C934" t="s">
        <v>74</v>
      </c>
      <c r="E934" t="str">
        <f>"080065323117"</f>
        <v>080065323117</v>
      </c>
      <c r="F934" s="3">
        <v>45789</v>
      </c>
      <c r="G934">
        <v>202602</v>
      </c>
      <c r="H934" t="s">
        <v>75</v>
      </c>
      <c r="I934" t="s">
        <v>76</v>
      </c>
      <c r="J934" t="s">
        <v>77</v>
      </c>
      <c r="K934" t="s">
        <v>78</v>
      </c>
      <c r="L934" t="s">
        <v>409</v>
      </c>
      <c r="M934" t="s">
        <v>410</v>
      </c>
      <c r="N934" t="s">
        <v>1682</v>
      </c>
      <c r="O934" t="s">
        <v>82</v>
      </c>
      <c r="P934" t="str">
        <f>"4170037836                    "</f>
        <v xml:space="preserve">4170037836                    </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41.43</v>
      </c>
      <c r="AR934">
        <v>0</v>
      </c>
      <c r="AS934">
        <v>0</v>
      </c>
      <c r="AT934">
        <v>0</v>
      </c>
      <c r="AU934">
        <v>0</v>
      </c>
      <c r="AV934">
        <v>0</v>
      </c>
      <c r="AW934">
        <v>0</v>
      </c>
      <c r="AX934">
        <v>0</v>
      </c>
      <c r="AY934">
        <v>0</v>
      </c>
      <c r="AZ934">
        <v>0</v>
      </c>
      <c r="BA934">
        <v>0</v>
      </c>
      <c r="BB934">
        <v>0</v>
      </c>
      <c r="BC934">
        <v>0</v>
      </c>
      <c r="BD934">
        <v>0</v>
      </c>
      <c r="BE934">
        <v>0</v>
      </c>
      <c r="BF934">
        <v>0</v>
      </c>
      <c r="BG934">
        <v>0</v>
      </c>
      <c r="BH934">
        <v>1</v>
      </c>
      <c r="BI934">
        <v>1</v>
      </c>
      <c r="BJ934">
        <v>1.1000000000000001</v>
      </c>
      <c r="BK934">
        <v>1.5</v>
      </c>
      <c r="BL934">
        <v>135.59</v>
      </c>
      <c r="BM934">
        <v>20.34</v>
      </c>
      <c r="BN934">
        <v>155.93</v>
      </c>
      <c r="BO934">
        <v>155.93</v>
      </c>
      <c r="BQ934" t="s">
        <v>1683</v>
      </c>
      <c r="BR934" t="s">
        <v>84</v>
      </c>
      <c r="BS934" s="3">
        <v>45790</v>
      </c>
      <c r="BT934" s="4">
        <v>0.54374999999999996</v>
      </c>
      <c r="BU934" t="s">
        <v>1684</v>
      </c>
      <c r="BV934" t="s">
        <v>86</v>
      </c>
      <c r="BY934">
        <v>5320</v>
      </c>
      <c r="CC934" t="s">
        <v>410</v>
      </c>
      <c r="CD934">
        <v>6850</v>
      </c>
      <c r="CE934" t="s">
        <v>96</v>
      </c>
      <c r="CF934" s="3">
        <v>45791</v>
      </c>
      <c r="CI934">
        <v>2</v>
      </c>
      <c r="CJ934">
        <v>1</v>
      </c>
      <c r="CK934">
        <v>23</v>
      </c>
      <c r="CL934" t="s">
        <v>89</v>
      </c>
    </row>
    <row r="935" spans="1:90" x14ac:dyDescent="0.3">
      <c r="A935" t="s">
        <v>72</v>
      </c>
      <c r="B935" t="s">
        <v>73</v>
      </c>
      <c r="C935" t="s">
        <v>74</v>
      </c>
      <c r="E935" t="str">
        <f>"080065323700"</f>
        <v>080065323700</v>
      </c>
      <c r="F935" s="3">
        <v>45789</v>
      </c>
      <c r="G935">
        <v>202602</v>
      </c>
      <c r="H935" t="s">
        <v>75</v>
      </c>
      <c r="I935" t="s">
        <v>76</v>
      </c>
      <c r="J935" t="s">
        <v>77</v>
      </c>
      <c r="K935" t="s">
        <v>78</v>
      </c>
      <c r="L935" t="s">
        <v>136</v>
      </c>
      <c r="M935" t="s">
        <v>137</v>
      </c>
      <c r="N935" t="s">
        <v>161</v>
      </c>
      <c r="O935" t="s">
        <v>300</v>
      </c>
      <c r="P935" t="str">
        <f>"4170037866                    "</f>
        <v xml:space="preserve">4170037866                    </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51.59</v>
      </c>
      <c r="AR935">
        <v>0</v>
      </c>
      <c r="AS935">
        <v>0</v>
      </c>
      <c r="AT935">
        <v>0</v>
      </c>
      <c r="AU935">
        <v>0</v>
      </c>
      <c r="AV935">
        <v>0</v>
      </c>
      <c r="AW935">
        <v>0</v>
      </c>
      <c r="AX935">
        <v>0</v>
      </c>
      <c r="AY935">
        <v>0</v>
      </c>
      <c r="AZ935">
        <v>0</v>
      </c>
      <c r="BA935">
        <v>0</v>
      </c>
      <c r="BB935">
        <v>0</v>
      </c>
      <c r="BC935">
        <v>0</v>
      </c>
      <c r="BD935">
        <v>0</v>
      </c>
      <c r="BE935">
        <v>0</v>
      </c>
      <c r="BF935">
        <v>0</v>
      </c>
      <c r="BG935">
        <v>0</v>
      </c>
      <c r="BH935">
        <v>2</v>
      </c>
      <c r="BI935">
        <v>21</v>
      </c>
      <c r="BJ935">
        <v>12.6</v>
      </c>
      <c r="BK935">
        <v>21</v>
      </c>
      <c r="BL935">
        <v>174.42</v>
      </c>
      <c r="BM935">
        <v>26.16</v>
      </c>
      <c r="BN935">
        <v>200.58</v>
      </c>
      <c r="BO935">
        <v>200.58</v>
      </c>
      <c r="BQ935" t="s">
        <v>162</v>
      </c>
      <c r="BR935" t="s">
        <v>84</v>
      </c>
      <c r="BS935" s="3">
        <v>45790</v>
      </c>
      <c r="BT935" s="4">
        <v>0.85833333333333328</v>
      </c>
      <c r="BU935" t="s">
        <v>1685</v>
      </c>
      <c r="BV935" t="s">
        <v>86</v>
      </c>
      <c r="BY935">
        <v>63080</v>
      </c>
      <c r="CA935" t="s">
        <v>575</v>
      </c>
      <c r="CC935" t="s">
        <v>137</v>
      </c>
      <c r="CD935" s="5" t="s">
        <v>165</v>
      </c>
      <c r="CE935" t="s">
        <v>116</v>
      </c>
      <c r="CF935" s="3">
        <v>45790</v>
      </c>
      <c r="CI935">
        <v>1</v>
      </c>
      <c r="CJ935">
        <v>1</v>
      </c>
      <c r="CK935">
        <v>41</v>
      </c>
      <c r="CL935" t="s">
        <v>89</v>
      </c>
    </row>
    <row r="936" spans="1:90" x14ac:dyDescent="0.3">
      <c r="A936" t="s">
        <v>72</v>
      </c>
      <c r="B936" t="s">
        <v>73</v>
      </c>
      <c r="C936" t="s">
        <v>74</v>
      </c>
      <c r="E936" t="str">
        <f>"080065323742"</f>
        <v>080065323742</v>
      </c>
      <c r="F936" s="3">
        <v>45789</v>
      </c>
      <c r="G936">
        <v>202602</v>
      </c>
      <c r="H936" t="s">
        <v>75</v>
      </c>
      <c r="I936" t="s">
        <v>76</v>
      </c>
      <c r="J936" t="s">
        <v>77</v>
      </c>
      <c r="K936" t="s">
        <v>78</v>
      </c>
      <c r="L936" t="s">
        <v>479</v>
      </c>
      <c r="M936" t="s">
        <v>480</v>
      </c>
      <c r="N936" t="s">
        <v>1686</v>
      </c>
      <c r="O936" t="s">
        <v>602</v>
      </c>
      <c r="P936" t="str">
        <f>"4170037699                    "</f>
        <v xml:space="preserve">4170037699                    </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26.08</v>
      </c>
      <c r="AR936">
        <v>0</v>
      </c>
      <c r="AS936">
        <v>0</v>
      </c>
      <c r="AT936">
        <v>0</v>
      </c>
      <c r="AU936">
        <v>0</v>
      </c>
      <c r="AV936">
        <v>0</v>
      </c>
      <c r="AW936">
        <v>0</v>
      </c>
      <c r="AX936">
        <v>0</v>
      </c>
      <c r="AY936">
        <v>0</v>
      </c>
      <c r="AZ936">
        <v>0</v>
      </c>
      <c r="BA936">
        <v>0</v>
      </c>
      <c r="BB936">
        <v>0</v>
      </c>
      <c r="BC936">
        <v>0</v>
      </c>
      <c r="BD936">
        <v>0</v>
      </c>
      <c r="BE936">
        <v>0</v>
      </c>
      <c r="BF936">
        <v>0</v>
      </c>
      <c r="BG936">
        <v>0</v>
      </c>
      <c r="BH936">
        <v>1</v>
      </c>
      <c r="BI936">
        <v>13</v>
      </c>
      <c r="BJ936">
        <v>10.6</v>
      </c>
      <c r="BK936">
        <v>13</v>
      </c>
      <c r="BL936">
        <v>85.35</v>
      </c>
      <c r="BM936">
        <v>12.8</v>
      </c>
      <c r="BN936">
        <v>98.15</v>
      </c>
      <c r="BO936">
        <v>98.15</v>
      </c>
      <c r="BQ936" t="s">
        <v>1687</v>
      </c>
      <c r="BR936" t="s">
        <v>84</v>
      </c>
      <c r="BS936" s="3">
        <v>45790</v>
      </c>
      <c r="BT936" s="4">
        <v>0.41666666666666669</v>
      </c>
      <c r="BU936" t="s">
        <v>1688</v>
      </c>
      <c r="BV936" t="s">
        <v>86</v>
      </c>
      <c r="BY936">
        <v>52800</v>
      </c>
      <c r="CA936" t="s">
        <v>796</v>
      </c>
      <c r="CC936" t="s">
        <v>480</v>
      </c>
      <c r="CD936">
        <v>2163</v>
      </c>
      <c r="CE936" t="s">
        <v>96</v>
      </c>
      <c r="CF936" s="3">
        <v>45791</v>
      </c>
      <c r="CI936">
        <v>1</v>
      </c>
      <c r="CJ936">
        <v>1</v>
      </c>
      <c r="CK936">
        <v>32</v>
      </c>
      <c r="CL936" t="s">
        <v>89</v>
      </c>
    </row>
    <row r="937" spans="1:90" x14ac:dyDescent="0.3">
      <c r="A937" t="s">
        <v>72</v>
      </c>
      <c r="B937" t="s">
        <v>73</v>
      </c>
      <c r="C937" t="s">
        <v>74</v>
      </c>
      <c r="E937" t="str">
        <f>"080065323770"</f>
        <v>080065323770</v>
      </c>
      <c r="F937" s="3">
        <v>45789</v>
      </c>
      <c r="G937">
        <v>202602</v>
      </c>
      <c r="H937" t="s">
        <v>75</v>
      </c>
      <c r="I937" t="s">
        <v>76</v>
      </c>
      <c r="J937" t="s">
        <v>77</v>
      </c>
      <c r="K937" t="s">
        <v>78</v>
      </c>
      <c r="L937" t="s">
        <v>130</v>
      </c>
      <c r="M937" t="s">
        <v>131</v>
      </c>
      <c r="N937" t="s">
        <v>709</v>
      </c>
      <c r="O937" t="s">
        <v>82</v>
      </c>
      <c r="P937" t="str">
        <f>"4170037889                    "</f>
        <v xml:space="preserve">4170037889                    </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37.409999999999997</v>
      </c>
      <c r="AR937">
        <v>0</v>
      </c>
      <c r="AS937">
        <v>0</v>
      </c>
      <c r="AT937">
        <v>0</v>
      </c>
      <c r="AU937">
        <v>0</v>
      </c>
      <c r="AV937">
        <v>0</v>
      </c>
      <c r="AW937">
        <v>0</v>
      </c>
      <c r="AX937">
        <v>0</v>
      </c>
      <c r="AY937">
        <v>0</v>
      </c>
      <c r="AZ937">
        <v>0</v>
      </c>
      <c r="BA937">
        <v>0</v>
      </c>
      <c r="BB937">
        <v>0</v>
      </c>
      <c r="BC937">
        <v>0</v>
      </c>
      <c r="BD937">
        <v>0</v>
      </c>
      <c r="BE937">
        <v>0</v>
      </c>
      <c r="BF937">
        <v>0</v>
      </c>
      <c r="BG937">
        <v>0</v>
      </c>
      <c r="BH937">
        <v>1</v>
      </c>
      <c r="BI937">
        <v>2</v>
      </c>
      <c r="BJ937">
        <v>3.3</v>
      </c>
      <c r="BK937">
        <v>3.5</v>
      </c>
      <c r="BL937">
        <v>122.43</v>
      </c>
      <c r="BM937">
        <v>18.36</v>
      </c>
      <c r="BN937">
        <v>140.79</v>
      </c>
      <c r="BO937">
        <v>140.79</v>
      </c>
      <c r="BQ937" t="s">
        <v>710</v>
      </c>
      <c r="BR937" t="s">
        <v>84</v>
      </c>
      <c r="BS937" s="3">
        <v>45790</v>
      </c>
      <c r="BT937" s="4">
        <v>0.41736111111111113</v>
      </c>
      <c r="BU937" t="s">
        <v>1589</v>
      </c>
      <c r="BV937" t="s">
        <v>86</v>
      </c>
      <c r="BY937">
        <v>16632</v>
      </c>
      <c r="CA937" t="s">
        <v>712</v>
      </c>
      <c r="CC937" t="s">
        <v>131</v>
      </c>
      <c r="CD937">
        <v>7530</v>
      </c>
      <c r="CE937" t="s">
        <v>221</v>
      </c>
      <c r="CF937" s="3">
        <v>45791</v>
      </c>
      <c r="CI937">
        <v>1</v>
      </c>
      <c r="CJ937">
        <v>1</v>
      </c>
      <c r="CK937">
        <v>21</v>
      </c>
      <c r="CL937" t="s">
        <v>89</v>
      </c>
    </row>
    <row r="938" spans="1:90" x14ac:dyDescent="0.3">
      <c r="A938" t="s">
        <v>72</v>
      </c>
      <c r="B938" t="s">
        <v>73</v>
      </c>
      <c r="C938" t="s">
        <v>74</v>
      </c>
      <c r="E938" t="str">
        <f>"080065323806"</f>
        <v>080065323806</v>
      </c>
      <c r="F938" s="3">
        <v>45789</v>
      </c>
      <c r="G938">
        <v>202602</v>
      </c>
      <c r="H938" t="s">
        <v>75</v>
      </c>
      <c r="I938" t="s">
        <v>76</v>
      </c>
      <c r="J938" t="s">
        <v>77</v>
      </c>
      <c r="K938" t="s">
        <v>78</v>
      </c>
      <c r="L938" t="s">
        <v>1628</v>
      </c>
      <c r="M938" t="s">
        <v>1629</v>
      </c>
      <c r="N938" t="s">
        <v>1630</v>
      </c>
      <c r="O938" t="s">
        <v>82</v>
      </c>
      <c r="P938" t="str">
        <f>"4170037779                    "</f>
        <v xml:space="preserve">4170037779                    </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41.43</v>
      </c>
      <c r="AR938">
        <v>0</v>
      </c>
      <c r="AS938">
        <v>0</v>
      </c>
      <c r="AT938">
        <v>0</v>
      </c>
      <c r="AU938">
        <v>0</v>
      </c>
      <c r="AV938">
        <v>0</v>
      </c>
      <c r="AW938">
        <v>0</v>
      </c>
      <c r="AX938">
        <v>0</v>
      </c>
      <c r="AY938">
        <v>0</v>
      </c>
      <c r="AZ938">
        <v>0</v>
      </c>
      <c r="BA938">
        <v>0</v>
      </c>
      <c r="BB938">
        <v>0</v>
      </c>
      <c r="BC938">
        <v>0</v>
      </c>
      <c r="BD938">
        <v>0</v>
      </c>
      <c r="BE938">
        <v>0</v>
      </c>
      <c r="BF938">
        <v>0</v>
      </c>
      <c r="BG938">
        <v>0</v>
      </c>
      <c r="BH938">
        <v>1</v>
      </c>
      <c r="BI938">
        <v>2</v>
      </c>
      <c r="BJ938">
        <v>2</v>
      </c>
      <c r="BK938">
        <v>2</v>
      </c>
      <c r="BL938">
        <v>135.59</v>
      </c>
      <c r="BM938">
        <v>20.34</v>
      </c>
      <c r="BN938">
        <v>155.93</v>
      </c>
      <c r="BO938">
        <v>155.93</v>
      </c>
      <c r="BQ938" t="s">
        <v>1631</v>
      </c>
      <c r="BR938" t="s">
        <v>84</v>
      </c>
      <c r="BS938" s="3">
        <v>45791</v>
      </c>
      <c r="BT938" s="4">
        <v>0.45277777777777778</v>
      </c>
      <c r="BU938" t="s">
        <v>1632</v>
      </c>
      <c r="BV938" t="s">
        <v>86</v>
      </c>
      <c r="BY938">
        <v>10140</v>
      </c>
      <c r="CC938" t="s">
        <v>1629</v>
      </c>
      <c r="CD938">
        <v>5320</v>
      </c>
      <c r="CE938" t="s">
        <v>221</v>
      </c>
      <c r="CF938" s="3">
        <v>45791</v>
      </c>
      <c r="CI938">
        <v>5</v>
      </c>
      <c r="CJ938">
        <v>2</v>
      </c>
      <c r="CK938">
        <v>23</v>
      </c>
      <c r="CL938" t="s">
        <v>89</v>
      </c>
    </row>
    <row r="939" spans="1:90" x14ac:dyDescent="0.3">
      <c r="A939" t="s">
        <v>72</v>
      </c>
      <c r="B939" t="s">
        <v>73</v>
      </c>
      <c r="C939" t="s">
        <v>74</v>
      </c>
      <c r="E939" t="str">
        <f>"080065323829"</f>
        <v>080065323829</v>
      </c>
      <c r="F939" s="3">
        <v>45789</v>
      </c>
      <c r="G939">
        <v>202602</v>
      </c>
      <c r="H939" t="s">
        <v>75</v>
      </c>
      <c r="I939" t="s">
        <v>76</v>
      </c>
      <c r="J939" t="s">
        <v>77</v>
      </c>
      <c r="K939" t="s">
        <v>78</v>
      </c>
      <c r="L939" t="s">
        <v>130</v>
      </c>
      <c r="M939" t="s">
        <v>131</v>
      </c>
      <c r="N939" t="s">
        <v>709</v>
      </c>
      <c r="O939" t="s">
        <v>82</v>
      </c>
      <c r="P939" t="str">
        <f>"4170037914                    "</f>
        <v xml:space="preserve">4170037914                    </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21.38</v>
      </c>
      <c r="AR939">
        <v>0</v>
      </c>
      <c r="AS939">
        <v>0</v>
      </c>
      <c r="AT939">
        <v>0</v>
      </c>
      <c r="AU939">
        <v>0</v>
      </c>
      <c r="AV939">
        <v>0</v>
      </c>
      <c r="AW939">
        <v>0</v>
      </c>
      <c r="AX939">
        <v>0</v>
      </c>
      <c r="AY939">
        <v>0</v>
      </c>
      <c r="AZ939">
        <v>0</v>
      </c>
      <c r="BA939">
        <v>0</v>
      </c>
      <c r="BB939">
        <v>0</v>
      </c>
      <c r="BC939">
        <v>0</v>
      </c>
      <c r="BD939">
        <v>0</v>
      </c>
      <c r="BE939">
        <v>0</v>
      </c>
      <c r="BF939">
        <v>0</v>
      </c>
      <c r="BG939">
        <v>0</v>
      </c>
      <c r="BH939">
        <v>1</v>
      </c>
      <c r="BI939">
        <v>1</v>
      </c>
      <c r="BJ939">
        <v>0.2</v>
      </c>
      <c r="BK939">
        <v>1</v>
      </c>
      <c r="BL939">
        <v>69.98</v>
      </c>
      <c r="BM939">
        <v>10.5</v>
      </c>
      <c r="BN939">
        <v>80.48</v>
      </c>
      <c r="BO939">
        <v>80.48</v>
      </c>
      <c r="BQ939" t="s">
        <v>710</v>
      </c>
      <c r="BR939" t="s">
        <v>84</v>
      </c>
      <c r="BS939" s="3">
        <v>45790</v>
      </c>
      <c r="BT939" s="4">
        <v>0.41736111111111113</v>
      </c>
      <c r="BU939" t="s">
        <v>1589</v>
      </c>
      <c r="BV939" t="s">
        <v>86</v>
      </c>
      <c r="BY939">
        <v>1200</v>
      </c>
      <c r="CA939" t="s">
        <v>712</v>
      </c>
      <c r="CC939" t="s">
        <v>131</v>
      </c>
      <c r="CD939">
        <v>7530</v>
      </c>
      <c r="CE939" t="s">
        <v>88</v>
      </c>
      <c r="CF939" s="3">
        <v>45791</v>
      </c>
      <c r="CI939">
        <v>1</v>
      </c>
      <c r="CJ939">
        <v>1</v>
      </c>
      <c r="CK939">
        <v>21</v>
      </c>
      <c r="CL939" t="s">
        <v>89</v>
      </c>
    </row>
    <row r="940" spans="1:90" x14ac:dyDescent="0.3">
      <c r="A940" t="s">
        <v>72</v>
      </c>
      <c r="B940" t="s">
        <v>73</v>
      </c>
      <c r="C940" t="s">
        <v>74</v>
      </c>
      <c r="E940" t="str">
        <f>"080065323867"</f>
        <v>080065323867</v>
      </c>
      <c r="F940" s="3">
        <v>45789</v>
      </c>
      <c r="G940">
        <v>202602</v>
      </c>
      <c r="H940" t="s">
        <v>75</v>
      </c>
      <c r="I940" t="s">
        <v>76</v>
      </c>
      <c r="J940" t="s">
        <v>77</v>
      </c>
      <c r="K940" t="s">
        <v>78</v>
      </c>
      <c r="L940" t="s">
        <v>103</v>
      </c>
      <c r="M940" t="s">
        <v>104</v>
      </c>
      <c r="N940" t="s">
        <v>228</v>
      </c>
      <c r="O940" t="s">
        <v>82</v>
      </c>
      <c r="P940" t="str">
        <f>"4170037769                    "</f>
        <v xml:space="preserve">4170037769                    </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21.38</v>
      </c>
      <c r="AR940">
        <v>0</v>
      </c>
      <c r="AS940">
        <v>0</v>
      </c>
      <c r="AT940">
        <v>0</v>
      </c>
      <c r="AU940">
        <v>0</v>
      </c>
      <c r="AV940">
        <v>0</v>
      </c>
      <c r="AW940">
        <v>16.739999999999998</v>
      </c>
      <c r="AX940">
        <v>0</v>
      </c>
      <c r="AY940">
        <v>0</v>
      </c>
      <c r="AZ940">
        <v>0</v>
      </c>
      <c r="BA940">
        <v>0</v>
      </c>
      <c r="BB940">
        <v>0</v>
      </c>
      <c r="BC940">
        <v>0</v>
      </c>
      <c r="BD940">
        <v>0</v>
      </c>
      <c r="BE940">
        <v>0</v>
      </c>
      <c r="BF940">
        <v>0</v>
      </c>
      <c r="BG940">
        <v>0</v>
      </c>
      <c r="BH940">
        <v>1</v>
      </c>
      <c r="BI940">
        <v>1</v>
      </c>
      <c r="BJ940">
        <v>0.2</v>
      </c>
      <c r="BK940">
        <v>1</v>
      </c>
      <c r="BL940">
        <v>86.72</v>
      </c>
      <c r="BM940">
        <v>13.01</v>
      </c>
      <c r="BN940">
        <v>99.73</v>
      </c>
      <c r="BO940">
        <v>99.73</v>
      </c>
      <c r="BQ940" t="s">
        <v>229</v>
      </c>
      <c r="BR940" t="s">
        <v>84</v>
      </c>
      <c r="BS940" s="3">
        <v>45790</v>
      </c>
      <c r="BT940" s="4">
        <v>0.66180555555555554</v>
      </c>
      <c r="BU940" t="s">
        <v>1598</v>
      </c>
      <c r="BV940" t="s">
        <v>86</v>
      </c>
      <c r="BY940">
        <v>1200</v>
      </c>
      <c r="BZ940" t="s">
        <v>30</v>
      </c>
      <c r="CA940" t="s">
        <v>945</v>
      </c>
      <c r="CC940" t="s">
        <v>104</v>
      </c>
      <c r="CD940">
        <v>3699</v>
      </c>
      <c r="CE940" t="s">
        <v>88</v>
      </c>
      <c r="CF940" s="3">
        <v>45791</v>
      </c>
      <c r="CI940">
        <v>1</v>
      </c>
      <c r="CJ940">
        <v>1</v>
      </c>
      <c r="CK940">
        <v>21</v>
      </c>
      <c r="CL940" t="s">
        <v>89</v>
      </c>
    </row>
    <row r="941" spans="1:90" x14ac:dyDescent="0.3">
      <c r="A941" t="s">
        <v>72</v>
      </c>
      <c r="B941" t="s">
        <v>73</v>
      </c>
      <c r="C941" t="s">
        <v>74</v>
      </c>
      <c r="E941" t="str">
        <f>"080065323888"</f>
        <v>080065323888</v>
      </c>
      <c r="F941" s="3">
        <v>45789</v>
      </c>
      <c r="G941">
        <v>202602</v>
      </c>
      <c r="H941" t="s">
        <v>75</v>
      </c>
      <c r="I941" t="s">
        <v>76</v>
      </c>
      <c r="J941" t="s">
        <v>77</v>
      </c>
      <c r="K941" t="s">
        <v>78</v>
      </c>
      <c r="L941" t="s">
        <v>690</v>
      </c>
      <c r="M941" t="s">
        <v>691</v>
      </c>
      <c r="N941" t="s">
        <v>692</v>
      </c>
      <c r="O941" t="s">
        <v>82</v>
      </c>
      <c r="P941" t="str">
        <f>"4170037738                    "</f>
        <v xml:space="preserve">4170037738                    </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97.56</v>
      </c>
      <c r="AR941">
        <v>0</v>
      </c>
      <c r="AS941">
        <v>0</v>
      </c>
      <c r="AT941">
        <v>0</v>
      </c>
      <c r="AU941">
        <v>0</v>
      </c>
      <c r="AV941">
        <v>0</v>
      </c>
      <c r="AW941">
        <v>16.739999999999998</v>
      </c>
      <c r="AX941">
        <v>0</v>
      </c>
      <c r="AY941">
        <v>0</v>
      </c>
      <c r="AZ941">
        <v>0</v>
      </c>
      <c r="BA941">
        <v>0</v>
      </c>
      <c r="BB941">
        <v>0</v>
      </c>
      <c r="BC941">
        <v>0</v>
      </c>
      <c r="BD941">
        <v>0</v>
      </c>
      <c r="BE941">
        <v>0</v>
      </c>
      <c r="BF941">
        <v>0</v>
      </c>
      <c r="BG941">
        <v>0</v>
      </c>
      <c r="BH941">
        <v>1</v>
      </c>
      <c r="BI941">
        <v>5</v>
      </c>
      <c r="BJ941">
        <v>3.4</v>
      </c>
      <c r="BK941">
        <v>5</v>
      </c>
      <c r="BL941">
        <v>336.02</v>
      </c>
      <c r="BM941">
        <v>50.4</v>
      </c>
      <c r="BN941">
        <v>386.42</v>
      </c>
      <c r="BO941">
        <v>386.42</v>
      </c>
      <c r="BQ941" t="s">
        <v>693</v>
      </c>
      <c r="BR941" t="s">
        <v>84</v>
      </c>
      <c r="BS941" s="3">
        <v>45791</v>
      </c>
      <c r="BT941" s="4">
        <v>0.43125000000000002</v>
      </c>
      <c r="BU941" t="s">
        <v>1689</v>
      </c>
      <c r="BV941" t="s">
        <v>86</v>
      </c>
      <c r="BY941">
        <v>16965</v>
      </c>
      <c r="BZ941" t="s">
        <v>30</v>
      </c>
      <c r="CC941" t="s">
        <v>691</v>
      </c>
      <c r="CD941">
        <v>5660</v>
      </c>
      <c r="CE941" t="s">
        <v>96</v>
      </c>
      <c r="CF941" s="3">
        <v>45791</v>
      </c>
      <c r="CI941">
        <v>2</v>
      </c>
      <c r="CJ941">
        <v>2</v>
      </c>
      <c r="CK941">
        <v>23</v>
      </c>
      <c r="CL941" t="s">
        <v>89</v>
      </c>
    </row>
    <row r="942" spans="1:90" x14ac:dyDescent="0.3">
      <c r="A942" t="s">
        <v>72</v>
      </c>
      <c r="B942" t="s">
        <v>73</v>
      </c>
      <c r="C942" t="s">
        <v>74</v>
      </c>
      <c r="E942" t="str">
        <f>"080065323905"</f>
        <v>080065323905</v>
      </c>
      <c r="F942" s="3">
        <v>45789</v>
      </c>
      <c r="G942">
        <v>202602</v>
      </c>
      <c r="H942" t="s">
        <v>75</v>
      </c>
      <c r="I942" t="s">
        <v>76</v>
      </c>
      <c r="J942" t="s">
        <v>77</v>
      </c>
      <c r="K942" t="s">
        <v>78</v>
      </c>
      <c r="L942" t="s">
        <v>130</v>
      </c>
      <c r="M942" t="s">
        <v>131</v>
      </c>
      <c r="N942" t="s">
        <v>665</v>
      </c>
      <c r="O942" t="s">
        <v>82</v>
      </c>
      <c r="P942" t="str">
        <f>"4170037821                    "</f>
        <v xml:space="preserve">4170037821                    </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21.38</v>
      </c>
      <c r="AR942">
        <v>0</v>
      </c>
      <c r="AS942">
        <v>0</v>
      </c>
      <c r="AT942">
        <v>0</v>
      </c>
      <c r="AU942">
        <v>0</v>
      </c>
      <c r="AV942">
        <v>0</v>
      </c>
      <c r="AW942">
        <v>0</v>
      </c>
      <c r="AX942">
        <v>0</v>
      </c>
      <c r="AY942">
        <v>0</v>
      </c>
      <c r="AZ942">
        <v>0</v>
      </c>
      <c r="BA942">
        <v>0</v>
      </c>
      <c r="BB942">
        <v>0</v>
      </c>
      <c r="BC942">
        <v>0</v>
      </c>
      <c r="BD942">
        <v>0</v>
      </c>
      <c r="BE942">
        <v>0</v>
      </c>
      <c r="BF942">
        <v>0</v>
      </c>
      <c r="BG942">
        <v>0</v>
      </c>
      <c r="BH942">
        <v>1</v>
      </c>
      <c r="BI942">
        <v>1</v>
      </c>
      <c r="BJ942">
        <v>0.2</v>
      </c>
      <c r="BK942">
        <v>1</v>
      </c>
      <c r="BL942">
        <v>69.98</v>
      </c>
      <c r="BM942">
        <v>10.5</v>
      </c>
      <c r="BN942">
        <v>80.48</v>
      </c>
      <c r="BO942">
        <v>80.48</v>
      </c>
      <c r="BQ942" t="s">
        <v>666</v>
      </c>
      <c r="BR942" t="s">
        <v>84</v>
      </c>
      <c r="BS942" s="3">
        <v>45790</v>
      </c>
      <c r="BT942" s="4">
        <v>0.4375</v>
      </c>
      <c r="BU942" t="s">
        <v>1653</v>
      </c>
      <c r="BV942" t="s">
        <v>86</v>
      </c>
      <c r="BY942">
        <v>1200</v>
      </c>
      <c r="CA942" t="s">
        <v>389</v>
      </c>
      <c r="CC942" t="s">
        <v>131</v>
      </c>
      <c r="CD942">
        <v>7535</v>
      </c>
      <c r="CE942" t="s">
        <v>88</v>
      </c>
      <c r="CF942" s="3">
        <v>45791</v>
      </c>
      <c r="CI942">
        <v>1</v>
      </c>
      <c r="CJ942">
        <v>1</v>
      </c>
      <c r="CK942">
        <v>21</v>
      </c>
      <c r="CL942" t="s">
        <v>89</v>
      </c>
    </row>
    <row r="943" spans="1:90" x14ac:dyDescent="0.3">
      <c r="A943" t="s">
        <v>72</v>
      </c>
      <c r="B943" t="s">
        <v>73</v>
      </c>
      <c r="C943" t="s">
        <v>74</v>
      </c>
      <c r="E943" t="str">
        <f>"080065323933"</f>
        <v>080065323933</v>
      </c>
      <c r="F943" s="3">
        <v>45789</v>
      </c>
      <c r="G943">
        <v>202602</v>
      </c>
      <c r="H943" t="s">
        <v>75</v>
      </c>
      <c r="I943" t="s">
        <v>76</v>
      </c>
      <c r="J943" t="s">
        <v>77</v>
      </c>
      <c r="K943" t="s">
        <v>78</v>
      </c>
      <c r="L943" t="s">
        <v>320</v>
      </c>
      <c r="M943" t="s">
        <v>321</v>
      </c>
      <c r="N943" t="s">
        <v>1690</v>
      </c>
      <c r="O943" t="s">
        <v>82</v>
      </c>
      <c r="P943" t="str">
        <f>"4170037833                    "</f>
        <v xml:space="preserve">4170037833                    </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53.43</v>
      </c>
      <c r="AR943">
        <v>0</v>
      </c>
      <c r="AS943">
        <v>0</v>
      </c>
      <c r="AT943">
        <v>0</v>
      </c>
      <c r="AU943">
        <v>0</v>
      </c>
      <c r="AV943">
        <v>0</v>
      </c>
      <c r="AW943">
        <v>16.739999999999998</v>
      </c>
      <c r="AX943">
        <v>0</v>
      </c>
      <c r="AY943">
        <v>0</v>
      </c>
      <c r="AZ943">
        <v>0</v>
      </c>
      <c r="BA943">
        <v>0</v>
      </c>
      <c r="BB943">
        <v>0</v>
      </c>
      <c r="BC943">
        <v>0</v>
      </c>
      <c r="BD943">
        <v>0</v>
      </c>
      <c r="BE943">
        <v>0</v>
      </c>
      <c r="BF943">
        <v>0</v>
      </c>
      <c r="BG943">
        <v>0</v>
      </c>
      <c r="BH943">
        <v>1</v>
      </c>
      <c r="BI943">
        <v>5</v>
      </c>
      <c r="BJ943">
        <v>3.4</v>
      </c>
      <c r="BK943">
        <v>5</v>
      </c>
      <c r="BL943">
        <v>191.61</v>
      </c>
      <c r="BM943">
        <v>28.74</v>
      </c>
      <c r="BN943">
        <v>220.35</v>
      </c>
      <c r="BO943">
        <v>220.35</v>
      </c>
      <c r="BQ943" t="s">
        <v>1691</v>
      </c>
      <c r="BR943" t="s">
        <v>84</v>
      </c>
      <c r="BS943" s="3">
        <v>45790</v>
      </c>
      <c r="BT943" s="4">
        <v>0.74305555555555558</v>
      </c>
      <c r="BU943" t="s">
        <v>1692</v>
      </c>
      <c r="BV943" t="s">
        <v>89</v>
      </c>
      <c r="BW943" t="s">
        <v>296</v>
      </c>
      <c r="BX943" t="s">
        <v>325</v>
      </c>
      <c r="BY943">
        <v>16965</v>
      </c>
      <c r="BZ943" t="s">
        <v>30</v>
      </c>
      <c r="CA943" t="s">
        <v>326</v>
      </c>
      <c r="CC943" t="s">
        <v>321</v>
      </c>
      <c r="CD943">
        <v>4133</v>
      </c>
      <c r="CE943" t="s">
        <v>96</v>
      </c>
      <c r="CF943" s="3">
        <v>45791</v>
      </c>
      <c r="CI943">
        <v>1</v>
      </c>
      <c r="CJ943">
        <v>1</v>
      </c>
      <c r="CK943">
        <v>21</v>
      </c>
      <c r="CL943" t="s">
        <v>89</v>
      </c>
    </row>
    <row r="944" spans="1:90" x14ac:dyDescent="0.3">
      <c r="A944" t="s">
        <v>72</v>
      </c>
      <c r="B944" t="s">
        <v>73</v>
      </c>
      <c r="C944" t="s">
        <v>74</v>
      </c>
      <c r="E944" t="str">
        <f>"080065323940"</f>
        <v>080065323940</v>
      </c>
      <c r="F944" s="3">
        <v>45789</v>
      </c>
      <c r="G944">
        <v>202602</v>
      </c>
      <c r="H944" t="s">
        <v>75</v>
      </c>
      <c r="I944" t="s">
        <v>76</v>
      </c>
      <c r="J944" t="s">
        <v>77</v>
      </c>
      <c r="K944" t="s">
        <v>78</v>
      </c>
      <c r="L944" t="s">
        <v>266</v>
      </c>
      <c r="M944" t="s">
        <v>267</v>
      </c>
      <c r="N944" t="s">
        <v>268</v>
      </c>
      <c r="O944" t="s">
        <v>82</v>
      </c>
      <c r="P944" t="str">
        <f>"4170037933                    "</f>
        <v xml:space="preserve">4170037933                    </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21.38</v>
      </c>
      <c r="AR944">
        <v>0</v>
      </c>
      <c r="AS944">
        <v>0</v>
      </c>
      <c r="AT944">
        <v>0</v>
      </c>
      <c r="AU944">
        <v>0</v>
      </c>
      <c r="AV944">
        <v>0</v>
      </c>
      <c r="AW944">
        <v>0</v>
      </c>
      <c r="AX944">
        <v>0</v>
      </c>
      <c r="AY944">
        <v>0</v>
      </c>
      <c r="AZ944">
        <v>0</v>
      </c>
      <c r="BA944">
        <v>0</v>
      </c>
      <c r="BB944">
        <v>0</v>
      </c>
      <c r="BC944">
        <v>0</v>
      </c>
      <c r="BD944">
        <v>0</v>
      </c>
      <c r="BE944">
        <v>0</v>
      </c>
      <c r="BF944">
        <v>0</v>
      </c>
      <c r="BG944">
        <v>0</v>
      </c>
      <c r="BH944">
        <v>1</v>
      </c>
      <c r="BI944">
        <v>1</v>
      </c>
      <c r="BJ944">
        <v>0.2</v>
      </c>
      <c r="BK944">
        <v>1</v>
      </c>
      <c r="BL944">
        <v>69.98</v>
      </c>
      <c r="BM944">
        <v>10.5</v>
      </c>
      <c r="BN944">
        <v>80.48</v>
      </c>
      <c r="BO944">
        <v>80.48</v>
      </c>
      <c r="BQ944" t="s">
        <v>269</v>
      </c>
      <c r="BR944" t="s">
        <v>84</v>
      </c>
      <c r="BS944" s="3">
        <v>45790</v>
      </c>
      <c r="BT944" s="4">
        <v>0.41111111111111109</v>
      </c>
      <c r="BU944" t="s">
        <v>1693</v>
      </c>
      <c r="BV944" t="s">
        <v>86</v>
      </c>
      <c r="BY944">
        <v>1200</v>
      </c>
      <c r="CA944" t="s">
        <v>271</v>
      </c>
      <c r="CC944" t="s">
        <v>267</v>
      </c>
      <c r="CD944">
        <v>6220</v>
      </c>
      <c r="CE944" t="s">
        <v>88</v>
      </c>
      <c r="CF944" s="3">
        <v>45790</v>
      </c>
      <c r="CI944">
        <v>1</v>
      </c>
      <c r="CJ944">
        <v>1</v>
      </c>
      <c r="CK944">
        <v>21</v>
      </c>
      <c r="CL944" t="s">
        <v>89</v>
      </c>
    </row>
    <row r="945" spans="1:90" x14ac:dyDescent="0.3">
      <c r="A945" t="s">
        <v>72</v>
      </c>
      <c r="B945" t="s">
        <v>73</v>
      </c>
      <c r="C945" t="s">
        <v>74</v>
      </c>
      <c r="E945" t="str">
        <f>"080065324003"</f>
        <v>080065324003</v>
      </c>
      <c r="F945" s="3">
        <v>45789</v>
      </c>
      <c r="G945">
        <v>202602</v>
      </c>
      <c r="H945" t="s">
        <v>75</v>
      </c>
      <c r="I945" t="s">
        <v>76</v>
      </c>
      <c r="J945" t="s">
        <v>77</v>
      </c>
      <c r="K945" t="s">
        <v>78</v>
      </c>
      <c r="L945" t="s">
        <v>320</v>
      </c>
      <c r="M945" t="s">
        <v>321</v>
      </c>
      <c r="N945" t="s">
        <v>499</v>
      </c>
      <c r="O945" t="s">
        <v>82</v>
      </c>
      <c r="P945" t="str">
        <f>"4170037843                    "</f>
        <v xml:space="preserve">4170037843                    </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21.38</v>
      </c>
      <c r="AR945">
        <v>0</v>
      </c>
      <c r="AS945">
        <v>0</v>
      </c>
      <c r="AT945">
        <v>0</v>
      </c>
      <c r="AU945">
        <v>0</v>
      </c>
      <c r="AV945">
        <v>0</v>
      </c>
      <c r="AW945">
        <v>0</v>
      </c>
      <c r="AX945">
        <v>0</v>
      </c>
      <c r="AY945">
        <v>0</v>
      </c>
      <c r="AZ945">
        <v>0</v>
      </c>
      <c r="BA945">
        <v>0</v>
      </c>
      <c r="BB945">
        <v>0</v>
      </c>
      <c r="BC945">
        <v>0</v>
      </c>
      <c r="BD945">
        <v>0</v>
      </c>
      <c r="BE945">
        <v>0</v>
      </c>
      <c r="BF945">
        <v>0</v>
      </c>
      <c r="BG945">
        <v>0</v>
      </c>
      <c r="BH945">
        <v>1</v>
      </c>
      <c r="BI945">
        <v>1</v>
      </c>
      <c r="BJ945">
        <v>0.2</v>
      </c>
      <c r="BK945">
        <v>1</v>
      </c>
      <c r="BL945">
        <v>69.98</v>
      </c>
      <c r="BM945">
        <v>10.5</v>
      </c>
      <c r="BN945">
        <v>80.48</v>
      </c>
      <c r="BO945">
        <v>80.48</v>
      </c>
      <c r="BQ945" t="s">
        <v>500</v>
      </c>
      <c r="BR945" t="s">
        <v>84</v>
      </c>
      <c r="BS945" s="3">
        <v>45790</v>
      </c>
      <c r="BT945" s="4">
        <v>0.58263888888888893</v>
      </c>
      <c r="BU945" t="s">
        <v>623</v>
      </c>
      <c r="BV945" t="s">
        <v>89</v>
      </c>
      <c r="BW945" t="s">
        <v>296</v>
      </c>
      <c r="BX945" t="s">
        <v>325</v>
      </c>
      <c r="BY945">
        <v>1200</v>
      </c>
      <c r="CA945" t="s">
        <v>326</v>
      </c>
      <c r="CC945" t="s">
        <v>321</v>
      </c>
      <c r="CD945">
        <v>4133</v>
      </c>
      <c r="CE945" t="s">
        <v>88</v>
      </c>
      <c r="CF945" s="3">
        <v>45791</v>
      </c>
      <c r="CI945">
        <v>1</v>
      </c>
      <c r="CJ945">
        <v>1</v>
      </c>
      <c r="CK945">
        <v>21</v>
      </c>
      <c r="CL945" t="s">
        <v>89</v>
      </c>
    </row>
    <row r="946" spans="1:90" x14ac:dyDescent="0.3">
      <c r="A946" t="s">
        <v>72</v>
      </c>
      <c r="B946" t="s">
        <v>73</v>
      </c>
      <c r="C946" t="s">
        <v>74</v>
      </c>
      <c r="E946" t="str">
        <f>"080065324002"</f>
        <v>080065324002</v>
      </c>
      <c r="F946" s="3">
        <v>45789</v>
      </c>
      <c r="G946">
        <v>202602</v>
      </c>
      <c r="H946" t="s">
        <v>75</v>
      </c>
      <c r="I946" t="s">
        <v>76</v>
      </c>
      <c r="J946" t="s">
        <v>77</v>
      </c>
      <c r="K946" t="s">
        <v>78</v>
      </c>
      <c r="L946" t="s">
        <v>1694</v>
      </c>
      <c r="M946" t="s">
        <v>1695</v>
      </c>
      <c r="N946" t="s">
        <v>1696</v>
      </c>
      <c r="O946" t="s">
        <v>82</v>
      </c>
      <c r="P946" t="str">
        <f>"4170037748                    "</f>
        <v xml:space="preserve">4170037748                    </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41.43</v>
      </c>
      <c r="AR946">
        <v>0</v>
      </c>
      <c r="AS946">
        <v>0</v>
      </c>
      <c r="AT946">
        <v>0</v>
      </c>
      <c r="AU946">
        <v>0</v>
      </c>
      <c r="AV946">
        <v>0</v>
      </c>
      <c r="AW946">
        <v>0</v>
      </c>
      <c r="AX946">
        <v>0</v>
      </c>
      <c r="AY946">
        <v>0</v>
      </c>
      <c r="AZ946">
        <v>0</v>
      </c>
      <c r="BA946">
        <v>0</v>
      </c>
      <c r="BB946">
        <v>0</v>
      </c>
      <c r="BC946">
        <v>0</v>
      </c>
      <c r="BD946">
        <v>0</v>
      </c>
      <c r="BE946">
        <v>0</v>
      </c>
      <c r="BF946">
        <v>0</v>
      </c>
      <c r="BG946">
        <v>0</v>
      </c>
      <c r="BH946">
        <v>1</v>
      </c>
      <c r="BI946">
        <v>1</v>
      </c>
      <c r="BJ946">
        <v>0.6</v>
      </c>
      <c r="BK946">
        <v>1</v>
      </c>
      <c r="BL946">
        <v>135.59</v>
      </c>
      <c r="BM946">
        <v>20.34</v>
      </c>
      <c r="BN946">
        <v>155.93</v>
      </c>
      <c r="BO946">
        <v>155.93</v>
      </c>
      <c r="BQ946" t="s">
        <v>1697</v>
      </c>
      <c r="BR946" t="s">
        <v>84</v>
      </c>
      <c r="BS946" s="3">
        <v>45790</v>
      </c>
      <c r="BT946" s="4">
        <v>0.41875000000000001</v>
      </c>
      <c r="BU946" t="s">
        <v>185</v>
      </c>
      <c r="BV946" t="s">
        <v>86</v>
      </c>
      <c r="BY946">
        <v>3192</v>
      </c>
      <c r="CA946" t="s">
        <v>1698</v>
      </c>
      <c r="CC946" t="s">
        <v>1695</v>
      </c>
      <c r="CD946">
        <v>9701</v>
      </c>
      <c r="CE946" t="s">
        <v>116</v>
      </c>
      <c r="CF946" s="3">
        <v>45791</v>
      </c>
      <c r="CI946">
        <v>1</v>
      </c>
      <c r="CJ946">
        <v>1</v>
      </c>
      <c r="CK946">
        <v>23</v>
      </c>
      <c r="CL946" t="s">
        <v>89</v>
      </c>
    </row>
    <row r="947" spans="1:90" x14ac:dyDescent="0.3">
      <c r="A947" t="s">
        <v>72</v>
      </c>
      <c r="B947" t="s">
        <v>73</v>
      </c>
      <c r="C947" t="s">
        <v>74</v>
      </c>
      <c r="E947" t="str">
        <f>"080065324048"</f>
        <v>080065324048</v>
      </c>
      <c r="F947" s="3">
        <v>45789</v>
      </c>
      <c r="G947">
        <v>202602</v>
      </c>
      <c r="H947" t="s">
        <v>75</v>
      </c>
      <c r="I947" t="s">
        <v>76</v>
      </c>
      <c r="J947" t="s">
        <v>77</v>
      </c>
      <c r="K947" t="s">
        <v>78</v>
      </c>
      <c r="L947" t="s">
        <v>136</v>
      </c>
      <c r="M947" t="s">
        <v>137</v>
      </c>
      <c r="N947" t="s">
        <v>735</v>
      </c>
      <c r="O947" t="s">
        <v>82</v>
      </c>
      <c r="P947" t="str">
        <f>"4170037726                    "</f>
        <v xml:space="preserve">4170037726                    </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21.38</v>
      </c>
      <c r="AR947">
        <v>0</v>
      </c>
      <c r="AS947">
        <v>0</v>
      </c>
      <c r="AT947">
        <v>0</v>
      </c>
      <c r="AU947">
        <v>0</v>
      </c>
      <c r="AV947">
        <v>0</v>
      </c>
      <c r="AW947">
        <v>0</v>
      </c>
      <c r="AX947">
        <v>0</v>
      </c>
      <c r="AY947">
        <v>0</v>
      </c>
      <c r="AZ947">
        <v>0</v>
      </c>
      <c r="BA947">
        <v>0</v>
      </c>
      <c r="BB947">
        <v>0</v>
      </c>
      <c r="BC947">
        <v>0</v>
      </c>
      <c r="BD947">
        <v>0</v>
      </c>
      <c r="BE947">
        <v>0</v>
      </c>
      <c r="BF947">
        <v>0</v>
      </c>
      <c r="BG947">
        <v>0</v>
      </c>
      <c r="BH947">
        <v>1</v>
      </c>
      <c r="BI947">
        <v>1</v>
      </c>
      <c r="BJ947">
        <v>0.2</v>
      </c>
      <c r="BK947">
        <v>1</v>
      </c>
      <c r="BL947">
        <v>69.98</v>
      </c>
      <c r="BM947">
        <v>10.5</v>
      </c>
      <c r="BN947">
        <v>80.48</v>
      </c>
      <c r="BO947">
        <v>80.48</v>
      </c>
      <c r="BQ947" t="s">
        <v>736</v>
      </c>
      <c r="BR947" t="s">
        <v>84</v>
      </c>
      <c r="BS947" s="3">
        <v>45790</v>
      </c>
      <c r="BT947" s="4">
        <v>0.375</v>
      </c>
      <c r="BU947" t="s">
        <v>1699</v>
      </c>
      <c r="BV947" t="s">
        <v>86</v>
      </c>
      <c r="BY947">
        <v>1200</v>
      </c>
      <c r="CA947" t="s">
        <v>258</v>
      </c>
      <c r="CC947" t="s">
        <v>137</v>
      </c>
      <c r="CD947" s="5" t="s">
        <v>738</v>
      </c>
      <c r="CE947" t="s">
        <v>88</v>
      </c>
      <c r="CF947" s="3">
        <v>45790</v>
      </c>
      <c r="CI947">
        <v>1</v>
      </c>
      <c r="CJ947">
        <v>1</v>
      </c>
      <c r="CK947">
        <v>21</v>
      </c>
      <c r="CL947" t="s">
        <v>89</v>
      </c>
    </row>
    <row r="948" spans="1:90" x14ac:dyDescent="0.3">
      <c r="A948" t="s">
        <v>72</v>
      </c>
      <c r="B948" t="s">
        <v>73</v>
      </c>
      <c r="C948" t="s">
        <v>74</v>
      </c>
      <c r="E948" t="str">
        <f>"080065324097"</f>
        <v>080065324097</v>
      </c>
      <c r="F948" s="3">
        <v>45789</v>
      </c>
      <c r="G948">
        <v>202602</v>
      </c>
      <c r="H948" t="s">
        <v>75</v>
      </c>
      <c r="I948" t="s">
        <v>76</v>
      </c>
      <c r="J948" t="s">
        <v>77</v>
      </c>
      <c r="K948" t="s">
        <v>78</v>
      </c>
      <c r="L948" t="s">
        <v>123</v>
      </c>
      <c r="M948" t="s">
        <v>123</v>
      </c>
      <c r="N948" t="s">
        <v>1700</v>
      </c>
      <c r="O948" t="s">
        <v>82</v>
      </c>
      <c r="P948" t="str">
        <f>"4170037760                    "</f>
        <v xml:space="preserve">4170037760                    </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41.43</v>
      </c>
      <c r="AR948">
        <v>0</v>
      </c>
      <c r="AS948">
        <v>0</v>
      </c>
      <c r="AT948">
        <v>0</v>
      </c>
      <c r="AU948">
        <v>0</v>
      </c>
      <c r="AV948">
        <v>0</v>
      </c>
      <c r="AW948">
        <v>0</v>
      </c>
      <c r="AX948">
        <v>0</v>
      </c>
      <c r="AY948">
        <v>0</v>
      </c>
      <c r="AZ948">
        <v>0</v>
      </c>
      <c r="BA948">
        <v>0</v>
      </c>
      <c r="BB948">
        <v>0</v>
      </c>
      <c r="BC948">
        <v>0</v>
      </c>
      <c r="BD948">
        <v>0</v>
      </c>
      <c r="BE948">
        <v>0</v>
      </c>
      <c r="BF948">
        <v>0</v>
      </c>
      <c r="BG948">
        <v>0</v>
      </c>
      <c r="BH948">
        <v>1</v>
      </c>
      <c r="BI948">
        <v>1</v>
      </c>
      <c r="BJ948">
        <v>0.2</v>
      </c>
      <c r="BK948">
        <v>1</v>
      </c>
      <c r="BL948">
        <v>135.59</v>
      </c>
      <c r="BM948">
        <v>20.34</v>
      </c>
      <c r="BN948">
        <v>155.93</v>
      </c>
      <c r="BO948">
        <v>155.93</v>
      </c>
      <c r="BQ948" t="s">
        <v>1701</v>
      </c>
      <c r="BR948" t="s">
        <v>84</v>
      </c>
      <c r="BS948" s="3">
        <v>45790</v>
      </c>
      <c r="BT948" s="4">
        <v>0.54027777777777775</v>
      </c>
      <c r="BU948" t="s">
        <v>319</v>
      </c>
      <c r="BV948" t="s">
        <v>86</v>
      </c>
      <c r="BY948">
        <v>1200</v>
      </c>
      <c r="CA948" t="s">
        <v>128</v>
      </c>
      <c r="CC948" t="s">
        <v>123</v>
      </c>
      <c r="CD948">
        <v>7646</v>
      </c>
      <c r="CE948" t="s">
        <v>88</v>
      </c>
      <c r="CF948" s="3">
        <v>45791</v>
      </c>
      <c r="CI948">
        <v>1</v>
      </c>
      <c r="CJ948">
        <v>1</v>
      </c>
      <c r="CK948">
        <v>23</v>
      </c>
      <c r="CL948" t="s">
        <v>89</v>
      </c>
    </row>
    <row r="949" spans="1:90" x14ac:dyDescent="0.3">
      <c r="A949" t="s">
        <v>72</v>
      </c>
      <c r="B949" t="s">
        <v>73</v>
      </c>
      <c r="C949" t="s">
        <v>74</v>
      </c>
      <c r="E949" t="str">
        <f>"080065324098"</f>
        <v>080065324098</v>
      </c>
      <c r="F949" s="3">
        <v>45789</v>
      </c>
      <c r="G949">
        <v>202602</v>
      </c>
      <c r="H949" t="s">
        <v>75</v>
      </c>
      <c r="I949" t="s">
        <v>76</v>
      </c>
      <c r="J949" t="s">
        <v>77</v>
      </c>
      <c r="K949" t="s">
        <v>78</v>
      </c>
      <c r="L949" t="s">
        <v>136</v>
      </c>
      <c r="M949" t="s">
        <v>137</v>
      </c>
      <c r="N949" t="s">
        <v>776</v>
      </c>
      <c r="O949" t="s">
        <v>300</v>
      </c>
      <c r="P949" t="str">
        <f>"4170037875                    "</f>
        <v xml:space="preserve">4170037875                    </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41.35</v>
      </c>
      <c r="AR949">
        <v>0</v>
      </c>
      <c r="AS949">
        <v>0</v>
      </c>
      <c r="AT949">
        <v>0</v>
      </c>
      <c r="AU949">
        <v>0</v>
      </c>
      <c r="AV949">
        <v>0</v>
      </c>
      <c r="AW949">
        <v>0</v>
      </c>
      <c r="AX949">
        <v>0</v>
      </c>
      <c r="AY949">
        <v>0</v>
      </c>
      <c r="AZ949">
        <v>0</v>
      </c>
      <c r="BA949">
        <v>0</v>
      </c>
      <c r="BB949">
        <v>0</v>
      </c>
      <c r="BC949">
        <v>0</v>
      </c>
      <c r="BD949">
        <v>0</v>
      </c>
      <c r="BE949">
        <v>0</v>
      </c>
      <c r="BF949">
        <v>0</v>
      </c>
      <c r="BG949">
        <v>0</v>
      </c>
      <c r="BH949">
        <v>2</v>
      </c>
      <c r="BI949">
        <v>4</v>
      </c>
      <c r="BJ949">
        <v>5.9</v>
      </c>
      <c r="BK949">
        <v>6</v>
      </c>
      <c r="BL949">
        <v>140.9</v>
      </c>
      <c r="BM949">
        <v>21.14</v>
      </c>
      <c r="BN949">
        <v>162.04</v>
      </c>
      <c r="BO949">
        <v>162.04</v>
      </c>
      <c r="BQ949" t="s">
        <v>777</v>
      </c>
      <c r="BR949" t="s">
        <v>84</v>
      </c>
      <c r="BS949" s="3">
        <v>45790</v>
      </c>
      <c r="BT949" s="4">
        <v>0.35972222222222222</v>
      </c>
      <c r="BU949" t="s">
        <v>778</v>
      </c>
      <c r="BV949" t="s">
        <v>86</v>
      </c>
      <c r="BY949">
        <v>29475</v>
      </c>
      <c r="CA949" t="s">
        <v>1306</v>
      </c>
      <c r="CC949" t="s">
        <v>137</v>
      </c>
      <c r="CD949" s="5" t="s">
        <v>738</v>
      </c>
      <c r="CE949" t="s">
        <v>88</v>
      </c>
      <c r="CF949" s="3">
        <v>45790</v>
      </c>
      <c r="CI949">
        <v>1</v>
      </c>
      <c r="CJ949">
        <v>1</v>
      </c>
      <c r="CK949">
        <v>41</v>
      </c>
      <c r="CL949" t="s">
        <v>89</v>
      </c>
    </row>
    <row r="950" spans="1:90" x14ac:dyDescent="0.3">
      <c r="A950" t="s">
        <v>72</v>
      </c>
      <c r="B950" t="s">
        <v>73</v>
      </c>
      <c r="C950" t="s">
        <v>74</v>
      </c>
      <c r="E950" t="str">
        <f>"080065324148"</f>
        <v>080065324148</v>
      </c>
      <c r="F950" s="3">
        <v>45789</v>
      </c>
      <c r="G950">
        <v>202602</v>
      </c>
      <c r="H950" t="s">
        <v>75</v>
      </c>
      <c r="I950" t="s">
        <v>76</v>
      </c>
      <c r="J950" t="s">
        <v>77</v>
      </c>
      <c r="K950" t="s">
        <v>78</v>
      </c>
      <c r="L950" t="s">
        <v>648</v>
      </c>
      <c r="M950" t="s">
        <v>649</v>
      </c>
      <c r="N950" t="s">
        <v>1702</v>
      </c>
      <c r="O950" t="s">
        <v>82</v>
      </c>
      <c r="P950" t="str">
        <f>"4170037967                    "</f>
        <v xml:space="preserve">4170037967                    </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16.7</v>
      </c>
      <c r="AR950">
        <v>0</v>
      </c>
      <c r="AS950">
        <v>0</v>
      </c>
      <c r="AT950">
        <v>0</v>
      </c>
      <c r="AU950">
        <v>0</v>
      </c>
      <c r="AV950">
        <v>0</v>
      </c>
      <c r="AW950">
        <v>0</v>
      </c>
      <c r="AX950">
        <v>0</v>
      </c>
      <c r="AY950">
        <v>0</v>
      </c>
      <c r="AZ950">
        <v>0</v>
      </c>
      <c r="BA950">
        <v>0</v>
      </c>
      <c r="BB950">
        <v>0</v>
      </c>
      <c r="BC950">
        <v>0</v>
      </c>
      <c r="BD950">
        <v>0</v>
      </c>
      <c r="BE950">
        <v>0</v>
      </c>
      <c r="BF950">
        <v>0</v>
      </c>
      <c r="BG950">
        <v>0</v>
      </c>
      <c r="BH950">
        <v>1</v>
      </c>
      <c r="BI950">
        <v>1</v>
      </c>
      <c r="BJ950">
        <v>0.2</v>
      </c>
      <c r="BK950">
        <v>1</v>
      </c>
      <c r="BL950">
        <v>54.66</v>
      </c>
      <c r="BM950">
        <v>8.1999999999999993</v>
      </c>
      <c r="BN950">
        <v>62.86</v>
      </c>
      <c r="BO950">
        <v>62.86</v>
      </c>
      <c r="BQ950" t="s">
        <v>1703</v>
      </c>
      <c r="BR950" t="s">
        <v>84</v>
      </c>
      <c r="BS950" s="3">
        <v>45790</v>
      </c>
      <c r="BT950" s="4">
        <v>0.42708333333333331</v>
      </c>
      <c r="BU950" t="s">
        <v>1704</v>
      </c>
      <c r="BV950" t="s">
        <v>86</v>
      </c>
      <c r="BY950">
        <v>1200</v>
      </c>
      <c r="CA950" t="s">
        <v>698</v>
      </c>
      <c r="CC950" t="s">
        <v>649</v>
      </c>
      <c r="CD950">
        <v>1559</v>
      </c>
      <c r="CE950" t="s">
        <v>88</v>
      </c>
      <c r="CF950" s="3">
        <v>45790</v>
      </c>
      <c r="CI950">
        <v>1</v>
      </c>
      <c r="CJ950">
        <v>1</v>
      </c>
      <c r="CK950">
        <v>22</v>
      </c>
      <c r="CL950" t="s">
        <v>89</v>
      </c>
    </row>
    <row r="951" spans="1:90" x14ac:dyDescent="0.3">
      <c r="A951" t="s">
        <v>72</v>
      </c>
      <c r="B951" t="s">
        <v>73</v>
      </c>
      <c r="C951" t="s">
        <v>74</v>
      </c>
      <c r="E951" t="str">
        <f>"080065324189"</f>
        <v>080065324189</v>
      </c>
      <c r="F951" s="3">
        <v>45789</v>
      </c>
      <c r="G951">
        <v>202602</v>
      </c>
      <c r="H951" t="s">
        <v>75</v>
      </c>
      <c r="I951" t="s">
        <v>76</v>
      </c>
      <c r="J951" t="s">
        <v>77</v>
      </c>
      <c r="K951" t="s">
        <v>78</v>
      </c>
      <c r="L951" t="s">
        <v>75</v>
      </c>
      <c r="M951" t="s">
        <v>76</v>
      </c>
      <c r="N951" t="s">
        <v>390</v>
      </c>
      <c r="O951" t="s">
        <v>82</v>
      </c>
      <c r="P951" t="str">
        <f>"4170037825                    "</f>
        <v xml:space="preserve">4170037825                    </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16.7</v>
      </c>
      <c r="AR951">
        <v>0</v>
      </c>
      <c r="AS951">
        <v>0</v>
      </c>
      <c r="AT951">
        <v>0</v>
      </c>
      <c r="AU951">
        <v>0</v>
      </c>
      <c r="AV951">
        <v>0</v>
      </c>
      <c r="AW951">
        <v>0</v>
      </c>
      <c r="AX951">
        <v>0</v>
      </c>
      <c r="AY951">
        <v>0</v>
      </c>
      <c r="AZ951">
        <v>0</v>
      </c>
      <c r="BA951">
        <v>0</v>
      </c>
      <c r="BB951">
        <v>0</v>
      </c>
      <c r="BC951">
        <v>0</v>
      </c>
      <c r="BD951">
        <v>0</v>
      </c>
      <c r="BE951">
        <v>0</v>
      </c>
      <c r="BF951">
        <v>0</v>
      </c>
      <c r="BG951">
        <v>0</v>
      </c>
      <c r="BH951">
        <v>1</v>
      </c>
      <c r="BI951">
        <v>1</v>
      </c>
      <c r="BJ951">
        <v>0.2</v>
      </c>
      <c r="BK951">
        <v>1</v>
      </c>
      <c r="BL951">
        <v>54.66</v>
      </c>
      <c r="BM951">
        <v>8.1999999999999993</v>
      </c>
      <c r="BN951">
        <v>62.86</v>
      </c>
      <c r="BO951">
        <v>62.86</v>
      </c>
      <c r="BQ951" t="s">
        <v>391</v>
      </c>
      <c r="BR951" t="s">
        <v>84</v>
      </c>
      <c r="BS951" s="3">
        <v>45790</v>
      </c>
      <c r="BT951" s="4">
        <v>0.35416666666666669</v>
      </c>
      <c r="BU951" t="s">
        <v>1660</v>
      </c>
      <c r="BV951" t="s">
        <v>86</v>
      </c>
      <c r="BY951">
        <v>1200</v>
      </c>
      <c r="CA951" t="s">
        <v>115</v>
      </c>
      <c r="CC951" t="s">
        <v>76</v>
      </c>
      <c r="CD951">
        <v>1600</v>
      </c>
      <c r="CE951" t="s">
        <v>88</v>
      </c>
      <c r="CF951" s="3">
        <v>45790</v>
      </c>
      <c r="CI951">
        <v>1</v>
      </c>
      <c r="CJ951">
        <v>1</v>
      </c>
      <c r="CK951">
        <v>22</v>
      </c>
      <c r="CL951" t="s">
        <v>89</v>
      </c>
    </row>
    <row r="952" spans="1:90" x14ac:dyDescent="0.3">
      <c r="A952" t="s">
        <v>72</v>
      </c>
      <c r="B952" t="s">
        <v>73</v>
      </c>
      <c r="C952" t="s">
        <v>74</v>
      </c>
      <c r="E952" t="str">
        <f>"080065324220"</f>
        <v>080065324220</v>
      </c>
      <c r="F952" s="3">
        <v>45789</v>
      </c>
      <c r="G952">
        <v>202602</v>
      </c>
      <c r="H952" t="s">
        <v>75</v>
      </c>
      <c r="I952" t="s">
        <v>76</v>
      </c>
      <c r="J952" t="s">
        <v>77</v>
      </c>
      <c r="K952" t="s">
        <v>78</v>
      </c>
      <c r="L952" t="s">
        <v>97</v>
      </c>
      <c r="M952" t="s">
        <v>98</v>
      </c>
      <c r="N952" t="s">
        <v>1705</v>
      </c>
      <c r="O952" t="s">
        <v>82</v>
      </c>
      <c r="P952" t="str">
        <f>"4170037948                    "</f>
        <v xml:space="preserve">4170037948                    </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16.7</v>
      </c>
      <c r="AR952">
        <v>0</v>
      </c>
      <c r="AS952">
        <v>0</v>
      </c>
      <c r="AT952">
        <v>0</v>
      </c>
      <c r="AU952">
        <v>0</v>
      </c>
      <c r="AV952">
        <v>0</v>
      </c>
      <c r="AW952">
        <v>0</v>
      </c>
      <c r="AX952">
        <v>0</v>
      </c>
      <c r="AY952">
        <v>0</v>
      </c>
      <c r="AZ952">
        <v>0</v>
      </c>
      <c r="BA952">
        <v>0</v>
      </c>
      <c r="BB952">
        <v>0</v>
      </c>
      <c r="BC952">
        <v>0</v>
      </c>
      <c r="BD952">
        <v>0</v>
      </c>
      <c r="BE952">
        <v>0</v>
      </c>
      <c r="BF952">
        <v>0</v>
      </c>
      <c r="BG952">
        <v>0</v>
      </c>
      <c r="BH952">
        <v>1</v>
      </c>
      <c r="BI952">
        <v>4</v>
      </c>
      <c r="BJ952">
        <v>2</v>
      </c>
      <c r="BK952">
        <v>4</v>
      </c>
      <c r="BL952">
        <v>54.66</v>
      </c>
      <c r="BM952">
        <v>8.1999999999999993</v>
      </c>
      <c r="BN952">
        <v>62.86</v>
      </c>
      <c r="BO952">
        <v>62.86</v>
      </c>
      <c r="BQ952" t="s">
        <v>1706</v>
      </c>
      <c r="BR952" t="s">
        <v>84</v>
      </c>
      <c r="BS952" s="3">
        <v>45790</v>
      </c>
      <c r="BT952" s="4">
        <v>0.40972222222222221</v>
      </c>
      <c r="BU952" t="s">
        <v>1707</v>
      </c>
      <c r="BV952" t="s">
        <v>86</v>
      </c>
      <c r="BY952">
        <v>9792</v>
      </c>
      <c r="CA952" t="s">
        <v>279</v>
      </c>
      <c r="CC952" t="s">
        <v>98</v>
      </c>
      <c r="CD952">
        <v>1459</v>
      </c>
      <c r="CE952" t="s">
        <v>221</v>
      </c>
      <c r="CF952" s="3">
        <v>45790</v>
      </c>
      <c r="CI952">
        <v>1</v>
      </c>
      <c r="CJ952">
        <v>1</v>
      </c>
      <c r="CK952">
        <v>22</v>
      </c>
      <c r="CL952" t="s">
        <v>89</v>
      </c>
    </row>
    <row r="953" spans="1:90" x14ac:dyDescent="0.3">
      <c r="A953" t="s">
        <v>72</v>
      </c>
      <c r="B953" t="s">
        <v>73</v>
      </c>
      <c r="C953" t="s">
        <v>74</v>
      </c>
      <c r="E953" t="str">
        <f>"080065324233"</f>
        <v>080065324233</v>
      </c>
      <c r="F953" s="3">
        <v>45789</v>
      </c>
      <c r="G953">
        <v>202602</v>
      </c>
      <c r="H953" t="s">
        <v>75</v>
      </c>
      <c r="I953" t="s">
        <v>76</v>
      </c>
      <c r="J953" t="s">
        <v>77</v>
      </c>
      <c r="K953" t="s">
        <v>78</v>
      </c>
      <c r="L953" t="s">
        <v>97</v>
      </c>
      <c r="M953" t="s">
        <v>98</v>
      </c>
      <c r="N953" t="s">
        <v>99</v>
      </c>
      <c r="O953" t="s">
        <v>82</v>
      </c>
      <c r="P953" t="str">
        <f>"4170037880                    "</f>
        <v xml:space="preserve">4170037880                    </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16.7</v>
      </c>
      <c r="AR953">
        <v>0</v>
      </c>
      <c r="AS953">
        <v>0</v>
      </c>
      <c r="AT953">
        <v>0</v>
      </c>
      <c r="AU953">
        <v>0</v>
      </c>
      <c r="AV953">
        <v>0</v>
      </c>
      <c r="AW953">
        <v>0</v>
      </c>
      <c r="AX953">
        <v>0</v>
      </c>
      <c r="AY953">
        <v>0</v>
      </c>
      <c r="AZ953">
        <v>0</v>
      </c>
      <c r="BA953">
        <v>0</v>
      </c>
      <c r="BB953">
        <v>0</v>
      </c>
      <c r="BC953">
        <v>0</v>
      </c>
      <c r="BD953">
        <v>0</v>
      </c>
      <c r="BE953">
        <v>0</v>
      </c>
      <c r="BF953">
        <v>0</v>
      </c>
      <c r="BG953">
        <v>0</v>
      </c>
      <c r="BH953">
        <v>1</v>
      </c>
      <c r="BI953">
        <v>1</v>
      </c>
      <c r="BJ953">
        <v>0.2</v>
      </c>
      <c r="BK953">
        <v>1</v>
      </c>
      <c r="BL953">
        <v>54.66</v>
      </c>
      <c r="BM953">
        <v>8.1999999999999993</v>
      </c>
      <c r="BN953">
        <v>62.86</v>
      </c>
      <c r="BO953">
        <v>62.86</v>
      </c>
      <c r="BQ953" t="s">
        <v>100</v>
      </c>
      <c r="BR953" t="s">
        <v>84</v>
      </c>
      <c r="BS953" s="3">
        <v>45790</v>
      </c>
      <c r="BT953" s="4">
        <v>0.34513888888888888</v>
      </c>
      <c r="BU953" t="s">
        <v>1310</v>
      </c>
      <c r="BV953" t="s">
        <v>86</v>
      </c>
      <c r="BY953">
        <v>1200</v>
      </c>
      <c r="CA953" t="s">
        <v>279</v>
      </c>
      <c r="CC953" t="s">
        <v>98</v>
      </c>
      <c r="CD953">
        <v>1459</v>
      </c>
      <c r="CE953" t="s">
        <v>88</v>
      </c>
      <c r="CF953" s="3">
        <v>45790</v>
      </c>
      <c r="CI953">
        <v>1</v>
      </c>
      <c r="CJ953">
        <v>1</v>
      </c>
      <c r="CK953">
        <v>22</v>
      </c>
      <c r="CL953" t="s">
        <v>89</v>
      </c>
    </row>
    <row r="954" spans="1:90" x14ac:dyDescent="0.3">
      <c r="A954" t="s">
        <v>72</v>
      </c>
      <c r="B954" t="s">
        <v>73</v>
      </c>
      <c r="C954" t="s">
        <v>74</v>
      </c>
      <c r="E954" t="str">
        <f>"080065324265"</f>
        <v>080065324265</v>
      </c>
      <c r="F954" s="3">
        <v>45789</v>
      </c>
      <c r="G954">
        <v>202602</v>
      </c>
      <c r="H954" t="s">
        <v>75</v>
      </c>
      <c r="I954" t="s">
        <v>76</v>
      </c>
      <c r="J954" t="s">
        <v>77</v>
      </c>
      <c r="K954" t="s">
        <v>78</v>
      </c>
      <c r="L954" t="s">
        <v>755</v>
      </c>
      <c r="M954" t="s">
        <v>756</v>
      </c>
      <c r="N954" t="s">
        <v>757</v>
      </c>
      <c r="O954" t="s">
        <v>82</v>
      </c>
      <c r="P954" t="str">
        <f>"4170037952                    "</f>
        <v xml:space="preserve">4170037952                    </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16.7</v>
      </c>
      <c r="AR954">
        <v>0</v>
      </c>
      <c r="AS954">
        <v>0</v>
      </c>
      <c r="AT954">
        <v>0</v>
      </c>
      <c r="AU954">
        <v>0</v>
      </c>
      <c r="AV954">
        <v>0</v>
      </c>
      <c r="AW954">
        <v>0</v>
      </c>
      <c r="AX954">
        <v>0</v>
      </c>
      <c r="AY954">
        <v>0</v>
      </c>
      <c r="AZ954">
        <v>0</v>
      </c>
      <c r="BA954">
        <v>0</v>
      </c>
      <c r="BB954">
        <v>0</v>
      </c>
      <c r="BC954">
        <v>0</v>
      </c>
      <c r="BD954">
        <v>0</v>
      </c>
      <c r="BE954">
        <v>0</v>
      </c>
      <c r="BF954">
        <v>0</v>
      </c>
      <c r="BG954">
        <v>0</v>
      </c>
      <c r="BH954">
        <v>1</v>
      </c>
      <c r="BI954">
        <v>1</v>
      </c>
      <c r="BJ954">
        <v>0.2</v>
      </c>
      <c r="BK954">
        <v>1</v>
      </c>
      <c r="BL954">
        <v>54.66</v>
      </c>
      <c r="BM954">
        <v>8.1999999999999993</v>
      </c>
      <c r="BN954">
        <v>62.86</v>
      </c>
      <c r="BO954">
        <v>62.86</v>
      </c>
      <c r="BQ954" t="s">
        <v>758</v>
      </c>
      <c r="BR954" t="s">
        <v>84</v>
      </c>
      <c r="BS954" s="3">
        <v>45790</v>
      </c>
      <c r="BT954" s="4">
        <v>0.4201388888888889</v>
      </c>
      <c r="BU954" t="s">
        <v>759</v>
      </c>
      <c r="BV954" t="s">
        <v>86</v>
      </c>
      <c r="BY954">
        <v>1200</v>
      </c>
      <c r="CA954" t="s">
        <v>761</v>
      </c>
      <c r="CC954" t="s">
        <v>756</v>
      </c>
      <c r="CD954">
        <v>1682</v>
      </c>
      <c r="CE954" t="s">
        <v>88</v>
      </c>
      <c r="CF954" s="3">
        <v>45791</v>
      </c>
      <c r="CI954">
        <v>1</v>
      </c>
      <c r="CJ954">
        <v>1</v>
      </c>
      <c r="CK954">
        <v>22</v>
      </c>
      <c r="CL954" t="s">
        <v>89</v>
      </c>
    </row>
    <row r="955" spans="1:90" x14ac:dyDescent="0.3">
      <c r="A955" t="s">
        <v>72</v>
      </c>
      <c r="B955" t="s">
        <v>73</v>
      </c>
      <c r="C955" t="s">
        <v>74</v>
      </c>
      <c r="E955" t="str">
        <f>"080065324294"</f>
        <v>080065324294</v>
      </c>
      <c r="F955" s="3">
        <v>45789</v>
      </c>
      <c r="G955">
        <v>202602</v>
      </c>
      <c r="H955" t="s">
        <v>75</v>
      </c>
      <c r="I955" t="s">
        <v>76</v>
      </c>
      <c r="J955" t="s">
        <v>77</v>
      </c>
      <c r="K955" t="s">
        <v>78</v>
      </c>
      <c r="L955" t="s">
        <v>130</v>
      </c>
      <c r="M955" t="s">
        <v>131</v>
      </c>
      <c r="N955" t="s">
        <v>699</v>
      </c>
      <c r="O955" t="s">
        <v>82</v>
      </c>
      <c r="P955" t="str">
        <f>"4170037911                    "</f>
        <v xml:space="preserve">4170037911                    </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21.38</v>
      </c>
      <c r="AR955">
        <v>0</v>
      </c>
      <c r="AS955">
        <v>0</v>
      </c>
      <c r="AT955">
        <v>0</v>
      </c>
      <c r="AU955">
        <v>0</v>
      </c>
      <c r="AV955">
        <v>0</v>
      </c>
      <c r="AW955">
        <v>0</v>
      </c>
      <c r="AX955">
        <v>0</v>
      </c>
      <c r="AY955">
        <v>0</v>
      </c>
      <c r="AZ955">
        <v>0</v>
      </c>
      <c r="BA955">
        <v>0</v>
      </c>
      <c r="BB955">
        <v>0</v>
      </c>
      <c r="BC955">
        <v>0</v>
      </c>
      <c r="BD955">
        <v>0</v>
      </c>
      <c r="BE955">
        <v>0</v>
      </c>
      <c r="BF955">
        <v>0</v>
      </c>
      <c r="BG955">
        <v>0</v>
      </c>
      <c r="BH955">
        <v>1</v>
      </c>
      <c r="BI955">
        <v>1</v>
      </c>
      <c r="BJ955">
        <v>0.2</v>
      </c>
      <c r="BK955">
        <v>1</v>
      </c>
      <c r="BL955">
        <v>69.98</v>
      </c>
      <c r="BM955">
        <v>10.5</v>
      </c>
      <c r="BN955">
        <v>80.48</v>
      </c>
      <c r="BO955">
        <v>80.48</v>
      </c>
      <c r="BQ955" t="s">
        <v>700</v>
      </c>
      <c r="BR955" t="s">
        <v>84</v>
      </c>
      <c r="BS955" s="3">
        <v>45790</v>
      </c>
      <c r="BT955" s="4">
        <v>0.4861111111111111</v>
      </c>
      <c r="BU955" t="s">
        <v>701</v>
      </c>
      <c r="BV955" t="s">
        <v>89</v>
      </c>
      <c r="BW955" t="s">
        <v>340</v>
      </c>
      <c r="BX955" t="s">
        <v>618</v>
      </c>
      <c r="BY955">
        <v>1200</v>
      </c>
      <c r="CA955" t="s">
        <v>330</v>
      </c>
      <c r="CC955" t="s">
        <v>131</v>
      </c>
      <c r="CD955">
        <v>7480</v>
      </c>
      <c r="CE955" t="s">
        <v>88</v>
      </c>
      <c r="CF955" s="3">
        <v>45791</v>
      </c>
      <c r="CI955">
        <v>1</v>
      </c>
      <c r="CJ955">
        <v>1</v>
      </c>
      <c r="CK955">
        <v>21</v>
      </c>
      <c r="CL955" t="s">
        <v>89</v>
      </c>
    </row>
    <row r="956" spans="1:90" x14ac:dyDescent="0.3">
      <c r="A956" t="s">
        <v>72</v>
      </c>
      <c r="B956" t="s">
        <v>73</v>
      </c>
      <c r="C956" t="s">
        <v>74</v>
      </c>
      <c r="E956" t="str">
        <f>"080065324328"</f>
        <v>080065324328</v>
      </c>
      <c r="F956" s="3">
        <v>45789</v>
      </c>
      <c r="G956">
        <v>202602</v>
      </c>
      <c r="H956" t="s">
        <v>75</v>
      </c>
      <c r="I956" t="s">
        <v>76</v>
      </c>
      <c r="J956" t="s">
        <v>77</v>
      </c>
      <c r="K956" t="s">
        <v>78</v>
      </c>
      <c r="L956" t="s">
        <v>79</v>
      </c>
      <c r="M956" t="s">
        <v>80</v>
      </c>
      <c r="N956" t="s">
        <v>880</v>
      </c>
      <c r="O956" t="s">
        <v>82</v>
      </c>
      <c r="P956" t="str">
        <f>"4170037906                    "</f>
        <v xml:space="preserve">4170037906                    </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21.38</v>
      </c>
      <c r="AR956">
        <v>0</v>
      </c>
      <c r="AS956">
        <v>0</v>
      </c>
      <c r="AT956">
        <v>0</v>
      </c>
      <c r="AU956">
        <v>0</v>
      </c>
      <c r="AV956">
        <v>0</v>
      </c>
      <c r="AW956">
        <v>0</v>
      </c>
      <c r="AX956">
        <v>0</v>
      </c>
      <c r="AY956">
        <v>0</v>
      </c>
      <c r="AZ956">
        <v>0</v>
      </c>
      <c r="BA956">
        <v>0</v>
      </c>
      <c r="BB956">
        <v>0</v>
      </c>
      <c r="BC956">
        <v>0</v>
      </c>
      <c r="BD956">
        <v>0</v>
      </c>
      <c r="BE956">
        <v>0</v>
      </c>
      <c r="BF956">
        <v>0</v>
      </c>
      <c r="BG956">
        <v>0</v>
      </c>
      <c r="BH956">
        <v>1</v>
      </c>
      <c r="BI956">
        <v>1</v>
      </c>
      <c r="BJ956">
        <v>0.2</v>
      </c>
      <c r="BK956">
        <v>1</v>
      </c>
      <c r="BL956">
        <v>69.98</v>
      </c>
      <c r="BM956">
        <v>10.5</v>
      </c>
      <c r="BN956">
        <v>80.48</v>
      </c>
      <c r="BO956">
        <v>80.48</v>
      </c>
      <c r="BQ956" t="s">
        <v>881</v>
      </c>
      <c r="BR956" t="s">
        <v>84</v>
      </c>
      <c r="BS956" s="3">
        <v>45790</v>
      </c>
      <c r="BT956" s="4">
        <v>0.375</v>
      </c>
      <c r="BU956" t="s">
        <v>1708</v>
      </c>
      <c r="BV956" t="s">
        <v>86</v>
      </c>
      <c r="BY956">
        <v>1200</v>
      </c>
      <c r="CA956" t="s">
        <v>160</v>
      </c>
      <c r="CC956" t="s">
        <v>80</v>
      </c>
      <c r="CD956">
        <v>3620</v>
      </c>
      <c r="CE956" t="s">
        <v>88</v>
      </c>
      <c r="CF956" s="3">
        <v>45791</v>
      </c>
      <c r="CI956">
        <v>1</v>
      </c>
      <c r="CJ956">
        <v>1</v>
      </c>
      <c r="CK956">
        <v>21</v>
      </c>
      <c r="CL956" t="s">
        <v>89</v>
      </c>
    </row>
    <row r="957" spans="1:90" x14ac:dyDescent="0.3">
      <c r="A957" t="s">
        <v>72</v>
      </c>
      <c r="B957" t="s">
        <v>73</v>
      </c>
      <c r="C957" t="s">
        <v>74</v>
      </c>
      <c r="E957" t="str">
        <f>"080065324335"</f>
        <v>080065324335</v>
      </c>
      <c r="F957" s="3">
        <v>45789</v>
      </c>
      <c r="G957">
        <v>202602</v>
      </c>
      <c r="H957" t="s">
        <v>75</v>
      </c>
      <c r="I957" t="s">
        <v>76</v>
      </c>
      <c r="J957" t="s">
        <v>77</v>
      </c>
      <c r="K957" t="s">
        <v>78</v>
      </c>
      <c r="L957" t="s">
        <v>123</v>
      </c>
      <c r="M957" t="s">
        <v>123</v>
      </c>
      <c r="N957" t="s">
        <v>317</v>
      </c>
      <c r="O957" t="s">
        <v>82</v>
      </c>
      <c r="P957" t="str">
        <f>"4170037802                    "</f>
        <v xml:space="preserve">4170037802                    </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41.43</v>
      </c>
      <c r="AR957">
        <v>0</v>
      </c>
      <c r="AS957">
        <v>0</v>
      </c>
      <c r="AT957">
        <v>0</v>
      </c>
      <c r="AU957">
        <v>0</v>
      </c>
      <c r="AV957">
        <v>0</v>
      </c>
      <c r="AW957">
        <v>0</v>
      </c>
      <c r="AX957">
        <v>0</v>
      </c>
      <c r="AY957">
        <v>0</v>
      </c>
      <c r="AZ957">
        <v>0</v>
      </c>
      <c r="BA957">
        <v>0</v>
      </c>
      <c r="BB957">
        <v>0</v>
      </c>
      <c r="BC957">
        <v>0</v>
      </c>
      <c r="BD957">
        <v>0</v>
      </c>
      <c r="BE957">
        <v>0</v>
      </c>
      <c r="BF957">
        <v>0</v>
      </c>
      <c r="BG957">
        <v>0</v>
      </c>
      <c r="BH957">
        <v>1</v>
      </c>
      <c r="BI957">
        <v>2</v>
      </c>
      <c r="BJ957">
        <v>0.9</v>
      </c>
      <c r="BK957">
        <v>2</v>
      </c>
      <c r="BL957">
        <v>135.59</v>
      </c>
      <c r="BM957">
        <v>20.34</v>
      </c>
      <c r="BN957">
        <v>155.93</v>
      </c>
      <c r="BO957">
        <v>155.93</v>
      </c>
      <c r="BQ957" t="s">
        <v>318</v>
      </c>
      <c r="BR957" t="s">
        <v>84</v>
      </c>
      <c r="BS957" s="3">
        <v>45790</v>
      </c>
      <c r="BT957" s="4">
        <v>0.5395833333333333</v>
      </c>
      <c r="BU957" t="s">
        <v>319</v>
      </c>
      <c r="BV957" t="s">
        <v>86</v>
      </c>
      <c r="BY957">
        <v>4464</v>
      </c>
      <c r="CA957" t="s">
        <v>128</v>
      </c>
      <c r="CC957" t="s">
        <v>123</v>
      </c>
      <c r="CD957">
        <v>7646</v>
      </c>
      <c r="CE957" t="s">
        <v>221</v>
      </c>
      <c r="CF957" s="3">
        <v>45791</v>
      </c>
      <c r="CI957">
        <v>1</v>
      </c>
      <c r="CJ957">
        <v>1</v>
      </c>
      <c r="CK957">
        <v>23</v>
      </c>
      <c r="CL957" t="s">
        <v>89</v>
      </c>
    </row>
    <row r="958" spans="1:90" x14ac:dyDescent="0.3">
      <c r="A958" t="s">
        <v>72</v>
      </c>
      <c r="B958" t="s">
        <v>73</v>
      </c>
      <c r="C958" t="s">
        <v>74</v>
      </c>
      <c r="E958" t="str">
        <f>"080065324357"</f>
        <v>080065324357</v>
      </c>
      <c r="F958" s="3">
        <v>45789</v>
      </c>
      <c r="G958">
        <v>202602</v>
      </c>
      <c r="H958" t="s">
        <v>75</v>
      </c>
      <c r="I958" t="s">
        <v>76</v>
      </c>
      <c r="J958" t="s">
        <v>77</v>
      </c>
      <c r="K958" t="s">
        <v>78</v>
      </c>
      <c r="L958" t="s">
        <v>123</v>
      </c>
      <c r="M958" t="s">
        <v>123</v>
      </c>
      <c r="N958" t="s">
        <v>1700</v>
      </c>
      <c r="O958" t="s">
        <v>82</v>
      </c>
      <c r="P958" t="str">
        <f>"4170037761                    "</f>
        <v xml:space="preserve">4170037761                    </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41.43</v>
      </c>
      <c r="AR958">
        <v>0</v>
      </c>
      <c r="AS958">
        <v>0</v>
      </c>
      <c r="AT958">
        <v>0</v>
      </c>
      <c r="AU958">
        <v>0</v>
      </c>
      <c r="AV958">
        <v>0</v>
      </c>
      <c r="AW958">
        <v>0</v>
      </c>
      <c r="AX958">
        <v>0</v>
      </c>
      <c r="AY958">
        <v>0</v>
      </c>
      <c r="AZ958">
        <v>0</v>
      </c>
      <c r="BA958">
        <v>0</v>
      </c>
      <c r="BB958">
        <v>0</v>
      </c>
      <c r="BC958">
        <v>0</v>
      </c>
      <c r="BD958">
        <v>0</v>
      </c>
      <c r="BE958">
        <v>0</v>
      </c>
      <c r="BF958">
        <v>0</v>
      </c>
      <c r="BG958">
        <v>0</v>
      </c>
      <c r="BH958">
        <v>1</v>
      </c>
      <c r="BI958">
        <v>1</v>
      </c>
      <c r="BJ958">
        <v>0.2</v>
      </c>
      <c r="BK958">
        <v>1</v>
      </c>
      <c r="BL958">
        <v>135.59</v>
      </c>
      <c r="BM958">
        <v>20.34</v>
      </c>
      <c r="BN958">
        <v>155.93</v>
      </c>
      <c r="BO958">
        <v>155.93</v>
      </c>
      <c r="BQ958" t="s">
        <v>1701</v>
      </c>
      <c r="BR958" t="s">
        <v>84</v>
      </c>
      <c r="BS958" s="3">
        <v>45790</v>
      </c>
      <c r="BT958" s="4">
        <v>0.5395833333333333</v>
      </c>
      <c r="BU958" t="s">
        <v>319</v>
      </c>
      <c r="BV958" t="s">
        <v>86</v>
      </c>
      <c r="BY958">
        <v>1200</v>
      </c>
      <c r="CA958" t="s">
        <v>128</v>
      </c>
      <c r="CC958" t="s">
        <v>123</v>
      </c>
      <c r="CD958">
        <v>7646</v>
      </c>
      <c r="CE958" t="s">
        <v>88</v>
      </c>
      <c r="CF958" s="3">
        <v>45791</v>
      </c>
      <c r="CI958">
        <v>1</v>
      </c>
      <c r="CJ958">
        <v>1</v>
      </c>
      <c r="CK958">
        <v>23</v>
      </c>
      <c r="CL958" t="s">
        <v>89</v>
      </c>
    </row>
    <row r="959" spans="1:90" x14ac:dyDescent="0.3">
      <c r="A959" t="s">
        <v>72</v>
      </c>
      <c r="B959" t="s">
        <v>73</v>
      </c>
      <c r="C959" t="s">
        <v>74</v>
      </c>
      <c r="E959" t="str">
        <f>"080065324438"</f>
        <v>080065324438</v>
      </c>
      <c r="F959" s="3">
        <v>45789</v>
      </c>
      <c r="G959">
        <v>202602</v>
      </c>
      <c r="H959" t="s">
        <v>75</v>
      </c>
      <c r="I959" t="s">
        <v>76</v>
      </c>
      <c r="J959" t="s">
        <v>77</v>
      </c>
      <c r="K959" t="s">
        <v>78</v>
      </c>
      <c r="L959" t="s">
        <v>871</v>
      </c>
      <c r="M959" t="s">
        <v>872</v>
      </c>
      <c r="N959" t="s">
        <v>1340</v>
      </c>
      <c r="O959" t="s">
        <v>82</v>
      </c>
      <c r="P959" t="str">
        <f>"4170037753                    "</f>
        <v xml:space="preserve">4170037753                    </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41.43</v>
      </c>
      <c r="AR959">
        <v>0</v>
      </c>
      <c r="AS959">
        <v>0</v>
      </c>
      <c r="AT959">
        <v>0</v>
      </c>
      <c r="AU959">
        <v>0</v>
      </c>
      <c r="AV959">
        <v>0</v>
      </c>
      <c r="AW959">
        <v>0</v>
      </c>
      <c r="AX959">
        <v>0</v>
      </c>
      <c r="AY959">
        <v>0</v>
      </c>
      <c r="AZ959">
        <v>0</v>
      </c>
      <c r="BA959">
        <v>0</v>
      </c>
      <c r="BB959">
        <v>0</v>
      </c>
      <c r="BC959">
        <v>0</v>
      </c>
      <c r="BD959">
        <v>0</v>
      </c>
      <c r="BE959">
        <v>0</v>
      </c>
      <c r="BF959">
        <v>0</v>
      </c>
      <c r="BG959">
        <v>0</v>
      </c>
      <c r="BH959">
        <v>1</v>
      </c>
      <c r="BI959">
        <v>1</v>
      </c>
      <c r="BJ959">
        <v>0.2</v>
      </c>
      <c r="BK959">
        <v>1</v>
      </c>
      <c r="BL959">
        <v>135.59</v>
      </c>
      <c r="BM959">
        <v>20.34</v>
      </c>
      <c r="BN959">
        <v>155.93</v>
      </c>
      <c r="BO959">
        <v>155.93</v>
      </c>
      <c r="BQ959" t="s">
        <v>1341</v>
      </c>
      <c r="BR959" t="s">
        <v>84</v>
      </c>
      <c r="BS959" s="3">
        <v>45790</v>
      </c>
      <c r="BT959" s="4">
        <v>0.41458333333333336</v>
      </c>
      <c r="BU959" t="s">
        <v>1342</v>
      </c>
      <c r="BV959" t="s">
        <v>86</v>
      </c>
      <c r="BY959">
        <v>1200</v>
      </c>
      <c r="CA959" t="s">
        <v>1343</v>
      </c>
      <c r="CC959" t="s">
        <v>872</v>
      </c>
      <c r="CD959">
        <v>2302</v>
      </c>
      <c r="CE959" t="s">
        <v>88</v>
      </c>
      <c r="CF959" s="3">
        <v>45790</v>
      </c>
      <c r="CI959">
        <v>1</v>
      </c>
      <c r="CJ959">
        <v>1</v>
      </c>
      <c r="CK959">
        <v>23</v>
      </c>
      <c r="CL959" t="s">
        <v>89</v>
      </c>
    </row>
    <row r="960" spans="1:90" x14ac:dyDescent="0.3">
      <c r="A960" t="s">
        <v>72</v>
      </c>
      <c r="B960" t="s">
        <v>73</v>
      </c>
      <c r="C960" t="s">
        <v>74</v>
      </c>
      <c r="E960" t="str">
        <f>"080065324503"</f>
        <v>080065324503</v>
      </c>
      <c r="F960" s="3">
        <v>45789</v>
      </c>
      <c r="G960">
        <v>202602</v>
      </c>
      <c r="H960" t="s">
        <v>75</v>
      </c>
      <c r="I960" t="s">
        <v>76</v>
      </c>
      <c r="J960" t="s">
        <v>77</v>
      </c>
      <c r="K960" t="s">
        <v>78</v>
      </c>
      <c r="L960" t="s">
        <v>130</v>
      </c>
      <c r="M960" t="s">
        <v>131</v>
      </c>
      <c r="N960" t="s">
        <v>709</v>
      </c>
      <c r="O960" t="s">
        <v>82</v>
      </c>
      <c r="P960" t="str">
        <f>"4170037756                    "</f>
        <v xml:space="preserve">4170037756                    </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21.38</v>
      </c>
      <c r="AR960">
        <v>0</v>
      </c>
      <c r="AS960">
        <v>0</v>
      </c>
      <c r="AT960">
        <v>0</v>
      </c>
      <c r="AU960">
        <v>0</v>
      </c>
      <c r="AV960">
        <v>0</v>
      </c>
      <c r="AW960">
        <v>0</v>
      </c>
      <c r="AX960">
        <v>0</v>
      </c>
      <c r="AY960">
        <v>0</v>
      </c>
      <c r="AZ960">
        <v>0</v>
      </c>
      <c r="BA960">
        <v>0</v>
      </c>
      <c r="BB960">
        <v>0</v>
      </c>
      <c r="BC960">
        <v>0</v>
      </c>
      <c r="BD960">
        <v>0</v>
      </c>
      <c r="BE960">
        <v>0</v>
      </c>
      <c r="BF960">
        <v>0</v>
      </c>
      <c r="BG960">
        <v>0</v>
      </c>
      <c r="BH960">
        <v>1</v>
      </c>
      <c r="BI960">
        <v>1</v>
      </c>
      <c r="BJ960">
        <v>0.2</v>
      </c>
      <c r="BK960">
        <v>1</v>
      </c>
      <c r="BL960">
        <v>69.98</v>
      </c>
      <c r="BM960">
        <v>10.5</v>
      </c>
      <c r="BN960">
        <v>80.48</v>
      </c>
      <c r="BO960">
        <v>80.48</v>
      </c>
      <c r="BQ960" t="s">
        <v>710</v>
      </c>
      <c r="BR960" t="s">
        <v>84</v>
      </c>
      <c r="BS960" s="3">
        <v>45790</v>
      </c>
      <c r="BT960" s="4">
        <v>0.41736111111111113</v>
      </c>
      <c r="BU960" t="s">
        <v>1589</v>
      </c>
      <c r="BV960" t="s">
        <v>86</v>
      </c>
      <c r="BY960">
        <v>1200</v>
      </c>
      <c r="CA960" t="s">
        <v>712</v>
      </c>
      <c r="CC960" t="s">
        <v>131</v>
      </c>
      <c r="CD960">
        <v>7530</v>
      </c>
      <c r="CE960" t="s">
        <v>88</v>
      </c>
      <c r="CF960" s="3">
        <v>45791</v>
      </c>
      <c r="CI960">
        <v>1</v>
      </c>
      <c r="CJ960">
        <v>1</v>
      </c>
      <c r="CK960">
        <v>21</v>
      </c>
      <c r="CL960" t="s">
        <v>89</v>
      </c>
    </row>
    <row r="961" spans="1:90" x14ac:dyDescent="0.3">
      <c r="A961" t="s">
        <v>72</v>
      </c>
      <c r="B961" t="s">
        <v>73</v>
      </c>
      <c r="C961" t="s">
        <v>74</v>
      </c>
      <c r="E961" t="str">
        <f>"080065324546"</f>
        <v>080065324546</v>
      </c>
      <c r="F961" s="3">
        <v>45789</v>
      </c>
      <c r="G961">
        <v>202602</v>
      </c>
      <c r="H961" t="s">
        <v>75</v>
      </c>
      <c r="I961" t="s">
        <v>76</v>
      </c>
      <c r="J961" t="s">
        <v>77</v>
      </c>
      <c r="K961" t="s">
        <v>78</v>
      </c>
      <c r="L961" t="s">
        <v>90</v>
      </c>
      <c r="M961" t="s">
        <v>91</v>
      </c>
      <c r="N961" t="s">
        <v>476</v>
      </c>
      <c r="O961" t="s">
        <v>82</v>
      </c>
      <c r="P961" t="str">
        <f>"4170037943                    "</f>
        <v xml:space="preserve">4170037943                    </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21.38</v>
      </c>
      <c r="AR961">
        <v>0</v>
      </c>
      <c r="AS961">
        <v>0</v>
      </c>
      <c r="AT961">
        <v>0</v>
      </c>
      <c r="AU961">
        <v>0</v>
      </c>
      <c r="AV961">
        <v>0</v>
      </c>
      <c r="AW961">
        <v>0</v>
      </c>
      <c r="AX961">
        <v>0</v>
      </c>
      <c r="AY961">
        <v>0</v>
      </c>
      <c r="AZ961">
        <v>0</v>
      </c>
      <c r="BA961">
        <v>0</v>
      </c>
      <c r="BB961">
        <v>0</v>
      </c>
      <c r="BC961">
        <v>0</v>
      </c>
      <c r="BD961">
        <v>0</v>
      </c>
      <c r="BE961">
        <v>0</v>
      </c>
      <c r="BF961">
        <v>0</v>
      </c>
      <c r="BG961">
        <v>0</v>
      </c>
      <c r="BH961">
        <v>1</v>
      </c>
      <c r="BI961">
        <v>1</v>
      </c>
      <c r="BJ961">
        <v>0.2</v>
      </c>
      <c r="BK961">
        <v>1</v>
      </c>
      <c r="BL961">
        <v>69.98</v>
      </c>
      <c r="BM961">
        <v>10.5</v>
      </c>
      <c r="BN961">
        <v>80.48</v>
      </c>
      <c r="BO961">
        <v>80.48</v>
      </c>
      <c r="BQ961" t="s">
        <v>477</v>
      </c>
      <c r="BR961" t="s">
        <v>84</v>
      </c>
      <c r="BS961" s="3">
        <v>45790</v>
      </c>
      <c r="BT961" s="4">
        <v>0.39374999999999999</v>
      </c>
      <c r="BU961" t="s">
        <v>478</v>
      </c>
      <c r="BV961" t="s">
        <v>86</v>
      </c>
      <c r="BY961">
        <v>1200</v>
      </c>
      <c r="CA961" t="s">
        <v>1648</v>
      </c>
      <c r="CC961" t="s">
        <v>91</v>
      </c>
      <c r="CD961">
        <v>6001</v>
      </c>
      <c r="CE961" t="s">
        <v>88</v>
      </c>
      <c r="CF961" s="3">
        <v>45790</v>
      </c>
      <c r="CI961">
        <v>1</v>
      </c>
      <c r="CJ961">
        <v>1</v>
      </c>
      <c r="CK961">
        <v>21</v>
      </c>
      <c r="CL961" t="s">
        <v>89</v>
      </c>
    </row>
    <row r="962" spans="1:90" x14ac:dyDescent="0.3">
      <c r="A962" t="s">
        <v>72</v>
      </c>
      <c r="B962" t="s">
        <v>73</v>
      </c>
      <c r="C962" t="s">
        <v>74</v>
      </c>
      <c r="E962" t="str">
        <f>"080065324608"</f>
        <v>080065324608</v>
      </c>
      <c r="F962" s="3">
        <v>45789</v>
      </c>
      <c r="G962">
        <v>202602</v>
      </c>
      <c r="H962" t="s">
        <v>75</v>
      </c>
      <c r="I962" t="s">
        <v>76</v>
      </c>
      <c r="J962" t="s">
        <v>77</v>
      </c>
      <c r="K962" t="s">
        <v>78</v>
      </c>
      <c r="L962" t="s">
        <v>103</v>
      </c>
      <c r="M962" t="s">
        <v>104</v>
      </c>
      <c r="N962" t="s">
        <v>105</v>
      </c>
      <c r="O962" t="s">
        <v>82</v>
      </c>
      <c r="P962" t="str">
        <f>"4170037841                    "</f>
        <v xml:space="preserve">4170037841                    </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21.38</v>
      </c>
      <c r="AR962">
        <v>0</v>
      </c>
      <c r="AS962">
        <v>0</v>
      </c>
      <c r="AT962">
        <v>0</v>
      </c>
      <c r="AU962">
        <v>0</v>
      </c>
      <c r="AV962">
        <v>0</v>
      </c>
      <c r="AW962">
        <v>0</v>
      </c>
      <c r="AX962">
        <v>0</v>
      </c>
      <c r="AY962">
        <v>0</v>
      </c>
      <c r="AZ962">
        <v>0</v>
      </c>
      <c r="BA962">
        <v>0</v>
      </c>
      <c r="BB962">
        <v>0</v>
      </c>
      <c r="BC962">
        <v>0</v>
      </c>
      <c r="BD962">
        <v>0</v>
      </c>
      <c r="BE962">
        <v>0</v>
      </c>
      <c r="BF962">
        <v>0</v>
      </c>
      <c r="BG962">
        <v>0</v>
      </c>
      <c r="BH962">
        <v>1</v>
      </c>
      <c r="BI962">
        <v>1</v>
      </c>
      <c r="BJ962">
        <v>0.2</v>
      </c>
      <c r="BK962">
        <v>1</v>
      </c>
      <c r="BL962">
        <v>69.98</v>
      </c>
      <c r="BM962">
        <v>10.5</v>
      </c>
      <c r="BN962">
        <v>80.48</v>
      </c>
      <c r="BO962">
        <v>80.48</v>
      </c>
      <c r="BQ962" t="s">
        <v>106</v>
      </c>
      <c r="BR962" t="s">
        <v>84</v>
      </c>
      <c r="BS962" s="3">
        <v>45790</v>
      </c>
      <c r="BT962" s="4">
        <v>0.46180555555555558</v>
      </c>
      <c r="BU962" t="s">
        <v>107</v>
      </c>
      <c r="BV962" t="s">
        <v>86</v>
      </c>
      <c r="BY962">
        <v>1200</v>
      </c>
      <c r="CA962" t="s">
        <v>108</v>
      </c>
      <c r="CC962" t="s">
        <v>104</v>
      </c>
      <c r="CD962">
        <v>3201</v>
      </c>
      <c r="CE962" t="s">
        <v>88</v>
      </c>
      <c r="CF962" s="3">
        <v>45791</v>
      </c>
      <c r="CI962">
        <v>1</v>
      </c>
      <c r="CJ962">
        <v>1</v>
      </c>
      <c r="CK962">
        <v>21</v>
      </c>
      <c r="CL962" t="s">
        <v>89</v>
      </c>
    </row>
    <row r="963" spans="1:90" x14ac:dyDescent="0.3">
      <c r="A963" t="s">
        <v>72</v>
      </c>
      <c r="B963" t="s">
        <v>73</v>
      </c>
      <c r="C963" t="s">
        <v>74</v>
      </c>
      <c r="E963" t="str">
        <f>"080065324666"</f>
        <v>080065324666</v>
      </c>
      <c r="F963" s="3">
        <v>45789</v>
      </c>
      <c r="G963">
        <v>202602</v>
      </c>
      <c r="H963" t="s">
        <v>75</v>
      </c>
      <c r="I963" t="s">
        <v>76</v>
      </c>
      <c r="J963" t="s">
        <v>77</v>
      </c>
      <c r="K963" t="s">
        <v>78</v>
      </c>
      <c r="L963" t="s">
        <v>75</v>
      </c>
      <c r="M963" t="s">
        <v>76</v>
      </c>
      <c r="N963" t="s">
        <v>601</v>
      </c>
      <c r="O963" t="s">
        <v>82</v>
      </c>
      <c r="P963" t="str">
        <f>"4170037809                    "</f>
        <v xml:space="preserve">4170037809                    </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16.7</v>
      </c>
      <c r="AR963">
        <v>0</v>
      </c>
      <c r="AS963">
        <v>0</v>
      </c>
      <c r="AT963">
        <v>0</v>
      </c>
      <c r="AU963">
        <v>0</v>
      </c>
      <c r="AV963">
        <v>0</v>
      </c>
      <c r="AW963">
        <v>0</v>
      </c>
      <c r="AX963">
        <v>0</v>
      </c>
      <c r="AY963">
        <v>0</v>
      </c>
      <c r="AZ963">
        <v>0</v>
      </c>
      <c r="BA963">
        <v>0</v>
      </c>
      <c r="BB963">
        <v>0</v>
      </c>
      <c r="BC963">
        <v>0</v>
      </c>
      <c r="BD963">
        <v>0</v>
      </c>
      <c r="BE963">
        <v>0</v>
      </c>
      <c r="BF963">
        <v>0</v>
      </c>
      <c r="BG963">
        <v>0</v>
      </c>
      <c r="BH963">
        <v>1</v>
      </c>
      <c r="BI963">
        <v>1</v>
      </c>
      <c r="BJ963">
        <v>0.2</v>
      </c>
      <c r="BK963">
        <v>1</v>
      </c>
      <c r="BL963">
        <v>54.66</v>
      </c>
      <c r="BM963">
        <v>8.1999999999999993</v>
      </c>
      <c r="BN963">
        <v>62.86</v>
      </c>
      <c r="BO963">
        <v>62.86</v>
      </c>
      <c r="BQ963" t="s">
        <v>603</v>
      </c>
      <c r="BR963" t="s">
        <v>84</v>
      </c>
      <c r="BS963" s="3">
        <v>45790</v>
      </c>
      <c r="BT963" s="4">
        <v>0.41875000000000001</v>
      </c>
      <c r="BU963" t="s">
        <v>1709</v>
      </c>
      <c r="BV963" t="s">
        <v>86</v>
      </c>
      <c r="BY963">
        <v>1200</v>
      </c>
      <c r="CA963" t="s">
        <v>605</v>
      </c>
      <c r="CC963" t="s">
        <v>76</v>
      </c>
      <c r="CD963">
        <v>1645</v>
      </c>
      <c r="CE963" t="s">
        <v>88</v>
      </c>
      <c r="CF963" s="3">
        <v>45790</v>
      </c>
      <c r="CI963">
        <v>1</v>
      </c>
      <c r="CJ963">
        <v>1</v>
      </c>
      <c r="CK963">
        <v>22</v>
      </c>
      <c r="CL963" t="s">
        <v>89</v>
      </c>
    </row>
    <row r="964" spans="1:90" x14ac:dyDescent="0.3">
      <c r="A964" t="s">
        <v>72</v>
      </c>
      <c r="B964" t="s">
        <v>73</v>
      </c>
      <c r="C964" t="s">
        <v>74</v>
      </c>
      <c r="E964" t="str">
        <f>"080065324707"</f>
        <v>080065324707</v>
      </c>
      <c r="F964" s="3">
        <v>45789</v>
      </c>
      <c r="G964">
        <v>202602</v>
      </c>
      <c r="H964" t="s">
        <v>75</v>
      </c>
      <c r="I964" t="s">
        <v>76</v>
      </c>
      <c r="J964" t="s">
        <v>77</v>
      </c>
      <c r="K964" t="s">
        <v>78</v>
      </c>
      <c r="L964" t="s">
        <v>479</v>
      </c>
      <c r="M964" t="s">
        <v>480</v>
      </c>
      <c r="N964" t="s">
        <v>793</v>
      </c>
      <c r="O964" t="s">
        <v>82</v>
      </c>
      <c r="P964" t="str">
        <f>"4170037705                    "</f>
        <v xml:space="preserve">4170037705                    </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16.7</v>
      </c>
      <c r="AR964">
        <v>0</v>
      </c>
      <c r="AS964">
        <v>0</v>
      </c>
      <c r="AT964">
        <v>0</v>
      </c>
      <c r="AU964">
        <v>0</v>
      </c>
      <c r="AV964">
        <v>0</v>
      </c>
      <c r="AW964">
        <v>0</v>
      </c>
      <c r="AX964">
        <v>0</v>
      </c>
      <c r="AY964">
        <v>0</v>
      </c>
      <c r="AZ964">
        <v>0</v>
      </c>
      <c r="BA964">
        <v>0</v>
      </c>
      <c r="BB964">
        <v>0</v>
      </c>
      <c r="BC964">
        <v>0</v>
      </c>
      <c r="BD964">
        <v>0</v>
      </c>
      <c r="BE964">
        <v>0</v>
      </c>
      <c r="BF964">
        <v>0</v>
      </c>
      <c r="BG964">
        <v>0</v>
      </c>
      <c r="BH964">
        <v>1</v>
      </c>
      <c r="BI964">
        <v>1</v>
      </c>
      <c r="BJ964">
        <v>0.2</v>
      </c>
      <c r="BK964">
        <v>1</v>
      </c>
      <c r="BL964">
        <v>54.66</v>
      </c>
      <c r="BM964">
        <v>8.1999999999999993</v>
      </c>
      <c r="BN964">
        <v>62.86</v>
      </c>
      <c r="BO964">
        <v>62.86</v>
      </c>
      <c r="BQ964" t="s">
        <v>794</v>
      </c>
      <c r="BR964" t="s">
        <v>84</v>
      </c>
      <c r="BS964" s="3">
        <v>45790</v>
      </c>
      <c r="BT964" s="4">
        <v>0.41666666666666669</v>
      </c>
      <c r="BU964" t="s">
        <v>795</v>
      </c>
      <c r="BV964" t="s">
        <v>86</v>
      </c>
      <c r="BY964">
        <v>1200</v>
      </c>
      <c r="CA964" t="s">
        <v>796</v>
      </c>
      <c r="CC964" t="s">
        <v>480</v>
      </c>
      <c r="CD964">
        <v>2163</v>
      </c>
      <c r="CE964" t="s">
        <v>88</v>
      </c>
      <c r="CF964" s="3">
        <v>45791</v>
      </c>
      <c r="CI964">
        <v>1</v>
      </c>
      <c r="CJ964">
        <v>1</v>
      </c>
      <c r="CK964">
        <v>22</v>
      </c>
      <c r="CL964" t="s">
        <v>89</v>
      </c>
    </row>
    <row r="965" spans="1:90" x14ac:dyDescent="0.3">
      <c r="A965" t="s">
        <v>72</v>
      </c>
      <c r="B965" t="s">
        <v>73</v>
      </c>
      <c r="C965" t="s">
        <v>74</v>
      </c>
      <c r="E965" t="str">
        <f>"080065324743"</f>
        <v>080065324743</v>
      </c>
      <c r="F965" s="3">
        <v>45789</v>
      </c>
      <c r="G965">
        <v>202602</v>
      </c>
      <c r="H965" t="s">
        <v>75</v>
      </c>
      <c r="I965" t="s">
        <v>76</v>
      </c>
      <c r="J965" t="s">
        <v>77</v>
      </c>
      <c r="K965" t="s">
        <v>78</v>
      </c>
      <c r="L965" t="s">
        <v>690</v>
      </c>
      <c r="M965" t="s">
        <v>691</v>
      </c>
      <c r="N965" t="s">
        <v>692</v>
      </c>
      <c r="O965" t="s">
        <v>82</v>
      </c>
      <c r="P965" t="str">
        <f>"4170037951                    "</f>
        <v xml:space="preserve">4170037951                    </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41.43</v>
      </c>
      <c r="AR965">
        <v>0</v>
      </c>
      <c r="AS965">
        <v>0</v>
      </c>
      <c r="AT965">
        <v>0</v>
      </c>
      <c r="AU965">
        <v>0</v>
      </c>
      <c r="AV965">
        <v>0</v>
      </c>
      <c r="AW965">
        <v>16.739999999999998</v>
      </c>
      <c r="AX965">
        <v>0</v>
      </c>
      <c r="AY965">
        <v>0</v>
      </c>
      <c r="AZ965">
        <v>0</v>
      </c>
      <c r="BA965">
        <v>0</v>
      </c>
      <c r="BB965">
        <v>0</v>
      </c>
      <c r="BC965">
        <v>0</v>
      </c>
      <c r="BD965">
        <v>0</v>
      </c>
      <c r="BE965">
        <v>0</v>
      </c>
      <c r="BF965">
        <v>0</v>
      </c>
      <c r="BG965">
        <v>0</v>
      </c>
      <c r="BH965">
        <v>1</v>
      </c>
      <c r="BI965">
        <v>1</v>
      </c>
      <c r="BJ965">
        <v>0.2</v>
      </c>
      <c r="BK965">
        <v>1</v>
      </c>
      <c r="BL965">
        <v>152.33000000000001</v>
      </c>
      <c r="BM965">
        <v>22.85</v>
      </c>
      <c r="BN965">
        <v>175.18</v>
      </c>
      <c r="BO965">
        <v>175.18</v>
      </c>
      <c r="BQ965" t="s">
        <v>693</v>
      </c>
      <c r="BR965" t="s">
        <v>84</v>
      </c>
      <c r="BS965" s="3">
        <v>45791</v>
      </c>
      <c r="BT965" s="4">
        <v>0.43958333333333333</v>
      </c>
      <c r="BU965" t="s">
        <v>1710</v>
      </c>
      <c r="BV965" t="s">
        <v>86</v>
      </c>
      <c r="BY965">
        <v>1200</v>
      </c>
      <c r="BZ965" t="s">
        <v>30</v>
      </c>
      <c r="CC965" t="s">
        <v>691</v>
      </c>
      <c r="CD965">
        <v>5660</v>
      </c>
      <c r="CE965" t="s">
        <v>88</v>
      </c>
      <c r="CF965" s="3">
        <v>45791</v>
      </c>
      <c r="CI965">
        <v>2</v>
      </c>
      <c r="CJ965">
        <v>2</v>
      </c>
      <c r="CK965">
        <v>23</v>
      </c>
      <c r="CL965" t="s">
        <v>89</v>
      </c>
    </row>
    <row r="966" spans="1:90" x14ac:dyDescent="0.3">
      <c r="A966" t="s">
        <v>72</v>
      </c>
      <c r="B966" t="s">
        <v>73</v>
      </c>
      <c r="C966" t="s">
        <v>74</v>
      </c>
      <c r="E966" t="str">
        <f>"080065324772"</f>
        <v>080065324772</v>
      </c>
      <c r="F966" s="3">
        <v>45789</v>
      </c>
      <c r="G966">
        <v>202602</v>
      </c>
      <c r="H966" t="s">
        <v>75</v>
      </c>
      <c r="I966" t="s">
        <v>76</v>
      </c>
      <c r="J966" t="s">
        <v>77</v>
      </c>
      <c r="K966" t="s">
        <v>78</v>
      </c>
      <c r="L966" t="s">
        <v>130</v>
      </c>
      <c r="M966" t="s">
        <v>131</v>
      </c>
      <c r="N966" t="s">
        <v>1066</v>
      </c>
      <c r="O966" t="s">
        <v>82</v>
      </c>
      <c r="P966" t="str">
        <f>"4170037879                    "</f>
        <v xml:space="preserve">4170037879                    </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21.38</v>
      </c>
      <c r="AR966">
        <v>0</v>
      </c>
      <c r="AS966">
        <v>0</v>
      </c>
      <c r="AT966">
        <v>0</v>
      </c>
      <c r="AU966">
        <v>0</v>
      </c>
      <c r="AV966">
        <v>0</v>
      </c>
      <c r="AW966">
        <v>0</v>
      </c>
      <c r="AX966">
        <v>0</v>
      </c>
      <c r="AY966">
        <v>0</v>
      </c>
      <c r="AZ966">
        <v>0</v>
      </c>
      <c r="BA966">
        <v>0</v>
      </c>
      <c r="BB966">
        <v>0</v>
      </c>
      <c r="BC966">
        <v>0</v>
      </c>
      <c r="BD966">
        <v>0</v>
      </c>
      <c r="BE966">
        <v>0</v>
      </c>
      <c r="BF966">
        <v>0</v>
      </c>
      <c r="BG966">
        <v>0</v>
      </c>
      <c r="BH966">
        <v>1</v>
      </c>
      <c r="BI966">
        <v>1</v>
      </c>
      <c r="BJ966">
        <v>0.2</v>
      </c>
      <c r="BK966">
        <v>1</v>
      </c>
      <c r="BL966">
        <v>69.98</v>
      </c>
      <c r="BM966">
        <v>10.5</v>
      </c>
      <c r="BN966">
        <v>80.48</v>
      </c>
      <c r="BO966">
        <v>80.48</v>
      </c>
      <c r="BQ966" t="s">
        <v>1067</v>
      </c>
      <c r="BR966" t="s">
        <v>84</v>
      </c>
      <c r="BS966" s="3">
        <v>45790</v>
      </c>
      <c r="BT966" s="4">
        <v>0.46458333333333335</v>
      </c>
      <c r="BU966" t="s">
        <v>1669</v>
      </c>
      <c r="BV966" t="s">
        <v>89</v>
      </c>
      <c r="BW966" t="s">
        <v>340</v>
      </c>
      <c r="BX966" t="s">
        <v>618</v>
      </c>
      <c r="BY966">
        <v>1200</v>
      </c>
      <c r="CA966" t="s">
        <v>712</v>
      </c>
      <c r="CC966" t="s">
        <v>131</v>
      </c>
      <c r="CD966">
        <v>7561</v>
      </c>
      <c r="CE966" t="s">
        <v>88</v>
      </c>
      <c r="CF966" s="3">
        <v>45791</v>
      </c>
      <c r="CI966">
        <v>1</v>
      </c>
      <c r="CJ966">
        <v>1</v>
      </c>
      <c r="CK966">
        <v>21</v>
      </c>
      <c r="CL966" t="s">
        <v>89</v>
      </c>
    </row>
    <row r="967" spans="1:90" x14ac:dyDescent="0.3">
      <c r="A967" t="s">
        <v>72</v>
      </c>
      <c r="B967" t="s">
        <v>73</v>
      </c>
      <c r="C967" t="s">
        <v>74</v>
      </c>
      <c r="E967" t="str">
        <f>"080065324808"</f>
        <v>080065324808</v>
      </c>
      <c r="F967" s="3">
        <v>45789</v>
      </c>
      <c r="G967">
        <v>202602</v>
      </c>
      <c r="H967" t="s">
        <v>75</v>
      </c>
      <c r="I967" t="s">
        <v>76</v>
      </c>
      <c r="J967" t="s">
        <v>77</v>
      </c>
      <c r="K967" t="s">
        <v>78</v>
      </c>
      <c r="L967" t="s">
        <v>463</v>
      </c>
      <c r="M967" t="s">
        <v>464</v>
      </c>
      <c r="N967" t="s">
        <v>585</v>
      </c>
      <c r="O967" t="s">
        <v>82</v>
      </c>
      <c r="P967" t="str">
        <f>"4170037941                    "</f>
        <v xml:space="preserve">4170037941                    </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21.38</v>
      </c>
      <c r="AR967">
        <v>0</v>
      </c>
      <c r="AS967">
        <v>0</v>
      </c>
      <c r="AT967">
        <v>0</v>
      </c>
      <c r="AU967">
        <v>0</v>
      </c>
      <c r="AV967">
        <v>0</v>
      </c>
      <c r="AW967">
        <v>0</v>
      </c>
      <c r="AX967">
        <v>0</v>
      </c>
      <c r="AY967">
        <v>0</v>
      </c>
      <c r="AZ967">
        <v>0</v>
      </c>
      <c r="BA967">
        <v>0</v>
      </c>
      <c r="BB967">
        <v>0</v>
      </c>
      <c r="BC967">
        <v>0</v>
      </c>
      <c r="BD967">
        <v>0</v>
      </c>
      <c r="BE967">
        <v>0</v>
      </c>
      <c r="BF967">
        <v>0</v>
      </c>
      <c r="BG967">
        <v>0</v>
      </c>
      <c r="BH967">
        <v>1</v>
      </c>
      <c r="BI967">
        <v>1</v>
      </c>
      <c r="BJ967">
        <v>0.2</v>
      </c>
      <c r="BK967">
        <v>1</v>
      </c>
      <c r="BL967">
        <v>69.98</v>
      </c>
      <c r="BM967">
        <v>10.5</v>
      </c>
      <c r="BN967">
        <v>80.48</v>
      </c>
      <c r="BO967">
        <v>80.48</v>
      </c>
      <c r="BQ967" t="s">
        <v>586</v>
      </c>
      <c r="BR967" t="s">
        <v>84</v>
      </c>
      <c r="BS967" s="3">
        <v>45791</v>
      </c>
      <c r="BT967" s="4">
        <v>0.44166666666666665</v>
      </c>
      <c r="BU967" t="s">
        <v>1444</v>
      </c>
      <c r="BV967" t="s">
        <v>89</v>
      </c>
      <c r="BY967">
        <v>1200</v>
      </c>
      <c r="CA967" t="s">
        <v>1509</v>
      </c>
      <c r="CC967" t="s">
        <v>464</v>
      </c>
      <c r="CD967">
        <v>5200</v>
      </c>
      <c r="CE967" t="s">
        <v>88</v>
      </c>
      <c r="CF967" s="3">
        <v>45792</v>
      </c>
      <c r="CI967">
        <v>1</v>
      </c>
      <c r="CJ967">
        <v>2</v>
      </c>
      <c r="CK967">
        <v>21</v>
      </c>
      <c r="CL967" t="s">
        <v>89</v>
      </c>
    </row>
    <row r="968" spans="1:90" x14ac:dyDescent="0.3">
      <c r="A968" t="s">
        <v>72</v>
      </c>
      <c r="B968" t="s">
        <v>73</v>
      </c>
      <c r="C968" t="s">
        <v>74</v>
      </c>
      <c r="E968" t="str">
        <f>"080065324843"</f>
        <v>080065324843</v>
      </c>
      <c r="F968" s="3">
        <v>45789</v>
      </c>
      <c r="G968">
        <v>202602</v>
      </c>
      <c r="H968" t="s">
        <v>75</v>
      </c>
      <c r="I968" t="s">
        <v>76</v>
      </c>
      <c r="J968" t="s">
        <v>77</v>
      </c>
      <c r="K968" t="s">
        <v>78</v>
      </c>
      <c r="L968" t="s">
        <v>75</v>
      </c>
      <c r="M968" t="s">
        <v>76</v>
      </c>
      <c r="N968" t="s">
        <v>346</v>
      </c>
      <c r="O968" t="s">
        <v>82</v>
      </c>
      <c r="P968" t="str">
        <f>"4170037799                    "</f>
        <v xml:space="preserve">4170037799                    </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16.7</v>
      </c>
      <c r="AR968">
        <v>0</v>
      </c>
      <c r="AS968">
        <v>0</v>
      </c>
      <c r="AT968">
        <v>0</v>
      </c>
      <c r="AU968">
        <v>0</v>
      </c>
      <c r="AV968">
        <v>0</v>
      </c>
      <c r="AW968">
        <v>0</v>
      </c>
      <c r="AX968">
        <v>0</v>
      </c>
      <c r="AY968">
        <v>0</v>
      </c>
      <c r="AZ968">
        <v>0</v>
      </c>
      <c r="BA968">
        <v>0</v>
      </c>
      <c r="BB968">
        <v>0</v>
      </c>
      <c r="BC968">
        <v>0</v>
      </c>
      <c r="BD968">
        <v>0</v>
      </c>
      <c r="BE968">
        <v>0</v>
      </c>
      <c r="BF968">
        <v>0</v>
      </c>
      <c r="BG968">
        <v>0</v>
      </c>
      <c r="BH968">
        <v>1</v>
      </c>
      <c r="BI968">
        <v>1</v>
      </c>
      <c r="BJ968">
        <v>0.2</v>
      </c>
      <c r="BK968">
        <v>1</v>
      </c>
      <c r="BL968">
        <v>54.66</v>
      </c>
      <c r="BM968">
        <v>8.1999999999999993</v>
      </c>
      <c r="BN968">
        <v>62.86</v>
      </c>
      <c r="BO968">
        <v>62.86</v>
      </c>
      <c r="BQ968" t="s">
        <v>347</v>
      </c>
      <c r="BR968" t="s">
        <v>84</v>
      </c>
      <c r="BS968" s="3">
        <v>45790</v>
      </c>
      <c r="BT968" s="4">
        <v>0.37847222222222221</v>
      </c>
      <c r="BU968" t="s">
        <v>348</v>
      </c>
      <c r="BV968" t="s">
        <v>86</v>
      </c>
      <c r="BY968">
        <v>1200</v>
      </c>
      <c r="CA968" t="s">
        <v>349</v>
      </c>
      <c r="CC968" t="s">
        <v>76</v>
      </c>
      <c r="CD968">
        <v>1619</v>
      </c>
      <c r="CE968" t="s">
        <v>88</v>
      </c>
      <c r="CF968" s="3">
        <v>45791</v>
      </c>
      <c r="CI968">
        <v>1</v>
      </c>
      <c r="CJ968">
        <v>1</v>
      </c>
      <c r="CK968">
        <v>22</v>
      </c>
      <c r="CL968" t="s">
        <v>89</v>
      </c>
    </row>
    <row r="969" spans="1:90" x14ac:dyDescent="0.3">
      <c r="A969" t="s">
        <v>72</v>
      </c>
      <c r="B969" t="s">
        <v>73</v>
      </c>
      <c r="C969" t="s">
        <v>74</v>
      </c>
      <c r="E969" t="str">
        <f>"080065324876"</f>
        <v>080065324876</v>
      </c>
      <c r="F969" s="3">
        <v>45789</v>
      </c>
      <c r="G969">
        <v>202602</v>
      </c>
      <c r="H969" t="s">
        <v>75</v>
      </c>
      <c r="I969" t="s">
        <v>76</v>
      </c>
      <c r="J969" t="s">
        <v>77</v>
      </c>
      <c r="K969" t="s">
        <v>78</v>
      </c>
      <c r="L969" t="s">
        <v>79</v>
      </c>
      <c r="M969" t="s">
        <v>80</v>
      </c>
      <c r="N969" t="s">
        <v>862</v>
      </c>
      <c r="O969" t="s">
        <v>82</v>
      </c>
      <c r="P969" t="str">
        <f>"4170037974                    "</f>
        <v xml:space="preserve">4170037974                    </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21.38</v>
      </c>
      <c r="AR969">
        <v>0</v>
      </c>
      <c r="AS969">
        <v>0</v>
      </c>
      <c r="AT969">
        <v>0</v>
      </c>
      <c r="AU969">
        <v>0</v>
      </c>
      <c r="AV969">
        <v>0</v>
      </c>
      <c r="AW969">
        <v>0</v>
      </c>
      <c r="AX969">
        <v>0</v>
      </c>
      <c r="AY969">
        <v>0</v>
      </c>
      <c r="AZ969">
        <v>0</v>
      </c>
      <c r="BA969">
        <v>0</v>
      </c>
      <c r="BB969">
        <v>0</v>
      </c>
      <c r="BC969">
        <v>0</v>
      </c>
      <c r="BD969">
        <v>0</v>
      </c>
      <c r="BE969">
        <v>0</v>
      </c>
      <c r="BF969">
        <v>0</v>
      </c>
      <c r="BG969">
        <v>0</v>
      </c>
      <c r="BH969">
        <v>1</v>
      </c>
      <c r="BI969">
        <v>1</v>
      </c>
      <c r="BJ969">
        <v>0.2</v>
      </c>
      <c r="BK969">
        <v>1</v>
      </c>
      <c r="BL969">
        <v>69.98</v>
      </c>
      <c r="BM969">
        <v>10.5</v>
      </c>
      <c r="BN969">
        <v>80.48</v>
      </c>
      <c r="BO969">
        <v>80.48</v>
      </c>
      <c r="BQ969" t="s">
        <v>863</v>
      </c>
      <c r="BR969" t="s">
        <v>84</v>
      </c>
      <c r="BS969" s="3">
        <v>45790</v>
      </c>
      <c r="BT969" s="4">
        <v>0.39930555555555558</v>
      </c>
      <c r="BU969" t="s">
        <v>864</v>
      </c>
      <c r="BV969" t="s">
        <v>86</v>
      </c>
      <c r="BY969">
        <v>1200</v>
      </c>
      <c r="CA969" t="s">
        <v>160</v>
      </c>
      <c r="CC969" t="s">
        <v>80</v>
      </c>
      <c r="CD969">
        <v>3610</v>
      </c>
      <c r="CE969" t="s">
        <v>88</v>
      </c>
      <c r="CF969" s="3">
        <v>45791</v>
      </c>
      <c r="CI969">
        <v>1</v>
      </c>
      <c r="CJ969">
        <v>1</v>
      </c>
      <c r="CK969">
        <v>21</v>
      </c>
      <c r="CL969" t="s">
        <v>89</v>
      </c>
    </row>
    <row r="970" spans="1:90" x14ac:dyDescent="0.3">
      <c r="A970" t="s">
        <v>72</v>
      </c>
      <c r="B970" t="s">
        <v>73</v>
      </c>
      <c r="C970" t="s">
        <v>74</v>
      </c>
      <c r="E970" t="str">
        <f>"080065324909"</f>
        <v>080065324909</v>
      </c>
      <c r="F970" s="3">
        <v>45789</v>
      </c>
      <c r="G970">
        <v>202602</v>
      </c>
      <c r="H970" t="s">
        <v>75</v>
      </c>
      <c r="I970" t="s">
        <v>76</v>
      </c>
      <c r="J970" t="s">
        <v>77</v>
      </c>
      <c r="K970" t="s">
        <v>78</v>
      </c>
      <c r="L970" t="s">
        <v>130</v>
      </c>
      <c r="M970" t="s">
        <v>131</v>
      </c>
      <c r="N970" t="s">
        <v>909</v>
      </c>
      <c r="O970" t="s">
        <v>82</v>
      </c>
      <c r="P970" t="str">
        <f>"4170037783                    "</f>
        <v xml:space="preserve">4170037783                    </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21.38</v>
      </c>
      <c r="AR970">
        <v>0</v>
      </c>
      <c r="AS970">
        <v>0</v>
      </c>
      <c r="AT970">
        <v>0</v>
      </c>
      <c r="AU970">
        <v>0</v>
      </c>
      <c r="AV970">
        <v>0</v>
      </c>
      <c r="AW970">
        <v>0</v>
      </c>
      <c r="AX970">
        <v>0</v>
      </c>
      <c r="AY970">
        <v>0</v>
      </c>
      <c r="AZ970">
        <v>0</v>
      </c>
      <c r="BA970">
        <v>0</v>
      </c>
      <c r="BB970">
        <v>0</v>
      </c>
      <c r="BC970">
        <v>0</v>
      </c>
      <c r="BD970">
        <v>0</v>
      </c>
      <c r="BE970">
        <v>0</v>
      </c>
      <c r="BF970">
        <v>0</v>
      </c>
      <c r="BG970">
        <v>0</v>
      </c>
      <c r="BH970">
        <v>1</v>
      </c>
      <c r="BI970">
        <v>1</v>
      </c>
      <c r="BJ970">
        <v>0.2</v>
      </c>
      <c r="BK970">
        <v>1</v>
      </c>
      <c r="BL970">
        <v>69.98</v>
      </c>
      <c r="BM970">
        <v>10.5</v>
      </c>
      <c r="BN970">
        <v>80.48</v>
      </c>
      <c r="BO970">
        <v>80.48</v>
      </c>
      <c r="BQ970" t="s">
        <v>910</v>
      </c>
      <c r="BR970" t="s">
        <v>84</v>
      </c>
      <c r="BS970" s="3">
        <v>45790</v>
      </c>
      <c r="BT970" s="4">
        <v>0.42291666666666666</v>
      </c>
      <c r="BU970" t="s">
        <v>1711</v>
      </c>
      <c r="BV970" t="s">
        <v>86</v>
      </c>
      <c r="BY970">
        <v>1200</v>
      </c>
      <c r="CA970" t="s">
        <v>712</v>
      </c>
      <c r="CC970" t="s">
        <v>131</v>
      </c>
      <c r="CD970">
        <v>7530</v>
      </c>
      <c r="CE970" t="s">
        <v>88</v>
      </c>
      <c r="CF970" s="3">
        <v>45791</v>
      </c>
      <c r="CI970">
        <v>1</v>
      </c>
      <c r="CJ970">
        <v>1</v>
      </c>
      <c r="CK970">
        <v>21</v>
      </c>
      <c r="CL970" t="s">
        <v>89</v>
      </c>
    </row>
    <row r="971" spans="1:90" x14ac:dyDescent="0.3">
      <c r="A971" t="s">
        <v>72</v>
      </c>
      <c r="B971" t="s">
        <v>73</v>
      </c>
      <c r="C971" t="s">
        <v>74</v>
      </c>
      <c r="E971" t="str">
        <f>"080065324937"</f>
        <v>080065324937</v>
      </c>
      <c r="F971" s="3">
        <v>45789</v>
      </c>
      <c r="G971">
        <v>202602</v>
      </c>
      <c r="H971" t="s">
        <v>75</v>
      </c>
      <c r="I971" t="s">
        <v>76</v>
      </c>
      <c r="J971" t="s">
        <v>77</v>
      </c>
      <c r="K971" t="s">
        <v>78</v>
      </c>
      <c r="L971" t="s">
        <v>350</v>
      </c>
      <c r="M971" t="s">
        <v>351</v>
      </c>
      <c r="N971" t="s">
        <v>678</v>
      </c>
      <c r="O971" t="s">
        <v>82</v>
      </c>
      <c r="P971" t="str">
        <f>"4170037732                    "</f>
        <v xml:space="preserve">4170037732                    </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21.38</v>
      </c>
      <c r="AR971">
        <v>0</v>
      </c>
      <c r="AS971">
        <v>0</v>
      </c>
      <c r="AT971">
        <v>0</v>
      </c>
      <c r="AU971">
        <v>0</v>
      </c>
      <c r="AV971">
        <v>0</v>
      </c>
      <c r="AW971">
        <v>0</v>
      </c>
      <c r="AX971">
        <v>0</v>
      </c>
      <c r="AY971">
        <v>0</v>
      </c>
      <c r="AZ971">
        <v>0</v>
      </c>
      <c r="BA971">
        <v>0</v>
      </c>
      <c r="BB971">
        <v>0</v>
      </c>
      <c r="BC971">
        <v>0</v>
      </c>
      <c r="BD971">
        <v>0</v>
      </c>
      <c r="BE971">
        <v>0</v>
      </c>
      <c r="BF971">
        <v>0</v>
      </c>
      <c r="BG971">
        <v>0</v>
      </c>
      <c r="BH971">
        <v>1</v>
      </c>
      <c r="BI971">
        <v>1</v>
      </c>
      <c r="BJ971">
        <v>0.2</v>
      </c>
      <c r="BK971">
        <v>1</v>
      </c>
      <c r="BL971">
        <v>69.98</v>
      </c>
      <c r="BM971">
        <v>10.5</v>
      </c>
      <c r="BN971">
        <v>80.48</v>
      </c>
      <c r="BO971">
        <v>80.48</v>
      </c>
      <c r="BQ971" t="s">
        <v>679</v>
      </c>
      <c r="BR971" t="s">
        <v>84</v>
      </c>
      <c r="BS971" s="3">
        <v>45790</v>
      </c>
      <c r="BT971" s="4">
        <v>0.54861111111111116</v>
      </c>
      <c r="BU971" t="s">
        <v>680</v>
      </c>
      <c r="BV971" t="s">
        <v>89</v>
      </c>
      <c r="BW971" t="s">
        <v>296</v>
      </c>
      <c r="BX971" t="s">
        <v>325</v>
      </c>
      <c r="BY971">
        <v>1200</v>
      </c>
      <c r="CA971" t="s">
        <v>326</v>
      </c>
      <c r="CC971" t="s">
        <v>351</v>
      </c>
      <c r="CD971">
        <v>4052</v>
      </c>
      <c r="CE971" t="s">
        <v>88</v>
      </c>
      <c r="CF971" s="3">
        <v>45791</v>
      </c>
      <c r="CI971">
        <v>1</v>
      </c>
      <c r="CJ971">
        <v>1</v>
      </c>
      <c r="CK971">
        <v>21</v>
      </c>
      <c r="CL971" t="s">
        <v>89</v>
      </c>
    </row>
    <row r="972" spans="1:90" x14ac:dyDescent="0.3">
      <c r="A972" t="s">
        <v>72</v>
      </c>
      <c r="B972" t="s">
        <v>73</v>
      </c>
      <c r="C972" t="s">
        <v>74</v>
      </c>
      <c r="E972" t="str">
        <f>"080065324962"</f>
        <v>080065324962</v>
      </c>
      <c r="F972" s="3">
        <v>45789</v>
      </c>
      <c r="G972">
        <v>202602</v>
      </c>
      <c r="H972" t="s">
        <v>75</v>
      </c>
      <c r="I972" t="s">
        <v>76</v>
      </c>
      <c r="J972" t="s">
        <v>77</v>
      </c>
      <c r="K972" t="s">
        <v>78</v>
      </c>
      <c r="L972" t="s">
        <v>90</v>
      </c>
      <c r="M972" t="s">
        <v>91</v>
      </c>
      <c r="N972" t="s">
        <v>563</v>
      </c>
      <c r="O972" t="s">
        <v>82</v>
      </c>
      <c r="P972" t="str">
        <f>"4170037851                    "</f>
        <v xml:space="preserve">4170037851                    </v>
      </c>
      <c r="Q972">
        <v>0</v>
      </c>
      <c r="R972">
        <v>0</v>
      </c>
      <c r="S972">
        <v>0</v>
      </c>
      <c r="T972">
        <v>0</v>
      </c>
      <c r="U972">
        <v>0</v>
      </c>
      <c r="V972">
        <v>0</v>
      </c>
      <c r="W972">
        <v>0</v>
      </c>
      <c r="X972">
        <v>0</v>
      </c>
      <c r="Y972">
        <v>0</v>
      </c>
      <c r="Z972">
        <v>0</v>
      </c>
      <c r="AA972">
        <v>0</v>
      </c>
      <c r="AB972">
        <v>0</v>
      </c>
      <c r="AC972">
        <v>0</v>
      </c>
      <c r="AD972">
        <v>0</v>
      </c>
      <c r="AE972">
        <v>0</v>
      </c>
      <c r="AF972">
        <v>0</v>
      </c>
      <c r="AG972">
        <v>0</v>
      </c>
      <c r="AH972">
        <v>0</v>
      </c>
      <c r="AI972">
        <v>0</v>
      </c>
      <c r="AJ972">
        <v>0</v>
      </c>
      <c r="AK972">
        <v>0</v>
      </c>
      <c r="AL972">
        <v>0</v>
      </c>
      <c r="AM972">
        <v>0</v>
      </c>
      <c r="AN972">
        <v>0</v>
      </c>
      <c r="AO972">
        <v>0</v>
      </c>
      <c r="AP972">
        <v>0</v>
      </c>
      <c r="AQ972">
        <v>21.38</v>
      </c>
      <c r="AR972">
        <v>0</v>
      </c>
      <c r="AS972">
        <v>0</v>
      </c>
      <c r="AT972">
        <v>0</v>
      </c>
      <c r="AU972">
        <v>0</v>
      </c>
      <c r="AV972">
        <v>0</v>
      </c>
      <c r="AW972">
        <v>0</v>
      </c>
      <c r="AX972">
        <v>0</v>
      </c>
      <c r="AY972">
        <v>0</v>
      </c>
      <c r="AZ972">
        <v>0</v>
      </c>
      <c r="BA972">
        <v>0</v>
      </c>
      <c r="BB972">
        <v>0</v>
      </c>
      <c r="BC972">
        <v>0</v>
      </c>
      <c r="BD972">
        <v>0</v>
      </c>
      <c r="BE972">
        <v>0</v>
      </c>
      <c r="BF972">
        <v>0</v>
      </c>
      <c r="BG972">
        <v>0</v>
      </c>
      <c r="BH972">
        <v>1</v>
      </c>
      <c r="BI972">
        <v>1</v>
      </c>
      <c r="BJ972">
        <v>0.2</v>
      </c>
      <c r="BK972">
        <v>1</v>
      </c>
      <c r="BL972">
        <v>69.98</v>
      </c>
      <c r="BM972">
        <v>10.5</v>
      </c>
      <c r="BN972">
        <v>80.48</v>
      </c>
      <c r="BO972">
        <v>80.48</v>
      </c>
      <c r="BQ972" t="s">
        <v>564</v>
      </c>
      <c r="BR972" t="s">
        <v>84</v>
      </c>
      <c r="BS972" s="3">
        <v>45790</v>
      </c>
      <c r="BT972" s="4">
        <v>0.35208333333333336</v>
      </c>
      <c r="BU972" t="s">
        <v>1621</v>
      </c>
      <c r="BV972" t="s">
        <v>86</v>
      </c>
      <c r="BY972">
        <v>1200</v>
      </c>
      <c r="CA972" t="s">
        <v>1622</v>
      </c>
      <c r="CC972" t="s">
        <v>91</v>
      </c>
      <c r="CD972">
        <v>6001</v>
      </c>
      <c r="CE972" t="s">
        <v>88</v>
      </c>
      <c r="CF972" s="3">
        <v>45790</v>
      </c>
      <c r="CI972">
        <v>1</v>
      </c>
      <c r="CJ972">
        <v>1</v>
      </c>
      <c r="CK972">
        <v>21</v>
      </c>
      <c r="CL972" t="s">
        <v>89</v>
      </c>
    </row>
    <row r="973" spans="1:90" x14ac:dyDescent="0.3">
      <c r="A973" t="s">
        <v>72</v>
      </c>
      <c r="B973" t="s">
        <v>73</v>
      </c>
      <c r="C973" t="s">
        <v>74</v>
      </c>
      <c r="E973" t="str">
        <f>"080065325002"</f>
        <v>080065325002</v>
      </c>
      <c r="F973" s="3">
        <v>45789</v>
      </c>
      <c r="G973">
        <v>202602</v>
      </c>
      <c r="H973" t="s">
        <v>75</v>
      </c>
      <c r="I973" t="s">
        <v>76</v>
      </c>
      <c r="J973" t="s">
        <v>77</v>
      </c>
      <c r="K973" t="s">
        <v>78</v>
      </c>
      <c r="L973" t="s">
        <v>1537</v>
      </c>
      <c r="M973" t="s">
        <v>1537</v>
      </c>
      <c r="N973" t="s">
        <v>1538</v>
      </c>
      <c r="O973" t="s">
        <v>82</v>
      </c>
      <c r="P973" t="str">
        <f>"4170037800                    "</f>
        <v xml:space="preserve">4170037800                    </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41.43</v>
      </c>
      <c r="AR973">
        <v>0</v>
      </c>
      <c r="AS973">
        <v>0</v>
      </c>
      <c r="AT973">
        <v>0</v>
      </c>
      <c r="AU973">
        <v>0</v>
      </c>
      <c r="AV973">
        <v>0</v>
      </c>
      <c r="AW973">
        <v>0</v>
      </c>
      <c r="AX973">
        <v>0</v>
      </c>
      <c r="AY973">
        <v>0</v>
      </c>
      <c r="AZ973">
        <v>0</v>
      </c>
      <c r="BA973">
        <v>0</v>
      </c>
      <c r="BB973">
        <v>0</v>
      </c>
      <c r="BC973">
        <v>0</v>
      </c>
      <c r="BD973">
        <v>0</v>
      </c>
      <c r="BE973">
        <v>0</v>
      </c>
      <c r="BF973">
        <v>0</v>
      </c>
      <c r="BG973">
        <v>0</v>
      </c>
      <c r="BH973">
        <v>1</v>
      </c>
      <c r="BI973">
        <v>1</v>
      </c>
      <c r="BJ973">
        <v>0.2</v>
      </c>
      <c r="BK973">
        <v>1</v>
      </c>
      <c r="BL973">
        <v>135.59</v>
      </c>
      <c r="BM973">
        <v>20.34</v>
      </c>
      <c r="BN973">
        <v>155.93</v>
      </c>
      <c r="BO973">
        <v>155.93</v>
      </c>
      <c r="BQ973" t="s">
        <v>1539</v>
      </c>
      <c r="BR973" t="s">
        <v>84</v>
      </c>
      <c r="BS973" t="s">
        <v>1540</v>
      </c>
      <c r="BY973">
        <v>1200</v>
      </c>
      <c r="CC973" t="s">
        <v>1537</v>
      </c>
      <c r="CD973">
        <v>7681</v>
      </c>
      <c r="CE973" t="s">
        <v>88</v>
      </c>
      <c r="CI973">
        <v>1</v>
      </c>
      <c r="CJ973" t="s">
        <v>1540</v>
      </c>
      <c r="CK973">
        <v>23</v>
      </c>
      <c r="CL973" t="s">
        <v>89</v>
      </c>
    </row>
    <row r="974" spans="1:90" x14ac:dyDescent="0.3">
      <c r="A974" t="s">
        <v>72</v>
      </c>
      <c r="B974" t="s">
        <v>73</v>
      </c>
      <c r="C974" t="s">
        <v>74</v>
      </c>
      <c r="E974" t="str">
        <f>"080065325006"</f>
        <v>080065325006</v>
      </c>
      <c r="F974" s="3">
        <v>45789</v>
      </c>
      <c r="G974">
        <v>202602</v>
      </c>
      <c r="H974" t="s">
        <v>75</v>
      </c>
      <c r="I974" t="s">
        <v>76</v>
      </c>
      <c r="J974" t="s">
        <v>77</v>
      </c>
      <c r="K974" t="s">
        <v>78</v>
      </c>
      <c r="L974" t="s">
        <v>90</v>
      </c>
      <c r="M974" t="s">
        <v>91</v>
      </c>
      <c r="N974" t="s">
        <v>92</v>
      </c>
      <c r="O974" t="s">
        <v>82</v>
      </c>
      <c r="P974" t="str">
        <f>"4170037835                    "</f>
        <v xml:space="preserve">4170037835                    </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21.38</v>
      </c>
      <c r="AR974">
        <v>0</v>
      </c>
      <c r="AS974">
        <v>0</v>
      </c>
      <c r="AT974">
        <v>0</v>
      </c>
      <c r="AU974">
        <v>0</v>
      </c>
      <c r="AV974">
        <v>0</v>
      </c>
      <c r="AW974">
        <v>0</v>
      </c>
      <c r="AX974">
        <v>0</v>
      </c>
      <c r="AY974">
        <v>0</v>
      </c>
      <c r="AZ974">
        <v>0</v>
      </c>
      <c r="BA974">
        <v>0</v>
      </c>
      <c r="BB974">
        <v>0</v>
      </c>
      <c r="BC974">
        <v>0</v>
      </c>
      <c r="BD974">
        <v>0</v>
      </c>
      <c r="BE974">
        <v>0</v>
      </c>
      <c r="BF974">
        <v>0</v>
      </c>
      <c r="BG974">
        <v>0</v>
      </c>
      <c r="BH974">
        <v>1</v>
      </c>
      <c r="BI974">
        <v>1</v>
      </c>
      <c r="BJ974">
        <v>0.2</v>
      </c>
      <c r="BK974">
        <v>1</v>
      </c>
      <c r="BL974">
        <v>69.98</v>
      </c>
      <c r="BM974">
        <v>10.5</v>
      </c>
      <c r="BN974">
        <v>80.48</v>
      </c>
      <c r="BO974">
        <v>80.48</v>
      </c>
      <c r="BQ974" t="s">
        <v>93</v>
      </c>
      <c r="BR974" t="s">
        <v>84</v>
      </c>
      <c r="BS974" s="3">
        <v>45790</v>
      </c>
      <c r="BT974" s="4">
        <v>0.35138888888888886</v>
      </c>
      <c r="BU974" t="s">
        <v>1712</v>
      </c>
      <c r="BV974" t="s">
        <v>86</v>
      </c>
      <c r="BY974">
        <v>1200</v>
      </c>
      <c r="CA974" t="s">
        <v>95</v>
      </c>
      <c r="CC974" t="s">
        <v>91</v>
      </c>
      <c r="CD974">
        <v>6001</v>
      </c>
      <c r="CE974" t="s">
        <v>88</v>
      </c>
      <c r="CF974" s="3">
        <v>45790</v>
      </c>
      <c r="CI974">
        <v>1</v>
      </c>
      <c r="CJ974">
        <v>1</v>
      </c>
      <c r="CK974">
        <v>21</v>
      </c>
      <c r="CL974" t="s">
        <v>89</v>
      </c>
    </row>
    <row r="975" spans="1:90" x14ac:dyDescent="0.3">
      <c r="A975" t="s">
        <v>72</v>
      </c>
      <c r="B975" t="s">
        <v>73</v>
      </c>
      <c r="C975" t="s">
        <v>74</v>
      </c>
      <c r="E975" t="str">
        <f>"080065325032"</f>
        <v>080065325032</v>
      </c>
      <c r="F975" s="3">
        <v>45789</v>
      </c>
      <c r="G975">
        <v>202602</v>
      </c>
      <c r="H975" t="s">
        <v>75</v>
      </c>
      <c r="I975" t="s">
        <v>76</v>
      </c>
      <c r="J975" t="s">
        <v>77</v>
      </c>
      <c r="K975" t="s">
        <v>78</v>
      </c>
      <c r="L975" t="s">
        <v>75</v>
      </c>
      <c r="M975" t="s">
        <v>76</v>
      </c>
      <c r="N975" t="s">
        <v>346</v>
      </c>
      <c r="O975" t="s">
        <v>82</v>
      </c>
      <c r="P975" t="str">
        <f>"4170037803                    "</f>
        <v xml:space="preserve">4170037803                    </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16.7</v>
      </c>
      <c r="AR975">
        <v>0</v>
      </c>
      <c r="AS975">
        <v>0</v>
      </c>
      <c r="AT975">
        <v>0</v>
      </c>
      <c r="AU975">
        <v>0</v>
      </c>
      <c r="AV975">
        <v>0</v>
      </c>
      <c r="AW975">
        <v>0</v>
      </c>
      <c r="AX975">
        <v>0</v>
      </c>
      <c r="AY975">
        <v>0</v>
      </c>
      <c r="AZ975">
        <v>0</v>
      </c>
      <c r="BA975">
        <v>0</v>
      </c>
      <c r="BB975">
        <v>0</v>
      </c>
      <c r="BC975">
        <v>0</v>
      </c>
      <c r="BD975">
        <v>0</v>
      </c>
      <c r="BE975">
        <v>0</v>
      </c>
      <c r="BF975">
        <v>0</v>
      </c>
      <c r="BG975">
        <v>0</v>
      </c>
      <c r="BH975">
        <v>1</v>
      </c>
      <c r="BI975">
        <v>1</v>
      </c>
      <c r="BJ975">
        <v>0.2</v>
      </c>
      <c r="BK975">
        <v>1</v>
      </c>
      <c r="BL975">
        <v>54.66</v>
      </c>
      <c r="BM975">
        <v>8.1999999999999993</v>
      </c>
      <c r="BN975">
        <v>62.86</v>
      </c>
      <c r="BO975">
        <v>62.86</v>
      </c>
      <c r="BQ975" t="s">
        <v>347</v>
      </c>
      <c r="BR975" t="s">
        <v>84</v>
      </c>
      <c r="BS975" s="3">
        <v>45790</v>
      </c>
      <c r="BT975" s="4">
        <v>0.37847222222222221</v>
      </c>
      <c r="BU975" t="s">
        <v>348</v>
      </c>
      <c r="BV975" t="s">
        <v>86</v>
      </c>
      <c r="BY975">
        <v>1200</v>
      </c>
      <c r="CA975" t="s">
        <v>349</v>
      </c>
      <c r="CC975" t="s">
        <v>76</v>
      </c>
      <c r="CD975">
        <v>1619</v>
      </c>
      <c r="CE975" t="s">
        <v>88</v>
      </c>
      <c r="CF975" s="3">
        <v>45791</v>
      </c>
      <c r="CI975">
        <v>1</v>
      </c>
      <c r="CJ975">
        <v>1</v>
      </c>
      <c r="CK975">
        <v>22</v>
      </c>
      <c r="CL975" t="s">
        <v>89</v>
      </c>
    </row>
    <row r="976" spans="1:90" x14ac:dyDescent="0.3">
      <c r="A976" t="s">
        <v>72</v>
      </c>
      <c r="B976" t="s">
        <v>73</v>
      </c>
      <c r="C976" t="s">
        <v>74</v>
      </c>
      <c r="E976" t="str">
        <f>"080065325052"</f>
        <v>080065325052</v>
      </c>
      <c r="F976" s="3">
        <v>45789</v>
      </c>
      <c r="G976">
        <v>202602</v>
      </c>
      <c r="H976" t="s">
        <v>75</v>
      </c>
      <c r="I976" t="s">
        <v>76</v>
      </c>
      <c r="J976" t="s">
        <v>77</v>
      </c>
      <c r="K976" t="s">
        <v>78</v>
      </c>
      <c r="L976" t="s">
        <v>117</v>
      </c>
      <c r="M976" t="s">
        <v>118</v>
      </c>
      <c r="N976" t="s">
        <v>532</v>
      </c>
      <c r="O976" t="s">
        <v>82</v>
      </c>
      <c r="P976" t="str">
        <f>"4170037987                    "</f>
        <v xml:space="preserve">4170037987                    </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16.7</v>
      </c>
      <c r="AR976">
        <v>0</v>
      </c>
      <c r="AS976">
        <v>0</v>
      </c>
      <c r="AT976">
        <v>0</v>
      </c>
      <c r="AU976">
        <v>0</v>
      </c>
      <c r="AV976">
        <v>0</v>
      </c>
      <c r="AW976">
        <v>0</v>
      </c>
      <c r="AX976">
        <v>0</v>
      </c>
      <c r="AY976">
        <v>0</v>
      </c>
      <c r="AZ976">
        <v>0</v>
      </c>
      <c r="BA976">
        <v>0</v>
      </c>
      <c r="BB976">
        <v>0</v>
      </c>
      <c r="BC976">
        <v>0</v>
      </c>
      <c r="BD976">
        <v>0</v>
      </c>
      <c r="BE976">
        <v>0</v>
      </c>
      <c r="BF976">
        <v>0</v>
      </c>
      <c r="BG976">
        <v>0</v>
      </c>
      <c r="BH976">
        <v>1</v>
      </c>
      <c r="BI976">
        <v>1</v>
      </c>
      <c r="BJ976">
        <v>0.2</v>
      </c>
      <c r="BK976">
        <v>1</v>
      </c>
      <c r="BL976">
        <v>54.66</v>
      </c>
      <c r="BM976">
        <v>8.1999999999999993</v>
      </c>
      <c r="BN976">
        <v>62.86</v>
      </c>
      <c r="BO976">
        <v>62.86</v>
      </c>
      <c r="BQ976" t="s">
        <v>533</v>
      </c>
      <c r="BR976" t="s">
        <v>84</v>
      </c>
      <c r="BS976" s="3">
        <v>45790</v>
      </c>
      <c r="BT976" s="4">
        <v>0.41666666666666669</v>
      </c>
      <c r="BU976" t="s">
        <v>542</v>
      </c>
      <c r="BV976" t="s">
        <v>86</v>
      </c>
      <c r="BY976">
        <v>1200</v>
      </c>
      <c r="CA976" t="s">
        <v>535</v>
      </c>
      <c r="CC976" t="s">
        <v>118</v>
      </c>
      <c r="CD976">
        <v>2094</v>
      </c>
      <c r="CE976" t="s">
        <v>88</v>
      </c>
      <c r="CF976" s="3">
        <v>45791</v>
      </c>
      <c r="CI976">
        <v>1</v>
      </c>
      <c r="CJ976">
        <v>1</v>
      </c>
      <c r="CK976">
        <v>22</v>
      </c>
      <c r="CL976" t="s">
        <v>89</v>
      </c>
    </row>
    <row r="977" spans="1:90" x14ac:dyDescent="0.3">
      <c r="A977" t="s">
        <v>72</v>
      </c>
      <c r="B977" t="s">
        <v>73</v>
      </c>
      <c r="C977" t="s">
        <v>74</v>
      </c>
      <c r="E977" t="str">
        <f>"080065325056"</f>
        <v>080065325056</v>
      </c>
      <c r="F977" s="3">
        <v>45789</v>
      </c>
      <c r="G977">
        <v>202602</v>
      </c>
      <c r="H977" t="s">
        <v>75</v>
      </c>
      <c r="I977" t="s">
        <v>76</v>
      </c>
      <c r="J977" t="s">
        <v>77</v>
      </c>
      <c r="K977" t="s">
        <v>78</v>
      </c>
      <c r="L977" t="s">
        <v>90</v>
      </c>
      <c r="M977" t="s">
        <v>91</v>
      </c>
      <c r="N977" t="s">
        <v>543</v>
      </c>
      <c r="O977" t="s">
        <v>82</v>
      </c>
      <c r="P977" t="str">
        <f>"4170037774                    "</f>
        <v xml:space="preserve">4170037774                    </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21.38</v>
      </c>
      <c r="AR977">
        <v>0</v>
      </c>
      <c r="AS977">
        <v>0</v>
      </c>
      <c r="AT977">
        <v>0</v>
      </c>
      <c r="AU977">
        <v>0</v>
      </c>
      <c r="AV977">
        <v>0</v>
      </c>
      <c r="AW977">
        <v>0</v>
      </c>
      <c r="AX977">
        <v>0</v>
      </c>
      <c r="AY977">
        <v>0</v>
      </c>
      <c r="AZ977">
        <v>0</v>
      </c>
      <c r="BA977">
        <v>0</v>
      </c>
      <c r="BB977">
        <v>0</v>
      </c>
      <c r="BC977">
        <v>0</v>
      </c>
      <c r="BD977">
        <v>0</v>
      </c>
      <c r="BE977">
        <v>0</v>
      </c>
      <c r="BF977">
        <v>0</v>
      </c>
      <c r="BG977">
        <v>0</v>
      </c>
      <c r="BH977">
        <v>1</v>
      </c>
      <c r="BI977">
        <v>1</v>
      </c>
      <c r="BJ977">
        <v>0.2</v>
      </c>
      <c r="BK977">
        <v>1</v>
      </c>
      <c r="BL977">
        <v>69.98</v>
      </c>
      <c r="BM977">
        <v>10.5</v>
      </c>
      <c r="BN977">
        <v>80.48</v>
      </c>
      <c r="BO977">
        <v>80.48</v>
      </c>
      <c r="BQ977" t="s">
        <v>544</v>
      </c>
      <c r="BR977" t="s">
        <v>84</v>
      </c>
      <c r="BS977" s="3">
        <v>45790</v>
      </c>
      <c r="BT977" s="4">
        <v>0.63541666666666663</v>
      </c>
      <c r="BU977" t="s">
        <v>1713</v>
      </c>
      <c r="BV977" t="s">
        <v>89</v>
      </c>
      <c r="BW977" t="s">
        <v>296</v>
      </c>
      <c r="BX977" t="s">
        <v>402</v>
      </c>
      <c r="BY977">
        <v>1200</v>
      </c>
      <c r="CA977" t="s">
        <v>1714</v>
      </c>
      <c r="CC977" t="s">
        <v>91</v>
      </c>
      <c r="CD977">
        <v>6001</v>
      </c>
      <c r="CE977" t="s">
        <v>88</v>
      </c>
      <c r="CF977" s="3">
        <v>45790</v>
      </c>
      <c r="CI977">
        <v>1</v>
      </c>
      <c r="CJ977">
        <v>1</v>
      </c>
      <c r="CK977">
        <v>21</v>
      </c>
      <c r="CL977" t="s">
        <v>89</v>
      </c>
    </row>
    <row r="978" spans="1:90" x14ac:dyDescent="0.3">
      <c r="A978" t="s">
        <v>72</v>
      </c>
      <c r="B978" t="s">
        <v>73</v>
      </c>
      <c r="C978" t="s">
        <v>74</v>
      </c>
      <c r="E978" t="str">
        <f>"080065325073"</f>
        <v>080065325073</v>
      </c>
      <c r="F978" s="3">
        <v>45789</v>
      </c>
      <c r="G978">
        <v>202602</v>
      </c>
      <c r="H978" t="s">
        <v>75</v>
      </c>
      <c r="I978" t="s">
        <v>76</v>
      </c>
      <c r="J978" t="s">
        <v>77</v>
      </c>
      <c r="K978" t="s">
        <v>78</v>
      </c>
      <c r="L978" t="s">
        <v>350</v>
      </c>
      <c r="M978" t="s">
        <v>351</v>
      </c>
      <c r="N978" t="s">
        <v>678</v>
      </c>
      <c r="O978" t="s">
        <v>82</v>
      </c>
      <c r="P978" t="str">
        <f>"4170037898                    "</f>
        <v xml:space="preserve">4170037898                    </v>
      </c>
      <c r="Q978">
        <v>0</v>
      </c>
      <c r="R978">
        <v>0</v>
      </c>
      <c r="S978">
        <v>0</v>
      </c>
      <c r="T978">
        <v>0</v>
      </c>
      <c r="U978">
        <v>0</v>
      </c>
      <c r="V978">
        <v>0</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21.38</v>
      </c>
      <c r="AR978">
        <v>0</v>
      </c>
      <c r="AS978">
        <v>0</v>
      </c>
      <c r="AT978">
        <v>0</v>
      </c>
      <c r="AU978">
        <v>0</v>
      </c>
      <c r="AV978">
        <v>0</v>
      </c>
      <c r="AW978">
        <v>0</v>
      </c>
      <c r="AX978">
        <v>0</v>
      </c>
      <c r="AY978">
        <v>0</v>
      </c>
      <c r="AZ978">
        <v>0</v>
      </c>
      <c r="BA978">
        <v>0</v>
      </c>
      <c r="BB978">
        <v>0</v>
      </c>
      <c r="BC978">
        <v>0</v>
      </c>
      <c r="BD978">
        <v>0</v>
      </c>
      <c r="BE978">
        <v>0</v>
      </c>
      <c r="BF978">
        <v>0</v>
      </c>
      <c r="BG978">
        <v>0</v>
      </c>
      <c r="BH978">
        <v>1</v>
      </c>
      <c r="BI978">
        <v>1</v>
      </c>
      <c r="BJ978">
        <v>0.2</v>
      </c>
      <c r="BK978">
        <v>1</v>
      </c>
      <c r="BL978">
        <v>69.98</v>
      </c>
      <c r="BM978">
        <v>10.5</v>
      </c>
      <c r="BN978">
        <v>80.48</v>
      </c>
      <c r="BO978">
        <v>80.48</v>
      </c>
      <c r="BQ978" t="s">
        <v>679</v>
      </c>
      <c r="BR978" t="s">
        <v>84</v>
      </c>
      <c r="BS978" s="3">
        <v>45790</v>
      </c>
      <c r="BT978" s="4">
        <v>0.54861111111111116</v>
      </c>
      <c r="BU978" t="s">
        <v>680</v>
      </c>
      <c r="BV978" t="s">
        <v>89</v>
      </c>
      <c r="BW978" t="s">
        <v>296</v>
      </c>
      <c r="BX978" t="s">
        <v>325</v>
      </c>
      <c r="BY978">
        <v>1200</v>
      </c>
      <c r="CA978" t="s">
        <v>326</v>
      </c>
      <c r="CC978" t="s">
        <v>351</v>
      </c>
      <c r="CD978">
        <v>4052</v>
      </c>
      <c r="CE978" t="s">
        <v>88</v>
      </c>
      <c r="CF978" s="3">
        <v>45791</v>
      </c>
      <c r="CI978">
        <v>1</v>
      </c>
      <c r="CJ978">
        <v>1</v>
      </c>
      <c r="CK978">
        <v>21</v>
      </c>
      <c r="CL978" t="s">
        <v>89</v>
      </c>
    </row>
    <row r="979" spans="1:90" x14ac:dyDescent="0.3">
      <c r="A979" t="s">
        <v>72</v>
      </c>
      <c r="B979" t="s">
        <v>73</v>
      </c>
      <c r="C979" t="s">
        <v>74</v>
      </c>
      <c r="E979" t="str">
        <f>"080065325076"</f>
        <v>080065325076</v>
      </c>
      <c r="F979" s="3">
        <v>45789</v>
      </c>
      <c r="G979">
        <v>202602</v>
      </c>
      <c r="H979" t="s">
        <v>75</v>
      </c>
      <c r="I979" t="s">
        <v>76</v>
      </c>
      <c r="J979" t="s">
        <v>77</v>
      </c>
      <c r="K979" t="s">
        <v>78</v>
      </c>
      <c r="L979" t="s">
        <v>123</v>
      </c>
      <c r="M979" t="s">
        <v>123</v>
      </c>
      <c r="N979" t="s">
        <v>1700</v>
      </c>
      <c r="O979" t="s">
        <v>82</v>
      </c>
      <c r="P979" t="str">
        <f>"4170037960                    "</f>
        <v xml:space="preserve">4170037960                    </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41.43</v>
      </c>
      <c r="AR979">
        <v>0</v>
      </c>
      <c r="AS979">
        <v>0</v>
      </c>
      <c r="AT979">
        <v>0</v>
      </c>
      <c r="AU979">
        <v>0</v>
      </c>
      <c r="AV979">
        <v>0</v>
      </c>
      <c r="AW979">
        <v>0</v>
      </c>
      <c r="AX979">
        <v>0</v>
      </c>
      <c r="AY979">
        <v>0</v>
      </c>
      <c r="AZ979">
        <v>0</v>
      </c>
      <c r="BA979">
        <v>0</v>
      </c>
      <c r="BB979">
        <v>0</v>
      </c>
      <c r="BC979">
        <v>0</v>
      </c>
      <c r="BD979">
        <v>0</v>
      </c>
      <c r="BE979">
        <v>0</v>
      </c>
      <c r="BF979">
        <v>0</v>
      </c>
      <c r="BG979">
        <v>0</v>
      </c>
      <c r="BH979">
        <v>1</v>
      </c>
      <c r="BI979">
        <v>1</v>
      </c>
      <c r="BJ979">
        <v>0.2</v>
      </c>
      <c r="BK979">
        <v>1</v>
      </c>
      <c r="BL979">
        <v>135.59</v>
      </c>
      <c r="BM979">
        <v>20.34</v>
      </c>
      <c r="BN979">
        <v>155.93</v>
      </c>
      <c r="BO979">
        <v>155.93</v>
      </c>
      <c r="BQ979" t="s">
        <v>1701</v>
      </c>
      <c r="BR979" t="s">
        <v>84</v>
      </c>
      <c r="BS979" s="3">
        <v>45790</v>
      </c>
      <c r="BT979" s="4">
        <v>0.5395833333333333</v>
      </c>
      <c r="BU979" t="s">
        <v>319</v>
      </c>
      <c r="BV979" t="s">
        <v>86</v>
      </c>
      <c r="BY979">
        <v>1200</v>
      </c>
      <c r="CA979" t="s">
        <v>128</v>
      </c>
      <c r="CC979" t="s">
        <v>123</v>
      </c>
      <c r="CD979">
        <v>7646</v>
      </c>
      <c r="CE979" t="s">
        <v>88</v>
      </c>
      <c r="CF979" s="3">
        <v>45791</v>
      </c>
      <c r="CI979">
        <v>1</v>
      </c>
      <c r="CJ979">
        <v>1</v>
      </c>
      <c r="CK979">
        <v>23</v>
      </c>
      <c r="CL979" t="s">
        <v>89</v>
      </c>
    </row>
    <row r="980" spans="1:90" x14ac:dyDescent="0.3">
      <c r="A980" t="s">
        <v>72</v>
      </c>
      <c r="B980" t="s">
        <v>73</v>
      </c>
      <c r="C980" t="s">
        <v>74</v>
      </c>
      <c r="E980" t="str">
        <f>"080065325107"</f>
        <v>080065325107</v>
      </c>
      <c r="F980" s="3">
        <v>45789</v>
      </c>
      <c r="G980">
        <v>202602</v>
      </c>
      <c r="H980" t="s">
        <v>75</v>
      </c>
      <c r="I980" t="s">
        <v>76</v>
      </c>
      <c r="J980" t="s">
        <v>77</v>
      </c>
      <c r="K980" t="s">
        <v>78</v>
      </c>
      <c r="L980" t="s">
        <v>75</v>
      </c>
      <c r="M980" t="s">
        <v>76</v>
      </c>
      <c r="N980" t="s">
        <v>346</v>
      </c>
      <c r="O980" t="s">
        <v>82</v>
      </c>
      <c r="P980" t="str">
        <f>"4170037899                    "</f>
        <v xml:space="preserve">4170037899                    </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16.7</v>
      </c>
      <c r="AR980">
        <v>0</v>
      </c>
      <c r="AS980">
        <v>0</v>
      </c>
      <c r="AT980">
        <v>0</v>
      </c>
      <c r="AU980">
        <v>0</v>
      </c>
      <c r="AV980">
        <v>0</v>
      </c>
      <c r="AW980">
        <v>0</v>
      </c>
      <c r="AX980">
        <v>0</v>
      </c>
      <c r="AY980">
        <v>0</v>
      </c>
      <c r="AZ980">
        <v>0</v>
      </c>
      <c r="BA980">
        <v>0</v>
      </c>
      <c r="BB980">
        <v>0</v>
      </c>
      <c r="BC980">
        <v>0</v>
      </c>
      <c r="BD980">
        <v>0</v>
      </c>
      <c r="BE980">
        <v>0</v>
      </c>
      <c r="BF980">
        <v>0</v>
      </c>
      <c r="BG980">
        <v>0</v>
      </c>
      <c r="BH980">
        <v>1</v>
      </c>
      <c r="BI980">
        <v>1</v>
      </c>
      <c r="BJ980">
        <v>0.2</v>
      </c>
      <c r="BK980">
        <v>1</v>
      </c>
      <c r="BL980">
        <v>54.66</v>
      </c>
      <c r="BM980">
        <v>8.1999999999999993</v>
      </c>
      <c r="BN980">
        <v>62.86</v>
      </c>
      <c r="BO980">
        <v>62.86</v>
      </c>
      <c r="BQ980" t="s">
        <v>347</v>
      </c>
      <c r="BR980" t="s">
        <v>84</v>
      </c>
      <c r="BS980" s="3">
        <v>45790</v>
      </c>
      <c r="BT980" s="4">
        <v>0.37986111111111109</v>
      </c>
      <c r="BU980" t="s">
        <v>348</v>
      </c>
      <c r="BV980" t="s">
        <v>86</v>
      </c>
      <c r="BY980">
        <v>1200</v>
      </c>
      <c r="CA980" t="s">
        <v>349</v>
      </c>
      <c r="CC980" t="s">
        <v>76</v>
      </c>
      <c r="CD980">
        <v>1619</v>
      </c>
      <c r="CE980" t="s">
        <v>88</v>
      </c>
      <c r="CF980" s="3">
        <v>45791</v>
      </c>
      <c r="CI980">
        <v>1</v>
      </c>
      <c r="CJ980">
        <v>1</v>
      </c>
      <c r="CK980">
        <v>22</v>
      </c>
      <c r="CL980" t="s">
        <v>89</v>
      </c>
    </row>
    <row r="981" spans="1:90" x14ac:dyDescent="0.3">
      <c r="A981" t="s">
        <v>72</v>
      </c>
      <c r="B981" t="s">
        <v>73</v>
      </c>
      <c r="C981" t="s">
        <v>74</v>
      </c>
      <c r="E981" t="str">
        <f>"080065325232"</f>
        <v>080065325232</v>
      </c>
      <c r="F981" s="3">
        <v>45789</v>
      </c>
      <c r="G981">
        <v>202602</v>
      </c>
      <c r="H981" t="s">
        <v>75</v>
      </c>
      <c r="I981" t="s">
        <v>76</v>
      </c>
      <c r="J981" t="s">
        <v>77</v>
      </c>
      <c r="K981" t="s">
        <v>78</v>
      </c>
      <c r="L981" t="s">
        <v>123</v>
      </c>
      <c r="M981" t="s">
        <v>123</v>
      </c>
      <c r="N981" t="s">
        <v>1715</v>
      </c>
      <c r="O981" t="s">
        <v>82</v>
      </c>
      <c r="P981" t="str">
        <f>"4170037768                    "</f>
        <v xml:space="preserve">4170037768                    </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41.43</v>
      </c>
      <c r="AR981">
        <v>0</v>
      </c>
      <c r="AS981">
        <v>0</v>
      </c>
      <c r="AT981">
        <v>0</v>
      </c>
      <c r="AU981">
        <v>0</v>
      </c>
      <c r="AV981">
        <v>0</v>
      </c>
      <c r="AW981">
        <v>0</v>
      </c>
      <c r="AX981">
        <v>0</v>
      </c>
      <c r="AY981">
        <v>0</v>
      </c>
      <c r="AZ981">
        <v>0</v>
      </c>
      <c r="BA981">
        <v>0</v>
      </c>
      <c r="BB981">
        <v>0</v>
      </c>
      <c r="BC981">
        <v>0</v>
      </c>
      <c r="BD981">
        <v>0</v>
      </c>
      <c r="BE981">
        <v>0</v>
      </c>
      <c r="BF981">
        <v>0</v>
      </c>
      <c r="BG981">
        <v>0</v>
      </c>
      <c r="BH981">
        <v>1</v>
      </c>
      <c r="BI981">
        <v>1</v>
      </c>
      <c r="BJ981">
        <v>0.2</v>
      </c>
      <c r="BK981">
        <v>1</v>
      </c>
      <c r="BL981">
        <v>135.59</v>
      </c>
      <c r="BM981">
        <v>20.34</v>
      </c>
      <c r="BN981">
        <v>155.93</v>
      </c>
      <c r="BO981">
        <v>155.93</v>
      </c>
      <c r="BQ981" t="s">
        <v>1716</v>
      </c>
      <c r="BR981" t="s">
        <v>84</v>
      </c>
      <c r="BS981" s="3">
        <v>45790</v>
      </c>
      <c r="BT981" s="4">
        <v>0.46875</v>
      </c>
      <c r="BU981" t="s">
        <v>1717</v>
      </c>
      <c r="BV981" t="s">
        <v>86</v>
      </c>
      <c r="BY981">
        <v>1200</v>
      </c>
      <c r="CA981" t="s">
        <v>1718</v>
      </c>
      <c r="CC981" t="s">
        <v>123</v>
      </c>
      <c r="CD981">
        <v>7655</v>
      </c>
      <c r="CE981" t="s">
        <v>1193</v>
      </c>
      <c r="CF981" s="3">
        <v>45791</v>
      </c>
      <c r="CI981">
        <v>1</v>
      </c>
      <c r="CJ981">
        <v>1</v>
      </c>
      <c r="CK981">
        <v>23</v>
      </c>
      <c r="CL981" t="s">
        <v>89</v>
      </c>
    </row>
    <row r="982" spans="1:90" x14ac:dyDescent="0.3">
      <c r="A982" t="s">
        <v>72</v>
      </c>
      <c r="B982" t="s">
        <v>73</v>
      </c>
      <c r="C982" t="s">
        <v>74</v>
      </c>
      <c r="E982" t="str">
        <f>"080065325261"</f>
        <v>080065325261</v>
      </c>
      <c r="F982" s="3">
        <v>45789</v>
      </c>
      <c r="G982">
        <v>202602</v>
      </c>
      <c r="H982" t="s">
        <v>75</v>
      </c>
      <c r="I982" t="s">
        <v>76</v>
      </c>
      <c r="J982" t="s">
        <v>77</v>
      </c>
      <c r="K982" t="s">
        <v>78</v>
      </c>
      <c r="L982" t="s">
        <v>136</v>
      </c>
      <c r="M982" t="s">
        <v>137</v>
      </c>
      <c r="N982" t="s">
        <v>1090</v>
      </c>
      <c r="O982" t="s">
        <v>82</v>
      </c>
      <c r="P982" t="str">
        <f>"4170037762                    "</f>
        <v xml:space="preserve">4170037762                    </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21.38</v>
      </c>
      <c r="AR982">
        <v>0</v>
      </c>
      <c r="AS982">
        <v>0</v>
      </c>
      <c r="AT982">
        <v>0</v>
      </c>
      <c r="AU982">
        <v>0</v>
      </c>
      <c r="AV982">
        <v>0</v>
      </c>
      <c r="AW982">
        <v>0</v>
      </c>
      <c r="AX982">
        <v>0</v>
      </c>
      <c r="AY982">
        <v>0</v>
      </c>
      <c r="AZ982">
        <v>0</v>
      </c>
      <c r="BA982">
        <v>0</v>
      </c>
      <c r="BB982">
        <v>0</v>
      </c>
      <c r="BC982">
        <v>0</v>
      </c>
      <c r="BD982">
        <v>0</v>
      </c>
      <c r="BE982">
        <v>0</v>
      </c>
      <c r="BF982">
        <v>0</v>
      </c>
      <c r="BG982">
        <v>0</v>
      </c>
      <c r="BH982">
        <v>1</v>
      </c>
      <c r="BI982">
        <v>1</v>
      </c>
      <c r="BJ982">
        <v>0.2</v>
      </c>
      <c r="BK982">
        <v>1</v>
      </c>
      <c r="BL982">
        <v>69.98</v>
      </c>
      <c r="BM982">
        <v>10.5</v>
      </c>
      <c r="BN982">
        <v>80.48</v>
      </c>
      <c r="BO982">
        <v>80.48</v>
      </c>
      <c r="BQ982" t="s">
        <v>1091</v>
      </c>
      <c r="BR982" t="s">
        <v>84</v>
      </c>
      <c r="BS982" s="3">
        <v>45790</v>
      </c>
      <c r="BT982" s="4">
        <v>0.39930555555555558</v>
      </c>
      <c r="BU982" t="s">
        <v>1719</v>
      </c>
      <c r="BV982" t="s">
        <v>86</v>
      </c>
      <c r="BY982">
        <v>1200</v>
      </c>
      <c r="CA982" t="s">
        <v>1093</v>
      </c>
      <c r="CC982" t="s">
        <v>137</v>
      </c>
      <c r="CD982" s="5" t="s">
        <v>738</v>
      </c>
      <c r="CE982" t="s">
        <v>88</v>
      </c>
      <c r="CF982" s="3">
        <v>45790</v>
      </c>
      <c r="CI982">
        <v>1</v>
      </c>
      <c r="CJ982">
        <v>1</v>
      </c>
      <c r="CK982">
        <v>21</v>
      </c>
      <c r="CL982" t="s">
        <v>89</v>
      </c>
    </row>
    <row r="983" spans="1:90" x14ac:dyDescent="0.3">
      <c r="A983" t="s">
        <v>72</v>
      </c>
      <c r="B983" t="s">
        <v>73</v>
      </c>
      <c r="C983" t="s">
        <v>74</v>
      </c>
      <c r="E983" t="str">
        <f>"080065325295"</f>
        <v>080065325295</v>
      </c>
      <c r="F983" s="3">
        <v>45789</v>
      </c>
      <c r="G983">
        <v>202602</v>
      </c>
      <c r="H983" t="s">
        <v>75</v>
      </c>
      <c r="I983" t="s">
        <v>76</v>
      </c>
      <c r="J983" t="s">
        <v>77</v>
      </c>
      <c r="K983" t="s">
        <v>78</v>
      </c>
      <c r="L983" t="s">
        <v>75</v>
      </c>
      <c r="M983" t="s">
        <v>76</v>
      </c>
      <c r="N983" t="s">
        <v>346</v>
      </c>
      <c r="O983" t="s">
        <v>82</v>
      </c>
      <c r="P983" t="str">
        <f>"4170037965                    "</f>
        <v xml:space="preserve">4170037965                    </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16.7</v>
      </c>
      <c r="AR983">
        <v>0</v>
      </c>
      <c r="AS983">
        <v>0</v>
      </c>
      <c r="AT983">
        <v>0</v>
      </c>
      <c r="AU983">
        <v>0</v>
      </c>
      <c r="AV983">
        <v>0</v>
      </c>
      <c r="AW983">
        <v>0</v>
      </c>
      <c r="AX983">
        <v>0</v>
      </c>
      <c r="AY983">
        <v>0</v>
      </c>
      <c r="AZ983">
        <v>0</v>
      </c>
      <c r="BA983">
        <v>0</v>
      </c>
      <c r="BB983">
        <v>0</v>
      </c>
      <c r="BC983">
        <v>0</v>
      </c>
      <c r="BD983">
        <v>0</v>
      </c>
      <c r="BE983">
        <v>0</v>
      </c>
      <c r="BF983">
        <v>0</v>
      </c>
      <c r="BG983">
        <v>0</v>
      </c>
      <c r="BH983">
        <v>1</v>
      </c>
      <c r="BI983">
        <v>1</v>
      </c>
      <c r="BJ983">
        <v>0.2</v>
      </c>
      <c r="BK983">
        <v>1</v>
      </c>
      <c r="BL983">
        <v>54.66</v>
      </c>
      <c r="BM983">
        <v>8.1999999999999993</v>
      </c>
      <c r="BN983">
        <v>62.86</v>
      </c>
      <c r="BO983">
        <v>62.86</v>
      </c>
      <c r="BQ983" t="s">
        <v>347</v>
      </c>
      <c r="BR983" t="s">
        <v>84</v>
      </c>
      <c r="BS983" s="3">
        <v>45790</v>
      </c>
      <c r="BT983" s="4">
        <v>0.37847222222222221</v>
      </c>
      <c r="BU983" t="s">
        <v>348</v>
      </c>
      <c r="BV983" t="s">
        <v>86</v>
      </c>
      <c r="BY983">
        <v>1200</v>
      </c>
      <c r="CA983" t="s">
        <v>349</v>
      </c>
      <c r="CC983" t="s">
        <v>76</v>
      </c>
      <c r="CD983">
        <v>1619</v>
      </c>
      <c r="CE983" t="s">
        <v>88</v>
      </c>
      <c r="CF983" s="3">
        <v>45791</v>
      </c>
      <c r="CI983">
        <v>1</v>
      </c>
      <c r="CJ983">
        <v>1</v>
      </c>
      <c r="CK983">
        <v>22</v>
      </c>
      <c r="CL983" t="s">
        <v>89</v>
      </c>
    </row>
    <row r="984" spans="1:90" x14ac:dyDescent="0.3">
      <c r="A984" t="s">
        <v>72</v>
      </c>
      <c r="B984" t="s">
        <v>73</v>
      </c>
      <c r="C984" t="s">
        <v>74</v>
      </c>
      <c r="E984" t="str">
        <f>"080065325348"</f>
        <v>080065325348</v>
      </c>
      <c r="F984" s="3">
        <v>45789</v>
      </c>
      <c r="G984">
        <v>202602</v>
      </c>
      <c r="H984" t="s">
        <v>75</v>
      </c>
      <c r="I984" t="s">
        <v>76</v>
      </c>
      <c r="J984" t="s">
        <v>77</v>
      </c>
      <c r="K984" t="s">
        <v>78</v>
      </c>
      <c r="L984" t="s">
        <v>463</v>
      </c>
      <c r="M984" t="s">
        <v>464</v>
      </c>
      <c r="N984" t="s">
        <v>1720</v>
      </c>
      <c r="O984" t="s">
        <v>82</v>
      </c>
      <c r="P984" t="str">
        <f>"4170038018                    "</f>
        <v xml:space="preserve">4170038018                    </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21.38</v>
      </c>
      <c r="AR984">
        <v>0</v>
      </c>
      <c r="AS984">
        <v>0</v>
      </c>
      <c r="AT984">
        <v>0</v>
      </c>
      <c r="AU984">
        <v>0</v>
      </c>
      <c r="AV984">
        <v>0</v>
      </c>
      <c r="AW984">
        <v>0</v>
      </c>
      <c r="AX984">
        <v>0</v>
      </c>
      <c r="AY984">
        <v>0</v>
      </c>
      <c r="AZ984">
        <v>0</v>
      </c>
      <c r="BA984">
        <v>0</v>
      </c>
      <c r="BB984">
        <v>0</v>
      </c>
      <c r="BC984">
        <v>0</v>
      </c>
      <c r="BD984">
        <v>0</v>
      </c>
      <c r="BE984">
        <v>0</v>
      </c>
      <c r="BF984">
        <v>0</v>
      </c>
      <c r="BG984">
        <v>0</v>
      </c>
      <c r="BH984">
        <v>1</v>
      </c>
      <c r="BI984">
        <v>1</v>
      </c>
      <c r="BJ984">
        <v>0.2</v>
      </c>
      <c r="BK984">
        <v>1</v>
      </c>
      <c r="BL984">
        <v>69.98</v>
      </c>
      <c r="BM984">
        <v>10.5</v>
      </c>
      <c r="BN984">
        <v>80.48</v>
      </c>
      <c r="BO984">
        <v>80.48</v>
      </c>
      <c r="BQ984" t="s">
        <v>1721</v>
      </c>
      <c r="BR984" t="s">
        <v>84</v>
      </c>
      <c r="BS984" s="3">
        <v>45792</v>
      </c>
      <c r="BT984" s="4">
        <v>0.60069444444444442</v>
      </c>
      <c r="BU984" t="s">
        <v>1722</v>
      </c>
      <c r="BV984" t="s">
        <v>89</v>
      </c>
      <c r="BW984" t="s">
        <v>1723</v>
      </c>
      <c r="BX984" t="s">
        <v>1724</v>
      </c>
      <c r="BY984">
        <v>1200</v>
      </c>
      <c r="CC984" t="s">
        <v>464</v>
      </c>
      <c r="CD984">
        <v>5201</v>
      </c>
      <c r="CE984" t="s">
        <v>88</v>
      </c>
      <c r="CF984" s="3">
        <v>45792</v>
      </c>
      <c r="CI984">
        <v>1</v>
      </c>
      <c r="CJ984">
        <v>3</v>
      </c>
      <c r="CK984">
        <v>21</v>
      </c>
      <c r="CL984" t="s">
        <v>89</v>
      </c>
    </row>
    <row r="985" spans="1:90" x14ac:dyDescent="0.3">
      <c r="A985" t="s">
        <v>72</v>
      </c>
      <c r="B985" t="s">
        <v>73</v>
      </c>
      <c r="C985" t="s">
        <v>74</v>
      </c>
      <c r="E985" t="str">
        <f>"080065325513"</f>
        <v>080065325513</v>
      </c>
      <c r="F985" s="3">
        <v>45789</v>
      </c>
      <c r="G985">
        <v>202602</v>
      </c>
      <c r="H985" t="s">
        <v>75</v>
      </c>
      <c r="I985" t="s">
        <v>76</v>
      </c>
      <c r="J985" t="s">
        <v>77</v>
      </c>
      <c r="K985" t="s">
        <v>78</v>
      </c>
      <c r="L985" t="s">
        <v>90</v>
      </c>
      <c r="M985" t="s">
        <v>91</v>
      </c>
      <c r="N985" t="s">
        <v>748</v>
      </c>
      <c r="O985" t="s">
        <v>82</v>
      </c>
      <c r="P985" t="str">
        <f>"4170038008                    "</f>
        <v xml:space="preserve">4170038008                    </v>
      </c>
      <c r="Q985">
        <v>0</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21.38</v>
      </c>
      <c r="AR985">
        <v>0</v>
      </c>
      <c r="AS985">
        <v>0</v>
      </c>
      <c r="AT985">
        <v>0</v>
      </c>
      <c r="AU985">
        <v>0</v>
      </c>
      <c r="AV985">
        <v>0</v>
      </c>
      <c r="AW985">
        <v>0</v>
      </c>
      <c r="AX985">
        <v>0</v>
      </c>
      <c r="AY985">
        <v>0</v>
      </c>
      <c r="AZ985">
        <v>0</v>
      </c>
      <c r="BA985">
        <v>0</v>
      </c>
      <c r="BB985">
        <v>0</v>
      </c>
      <c r="BC985">
        <v>0</v>
      </c>
      <c r="BD985">
        <v>0</v>
      </c>
      <c r="BE985">
        <v>0</v>
      </c>
      <c r="BF985">
        <v>0</v>
      </c>
      <c r="BG985">
        <v>0</v>
      </c>
      <c r="BH985">
        <v>1</v>
      </c>
      <c r="BI985">
        <v>1</v>
      </c>
      <c r="BJ985">
        <v>0.2</v>
      </c>
      <c r="BK985">
        <v>1</v>
      </c>
      <c r="BL985">
        <v>69.98</v>
      </c>
      <c r="BM985">
        <v>10.5</v>
      </c>
      <c r="BN985">
        <v>80.48</v>
      </c>
      <c r="BO985">
        <v>80.48</v>
      </c>
      <c r="BQ985" t="s">
        <v>749</v>
      </c>
      <c r="BR985" t="s">
        <v>84</v>
      </c>
      <c r="BS985" s="3">
        <v>45790</v>
      </c>
      <c r="BT985" s="4">
        <v>0.32569444444444445</v>
      </c>
      <c r="BU985" t="s">
        <v>1652</v>
      </c>
      <c r="BV985" t="s">
        <v>86</v>
      </c>
      <c r="BY985">
        <v>1200</v>
      </c>
      <c r="CA985" t="s">
        <v>298</v>
      </c>
      <c r="CC985" t="s">
        <v>91</v>
      </c>
      <c r="CD985">
        <v>6045</v>
      </c>
      <c r="CE985" t="s">
        <v>88</v>
      </c>
      <c r="CF985" s="3">
        <v>45790</v>
      </c>
      <c r="CI985">
        <v>1</v>
      </c>
      <c r="CJ985">
        <v>1</v>
      </c>
      <c r="CK985">
        <v>21</v>
      </c>
      <c r="CL985" t="s">
        <v>89</v>
      </c>
    </row>
    <row r="986" spans="1:90" x14ac:dyDescent="0.3">
      <c r="A986" t="s">
        <v>72</v>
      </c>
      <c r="B986" t="s">
        <v>73</v>
      </c>
      <c r="C986" t="s">
        <v>74</v>
      </c>
      <c r="E986" t="str">
        <f>"080065325549"</f>
        <v>080065325549</v>
      </c>
      <c r="F986" s="3">
        <v>45789</v>
      </c>
      <c r="G986">
        <v>202602</v>
      </c>
      <c r="H986" t="s">
        <v>75</v>
      </c>
      <c r="I986" t="s">
        <v>76</v>
      </c>
      <c r="J986" t="s">
        <v>77</v>
      </c>
      <c r="K986" t="s">
        <v>78</v>
      </c>
      <c r="L986" t="s">
        <v>90</v>
      </c>
      <c r="M986" t="s">
        <v>91</v>
      </c>
      <c r="N986" t="s">
        <v>1546</v>
      </c>
      <c r="O986" t="s">
        <v>82</v>
      </c>
      <c r="P986" t="str">
        <f>"4170037983                    "</f>
        <v xml:space="preserve">4170037983                    </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21.38</v>
      </c>
      <c r="AR986">
        <v>0</v>
      </c>
      <c r="AS986">
        <v>0</v>
      </c>
      <c r="AT986">
        <v>0</v>
      </c>
      <c r="AU986">
        <v>0</v>
      </c>
      <c r="AV986">
        <v>0</v>
      </c>
      <c r="AW986">
        <v>0</v>
      </c>
      <c r="AX986">
        <v>0</v>
      </c>
      <c r="AY986">
        <v>0</v>
      </c>
      <c r="AZ986">
        <v>0</v>
      </c>
      <c r="BA986">
        <v>0</v>
      </c>
      <c r="BB986">
        <v>0</v>
      </c>
      <c r="BC986">
        <v>0</v>
      </c>
      <c r="BD986">
        <v>0</v>
      </c>
      <c r="BE986">
        <v>0</v>
      </c>
      <c r="BF986">
        <v>0</v>
      </c>
      <c r="BG986">
        <v>0</v>
      </c>
      <c r="BH986">
        <v>1</v>
      </c>
      <c r="BI986">
        <v>1</v>
      </c>
      <c r="BJ986">
        <v>0.2</v>
      </c>
      <c r="BK986">
        <v>1</v>
      </c>
      <c r="BL986">
        <v>69.98</v>
      </c>
      <c r="BM986">
        <v>10.5</v>
      </c>
      <c r="BN986">
        <v>80.48</v>
      </c>
      <c r="BO986">
        <v>80.48</v>
      </c>
      <c r="BQ986" t="s">
        <v>1547</v>
      </c>
      <c r="BR986" t="s">
        <v>84</v>
      </c>
      <c r="BS986" s="3">
        <v>45790</v>
      </c>
      <c r="BT986" s="4">
        <v>0.375</v>
      </c>
      <c r="BU986" t="s">
        <v>1617</v>
      </c>
      <c r="BV986" t="s">
        <v>86</v>
      </c>
      <c r="BY986">
        <v>1200</v>
      </c>
      <c r="CA986" t="s">
        <v>1618</v>
      </c>
      <c r="CC986" t="s">
        <v>91</v>
      </c>
      <c r="CD986">
        <v>6020</v>
      </c>
      <c r="CE986" t="s">
        <v>88</v>
      </c>
      <c r="CF986" s="3">
        <v>45790</v>
      </c>
      <c r="CI986">
        <v>1</v>
      </c>
      <c r="CJ986">
        <v>1</v>
      </c>
      <c r="CK986">
        <v>21</v>
      </c>
      <c r="CL986" t="s">
        <v>89</v>
      </c>
    </row>
    <row r="987" spans="1:90" x14ac:dyDescent="0.3">
      <c r="A987" t="s">
        <v>72</v>
      </c>
      <c r="B987" t="s">
        <v>73</v>
      </c>
      <c r="C987" t="s">
        <v>74</v>
      </c>
      <c r="E987" t="str">
        <f>"080065325584"</f>
        <v>080065325584</v>
      </c>
      <c r="F987" s="3">
        <v>45789</v>
      </c>
      <c r="G987">
        <v>202602</v>
      </c>
      <c r="H987" t="s">
        <v>75</v>
      </c>
      <c r="I987" t="s">
        <v>76</v>
      </c>
      <c r="J987" t="s">
        <v>77</v>
      </c>
      <c r="K987" t="s">
        <v>78</v>
      </c>
      <c r="L987" t="s">
        <v>103</v>
      </c>
      <c r="M987" t="s">
        <v>104</v>
      </c>
      <c r="N987" t="s">
        <v>105</v>
      </c>
      <c r="O987" t="s">
        <v>82</v>
      </c>
      <c r="P987" t="str">
        <f>"4170037789                    "</f>
        <v xml:space="preserve">4170037789                    </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21.38</v>
      </c>
      <c r="AR987">
        <v>0</v>
      </c>
      <c r="AS987">
        <v>0</v>
      </c>
      <c r="AT987">
        <v>0</v>
      </c>
      <c r="AU987">
        <v>0</v>
      </c>
      <c r="AV987">
        <v>0</v>
      </c>
      <c r="AW987">
        <v>0</v>
      </c>
      <c r="AX987">
        <v>0</v>
      </c>
      <c r="AY987">
        <v>0</v>
      </c>
      <c r="AZ987">
        <v>0</v>
      </c>
      <c r="BA987">
        <v>0</v>
      </c>
      <c r="BB987">
        <v>0</v>
      </c>
      <c r="BC987">
        <v>0</v>
      </c>
      <c r="BD987">
        <v>0</v>
      </c>
      <c r="BE987">
        <v>0</v>
      </c>
      <c r="BF987">
        <v>0</v>
      </c>
      <c r="BG987">
        <v>0</v>
      </c>
      <c r="BH987">
        <v>1</v>
      </c>
      <c r="BI987">
        <v>1</v>
      </c>
      <c r="BJ987">
        <v>0.2</v>
      </c>
      <c r="BK987">
        <v>1</v>
      </c>
      <c r="BL987">
        <v>69.98</v>
      </c>
      <c r="BM987">
        <v>10.5</v>
      </c>
      <c r="BN987">
        <v>80.48</v>
      </c>
      <c r="BO987">
        <v>80.48</v>
      </c>
      <c r="BQ987" t="s">
        <v>106</v>
      </c>
      <c r="BR987" t="s">
        <v>84</v>
      </c>
      <c r="BS987" s="3">
        <v>45790</v>
      </c>
      <c r="BT987" s="4">
        <v>0.46180555555555558</v>
      </c>
      <c r="BU987" t="s">
        <v>107</v>
      </c>
      <c r="BV987" t="s">
        <v>86</v>
      </c>
      <c r="BY987">
        <v>1200</v>
      </c>
      <c r="CA987" t="s">
        <v>108</v>
      </c>
      <c r="CC987" t="s">
        <v>104</v>
      </c>
      <c r="CD987">
        <v>3201</v>
      </c>
      <c r="CE987" t="s">
        <v>88</v>
      </c>
      <c r="CF987" s="3">
        <v>45791</v>
      </c>
      <c r="CI987">
        <v>1</v>
      </c>
      <c r="CJ987">
        <v>1</v>
      </c>
      <c r="CK987">
        <v>21</v>
      </c>
      <c r="CL987" t="s">
        <v>89</v>
      </c>
    </row>
    <row r="988" spans="1:90" x14ac:dyDescent="0.3">
      <c r="A988" t="s">
        <v>72</v>
      </c>
      <c r="B988" t="s">
        <v>73</v>
      </c>
      <c r="C988" t="s">
        <v>74</v>
      </c>
      <c r="E988" t="str">
        <f>"080065325611"</f>
        <v>080065325611</v>
      </c>
      <c r="F988" s="3">
        <v>45789</v>
      </c>
      <c r="G988">
        <v>202602</v>
      </c>
      <c r="H988" t="s">
        <v>75</v>
      </c>
      <c r="I988" t="s">
        <v>76</v>
      </c>
      <c r="J988" t="s">
        <v>77</v>
      </c>
      <c r="K988" t="s">
        <v>78</v>
      </c>
      <c r="L988" t="s">
        <v>130</v>
      </c>
      <c r="M988" t="s">
        <v>131</v>
      </c>
      <c r="N988" t="s">
        <v>239</v>
      </c>
      <c r="O988" t="s">
        <v>82</v>
      </c>
      <c r="P988" t="str">
        <f>"4170037920                    "</f>
        <v xml:space="preserve">4170037920                    </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21.38</v>
      </c>
      <c r="AR988">
        <v>0</v>
      </c>
      <c r="AS988">
        <v>0</v>
      </c>
      <c r="AT988">
        <v>0</v>
      </c>
      <c r="AU988">
        <v>0</v>
      </c>
      <c r="AV988">
        <v>0</v>
      </c>
      <c r="AW988">
        <v>0</v>
      </c>
      <c r="AX988">
        <v>0</v>
      </c>
      <c r="AY988">
        <v>0</v>
      </c>
      <c r="AZ988">
        <v>0</v>
      </c>
      <c r="BA988">
        <v>0</v>
      </c>
      <c r="BB988">
        <v>0</v>
      </c>
      <c r="BC988">
        <v>0</v>
      </c>
      <c r="BD988">
        <v>0</v>
      </c>
      <c r="BE988">
        <v>0</v>
      </c>
      <c r="BF988">
        <v>0</v>
      </c>
      <c r="BG988">
        <v>0</v>
      </c>
      <c r="BH988">
        <v>1</v>
      </c>
      <c r="BI988">
        <v>1</v>
      </c>
      <c r="BJ988">
        <v>0.2</v>
      </c>
      <c r="BK988">
        <v>1</v>
      </c>
      <c r="BL988">
        <v>69.98</v>
      </c>
      <c r="BM988">
        <v>10.5</v>
      </c>
      <c r="BN988">
        <v>80.48</v>
      </c>
      <c r="BO988">
        <v>80.48</v>
      </c>
      <c r="BQ988" t="s">
        <v>240</v>
      </c>
      <c r="BR988" t="s">
        <v>84</v>
      </c>
      <c r="BS988" s="3">
        <v>45790</v>
      </c>
      <c r="BT988" s="4">
        <v>0.38263888888888886</v>
      </c>
      <c r="BU988" t="s">
        <v>1725</v>
      </c>
      <c r="BV988" t="s">
        <v>86</v>
      </c>
      <c r="BY988">
        <v>1200</v>
      </c>
      <c r="CA988" t="s">
        <v>242</v>
      </c>
      <c r="CC988" t="s">
        <v>131</v>
      </c>
      <c r="CD988">
        <v>7441</v>
      </c>
      <c r="CE988" t="s">
        <v>88</v>
      </c>
      <c r="CF988" s="3">
        <v>45791</v>
      </c>
      <c r="CI988">
        <v>1</v>
      </c>
      <c r="CJ988">
        <v>1</v>
      </c>
      <c r="CK988">
        <v>21</v>
      </c>
      <c r="CL988" t="s">
        <v>89</v>
      </c>
    </row>
    <row r="989" spans="1:90" x14ac:dyDescent="0.3">
      <c r="A989" t="s">
        <v>72</v>
      </c>
      <c r="B989" t="s">
        <v>73</v>
      </c>
      <c r="C989" t="s">
        <v>74</v>
      </c>
      <c r="E989" t="str">
        <f>"080065325639"</f>
        <v>080065325639</v>
      </c>
      <c r="F989" s="3">
        <v>45789</v>
      </c>
      <c r="G989">
        <v>202602</v>
      </c>
      <c r="H989" t="s">
        <v>75</v>
      </c>
      <c r="I989" t="s">
        <v>76</v>
      </c>
      <c r="J989" t="s">
        <v>77</v>
      </c>
      <c r="K989" t="s">
        <v>78</v>
      </c>
      <c r="L989" t="s">
        <v>103</v>
      </c>
      <c r="M989" t="s">
        <v>104</v>
      </c>
      <c r="N989" t="s">
        <v>633</v>
      </c>
      <c r="O989" t="s">
        <v>82</v>
      </c>
      <c r="P989" t="str">
        <f>"4170037749                    "</f>
        <v xml:space="preserve">4170037749                    </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21.38</v>
      </c>
      <c r="AR989">
        <v>0</v>
      </c>
      <c r="AS989">
        <v>0</v>
      </c>
      <c r="AT989">
        <v>0</v>
      </c>
      <c r="AU989">
        <v>0</v>
      </c>
      <c r="AV989">
        <v>0</v>
      </c>
      <c r="AW989">
        <v>0</v>
      </c>
      <c r="AX989">
        <v>0</v>
      </c>
      <c r="AY989">
        <v>0</v>
      </c>
      <c r="AZ989">
        <v>0</v>
      </c>
      <c r="BA989">
        <v>0</v>
      </c>
      <c r="BB989">
        <v>0</v>
      </c>
      <c r="BC989">
        <v>0</v>
      </c>
      <c r="BD989">
        <v>0</v>
      </c>
      <c r="BE989">
        <v>0</v>
      </c>
      <c r="BF989">
        <v>0</v>
      </c>
      <c r="BG989">
        <v>0</v>
      </c>
      <c r="BH989">
        <v>1</v>
      </c>
      <c r="BI989">
        <v>1</v>
      </c>
      <c r="BJ989">
        <v>0.2</v>
      </c>
      <c r="BK989">
        <v>1</v>
      </c>
      <c r="BL989">
        <v>69.98</v>
      </c>
      <c r="BM989">
        <v>10.5</v>
      </c>
      <c r="BN989">
        <v>80.48</v>
      </c>
      <c r="BO989">
        <v>80.48</v>
      </c>
      <c r="BQ989" t="s">
        <v>634</v>
      </c>
      <c r="BR989" t="s">
        <v>84</v>
      </c>
      <c r="BS989" s="3">
        <v>45790</v>
      </c>
      <c r="BT989" s="4">
        <v>0.5</v>
      </c>
      <c r="BU989" t="s">
        <v>635</v>
      </c>
      <c r="BV989" t="s">
        <v>86</v>
      </c>
      <c r="BY989">
        <v>1200</v>
      </c>
      <c r="CA989" t="s">
        <v>440</v>
      </c>
      <c r="CC989" t="s">
        <v>104</v>
      </c>
      <c r="CD989">
        <v>3212</v>
      </c>
      <c r="CE989" t="s">
        <v>88</v>
      </c>
      <c r="CF989" s="3">
        <v>45791</v>
      </c>
      <c r="CI989">
        <v>2</v>
      </c>
      <c r="CJ989">
        <v>1</v>
      </c>
      <c r="CK989">
        <v>21</v>
      </c>
      <c r="CL989" t="s">
        <v>89</v>
      </c>
    </row>
    <row r="990" spans="1:90" x14ac:dyDescent="0.3">
      <c r="A990" t="s">
        <v>72</v>
      </c>
      <c r="B990" t="s">
        <v>73</v>
      </c>
      <c r="C990" t="s">
        <v>74</v>
      </c>
      <c r="E990" t="str">
        <f>"080065325668"</f>
        <v>080065325668</v>
      </c>
      <c r="F990" s="3">
        <v>45789</v>
      </c>
      <c r="G990">
        <v>202602</v>
      </c>
      <c r="H990" t="s">
        <v>75</v>
      </c>
      <c r="I990" t="s">
        <v>76</v>
      </c>
      <c r="J990" t="s">
        <v>77</v>
      </c>
      <c r="K990" t="s">
        <v>78</v>
      </c>
      <c r="L990" t="s">
        <v>123</v>
      </c>
      <c r="M990" t="s">
        <v>123</v>
      </c>
      <c r="N990" t="s">
        <v>317</v>
      </c>
      <c r="O990" t="s">
        <v>82</v>
      </c>
      <c r="P990" t="str">
        <f>"4170037820                    "</f>
        <v xml:space="preserve">4170037820                    </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41.43</v>
      </c>
      <c r="AR990">
        <v>0</v>
      </c>
      <c r="AS990">
        <v>0</v>
      </c>
      <c r="AT990">
        <v>0</v>
      </c>
      <c r="AU990">
        <v>0</v>
      </c>
      <c r="AV990">
        <v>0</v>
      </c>
      <c r="AW990">
        <v>0</v>
      </c>
      <c r="AX990">
        <v>0</v>
      </c>
      <c r="AY990">
        <v>0</v>
      </c>
      <c r="AZ990">
        <v>0</v>
      </c>
      <c r="BA990">
        <v>0</v>
      </c>
      <c r="BB990">
        <v>0</v>
      </c>
      <c r="BC990">
        <v>0</v>
      </c>
      <c r="BD990">
        <v>0</v>
      </c>
      <c r="BE990">
        <v>0</v>
      </c>
      <c r="BF990">
        <v>0</v>
      </c>
      <c r="BG990">
        <v>0</v>
      </c>
      <c r="BH990">
        <v>1</v>
      </c>
      <c r="BI990">
        <v>1</v>
      </c>
      <c r="BJ990">
        <v>0.2</v>
      </c>
      <c r="BK990">
        <v>1</v>
      </c>
      <c r="BL990">
        <v>135.59</v>
      </c>
      <c r="BM990">
        <v>20.34</v>
      </c>
      <c r="BN990">
        <v>155.93</v>
      </c>
      <c r="BO990">
        <v>155.93</v>
      </c>
      <c r="BQ990" t="s">
        <v>318</v>
      </c>
      <c r="BR990" t="s">
        <v>84</v>
      </c>
      <c r="BS990" s="3">
        <v>45790</v>
      </c>
      <c r="BT990" s="4">
        <v>0.5395833333333333</v>
      </c>
      <c r="BU990" t="s">
        <v>319</v>
      </c>
      <c r="BV990" t="s">
        <v>86</v>
      </c>
      <c r="BY990">
        <v>1200</v>
      </c>
      <c r="CA990" t="s">
        <v>128</v>
      </c>
      <c r="CC990" t="s">
        <v>123</v>
      </c>
      <c r="CD990">
        <v>7646</v>
      </c>
      <c r="CE990" t="s">
        <v>88</v>
      </c>
      <c r="CF990" s="3">
        <v>45791</v>
      </c>
      <c r="CI990">
        <v>1</v>
      </c>
      <c r="CJ990">
        <v>1</v>
      </c>
      <c r="CK990">
        <v>23</v>
      </c>
      <c r="CL990" t="s">
        <v>89</v>
      </c>
    </row>
    <row r="991" spans="1:90" x14ac:dyDescent="0.3">
      <c r="A991" t="s">
        <v>72</v>
      </c>
      <c r="B991" t="s">
        <v>73</v>
      </c>
      <c r="C991" t="s">
        <v>74</v>
      </c>
      <c r="E991" t="str">
        <f>"080065325705"</f>
        <v>080065325705</v>
      </c>
      <c r="F991" s="3">
        <v>45789</v>
      </c>
      <c r="G991">
        <v>202602</v>
      </c>
      <c r="H991" t="s">
        <v>75</v>
      </c>
      <c r="I991" t="s">
        <v>76</v>
      </c>
      <c r="J991" t="s">
        <v>77</v>
      </c>
      <c r="K991" t="s">
        <v>78</v>
      </c>
      <c r="L991" t="s">
        <v>103</v>
      </c>
      <c r="M991" t="s">
        <v>104</v>
      </c>
      <c r="N991" t="s">
        <v>105</v>
      </c>
      <c r="O991" t="s">
        <v>82</v>
      </c>
      <c r="P991" t="str">
        <f>"4170037968                    "</f>
        <v xml:space="preserve">4170037968                    </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0</v>
      </c>
      <c r="AK991">
        <v>0</v>
      </c>
      <c r="AL991">
        <v>0</v>
      </c>
      <c r="AM991">
        <v>0</v>
      </c>
      <c r="AN991">
        <v>0</v>
      </c>
      <c r="AO991">
        <v>0</v>
      </c>
      <c r="AP991">
        <v>0</v>
      </c>
      <c r="AQ991">
        <v>21.38</v>
      </c>
      <c r="AR991">
        <v>0</v>
      </c>
      <c r="AS991">
        <v>0</v>
      </c>
      <c r="AT991">
        <v>0</v>
      </c>
      <c r="AU991">
        <v>0</v>
      </c>
      <c r="AV991">
        <v>0</v>
      </c>
      <c r="AW991">
        <v>0</v>
      </c>
      <c r="AX991">
        <v>0</v>
      </c>
      <c r="AY991">
        <v>0</v>
      </c>
      <c r="AZ991">
        <v>0</v>
      </c>
      <c r="BA991">
        <v>0</v>
      </c>
      <c r="BB991">
        <v>0</v>
      </c>
      <c r="BC991">
        <v>0</v>
      </c>
      <c r="BD991">
        <v>0</v>
      </c>
      <c r="BE991">
        <v>0</v>
      </c>
      <c r="BF991">
        <v>0</v>
      </c>
      <c r="BG991">
        <v>0</v>
      </c>
      <c r="BH991">
        <v>1</v>
      </c>
      <c r="BI991">
        <v>1</v>
      </c>
      <c r="BJ991">
        <v>0.2</v>
      </c>
      <c r="BK991">
        <v>1</v>
      </c>
      <c r="BL991">
        <v>69.98</v>
      </c>
      <c r="BM991">
        <v>10.5</v>
      </c>
      <c r="BN991">
        <v>80.48</v>
      </c>
      <c r="BO991">
        <v>80.48</v>
      </c>
      <c r="BQ991" t="s">
        <v>106</v>
      </c>
      <c r="BR991" t="s">
        <v>84</v>
      </c>
      <c r="BS991" s="3">
        <v>45790</v>
      </c>
      <c r="BT991" s="4">
        <v>0.45694444444444443</v>
      </c>
      <c r="BU991" t="s">
        <v>1180</v>
      </c>
      <c r="BV991" t="s">
        <v>86</v>
      </c>
      <c r="BY991">
        <v>1200</v>
      </c>
      <c r="CC991" t="s">
        <v>104</v>
      </c>
      <c r="CD991">
        <v>3201</v>
      </c>
      <c r="CE991" t="s">
        <v>88</v>
      </c>
      <c r="CF991" s="3">
        <v>45791</v>
      </c>
      <c r="CI991">
        <v>1</v>
      </c>
      <c r="CJ991">
        <v>1</v>
      </c>
      <c r="CK991">
        <v>21</v>
      </c>
      <c r="CL991" t="s">
        <v>89</v>
      </c>
    </row>
    <row r="992" spans="1:90" x14ac:dyDescent="0.3">
      <c r="A992" t="s">
        <v>72</v>
      </c>
      <c r="B992" t="s">
        <v>73</v>
      </c>
      <c r="C992" t="s">
        <v>74</v>
      </c>
      <c r="E992" t="str">
        <f>"080065325732"</f>
        <v>080065325732</v>
      </c>
      <c r="F992" s="3">
        <v>45789</v>
      </c>
      <c r="G992">
        <v>202602</v>
      </c>
      <c r="H992" t="s">
        <v>75</v>
      </c>
      <c r="I992" t="s">
        <v>76</v>
      </c>
      <c r="J992" t="s">
        <v>77</v>
      </c>
      <c r="K992" t="s">
        <v>78</v>
      </c>
      <c r="L992" t="s">
        <v>75</v>
      </c>
      <c r="M992" t="s">
        <v>76</v>
      </c>
      <c r="N992" t="s">
        <v>1263</v>
      </c>
      <c r="O992" t="s">
        <v>82</v>
      </c>
      <c r="P992" t="str">
        <f>"4170037795                    "</f>
        <v xml:space="preserve">4170037795                    </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16.7</v>
      </c>
      <c r="AR992">
        <v>0</v>
      </c>
      <c r="AS992">
        <v>0</v>
      </c>
      <c r="AT992">
        <v>0</v>
      </c>
      <c r="AU992">
        <v>0</v>
      </c>
      <c r="AV992">
        <v>0</v>
      </c>
      <c r="AW992">
        <v>0</v>
      </c>
      <c r="AX992">
        <v>0</v>
      </c>
      <c r="AY992">
        <v>0</v>
      </c>
      <c r="AZ992">
        <v>0</v>
      </c>
      <c r="BA992">
        <v>0</v>
      </c>
      <c r="BB992">
        <v>0</v>
      </c>
      <c r="BC992">
        <v>0</v>
      </c>
      <c r="BD992">
        <v>0</v>
      </c>
      <c r="BE992">
        <v>0</v>
      </c>
      <c r="BF992">
        <v>0</v>
      </c>
      <c r="BG992">
        <v>0</v>
      </c>
      <c r="BH992">
        <v>1</v>
      </c>
      <c r="BI992">
        <v>1</v>
      </c>
      <c r="BJ992">
        <v>0.2</v>
      </c>
      <c r="BK992">
        <v>1</v>
      </c>
      <c r="BL992">
        <v>54.66</v>
      </c>
      <c r="BM992">
        <v>8.1999999999999993</v>
      </c>
      <c r="BN992">
        <v>62.86</v>
      </c>
      <c r="BO992">
        <v>62.86</v>
      </c>
      <c r="BQ992" t="s">
        <v>1264</v>
      </c>
      <c r="BR992" t="s">
        <v>84</v>
      </c>
      <c r="BS992" s="3">
        <v>45790</v>
      </c>
      <c r="BT992" s="4">
        <v>0.3125</v>
      </c>
      <c r="BU992" t="s">
        <v>1576</v>
      </c>
      <c r="BV992" t="s">
        <v>86</v>
      </c>
      <c r="BY992">
        <v>1200</v>
      </c>
      <c r="CA992" t="s">
        <v>115</v>
      </c>
      <c r="CC992" t="s">
        <v>76</v>
      </c>
      <c r="CD992">
        <v>1619</v>
      </c>
      <c r="CE992" t="s">
        <v>88</v>
      </c>
      <c r="CF992" s="3">
        <v>45790</v>
      </c>
      <c r="CI992">
        <v>1</v>
      </c>
      <c r="CJ992">
        <v>1</v>
      </c>
      <c r="CK992">
        <v>22</v>
      </c>
      <c r="CL992" t="s">
        <v>89</v>
      </c>
    </row>
    <row r="993" spans="1:90" x14ac:dyDescent="0.3">
      <c r="A993" t="s">
        <v>72</v>
      </c>
      <c r="B993" t="s">
        <v>73</v>
      </c>
      <c r="C993" t="s">
        <v>74</v>
      </c>
      <c r="E993" t="str">
        <f>"080065325766"</f>
        <v>080065325766</v>
      </c>
      <c r="F993" s="3">
        <v>45789</v>
      </c>
      <c r="G993">
        <v>202602</v>
      </c>
      <c r="H993" t="s">
        <v>75</v>
      </c>
      <c r="I993" t="s">
        <v>76</v>
      </c>
      <c r="J993" t="s">
        <v>77</v>
      </c>
      <c r="K993" t="s">
        <v>78</v>
      </c>
      <c r="L993" t="s">
        <v>672</v>
      </c>
      <c r="M993" t="s">
        <v>673</v>
      </c>
      <c r="N993" t="s">
        <v>674</v>
      </c>
      <c r="O993" t="s">
        <v>82</v>
      </c>
      <c r="P993" t="str">
        <f>"4170037743                    "</f>
        <v xml:space="preserve">4170037743                    </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41.43</v>
      </c>
      <c r="AR993">
        <v>0</v>
      </c>
      <c r="AS993">
        <v>0</v>
      </c>
      <c r="AT993">
        <v>0</v>
      </c>
      <c r="AU993">
        <v>0</v>
      </c>
      <c r="AV993">
        <v>0</v>
      </c>
      <c r="AW993">
        <v>0</v>
      </c>
      <c r="AX993">
        <v>0</v>
      </c>
      <c r="AY993">
        <v>0</v>
      </c>
      <c r="AZ993">
        <v>0</v>
      </c>
      <c r="BA993">
        <v>0</v>
      </c>
      <c r="BB993">
        <v>0</v>
      </c>
      <c r="BC993">
        <v>0</v>
      </c>
      <c r="BD993">
        <v>0</v>
      </c>
      <c r="BE993">
        <v>0</v>
      </c>
      <c r="BF993">
        <v>0</v>
      </c>
      <c r="BG993">
        <v>0</v>
      </c>
      <c r="BH993">
        <v>1</v>
      </c>
      <c r="BI993">
        <v>1</v>
      </c>
      <c r="BJ993">
        <v>0.2</v>
      </c>
      <c r="BK993">
        <v>1</v>
      </c>
      <c r="BL993">
        <v>135.59</v>
      </c>
      <c r="BM993">
        <v>20.34</v>
      </c>
      <c r="BN993">
        <v>155.93</v>
      </c>
      <c r="BO993">
        <v>155.93</v>
      </c>
      <c r="BQ993" t="s">
        <v>675</v>
      </c>
      <c r="BR993" t="s">
        <v>84</v>
      </c>
      <c r="BS993" s="3">
        <v>45790</v>
      </c>
      <c r="BT993" s="4">
        <v>0.52986111111111112</v>
      </c>
      <c r="BU993" t="s">
        <v>1512</v>
      </c>
      <c r="BV993" t="s">
        <v>86</v>
      </c>
      <c r="BY993">
        <v>1200</v>
      </c>
      <c r="CA993" t="s">
        <v>677</v>
      </c>
      <c r="CC993" t="s">
        <v>673</v>
      </c>
      <c r="CD993">
        <v>2531</v>
      </c>
      <c r="CE993" t="s">
        <v>88</v>
      </c>
      <c r="CF993" s="3">
        <v>45791</v>
      </c>
      <c r="CI993">
        <v>1</v>
      </c>
      <c r="CJ993">
        <v>1</v>
      </c>
      <c r="CK993">
        <v>23</v>
      </c>
      <c r="CL993" t="s">
        <v>89</v>
      </c>
    </row>
    <row r="994" spans="1:90" x14ac:dyDescent="0.3">
      <c r="A994" t="s">
        <v>72</v>
      </c>
      <c r="B994" t="s">
        <v>73</v>
      </c>
      <c r="C994" t="s">
        <v>74</v>
      </c>
      <c r="E994" t="str">
        <f>"080065325804"</f>
        <v>080065325804</v>
      </c>
      <c r="F994" s="3">
        <v>45789</v>
      </c>
      <c r="G994">
        <v>202602</v>
      </c>
      <c r="H994" t="s">
        <v>75</v>
      </c>
      <c r="I994" t="s">
        <v>76</v>
      </c>
      <c r="J994" t="s">
        <v>77</v>
      </c>
      <c r="K994" t="s">
        <v>78</v>
      </c>
      <c r="L994" t="s">
        <v>287</v>
      </c>
      <c r="M994" t="s">
        <v>288</v>
      </c>
      <c r="N994" t="s">
        <v>289</v>
      </c>
      <c r="O994" t="s">
        <v>82</v>
      </c>
      <c r="P994" t="str">
        <f>"4170037834                    "</f>
        <v xml:space="preserve">4170037834                    </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41.43</v>
      </c>
      <c r="AR994">
        <v>0</v>
      </c>
      <c r="AS994">
        <v>0</v>
      </c>
      <c r="AT994">
        <v>0</v>
      </c>
      <c r="AU994">
        <v>0</v>
      </c>
      <c r="AV994">
        <v>0</v>
      </c>
      <c r="AW994">
        <v>0</v>
      </c>
      <c r="AX994">
        <v>0</v>
      </c>
      <c r="AY994">
        <v>0</v>
      </c>
      <c r="AZ994">
        <v>0</v>
      </c>
      <c r="BA994">
        <v>0</v>
      </c>
      <c r="BB994">
        <v>0</v>
      </c>
      <c r="BC994">
        <v>0</v>
      </c>
      <c r="BD994">
        <v>0</v>
      </c>
      <c r="BE994">
        <v>0</v>
      </c>
      <c r="BF994">
        <v>0</v>
      </c>
      <c r="BG994">
        <v>0</v>
      </c>
      <c r="BH994">
        <v>1</v>
      </c>
      <c r="BI994">
        <v>1</v>
      </c>
      <c r="BJ994">
        <v>0.2</v>
      </c>
      <c r="BK994">
        <v>1</v>
      </c>
      <c r="BL994">
        <v>135.59</v>
      </c>
      <c r="BM994">
        <v>20.34</v>
      </c>
      <c r="BN994">
        <v>155.93</v>
      </c>
      <c r="BO994">
        <v>155.93</v>
      </c>
      <c r="BQ994" t="s">
        <v>290</v>
      </c>
      <c r="BR994" t="s">
        <v>84</v>
      </c>
      <c r="BS994" s="3">
        <v>45790</v>
      </c>
      <c r="BT994" s="4">
        <v>0.52638888888888891</v>
      </c>
      <c r="BU994" t="s">
        <v>291</v>
      </c>
      <c r="BV994" t="s">
        <v>86</v>
      </c>
      <c r="BY994">
        <v>1200</v>
      </c>
      <c r="CA994" t="s">
        <v>292</v>
      </c>
      <c r="CC994" t="s">
        <v>288</v>
      </c>
      <c r="CD994">
        <v>6715</v>
      </c>
      <c r="CE994" t="s">
        <v>88</v>
      </c>
      <c r="CF994" s="3">
        <v>45791</v>
      </c>
      <c r="CI994">
        <v>2</v>
      </c>
      <c r="CJ994">
        <v>1</v>
      </c>
      <c r="CK994">
        <v>23</v>
      </c>
      <c r="CL994" t="s">
        <v>89</v>
      </c>
    </row>
    <row r="995" spans="1:90" x14ac:dyDescent="0.3">
      <c r="A995" t="s">
        <v>72</v>
      </c>
      <c r="B995" t="s">
        <v>73</v>
      </c>
      <c r="C995" t="s">
        <v>74</v>
      </c>
      <c r="E995" t="str">
        <f>"080065325834"</f>
        <v>080065325834</v>
      </c>
      <c r="F995" s="3">
        <v>45789</v>
      </c>
      <c r="G995">
        <v>202602</v>
      </c>
      <c r="H995" t="s">
        <v>75</v>
      </c>
      <c r="I995" t="s">
        <v>76</v>
      </c>
      <c r="J995" t="s">
        <v>77</v>
      </c>
      <c r="K995" t="s">
        <v>78</v>
      </c>
      <c r="L995" t="s">
        <v>97</v>
      </c>
      <c r="M995" t="s">
        <v>98</v>
      </c>
      <c r="N995" t="s">
        <v>1726</v>
      </c>
      <c r="O995" t="s">
        <v>82</v>
      </c>
      <c r="P995" t="str">
        <f>"4170037828                    "</f>
        <v xml:space="preserve">4170037828                    </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16.7</v>
      </c>
      <c r="AR995">
        <v>0</v>
      </c>
      <c r="AS995">
        <v>0</v>
      </c>
      <c r="AT995">
        <v>0</v>
      </c>
      <c r="AU995">
        <v>0</v>
      </c>
      <c r="AV995">
        <v>0</v>
      </c>
      <c r="AW995">
        <v>0</v>
      </c>
      <c r="AX995">
        <v>0</v>
      </c>
      <c r="AY995">
        <v>0</v>
      </c>
      <c r="AZ995">
        <v>0</v>
      </c>
      <c r="BA995">
        <v>0</v>
      </c>
      <c r="BB995">
        <v>0</v>
      </c>
      <c r="BC995">
        <v>0</v>
      </c>
      <c r="BD995">
        <v>0</v>
      </c>
      <c r="BE995">
        <v>0</v>
      </c>
      <c r="BF995">
        <v>0</v>
      </c>
      <c r="BG995">
        <v>0</v>
      </c>
      <c r="BH995">
        <v>1</v>
      </c>
      <c r="BI995">
        <v>1</v>
      </c>
      <c r="BJ995">
        <v>0.2</v>
      </c>
      <c r="BK995">
        <v>1</v>
      </c>
      <c r="BL995">
        <v>54.66</v>
      </c>
      <c r="BM995">
        <v>8.1999999999999993</v>
      </c>
      <c r="BN995">
        <v>62.86</v>
      </c>
      <c r="BO995">
        <v>62.86</v>
      </c>
      <c r="BQ995" t="s">
        <v>1727</v>
      </c>
      <c r="BR995" t="s">
        <v>84</v>
      </c>
      <c r="BS995" s="3">
        <v>45790</v>
      </c>
      <c r="BT995" s="4">
        <v>0.42499999999999999</v>
      </c>
      <c r="BU995" t="s">
        <v>1728</v>
      </c>
      <c r="BV995" t="s">
        <v>86</v>
      </c>
      <c r="BY995">
        <v>1200</v>
      </c>
      <c r="CA995" t="s">
        <v>175</v>
      </c>
      <c r="CC995" t="s">
        <v>98</v>
      </c>
      <c r="CD995">
        <v>1459</v>
      </c>
      <c r="CE995" t="s">
        <v>88</v>
      </c>
      <c r="CF995" s="3">
        <v>45791</v>
      </c>
      <c r="CI995">
        <v>1</v>
      </c>
      <c r="CJ995">
        <v>1</v>
      </c>
      <c r="CK995">
        <v>22</v>
      </c>
      <c r="CL995" t="s">
        <v>89</v>
      </c>
    </row>
    <row r="996" spans="1:90" x14ac:dyDescent="0.3">
      <c r="A996" t="s">
        <v>72</v>
      </c>
      <c r="B996" t="s">
        <v>73</v>
      </c>
      <c r="C996" t="s">
        <v>74</v>
      </c>
      <c r="E996" t="str">
        <f>"080065325868"</f>
        <v>080065325868</v>
      </c>
      <c r="F996" s="3">
        <v>45789</v>
      </c>
      <c r="G996">
        <v>202602</v>
      </c>
      <c r="H996" t="s">
        <v>75</v>
      </c>
      <c r="I996" t="s">
        <v>76</v>
      </c>
      <c r="J996" t="s">
        <v>77</v>
      </c>
      <c r="K996" t="s">
        <v>78</v>
      </c>
      <c r="L996" t="s">
        <v>103</v>
      </c>
      <c r="M996" t="s">
        <v>104</v>
      </c>
      <c r="N996" t="s">
        <v>633</v>
      </c>
      <c r="O996" t="s">
        <v>82</v>
      </c>
      <c r="P996" t="str">
        <f>"4170037808                    "</f>
        <v xml:space="preserve">4170037808                    </v>
      </c>
      <c r="Q996">
        <v>0</v>
      </c>
      <c r="R996">
        <v>0</v>
      </c>
      <c r="S996">
        <v>0</v>
      </c>
      <c r="T996">
        <v>0</v>
      </c>
      <c r="U996">
        <v>0</v>
      </c>
      <c r="V996">
        <v>0</v>
      </c>
      <c r="W996">
        <v>0</v>
      </c>
      <c r="X996">
        <v>0</v>
      </c>
      <c r="Y996">
        <v>0</v>
      </c>
      <c r="Z996">
        <v>0</v>
      </c>
      <c r="AA996">
        <v>0</v>
      </c>
      <c r="AB996">
        <v>0</v>
      </c>
      <c r="AC996">
        <v>0</v>
      </c>
      <c r="AD996">
        <v>0</v>
      </c>
      <c r="AE996">
        <v>0</v>
      </c>
      <c r="AF996">
        <v>0</v>
      </c>
      <c r="AG996">
        <v>0</v>
      </c>
      <c r="AH996">
        <v>0</v>
      </c>
      <c r="AI996">
        <v>0</v>
      </c>
      <c r="AJ996">
        <v>0</v>
      </c>
      <c r="AK996">
        <v>0</v>
      </c>
      <c r="AL996">
        <v>0</v>
      </c>
      <c r="AM996">
        <v>0</v>
      </c>
      <c r="AN996">
        <v>0</v>
      </c>
      <c r="AO996">
        <v>0</v>
      </c>
      <c r="AP996">
        <v>0</v>
      </c>
      <c r="AQ996">
        <v>21.38</v>
      </c>
      <c r="AR996">
        <v>0</v>
      </c>
      <c r="AS996">
        <v>0</v>
      </c>
      <c r="AT996">
        <v>0</v>
      </c>
      <c r="AU996">
        <v>0</v>
      </c>
      <c r="AV996">
        <v>0</v>
      </c>
      <c r="AW996">
        <v>0</v>
      </c>
      <c r="AX996">
        <v>0</v>
      </c>
      <c r="AY996">
        <v>0</v>
      </c>
      <c r="AZ996">
        <v>0</v>
      </c>
      <c r="BA996">
        <v>0</v>
      </c>
      <c r="BB996">
        <v>0</v>
      </c>
      <c r="BC996">
        <v>0</v>
      </c>
      <c r="BD996">
        <v>0</v>
      </c>
      <c r="BE996">
        <v>0</v>
      </c>
      <c r="BF996">
        <v>0</v>
      </c>
      <c r="BG996">
        <v>0</v>
      </c>
      <c r="BH996">
        <v>1</v>
      </c>
      <c r="BI996">
        <v>1</v>
      </c>
      <c r="BJ996">
        <v>0.2</v>
      </c>
      <c r="BK996">
        <v>1</v>
      </c>
      <c r="BL996">
        <v>69.98</v>
      </c>
      <c r="BM996">
        <v>10.5</v>
      </c>
      <c r="BN996">
        <v>80.48</v>
      </c>
      <c r="BO996">
        <v>80.48</v>
      </c>
      <c r="BQ996" t="s">
        <v>634</v>
      </c>
      <c r="BR996" t="s">
        <v>84</v>
      </c>
      <c r="BS996" s="3">
        <v>45790</v>
      </c>
      <c r="BT996" s="4">
        <v>0.5</v>
      </c>
      <c r="BU996" t="s">
        <v>635</v>
      </c>
      <c r="BV996" t="s">
        <v>86</v>
      </c>
      <c r="BY996">
        <v>1200</v>
      </c>
      <c r="CA996" t="s">
        <v>440</v>
      </c>
      <c r="CC996" t="s">
        <v>104</v>
      </c>
      <c r="CD996">
        <v>3212</v>
      </c>
      <c r="CE996" t="s">
        <v>88</v>
      </c>
      <c r="CF996" s="3">
        <v>45791</v>
      </c>
      <c r="CI996">
        <v>2</v>
      </c>
      <c r="CJ996">
        <v>1</v>
      </c>
      <c r="CK996">
        <v>21</v>
      </c>
      <c r="CL996" t="s">
        <v>89</v>
      </c>
    </row>
    <row r="997" spans="1:90" x14ac:dyDescent="0.3">
      <c r="A997" t="s">
        <v>72</v>
      </c>
      <c r="B997" t="s">
        <v>73</v>
      </c>
      <c r="C997" t="s">
        <v>74</v>
      </c>
      <c r="E997" t="str">
        <f>"080065325907"</f>
        <v>080065325907</v>
      </c>
      <c r="F997" s="3">
        <v>45789</v>
      </c>
      <c r="G997">
        <v>202602</v>
      </c>
      <c r="H997" t="s">
        <v>75</v>
      </c>
      <c r="I997" t="s">
        <v>76</v>
      </c>
      <c r="J997" t="s">
        <v>77</v>
      </c>
      <c r="K997" t="s">
        <v>78</v>
      </c>
      <c r="L997" t="s">
        <v>75</v>
      </c>
      <c r="M997" t="s">
        <v>76</v>
      </c>
      <c r="N997" t="s">
        <v>390</v>
      </c>
      <c r="O997" t="s">
        <v>82</v>
      </c>
      <c r="P997" t="str">
        <f>"4170037846                    "</f>
        <v xml:space="preserve">4170037846                    </v>
      </c>
      <c r="Q997">
        <v>0</v>
      </c>
      <c r="R997">
        <v>0</v>
      </c>
      <c r="S997">
        <v>0</v>
      </c>
      <c r="T997">
        <v>0</v>
      </c>
      <c r="U997">
        <v>0</v>
      </c>
      <c r="V997">
        <v>0</v>
      </c>
      <c r="W997">
        <v>0</v>
      </c>
      <c r="X997">
        <v>0</v>
      </c>
      <c r="Y997">
        <v>0</v>
      </c>
      <c r="Z997">
        <v>0</v>
      </c>
      <c r="AA997">
        <v>0</v>
      </c>
      <c r="AB997">
        <v>0</v>
      </c>
      <c r="AC997">
        <v>0</v>
      </c>
      <c r="AD997">
        <v>0</v>
      </c>
      <c r="AE997">
        <v>0</v>
      </c>
      <c r="AF997">
        <v>0</v>
      </c>
      <c r="AG997">
        <v>0</v>
      </c>
      <c r="AH997">
        <v>0</v>
      </c>
      <c r="AI997">
        <v>0</v>
      </c>
      <c r="AJ997">
        <v>0</v>
      </c>
      <c r="AK997">
        <v>0</v>
      </c>
      <c r="AL997">
        <v>0</v>
      </c>
      <c r="AM997">
        <v>0</v>
      </c>
      <c r="AN997">
        <v>0</v>
      </c>
      <c r="AO997">
        <v>0</v>
      </c>
      <c r="AP997">
        <v>0</v>
      </c>
      <c r="AQ997">
        <v>16.7</v>
      </c>
      <c r="AR997">
        <v>0</v>
      </c>
      <c r="AS997">
        <v>0</v>
      </c>
      <c r="AT997">
        <v>0</v>
      </c>
      <c r="AU997">
        <v>0</v>
      </c>
      <c r="AV997">
        <v>0</v>
      </c>
      <c r="AW997">
        <v>0</v>
      </c>
      <c r="AX997">
        <v>0</v>
      </c>
      <c r="AY997">
        <v>0</v>
      </c>
      <c r="AZ997">
        <v>0</v>
      </c>
      <c r="BA997">
        <v>0</v>
      </c>
      <c r="BB997">
        <v>0</v>
      </c>
      <c r="BC997">
        <v>0</v>
      </c>
      <c r="BD997">
        <v>0</v>
      </c>
      <c r="BE997">
        <v>0</v>
      </c>
      <c r="BF997">
        <v>0</v>
      </c>
      <c r="BG997">
        <v>0</v>
      </c>
      <c r="BH997">
        <v>1</v>
      </c>
      <c r="BI997">
        <v>1</v>
      </c>
      <c r="BJ997">
        <v>0.2</v>
      </c>
      <c r="BK997">
        <v>1</v>
      </c>
      <c r="BL997">
        <v>54.66</v>
      </c>
      <c r="BM997">
        <v>8.1999999999999993</v>
      </c>
      <c r="BN997">
        <v>62.86</v>
      </c>
      <c r="BO997">
        <v>62.86</v>
      </c>
      <c r="BQ997" t="s">
        <v>391</v>
      </c>
      <c r="BR997" t="s">
        <v>84</v>
      </c>
      <c r="BS997" s="3">
        <v>45790</v>
      </c>
      <c r="BT997" s="4">
        <v>0.35416666666666669</v>
      </c>
      <c r="BU997" t="s">
        <v>1660</v>
      </c>
      <c r="BV997" t="s">
        <v>86</v>
      </c>
      <c r="BY997">
        <v>1200</v>
      </c>
      <c r="CA997" t="s">
        <v>115</v>
      </c>
      <c r="CC997" t="s">
        <v>76</v>
      </c>
      <c r="CD997">
        <v>1600</v>
      </c>
      <c r="CE997" t="s">
        <v>88</v>
      </c>
      <c r="CF997" s="3">
        <v>45790</v>
      </c>
      <c r="CI997">
        <v>1</v>
      </c>
      <c r="CJ997">
        <v>1</v>
      </c>
      <c r="CK997">
        <v>22</v>
      </c>
      <c r="CL997" t="s">
        <v>89</v>
      </c>
    </row>
    <row r="998" spans="1:90" x14ac:dyDescent="0.3">
      <c r="A998" t="s">
        <v>72</v>
      </c>
      <c r="B998" t="s">
        <v>73</v>
      </c>
      <c r="C998" t="s">
        <v>74</v>
      </c>
      <c r="E998" t="str">
        <f>"080065325951"</f>
        <v>080065325951</v>
      </c>
      <c r="F998" s="3">
        <v>45789</v>
      </c>
      <c r="G998">
        <v>202602</v>
      </c>
      <c r="H998" t="s">
        <v>75</v>
      </c>
      <c r="I998" t="s">
        <v>76</v>
      </c>
      <c r="J998" t="s">
        <v>77</v>
      </c>
      <c r="K998" t="s">
        <v>78</v>
      </c>
      <c r="L998" t="s">
        <v>123</v>
      </c>
      <c r="M998" t="s">
        <v>123</v>
      </c>
      <c r="N998" t="s">
        <v>1729</v>
      </c>
      <c r="O998" t="s">
        <v>82</v>
      </c>
      <c r="P998" t="str">
        <f>"4170037848                    "</f>
        <v xml:space="preserve">4170037848                    </v>
      </c>
      <c r="Q998">
        <v>0</v>
      </c>
      <c r="R998">
        <v>0</v>
      </c>
      <c r="S998">
        <v>0</v>
      </c>
      <c r="T998">
        <v>0</v>
      </c>
      <c r="U998">
        <v>0</v>
      </c>
      <c r="V998">
        <v>0</v>
      </c>
      <c r="W998">
        <v>0</v>
      </c>
      <c r="X998">
        <v>0</v>
      </c>
      <c r="Y998">
        <v>0</v>
      </c>
      <c r="Z998">
        <v>0</v>
      </c>
      <c r="AA998">
        <v>0</v>
      </c>
      <c r="AB998">
        <v>0</v>
      </c>
      <c r="AC998">
        <v>0</v>
      </c>
      <c r="AD998">
        <v>0</v>
      </c>
      <c r="AE998">
        <v>0</v>
      </c>
      <c r="AF998">
        <v>0</v>
      </c>
      <c r="AG998">
        <v>0</v>
      </c>
      <c r="AH998">
        <v>0</v>
      </c>
      <c r="AI998">
        <v>0</v>
      </c>
      <c r="AJ998">
        <v>0</v>
      </c>
      <c r="AK998">
        <v>0</v>
      </c>
      <c r="AL998">
        <v>0</v>
      </c>
      <c r="AM998">
        <v>0</v>
      </c>
      <c r="AN998">
        <v>0</v>
      </c>
      <c r="AO998">
        <v>0</v>
      </c>
      <c r="AP998">
        <v>0</v>
      </c>
      <c r="AQ998">
        <v>41.43</v>
      </c>
      <c r="AR998">
        <v>0</v>
      </c>
      <c r="AS998">
        <v>0</v>
      </c>
      <c r="AT998">
        <v>0</v>
      </c>
      <c r="AU998">
        <v>0</v>
      </c>
      <c r="AV998">
        <v>0</v>
      </c>
      <c r="AW998">
        <v>0</v>
      </c>
      <c r="AX998">
        <v>0</v>
      </c>
      <c r="AY998">
        <v>0</v>
      </c>
      <c r="AZ998">
        <v>0</v>
      </c>
      <c r="BA998">
        <v>0</v>
      </c>
      <c r="BB998">
        <v>0</v>
      </c>
      <c r="BC998">
        <v>0</v>
      </c>
      <c r="BD998">
        <v>0</v>
      </c>
      <c r="BE998">
        <v>0</v>
      </c>
      <c r="BF998">
        <v>0</v>
      </c>
      <c r="BG998">
        <v>0</v>
      </c>
      <c r="BH998">
        <v>1</v>
      </c>
      <c r="BI998">
        <v>1</v>
      </c>
      <c r="BJ998">
        <v>0.2</v>
      </c>
      <c r="BK998">
        <v>1</v>
      </c>
      <c r="BL998">
        <v>135.59</v>
      </c>
      <c r="BM998">
        <v>20.34</v>
      </c>
      <c r="BN998">
        <v>155.93</v>
      </c>
      <c r="BO998">
        <v>155.93</v>
      </c>
      <c r="BQ998" t="s">
        <v>1730</v>
      </c>
      <c r="BR998" t="s">
        <v>84</v>
      </c>
      <c r="BS998" s="3">
        <v>45790</v>
      </c>
      <c r="BT998" s="4">
        <v>0.47638888888888886</v>
      </c>
      <c r="BU998" t="s">
        <v>1483</v>
      </c>
      <c r="BV998" t="s">
        <v>86</v>
      </c>
      <c r="BY998">
        <v>1200</v>
      </c>
      <c r="CA998" t="s">
        <v>1718</v>
      </c>
      <c r="CC998" t="s">
        <v>123</v>
      </c>
      <c r="CD998">
        <v>7655</v>
      </c>
      <c r="CE998" t="s">
        <v>88</v>
      </c>
      <c r="CF998" s="3">
        <v>45791</v>
      </c>
      <c r="CI998">
        <v>1</v>
      </c>
      <c r="CJ998">
        <v>1</v>
      </c>
      <c r="CK998">
        <v>23</v>
      </c>
      <c r="CL998" t="s">
        <v>89</v>
      </c>
    </row>
    <row r="999" spans="1:90" x14ac:dyDescent="0.3">
      <c r="A999" t="s">
        <v>72</v>
      </c>
      <c r="B999" t="s">
        <v>73</v>
      </c>
      <c r="C999" t="s">
        <v>74</v>
      </c>
      <c r="E999" t="str">
        <f>"080065326005"</f>
        <v>080065326005</v>
      </c>
      <c r="F999" s="3">
        <v>45789</v>
      </c>
      <c r="G999">
        <v>202602</v>
      </c>
      <c r="H999" t="s">
        <v>75</v>
      </c>
      <c r="I999" t="s">
        <v>76</v>
      </c>
      <c r="J999" t="s">
        <v>77</v>
      </c>
      <c r="K999" t="s">
        <v>78</v>
      </c>
      <c r="L999" t="s">
        <v>1694</v>
      </c>
      <c r="M999" t="s">
        <v>1695</v>
      </c>
      <c r="N999" t="s">
        <v>1696</v>
      </c>
      <c r="O999" t="s">
        <v>82</v>
      </c>
      <c r="P999" t="str">
        <f>"4170037961                    "</f>
        <v xml:space="preserve">4170037961                    </v>
      </c>
      <c r="Q999">
        <v>0</v>
      </c>
      <c r="R999">
        <v>0</v>
      </c>
      <c r="S999">
        <v>0</v>
      </c>
      <c r="T999">
        <v>0</v>
      </c>
      <c r="U999">
        <v>0</v>
      </c>
      <c r="V999">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41.43</v>
      </c>
      <c r="AR999">
        <v>0</v>
      </c>
      <c r="AS999">
        <v>0</v>
      </c>
      <c r="AT999">
        <v>0</v>
      </c>
      <c r="AU999">
        <v>0</v>
      </c>
      <c r="AV999">
        <v>0</v>
      </c>
      <c r="AW999">
        <v>0</v>
      </c>
      <c r="AX999">
        <v>0</v>
      </c>
      <c r="AY999">
        <v>0</v>
      </c>
      <c r="AZ999">
        <v>0</v>
      </c>
      <c r="BA999">
        <v>0</v>
      </c>
      <c r="BB999">
        <v>0</v>
      </c>
      <c r="BC999">
        <v>0</v>
      </c>
      <c r="BD999">
        <v>0</v>
      </c>
      <c r="BE999">
        <v>0</v>
      </c>
      <c r="BF999">
        <v>0</v>
      </c>
      <c r="BG999">
        <v>0</v>
      </c>
      <c r="BH999">
        <v>1</v>
      </c>
      <c r="BI999">
        <v>1</v>
      </c>
      <c r="BJ999">
        <v>0.2</v>
      </c>
      <c r="BK999">
        <v>1</v>
      </c>
      <c r="BL999">
        <v>135.59</v>
      </c>
      <c r="BM999">
        <v>20.34</v>
      </c>
      <c r="BN999">
        <v>155.93</v>
      </c>
      <c r="BO999">
        <v>155.93</v>
      </c>
      <c r="BQ999" t="s">
        <v>1697</v>
      </c>
      <c r="BR999" t="s">
        <v>84</v>
      </c>
      <c r="BS999" s="3">
        <v>45790</v>
      </c>
      <c r="BT999" s="4">
        <v>0.41805555555555557</v>
      </c>
      <c r="BU999" t="s">
        <v>185</v>
      </c>
      <c r="BV999" t="s">
        <v>86</v>
      </c>
      <c r="BY999">
        <v>1200</v>
      </c>
      <c r="CA999" t="s">
        <v>1698</v>
      </c>
      <c r="CC999" t="s">
        <v>1695</v>
      </c>
      <c r="CD999">
        <v>9701</v>
      </c>
      <c r="CE999" t="s">
        <v>1731</v>
      </c>
      <c r="CF999" s="3">
        <v>45791</v>
      </c>
      <c r="CI999">
        <v>1</v>
      </c>
      <c r="CJ999">
        <v>1</v>
      </c>
      <c r="CK999">
        <v>23</v>
      </c>
      <c r="CL999" t="s">
        <v>89</v>
      </c>
    </row>
    <row r="1000" spans="1:90" x14ac:dyDescent="0.3">
      <c r="A1000" t="s">
        <v>72</v>
      </c>
      <c r="B1000" t="s">
        <v>73</v>
      </c>
      <c r="C1000" t="s">
        <v>74</v>
      </c>
      <c r="E1000" t="str">
        <f>"080065326038"</f>
        <v>080065326038</v>
      </c>
      <c r="F1000" s="3">
        <v>45789</v>
      </c>
      <c r="G1000">
        <v>202602</v>
      </c>
      <c r="H1000" t="s">
        <v>75</v>
      </c>
      <c r="I1000" t="s">
        <v>76</v>
      </c>
      <c r="J1000" t="s">
        <v>77</v>
      </c>
      <c r="K1000" t="s">
        <v>78</v>
      </c>
      <c r="L1000" t="s">
        <v>350</v>
      </c>
      <c r="M1000" t="s">
        <v>351</v>
      </c>
      <c r="N1000" t="s">
        <v>678</v>
      </c>
      <c r="O1000" t="s">
        <v>82</v>
      </c>
      <c r="P1000" t="str">
        <f>"4170037838                    "</f>
        <v xml:space="preserve">4170037838                    </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58.78</v>
      </c>
      <c r="AR1000">
        <v>0</v>
      </c>
      <c r="AS1000">
        <v>0</v>
      </c>
      <c r="AT1000">
        <v>0</v>
      </c>
      <c r="AU1000">
        <v>0</v>
      </c>
      <c r="AV1000">
        <v>0</v>
      </c>
      <c r="AW1000">
        <v>0</v>
      </c>
      <c r="AX1000">
        <v>0</v>
      </c>
      <c r="AY1000">
        <v>0</v>
      </c>
      <c r="AZ1000">
        <v>0</v>
      </c>
      <c r="BA1000">
        <v>0</v>
      </c>
      <c r="BB1000">
        <v>0</v>
      </c>
      <c r="BC1000">
        <v>0</v>
      </c>
      <c r="BD1000">
        <v>0</v>
      </c>
      <c r="BE1000">
        <v>0</v>
      </c>
      <c r="BF1000">
        <v>0</v>
      </c>
      <c r="BG1000">
        <v>0</v>
      </c>
      <c r="BH1000">
        <v>1</v>
      </c>
      <c r="BI1000">
        <v>3</v>
      </c>
      <c r="BJ1000">
        <v>5.2</v>
      </c>
      <c r="BK1000">
        <v>5.5</v>
      </c>
      <c r="BL1000">
        <v>192.36</v>
      </c>
      <c r="BM1000">
        <v>28.85</v>
      </c>
      <c r="BN1000">
        <v>221.21</v>
      </c>
      <c r="BO1000">
        <v>221.21</v>
      </c>
      <c r="BQ1000" t="s">
        <v>679</v>
      </c>
      <c r="BR1000" t="s">
        <v>84</v>
      </c>
      <c r="BS1000" s="3">
        <v>45790</v>
      </c>
      <c r="BT1000" s="4">
        <v>0.54861111111111116</v>
      </c>
      <c r="BU1000" t="s">
        <v>680</v>
      </c>
      <c r="BV1000" t="s">
        <v>89</v>
      </c>
      <c r="BW1000" t="s">
        <v>296</v>
      </c>
      <c r="BX1000" t="s">
        <v>325</v>
      </c>
      <c r="BY1000">
        <v>26112</v>
      </c>
      <c r="CA1000" t="s">
        <v>326</v>
      </c>
      <c r="CC1000" t="s">
        <v>351</v>
      </c>
      <c r="CD1000">
        <v>4052</v>
      </c>
      <c r="CE1000" t="s">
        <v>221</v>
      </c>
      <c r="CF1000" s="3">
        <v>45791</v>
      </c>
      <c r="CI1000">
        <v>1</v>
      </c>
      <c r="CJ1000">
        <v>1</v>
      </c>
      <c r="CK1000">
        <v>21</v>
      </c>
      <c r="CL1000" t="s">
        <v>89</v>
      </c>
    </row>
    <row r="1001" spans="1:90" x14ac:dyDescent="0.3">
      <c r="A1001" t="s">
        <v>72</v>
      </c>
      <c r="B1001" t="s">
        <v>73</v>
      </c>
      <c r="C1001" t="s">
        <v>74</v>
      </c>
      <c r="E1001" t="str">
        <f>"080065326104"</f>
        <v>080065326104</v>
      </c>
      <c r="F1001" s="3">
        <v>45789</v>
      </c>
      <c r="G1001">
        <v>202602</v>
      </c>
      <c r="H1001" t="s">
        <v>75</v>
      </c>
      <c r="I1001" t="s">
        <v>76</v>
      </c>
      <c r="J1001" t="s">
        <v>77</v>
      </c>
      <c r="K1001" t="s">
        <v>78</v>
      </c>
      <c r="L1001" t="s">
        <v>75</v>
      </c>
      <c r="M1001" t="s">
        <v>76</v>
      </c>
      <c r="N1001" t="s">
        <v>183</v>
      </c>
      <c r="O1001" t="s">
        <v>82</v>
      </c>
      <c r="P1001" t="str">
        <f>"4170037857                    "</f>
        <v xml:space="preserve">4170037857                    </v>
      </c>
      <c r="Q1001">
        <v>0</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16.7</v>
      </c>
      <c r="AR1001">
        <v>0</v>
      </c>
      <c r="AS1001">
        <v>0</v>
      </c>
      <c r="AT1001">
        <v>0</v>
      </c>
      <c r="AU1001">
        <v>0</v>
      </c>
      <c r="AV1001">
        <v>0</v>
      </c>
      <c r="AW1001">
        <v>0</v>
      </c>
      <c r="AX1001">
        <v>0</v>
      </c>
      <c r="AY1001">
        <v>0</v>
      </c>
      <c r="AZ1001">
        <v>0</v>
      </c>
      <c r="BA1001">
        <v>0</v>
      </c>
      <c r="BB1001">
        <v>0</v>
      </c>
      <c r="BC1001">
        <v>0</v>
      </c>
      <c r="BD1001">
        <v>0</v>
      </c>
      <c r="BE1001">
        <v>0</v>
      </c>
      <c r="BF1001">
        <v>0</v>
      </c>
      <c r="BG1001">
        <v>0</v>
      </c>
      <c r="BH1001">
        <v>1</v>
      </c>
      <c r="BI1001">
        <v>5</v>
      </c>
      <c r="BJ1001">
        <v>3.4</v>
      </c>
      <c r="BK1001">
        <v>5</v>
      </c>
      <c r="BL1001">
        <v>54.66</v>
      </c>
      <c r="BM1001">
        <v>8.1999999999999993</v>
      </c>
      <c r="BN1001">
        <v>62.86</v>
      </c>
      <c r="BO1001">
        <v>62.86</v>
      </c>
      <c r="BQ1001" t="s">
        <v>184</v>
      </c>
      <c r="BR1001" t="s">
        <v>84</v>
      </c>
      <c r="BS1001" s="3">
        <v>45790</v>
      </c>
      <c r="BT1001" s="4">
        <v>0.31597222222222221</v>
      </c>
      <c r="BU1001" t="s">
        <v>1732</v>
      </c>
      <c r="BV1001" t="s">
        <v>86</v>
      </c>
      <c r="BY1001">
        <v>16965</v>
      </c>
      <c r="CA1001" t="s">
        <v>115</v>
      </c>
      <c r="CC1001" t="s">
        <v>76</v>
      </c>
      <c r="CD1001">
        <v>1600</v>
      </c>
      <c r="CE1001" t="s">
        <v>96</v>
      </c>
      <c r="CF1001" s="3">
        <v>45790</v>
      </c>
      <c r="CI1001">
        <v>1</v>
      </c>
      <c r="CJ1001">
        <v>1</v>
      </c>
      <c r="CK1001">
        <v>22</v>
      </c>
      <c r="CL1001" t="s">
        <v>89</v>
      </c>
    </row>
    <row r="1002" spans="1:90" x14ac:dyDescent="0.3">
      <c r="A1002" t="s">
        <v>72</v>
      </c>
      <c r="B1002" t="s">
        <v>73</v>
      </c>
      <c r="C1002" t="s">
        <v>74</v>
      </c>
      <c r="E1002" t="str">
        <f>"080065326128"</f>
        <v>080065326128</v>
      </c>
      <c r="F1002" s="3">
        <v>45789</v>
      </c>
      <c r="G1002">
        <v>202602</v>
      </c>
      <c r="H1002" t="s">
        <v>75</v>
      </c>
      <c r="I1002" t="s">
        <v>76</v>
      </c>
      <c r="J1002" t="s">
        <v>77</v>
      </c>
      <c r="K1002" t="s">
        <v>78</v>
      </c>
      <c r="L1002" t="s">
        <v>672</v>
      </c>
      <c r="M1002" t="s">
        <v>673</v>
      </c>
      <c r="N1002" t="s">
        <v>674</v>
      </c>
      <c r="O1002" t="s">
        <v>82</v>
      </c>
      <c r="P1002" t="str">
        <f>"4170037916                    "</f>
        <v xml:space="preserve">4170037916                    </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41.43</v>
      </c>
      <c r="AR1002">
        <v>0</v>
      </c>
      <c r="AS1002">
        <v>0</v>
      </c>
      <c r="AT1002">
        <v>0</v>
      </c>
      <c r="AU1002">
        <v>0</v>
      </c>
      <c r="AV1002">
        <v>0</v>
      </c>
      <c r="AW1002">
        <v>0</v>
      </c>
      <c r="AX1002">
        <v>0</v>
      </c>
      <c r="AY1002">
        <v>0</v>
      </c>
      <c r="AZ1002">
        <v>0</v>
      </c>
      <c r="BA1002">
        <v>0</v>
      </c>
      <c r="BB1002">
        <v>0</v>
      </c>
      <c r="BC1002">
        <v>0</v>
      </c>
      <c r="BD1002">
        <v>0</v>
      </c>
      <c r="BE1002">
        <v>0</v>
      </c>
      <c r="BF1002">
        <v>0</v>
      </c>
      <c r="BG1002">
        <v>0</v>
      </c>
      <c r="BH1002">
        <v>1</v>
      </c>
      <c r="BI1002">
        <v>1</v>
      </c>
      <c r="BJ1002">
        <v>0.2</v>
      </c>
      <c r="BK1002">
        <v>1</v>
      </c>
      <c r="BL1002">
        <v>135.59</v>
      </c>
      <c r="BM1002">
        <v>20.34</v>
      </c>
      <c r="BN1002">
        <v>155.93</v>
      </c>
      <c r="BO1002">
        <v>155.93</v>
      </c>
      <c r="BQ1002" t="s">
        <v>675</v>
      </c>
      <c r="BR1002" t="s">
        <v>84</v>
      </c>
      <c r="BS1002" s="3">
        <v>45790</v>
      </c>
      <c r="BT1002" s="4">
        <v>0.52986111111111112</v>
      </c>
      <c r="BU1002" t="s">
        <v>1512</v>
      </c>
      <c r="BV1002" t="s">
        <v>86</v>
      </c>
      <c r="BY1002">
        <v>1200</v>
      </c>
      <c r="CA1002" t="s">
        <v>677</v>
      </c>
      <c r="CC1002" t="s">
        <v>673</v>
      </c>
      <c r="CD1002">
        <v>2531</v>
      </c>
      <c r="CE1002" t="s">
        <v>88</v>
      </c>
      <c r="CF1002" s="3">
        <v>45791</v>
      </c>
      <c r="CI1002">
        <v>1</v>
      </c>
      <c r="CJ1002">
        <v>1</v>
      </c>
      <c r="CK1002">
        <v>23</v>
      </c>
      <c r="CL1002" t="s">
        <v>89</v>
      </c>
    </row>
    <row r="1003" spans="1:90" x14ac:dyDescent="0.3">
      <c r="A1003" t="s">
        <v>72</v>
      </c>
      <c r="B1003" t="s">
        <v>73</v>
      </c>
      <c r="C1003" t="s">
        <v>74</v>
      </c>
      <c r="E1003" t="str">
        <f>"080065326154"</f>
        <v>080065326154</v>
      </c>
      <c r="F1003" s="3">
        <v>45789</v>
      </c>
      <c r="G1003">
        <v>202602</v>
      </c>
      <c r="H1003" t="s">
        <v>75</v>
      </c>
      <c r="I1003" t="s">
        <v>76</v>
      </c>
      <c r="J1003" t="s">
        <v>77</v>
      </c>
      <c r="K1003" t="s">
        <v>78</v>
      </c>
      <c r="L1003" t="s">
        <v>463</v>
      </c>
      <c r="M1003" t="s">
        <v>464</v>
      </c>
      <c r="N1003" t="s">
        <v>585</v>
      </c>
      <c r="O1003" t="s">
        <v>82</v>
      </c>
      <c r="P1003" t="str">
        <f>"4170037832                    "</f>
        <v xml:space="preserve">4170037832                    </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21.38</v>
      </c>
      <c r="AR1003">
        <v>0</v>
      </c>
      <c r="AS1003">
        <v>0</v>
      </c>
      <c r="AT1003">
        <v>0</v>
      </c>
      <c r="AU1003">
        <v>0</v>
      </c>
      <c r="AV1003">
        <v>0</v>
      </c>
      <c r="AW1003">
        <v>0</v>
      </c>
      <c r="AX1003">
        <v>0</v>
      </c>
      <c r="AY1003">
        <v>0</v>
      </c>
      <c r="AZ1003">
        <v>0</v>
      </c>
      <c r="BA1003">
        <v>0</v>
      </c>
      <c r="BB1003">
        <v>0</v>
      </c>
      <c r="BC1003">
        <v>0</v>
      </c>
      <c r="BD1003">
        <v>0</v>
      </c>
      <c r="BE1003">
        <v>0</v>
      </c>
      <c r="BF1003">
        <v>0</v>
      </c>
      <c r="BG1003">
        <v>0</v>
      </c>
      <c r="BH1003">
        <v>1</v>
      </c>
      <c r="BI1003">
        <v>1</v>
      </c>
      <c r="BJ1003">
        <v>0.2</v>
      </c>
      <c r="BK1003">
        <v>1</v>
      </c>
      <c r="BL1003">
        <v>69.98</v>
      </c>
      <c r="BM1003">
        <v>10.5</v>
      </c>
      <c r="BN1003">
        <v>80.48</v>
      </c>
      <c r="BO1003">
        <v>80.48</v>
      </c>
      <c r="BQ1003" t="s">
        <v>586</v>
      </c>
      <c r="BR1003" t="s">
        <v>84</v>
      </c>
      <c r="BS1003" s="3">
        <v>45790</v>
      </c>
      <c r="BT1003" s="4">
        <v>0.4375</v>
      </c>
      <c r="BU1003" t="s">
        <v>587</v>
      </c>
      <c r="BV1003" t="s">
        <v>86</v>
      </c>
      <c r="BY1003">
        <v>1200</v>
      </c>
      <c r="CA1003" t="s">
        <v>588</v>
      </c>
      <c r="CC1003" t="s">
        <v>464</v>
      </c>
      <c r="CD1003">
        <v>5200</v>
      </c>
      <c r="CE1003" t="s">
        <v>88</v>
      </c>
      <c r="CF1003" s="3">
        <v>45790</v>
      </c>
      <c r="CI1003">
        <v>1</v>
      </c>
      <c r="CJ1003">
        <v>1</v>
      </c>
      <c r="CK1003">
        <v>21</v>
      </c>
      <c r="CL1003" t="s">
        <v>89</v>
      </c>
    </row>
    <row r="1004" spans="1:90" x14ac:dyDescent="0.3">
      <c r="A1004" t="s">
        <v>72</v>
      </c>
      <c r="B1004" t="s">
        <v>73</v>
      </c>
      <c r="C1004" t="s">
        <v>74</v>
      </c>
      <c r="E1004" t="str">
        <f>"080065326158"</f>
        <v>080065326158</v>
      </c>
      <c r="F1004" s="3">
        <v>45789</v>
      </c>
      <c r="G1004">
        <v>202602</v>
      </c>
      <c r="H1004" t="s">
        <v>75</v>
      </c>
      <c r="I1004" t="s">
        <v>76</v>
      </c>
      <c r="J1004" t="s">
        <v>77</v>
      </c>
      <c r="K1004" t="s">
        <v>78</v>
      </c>
      <c r="L1004" t="s">
        <v>136</v>
      </c>
      <c r="M1004" t="s">
        <v>137</v>
      </c>
      <c r="N1004" t="s">
        <v>499</v>
      </c>
      <c r="O1004" t="s">
        <v>300</v>
      </c>
      <c r="P1004" t="str">
        <f>"4170037882                    "</f>
        <v xml:space="preserve">4170037882                    </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41.35</v>
      </c>
      <c r="AR1004">
        <v>0</v>
      </c>
      <c r="AS1004">
        <v>0</v>
      </c>
      <c r="AT1004">
        <v>0</v>
      </c>
      <c r="AU1004">
        <v>0</v>
      </c>
      <c r="AV1004">
        <v>0</v>
      </c>
      <c r="AW1004">
        <v>0</v>
      </c>
      <c r="AX1004">
        <v>0</v>
      </c>
      <c r="AY1004">
        <v>0</v>
      </c>
      <c r="AZ1004">
        <v>0</v>
      </c>
      <c r="BA1004">
        <v>0</v>
      </c>
      <c r="BB1004">
        <v>0</v>
      </c>
      <c r="BC1004">
        <v>0</v>
      </c>
      <c r="BD1004">
        <v>0</v>
      </c>
      <c r="BE1004">
        <v>0</v>
      </c>
      <c r="BF1004">
        <v>0</v>
      </c>
      <c r="BG1004">
        <v>0</v>
      </c>
      <c r="BH1004">
        <v>1</v>
      </c>
      <c r="BI1004">
        <v>10</v>
      </c>
      <c r="BJ1004">
        <v>4.5</v>
      </c>
      <c r="BK1004">
        <v>10</v>
      </c>
      <c r="BL1004">
        <v>140.9</v>
      </c>
      <c r="BM1004">
        <v>21.14</v>
      </c>
      <c r="BN1004">
        <v>162.04</v>
      </c>
      <c r="BO1004">
        <v>162.04</v>
      </c>
      <c r="BQ1004" t="s">
        <v>500</v>
      </c>
      <c r="BR1004" t="s">
        <v>84</v>
      </c>
      <c r="BS1004" s="3">
        <v>45790</v>
      </c>
      <c r="BT1004" s="4">
        <v>0.42916666666666664</v>
      </c>
      <c r="BU1004" t="s">
        <v>1733</v>
      </c>
      <c r="BV1004" t="s">
        <v>86</v>
      </c>
      <c r="BY1004">
        <v>22620</v>
      </c>
      <c r="CA1004" t="s">
        <v>141</v>
      </c>
      <c r="CC1004" t="s">
        <v>137</v>
      </c>
      <c r="CD1004" s="5" t="s">
        <v>142</v>
      </c>
      <c r="CE1004" t="s">
        <v>96</v>
      </c>
      <c r="CF1004" s="3">
        <v>45790</v>
      </c>
      <c r="CI1004">
        <v>1</v>
      </c>
      <c r="CJ1004">
        <v>1</v>
      </c>
      <c r="CK1004">
        <v>41</v>
      </c>
      <c r="CL1004" t="s">
        <v>89</v>
      </c>
    </row>
    <row r="1005" spans="1:90" x14ac:dyDescent="0.3">
      <c r="A1005" t="s">
        <v>72</v>
      </c>
      <c r="B1005" t="s">
        <v>73</v>
      </c>
      <c r="C1005" t="s">
        <v>74</v>
      </c>
      <c r="E1005" t="str">
        <f>"080065326175"</f>
        <v>080065326175</v>
      </c>
      <c r="F1005" s="3">
        <v>45789</v>
      </c>
      <c r="G1005">
        <v>202602</v>
      </c>
      <c r="H1005" t="s">
        <v>75</v>
      </c>
      <c r="I1005" t="s">
        <v>76</v>
      </c>
      <c r="J1005" t="s">
        <v>77</v>
      </c>
      <c r="K1005" t="s">
        <v>78</v>
      </c>
      <c r="L1005" t="s">
        <v>90</v>
      </c>
      <c r="M1005" t="s">
        <v>91</v>
      </c>
      <c r="N1005" t="s">
        <v>841</v>
      </c>
      <c r="O1005" t="s">
        <v>82</v>
      </c>
      <c r="P1005" t="str">
        <f>"4170037794                    "</f>
        <v xml:space="preserve">4170037794                    </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0</v>
      </c>
      <c r="AQ1005">
        <v>21.38</v>
      </c>
      <c r="AR1005">
        <v>0</v>
      </c>
      <c r="AS1005">
        <v>0</v>
      </c>
      <c r="AT1005">
        <v>0</v>
      </c>
      <c r="AU1005">
        <v>0</v>
      </c>
      <c r="AV1005">
        <v>0</v>
      </c>
      <c r="AW1005">
        <v>0</v>
      </c>
      <c r="AX1005">
        <v>0</v>
      </c>
      <c r="AY1005">
        <v>0</v>
      </c>
      <c r="AZ1005">
        <v>0</v>
      </c>
      <c r="BA1005">
        <v>0</v>
      </c>
      <c r="BB1005">
        <v>0</v>
      </c>
      <c r="BC1005">
        <v>0</v>
      </c>
      <c r="BD1005">
        <v>0</v>
      </c>
      <c r="BE1005">
        <v>0</v>
      </c>
      <c r="BF1005">
        <v>0</v>
      </c>
      <c r="BG1005">
        <v>0</v>
      </c>
      <c r="BH1005">
        <v>1</v>
      </c>
      <c r="BI1005">
        <v>1</v>
      </c>
      <c r="BJ1005">
        <v>0.2</v>
      </c>
      <c r="BK1005">
        <v>1</v>
      </c>
      <c r="BL1005">
        <v>69.98</v>
      </c>
      <c r="BM1005">
        <v>10.5</v>
      </c>
      <c r="BN1005">
        <v>80.48</v>
      </c>
      <c r="BO1005">
        <v>80.48</v>
      </c>
      <c r="BQ1005" t="s">
        <v>842</v>
      </c>
      <c r="BR1005" t="s">
        <v>84</v>
      </c>
      <c r="BS1005" s="3">
        <v>45790</v>
      </c>
      <c r="BT1005" s="4">
        <v>0.41458333333333336</v>
      </c>
      <c r="BU1005" t="s">
        <v>1266</v>
      </c>
      <c r="BV1005" t="s">
        <v>86</v>
      </c>
      <c r="BY1005">
        <v>1200</v>
      </c>
      <c r="CA1005" t="s">
        <v>298</v>
      </c>
      <c r="CC1005" t="s">
        <v>91</v>
      </c>
      <c r="CD1005">
        <v>6001</v>
      </c>
      <c r="CE1005" t="s">
        <v>88</v>
      </c>
      <c r="CF1005" s="3">
        <v>45790</v>
      </c>
      <c r="CI1005">
        <v>1</v>
      </c>
      <c r="CJ1005">
        <v>1</v>
      </c>
      <c r="CK1005">
        <v>21</v>
      </c>
      <c r="CL1005" t="s">
        <v>89</v>
      </c>
    </row>
    <row r="1006" spans="1:90" x14ac:dyDescent="0.3">
      <c r="A1006" t="s">
        <v>72</v>
      </c>
      <c r="B1006" t="s">
        <v>73</v>
      </c>
      <c r="C1006" t="s">
        <v>74</v>
      </c>
      <c r="E1006" t="str">
        <f>"080065326190"</f>
        <v>080065326190</v>
      </c>
      <c r="F1006" s="3">
        <v>45789</v>
      </c>
      <c r="G1006">
        <v>202602</v>
      </c>
      <c r="H1006" t="s">
        <v>75</v>
      </c>
      <c r="I1006" t="s">
        <v>76</v>
      </c>
      <c r="J1006" t="s">
        <v>77</v>
      </c>
      <c r="K1006" t="s">
        <v>78</v>
      </c>
      <c r="L1006" t="s">
        <v>350</v>
      </c>
      <c r="M1006" t="s">
        <v>351</v>
      </c>
      <c r="N1006" t="s">
        <v>769</v>
      </c>
      <c r="O1006" t="s">
        <v>82</v>
      </c>
      <c r="P1006" t="str">
        <f>"4170038017                    "</f>
        <v xml:space="preserve">4170038017                    </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c r="AP1006">
        <v>0</v>
      </c>
      <c r="AQ1006">
        <v>21.38</v>
      </c>
      <c r="AR1006">
        <v>0</v>
      </c>
      <c r="AS1006">
        <v>0</v>
      </c>
      <c r="AT1006">
        <v>0</v>
      </c>
      <c r="AU1006">
        <v>0</v>
      </c>
      <c r="AV1006">
        <v>0</v>
      </c>
      <c r="AW1006">
        <v>0</v>
      </c>
      <c r="AX1006">
        <v>0</v>
      </c>
      <c r="AY1006">
        <v>0</v>
      </c>
      <c r="AZ1006">
        <v>0</v>
      </c>
      <c r="BA1006">
        <v>0</v>
      </c>
      <c r="BB1006">
        <v>0</v>
      </c>
      <c r="BC1006">
        <v>0</v>
      </c>
      <c r="BD1006">
        <v>0</v>
      </c>
      <c r="BE1006">
        <v>0</v>
      </c>
      <c r="BF1006">
        <v>0</v>
      </c>
      <c r="BG1006">
        <v>0</v>
      </c>
      <c r="BH1006">
        <v>1</v>
      </c>
      <c r="BI1006">
        <v>1</v>
      </c>
      <c r="BJ1006">
        <v>1.1000000000000001</v>
      </c>
      <c r="BK1006">
        <v>1.5</v>
      </c>
      <c r="BL1006">
        <v>69.98</v>
      </c>
      <c r="BM1006">
        <v>10.5</v>
      </c>
      <c r="BN1006">
        <v>80.48</v>
      </c>
      <c r="BO1006">
        <v>80.48</v>
      </c>
      <c r="BQ1006" t="s">
        <v>770</v>
      </c>
      <c r="BR1006" t="s">
        <v>84</v>
      </c>
      <c r="BS1006" s="3">
        <v>45790</v>
      </c>
      <c r="BT1006" s="4">
        <v>0.35902777777777778</v>
      </c>
      <c r="BU1006" t="s">
        <v>1640</v>
      </c>
      <c r="BV1006" t="s">
        <v>86</v>
      </c>
      <c r="BY1006">
        <v>5320</v>
      </c>
      <c r="CA1006" t="s">
        <v>1410</v>
      </c>
      <c r="CC1006" t="s">
        <v>351</v>
      </c>
      <c r="CD1006">
        <v>4001</v>
      </c>
      <c r="CE1006" t="s">
        <v>116</v>
      </c>
      <c r="CF1006" s="3">
        <v>45791</v>
      </c>
      <c r="CI1006">
        <v>1</v>
      </c>
      <c r="CJ1006">
        <v>1</v>
      </c>
      <c r="CK1006">
        <v>21</v>
      </c>
      <c r="CL1006" t="s">
        <v>89</v>
      </c>
    </row>
    <row r="1007" spans="1:90" x14ac:dyDescent="0.3">
      <c r="A1007" t="s">
        <v>72</v>
      </c>
      <c r="B1007" t="s">
        <v>73</v>
      </c>
      <c r="C1007" t="s">
        <v>74</v>
      </c>
      <c r="E1007" t="str">
        <f>"080065326209"</f>
        <v>080065326209</v>
      </c>
      <c r="F1007" s="3">
        <v>45789</v>
      </c>
      <c r="G1007">
        <v>202602</v>
      </c>
      <c r="H1007" t="s">
        <v>75</v>
      </c>
      <c r="I1007" t="s">
        <v>76</v>
      </c>
      <c r="J1007" t="s">
        <v>77</v>
      </c>
      <c r="K1007" t="s">
        <v>78</v>
      </c>
      <c r="L1007" t="s">
        <v>350</v>
      </c>
      <c r="M1007" t="s">
        <v>351</v>
      </c>
      <c r="N1007" t="s">
        <v>1734</v>
      </c>
      <c r="O1007" t="s">
        <v>82</v>
      </c>
      <c r="P1007" t="str">
        <f>"4170037837                    "</f>
        <v xml:space="preserve">4170037837                    </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21.38</v>
      </c>
      <c r="AR1007">
        <v>0</v>
      </c>
      <c r="AS1007">
        <v>0</v>
      </c>
      <c r="AT1007">
        <v>0</v>
      </c>
      <c r="AU1007">
        <v>0</v>
      </c>
      <c r="AV1007">
        <v>0</v>
      </c>
      <c r="AW1007">
        <v>0</v>
      </c>
      <c r="AX1007">
        <v>0</v>
      </c>
      <c r="AY1007">
        <v>0</v>
      </c>
      <c r="AZ1007">
        <v>0</v>
      </c>
      <c r="BA1007">
        <v>0</v>
      </c>
      <c r="BB1007">
        <v>0</v>
      </c>
      <c r="BC1007">
        <v>0</v>
      </c>
      <c r="BD1007">
        <v>0</v>
      </c>
      <c r="BE1007">
        <v>0</v>
      </c>
      <c r="BF1007">
        <v>0</v>
      </c>
      <c r="BG1007">
        <v>0</v>
      </c>
      <c r="BH1007">
        <v>1</v>
      </c>
      <c r="BI1007">
        <v>1</v>
      </c>
      <c r="BJ1007">
        <v>0.2</v>
      </c>
      <c r="BK1007">
        <v>1</v>
      </c>
      <c r="BL1007">
        <v>69.98</v>
      </c>
      <c r="BM1007">
        <v>10.5</v>
      </c>
      <c r="BN1007">
        <v>80.48</v>
      </c>
      <c r="BO1007">
        <v>80.48</v>
      </c>
      <c r="BQ1007" t="s">
        <v>1735</v>
      </c>
      <c r="BR1007" t="s">
        <v>84</v>
      </c>
      <c r="BS1007" s="3">
        <v>45790</v>
      </c>
      <c r="BT1007" s="4">
        <v>0.41666666666666669</v>
      </c>
      <c r="BU1007" t="s">
        <v>1736</v>
      </c>
      <c r="BV1007" t="s">
        <v>86</v>
      </c>
      <c r="BY1007">
        <v>1200</v>
      </c>
      <c r="CA1007" t="s">
        <v>160</v>
      </c>
      <c r="CC1007" t="s">
        <v>351</v>
      </c>
      <c r="CD1007">
        <v>4001</v>
      </c>
      <c r="CE1007" t="s">
        <v>88</v>
      </c>
      <c r="CF1007" s="3">
        <v>45791</v>
      </c>
      <c r="CI1007">
        <v>1</v>
      </c>
      <c r="CJ1007">
        <v>1</v>
      </c>
      <c r="CK1007">
        <v>21</v>
      </c>
      <c r="CL1007" t="s">
        <v>89</v>
      </c>
    </row>
    <row r="1008" spans="1:90" x14ac:dyDescent="0.3">
      <c r="A1008" t="s">
        <v>72</v>
      </c>
      <c r="B1008" t="s">
        <v>73</v>
      </c>
      <c r="C1008" t="s">
        <v>74</v>
      </c>
      <c r="E1008" t="str">
        <f>"080065326222"</f>
        <v>080065326222</v>
      </c>
      <c r="F1008" s="3">
        <v>45789</v>
      </c>
      <c r="G1008">
        <v>202602</v>
      </c>
      <c r="H1008" t="s">
        <v>75</v>
      </c>
      <c r="I1008" t="s">
        <v>76</v>
      </c>
      <c r="J1008" t="s">
        <v>77</v>
      </c>
      <c r="K1008" t="s">
        <v>78</v>
      </c>
      <c r="L1008" t="s">
        <v>1737</v>
      </c>
      <c r="M1008" t="s">
        <v>1738</v>
      </c>
      <c r="N1008" t="s">
        <v>261</v>
      </c>
      <c r="O1008" t="s">
        <v>82</v>
      </c>
      <c r="P1008" t="str">
        <f>"4170037840                    "</f>
        <v xml:space="preserve">4170037840                    </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41.43</v>
      </c>
      <c r="AR1008">
        <v>0</v>
      </c>
      <c r="AS1008">
        <v>0</v>
      </c>
      <c r="AT1008">
        <v>0</v>
      </c>
      <c r="AU1008">
        <v>0</v>
      </c>
      <c r="AV1008">
        <v>0</v>
      </c>
      <c r="AW1008">
        <v>0</v>
      </c>
      <c r="AX1008">
        <v>0</v>
      </c>
      <c r="AY1008">
        <v>0</v>
      </c>
      <c r="AZ1008">
        <v>0</v>
      </c>
      <c r="BA1008">
        <v>0</v>
      </c>
      <c r="BB1008">
        <v>0</v>
      </c>
      <c r="BC1008">
        <v>0</v>
      </c>
      <c r="BD1008">
        <v>0</v>
      </c>
      <c r="BE1008">
        <v>0</v>
      </c>
      <c r="BF1008">
        <v>0</v>
      </c>
      <c r="BG1008">
        <v>0</v>
      </c>
      <c r="BH1008">
        <v>1</v>
      </c>
      <c r="BI1008">
        <v>2</v>
      </c>
      <c r="BJ1008">
        <v>1.7</v>
      </c>
      <c r="BK1008">
        <v>2</v>
      </c>
      <c r="BL1008">
        <v>135.59</v>
      </c>
      <c r="BM1008">
        <v>20.34</v>
      </c>
      <c r="BN1008">
        <v>155.93</v>
      </c>
      <c r="BO1008">
        <v>155.93</v>
      </c>
      <c r="BQ1008" t="s">
        <v>262</v>
      </c>
      <c r="BR1008" t="s">
        <v>84</v>
      </c>
      <c r="BS1008" s="3">
        <v>45790</v>
      </c>
      <c r="BT1008" s="4">
        <v>0.63541666666666663</v>
      </c>
      <c r="BU1008" t="s">
        <v>1739</v>
      </c>
      <c r="BV1008" t="s">
        <v>86</v>
      </c>
      <c r="BY1008">
        <v>8512</v>
      </c>
      <c r="CA1008" t="s">
        <v>1740</v>
      </c>
      <c r="CC1008" t="s">
        <v>1738</v>
      </c>
      <c r="CD1008">
        <v>9880</v>
      </c>
      <c r="CE1008" t="s">
        <v>116</v>
      </c>
      <c r="CF1008" s="3">
        <v>45791</v>
      </c>
      <c r="CI1008">
        <v>1</v>
      </c>
      <c r="CJ1008">
        <v>1</v>
      </c>
      <c r="CK1008">
        <v>23</v>
      </c>
      <c r="CL1008" t="s">
        <v>89</v>
      </c>
    </row>
    <row r="1009" spans="1:90" x14ac:dyDescent="0.3">
      <c r="A1009" t="s">
        <v>72</v>
      </c>
      <c r="B1009" t="s">
        <v>73</v>
      </c>
      <c r="C1009" t="s">
        <v>74</v>
      </c>
      <c r="E1009" t="str">
        <f>"080065326259"</f>
        <v>080065326259</v>
      </c>
      <c r="F1009" s="3">
        <v>45789</v>
      </c>
      <c r="G1009">
        <v>202602</v>
      </c>
      <c r="H1009" t="s">
        <v>75</v>
      </c>
      <c r="I1009" t="s">
        <v>76</v>
      </c>
      <c r="J1009" t="s">
        <v>77</v>
      </c>
      <c r="K1009" t="s">
        <v>78</v>
      </c>
      <c r="L1009" t="s">
        <v>946</v>
      </c>
      <c r="M1009" t="s">
        <v>947</v>
      </c>
      <c r="N1009" t="s">
        <v>948</v>
      </c>
      <c r="O1009" t="s">
        <v>82</v>
      </c>
      <c r="P1009" t="str">
        <f>"4170037884                    "</f>
        <v xml:space="preserve">4170037884                    </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41.43</v>
      </c>
      <c r="AR1009">
        <v>0</v>
      </c>
      <c r="AS1009">
        <v>0</v>
      </c>
      <c r="AT1009">
        <v>0</v>
      </c>
      <c r="AU1009">
        <v>0</v>
      </c>
      <c r="AV1009">
        <v>0</v>
      </c>
      <c r="AW1009">
        <v>0</v>
      </c>
      <c r="AX1009">
        <v>0</v>
      </c>
      <c r="AY1009">
        <v>0</v>
      </c>
      <c r="AZ1009">
        <v>0</v>
      </c>
      <c r="BA1009">
        <v>0</v>
      </c>
      <c r="BB1009">
        <v>0</v>
      </c>
      <c r="BC1009">
        <v>0</v>
      </c>
      <c r="BD1009">
        <v>0</v>
      </c>
      <c r="BE1009">
        <v>0</v>
      </c>
      <c r="BF1009">
        <v>0</v>
      </c>
      <c r="BG1009">
        <v>0</v>
      </c>
      <c r="BH1009">
        <v>1</v>
      </c>
      <c r="BI1009">
        <v>1</v>
      </c>
      <c r="BJ1009">
        <v>1.1000000000000001</v>
      </c>
      <c r="BK1009">
        <v>1.5</v>
      </c>
      <c r="BL1009">
        <v>135.59</v>
      </c>
      <c r="BM1009">
        <v>20.34</v>
      </c>
      <c r="BN1009">
        <v>155.93</v>
      </c>
      <c r="BO1009">
        <v>155.93</v>
      </c>
      <c r="BQ1009" t="s">
        <v>949</v>
      </c>
      <c r="BR1009" t="s">
        <v>84</v>
      </c>
      <c r="BS1009" s="3">
        <v>45791</v>
      </c>
      <c r="BT1009" s="4">
        <v>0.56666666666666665</v>
      </c>
      <c r="BU1009" t="s">
        <v>950</v>
      </c>
      <c r="BV1009" t="s">
        <v>86</v>
      </c>
      <c r="BY1009">
        <v>5320</v>
      </c>
      <c r="CA1009" t="s">
        <v>951</v>
      </c>
      <c r="CC1009" t="s">
        <v>947</v>
      </c>
      <c r="CD1009">
        <v>4490</v>
      </c>
      <c r="CE1009" t="s">
        <v>116</v>
      </c>
      <c r="CF1009" s="3">
        <v>45791</v>
      </c>
      <c r="CI1009">
        <v>5</v>
      </c>
      <c r="CJ1009">
        <v>2</v>
      </c>
      <c r="CK1009">
        <v>23</v>
      </c>
      <c r="CL1009" t="s">
        <v>89</v>
      </c>
    </row>
    <row r="1010" spans="1:90" x14ac:dyDescent="0.3">
      <c r="A1010" t="s">
        <v>72</v>
      </c>
      <c r="B1010" t="s">
        <v>73</v>
      </c>
      <c r="C1010" t="s">
        <v>74</v>
      </c>
      <c r="E1010" t="str">
        <f>"080065326279"</f>
        <v>080065326279</v>
      </c>
      <c r="F1010" s="3">
        <v>45789</v>
      </c>
      <c r="G1010">
        <v>202602</v>
      </c>
      <c r="H1010" t="s">
        <v>75</v>
      </c>
      <c r="I1010" t="s">
        <v>76</v>
      </c>
      <c r="J1010" t="s">
        <v>77</v>
      </c>
      <c r="K1010" t="s">
        <v>78</v>
      </c>
      <c r="L1010" t="s">
        <v>311</v>
      </c>
      <c r="M1010" t="s">
        <v>312</v>
      </c>
      <c r="N1010" t="s">
        <v>1317</v>
      </c>
      <c r="O1010" t="s">
        <v>82</v>
      </c>
      <c r="P1010" t="str">
        <f>"4170037925                    "</f>
        <v xml:space="preserve">4170037925                    </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P1010">
        <v>0</v>
      </c>
      <c r="AQ1010">
        <v>16.7</v>
      </c>
      <c r="AR1010">
        <v>0</v>
      </c>
      <c r="AS1010">
        <v>0</v>
      </c>
      <c r="AT1010">
        <v>0</v>
      </c>
      <c r="AU1010">
        <v>0</v>
      </c>
      <c r="AV1010">
        <v>0</v>
      </c>
      <c r="AW1010">
        <v>0</v>
      </c>
      <c r="AX1010">
        <v>0</v>
      </c>
      <c r="AY1010">
        <v>0</v>
      </c>
      <c r="AZ1010">
        <v>0</v>
      </c>
      <c r="BA1010">
        <v>0</v>
      </c>
      <c r="BB1010">
        <v>0</v>
      </c>
      <c r="BC1010">
        <v>0</v>
      </c>
      <c r="BD1010">
        <v>0</v>
      </c>
      <c r="BE1010">
        <v>0</v>
      </c>
      <c r="BF1010">
        <v>0</v>
      </c>
      <c r="BG1010">
        <v>0</v>
      </c>
      <c r="BH1010">
        <v>1</v>
      </c>
      <c r="BI1010">
        <v>7</v>
      </c>
      <c r="BJ1010">
        <v>4.0999999999999996</v>
      </c>
      <c r="BK1010">
        <v>7</v>
      </c>
      <c r="BL1010">
        <v>54.66</v>
      </c>
      <c r="BM1010">
        <v>8.1999999999999993</v>
      </c>
      <c r="BN1010">
        <v>62.86</v>
      </c>
      <c r="BO1010">
        <v>62.86</v>
      </c>
      <c r="BQ1010" t="s">
        <v>1318</v>
      </c>
      <c r="BR1010" t="s">
        <v>84</v>
      </c>
      <c r="BS1010" s="3">
        <v>45790</v>
      </c>
      <c r="BT1010" s="4">
        <v>0.41319444444444442</v>
      </c>
      <c r="BU1010" t="s">
        <v>1741</v>
      </c>
      <c r="BV1010" t="s">
        <v>86</v>
      </c>
      <c r="BY1010">
        <v>20358</v>
      </c>
      <c r="CA1010" t="s">
        <v>316</v>
      </c>
      <c r="CC1010" t="s">
        <v>312</v>
      </c>
      <c r="CD1010">
        <v>1500</v>
      </c>
      <c r="CE1010" t="s">
        <v>96</v>
      </c>
      <c r="CF1010" s="3">
        <v>45790</v>
      </c>
      <c r="CI1010">
        <v>1</v>
      </c>
      <c r="CJ1010">
        <v>1</v>
      </c>
      <c r="CK1010">
        <v>22</v>
      </c>
      <c r="CL1010" t="s">
        <v>89</v>
      </c>
    </row>
    <row r="1011" spans="1:90" x14ac:dyDescent="0.3">
      <c r="A1011" t="s">
        <v>72</v>
      </c>
      <c r="B1011" t="s">
        <v>73</v>
      </c>
      <c r="C1011" t="s">
        <v>74</v>
      </c>
      <c r="E1011" t="str">
        <f>"080065326314"</f>
        <v>080065326314</v>
      </c>
      <c r="F1011" s="3">
        <v>45789</v>
      </c>
      <c r="G1011">
        <v>202602</v>
      </c>
      <c r="H1011" t="s">
        <v>75</v>
      </c>
      <c r="I1011" t="s">
        <v>76</v>
      </c>
      <c r="J1011" t="s">
        <v>77</v>
      </c>
      <c r="K1011" t="s">
        <v>78</v>
      </c>
      <c r="L1011" t="s">
        <v>374</v>
      </c>
      <c r="M1011" t="s">
        <v>375</v>
      </c>
      <c r="N1011" t="s">
        <v>376</v>
      </c>
      <c r="O1011" t="s">
        <v>82</v>
      </c>
      <c r="P1011" t="str">
        <f>"4170037859                    "</f>
        <v xml:space="preserve">4170037859                    </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41.43</v>
      </c>
      <c r="AR1011">
        <v>0</v>
      </c>
      <c r="AS1011">
        <v>0</v>
      </c>
      <c r="AT1011">
        <v>0</v>
      </c>
      <c r="AU1011">
        <v>0</v>
      </c>
      <c r="AV1011">
        <v>0</v>
      </c>
      <c r="AW1011">
        <v>0</v>
      </c>
      <c r="AX1011">
        <v>0</v>
      </c>
      <c r="AY1011">
        <v>0</v>
      </c>
      <c r="AZ1011">
        <v>0</v>
      </c>
      <c r="BA1011">
        <v>0</v>
      </c>
      <c r="BB1011">
        <v>0</v>
      </c>
      <c r="BC1011">
        <v>0</v>
      </c>
      <c r="BD1011">
        <v>0</v>
      </c>
      <c r="BE1011">
        <v>0</v>
      </c>
      <c r="BF1011">
        <v>0</v>
      </c>
      <c r="BG1011">
        <v>0</v>
      </c>
      <c r="BH1011">
        <v>1</v>
      </c>
      <c r="BI1011">
        <v>2</v>
      </c>
      <c r="BJ1011">
        <v>0.9</v>
      </c>
      <c r="BK1011">
        <v>2</v>
      </c>
      <c r="BL1011">
        <v>135.59</v>
      </c>
      <c r="BM1011">
        <v>20.34</v>
      </c>
      <c r="BN1011">
        <v>155.93</v>
      </c>
      <c r="BO1011">
        <v>155.93</v>
      </c>
      <c r="BQ1011" t="s">
        <v>377</v>
      </c>
      <c r="BR1011" t="s">
        <v>84</v>
      </c>
      <c r="BS1011" s="3">
        <v>45790</v>
      </c>
      <c r="BT1011" s="4">
        <v>0.52500000000000002</v>
      </c>
      <c r="BU1011" t="s">
        <v>1601</v>
      </c>
      <c r="BV1011" t="s">
        <v>86</v>
      </c>
      <c r="BY1011">
        <v>4680</v>
      </c>
      <c r="CA1011" t="s">
        <v>379</v>
      </c>
      <c r="CC1011" t="s">
        <v>375</v>
      </c>
      <c r="CD1011">
        <v>7130</v>
      </c>
      <c r="CE1011" t="s">
        <v>96</v>
      </c>
      <c r="CF1011" s="3">
        <v>45791</v>
      </c>
      <c r="CI1011">
        <v>1</v>
      </c>
      <c r="CJ1011">
        <v>1</v>
      </c>
      <c r="CK1011">
        <v>23</v>
      </c>
      <c r="CL1011" t="s">
        <v>89</v>
      </c>
    </row>
    <row r="1012" spans="1:90" x14ac:dyDescent="0.3">
      <c r="A1012" t="s">
        <v>72</v>
      </c>
      <c r="B1012" t="s">
        <v>73</v>
      </c>
      <c r="C1012" t="s">
        <v>74</v>
      </c>
      <c r="E1012" t="str">
        <f>"080065326326"</f>
        <v>080065326326</v>
      </c>
      <c r="F1012" s="3">
        <v>45789</v>
      </c>
      <c r="G1012">
        <v>202602</v>
      </c>
      <c r="H1012" t="s">
        <v>75</v>
      </c>
      <c r="I1012" t="s">
        <v>76</v>
      </c>
      <c r="J1012" t="s">
        <v>77</v>
      </c>
      <c r="K1012" t="s">
        <v>78</v>
      </c>
      <c r="L1012" t="s">
        <v>130</v>
      </c>
      <c r="M1012" t="s">
        <v>131</v>
      </c>
      <c r="N1012" t="s">
        <v>751</v>
      </c>
      <c r="O1012" t="s">
        <v>82</v>
      </c>
      <c r="P1012" t="str">
        <f>"4170038007                    "</f>
        <v xml:space="preserve">4170038007                    </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c r="AP1012">
        <v>0</v>
      </c>
      <c r="AQ1012">
        <v>21.38</v>
      </c>
      <c r="AR1012">
        <v>0</v>
      </c>
      <c r="AS1012">
        <v>0</v>
      </c>
      <c r="AT1012">
        <v>0</v>
      </c>
      <c r="AU1012">
        <v>0</v>
      </c>
      <c r="AV1012">
        <v>0</v>
      </c>
      <c r="AW1012">
        <v>0</v>
      </c>
      <c r="AX1012">
        <v>0</v>
      </c>
      <c r="AY1012">
        <v>0</v>
      </c>
      <c r="AZ1012">
        <v>0</v>
      </c>
      <c r="BA1012">
        <v>0</v>
      </c>
      <c r="BB1012">
        <v>0</v>
      </c>
      <c r="BC1012">
        <v>0</v>
      </c>
      <c r="BD1012">
        <v>0</v>
      </c>
      <c r="BE1012">
        <v>0</v>
      </c>
      <c r="BF1012">
        <v>0</v>
      </c>
      <c r="BG1012">
        <v>0</v>
      </c>
      <c r="BH1012">
        <v>1</v>
      </c>
      <c r="BI1012">
        <v>1</v>
      </c>
      <c r="BJ1012">
        <v>0.6</v>
      </c>
      <c r="BK1012">
        <v>1</v>
      </c>
      <c r="BL1012">
        <v>69.98</v>
      </c>
      <c r="BM1012">
        <v>10.5</v>
      </c>
      <c r="BN1012">
        <v>80.48</v>
      </c>
      <c r="BO1012">
        <v>80.48</v>
      </c>
      <c r="BQ1012" t="s">
        <v>752</v>
      </c>
      <c r="BR1012" t="s">
        <v>84</v>
      </c>
      <c r="BS1012" s="3">
        <v>45790</v>
      </c>
      <c r="BT1012" s="4">
        <v>0.5</v>
      </c>
      <c r="BU1012" t="s">
        <v>1742</v>
      </c>
      <c r="BV1012" t="s">
        <v>89</v>
      </c>
      <c r="BW1012" t="s">
        <v>340</v>
      </c>
      <c r="BX1012" t="s">
        <v>618</v>
      </c>
      <c r="BY1012">
        <v>3192</v>
      </c>
      <c r="CA1012" t="s">
        <v>1743</v>
      </c>
      <c r="CC1012" t="s">
        <v>131</v>
      </c>
      <c r="CD1012">
        <v>7535</v>
      </c>
      <c r="CE1012" t="s">
        <v>116</v>
      </c>
      <c r="CF1012" s="3">
        <v>45791</v>
      </c>
      <c r="CI1012">
        <v>1</v>
      </c>
      <c r="CJ1012">
        <v>1</v>
      </c>
      <c r="CK1012">
        <v>21</v>
      </c>
      <c r="CL1012" t="s">
        <v>89</v>
      </c>
    </row>
    <row r="1013" spans="1:90" x14ac:dyDescent="0.3">
      <c r="A1013" t="s">
        <v>72</v>
      </c>
      <c r="B1013" t="s">
        <v>73</v>
      </c>
      <c r="C1013" t="s">
        <v>74</v>
      </c>
      <c r="E1013" t="str">
        <f>"080065326356"</f>
        <v>080065326356</v>
      </c>
      <c r="F1013" s="3">
        <v>45789</v>
      </c>
      <c r="G1013">
        <v>202602</v>
      </c>
      <c r="H1013" t="s">
        <v>75</v>
      </c>
      <c r="I1013" t="s">
        <v>76</v>
      </c>
      <c r="J1013" t="s">
        <v>77</v>
      </c>
      <c r="K1013" t="s">
        <v>78</v>
      </c>
      <c r="L1013" t="s">
        <v>972</v>
      </c>
      <c r="M1013" t="s">
        <v>973</v>
      </c>
      <c r="N1013" t="s">
        <v>1744</v>
      </c>
      <c r="O1013" t="s">
        <v>82</v>
      </c>
      <c r="P1013" t="str">
        <f>"4170037927                    "</f>
        <v xml:space="preserve">4170037927                    </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16.7</v>
      </c>
      <c r="AR1013">
        <v>0</v>
      </c>
      <c r="AS1013">
        <v>0</v>
      </c>
      <c r="AT1013">
        <v>0</v>
      </c>
      <c r="AU1013">
        <v>0</v>
      </c>
      <c r="AV1013">
        <v>0</v>
      </c>
      <c r="AW1013">
        <v>0</v>
      </c>
      <c r="AX1013">
        <v>0</v>
      </c>
      <c r="AY1013">
        <v>0</v>
      </c>
      <c r="AZ1013">
        <v>0</v>
      </c>
      <c r="BA1013">
        <v>0</v>
      </c>
      <c r="BB1013">
        <v>0</v>
      </c>
      <c r="BC1013">
        <v>0</v>
      </c>
      <c r="BD1013">
        <v>0</v>
      </c>
      <c r="BE1013">
        <v>0</v>
      </c>
      <c r="BF1013">
        <v>0</v>
      </c>
      <c r="BG1013">
        <v>0</v>
      </c>
      <c r="BH1013">
        <v>1</v>
      </c>
      <c r="BI1013">
        <v>1</v>
      </c>
      <c r="BJ1013">
        <v>0.6</v>
      </c>
      <c r="BK1013">
        <v>1</v>
      </c>
      <c r="BL1013">
        <v>54.66</v>
      </c>
      <c r="BM1013">
        <v>8.1999999999999993</v>
      </c>
      <c r="BN1013">
        <v>62.86</v>
      </c>
      <c r="BO1013">
        <v>62.86</v>
      </c>
      <c r="BQ1013" t="s">
        <v>1745</v>
      </c>
      <c r="BR1013" t="s">
        <v>84</v>
      </c>
      <c r="BS1013" s="3">
        <v>45790</v>
      </c>
      <c r="BT1013" s="4">
        <v>0.3527777777777778</v>
      </c>
      <c r="BU1013" t="s">
        <v>1351</v>
      </c>
      <c r="BV1013" t="s">
        <v>86</v>
      </c>
      <c r="BY1013">
        <v>3192</v>
      </c>
      <c r="CA1013" t="s">
        <v>1596</v>
      </c>
      <c r="CC1013" t="s">
        <v>973</v>
      </c>
      <c r="CD1013">
        <v>1709</v>
      </c>
      <c r="CE1013" t="s">
        <v>116</v>
      </c>
      <c r="CF1013" s="3">
        <v>45791</v>
      </c>
      <c r="CI1013">
        <v>1</v>
      </c>
      <c r="CJ1013">
        <v>1</v>
      </c>
      <c r="CK1013">
        <v>22</v>
      </c>
      <c r="CL1013" t="s">
        <v>89</v>
      </c>
    </row>
    <row r="1014" spans="1:90" x14ac:dyDescent="0.3">
      <c r="A1014" t="s">
        <v>72</v>
      </c>
      <c r="B1014" t="s">
        <v>73</v>
      </c>
      <c r="C1014" t="s">
        <v>74</v>
      </c>
      <c r="E1014" t="str">
        <f>"080065326383"</f>
        <v>080065326383</v>
      </c>
      <c r="F1014" s="3">
        <v>45789</v>
      </c>
      <c r="G1014">
        <v>202602</v>
      </c>
      <c r="H1014" t="s">
        <v>75</v>
      </c>
      <c r="I1014" t="s">
        <v>76</v>
      </c>
      <c r="J1014" t="s">
        <v>77</v>
      </c>
      <c r="K1014" t="s">
        <v>78</v>
      </c>
      <c r="L1014" t="s">
        <v>75</v>
      </c>
      <c r="M1014" t="s">
        <v>76</v>
      </c>
      <c r="N1014" t="s">
        <v>183</v>
      </c>
      <c r="O1014" t="s">
        <v>82</v>
      </c>
      <c r="P1014" t="str">
        <f>"4170037839                    "</f>
        <v xml:space="preserve">4170037839                    </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16.7</v>
      </c>
      <c r="AR1014">
        <v>0</v>
      </c>
      <c r="AS1014">
        <v>0</v>
      </c>
      <c r="AT1014">
        <v>0</v>
      </c>
      <c r="AU1014">
        <v>0</v>
      </c>
      <c r="AV1014">
        <v>0</v>
      </c>
      <c r="AW1014">
        <v>0</v>
      </c>
      <c r="AX1014">
        <v>0</v>
      </c>
      <c r="AY1014">
        <v>0</v>
      </c>
      <c r="AZ1014">
        <v>0</v>
      </c>
      <c r="BA1014">
        <v>0</v>
      </c>
      <c r="BB1014">
        <v>0</v>
      </c>
      <c r="BC1014">
        <v>0</v>
      </c>
      <c r="BD1014">
        <v>0</v>
      </c>
      <c r="BE1014">
        <v>0</v>
      </c>
      <c r="BF1014">
        <v>0</v>
      </c>
      <c r="BG1014">
        <v>0</v>
      </c>
      <c r="BH1014">
        <v>1</v>
      </c>
      <c r="BI1014">
        <v>2</v>
      </c>
      <c r="BJ1014">
        <v>2</v>
      </c>
      <c r="BK1014">
        <v>2</v>
      </c>
      <c r="BL1014">
        <v>54.66</v>
      </c>
      <c r="BM1014">
        <v>8.1999999999999993</v>
      </c>
      <c r="BN1014">
        <v>62.86</v>
      </c>
      <c r="BO1014">
        <v>62.86</v>
      </c>
      <c r="BQ1014" t="s">
        <v>184</v>
      </c>
      <c r="BR1014" t="s">
        <v>84</v>
      </c>
      <c r="BS1014" s="3">
        <v>45790</v>
      </c>
      <c r="BT1014" s="4">
        <v>0.32291666666666669</v>
      </c>
      <c r="BU1014" t="s">
        <v>1732</v>
      </c>
      <c r="BV1014" t="s">
        <v>86</v>
      </c>
      <c r="BY1014">
        <v>9918</v>
      </c>
      <c r="CA1014" t="s">
        <v>115</v>
      </c>
      <c r="CC1014" t="s">
        <v>76</v>
      </c>
      <c r="CD1014">
        <v>1600</v>
      </c>
      <c r="CE1014" t="s">
        <v>96</v>
      </c>
      <c r="CF1014" s="3">
        <v>45790</v>
      </c>
      <c r="CI1014">
        <v>1</v>
      </c>
      <c r="CJ1014">
        <v>1</v>
      </c>
      <c r="CK1014">
        <v>22</v>
      </c>
      <c r="CL1014" t="s">
        <v>89</v>
      </c>
    </row>
    <row r="1015" spans="1:90" x14ac:dyDescent="0.3">
      <c r="A1015" t="s">
        <v>72</v>
      </c>
      <c r="B1015" t="s">
        <v>73</v>
      </c>
      <c r="C1015" t="s">
        <v>74</v>
      </c>
      <c r="E1015" t="str">
        <f>"080065326426"</f>
        <v>080065326426</v>
      </c>
      <c r="F1015" s="3">
        <v>45789</v>
      </c>
      <c r="G1015">
        <v>202602</v>
      </c>
      <c r="H1015" t="s">
        <v>75</v>
      </c>
      <c r="I1015" t="s">
        <v>76</v>
      </c>
      <c r="J1015" t="s">
        <v>77</v>
      </c>
      <c r="K1015" t="s">
        <v>78</v>
      </c>
      <c r="L1015" t="s">
        <v>90</v>
      </c>
      <c r="M1015" t="s">
        <v>91</v>
      </c>
      <c r="N1015" t="s">
        <v>1211</v>
      </c>
      <c r="O1015" t="s">
        <v>82</v>
      </c>
      <c r="P1015" t="str">
        <f>"4170037858                    "</f>
        <v xml:space="preserve">4170037858                    </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21.38</v>
      </c>
      <c r="AR1015">
        <v>0</v>
      </c>
      <c r="AS1015">
        <v>0</v>
      </c>
      <c r="AT1015">
        <v>0</v>
      </c>
      <c r="AU1015">
        <v>0</v>
      </c>
      <c r="AV1015">
        <v>0</v>
      </c>
      <c r="AW1015">
        <v>0</v>
      </c>
      <c r="AX1015">
        <v>0</v>
      </c>
      <c r="AY1015">
        <v>0</v>
      </c>
      <c r="AZ1015">
        <v>0</v>
      </c>
      <c r="BA1015">
        <v>0</v>
      </c>
      <c r="BB1015">
        <v>0</v>
      </c>
      <c r="BC1015">
        <v>0</v>
      </c>
      <c r="BD1015">
        <v>0</v>
      </c>
      <c r="BE1015">
        <v>0</v>
      </c>
      <c r="BF1015">
        <v>0</v>
      </c>
      <c r="BG1015">
        <v>0</v>
      </c>
      <c r="BH1015">
        <v>1</v>
      </c>
      <c r="BI1015">
        <v>1</v>
      </c>
      <c r="BJ1015">
        <v>1.5</v>
      </c>
      <c r="BK1015">
        <v>1.5</v>
      </c>
      <c r="BL1015">
        <v>69.98</v>
      </c>
      <c r="BM1015">
        <v>10.5</v>
      </c>
      <c r="BN1015">
        <v>80.48</v>
      </c>
      <c r="BO1015">
        <v>80.48</v>
      </c>
      <c r="BQ1015" t="s">
        <v>1212</v>
      </c>
      <c r="BR1015" t="s">
        <v>84</v>
      </c>
      <c r="BS1015" s="3">
        <v>45790</v>
      </c>
      <c r="BT1015" s="4">
        <v>0.42916666666666664</v>
      </c>
      <c r="BU1015" t="s">
        <v>1746</v>
      </c>
      <c r="BV1015" t="s">
        <v>86</v>
      </c>
      <c r="BY1015">
        <v>7540</v>
      </c>
      <c r="CA1015" t="s">
        <v>943</v>
      </c>
      <c r="CC1015" t="s">
        <v>91</v>
      </c>
      <c r="CD1015">
        <v>6012</v>
      </c>
      <c r="CE1015" t="s">
        <v>96</v>
      </c>
      <c r="CF1015" s="3">
        <v>45790</v>
      </c>
      <c r="CI1015">
        <v>1</v>
      </c>
      <c r="CJ1015">
        <v>1</v>
      </c>
      <c r="CK1015">
        <v>21</v>
      </c>
      <c r="CL1015" t="s">
        <v>89</v>
      </c>
    </row>
    <row r="1016" spans="1:90" x14ac:dyDescent="0.3">
      <c r="A1016" t="s">
        <v>72</v>
      </c>
      <c r="B1016" t="s">
        <v>73</v>
      </c>
      <c r="C1016" t="s">
        <v>74</v>
      </c>
      <c r="E1016" t="str">
        <f>"080065326490"</f>
        <v>080065326490</v>
      </c>
      <c r="F1016" s="3">
        <v>45789</v>
      </c>
      <c r="G1016">
        <v>202602</v>
      </c>
      <c r="H1016" t="s">
        <v>75</v>
      </c>
      <c r="I1016" t="s">
        <v>76</v>
      </c>
      <c r="J1016" t="s">
        <v>77</v>
      </c>
      <c r="K1016" t="s">
        <v>78</v>
      </c>
      <c r="L1016" t="s">
        <v>136</v>
      </c>
      <c r="M1016" t="s">
        <v>137</v>
      </c>
      <c r="N1016" t="s">
        <v>1235</v>
      </c>
      <c r="O1016" t="s">
        <v>300</v>
      </c>
      <c r="P1016" t="str">
        <f>"4170037962                    "</f>
        <v xml:space="preserve">4170037962                    </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c r="AQ1016">
        <v>41.35</v>
      </c>
      <c r="AR1016">
        <v>0</v>
      </c>
      <c r="AS1016">
        <v>0</v>
      </c>
      <c r="AT1016">
        <v>0</v>
      </c>
      <c r="AU1016">
        <v>0</v>
      </c>
      <c r="AV1016">
        <v>0</v>
      </c>
      <c r="AW1016">
        <v>0</v>
      </c>
      <c r="AX1016">
        <v>0</v>
      </c>
      <c r="AY1016">
        <v>0</v>
      </c>
      <c r="AZ1016">
        <v>0</v>
      </c>
      <c r="BA1016">
        <v>0</v>
      </c>
      <c r="BB1016">
        <v>0</v>
      </c>
      <c r="BC1016">
        <v>0</v>
      </c>
      <c r="BD1016">
        <v>0</v>
      </c>
      <c r="BE1016">
        <v>0</v>
      </c>
      <c r="BF1016">
        <v>0</v>
      </c>
      <c r="BG1016">
        <v>0</v>
      </c>
      <c r="BH1016">
        <v>1</v>
      </c>
      <c r="BI1016">
        <v>5</v>
      </c>
      <c r="BJ1016">
        <v>1.5</v>
      </c>
      <c r="BK1016">
        <v>5</v>
      </c>
      <c r="BL1016">
        <v>140.9</v>
      </c>
      <c r="BM1016">
        <v>21.14</v>
      </c>
      <c r="BN1016">
        <v>162.04</v>
      </c>
      <c r="BO1016">
        <v>162.04</v>
      </c>
      <c r="BQ1016" t="s">
        <v>1236</v>
      </c>
      <c r="BR1016" t="s">
        <v>84</v>
      </c>
      <c r="BS1016" s="3">
        <v>45790</v>
      </c>
      <c r="BT1016" s="4">
        <v>0.33888888888888891</v>
      </c>
      <c r="BU1016" t="s">
        <v>1604</v>
      </c>
      <c r="BV1016" t="s">
        <v>86</v>
      </c>
      <c r="BY1016">
        <v>7540</v>
      </c>
      <c r="CA1016" t="s">
        <v>1238</v>
      </c>
      <c r="CC1016" t="s">
        <v>137</v>
      </c>
      <c r="CD1016" s="5" t="s">
        <v>1239</v>
      </c>
      <c r="CE1016" t="s">
        <v>96</v>
      </c>
      <c r="CF1016" s="3">
        <v>45790</v>
      </c>
      <c r="CI1016">
        <v>1</v>
      </c>
      <c r="CJ1016">
        <v>1</v>
      </c>
      <c r="CK1016">
        <v>41</v>
      </c>
      <c r="CL1016" t="s">
        <v>89</v>
      </c>
    </row>
    <row r="1017" spans="1:90" x14ac:dyDescent="0.3">
      <c r="A1017" t="s">
        <v>72</v>
      </c>
      <c r="B1017" t="s">
        <v>73</v>
      </c>
      <c r="C1017" t="s">
        <v>74</v>
      </c>
      <c r="E1017" t="str">
        <f>"080065326585"</f>
        <v>080065326585</v>
      </c>
      <c r="F1017" s="3">
        <v>45789</v>
      </c>
      <c r="G1017">
        <v>202602</v>
      </c>
      <c r="H1017" t="s">
        <v>75</v>
      </c>
      <c r="I1017" t="s">
        <v>76</v>
      </c>
      <c r="J1017" t="s">
        <v>77</v>
      </c>
      <c r="K1017" t="s">
        <v>78</v>
      </c>
      <c r="L1017" t="s">
        <v>350</v>
      </c>
      <c r="M1017" t="s">
        <v>351</v>
      </c>
      <c r="N1017" t="s">
        <v>1082</v>
      </c>
      <c r="O1017" t="s">
        <v>300</v>
      </c>
      <c r="P1017" t="str">
        <f>"4170037989                    "</f>
        <v xml:space="preserve">4170037989                    </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44.77</v>
      </c>
      <c r="AR1017">
        <v>0</v>
      </c>
      <c r="AS1017">
        <v>0</v>
      </c>
      <c r="AT1017">
        <v>0</v>
      </c>
      <c r="AU1017">
        <v>0</v>
      </c>
      <c r="AV1017">
        <v>0</v>
      </c>
      <c r="AW1017">
        <v>0</v>
      </c>
      <c r="AX1017">
        <v>0</v>
      </c>
      <c r="AY1017">
        <v>0</v>
      </c>
      <c r="AZ1017">
        <v>0</v>
      </c>
      <c r="BA1017">
        <v>0</v>
      </c>
      <c r="BB1017">
        <v>0</v>
      </c>
      <c r="BC1017">
        <v>0</v>
      </c>
      <c r="BD1017">
        <v>0</v>
      </c>
      <c r="BE1017">
        <v>0</v>
      </c>
      <c r="BF1017">
        <v>0</v>
      </c>
      <c r="BG1017">
        <v>0</v>
      </c>
      <c r="BH1017">
        <v>1</v>
      </c>
      <c r="BI1017">
        <v>17</v>
      </c>
      <c r="BJ1017">
        <v>16.899999999999999</v>
      </c>
      <c r="BK1017">
        <v>17</v>
      </c>
      <c r="BL1017">
        <v>152.08000000000001</v>
      </c>
      <c r="BM1017">
        <v>22.81</v>
      </c>
      <c r="BN1017">
        <v>174.89</v>
      </c>
      <c r="BO1017">
        <v>174.89</v>
      </c>
      <c r="BQ1017" t="s">
        <v>1083</v>
      </c>
      <c r="BR1017" t="s">
        <v>84</v>
      </c>
      <c r="BS1017" s="3">
        <v>45790</v>
      </c>
      <c r="BT1017" s="4">
        <v>0.56944444444444442</v>
      </c>
      <c r="BU1017" t="s">
        <v>1747</v>
      </c>
      <c r="BV1017" t="s">
        <v>86</v>
      </c>
      <c r="BY1017">
        <v>84700</v>
      </c>
      <c r="CA1017" t="s">
        <v>1748</v>
      </c>
      <c r="CC1017" t="s">
        <v>351</v>
      </c>
      <c r="CD1017">
        <v>4001</v>
      </c>
      <c r="CE1017" t="s">
        <v>1296</v>
      </c>
      <c r="CF1017" s="3">
        <v>45791</v>
      </c>
      <c r="CI1017">
        <v>1</v>
      </c>
      <c r="CJ1017">
        <v>1</v>
      </c>
      <c r="CK1017">
        <v>41</v>
      </c>
      <c r="CL1017" t="s">
        <v>89</v>
      </c>
    </row>
    <row r="1018" spans="1:90" x14ac:dyDescent="0.3">
      <c r="A1018" t="s">
        <v>72</v>
      </c>
      <c r="B1018" t="s">
        <v>73</v>
      </c>
      <c r="C1018" t="s">
        <v>74</v>
      </c>
      <c r="E1018" t="str">
        <f>"080065327120"</f>
        <v>080065327120</v>
      </c>
      <c r="F1018" s="3">
        <v>45789</v>
      </c>
      <c r="G1018">
        <v>202602</v>
      </c>
      <c r="H1018" t="s">
        <v>75</v>
      </c>
      <c r="I1018" t="s">
        <v>76</v>
      </c>
      <c r="J1018" t="s">
        <v>77</v>
      </c>
      <c r="K1018" t="s">
        <v>78</v>
      </c>
      <c r="L1018" t="s">
        <v>130</v>
      </c>
      <c r="M1018" t="s">
        <v>131</v>
      </c>
      <c r="N1018" t="s">
        <v>1619</v>
      </c>
      <c r="O1018" t="s">
        <v>300</v>
      </c>
      <c r="P1018" t="str">
        <f>"4170037695                    "</f>
        <v xml:space="preserve">4170037695                    </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77.2</v>
      </c>
      <c r="AR1018">
        <v>0</v>
      </c>
      <c r="AS1018">
        <v>0</v>
      </c>
      <c r="AT1018">
        <v>0</v>
      </c>
      <c r="AU1018">
        <v>0</v>
      </c>
      <c r="AV1018">
        <v>0</v>
      </c>
      <c r="AW1018">
        <v>0</v>
      </c>
      <c r="AX1018">
        <v>0</v>
      </c>
      <c r="AY1018">
        <v>0</v>
      </c>
      <c r="AZ1018">
        <v>0</v>
      </c>
      <c r="BA1018">
        <v>0</v>
      </c>
      <c r="BB1018">
        <v>0</v>
      </c>
      <c r="BC1018">
        <v>0</v>
      </c>
      <c r="BD1018">
        <v>0</v>
      </c>
      <c r="BE1018">
        <v>0</v>
      </c>
      <c r="BF1018">
        <v>0</v>
      </c>
      <c r="BG1018">
        <v>0</v>
      </c>
      <c r="BH1018">
        <v>4</v>
      </c>
      <c r="BI1018">
        <v>36</v>
      </c>
      <c r="BJ1018">
        <v>16.899999999999999</v>
      </c>
      <c r="BK1018">
        <v>36</v>
      </c>
      <c r="BL1018">
        <v>258.23</v>
      </c>
      <c r="BM1018">
        <v>38.729999999999997</v>
      </c>
      <c r="BN1018">
        <v>296.95999999999998</v>
      </c>
      <c r="BO1018">
        <v>296.95999999999998</v>
      </c>
      <c r="BQ1018" t="s">
        <v>1620</v>
      </c>
      <c r="BR1018" t="s">
        <v>84</v>
      </c>
      <c r="BS1018" s="3">
        <v>45791</v>
      </c>
      <c r="BT1018" s="4">
        <v>0.5083333333333333</v>
      </c>
      <c r="BU1018" t="s">
        <v>1749</v>
      </c>
      <c r="BV1018" t="s">
        <v>86</v>
      </c>
      <c r="BY1018">
        <v>21120</v>
      </c>
      <c r="CA1018" t="s">
        <v>784</v>
      </c>
      <c r="CC1018" t="s">
        <v>131</v>
      </c>
      <c r="CD1018">
        <v>7405</v>
      </c>
      <c r="CE1018" t="s">
        <v>576</v>
      </c>
      <c r="CF1018" s="3">
        <v>45792</v>
      </c>
      <c r="CI1018">
        <v>3</v>
      </c>
      <c r="CJ1018">
        <v>2</v>
      </c>
      <c r="CK1018">
        <v>41</v>
      </c>
      <c r="CL1018" t="s">
        <v>89</v>
      </c>
    </row>
    <row r="1019" spans="1:90" x14ac:dyDescent="0.3">
      <c r="A1019" t="s">
        <v>72</v>
      </c>
      <c r="B1019" t="s">
        <v>73</v>
      </c>
      <c r="C1019" t="s">
        <v>74</v>
      </c>
      <c r="E1019" t="str">
        <f>"080065327146"</f>
        <v>080065327146</v>
      </c>
      <c r="F1019" s="3">
        <v>45789</v>
      </c>
      <c r="G1019">
        <v>202602</v>
      </c>
      <c r="H1019" t="s">
        <v>75</v>
      </c>
      <c r="I1019" t="s">
        <v>76</v>
      </c>
      <c r="J1019" t="s">
        <v>77</v>
      </c>
      <c r="K1019" t="s">
        <v>78</v>
      </c>
      <c r="L1019" t="s">
        <v>90</v>
      </c>
      <c r="M1019" t="s">
        <v>91</v>
      </c>
      <c r="N1019" t="s">
        <v>385</v>
      </c>
      <c r="O1019" t="s">
        <v>82</v>
      </c>
      <c r="P1019" t="str">
        <f>"4170037966                    "</f>
        <v xml:space="preserve">4170037966                    </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21.38</v>
      </c>
      <c r="AR1019">
        <v>0</v>
      </c>
      <c r="AS1019">
        <v>0</v>
      </c>
      <c r="AT1019">
        <v>0</v>
      </c>
      <c r="AU1019">
        <v>0</v>
      </c>
      <c r="AV1019">
        <v>0</v>
      </c>
      <c r="AW1019">
        <v>0</v>
      </c>
      <c r="AX1019">
        <v>0</v>
      </c>
      <c r="AY1019">
        <v>0</v>
      </c>
      <c r="AZ1019">
        <v>0</v>
      </c>
      <c r="BA1019">
        <v>0</v>
      </c>
      <c r="BB1019">
        <v>0</v>
      </c>
      <c r="BC1019">
        <v>0</v>
      </c>
      <c r="BD1019">
        <v>0</v>
      </c>
      <c r="BE1019">
        <v>0</v>
      </c>
      <c r="BF1019">
        <v>0</v>
      </c>
      <c r="BG1019">
        <v>0</v>
      </c>
      <c r="BH1019">
        <v>1</v>
      </c>
      <c r="BI1019">
        <v>1</v>
      </c>
      <c r="BJ1019">
        <v>0.2</v>
      </c>
      <c r="BK1019">
        <v>1</v>
      </c>
      <c r="BL1019">
        <v>69.98</v>
      </c>
      <c r="BM1019">
        <v>10.5</v>
      </c>
      <c r="BN1019">
        <v>80.48</v>
      </c>
      <c r="BO1019">
        <v>80.48</v>
      </c>
      <c r="BQ1019" t="s">
        <v>386</v>
      </c>
      <c r="BR1019" t="s">
        <v>84</v>
      </c>
      <c r="BS1019" s="3">
        <v>45790</v>
      </c>
      <c r="BT1019" s="4">
        <v>0.3972222222222222</v>
      </c>
      <c r="BU1019" t="s">
        <v>387</v>
      </c>
      <c r="BV1019" t="s">
        <v>86</v>
      </c>
      <c r="BY1019">
        <v>1200</v>
      </c>
      <c r="CA1019" t="s">
        <v>95</v>
      </c>
      <c r="CC1019" t="s">
        <v>91</v>
      </c>
      <c r="CD1019">
        <v>6056</v>
      </c>
      <c r="CE1019" t="s">
        <v>88</v>
      </c>
      <c r="CF1019" s="3">
        <v>45790</v>
      </c>
      <c r="CI1019">
        <v>1</v>
      </c>
      <c r="CJ1019">
        <v>1</v>
      </c>
      <c r="CK1019">
        <v>21</v>
      </c>
      <c r="CL1019" t="s">
        <v>89</v>
      </c>
    </row>
    <row r="1020" spans="1:90" x14ac:dyDescent="0.3">
      <c r="A1020" t="s">
        <v>72</v>
      </c>
      <c r="B1020" t="s">
        <v>73</v>
      </c>
      <c r="C1020" t="s">
        <v>74</v>
      </c>
      <c r="E1020" t="str">
        <f>"080065327193"</f>
        <v>080065327193</v>
      </c>
      <c r="F1020" s="3">
        <v>45789</v>
      </c>
      <c r="G1020">
        <v>202602</v>
      </c>
      <c r="H1020" t="s">
        <v>75</v>
      </c>
      <c r="I1020" t="s">
        <v>76</v>
      </c>
      <c r="J1020" t="s">
        <v>77</v>
      </c>
      <c r="K1020" t="s">
        <v>78</v>
      </c>
      <c r="L1020" t="s">
        <v>502</v>
      </c>
      <c r="M1020" t="s">
        <v>503</v>
      </c>
      <c r="N1020" t="s">
        <v>504</v>
      </c>
      <c r="O1020" t="s">
        <v>82</v>
      </c>
      <c r="P1020" t="str">
        <f>"4170037861                    "</f>
        <v xml:space="preserve">4170037861                    </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P1020">
        <v>0</v>
      </c>
      <c r="AQ1020">
        <v>41.43</v>
      </c>
      <c r="AR1020">
        <v>0</v>
      </c>
      <c r="AS1020">
        <v>0</v>
      </c>
      <c r="AT1020">
        <v>0</v>
      </c>
      <c r="AU1020">
        <v>0</v>
      </c>
      <c r="AV1020">
        <v>0</v>
      </c>
      <c r="AW1020">
        <v>0</v>
      </c>
      <c r="AX1020">
        <v>0</v>
      </c>
      <c r="AY1020">
        <v>0</v>
      </c>
      <c r="AZ1020">
        <v>0</v>
      </c>
      <c r="BA1020">
        <v>0</v>
      </c>
      <c r="BB1020">
        <v>0</v>
      </c>
      <c r="BC1020">
        <v>0</v>
      </c>
      <c r="BD1020">
        <v>0</v>
      </c>
      <c r="BE1020">
        <v>0</v>
      </c>
      <c r="BF1020">
        <v>0</v>
      </c>
      <c r="BG1020">
        <v>0</v>
      </c>
      <c r="BH1020">
        <v>1</v>
      </c>
      <c r="BI1020">
        <v>1</v>
      </c>
      <c r="BJ1020">
        <v>0.2</v>
      </c>
      <c r="BK1020">
        <v>1</v>
      </c>
      <c r="BL1020">
        <v>135.59</v>
      </c>
      <c r="BM1020">
        <v>20.34</v>
      </c>
      <c r="BN1020">
        <v>155.93</v>
      </c>
      <c r="BO1020">
        <v>155.93</v>
      </c>
      <c r="BQ1020" t="s">
        <v>505</v>
      </c>
      <c r="BR1020" t="s">
        <v>84</v>
      </c>
      <c r="BS1020" s="3">
        <v>45790</v>
      </c>
      <c r="BT1020" s="4">
        <v>0.47222222222222221</v>
      </c>
      <c r="BU1020" t="s">
        <v>506</v>
      </c>
      <c r="BV1020" t="s">
        <v>86</v>
      </c>
      <c r="BY1020">
        <v>1200</v>
      </c>
      <c r="CA1020" t="s">
        <v>507</v>
      </c>
      <c r="CC1020" t="s">
        <v>503</v>
      </c>
      <c r="CD1020">
        <v>3370</v>
      </c>
      <c r="CE1020" t="s">
        <v>88</v>
      </c>
      <c r="CF1020" s="3">
        <v>45791</v>
      </c>
      <c r="CI1020">
        <v>2</v>
      </c>
      <c r="CJ1020">
        <v>1</v>
      </c>
      <c r="CK1020">
        <v>23</v>
      </c>
      <c r="CL1020" t="s">
        <v>89</v>
      </c>
    </row>
    <row r="1021" spans="1:90" x14ac:dyDescent="0.3">
      <c r="A1021" t="s">
        <v>72</v>
      </c>
      <c r="B1021" t="s">
        <v>73</v>
      </c>
      <c r="C1021" t="s">
        <v>74</v>
      </c>
      <c r="E1021" t="str">
        <f>"080065327204"</f>
        <v>080065327204</v>
      </c>
      <c r="F1021" s="3">
        <v>45789</v>
      </c>
      <c r="G1021">
        <v>202602</v>
      </c>
      <c r="H1021" t="s">
        <v>75</v>
      </c>
      <c r="I1021" t="s">
        <v>76</v>
      </c>
      <c r="J1021" t="s">
        <v>77</v>
      </c>
      <c r="K1021" t="s">
        <v>78</v>
      </c>
      <c r="L1021" t="s">
        <v>266</v>
      </c>
      <c r="M1021" t="s">
        <v>267</v>
      </c>
      <c r="N1021" t="s">
        <v>1750</v>
      </c>
      <c r="O1021" t="s">
        <v>82</v>
      </c>
      <c r="P1021" t="str">
        <f>"4170037990                    "</f>
        <v xml:space="preserve">4170037990                    </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c r="AQ1021">
        <v>37.409999999999997</v>
      </c>
      <c r="AR1021">
        <v>0</v>
      </c>
      <c r="AS1021">
        <v>0</v>
      </c>
      <c r="AT1021">
        <v>0</v>
      </c>
      <c r="AU1021">
        <v>0</v>
      </c>
      <c r="AV1021">
        <v>0</v>
      </c>
      <c r="AW1021">
        <v>0</v>
      </c>
      <c r="AX1021">
        <v>0</v>
      </c>
      <c r="AY1021">
        <v>0</v>
      </c>
      <c r="AZ1021">
        <v>0</v>
      </c>
      <c r="BA1021">
        <v>0</v>
      </c>
      <c r="BB1021">
        <v>0</v>
      </c>
      <c r="BC1021">
        <v>0</v>
      </c>
      <c r="BD1021">
        <v>0</v>
      </c>
      <c r="BE1021">
        <v>0</v>
      </c>
      <c r="BF1021">
        <v>0</v>
      </c>
      <c r="BG1021">
        <v>0</v>
      </c>
      <c r="BH1021">
        <v>1</v>
      </c>
      <c r="BI1021">
        <v>2</v>
      </c>
      <c r="BJ1021">
        <v>3.4</v>
      </c>
      <c r="BK1021">
        <v>3.5</v>
      </c>
      <c r="BL1021">
        <v>122.43</v>
      </c>
      <c r="BM1021">
        <v>18.36</v>
      </c>
      <c r="BN1021">
        <v>140.79</v>
      </c>
      <c r="BO1021">
        <v>140.79</v>
      </c>
      <c r="BQ1021" t="s">
        <v>1751</v>
      </c>
      <c r="BR1021" t="s">
        <v>84</v>
      </c>
      <c r="BS1021" s="3">
        <v>45790</v>
      </c>
      <c r="BT1021" s="4">
        <v>0.4</v>
      </c>
      <c r="BU1021" t="s">
        <v>1752</v>
      </c>
      <c r="BV1021" t="s">
        <v>86</v>
      </c>
      <c r="BY1021">
        <v>16965</v>
      </c>
      <c r="CA1021" t="s">
        <v>271</v>
      </c>
      <c r="CC1021" t="s">
        <v>267</v>
      </c>
      <c r="CD1021">
        <v>6220</v>
      </c>
      <c r="CE1021" t="s">
        <v>96</v>
      </c>
      <c r="CF1021" s="3">
        <v>45790</v>
      </c>
      <c r="CI1021">
        <v>1</v>
      </c>
      <c r="CJ1021">
        <v>1</v>
      </c>
      <c r="CK1021">
        <v>21</v>
      </c>
      <c r="CL1021" t="s">
        <v>89</v>
      </c>
    </row>
    <row r="1022" spans="1:90" x14ac:dyDescent="0.3">
      <c r="A1022" t="s">
        <v>72</v>
      </c>
      <c r="B1022" t="s">
        <v>73</v>
      </c>
      <c r="C1022" t="s">
        <v>74</v>
      </c>
      <c r="E1022" t="str">
        <f>"080065327255"</f>
        <v>080065327255</v>
      </c>
      <c r="F1022" s="3">
        <v>45789</v>
      </c>
      <c r="G1022">
        <v>202602</v>
      </c>
      <c r="H1022" t="s">
        <v>75</v>
      </c>
      <c r="I1022" t="s">
        <v>76</v>
      </c>
      <c r="J1022" t="s">
        <v>77</v>
      </c>
      <c r="K1022" t="s">
        <v>78</v>
      </c>
      <c r="L1022" t="s">
        <v>186</v>
      </c>
      <c r="M1022" t="s">
        <v>187</v>
      </c>
      <c r="N1022" t="s">
        <v>1325</v>
      </c>
      <c r="O1022" t="s">
        <v>82</v>
      </c>
      <c r="P1022" t="str">
        <f>"4170037992                    "</f>
        <v xml:space="preserve">4170037992                    </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21.38</v>
      </c>
      <c r="AR1022">
        <v>0</v>
      </c>
      <c r="AS1022">
        <v>0</v>
      </c>
      <c r="AT1022">
        <v>0</v>
      </c>
      <c r="AU1022">
        <v>0</v>
      </c>
      <c r="AV1022">
        <v>0</v>
      </c>
      <c r="AW1022">
        <v>0</v>
      </c>
      <c r="AX1022">
        <v>0</v>
      </c>
      <c r="AY1022">
        <v>0</v>
      </c>
      <c r="AZ1022">
        <v>0</v>
      </c>
      <c r="BA1022">
        <v>0</v>
      </c>
      <c r="BB1022">
        <v>0</v>
      </c>
      <c r="BC1022">
        <v>0</v>
      </c>
      <c r="BD1022">
        <v>0</v>
      </c>
      <c r="BE1022">
        <v>0</v>
      </c>
      <c r="BF1022">
        <v>0</v>
      </c>
      <c r="BG1022">
        <v>0</v>
      </c>
      <c r="BH1022">
        <v>1</v>
      </c>
      <c r="BI1022">
        <v>2</v>
      </c>
      <c r="BJ1022">
        <v>1.1000000000000001</v>
      </c>
      <c r="BK1022">
        <v>2</v>
      </c>
      <c r="BL1022">
        <v>69.98</v>
      </c>
      <c r="BM1022">
        <v>10.5</v>
      </c>
      <c r="BN1022">
        <v>80.48</v>
      </c>
      <c r="BO1022">
        <v>80.48</v>
      </c>
      <c r="BQ1022" t="s">
        <v>1326</v>
      </c>
      <c r="BR1022" t="s">
        <v>84</v>
      </c>
      <c r="BS1022" s="3">
        <v>45790</v>
      </c>
      <c r="BT1022" s="4">
        <v>0.42708333333333331</v>
      </c>
      <c r="BU1022" t="s">
        <v>1753</v>
      </c>
      <c r="BV1022" t="s">
        <v>86</v>
      </c>
      <c r="BY1022">
        <v>5320</v>
      </c>
      <c r="CA1022" t="s">
        <v>191</v>
      </c>
      <c r="CC1022" t="s">
        <v>187</v>
      </c>
      <c r="CD1022">
        <v>4126</v>
      </c>
      <c r="CE1022" t="s">
        <v>116</v>
      </c>
      <c r="CF1022" s="3">
        <v>45791</v>
      </c>
      <c r="CI1022">
        <v>1</v>
      </c>
      <c r="CJ1022">
        <v>1</v>
      </c>
      <c r="CK1022">
        <v>21</v>
      </c>
      <c r="CL1022" t="s">
        <v>89</v>
      </c>
    </row>
    <row r="1023" spans="1:90" x14ac:dyDescent="0.3">
      <c r="A1023" t="s">
        <v>72</v>
      </c>
      <c r="B1023" t="s">
        <v>73</v>
      </c>
      <c r="C1023" t="s">
        <v>74</v>
      </c>
      <c r="E1023" t="str">
        <f>"080065327262"</f>
        <v>080065327262</v>
      </c>
      <c r="F1023" s="3">
        <v>45789</v>
      </c>
      <c r="G1023">
        <v>202602</v>
      </c>
      <c r="H1023" t="s">
        <v>75</v>
      </c>
      <c r="I1023" t="s">
        <v>76</v>
      </c>
      <c r="J1023" t="s">
        <v>77</v>
      </c>
      <c r="K1023" t="s">
        <v>78</v>
      </c>
      <c r="L1023" t="s">
        <v>136</v>
      </c>
      <c r="M1023" t="s">
        <v>137</v>
      </c>
      <c r="N1023" t="s">
        <v>773</v>
      </c>
      <c r="O1023" t="s">
        <v>82</v>
      </c>
      <c r="P1023" t="str">
        <f>"4170037923                    "</f>
        <v xml:space="preserve">4170037923                    </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21.38</v>
      </c>
      <c r="AR1023">
        <v>0</v>
      </c>
      <c r="AS1023">
        <v>0</v>
      </c>
      <c r="AT1023">
        <v>0</v>
      </c>
      <c r="AU1023">
        <v>0</v>
      </c>
      <c r="AV1023">
        <v>0</v>
      </c>
      <c r="AW1023">
        <v>0</v>
      </c>
      <c r="AX1023">
        <v>0</v>
      </c>
      <c r="AY1023">
        <v>0</v>
      </c>
      <c r="AZ1023">
        <v>0</v>
      </c>
      <c r="BA1023">
        <v>0</v>
      </c>
      <c r="BB1023">
        <v>0</v>
      </c>
      <c r="BC1023">
        <v>0</v>
      </c>
      <c r="BD1023">
        <v>0</v>
      </c>
      <c r="BE1023">
        <v>0</v>
      </c>
      <c r="BF1023">
        <v>0</v>
      </c>
      <c r="BG1023">
        <v>0</v>
      </c>
      <c r="BH1023">
        <v>1</v>
      </c>
      <c r="BI1023">
        <v>1</v>
      </c>
      <c r="BJ1023">
        <v>0.2</v>
      </c>
      <c r="BK1023">
        <v>1</v>
      </c>
      <c r="BL1023">
        <v>69.98</v>
      </c>
      <c r="BM1023">
        <v>10.5</v>
      </c>
      <c r="BN1023">
        <v>80.48</v>
      </c>
      <c r="BO1023">
        <v>80.48</v>
      </c>
      <c r="BQ1023" t="s">
        <v>774</v>
      </c>
      <c r="BR1023" t="s">
        <v>84</v>
      </c>
      <c r="BS1023" s="3">
        <v>45790</v>
      </c>
      <c r="BT1023" s="4">
        <v>0.40763888888888888</v>
      </c>
      <c r="BU1023" t="s">
        <v>1754</v>
      </c>
      <c r="BV1023" t="s">
        <v>86</v>
      </c>
      <c r="BY1023">
        <v>1200</v>
      </c>
      <c r="CA1023" t="s">
        <v>141</v>
      </c>
      <c r="CC1023" t="s">
        <v>137</v>
      </c>
      <c r="CD1023" s="5" t="s">
        <v>142</v>
      </c>
      <c r="CE1023" t="s">
        <v>88</v>
      </c>
      <c r="CF1023" s="3">
        <v>45790</v>
      </c>
      <c r="CI1023">
        <v>1</v>
      </c>
      <c r="CJ1023">
        <v>1</v>
      </c>
      <c r="CK1023">
        <v>21</v>
      </c>
      <c r="CL1023" t="s">
        <v>89</v>
      </c>
    </row>
    <row r="1024" spans="1:90" x14ac:dyDescent="0.3">
      <c r="A1024" t="s">
        <v>72</v>
      </c>
      <c r="B1024" t="s">
        <v>73</v>
      </c>
      <c r="C1024" t="s">
        <v>74</v>
      </c>
      <c r="E1024" t="str">
        <f>"080065327331"</f>
        <v>080065327331</v>
      </c>
      <c r="F1024" s="3">
        <v>45789</v>
      </c>
      <c r="G1024">
        <v>202602</v>
      </c>
      <c r="H1024" t="s">
        <v>75</v>
      </c>
      <c r="I1024" t="s">
        <v>76</v>
      </c>
      <c r="J1024" t="s">
        <v>77</v>
      </c>
      <c r="K1024" t="s">
        <v>78</v>
      </c>
      <c r="L1024" t="s">
        <v>103</v>
      </c>
      <c r="M1024" t="s">
        <v>104</v>
      </c>
      <c r="N1024" t="s">
        <v>1398</v>
      </c>
      <c r="O1024" t="s">
        <v>82</v>
      </c>
      <c r="P1024" t="str">
        <f>"4170037903                    "</f>
        <v xml:space="preserve">4170037903                    </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21.38</v>
      </c>
      <c r="AR1024">
        <v>0</v>
      </c>
      <c r="AS1024">
        <v>0</v>
      </c>
      <c r="AT1024">
        <v>0</v>
      </c>
      <c r="AU1024">
        <v>0</v>
      </c>
      <c r="AV1024">
        <v>0</v>
      </c>
      <c r="AW1024">
        <v>0</v>
      </c>
      <c r="AX1024">
        <v>0</v>
      </c>
      <c r="AY1024">
        <v>0</v>
      </c>
      <c r="AZ1024">
        <v>0</v>
      </c>
      <c r="BA1024">
        <v>0</v>
      </c>
      <c r="BB1024">
        <v>0</v>
      </c>
      <c r="BC1024">
        <v>0</v>
      </c>
      <c r="BD1024">
        <v>0</v>
      </c>
      <c r="BE1024">
        <v>0</v>
      </c>
      <c r="BF1024">
        <v>0</v>
      </c>
      <c r="BG1024">
        <v>0</v>
      </c>
      <c r="BH1024">
        <v>1</v>
      </c>
      <c r="BI1024">
        <v>1</v>
      </c>
      <c r="BJ1024">
        <v>0.2</v>
      </c>
      <c r="BK1024">
        <v>1</v>
      </c>
      <c r="BL1024">
        <v>69.98</v>
      </c>
      <c r="BM1024">
        <v>10.5</v>
      </c>
      <c r="BN1024">
        <v>80.48</v>
      </c>
      <c r="BO1024">
        <v>80.48</v>
      </c>
      <c r="BQ1024" t="s">
        <v>1399</v>
      </c>
      <c r="BR1024" t="s">
        <v>84</v>
      </c>
      <c r="BS1024" s="3">
        <v>45790</v>
      </c>
      <c r="BT1024" s="4">
        <v>0.6645833333333333</v>
      </c>
      <c r="BU1024" t="s">
        <v>1616</v>
      </c>
      <c r="BV1024" t="s">
        <v>86</v>
      </c>
      <c r="BY1024">
        <v>1200</v>
      </c>
      <c r="CA1024" t="s">
        <v>945</v>
      </c>
      <c r="CC1024" t="s">
        <v>104</v>
      </c>
      <c r="CD1024">
        <v>3680</v>
      </c>
      <c r="CE1024" t="s">
        <v>88</v>
      </c>
      <c r="CF1024" s="3">
        <v>45791</v>
      </c>
      <c r="CI1024">
        <v>1</v>
      </c>
      <c r="CJ1024">
        <v>1</v>
      </c>
      <c r="CK1024">
        <v>21</v>
      </c>
      <c r="CL1024" t="s">
        <v>89</v>
      </c>
    </row>
    <row r="1025" spans="1:90" x14ac:dyDescent="0.3">
      <c r="A1025" t="s">
        <v>72</v>
      </c>
      <c r="B1025" t="s">
        <v>73</v>
      </c>
      <c r="C1025" t="s">
        <v>74</v>
      </c>
      <c r="E1025" t="str">
        <f>"080065327333"</f>
        <v>080065327333</v>
      </c>
      <c r="F1025" s="3">
        <v>45789</v>
      </c>
      <c r="G1025">
        <v>202602</v>
      </c>
      <c r="H1025" t="s">
        <v>75</v>
      </c>
      <c r="I1025" t="s">
        <v>76</v>
      </c>
      <c r="J1025" t="s">
        <v>77</v>
      </c>
      <c r="K1025" t="s">
        <v>78</v>
      </c>
      <c r="L1025" t="s">
        <v>123</v>
      </c>
      <c r="M1025" t="s">
        <v>123</v>
      </c>
      <c r="N1025" t="s">
        <v>766</v>
      </c>
      <c r="O1025" t="s">
        <v>82</v>
      </c>
      <c r="P1025" t="str">
        <f>"4170037830                    "</f>
        <v xml:space="preserve">4170037830                    </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116.27</v>
      </c>
      <c r="AR1025">
        <v>0</v>
      </c>
      <c r="AS1025">
        <v>0</v>
      </c>
      <c r="AT1025">
        <v>0</v>
      </c>
      <c r="AU1025">
        <v>0</v>
      </c>
      <c r="AV1025">
        <v>0</v>
      </c>
      <c r="AW1025">
        <v>0</v>
      </c>
      <c r="AX1025">
        <v>0</v>
      </c>
      <c r="AY1025">
        <v>0</v>
      </c>
      <c r="AZ1025">
        <v>0</v>
      </c>
      <c r="BA1025">
        <v>0</v>
      </c>
      <c r="BB1025">
        <v>0</v>
      </c>
      <c r="BC1025">
        <v>0</v>
      </c>
      <c r="BD1025">
        <v>0</v>
      </c>
      <c r="BE1025">
        <v>0</v>
      </c>
      <c r="BF1025">
        <v>0</v>
      </c>
      <c r="BG1025">
        <v>0</v>
      </c>
      <c r="BH1025">
        <v>1</v>
      </c>
      <c r="BI1025">
        <v>6</v>
      </c>
      <c r="BJ1025">
        <v>3.4</v>
      </c>
      <c r="BK1025">
        <v>6</v>
      </c>
      <c r="BL1025">
        <v>380.51</v>
      </c>
      <c r="BM1025">
        <v>57.08</v>
      </c>
      <c r="BN1025">
        <v>437.59</v>
      </c>
      <c r="BO1025">
        <v>437.59</v>
      </c>
      <c r="BQ1025" t="s">
        <v>767</v>
      </c>
      <c r="BR1025" t="s">
        <v>84</v>
      </c>
      <c r="BS1025" s="3">
        <v>45790</v>
      </c>
      <c r="BT1025" s="4">
        <v>0.53680555555555554</v>
      </c>
      <c r="BU1025" t="s">
        <v>768</v>
      </c>
      <c r="BV1025" t="s">
        <v>86</v>
      </c>
      <c r="BY1025">
        <v>16965</v>
      </c>
      <c r="CA1025" t="s">
        <v>128</v>
      </c>
      <c r="CC1025" t="s">
        <v>123</v>
      </c>
      <c r="CD1025">
        <v>7646</v>
      </c>
      <c r="CE1025" t="s">
        <v>96</v>
      </c>
      <c r="CF1025" s="3">
        <v>45791</v>
      </c>
      <c r="CI1025">
        <v>1</v>
      </c>
      <c r="CJ1025">
        <v>1</v>
      </c>
      <c r="CK1025">
        <v>23</v>
      </c>
      <c r="CL1025" t="s">
        <v>89</v>
      </c>
    </row>
    <row r="1026" spans="1:90" x14ac:dyDescent="0.3">
      <c r="A1026" t="s">
        <v>72</v>
      </c>
      <c r="B1026" t="s">
        <v>73</v>
      </c>
      <c r="C1026" t="s">
        <v>74</v>
      </c>
      <c r="E1026" t="str">
        <f>"080065327354"</f>
        <v>080065327354</v>
      </c>
      <c r="F1026" s="3">
        <v>45789</v>
      </c>
      <c r="G1026">
        <v>202602</v>
      </c>
      <c r="H1026" t="s">
        <v>75</v>
      </c>
      <c r="I1026" t="s">
        <v>76</v>
      </c>
      <c r="J1026" t="s">
        <v>77</v>
      </c>
      <c r="K1026" t="s">
        <v>78</v>
      </c>
      <c r="L1026" t="s">
        <v>123</v>
      </c>
      <c r="M1026" t="s">
        <v>123</v>
      </c>
      <c r="N1026" t="s">
        <v>766</v>
      </c>
      <c r="O1026" t="s">
        <v>82</v>
      </c>
      <c r="P1026" t="str">
        <f>"4170037819                    "</f>
        <v xml:space="preserve">4170037819                    </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41.43</v>
      </c>
      <c r="AR1026">
        <v>0</v>
      </c>
      <c r="AS1026">
        <v>0</v>
      </c>
      <c r="AT1026">
        <v>0</v>
      </c>
      <c r="AU1026">
        <v>0</v>
      </c>
      <c r="AV1026">
        <v>0</v>
      </c>
      <c r="AW1026">
        <v>0</v>
      </c>
      <c r="AX1026">
        <v>0</v>
      </c>
      <c r="AY1026">
        <v>0</v>
      </c>
      <c r="AZ1026">
        <v>0</v>
      </c>
      <c r="BA1026">
        <v>0</v>
      </c>
      <c r="BB1026">
        <v>0</v>
      </c>
      <c r="BC1026">
        <v>0</v>
      </c>
      <c r="BD1026">
        <v>0</v>
      </c>
      <c r="BE1026">
        <v>0</v>
      </c>
      <c r="BF1026">
        <v>0</v>
      </c>
      <c r="BG1026">
        <v>0</v>
      </c>
      <c r="BH1026">
        <v>1</v>
      </c>
      <c r="BI1026">
        <v>2</v>
      </c>
      <c r="BJ1026">
        <v>1.9</v>
      </c>
      <c r="BK1026">
        <v>2</v>
      </c>
      <c r="BL1026">
        <v>135.59</v>
      </c>
      <c r="BM1026">
        <v>20.34</v>
      </c>
      <c r="BN1026">
        <v>155.93</v>
      </c>
      <c r="BO1026">
        <v>155.93</v>
      </c>
      <c r="BQ1026" t="s">
        <v>767</v>
      </c>
      <c r="BR1026" t="s">
        <v>84</v>
      </c>
      <c r="BS1026" s="3">
        <v>45790</v>
      </c>
      <c r="BT1026" s="4">
        <v>0.53680555555555554</v>
      </c>
      <c r="BU1026" t="s">
        <v>768</v>
      </c>
      <c r="BV1026" t="s">
        <v>86</v>
      </c>
      <c r="BY1026">
        <v>9600</v>
      </c>
      <c r="CA1026" t="s">
        <v>128</v>
      </c>
      <c r="CC1026" t="s">
        <v>123</v>
      </c>
      <c r="CD1026">
        <v>7646</v>
      </c>
      <c r="CE1026" t="s">
        <v>96</v>
      </c>
      <c r="CF1026" s="3">
        <v>45791</v>
      </c>
      <c r="CI1026">
        <v>1</v>
      </c>
      <c r="CJ1026">
        <v>1</v>
      </c>
      <c r="CK1026">
        <v>23</v>
      </c>
      <c r="CL1026" t="s">
        <v>89</v>
      </c>
    </row>
    <row r="1027" spans="1:90" x14ac:dyDescent="0.3">
      <c r="A1027" t="s">
        <v>72</v>
      </c>
      <c r="B1027" t="s">
        <v>73</v>
      </c>
      <c r="C1027" t="s">
        <v>74</v>
      </c>
      <c r="E1027" t="str">
        <f>"080065327367"</f>
        <v>080065327367</v>
      </c>
      <c r="F1027" s="3">
        <v>45789</v>
      </c>
      <c r="G1027">
        <v>202602</v>
      </c>
      <c r="H1027" t="s">
        <v>75</v>
      </c>
      <c r="I1027" t="s">
        <v>76</v>
      </c>
      <c r="J1027" t="s">
        <v>77</v>
      </c>
      <c r="K1027" t="s">
        <v>78</v>
      </c>
      <c r="L1027" t="s">
        <v>177</v>
      </c>
      <c r="M1027" t="s">
        <v>178</v>
      </c>
      <c r="N1027" t="s">
        <v>212</v>
      </c>
      <c r="O1027" t="s">
        <v>82</v>
      </c>
      <c r="P1027" t="str">
        <f>"4170037765                    "</f>
        <v xml:space="preserve">4170037765                    </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21.38</v>
      </c>
      <c r="AR1027">
        <v>0</v>
      </c>
      <c r="AS1027">
        <v>0</v>
      </c>
      <c r="AT1027">
        <v>0</v>
      </c>
      <c r="AU1027">
        <v>0</v>
      </c>
      <c r="AV1027">
        <v>0</v>
      </c>
      <c r="AW1027">
        <v>0</v>
      </c>
      <c r="AX1027">
        <v>0</v>
      </c>
      <c r="AY1027">
        <v>0</v>
      </c>
      <c r="AZ1027">
        <v>0</v>
      </c>
      <c r="BA1027">
        <v>0</v>
      </c>
      <c r="BB1027">
        <v>0</v>
      </c>
      <c r="BC1027">
        <v>0</v>
      </c>
      <c r="BD1027">
        <v>0</v>
      </c>
      <c r="BE1027">
        <v>0</v>
      </c>
      <c r="BF1027">
        <v>0</v>
      </c>
      <c r="BG1027">
        <v>0</v>
      </c>
      <c r="BH1027">
        <v>1</v>
      </c>
      <c r="BI1027">
        <v>1</v>
      </c>
      <c r="BJ1027">
        <v>0.2</v>
      </c>
      <c r="BK1027">
        <v>1</v>
      </c>
      <c r="BL1027">
        <v>69.98</v>
      </c>
      <c r="BM1027">
        <v>10.5</v>
      </c>
      <c r="BN1027">
        <v>80.48</v>
      </c>
      <c r="BO1027">
        <v>80.48</v>
      </c>
      <c r="BQ1027" t="s">
        <v>213</v>
      </c>
      <c r="BR1027" t="s">
        <v>84</v>
      </c>
      <c r="BS1027" s="3">
        <v>45790</v>
      </c>
      <c r="BT1027" s="4">
        <v>0.35138888888888886</v>
      </c>
      <c r="BU1027" t="s">
        <v>1568</v>
      </c>
      <c r="BV1027" t="s">
        <v>86</v>
      </c>
      <c r="BY1027">
        <v>1200</v>
      </c>
      <c r="CA1027" t="s">
        <v>182</v>
      </c>
      <c r="CC1027" t="s">
        <v>178</v>
      </c>
      <c r="CD1027">
        <v>6021</v>
      </c>
      <c r="CE1027" t="s">
        <v>88</v>
      </c>
      <c r="CF1027" s="3">
        <v>45790</v>
      </c>
      <c r="CI1027">
        <v>1</v>
      </c>
      <c r="CJ1027">
        <v>1</v>
      </c>
      <c r="CK1027">
        <v>21</v>
      </c>
      <c r="CL1027" t="s">
        <v>89</v>
      </c>
    </row>
    <row r="1028" spans="1:90" x14ac:dyDescent="0.3">
      <c r="A1028" t="s">
        <v>72</v>
      </c>
      <c r="B1028" t="s">
        <v>73</v>
      </c>
      <c r="C1028" t="s">
        <v>74</v>
      </c>
      <c r="E1028" t="str">
        <f>"080065327415"</f>
        <v>080065327415</v>
      </c>
      <c r="F1028" s="3">
        <v>45789</v>
      </c>
      <c r="G1028">
        <v>202602</v>
      </c>
      <c r="H1028" t="s">
        <v>75</v>
      </c>
      <c r="I1028" t="s">
        <v>76</v>
      </c>
      <c r="J1028" t="s">
        <v>77</v>
      </c>
      <c r="K1028" t="s">
        <v>78</v>
      </c>
      <c r="L1028" t="s">
        <v>130</v>
      </c>
      <c r="M1028" t="s">
        <v>131</v>
      </c>
      <c r="N1028" t="s">
        <v>699</v>
      </c>
      <c r="O1028" t="s">
        <v>82</v>
      </c>
      <c r="P1028" t="str">
        <f>"4170037955                    "</f>
        <v xml:space="preserve">4170037955                    </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21.38</v>
      </c>
      <c r="AR1028">
        <v>0</v>
      </c>
      <c r="AS1028">
        <v>0</v>
      </c>
      <c r="AT1028">
        <v>0</v>
      </c>
      <c r="AU1028">
        <v>0</v>
      </c>
      <c r="AV1028">
        <v>0</v>
      </c>
      <c r="AW1028">
        <v>0</v>
      </c>
      <c r="AX1028">
        <v>0</v>
      </c>
      <c r="AY1028">
        <v>0</v>
      </c>
      <c r="AZ1028">
        <v>0</v>
      </c>
      <c r="BA1028">
        <v>0</v>
      </c>
      <c r="BB1028">
        <v>0</v>
      </c>
      <c r="BC1028">
        <v>0</v>
      </c>
      <c r="BD1028">
        <v>0</v>
      </c>
      <c r="BE1028">
        <v>0</v>
      </c>
      <c r="BF1028">
        <v>0</v>
      </c>
      <c r="BG1028">
        <v>0</v>
      </c>
      <c r="BH1028">
        <v>1</v>
      </c>
      <c r="BI1028">
        <v>1</v>
      </c>
      <c r="BJ1028">
        <v>0.2</v>
      </c>
      <c r="BK1028">
        <v>1</v>
      </c>
      <c r="BL1028">
        <v>69.98</v>
      </c>
      <c r="BM1028">
        <v>10.5</v>
      </c>
      <c r="BN1028">
        <v>80.48</v>
      </c>
      <c r="BO1028">
        <v>80.48</v>
      </c>
      <c r="BQ1028" t="s">
        <v>700</v>
      </c>
      <c r="BR1028" t="s">
        <v>84</v>
      </c>
      <c r="BS1028" s="3">
        <v>45790</v>
      </c>
      <c r="BT1028" s="4">
        <v>0.4861111111111111</v>
      </c>
      <c r="BU1028" t="s">
        <v>701</v>
      </c>
      <c r="BV1028" t="s">
        <v>89</v>
      </c>
      <c r="BY1028">
        <v>1200</v>
      </c>
      <c r="CA1028" t="s">
        <v>330</v>
      </c>
      <c r="CC1028" t="s">
        <v>131</v>
      </c>
      <c r="CD1028">
        <v>7480</v>
      </c>
      <c r="CE1028" t="s">
        <v>88</v>
      </c>
      <c r="CF1028" s="3">
        <v>45791</v>
      </c>
      <c r="CI1028">
        <v>1</v>
      </c>
      <c r="CJ1028">
        <v>1</v>
      </c>
      <c r="CK1028">
        <v>21</v>
      </c>
      <c r="CL1028" t="s">
        <v>89</v>
      </c>
    </row>
    <row r="1029" spans="1:90" x14ac:dyDescent="0.3">
      <c r="A1029" t="s">
        <v>72</v>
      </c>
      <c r="B1029" t="s">
        <v>73</v>
      </c>
      <c r="C1029" t="s">
        <v>74</v>
      </c>
      <c r="E1029" t="str">
        <f>"080065327416"</f>
        <v>080065327416</v>
      </c>
      <c r="F1029" s="3">
        <v>45789</v>
      </c>
      <c r="G1029">
        <v>202602</v>
      </c>
      <c r="H1029" t="s">
        <v>75</v>
      </c>
      <c r="I1029" t="s">
        <v>76</v>
      </c>
      <c r="J1029" t="s">
        <v>77</v>
      </c>
      <c r="K1029" t="s">
        <v>78</v>
      </c>
      <c r="L1029" t="s">
        <v>177</v>
      </c>
      <c r="M1029" t="s">
        <v>178</v>
      </c>
      <c r="N1029" t="s">
        <v>393</v>
      </c>
      <c r="O1029" t="s">
        <v>82</v>
      </c>
      <c r="P1029" t="str">
        <f>"4170037815                    "</f>
        <v xml:space="preserve">4170037815                    </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37.409999999999997</v>
      </c>
      <c r="AR1029">
        <v>0</v>
      </c>
      <c r="AS1029">
        <v>0</v>
      </c>
      <c r="AT1029">
        <v>0</v>
      </c>
      <c r="AU1029">
        <v>0</v>
      </c>
      <c r="AV1029">
        <v>0</v>
      </c>
      <c r="AW1029">
        <v>0</v>
      </c>
      <c r="AX1029">
        <v>0</v>
      </c>
      <c r="AY1029">
        <v>0</v>
      </c>
      <c r="AZ1029">
        <v>0</v>
      </c>
      <c r="BA1029">
        <v>0</v>
      </c>
      <c r="BB1029">
        <v>0</v>
      </c>
      <c r="BC1029">
        <v>0</v>
      </c>
      <c r="BD1029">
        <v>0</v>
      </c>
      <c r="BE1029">
        <v>0</v>
      </c>
      <c r="BF1029">
        <v>0</v>
      </c>
      <c r="BG1029">
        <v>0</v>
      </c>
      <c r="BH1029">
        <v>1</v>
      </c>
      <c r="BI1029">
        <v>1</v>
      </c>
      <c r="BJ1029">
        <v>3.4</v>
      </c>
      <c r="BK1029">
        <v>3.5</v>
      </c>
      <c r="BL1029">
        <v>122.43</v>
      </c>
      <c r="BM1029">
        <v>18.36</v>
      </c>
      <c r="BN1029">
        <v>140.79</v>
      </c>
      <c r="BO1029">
        <v>140.79</v>
      </c>
      <c r="BQ1029" t="s">
        <v>394</v>
      </c>
      <c r="BR1029" t="s">
        <v>84</v>
      </c>
      <c r="BS1029" s="3">
        <v>45790</v>
      </c>
      <c r="BT1029" s="4">
        <v>0.33402777777777776</v>
      </c>
      <c r="BU1029" t="s">
        <v>920</v>
      </c>
      <c r="BV1029" t="s">
        <v>86</v>
      </c>
      <c r="BY1029">
        <v>16965</v>
      </c>
      <c r="CA1029" t="s">
        <v>182</v>
      </c>
      <c r="CC1029" t="s">
        <v>178</v>
      </c>
      <c r="CD1029">
        <v>6230</v>
      </c>
      <c r="CE1029" t="s">
        <v>96</v>
      </c>
      <c r="CF1029" s="3">
        <v>45790</v>
      </c>
      <c r="CI1029">
        <v>1</v>
      </c>
      <c r="CJ1029">
        <v>1</v>
      </c>
      <c r="CK1029">
        <v>21</v>
      </c>
      <c r="CL1029" t="s">
        <v>89</v>
      </c>
    </row>
    <row r="1030" spans="1:90" x14ac:dyDescent="0.3">
      <c r="A1030" t="s">
        <v>72</v>
      </c>
      <c r="B1030" t="s">
        <v>73</v>
      </c>
      <c r="C1030" t="s">
        <v>74</v>
      </c>
      <c r="E1030" t="str">
        <f>"080065327451"</f>
        <v>080065327451</v>
      </c>
      <c r="F1030" s="3">
        <v>45789</v>
      </c>
      <c r="G1030">
        <v>202602</v>
      </c>
      <c r="H1030" t="s">
        <v>75</v>
      </c>
      <c r="I1030" t="s">
        <v>76</v>
      </c>
      <c r="J1030" t="s">
        <v>77</v>
      </c>
      <c r="K1030" t="s">
        <v>78</v>
      </c>
      <c r="L1030" t="s">
        <v>222</v>
      </c>
      <c r="M1030" t="s">
        <v>223</v>
      </c>
      <c r="N1030" t="s">
        <v>499</v>
      </c>
      <c r="O1030" t="s">
        <v>82</v>
      </c>
      <c r="P1030" t="str">
        <f>"4170037956                    "</f>
        <v xml:space="preserve">4170037956                    </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44.72</v>
      </c>
      <c r="AR1030">
        <v>0</v>
      </c>
      <c r="AS1030">
        <v>0</v>
      </c>
      <c r="AT1030">
        <v>0</v>
      </c>
      <c r="AU1030">
        <v>0</v>
      </c>
      <c r="AV1030">
        <v>0</v>
      </c>
      <c r="AW1030">
        <v>0</v>
      </c>
      <c r="AX1030">
        <v>0</v>
      </c>
      <c r="AY1030">
        <v>0</v>
      </c>
      <c r="AZ1030">
        <v>0</v>
      </c>
      <c r="BA1030">
        <v>0</v>
      </c>
      <c r="BB1030">
        <v>0</v>
      </c>
      <c r="BC1030">
        <v>0</v>
      </c>
      <c r="BD1030">
        <v>0</v>
      </c>
      <c r="BE1030">
        <v>0</v>
      </c>
      <c r="BF1030">
        <v>0</v>
      </c>
      <c r="BG1030">
        <v>0</v>
      </c>
      <c r="BH1030">
        <v>1</v>
      </c>
      <c r="BI1030">
        <v>3</v>
      </c>
      <c r="BJ1030">
        <v>1.6</v>
      </c>
      <c r="BK1030">
        <v>3</v>
      </c>
      <c r="BL1030">
        <v>146.35</v>
      </c>
      <c r="BM1030">
        <v>21.95</v>
      </c>
      <c r="BN1030">
        <v>168.3</v>
      </c>
      <c r="BO1030">
        <v>168.3</v>
      </c>
      <c r="BQ1030" t="s">
        <v>1017</v>
      </c>
      <c r="BR1030" t="s">
        <v>84</v>
      </c>
      <c r="BS1030" s="3">
        <v>45790</v>
      </c>
      <c r="BT1030" s="4">
        <v>0.49027777777777776</v>
      </c>
      <c r="BU1030" t="s">
        <v>1755</v>
      </c>
      <c r="BV1030" t="s">
        <v>86</v>
      </c>
      <c r="BY1030">
        <v>8232</v>
      </c>
      <c r="CA1030" t="s">
        <v>227</v>
      </c>
      <c r="CC1030" t="s">
        <v>223</v>
      </c>
      <c r="CD1030">
        <v>1754</v>
      </c>
      <c r="CE1030" t="s">
        <v>221</v>
      </c>
      <c r="CF1030" s="3">
        <v>45791</v>
      </c>
      <c r="CI1030">
        <v>1</v>
      </c>
      <c r="CJ1030">
        <v>1</v>
      </c>
      <c r="CK1030">
        <v>24</v>
      </c>
      <c r="CL1030" t="s">
        <v>89</v>
      </c>
    </row>
    <row r="1031" spans="1:90" x14ac:dyDescent="0.3">
      <c r="A1031" t="s">
        <v>72</v>
      </c>
      <c r="B1031" t="s">
        <v>73</v>
      </c>
      <c r="C1031" t="s">
        <v>74</v>
      </c>
      <c r="E1031" t="str">
        <f>"080065327499"</f>
        <v>080065327499</v>
      </c>
      <c r="F1031" s="3">
        <v>45789</v>
      </c>
      <c r="G1031">
        <v>202602</v>
      </c>
      <c r="H1031" t="s">
        <v>75</v>
      </c>
      <c r="I1031" t="s">
        <v>76</v>
      </c>
      <c r="J1031" t="s">
        <v>77</v>
      </c>
      <c r="K1031" t="s">
        <v>78</v>
      </c>
      <c r="L1031" t="s">
        <v>331</v>
      </c>
      <c r="M1031" t="s">
        <v>332</v>
      </c>
      <c r="N1031" t="s">
        <v>559</v>
      </c>
      <c r="O1031" t="s">
        <v>82</v>
      </c>
      <c r="P1031" t="str">
        <f>"4170037287                    "</f>
        <v xml:space="preserve">4170037287                    </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16.7</v>
      </c>
      <c r="AR1031">
        <v>0</v>
      </c>
      <c r="AS1031">
        <v>0</v>
      </c>
      <c r="AT1031">
        <v>0</v>
      </c>
      <c r="AU1031">
        <v>0</v>
      </c>
      <c r="AV1031">
        <v>0</v>
      </c>
      <c r="AW1031">
        <v>0</v>
      </c>
      <c r="AX1031">
        <v>0</v>
      </c>
      <c r="AY1031">
        <v>0</v>
      </c>
      <c r="AZ1031">
        <v>0</v>
      </c>
      <c r="BA1031">
        <v>0</v>
      </c>
      <c r="BB1031">
        <v>0</v>
      </c>
      <c r="BC1031">
        <v>0</v>
      </c>
      <c r="BD1031">
        <v>0</v>
      </c>
      <c r="BE1031">
        <v>0</v>
      </c>
      <c r="BF1031">
        <v>0</v>
      </c>
      <c r="BG1031">
        <v>0</v>
      </c>
      <c r="BH1031">
        <v>1</v>
      </c>
      <c r="BI1031">
        <v>6</v>
      </c>
      <c r="BJ1031">
        <v>3.2</v>
      </c>
      <c r="BK1031">
        <v>6</v>
      </c>
      <c r="BL1031">
        <v>54.66</v>
      </c>
      <c r="BM1031">
        <v>8.1999999999999993</v>
      </c>
      <c r="BN1031">
        <v>62.86</v>
      </c>
      <c r="BO1031">
        <v>62.86</v>
      </c>
      <c r="BQ1031" t="s">
        <v>560</v>
      </c>
      <c r="BR1031" t="s">
        <v>84</v>
      </c>
      <c r="BS1031" s="3">
        <v>45790</v>
      </c>
      <c r="BT1031" s="4">
        <v>0.40833333333333333</v>
      </c>
      <c r="BU1031" t="s">
        <v>1756</v>
      </c>
      <c r="BV1031" t="s">
        <v>86</v>
      </c>
      <c r="BY1031">
        <v>16128</v>
      </c>
      <c r="CA1031" t="s">
        <v>562</v>
      </c>
      <c r="CC1031" t="s">
        <v>332</v>
      </c>
      <c r="CD1031">
        <v>1449</v>
      </c>
      <c r="CE1031" t="s">
        <v>221</v>
      </c>
      <c r="CF1031" s="3">
        <v>45791</v>
      </c>
      <c r="CI1031">
        <v>1</v>
      </c>
      <c r="CJ1031">
        <v>1</v>
      </c>
      <c r="CK1031">
        <v>22</v>
      </c>
      <c r="CL1031" t="s">
        <v>89</v>
      </c>
    </row>
    <row r="1032" spans="1:90" x14ac:dyDescent="0.3">
      <c r="A1032" t="s">
        <v>72</v>
      </c>
      <c r="B1032" t="s">
        <v>73</v>
      </c>
      <c r="C1032" t="s">
        <v>74</v>
      </c>
      <c r="E1032" t="str">
        <f>"080065327615"</f>
        <v>080065327615</v>
      </c>
      <c r="F1032" s="3">
        <v>45789</v>
      </c>
      <c r="G1032">
        <v>202602</v>
      </c>
      <c r="H1032" t="s">
        <v>75</v>
      </c>
      <c r="I1032" t="s">
        <v>76</v>
      </c>
      <c r="J1032" t="s">
        <v>77</v>
      </c>
      <c r="K1032" t="s">
        <v>78</v>
      </c>
      <c r="L1032" t="s">
        <v>366</v>
      </c>
      <c r="M1032" t="s">
        <v>367</v>
      </c>
      <c r="N1032" t="s">
        <v>1757</v>
      </c>
      <c r="O1032" t="s">
        <v>82</v>
      </c>
      <c r="P1032" t="str">
        <f>"4170037401                    "</f>
        <v xml:space="preserve">4170037401                    </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30.07</v>
      </c>
      <c r="AR1032">
        <v>0</v>
      </c>
      <c r="AS1032">
        <v>0</v>
      </c>
      <c r="AT1032">
        <v>0</v>
      </c>
      <c r="AU1032">
        <v>0</v>
      </c>
      <c r="AV1032">
        <v>0</v>
      </c>
      <c r="AW1032">
        <v>0</v>
      </c>
      <c r="AX1032">
        <v>0</v>
      </c>
      <c r="AY1032">
        <v>0</v>
      </c>
      <c r="AZ1032">
        <v>0</v>
      </c>
      <c r="BA1032">
        <v>0</v>
      </c>
      <c r="BB1032">
        <v>0</v>
      </c>
      <c r="BC1032">
        <v>0</v>
      </c>
      <c r="BD1032">
        <v>0</v>
      </c>
      <c r="BE1032">
        <v>0</v>
      </c>
      <c r="BF1032">
        <v>0</v>
      </c>
      <c r="BG1032">
        <v>0</v>
      </c>
      <c r="BH1032">
        <v>1</v>
      </c>
      <c r="BI1032">
        <v>1</v>
      </c>
      <c r="BJ1032">
        <v>0.2</v>
      </c>
      <c r="BK1032">
        <v>1</v>
      </c>
      <c r="BL1032">
        <v>98.42</v>
      </c>
      <c r="BM1032">
        <v>14.76</v>
      </c>
      <c r="BN1032">
        <v>113.18</v>
      </c>
      <c r="BO1032">
        <v>113.18</v>
      </c>
      <c r="BQ1032" t="s">
        <v>1758</v>
      </c>
      <c r="BR1032" t="s">
        <v>84</v>
      </c>
      <c r="BS1032" s="3">
        <v>45790</v>
      </c>
      <c r="BT1032" s="4">
        <v>0.54027777777777775</v>
      </c>
      <c r="BU1032" t="s">
        <v>1759</v>
      </c>
      <c r="BV1032" t="s">
        <v>89</v>
      </c>
      <c r="BY1032">
        <v>1200</v>
      </c>
      <c r="CA1032" t="s">
        <v>971</v>
      </c>
      <c r="CC1032" t="s">
        <v>367</v>
      </c>
      <c r="CD1032">
        <v>1438</v>
      </c>
      <c r="CE1032" t="s">
        <v>88</v>
      </c>
      <c r="CF1032" s="3">
        <v>45791</v>
      </c>
      <c r="CI1032">
        <v>1</v>
      </c>
      <c r="CJ1032">
        <v>1</v>
      </c>
      <c r="CK1032">
        <v>24</v>
      </c>
      <c r="CL1032" t="s">
        <v>89</v>
      </c>
    </row>
    <row r="1033" spans="1:90" x14ac:dyDescent="0.3">
      <c r="A1033" t="s">
        <v>72</v>
      </c>
      <c r="B1033" t="s">
        <v>73</v>
      </c>
      <c r="C1033" t="s">
        <v>74</v>
      </c>
      <c r="E1033" t="str">
        <f>"080065327634"</f>
        <v>080065327634</v>
      </c>
      <c r="F1033" s="3">
        <v>45789</v>
      </c>
      <c r="G1033">
        <v>202602</v>
      </c>
      <c r="H1033" t="s">
        <v>75</v>
      </c>
      <c r="I1033" t="s">
        <v>76</v>
      </c>
      <c r="J1033" t="s">
        <v>77</v>
      </c>
      <c r="K1033" t="s">
        <v>78</v>
      </c>
      <c r="L1033" t="s">
        <v>366</v>
      </c>
      <c r="M1033" t="s">
        <v>367</v>
      </c>
      <c r="N1033" t="s">
        <v>1757</v>
      </c>
      <c r="O1033" t="s">
        <v>82</v>
      </c>
      <c r="P1033" t="str">
        <f>"4170037400                    "</f>
        <v xml:space="preserve">4170037400                    </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30.07</v>
      </c>
      <c r="AR1033">
        <v>0</v>
      </c>
      <c r="AS1033">
        <v>0</v>
      </c>
      <c r="AT1033">
        <v>0</v>
      </c>
      <c r="AU1033">
        <v>0</v>
      </c>
      <c r="AV1033">
        <v>0</v>
      </c>
      <c r="AW1033">
        <v>0</v>
      </c>
      <c r="AX1033">
        <v>0</v>
      </c>
      <c r="AY1033">
        <v>0</v>
      </c>
      <c r="AZ1033">
        <v>0</v>
      </c>
      <c r="BA1033">
        <v>0</v>
      </c>
      <c r="BB1033">
        <v>0</v>
      </c>
      <c r="BC1033">
        <v>0</v>
      </c>
      <c r="BD1033">
        <v>0</v>
      </c>
      <c r="BE1033">
        <v>0</v>
      </c>
      <c r="BF1033">
        <v>0</v>
      </c>
      <c r="BG1033">
        <v>0</v>
      </c>
      <c r="BH1033">
        <v>1</v>
      </c>
      <c r="BI1033">
        <v>1</v>
      </c>
      <c r="BJ1033">
        <v>0.2</v>
      </c>
      <c r="BK1033">
        <v>1</v>
      </c>
      <c r="BL1033">
        <v>98.42</v>
      </c>
      <c r="BM1033">
        <v>14.76</v>
      </c>
      <c r="BN1033">
        <v>113.18</v>
      </c>
      <c r="BO1033">
        <v>113.18</v>
      </c>
      <c r="BQ1033" t="s">
        <v>1758</v>
      </c>
      <c r="BR1033" t="s">
        <v>84</v>
      </c>
      <c r="BS1033" s="3">
        <v>45790</v>
      </c>
      <c r="BT1033" s="4">
        <v>0.54027777777777775</v>
      </c>
      <c r="BU1033" t="s">
        <v>1759</v>
      </c>
      <c r="BV1033" t="s">
        <v>89</v>
      </c>
      <c r="BY1033">
        <v>1200</v>
      </c>
      <c r="CA1033" t="s">
        <v>971</v>
      </c>
      <c r="CC1033" t="s">
        <v>367</v>
      </c>
      <c r="CD1033">
        <v>1438</v>
      </c>
      <c r="CE1033" t="s">
        <v>88</v>
      </c>
      <c r="CF1033" s="3">
        <v>45791</v>
      </c>
      <c r="CI1033">
        <v>1</v>
      </c>
      <c r="CJ1033">
        <v>1</v>
      </c>
      <c r="CK1033">
        <v>24</v>
      </c>
      <c r="CL1033" t="s">
        <v>89</v>
      </c>
    </row>
    <row r="1034" spans="1:90" x14ac:dyDescent="0.3">
      <c r="A1034" t="s">
        <v>72</v>
      </c>
      <c r="B1034" t="s">
        <v>73</v>
      </c>
      <c r="C1034" t="s">
        <v>74</v>
      </c>
      <c r="E1034" t="str">
        <f>"080065327649"</f>
        <v>080065327649</v>
      </c>
      <c r="F1034" s="3">
        <v>45789</v>
      </c>
      <c r="G1034">
        <v>202602</v>
      </c>
      <c r="H1034" t="s">
        <v>75</v>
      </c>
      <c r="I1034" t="s">
        <v>76</v>
      </c>
      <c r="J1034" t="s">
        <v>77</v>
      </c>
      <c r="K1034" t="s">
        <v>78</v>
      </c>
      <c r="L1034" t="s">
        <v>75</v>
      </c>
      <c r="M1034" t="s">
        <v>76</v>
      </c>
      <c r="N1034" t="s">
        <v>822</v>
      </c>
      <c r="O1034" t="s">
        <v>82</v>
      </c>
      <c r="P1034" t="str">
        <f>"4170038013                    "</f>
        <v xml:space="preserve">4170038013                    </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16.7</v>
      </c>
      <c r="AR1034">
        <v>0</v>
      </c>
      <c r="AS1034">
        <v>0</v>
      </c>
      <c r="AT1034">
        <v>0</v>
      </c>
      <c r="AU1034">
        <v>0</v>
      </c>
      <c r="AV1034">
        <v>0</v>
      </c>
      <c r="AW1034">
        <v>0</v>
      </c>
      <c r="AX1034">
        <v>0</v>
      </c>
      <c r="AY1034">
        <v>0</v>
      </c>
      <c r="AZ1034">
        <v>0</v>
      </c>
      <c r="BA1034">
        <v>0</v>
      </c>
      <c r="BB1034">
        <v>0</v>
      </c>
      <c r="BC1034">
        <v>0</v>
      </c>
      <c r="BD1034">
        <v>0</v>
      </c>
      <c r="BE1034">
        <v>0</v>
      </c>
      <c r="BF1034">
        <v>0</v>
      </c>
      <c r="BG1034">
        <v>0</v>
      </c>
      <c r="BH1034">
        <v>1</v>
      </c>
      <c r="BI1034">
        <v>1</v>
      </c>
      <c r="BJ1034">
        <v>0.2</v>
      </c>
      <c r="BK1034">
        <v>1</v>
      </c>
      <c r="BL1034">
        <v>54.66</v>
      </c>
      <c r="BM1034">
        <v>8.1999999999999993</v>
      </c>
      <c r="BN1034">
        <v>62.86</v>
      </c>
      <c r="BO1034">
        <v>62.86</v>
      </c>
      <c r="BQ1034" t="s">
        <v>823</v>
      </c>
      <c r="BR1034" t="s">
        <v>84</v>
      </c>
      <c r="BS1034" s="3">
        <v>45790</v>
      </c>
      <c r="BT1034" s="4">
        <v>0.77847222222222223</v>
      </c>
      <c r="BU1034" t="s">
        <v>671</v>
      </c>
      <c r="BV1034" t="s">
        <v>89</v>
      </c>
      <c r="BY1034">
        <v>1200</v>
      </c>
      <c r="CA1034" t="s">
        <v>150</v>
      </c>
      <c r="CC1034" t="s">
        <v>76</v>
      </c>
      <c r="CD1034">
        <v>1614</v>
      </c>
      <c r="CE1034" t="s">
        <v>88</v>
      </c>
      <c r="CF1034" s="3">
        <v>45791</v>
      </c>
      <c r="CI1034">
        <v>1</v>
      </c>
      <c r="CJ1034">
        <v>1</v>
      </c>
      <c r="CK1034">
        <v>22</v>
      </c>
      <c r="CL1034" t="s">
        <v>89</v>
      </c>
    </row>
    <row r="1035" spans="1:90" x14ac:dyDescent="0.3">
      <c r="A1035" t="s">
        <v>72</v>
      </c>
      <c r="B1035" t="s">
        <v>73</v>
      </c>
      <c r="C1035" t="s">
        <v>74</v>
      </c>
      <c r="E1035" t="str">
        <f>"080065327657"</f>
        <v>080065327657</v>
      </c>
      <c r="F1035" s="3">
        <v>45789</v>
      </c>
      <c r="G1035">
        <v>202602</v>
      </c>
      <c r="H1035" t="s">
        <v>75</v>
      </c>
      <c r="I1035" t="s">
        <v>76</v>
      </c>
      <c r="J1035" t="s">
        <v>77</v>
      </c>
      <c r="K1035" t="s">
        <v>78</v>
      </c>
      <c r="L1035" t="s">
        <v>232</v>
      </c>
      <c r="M1035" t="s">
        <v>233</v>
      </c>
      <c r="N1035" t="s">
        <v>234</v>
      </c>
      <c r="O1035" t="s">
        <v>82</v>
      </c>
      <c r="P1035" t="str">
        <f>"4170037908                    "</f>
        <v xml:space="preserve">4170037908                    </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21.38</v>
      </c>
      <c r="AR1035">
        <v>0</v>
      </c>
      <c r="AS1035">
        <v>0</v>
      </c>
      <c r="AT1035">
        <v>0</v>
      </c>
      <c r="AU1035">
        <v>0</v>
      </c>
      <c r="AV1035">
        <v>0</v>
      </c>
      <c r="AW1035">
        <v>0</v>
      </c>
      <c r="AX1035">
        <v>0</v>
      </c>
      <c r="AY1035">
        <v>0</v>
      </c>
      <c r="AZ1035">
        <v>0</v>
      </c>
      <c r="BA1035">
        <v>0</v>
      </c>
      <c r="BB1035">
        <v>0</v>
      </c>
      <c r="BC1035">
        <v>0</v>
      </c>
      <c r="BD1035">
        <v>0</v>
      </c>
      <c r="BE1035">
        <v>0</v>
      </c>
      <c r="BF1035">
        <v>0</v>
      </c>
      <c r="BG1035">
        <v>0</v>
      </c>
      <c r="BH1035">
        <v>1</v>
      </c>
      <c r="BI1035">
        <v>1</v>
      </c>
      <c r="BJ1035">
        <v>0.2</v>
      </c>
      <c r="BK1035">
        <v>1</v>
      </c>
      <c r="BL1035">
        <v>69.98</v>
      </c>
      <c r="BM1035">
        <v>10.5</v>
      </c>
      <c r="BN1035">
        <v>80.48</v>
      </c>
      <c r="BO1035">
        <v>80.48</v>
      </c>
      <c r="BQ1035" t="s">
        <v>235</v>
      </c>
      <c r="BR1035" t="s">
        <v>84</v>
      </c>
      <c r="BS1035" s="3">
        <v>45790</v>
      </c>
      <c r="BT1035" s="4">
        <v>0.39027777777777778</v>
      </c>
      <c r="BU1035" t="s">
        <v>236</v>
      </c>
      <c r="BV1035" t="s">
        <v>86</v>
      </c>
      <c r="BY1035">
        <v>1200</v>
      </c>
      <c r="CA1035" t="s">
        <v>237</v>
      </c>
      <c r="CC1035" t="s">
        <v>233</v>
      </c>
      <c r="CD1035" s="5" t="s">
        <v>238</v>
      </c>
      <c r="CE1035" t="s">
        <v>88</v>
      </c>
      <c r="CF1035" s="3">
        <v>45790</v>
      </c>
      <c r="CI1035">
        <v>1</v>
      </c>
      <c r="CJ1035">
        <v>1</v>
      </c>
      <c r="CK1035">
        <v>21</v>
      </c>
      <c r="CL1035" t="s">
        <v>89</v>
      </c>
    </row>
    <row r="1036" spans="1:90" x14ac:dyDescent="0.3">
      <c r="A1036" t="s">
        <v>72</v>
      </c>
      <c r="B1036" t="s">
        <v>73</v>
      </c>
      <c r="C1036" t="s">
        <v>74</v>
      </c>
      <c r="E1036" t="str">
        <f>"080065327665"</f>
        <v>080065327665</v>
      </c>
      <c r="F1036" s="3">
        <v>45789</v>
      </c>
      <c r="G1036">
        <v>202602</v>
      </c>
      <c r="H1036" t="s">
        <v>75</v>
      </c>
      <c r="I1036" t="s">
        <v>76</v>
      </c>
      <c r="J1036" t="s">
        <v>77</v>
      </c>
      <c r="K1036" t="s">
        <v>78</v>
      </c>
      <c r="L1036" t="s">
        <v>136</v>
      </c>
      <c r="M1036" t="s">
        <v>137</v>
      </c>
      <c r="N1036" t="s">
        <v>1307</v>
      </c>
      <c r="O1036" t="s">
        <v>82</v>
      </c>
      <c r="P1036" t="str">
        <f>"4170037798                    "</f>
        <v xml:space="preserve">4170037798                    </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21.38</v>
      </c>
      <c r="AR1036">
        <v>0</v>
      </c>
      <c r="AS1036">
        <v>0</v>
      </c>
      <c r="AT1036">
        <v>0</v>
      </c>
      <c r="AU1036">
        <v>0</v>
      </c>
      <c r="AV1036">
        <v>0</v>
      </c>
      <c r="AW1036">
        <v>0</v>
      </c>
      <c r="AX1036">
        <v>0</v>
      </c>
      <c r="AY1036">
        <v>0</v>
      </c>
      <c r="AZ1036">
        <v>0</v>
      </c>
      <c r="BA1036">
        <v>0</v>
      </c>
      <c r="BB1036">
        <v>0</v>
      </c>
      <c r="BC1036">
        <v>0</v>
      </c>
      <c r="BD1036">
        <v>0</v>
      </c>
      <c r="BE1036">
        <v>0</v>
      </c>
      <c r="BF1036">
        <v>0</v>
      </c>
      <c r="BG1036">
        <v>0</v>
      </c>
      <c r="BH1036">
        <v>1</v>
      </c>
      <c r="BI1036">
        <v>1</v>
      </c>
      <c r="BJ1036">
        <v>0.2</v>
      </c>
      <c r="BK1036">
        <v>1</v>
      </c>
      <c r="BL1036">
        <v>69.98</v>
      </c>
      <c r="BM1036">
        <v>10.5</v>
      </c>
      <c r="BN1036">
        <v>80.48</v>
      </c>
      <c r="BO1036">
        <v>80.48</v>
      </c>
      <c r="BQ1036" t="s">
        <v>1308</v>
      </c>
      <c r="BR1036" t="s">
        <v>84</v>
      </c>
      <c r="BS1036" s="3">
        <v>45790</v>
      </c>
      <c r="BT1036" s="4">
        <v>0.39097222222222222</v>
      </c>
      <c r="BU1036" t="s">
        <v>457</v>
      </c>
      <c r="BV1036" t="s">
        <v>86</v>
      </c>
      <c r="BY1036">
        <v>1200</v>
      </c>
      <c r="CA1036" t="s">
        <v>141</v>
      </c>
      <c r="CC1036" t="s">
        <v>137</v>
      </c>
      <c r="CD1036" s="5" t="s">
        <v>142</v>
      </c>
      <c r="CE1036" t="s">
        <v>88</v>
      </c>
      <c r="CF1036" s="3">
        <v>45790</v>
      </c>
      <c r="CI1036">
        <v>1</v>
      </c>
      <c r="CJ1036">
        <v>1</v>
      </c>
      <c r="CK1036">
        <v>21</v>
      </c>
      <c r="CL1036" t="s">
        <v>89</v>
      </c>
    </row>
    <row r="1037" spans="1:90" x14ac:dyDescent="0.3">
      <c r="A1037" t="s">
        <v>72</v>
      </c>
      <c r="B1037" t="s">
        <v>73</v>
      </c>
      <c r="C1037" t="s">
        <v>74</v>
      </c>
      <c r="E1037" t="str">
        <f>"080065327674"</f>
        <v>080065327674</v>
      </c>
      <c r="F1037" s="3">
        <v>45789</v>
      </c>
      <c r="G1037">
        <v>202602</v>
      </c>
      <c r="H1037" t="s">
        <v>75</v>
      </c>
      <c r="I1037" t="s">
        <v>76</v>
      </c>
      <c r="J1037" t="s">
        <v>77</v>
      </c>
      <c r="K1037" t="s">
        <v>78</v>
      </c>
      <c r="L1037" t="s">
        <v>90</v>
      </c>
      <c r="M1037" t="s">
        <v>91</v>
      </c>
      <c r="N1037" t="s">
        <v>841</v>
      </c>
      <c r="O1037" t="s">
        <v>82</v>
      </c>
      <c r="P1037" t="str">
        <f>"4170037982                    "</f>
        <v xml:space="preserve">4170037982                    </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P1037">
        <v>0</v>
      </c>
      <c r="AQ1037">
        <v>21.38</v>
      </c>
      <c r="AR1037">
        <v>0</v>
      </c>
      <c r="AS1037">
        <v>0</v>
      </c>
      <c r="AT1037">
        <v>0</v>
      </c>
      <c r="AU1037">
        <v>0</v>
      </c>
      <c r="AV1037">
        <v>0</v>
      </c>
      <c r="AW1037">
        <v>0</v>
      </c>
      <c r="AX1037">
        <v>0</v>
      </c>
      <c r="AY1037">
        <v>0</v>
      </c>
      <c r="AZ1037">
        <v>0</v>
      </c>
      <c r="BA1037">
        <v>0</v>
      </c>
      <c r="BB1037">
        <v>0</v>
      </c>
      <c r="BC1037">
        <v>0</v>
      </c>
      <c r="BD1037">
        <v>0</v>
      </c>
      <c r="BE1037">
        <v>0</v>
      </c>
      <c r="BF1037">
        <v>0</v>
      </c>
      <c r="BG1037">
        <v>0</v>
      </c>
      <c r="BH1037">
        <v>1</v>
      </c>
      <c r="BI1037">
        <v>1</v>
      </c>
      <c r="BJ1037">
        <v>0.2</v>
      </c>
      <c r="BK1037">
        <v>1</v>
      </c>
      <c r="BL1037">
        <v>69.98</v>
      </c>
      <c r="BM1037">
        <v>10.5</v>
      </c>
      <c r="BN1037">
        <v>80.48</v>
      </c>
      <c r="BO1037">
        <v>80.48</v>
      </c>
      <c r="BQ1037" t="s">
        <v>842</v>
      </c>
      <c r="BR1037" t="s">
        <v>84</v>
      </c>
      <c r="BS1037" s="3">
        <v>45790</v>
      </c>
      <c r="BT1037" s="4">
        <v>0.41458333333333336</v>
      </c>
      <c r="BU1037" t="s">
        <v>1266</v>
      </c>
      <c r="BV1037" t="s">
        <v>86</v>
      </c>
      <c r="BY1037">
        <v>1200</v>
      </c>
      <c r="CA1037" t="s">
        <v>298</v>
      </c>
      <c r="CC1037" t="s">
        <v>91</v>
      </c>
      <c r="CD1037">
        <v>6001</v>
      </c>
      <c r="CE1037" t="s">
        <v>88</v>
      </c>
      <c r="CF1037" s="3">
        <v>45790</v>
      </c>
      <c r="CI1037">
        <v>1</v>
      </c>
      <c r="CJ1037">
        <v>1</v>
      </c>
      <c r="CK1037">
        <v>21</v>
      </c>
      <c r="CL1037" t="s">
        <v>89</v>
      </c>
    </row>
    <row r="1038" spans="1:90" x14ac:dyDescent="0.3">
      <c r="A1038" t="s">
        <v>72</v>
      </c>
      <c r="B1038" t="s">
        <v>73</v>
      </c>
      <c r="C1038" t="s">
        <v>74</v>
      </c>
      <c r="E1038" t="str">
        <f>"080065327684"</f>
        <v>080065327684</v>
      </c>
      <c r="F1038" s="3">
        <v>45789</v>
      </c>
      <c r="G1038">
        <v>202602</v>
      </c>
      <c r="H1038" t="s">
        <v>75</v>
      </c>
      <c r="I1038" t="s">
        <v>76</v>
      </c>
      <c r="J1038" t="s">
        <v>77</v>
      </c>
      <c r="K1038" t="s">
        <v>78</v>
      </c>
      <c r="L1038" t="s">
        <v>90</v>
      </c>
      <c r="M1038" t="s">
        <v>91</v>
      </c>
      <c r="N1038" t="s">
        <v>563</v>
      </c>
      <c r="O1038" t="s">
        <v>82</v>
      </c>
      <c r="P1038" t="str">
        <f>"4170037892                    "</f>
        <v xml:space="preserve">4170037892                    </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v>0</v>
      </c>
      <c r="AP1038">
        <v>0</v>
      </c>
      <c r="AQ1038">
        <v>21.38</v>
      </c>
      <c r="AR1038">
        <v>0</v>
      </c>
      <c r="AS1038">
        <v>0</v>
      </c>
      <c r="AT1038">
        <v>0</v>
      </c>
      <c r="AU1038">
        <v>0</v>
      </c>
      <c r="AV1038">
        <v>0</v>
      </c>
      <c r="AW1038">
        <v>0</v>
      </c>
      <c r="AX1038">
        <v>0</v>
      </c>
      <c r="AY1038">
        <v>0</v>
      </c>
      <c r="AZ1038">
        <v>0</v>
      </c>
      <c r="BA1038">
        <v>0</v>
      </c>
      <c r="BB1038">
        <v>0</v>
      </c>
      <c r="BC1038">
        <v>0</v>
      </c>
      <c r="BD1038">
        <v>0</v>
      </c>
      <c r="BE1038">
        <v>0</v>
      </c>
      <c r="BF1038">
        <v>0</v>
      </c>
      <c r="BG1038">
        <v>0</v>
      </c>
      <c r="BH1038">
        <v>1</v>
      </c>
      <c r="BI1038">
        <v>1</v>
      </c>
      <c r="BJ1038">
        <v>0.2</v>
      </c>
      <c r="BK1038">
        <v>1</v>
      </c>
      <c r="BL1038">
        <v>69.98</v>
      </c>
      <c r="BM1038">
        <v>10.5</v>
      </c>
      <c r="BN1038">
        <v>80.48</v>
      </c>
      <c r="BO1038">
        <v>80.48</v>
      </c>
      <c r="BQ1038" t="s">
        <v>564</v>
      </c>
      <c r="BR1038" t="s">
        <v>84</v>
      </c>
      <c r="BS1038" s="3">
        <v>45790</v>
      </c>
      <c r="BT1038" s="4">
        <v>0.35208333333333336</v>
      </c>
      <c r="BU1038" t="s">
        <v>1621</v>
      </c>
      <c r="BV1038" t="s">
        <v>86</v>
      </c>
      <c r="BY1038">
        <v>1200</v>
      </c>
      <c r="CA1038" t="s">
        <v>1622</v>
      </c>
      <c r="CC1038" t="s">
        <v>91</v>
      </c>
      <c r="CD1038">
        <v>6001</v>
      </c>
      <c r="CE1038" t="s">
        <v>88</v>
      </c>
      <c r="CF1038" s="3">
        <v>45790</v>
      </c>
      <c r="CI1038">
        <v>1</v>
      </c>
      <c r="CJ1038">
        <v>1</v>
      </c>
      <c r="CK1038">
        <v>21</v>
      </c>
      <c r="CL1038" t="s">
        <v>89</v>
      </c>
    </row>
    <row r="1039" spans="1:90" x14ac:dyDescent="0.3">
      <c r="A1039" t="s">
        <v>72</v>
      </c>
      <c r="B1039" t="s">
        <v>73</v>
      </c>
      <c r="C1039" t="s">
        <v>74</v>
      </c>
      <c r="E1039" t="str">
        <f>"080065327699"</f>
        <v>080065327699</v>
      </c>
      <c r="F1039" s="3">
        <v>45789</v>
      </c>
      <c r="G1039">
        <v>202602</v>
      </c>
      <c r="H1039" t="s">
        <v>75</v>
      </c>
      <c r="I1039" t="s">
        <v>76</v>
      </c>
      <c r="J1039" t="s">
        <v>77</v>
      </c>
      <c r="K1039" t="s">
        <v>78</v>
      </c>
      <c r="L1039" t="s">
        <v>463</v>
      </c>
      <c r="M1039" t="s">
        <v>464</v>
      </c>
      <c r="N1039" t="s">
        <v>636</v>
      </c>
      <c r="O1039" t="s">
        <v>82</v>
      </c>
      <c r="P1039" t="str">
        <f>"4170037731                    "</f>
        <v xml:space="preserve">4170037731                    </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21.38</v>
      </c>
      <c r="AR1039">
        <v>0</v>
      </c>
      <c r="AS1039">
        <v>0</v>
      </c>
      <c r="AT1039">
        <v>0</v>
      </c>
      <c r="AU1039">
        <v>0</v>
      </c>
      <c r="AV1039">
        <v>0</v>
      </c>
      <c r="AW1039">
        <v>0</v>
      </c>
      <c r="AX1039">
        <v>0</v>
      </c>
      <c r="AY1039">
        <v>0</v>
      </c>
      <c r="AZ1039">
        <v>0</v>
      </c>
      <c r="BA1039">
        <v>0</v>
      </c>
      <c r="BB1039">
        <v>0</v>
      </c>
      <c r="BC1039">
        <v>0</v>
      </c>
      <c r="BD1039">
        <v>0</v>
      </c>
      <c r="BE1039">
        <v>0</v>
      </c>
      <c r="BF1039">
        <v>0</v>
      </c>
      <c r="BG1039">
        <v>0</v>
      </c>
      <c r="BH1039">
        <v>1</v>
      </c>
      <c r="BI1039">
        <v>1</v>
      </c>
      <c r="BJ1039">
        <v>0.2</v>
      </c>
      <c r="BK1039">
        <v>1</v>
      </c>
      <c r="BL1039">
        <v>69.98</v>
      </c>
      <c r="BM1039">
        <v>10.5</v>
      </c>
      <c r="BN1039">
        <v>80.48</v>
      </c>
      <c r="BO1039">
        <v>80.48</v>
      </c>
      <c r="BQ1039" t="s">
        <v>637</v>
      </c>
      <c r="BR1039" t="s">
        <v>84</v>
      </c>
      <c r="BS1039" s="3">
        <v>45790</v>
      </c>
      <c r="BT1039" s="4">
        <v>0.47499999999999998</v>
      </c>
      <c r="BU1039" t="s">
        <v>1760</v>
      </c>
      <c r="BV1039" t="s">
        <v>86</v>
      </c>
      <c r="BY1039">
        <v>1200</v>
      </c>
      <c r="CA1039" t="s">
        <v>468</v>
      </c>
      <c r="CC1039" t="s">
        <v>464</v>
      </c>
      <c r="CD1039">
        <v>5201</v>
      </c>
      <c r="CE1039" t="s">
        <v>88</v>
      </c>
      <c r="CF1039" s="3">
        <v>45790</v>
      </c>
      <c r="CI1039">
        <v>5</v>
      </c>
      <c r="CJ1039">
        <v>1</v>
      </c>
      <c r="CK1039">
        <v>21</v>
      </c>
      <c r="CL1039" t="s">
        <v>89</v>
      </c>
    </row>
    <row r="1040" spans="1:90" x14ac:dyDescent="0.3">
      <c r="A1040" t="s">
        <v>72</v>
      </c>
      <c r="B1040" t="s">
        <v>73</v>
      </c>
      <c r="C1040" t="s">
        <v>74</v>
      </c>
      <c r="E1040" t="str">
        <f>"080065327709"</f>
        <v>080065327709</v>
      </c>
      <c r="F1040" s="3">
        <v>45789</v>
      </c>
      <c r="G1040">
        <v>202602</v>
      </c>
      <c r="H1040" t="s">
        <v>75</v>
      </c>
      <c r="I1040" t="s">
        <v>76</v>
      </c>
      <c r="J1040" t="s">
        <v>77</v>
      </c>
      <c r="K1040" t="s">
        <v>78</v>
      </c>
      <c r="L1040" t="s">
        <v>90</v>
      </c>
      <c r="M1040" t="s">
        <v>91</v>
      </c>
      <c r="N1040" t="s">
        <v>1761</v>
      </c>
      <c r="O1040" t="s">
        <v>82</v>
      </c>
      <c r="P1040" t="str">
        <f>"4170037902                    "</f>
        <v xml:space="preserve">4170037902                    </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21.38</v>
      </c>
      <c r="AR1040">
        <v>0</v>
      </c>
      <c r="AS1040">
        <v>0</v>
      </c>
      <c r="AT1040">
        <v>0</v>
      </c>
      <c r="AU1040">
        <v>0</v>
      </c>
      <c r="AV1040">
        <v>0</v>
      </c>
      <c r="AW1040">
        <v>0</v>
      </c>
      <c r="AX1040">
        <v>0</v>
      </c>
      <c r="AY1040">
        <v>0</v>
      </c>
      <c r="AZ1040">
        <v>0</v>
      </c>
      <c r="BA1040">
        <v>0</v>
      </c>
      <c r="BB1040">
        <v>0</v>
      </c>
      <c r="BC1040">
        <v>0</v>
      </c>
      <c r="BD1040">
        <v>0</v>
      </c>
      <c r="BE1040">
        <v>0</v>
      </c>
      <c r="BF1040">
        <v>0</v>
      </c>
      <c r="BG1040">
        <v>0</v>
      </c>
      <c r="BH1040">
        <v>1</v>
      </c>
      <c r="BI1040">
        <v>1</v>
      </c>
      <c r="BJ1040">
        <v>0.2</v>
      </c>
      <c r="BK1040">
        <v>1</v>
      </c>
      <c r="BL1040">
        <v>69.98</v>
      </c>
      <c r="BM1040">
        <v>10.5</v>
      </c>
      <c r="BN1040">
        <v>80.48</v>
      </c>
      <c r="BO1040">
        <v>80.48</v>
      </c>
      <c r="BQ1040" t="s">
        <v>1762</v>
      </c>
      <c r="BR1040" t="s">
        <v>84</v>
      </c>
      <c r="BS1040" s="3">
        <v>45790</v>
      </c>
      <c r="BT1040" s="4">
        <v>0.35972222222222222</v>
      </c>
      <c r="BU1040" t="s">
        <v>1763</v>
      </c>
      <c r="BV1040" t="s">
        <v>86</v>
      </c>
      <c r="BY1040">
        <v>1200</v>
      </c>
      <c r="CA1040" t="s">
        <v>95</v>
      </c>
      <c r="CC1040" t="s">
        <v>91</v>
      </c>
      <c r="CD1040">
        <v>6001</v>
      </c>
      <c r="CE1040" t="s">
        <v>88</v>
      </c>
      <c r="CF1040" s="3">
        <v>45790</v>
      </c>
      <c r="CI1040">
        <v>1</v>
      </c>
      <c r="CJ1040">
        <v>1</v>
      </c>
      <c r="CK1040">
        <v>21</v>
      </c>
      <c r="CL1040" t="s">
        <v>89</v>
      </c>
    </row>
    <row r="1041" spans="1:90" x14ac:dyDescent="0.3">
      <c r="A1041" t="s">
        <v>72</v>
      </c>
      <c r="B1041" t="s">
        <v>73</v>
      </c>
      <c r="C1041" t="s">
        <v>74</v>
      </c>
      <c r="E1041" t="str">
        <f>"080065327722"</f>
        <v>080065327722</v>
      </c>
      <c r="F1041" s="3">
        <v>45789</v>
      </c>
      <c r="G1041">
        <v>202602</v>
      </c>
      <c r="H1041" t="s">
        <v>75</v>
      </c>
      <c r="I1041" t="s">
        <v>76</v>
      </c>
      <c r="J1041" t="s">
        <v>77</v>
      </c>
      <c r="K1041" t="s">
        <v>78</v>
      </c>
      <c r="L1041" t="s">
        <v>136</v>
      </c>
      <c r="M1041" t="s">
        <v>137</v>
      </c>
      <c r="N1041" t="s">
        <v>1090</v>
      </c>
      <c r="O1041" t="s">
        <v>82</v>
      </c>
      <c r="P1041" t="str">
        <f>"4170037975                    "</f>
        <v xml:space="preserve">4170037975                    </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21.38</v>
      </c>
      <c r="AR1041">
        <v>0</v>
      </c>
      <c r="AS1041">
        <v>0</v>
      </c>
      <c r="AT1041">
        <v>0</v>
      </c>
      <c r="AU1041">
        <v>0</v>
      </c>
      <c r="AV1041">
        <v>0</v>
      </c>
      <c r="AW1041">
        <v>0</v>
      </c>
      <c r="AX1041">
        <v>0</v>
      </c>
      <c r="AY1041">
        <v>0</v>
      </c>
      <c r="AZ1041">
        <v>0</v>
      </c>
      <c r="BA1041">
        <v>0</v>
      </c>
      <c r="BB1041">
        <v>0</v>
      </c>
      <c r="BC1041">
        <v>0</v>
      </c>
      <c r="BD1041">
        <v>0</v>
      </c>
      <c r="BE1041">
        <v>0</v>
      </c>
      <c r="BF1041">
        <v>0</v>
      </c>
      <c r="BG1041">
        <v>0</v>
      </c>
      <c r="BH1041">
        <v>1</v>
      </c>
      <c r="BI1041">
        <v>1</v>
      </c>
      <c r="BJ1041">
        <v>0.2</v>
      </c>
      <c r="BK1041">
        <v>1</v>
      </c>
      <c r="BL1041">
        <v>69.98</v>
      </c>
      <c r="BM1041">
        <v>10.5</v>
      </c>
      <c r="BN1041">
        <v>80.48</v>
      </c>
      <c r="BO1041">
        <v>80.48</v>
      </c>
      <c r="BQ1041" t="s">
        <v>1091</v>
      </c>
      <c r="BR1041" t="s">
        <v>84</v>
      </c>
      <c r="BS1041" s="3">
        <v>45790</v>
      </c>
      <c r="BT1041" s="4">
        <v>0.39930555555555558</v>
      </c>
      <c r="BU1041" t="s">
        <v>1719</v>
      </c>
      <c r="BV1041" t="s">
        <v>86</v>
      </c>
      <c r="BY1041">
        <v>1200</v>
      </c>
      <c r="CA1041" t="s">
        <v>1093</v>
      </c>
      <c r="CC1041" t="s">
        <v>137</v>
      </c>
      <c r="CD1041" s="5" t="s">
        <v>738</v>
      </c>
      <c r="CE1041" t="s">
        <v>88</v>
      </c>
      <c r="CF1041" s="3">
        <v>45790</v>
      </c>
      <c r="CI1041">
        <v>1</v>
      </c>
      <c r="CJ1041">
        <v>1</v>
      </c>
      <c r="CK1041">
        <v>21</v>
      </c>
      <c r="CL1041" t="s">
        <v>89</v>
      </c>
    </row>
    <row r="1042" spans="1:90" x14ac:dyDescent="0.3">
      <c r="A1042" t="s">
        <v>72</v>
      </c>
      <c r="B1042" t="s">
        <v>73</v>
      </c>
      <c r="C1042" t="s">
        <v>74</v>
      </c>
      <c r="E1042" t="str">
        <f>"080065327734"</f>
        <v>080065327734</v>
      </c>
      <c r="F1042" s="3">
        <v>45789</v>
      </c>
      <c r="G1042">
        <v>202602</v>
      </c>
      <c r="H1042" t="s">
        <v>75</v>
      </c>
      <c r="I1042" t="s">
        <v>76</v>
      </c>
      <c r="J1042" t="s">
        <v>77</v>
      </c>
      <c r="K1042" t="s">
        <v>78</v>
      </c>
      <c r="L1042" t="s">
        <v>130</v>
      </c>
      <c r="M1042" t="s">
        <v>131</v>
      </c>
      <c r="N1042" t="s">
        <v>343</v>
      </c>
      <c r="O1042" t="s">
        <v>82</v>
      </c>
      <c r="P1042" t="str">
        <f>"4170037805                    "</f>
        <v xml:space="preserve">4170037805                    </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21.38</v>
      </c>
      <c r="AR1042">
        <v>0</v>
      </c>
      <c r="AS1042">
        <v>0</v>
      </c>
      <c r="AT1042">
        <v>0</v>
      </c>
      <c r="AU1042">
        <v>0</v>
      </c>
      <c r="AV1042">
        <v>0</v>
      </c>
      <c r="AW1042">
        <v>0</v>
      </c>
      <c r="AX1042">
        <v>0</v>
      </c>
      <c r="AY1042">
        <v>0</v>
      </c>
      <c r="AZ1042">
        <v>0</v>
      </c>
      <c r="BA1042">
        <v>0</v>
      </c>
      <c r="BB1042">
        <v>0</v>
      </c>
      <c r="BC1042">
        <v>0</v>
      </c>
      <c r="BD1042">
        <v>0</v>
      </c>
      <c r="BE1042">
        <v>0</v>
      </c>
      <c r="BF1042">
        <v>0</v>
      </c>
      <c r="BG1042">
        <v>0</v>
      </c>
      <c r="BH1042">
        <v>1</v>
      </c>
      <c r="BI1042">
        <v>1</v>
      </c>
      <c r="BJ1042">
        <v>0.2</v>
      </c>
      <c r="BK1042">
        <v>1</v>
      </c>
      <c r="BL1042">
        <v>69.98</v>
      </c>
      <c r="BM1042">
        <v>10.5</v>
      </c>
      <c r="BN1042">
        <v>80.48</v>
      </c>
      <c r="BO1042">
        <v>80.48</v>
      </c>
      <c r="BQ1042" t="s">
        <v>344</v>
      </c>
      <c r="BR1042" t="s">
        <v>84</v>
      </c>
      <c r="BS1042" s="3">
        <v>45790</v>
      </c>
      <c r="BT1042" s="4">
        <v>0.3888888888888889</v>
      </c>
      <c r="BU1042" t="s">
        <v>1633</v>
      </c>
      <c r="BV1042" t="s">
        <v>86</v>
      </c>
      <c r="BY1042">
        <v>1200</v>
      </c>
      <c r="CA1042" t="s">
        <v>1634</v>
      </c>
      <c r="CC1042" t="s">
        <v>131</v>
      </c>
      <c r="CD1042">
        <v>7441</v>
      </c>
      <c r="CE1042" t="s">
        <v>88</v>
      </c>
      <c r="CF1042" s="3">
        <v>45791</v>
      </c>
      <c r="CI1042">
        <v>1</v>
      </c>
      <c r="CJ1042">
        <v>1</v>
      </c>
      <c r="CK1042">
        <v>21</v>
      </c>
      <c r="CL1042" t="s">
        <v>89</v>
      </c>
    </row>
    <row r="1043" spans="1:90" x14ac:dyDescent="0.3">
      <c r="A1043" t="s">
        <v>72</v>
      </c>
      <c r="B1043" t="s">
        <v>73</v>
      </c>
      <c r="C1043" t="s">
        <v>74</v>
      </c>
      <c r="E1043" t="str">
        <f>"080065327737"</f>
        <v>080065327737</v>
      </c>
      <c r="F1043" s="3">
        <v>45789</v>
      </c>
      <c r="G1043">
        <v>202602</v>
      </c>
      <c r="H1043" t="s">
        <v>75</v>
      </c>
      <c r="I1043" t="s">
        <v>76</v>
      </c>
      <c r="J1043" t="s">
        <v>77</v>
      </c>
      <c r="K1043" t="s">
        <v>78</v>
      </c>
      <c r="L1043" t="s">
        <v>331</v>
      </c>
      <c r="M1043" t="s">
        <v>332</v>
      </c>
      <c r="N1043" t="s">
        <v>333</v>
      </c>
      <c r="O1043" t="s">
        <v>300</v>
      </c>
      <c r="P1043" t="str">
        <f>"4170037995                    "</f>
        <v xml:space="preserve">4170037995                    </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31.91</v>
      </c>
      <c r="AR1043">
        <v>0</v>
      </c>
      <c r="AS1043">
        <v>0</v>
      </c>
      <c r="AT1043">
        <v>0</v>
      </c>
      <c r="AU1043">
        <v>0</v>
      </c>
      <c r="AV1043">
        <v>0</v>
      </c>
      <c r="AW1043">
        <v>0</v>
      </c>
      <c r="AX1043">
        <v>0</v>
      </c>
      <c r="AY1043">
        <v>0</v>
      </c>
      <c r="AZ1043">
        <v>0</v>
      </c>
      <c r="BA1043">
        <v>0</v>
      </c>
      <c r="BB1043">
        <v>0</v>
      </c>
      <c r="BC1043">
        <v>0</v>
      </c>
      <c r="BD1043">
        <v>0</v>
      </c>
      <c r="BE1043">
        <v>0</v>
      </c>
      <c r="BF1043">
        <v>0</v>
      </c>
      <c r="BG1043">
        <v>0</v>
      </c>
      <c r="BH1043">
        <v>1</v>
      </c>
      <c r="BI1043">
        <v>9</v>
      </c>
      <c r="BJ1043">
        <v>13</v>
      </c>
      <c r="BK1043">
        <v>13</v>
      </c>
      <c r="BL1043">
        <v>110</v>
      </c>
      <c r="BM1043">
        <v>16.5</v>
      </c>
      <c r="BN1043">
        <v>126.5</v>
      </c>
      <c r="BO1043">
        <v>126.5</v>
      </c>
      <c r="BQ1043" t="s">
        <v>334</v>
      </c>
      <c r="BR1043" t="s">
        <v>84</v>
      </c>
      <c r="BS1043" s="3">
        <v>45790</v>
      </c>
      <c r="BT1043" s="4">
        <v>0.31944444444444442</v>
      </c>
      <c r="BU1043" t="s">
        <v>335</v>
      </c>
      <c r="BV1043" t="s">
        <v>86</v>
      </c>
      <c r="BY1043">
        <v>65000</v>
      </c>
      <c r="CA1043" t="s">
        <v>336</v>
      </c>
      <c r="CC1043" t="s">
        <v>332</v>
      </c>
      <c r="CD1043">
        <v>1451</v>
      </c>
      <c r="CE1043" t="s">
        <v>221</v>
      </c>
      <c r="CF1043" s="3">
        <v>45790</v>
      </c>
      <c r="CI1043">
        <v>1</v>
      </c>
      <c r="CJ1043">
        <v>1</v>
      </c>
      <c r="CK1043">
        <v>42</v>
      </c>
      <c r="CL1043" t="s">
        <v>89</v>
      </c>
    </row>
    <row r="1044" spans="1:90" x14ac:dyDescent="0.3">
      <c r="A1044" t="s">
        <v>72</v>
      </c>
      <c r="B1044" t="s">
        <v>73</v>
      </c>
      <c r="C1044" t="s">
        <v>74</v>
      </c>
      <c r="E1044" t="str">
        <f>"080065327759"</f>
        <v>080065327759</v>
      </c>
      <c r="F1044" s="3">
        <v>45789</v>
      </c>
      <c r="G1044">
        <v>202602</v>
      </c>
      <c r="H1044" t="s">
        <v>75</v>
      </c>
      <c r="I1044" t="s">
        <v>76</v>
      </c>
      <c r="J1044" t="s">
        <v>77</v>
      </c>
      <c r="K1044" t="s">
        <v>78</v>
      </c>
      <c r="L1044" t="s">
        <v>90</v>
      </c>
      <c r="M1044" t="s">
        <v>91</v>
      </c>
      <c r="N1044" t="s">
        <v>543</v>
      </c>
      <c r="O1044" t="s">
        <v>82</v>
      </c>
      <c r="P1044" t="str">
        <f>"4170037772                    "</f>
        <v xml:space="preserve">4170037772                    </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21.38</v>
      </c>
      <c r="AR1044">
        <v>0</v>
      </c>
      <c r="AS1044">
        <v>0</v>
      </c>
      <c r="AT1044">
        <v>0</v>
      </c>
      <c r="AU1044">
        <v>0</v>
      </c>
      <c r="AV1044">
        <v>0</v>
      </c>
      <c r="AW1044">
        <v>0</v>
      </c>
      <c r="AX1044">
        <v>0</v>
      </c>
      <c r="AY1044">
        <v>0</v>
      </c>
      <c r="AZ1044">
        <v>0</v>
      </c>
      <c r="BA1044">
        <v>0</v>
      </c>
      <c r="BB1044">
        <v>0</v>
      </c>
      <c r="BC1044">
        <v>0</v>
      </c>
      <c r="BD1044">
        <v>0</v>
      </c>
      <c r="BE1044">
        <v>0</v>
      </c>
      <c r="BF1044">
        <v>0</v>
      </c>
      <c r="BG1044">
        <v>0</v>
      </c>
      <c r="BH1044">
        <v>1</v>
      </c>
      <c r="BI1044">
        <v>1</v>
      </c>
      <c r="BJ1044">
        <v>0.2</v>
      </c>
      <c r="BK1044">
        <v>1</v>
      </c>
      <c r="BL1044">
        <v>69.98</v>
      </c>
      <c r="BM1044">
        <v>10.5</v>
      </c>
      <c r="BN1044">
        <v>80.48</v>
      </c>
      <c r="BO1044">
        <v>80.48</v>
      </c>
      <c r="BQ1044" t="s">
        <v>544</v>
      </c>
      <c r="BR1044" t="s">
        <v>84</v>
      </c>
      <c r="BS1044" s="3">
        <v>45790</v>
      </c>
      <c r="BT1044" s="4">
        <v>0.35555555555555557</v>
      </c>
      <c r="BU1044" t="s">
        <v>1647</v>
      </c>
      <c r="BV1044" t="s">
        <v>86</v>
      </c>
      <c r="BY1044">
        <v>1200</v>
      </c>
      <c r="CA1044" t="s">
        <v>271</v>
      </c>
      <c r="CC1044" t="s">
        <v>91</v>
      </c>
      <c r="CD1044">
        <v>6001</v>
      </c>
      <c r="CE1044" t="s">
        <v>88</v>
      </c>
      <c r="CF1044" s="3">
        <v>45790</v>
      </c>
      <c r="CI1044">
        <v>1</v>
      </c>
      <c r="CJ1044">
        <v>1</v>
      </c>
      <c r="CK1044">
        <v>21</v>
      </c>
      <c r="CL1044" t="s">
        <v>89</v>
      </c>
    </row>
    <row r="1045" spans="1:90" x14ac:dyDescent="0.3">
      <c r="A1045" t="s">
        <v>72</v>
      </c>
      <c r="B1045" t="s">
        <v>73</v>
      </c>
      <c r="C1045" t="s">
        <v>74</v>
      </c>
      <c r="E1045" t="str">
        <f>"080065327775"</f>
        <v>080065327775</v>
      </c>
      <c r="F1045" s="3">
        <v>45789</v>
      </c>
      <c r="G1045">
        <v>202602</v>
      </c>
      <c r="H1045" t="s">
        <v>75</v>
      </c>
      <c r="I1045" t="s">
        <v>76</v>
      </c>
      <c r="J1045" t="s">
        <v>77</v>
      </c>
      <c r="K1045" t="s">
        <v>78</v>
      </c>
      <c r="L1045" t="s">
        <v>90</v>
      </c>
      <c r="M1045" t="s">
        <v>91</v>
      </c>
      <c r="N1045" t="s">
        <v>543</v>
      </c>
      <c r="O1045" t="s">
        <v>82</v>
      </c>
      <c r="P1045" t="str">
        <f>"4170037972                    "</f>
        <v xml:space="preserve">4170037972                    </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21.38</v>
      </c>
      <c r="AR1045">
        <v>0</v>
      </c>
      <c r="AS1045">
        <v>0</v>
      </c>
      <c r="AT1045">
        <v>0</v>
      </c>
      <c r="AU1045">
        <v>0</v>
      </c>
      <c r="AV1045">
        <v>0</v>
      </c>
      <c r="AW1045">
        <v>0</v>
      </c>
      <c r="AX1045">
        <v>0</v>
      </c>
      <c r="AY1045">
        <v>0</v>
      </c>
      <c r="AZ1045">
        <v>0</v>
      </c>
      <c r="BA1045">
        <v>0</v>
      </c>
      <c r="BB1045">
        <v>0</v>
      </c>
      <c r="BC1045">
        <v>0</v>
      </c>
      <c r="BD1045">
        <v>0</v>
      </c>
      <c r="BE1045">
        <v>0</v>
      </c>
      <c r="BF1045">
        <v>0</v>
      </c>
      <c r="BG1045">
        <v>0</v>
      </c>
      <c r="BH1045">
        <v>1</v>
      </c>
      <c r="BI1045">
        <v>1</v>
      </c>
      <c r="BJ1045">
        <v>0.2</v>
      </c>
      <c r="BK1045">
        <v>1</v>
      </c>
      <c r="BL1045">
        <v>69.98</v>
      </c>
      <c r="BM1045">
        <v>10.5</v>
      </c>
      <c r="BN1045">
        <v>80.48</v>
      </c>
      <c r="BO1045">
        <v>80.48</v>
      </c>
      <c r="BQ1045" t="s">
        <v>544</v>
      </c>
      <c r="BR1045" t="s">
        <v>84</v>
      </c>
      <c r="BS1045" s="3">
        <v>45790</v>
      </c>
      <c r="BT1045" s="4">
        <v>0.35347222222222224</v>
      </c>
      <c r="BU1045" t="s">
        <v>1764</v>
      </c>
      <c r="BV1045" t="s">
        <v>86</v>
      </c>
      <c r="BY1045">
        <v>1200</v>
      </c>
      <c r="CA1045" t="s">
        <v>271</v>
      </c>
      <c r="CC1045" t="s">
        <v>91</v>
      </c>
      <c r="CD1045">
        <v>6001</v>
      </c>
      <c r="CE1045" t="s">
        <v>88</v>
      </c>
      <c r="CF1045" s="3">
        <v>45790</v>
      </c>
      <c r="CI1045">
        <v>1</v>
      </c>
      <c r="CJ1045">
        <v>1</v>
      </c>
      <c r="CK1045">
        <v>21</v>
      </c>
      <c r="CL1045" t="s">
        <v>89</v>
      </c>
    </row>
    <row r="1046" spans="1:90" x14ac:dyDescent="0.3">
      <c r="A1046" t="s">
        <v>72</v>
      </c>
      <c r="B1046" t="s">
        <v>73</v>
      </c>
      <c r="C1046" t="s">
        <v>74</v>
      </c>
      <c r="E1046" t="str">
        <f>"080065327781"</f>
        <v>080065327781</v>
      </c>
      <c r="F1046" s="3">
        <v>45789</v>
      </c>
      <c r="G1046">
        <v>202602</v>
      </c>
      <c r="H1046" t="s">
        <v>75</v>
      </c>
      <c r="I1046" t="s">
        <v>76</v>
      </c>
      <c r="J1046" t="s">
        <v>77</v>
      </c>
      <c r="K1046" t="s">
        <v>78</v>
      </c>
      <c r="L1046" t="s">
        <v>266</v>
      </c>
      <c r="M1046" t="s">
        <v>267</v>
      </c>
      <c r="N1046" t="s">
        <v>499</v>
      </c>
      <c r="O1046" t="s">
        <v>300</v>
      </c>
      <c r="P1046" t="str">
        <f>"4170037870                    "</f>
        <v xml:space="preserve">4170037870                    </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97.69</v>
      </c>
      <c r="AR1046">
        <v>0</v>
      </c>
      <c r="AS1046">
        <v>0</v>
      </c>
      <c r="AT1046">
        <v>0</v>
      </c>
      <c r="AU1046">
        <v>0</v>
      </c>
      <c r="AV1046">
        <v>0</v>
      </c>
      <c r="AW1046">
        <v>0</v>
      </c>
      <c r="AX1046">
        <v>0</v>
      </c>
      <c r="AY1046">
        <v>0</v>
      </c>
      <c r="AZ1046">
        <v>0</v>
      </c>
      <c r="BA1046">
        <v>0</v>
      </c>
      <c r="BB1046">
        <v>0</v>
      </c>
      <c r="BC1046">
        <v>0</v>
      </c>
      <c r="BD1046">
        <v>0</v>
      </c>
      <c r="BE1046">
        <v>0</v>
      </c>
      <c r="BF1046">
        <v>0</v>
      </c>
      <c r="BG1046">
        <v>0</v>
      </c>
      <c r="BH1046">
        <v>1</v>
      </c>
      <c r="BI1046">
        <v>21</v>
      </c>
      <c r="BJ1046">
        <v>47.4</v>
      </c>
      <c r="BK1046">
        <v>48</v>
      </c>
      <c r="BL1046">
        <v>325.27999999999997</v>
      </c>
      <c r="BM1046">
        <v>48.79</v>
      </c>
      <c r="BN1046">
        <v>374.07</v>
      </c>
      <c r="BO1046">
        <v>374.07</v>
      </c>
      <c r="BQ1046" t="s">
        <v>630</v>
      </c>
      <c r="BR1046" t="s">
        <v>84</v>
      </c>
      <c r="BS1046" s="3">
        <v>45791</v>
      </c>
      <c r="BT1046" s="4">
        <v>0.42777777777777776</v>
      </c>
      <c r="BU1046" t="s">
        <v>1765</v>
      </c>
      <c r="BV1046" t="s">
        <v>86</v>
      </c>
      <c r="BY1046">
        <v>237168</v>
      </c>
      <c r="CA1046" t="s">
        <v>271</v>
      </c>
      <c r="CC1046" t="s">
        <v>267</v>
      </c>
      <c r="CD1046">
        <v>6220</v>
      </c>
      <c r="CE1046" t="s">
        <v>96</v>
      </c>
      <c r="CF1046" s="3">
        <v>45791</v>
      </c>
      <c r="CI1046">
        <v>3</v>
      </c>
      <c r="CJ1046">
        <v>2</v>
      </c>
      <c r="CK1046">
        <v>41</v>
      </c>
      <c r="CL1046" t="s">
        <v>89</v>
      </c>
    </row>
    <row r="1047" spans="1:90" x14ac:dyDescent="0.3">
      <c r="A1047" t="s">
        <v>72</v>
      </c>
      <c r="B1047" t="s">
        <v>73</v>
      </c>
      <c r="C1047" t="s">
        <v>74</v>
      </c>
      <c r="E1047" t="str">
        <f>"080065327793"</f>
        <v>080065327793</v>
      </c>
      <c r="F1047" s="3">
        <v>45789</v>
      </c>
      <c r="G1047">
        <v>202602</v>
      </c>
      <c r="H1047" t="s">
        <v>75</v>
      </c>
      <c r="I1047" t="s">
        <v>76</v>
      </c>
      <c r="J1047" t="s">
        <v>77</v>
      </c>
      <c r="K1047" t="s">
        <v>78</v>
      </c>
      <c r="L1047" t="s">
        <v>75</v>
      </c>
      <c r="M1047" t="s">
        <v>76</v>
      </c>
      <c r="N1047" t="s">
        <v>183</v>
      </c>
      <c r="O1047" t="s">
        <v>82</v>
      </c>
      <c r="P1047" t="str">
        <f>"4170037928                    "</f>
        <v xml:space="preserve">4170037928                    </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16.7</v>
      </c>
      <c r="AR1047">
        <v>0</v>
      </c>
      <c r="AS1047">
        <v>0</v>
      </c>
      <c r="AT1047">
        <v>0</v>
      </c>
      <c r="AU1047">
        <v>0</v>
      </c>
      <c r="AV1047">
        <v>0</v>
      </c>
      <c r="AW1047">
        <v>0</v>
      </c>
      <c r="AX1047">
        <v>0</v>
      </c>
      <c r="AY1047">
        <v>0</v>
      </c>
      <c r="AZ1047">
        <v>0</v>
      </c>
      <c r="BA1047">
        <v>0</v>
      </c>
      <c r="BB1047">
        <v>0</v>
      </c>
      <c r="BC1047">
        <v>0</v>
      </c>
      <c r="BD1047">
        <v>0</v>
      </c>
      <c r="BE1047">
        <v>0</v>
      </c>
      <c r="BF1047">
        <v>0</v>
      </c>
      <c r="BG1047">
        <v>0</v>
      </c>
      <c r="BH1047">
        <v>1</v>
      </c>
      <c r="BI1047">
        <v>1</v>
      </c>
      <c r="BJ1047">
        <v>0.2</v>
      </c>
      <c r="BK1047">
        <v>1</v>
      </c>
      <c r="BL1047">
        <v>54.66</v>
      </c>
      <c r="BM1047">
        <v>8.1999999999999993</v>
      </c>
      <c r="BN1047">
        <v>62.86</v>
      </c>
      <c r="BO1047">
        <v>62.86</v>
      </c>
      <c r="BQ1047" t="s">
        <v>184</v>
      </c>
      <c r="BR1047" t="s">
        <v>84</v>
      </c>
      <c r="BS1047" s="3">
        <v>45790</v>
      </c>
      <c r="BT1047" s="4">
        <v>0.31597222222222221</v>
      </c>
      <c r="BU1047" t="s">
        <v>1732</v>
      </c>
      <c r="BV1047" t="s">
        <v>86</v>
      </c>
      <c r="BY1047">
        <v>1200</v>
      </c>
      <c r="CA1047" t="s">
        <v>115</v>
      </c>
      <c r="CC1047" t="s">
        <v>76</v>
      </c>
      <c r="CD1047">
        <v>1600</v>
      </c>
      <c r="CE1047" t="s">
        <v>88</v>
      </c>
      <c r="CF1047" s="3">
        <v>45790</v>
      </c>
      <c r="CI1047">
        <v>1</v>
      </c>
      <c r="CJ1047">
        <v>1</v>
      </c>
      <c r="CK1047">
        <v>22</v>
      </c>
      <c r="CL1047" t="s">
        <v>89</v>
      </c>
    </row>
    <row r="1048" spans="1:90" x14ac:dyDescent="0.3">
      <c r="A1048" t="s">
        <v>72</v>
      </c>
      <c r="B1048" t="s">
        <v>73</v>
      </c>
      <c r="C1048" t="s">
        <v>74</v>
      </c>
      <c r="E1048" t="str">
        <f>"080065327809"</f>
        <v>080065327809</v>
      </c>
      <c r="F1048" s="3">
        <v>45789</v>
      </c>
      <c r="G1048">
        <v>202602</v>
      </c>
      <c r="H1048" t="s">
        <v>75</v>
      </c>
      <c r="I1048" t="s">
        <v>76</v>
      </c>
      <c r="J1048" t="s">
        <v>77</v>
      </c>
      <c r="K1048" t="s">
        <v>78</v>
      </c>
      <c r="L1048" t="s">
        <v>130</v>
      </c>
      <c r="M1048" t="s">
        <v>131</v>
      </c>
      <c r="N1048" t="s">
        <v>665</v>
      </c>
      <c r="O1048" t="s">
        <v>82</v>
      </c>
      <c r="P1048" t="str">
        <f>"4170037963                    "</f>
        <v xml:space="preserve">4170037963                    </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21.38</v>
      </c>
      <c r="AR1048">
        <v>0</v>
      </c>
      <c r="AS1048">
        <v>0</v>
      </c>
      <c r="AT1048">
        <v>0</v>
      </c>
      <c r="AU1048">
        <v>0</v>
      </c>
      <c r="AV1048">
        <v>0</v>
      </c>
      <c r="AW1048">
        <v>0</v>
      </c>
      <c r="AX1048">
        <v>0</v>
      </c>
      <c r="AY1048">
        <v>0</v>
      </c>
      <c r="AZ1048">
        <v>0</v>
      </c>
      <c r="BA1048">
        <v>0</v>
      </c>
      <c r="BB1048">
        <v>0</v>
      </c>
      <c r="BC1048">
        <v>0</v>
      </c>
      <c r="BD1048">
        <v>0</v>
      </c>
      <c r="BE1048">
        <v>0</v>
      </c>
      <c r="BF1048">
        <v>0</v>
      </c>
      <c r="BG1048">
        <v>0</v>
      </c>
      <c r="BH1048">
        <v>1</v>
      </c>
      <c r="BI1048">
        <v>1</v>
      </c>
      <c r="BJ1048">
        <v>0.2</v>
      </c>
      <c r="BK1048">
        <v>1</v>
      </c>
      <c r="BL1048">
        <v>69.98</v>
      </c>
      <c r="BM1048">
        <v>10.5</v>
      </c>
      <c r="BN1048">
        <v>80.48</v>
      </c>
      <c r="BO1048">
        <v>80.48</v>
      </c>
      <c r="BQ1048" t="s">
        <v>666</v>
      </c>
      <c r="BR1048" t="s">
        <v>84</v>
      </c>
      <c r="BS1048" s="3">
        <v>45790</v>
      </c>
      <c r="BT1048" s="4">
        <v>0.4375</v>
      </c>
      <c r="BU1048" t="s">
        <v>1653</v>
      </c>
      <c r="BV1048" t="s">
        <v>86</v>
      </c>
      <c r="BY1048">
        <v>1200</v>
      </c>
      <c r="CA1048" t="s">
        <v>389</v>
      </c>
      <c r="CC1048" t="s">
        <v>131</v>
      </c>
      <c r="CD1048">
        <v>7535</v>
      </c>
      <c r="CE1048" t="s">
        <v>88</v>
      </c>
      <c r="CF1048" s="3">
        <v>45791</v>
      </c>
      <c r="CI1048">
        <v>1</v>
      </c>
      <c r="CJ1048">
        <v>1</v>
      </c>
      <c r="CK1048">
        <v>21</v>
      </c>
      <c r="CL1048" t="s">
        <v>89</v>
      </c>
    </row>
    <row r="1049" spans="1:90" x14ac:dyDescent="0.3">
      <c r="A1049" t="s">
        <v>72</v>
      </c>
      <c r="B1049" t="s">
        <v>73</v>
      </c>
      <c r="C1049" t="s">
        <v>74</v>
      </c>
      <c r="E1049" t="str">
        <f>"080065327831"</f>
        <v>080065327831</v>
      </c>
      <c r="F1049" s="3">
        <v>45789</v>
      </c>
      <c r="G1049">
        <v>202602</v>
      </c>
      <c r="H1049" t="s">
        <v>75</v>
      </c>
      <c r="I1049" t="s">
        <v>76</v>
      </c>
      <c r="J1049" t="s">
        <v>77</v>
      </c>
      <c r="K1049" t="s">
        <v>78</v>
      </c>
      <c r="L1049" t="s">
        <v>130</v>
      </c>
      <c r="M1049" t="s">
        <v>131</v>
      </c>
      <c r="N1049" t="s">
        <v>665</v>
      </c>
      <c r="O1049" t="s">
        <v>82</v>
      </c>
      <c r="P1049" t="str">
        <f>"4170037980                    "</f>
        <v xml:space="preserve">4170037980                    </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0</v>
      </c>
      <c r="AO1049">
        <v>0</v>
      </c>
      <c r="AP1049">
        <v>0</v>
      </c>
      <c r="AQ1049">
        <v>21.38</v>
      </c>
      <c r="AR1049">
        <v>0</v>
      </c>
      <c r="AS1049">
        <v>0</v>
      </c>
      <c r="AT1049">
        <v>0</v>
      </c>
      <c r="AU1049">
        <v>0</v>
      </c>
      <c r="AV1049">
        <v>0</v>
      </c>
      <c r="AW1049">
        <v>0</v>
      </c>
      <c r="AX1049">
        <v>0</v>
      </c>
      <c r="AY1049">
        <v>0</v>
      </c>
      <c r="AZ1049">
        <v>0</v>
      </c>
      <c r="BA1049">
        <v>0</v>
      </c>
      <c r="BB1049">
        <v>0</v>
      </c>
      <c r="BC1049">
        <v>0</v>
      </c>
      <c r="BD1049">
        <v>0</v>
      </c>
      <c r="BE1049">
        <v>0</v>
      </c>
      <c r="BF1049">
        <v>0</v>
      </c>
      <c r="BG1049">
        <v>0</v>
      </c>
      <c r="BH1049">
        <v>1</v>
      </c>
      <c r="BI1049">
        <v>1</v>
      </c>
      <c r="BJ1049">
        <v>0.2</v>
      </c>
      <c r="BK1049">
        <v>1</v>
      </c>
      <c r="BL1049">
        <v>69.98</v>
      </c>
      <c r="BM1049">
        <v>10.5</v>
      </c>
      <c r="BN1049">
        <v>80.48</v>
      </c>
      <c r="BO1049">
        <v>80.48</v>
      </c>
      <c r="BQ1049" t="s">
        <v>666</v>
      </c>
      <c r="BR1049" t="s">
        <v>84</v>
      </c>
      <c r="BS1049" s="3">
        <v>45790</v>
      </c>
      <c r="BT1049" s="4">
        <v>0.43958333333333333</v>
      </c>
      <c r="BU1049" t="s">
        <v>1653</v>
      </c>
      <c r="BV1049" t="s">
        <v>89</v>
      </c>
      <c r="BY1049">
        <v>1200</v>
      </c>
      <c r="CA1049" t="s">
        <v>389</v>
      </c>
      <c r="CC1049" t="s">
        <v>131</v>
      </c>
      <c r="CD1049">
        <v>7535</v>
      </c>
      <c r="CE1049" t="s">
        <v>88</v>
      </c>
      <c r="CF1049" s="3">
        <v>45791</v>
      </c>
      <c r="CI1049">
        <v>1</v>
      </c>
      <c r="CJ1049">
        <v>1</v>
      </c>
      <c r="CK1049">
        <v>21</v>
      </c>
      <c r="CL1049" t="s">
        <v>89</v>
      </c>
    </row>
    <row r="1050" spans="1:90" x14ac:dyDescent="0.3">
      <c r="A1050" t="s">
        <v>72</v>
      </c>
      <c r="B1050" t="s">
        <v>73</v>
      </c>
      <c r="C1050" t="s">
        <v>74</v>
      </c>
      <c r="E1050" t="str">
        <f>"080065327846"</f>
        <v>080065327846</v>
      </c>
      <c r="F1050" s="3">
        <v>45789</v>
      </c>
      <c r="G1050">
        <v>202602</v>
      </c>
      <c r="H1050" t="s">
        <v>75</v>
      </c>
      <c r="I1050" t="s">
        <v>76</v>
      </c>
      <c r="J1050" t="s">
        <v>77</v>
      </c>
      <c r="K1050" t="s">
        <v>78</v>
      </c>
      <c r="L1050" t="s">
        <v>79</v>
      </c>
      <c r="M1050" t="s">
        <v>80</v>
      </c>
      <c r="N1050" t="s">
        <v>880</v>
      </c>
      <c r="O1050" t="s">
        <v>82</v>
      </c>
      <c r="P1050" t="str">
        <f>"4170037907                    "</f>
        <v xml:space="preserve">4170037907                    </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21.38</v>
      </c>
      <c r="AR1050">
        <v>0</v>
      </c>
      <c r="AS1050">
        <v>0</v>
      </c>
      <c r="AT1050">
        <v>0</v>
      </c>
      <c r="AU1050">
        <v>0</v>
      </c>
      <c r="AV1050">
        <v>0</v>
      </c>
      <c r="AW1050">
        <v>0</v>
      </c>
      <c r="AX1050">
        <v>0</v>
      </c>
      <c r="AY1050">
        <v>0</v>
      </c>
      <c r="AZ1050">
        <v>0</v>
      </c>
      <c r="BA1050">
        <v>0</v>
      </c>
      <c r="BB1050">
        <v>0</v>
      </c>
      <c r="BC1050">
        <v>0</v>
      </c>
      <c r="BD1050">
        <v>0</v>
      </c>
      <c r="BE1050">
        <v>0</v>
      </c>
      <c r="BF1050">
        <v>0</v>
      </c>
      <c r="BG1050">
        <v>0</v>
      </c>
      <c r="BH1050">
        <v>1</v>
      </c>
      <c r="BI1050">
        <v>1</v>
      </c>
      <c r="BJ1050">
        <v>0.2</v>
      </c>
      <c r="BK1050">
        <v>1</v>
      </c>
      <c r="BL1050">
        <v>69.98</v>
      </c>
      <c r="BM1050">
        <v>10.5</v>
      </c>
      <c r="BN1050">
        <v>80.48</v>
      </c>
      <c r="BO1050">
        <v>80.48</v>
      </c>
      <c r="BQ1050" t="s">
        <v>881</v>
      </c>
      <c r="BR1050" t="s">
        <v>84</v>
      </c>
      <c r="BS1050" s="3">
        <v>45790</v>
      </c>
      <c r="BT1050" s="4">
        <v>0.3888888888888889</v>
      </c>
      <c r="BU1050" t="s">
        <v>1708</v>
      </c>
      <c r="BV1050" t="s">
        <v>86</v>
      </c>
      <c r="BY1050">
        <v>1200</v>
      </c>
      <c r="CA1050" t="s">
        <v>160</v>
      </c>
      <c r="CC1050" t="s">
        <v>80</v>
      </c>
      <c r="CD1050">
        <v>3620</v>
      </c>
      <c r="CE1050" t="s">
        <v>88</v>
      </c>
      <c r="CF1050" s="3">
        <v>45791</v>
      </c>
      <c r="CI1050">
        <v>1</v>
      </c>
      <c r="CJ1050">
        <v>1</v>
      </c>
      <c r="CK1050">
        <v>21</v>
      </c>
      <c r="CL1050" t="s">
        <v>89</v>
      </c>
    </row>
    <row r="1051" spans="1:90" x14ac:dyDescent="0.3">
      <c r="A1051" t="s">
        <v>72</v>
      </c>
      <c r="B1051" t="s">
        <v>73</v>
      </c>
      <c r="C1051" t="s">
        <v>74</v>
      </c>
      <c r="E1051" t="str">
        <f>"080065327861"</f>
        <v>080065327861</v>
      </c>
      <c r="F1051" s="3">
        <v>45789</v>
      </c>
      <c r="G1051">
        <v>202602</v>
      </c>
      <c r="H1051" t="s">
        <v>75</v>
      </c>
      <c r="I1051" t="s">
        <v>76</v>
      </c>
      <c r="J1051" t="s">
        <v>77</v>
      </c>
      <c r="K1051" t="s">
        <v>78</v>
      </c>
      <c r="L1051" t="s">
        <v>946</v>
      </c>
      <c r="M1051" t="s">
        <v>947</v>
      </c>
      <c r="N1051" t="s">
        <v>948</v>
      </c>
      <c r="O1051" t="s">
        <v>82</v>
      </c>
      <c r="P1051" t="str">
        <f>"4170037969                    "</f>
        <v xml:space="preserve">4170037969                    </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41.43</v>
      </c>
      <c r="AR1051">
        <v>0</v>
      </c>
      <c r="AS1051">
        <v>0</v>
      </c>
      <c r="AT1051">
        <v>0</v>
      </c>
      <c r="AU1051">
        <v>0</v>
      </c>
      <c r="AV1051">
        <v>0</v>
      </c>
      <c r="AW1051">
        <v>0</v>
      </c>
      <c r="AX1051">
        <v>0</v>
      </c>
      <c r="AY1051">
        <v>0</v>
      </c>
      <c r="AZ1051">
        <v>0</v>
      </c>
      <c r="BA1051">
        <v>0</v>
      </c>
      <c r="BB1051">
        <v>0</v>
      </c>
      <c r="BC1051">
        <v>0</v>
      </c>
      <c r="BD1051">
        <v>0</v>
      </c>
      <c r="BE1051">
        <v>0</v>
      </c>
      <c r="BF1051">
        <v>0</v>
      </c>
      <c r="BG1051">
        <v>0</v>
      </c>
      <c r="BH1051">
        <v>1</v>
      </c>
      <c r="BI1051">
        <v>1</v>
      </c>
      <c r="BJ1051">
        <v>0.2</v>
      </c>
      <c r="BK1051">
        <v>1</v>
      </c>
      <c r="BL1051">
        <v>135.59</v>
      </c>
      <c r="BM1051">
        <v>20.34</v>
      </c>
      <c r="BN1051">
        <v>155.93</v>
      </c>
      <c r="BO1051">
        <v>155.93</v>
      </c>
      <c r="BQ1051" t="s">
        <v>949</v>
      </c>
      <c r="BR1051" t="s">
        <v>84</v>
      </c>
      <c r="BS1051" s="3">
        <v>45791</v>
      </c>
      <c r="BT1051" s="4">
        <v>0.56666666666666665</v>
      </c>
      <c r="BU1051" t="s">
        <v>950</v>
      </c>
      <c r="BV1051" t="s">
        <v>86</v>
      </c>
      <c r="BY1051">
        <v>1200</v>
      </c>
      <c r="CA1051" t="s">
        <v>951</v>
      </c>
      <c r="CC1051" t="s">
        <v>947</v>
      </c>
      <c r="CD1051">
        <v>4490</v>
      </c>
      <c r="CE1051" t="s">
        <v>88</v>
      </c>
      <c r="CF1051" s="3">
        <v>45791</v>
      </c>
      <c r="CI1051">
        <v>5</v>
      </c>
      <c r="CJ1051">
        <v>2</v>
      </c>
      <c r="CK1051">
        <v>23</v>
      </c>
      <c r="CL1051" t="s">
        <v>89</v>
      </c>
    </row>
    <row r="1052" spans="1:90" x14ac:dyDescent="0.3">
      <c r="A1052" t="s">
        <v>72</v>
      </c>
      <c r="B1052" t="s">
        <v>73</v>
      </c>
      <c r="C1052" t="s">
        <v>74</v>
      </c>
      <c r="E1052" t="str">
        <f>"080065327904"</f>
        <v>080065327904</v>
      </c>
      <c r="F1052" s="3">
        <v>45789</v>
      </c>
      <c r="G1052">
        <v>202602</v>
      </c>
      <c r="H1052" t="s">
        <v>75</v>
      </c>
      <c r="I1052" t="s">
        <v>76</v>
      </c>
      <c r="J1052" t="s">
        <v>77</v>
      </c>
      <c r="K1052" t="s">
        <v>78</v>
      </c>
      <c r="L1052" t="s">
        <v>177</v>
      </c>
      <c r="M1052" t="s">
        <v>178</v>
      </c>
      <c r="N1052" t="s">
        <v>212</v>
      </c>
      <c r="O1052" t="s">
        <v>82</v>
      </c>
      <c r="P1052" t="str">
        <f>"4170037810                    "</f>
        <v xml:space="preserve">4170037810                    </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21.38</v>
      </c>
      <c r="AR1052">
        <v>0</v>
      </c>
      <c r="AS1052">
        <v>0</v>
      </c>
      <c r="AT1052">
        <v>0</v>
      </c>
      <c r="AU1052">
        <v>0</v>
      </c>
      <c r="AV1052">
        <v>0</v>
      </c>
      <c r="AW1052">
        <v>0</v>
      </c>
      <c r="AX1052">
        <v>0</v>
      </c>
      <c r="AY1052">
        <v>0</v>
      </c>
      <c r="AZ1052">
        <v>0</v>
      </c>
      <c r="BA1052">
        <v>0</v>
      </c>
      <c r="BB1052">
        <v>0</v>
      </c>
      <c r="BC1052">
        <v>0</v>
      </c>
      <c r="BD1052">
        <v>0</v>
      </c>
      <c r="BE1052">
        <v>0</v>
      </c>
      <c r="BF1052">
        <v>0</v>
      </c>
      <c r="BG1052">
        <v>0</v>
      </c>
      <c r="BH1052">
        <v>1</v>
      </c>
      <c r="BI1052">
        <v>1</v>
      </c>
      <c r="BJ1052">
        <v>0.2</v>
      </c>
      <c r="BK1052">
        <v>1</v>
      </c>
      <c r="BL1052">
        <v>69.98</v>
      </c>
      <c r="BM1052">
        <v>10.5</v>
      </c>
      <c r="BN1052">
        <v>80.48</v>
      </c>
      <c r="BO1052">
        <v>80.48</v>
      </c>
      <c r="BQ1052" t="s">
        <v>213</v>
      </c>
      <c r="BR1052" t="s">
        <v>84</v>
      </c>
      <c r="BS1052" s="3">
        <v>45790</v>
      </c>
      <c r="BT1052" s="4">
        <v>0.35208333333333336</v>
      </c>
      <c r="BU1052" t="s">
        <v>1568</v>
      </c>
      <c r="BV1052" t="s">
        <v>86</v>
      </c>
      <c r="BY1052">
        <v>1200</v>
      </c>
      <c r="CA1052" t="s">
        <v>182</v>
      </c>
      <c r="CC1052" t="s">
        <v>178</v>
      </c>
      <c r="CD1052">
        <v>6021</v>
      </c>
      <c r="CE1052" t="s">
        <v>88</v>
      </c>
      <c r="CF1052" s="3">
        <v>45790</v>
      </c>
      <c r="CI1052">
        <v>1</v>
      </c>
      <c r="CJ1052">
        <v>1</v>
      </c>
      <c r="CK1052">
        <v>21</v>
      </c>
      <c r="CL1052" t="s">
        <v>89</v>
      </c>
    </row>
    <row r="1053" spans="1:90" x14ac:dyDescent="0.3">
      <c r="A1053" t="s">
        <v>72</v>
      </c>
      <c r="B1053" t="s">
        <v>73</v>
      </c>
      <c r="C1053" t="s">
        <v>74</v>
      </c>
      <c r="E1053" t="str">
        <f>"080065327909"</f>
        <v>080065327909</v>
      </c>
      <c r="F1053" s="3">
        <v>45789</v>
      </c>
      <c r="G1053">
        <v>202602</v>
      </c>
      <c r="H1053" t="s">
        <v>75</v>
      </c>
      <c r="I1053" t="s">
        <v>76</v>
      </c>
      <c r="J1053" t="s">
        <v>77</v>
      </c>
      <c r="K1053" t="s">
        <v>78</v>
      </c>
      <c r="L1053" t="s">
        <v>136</v>
      </c>
      <c r="M1053" t="s">
        <v>137</v>
      </c>
      <c r="N1053" t="s">
        <v>1297</v>
      </c>
      <c r="O1053" t="s">
        <v>82</v>
      </c>
      <c r="P1053" t="str">
        <f>"4170037730                    "</f>
        <v xml:space="preserve">4170037730                    </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21.38</v>
      </c>
      <c r="AR1053">
        <v>0</v>
      </c>
      <c r="AS1053">
        <v>0</v>
      </c>
      <c r="AT1053">
        <v>0</v>
      </c>
      <c r="AU1053">
        <v>0</v>
      </c>
      <c r="AV1053">
        <v>0</v>
      </c>
      <c r="AW1053">
        <v>0</v>
      </c>
      <c r="AX1053">
        <v>0</v>
      </c>
      <c r="AY1053">
        <v>0</v>
      </c>
      <c r="AZ1053">
        <v>0</v>
      </c>
      <c r="BA1053">
        <v>0</v>
      </c>
      <c r="BB1053">
        <v>0</v>
      </c>
      <c r="BC1053">
        <v>0</v>
      </c>
      <c r="BD1053">
        <v>0</v>
      </c>
      <c r="BE1053">
        <v>0</v>
      </c>
      <c r="BF1053">
        <v>0</v>
      </c>
      <c r="BG1053">
        <v>0</v>
      </c>
      <c r="BH1053">
        <v>1</v>
      </c>
      <c r="BI1053">
        <v>1</v>
      </c>
      <c r="BJ1053">
        <v>1.1000000000000001</v>
      </c>
      <c r="BK1053">
        <v>1.5</v>
      </c>
      <c r="BL1053">
        <v>69.98</v>
      </c>
      <c r="BM1053">
        <v>10.5</v>
      </c>
      <c r="BN1053">
        <v>80.48</v>
      </c>
      <c r="BO1053">
        <v>80.48</v>
      </c>
      <c r="BQ1053" t="s">
        <v>1298</v>
      </c>
      <c r="BR1053" t="s">
        <v>84</v>
      </c>
      <c r="BS1053" s="3">
        <v>45790</v>
      </c>
      <c r="BT1053" s="4">
        <v>0.37222222222222223</v>
      </c>
      <c r="BU1053" t="s">
        <v>1299</v>
      </c>
      <c r="BV1053" t="s">
        <v>86</v>
      </c>
      <c r="BY1053">
        <v>5320</v>
      </c>
      <c r="CA1053" t="s">
        <v>141</v>
      </c>
      <c r="CC1053" t="s">
        <v>137</v>
      </c>
      <c r="CD1053" s="5" t="s">
        <v>1239</v>
      </c>
      <c r="CE1053" t="s">
        <v>116</v>
      </c>
      <c r="CF1053" s="3">
        <v>45790</v>
      </c>
      <c r="CI1053">
        <v>1</v>
      </c>
      <c r="CJ1053">
        <v>1</v>
      </c>
      <c r="CK1053">
        <v>21</v>
      </c>
      <c r="CL1053" t="s">
        <v>89</v>
      </c>
    </row>
    <row r="1054" spans="1:90" x14ac:dyDescent="0.3">
      <c r="A1054" t="s">
        <v>72</v>
      </c>
      <c r="B1054" t="s">
        <v>73</v>
      </c>
      <c r="C1054" t="s">
        <v>74</v>
      </c>
      <c r="E1054" t="str">
        <f>"080065327933"</f>
        <v>080065327933</v>
      </c>
      <c r="F1054" s="3">
        <v>45789</v>
      </c>
      <c r="G1054">
        <v>202602</v>
      </c>
      <c r="H1054" t="s">
        <v>75</v>
      </c>
      <c r="I1054" t="s">
        <v>76</v>
      </c>
      <c r="J1054" t="s">
        <v>77</v>
      </c>
      <c r="K1054" t="s">
        <v>78</v>
      </c>
      <c r="L1054" t="s">
        <v>75</v>
      </c>
      <c r="M1054" t="s">
        <v>76</v>
      </c>
      <c r="N1054" t="s">
        <v>822</v>
      </c>
      <c r="O1054" t="s">
        <v>82</v>
      </c>
      <c r="P1054" t="str">
        <f>"4170037758                    "</f>
        <v xml:space="preserve">4170037758                    </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16.7</v>
      </c>
      <c r="AR1054">
        <v>0</v>
      </c>
      <c r="AS1054">
        <v>0</v>
      </c>
      <c r="AT1054">
        <v>0</v>
      </c>
      <c r="AU1054">
        <v>0</v>
      </c>
      <c r="AV1054">
        <v>0</v>
      </c>
      <c r="AW1054">
        <v>0</v>
      </c>
      <c r="AX1054">
        <v>0</v>
      </c>
      <c r="AY1054">
        <v>0</v>
      </c>
      <c r="AZ1054">
        <v>0</v>
      </c>
      <c r="BA1054">
        <v>0</v>
      </c>
      <c r="BB1054">
        <v>0</v>
      </c>
      <c r="BC1054">
        <v>0</v>
      </c>
      <c r="BD1054">
        <v>0</v>
      </c>
      <c r="BE1054">
        <v>0</v>
      </c>
      <c r="BF1054">
        <v>0</v>
      </c>
      <c r="BG1054">
        <v>0</v>
      </c>
      <c r="BH1054">
        <v>1</v>
      </c>
      <c r="BI1054">
        <v>5</v>
      </c>
      <c r="BJ1054">
        <v>2</v>
      </c>
      <c r="BK1054">
        <v>5</v>
      </c>
      <c r="BL1054">
        <v>54.66</v>
      </c>
      <c r="BM1054">
        <v>8.1999999999999993</v>
      </c>
      <c r="BN1054">
        <v>62.86</v>
      </c>
      <c r="BO1054">
        <v>62.86</v>
      </c>
      <c r="BQ1054" t="s">
        <v>823</v>
      </c>
      <c r="BR1054" t="s">
        <v>84</v>
      </c>
      <c r="BS1054" s="3">
        <v>45790</v>
      </c>
      <c r="BT1054" s="4">
        <v>0.42291666666666666</v>
      </c>
      <c r="BU1054" t="s">
        <v>671</v>
      </c>
      <c r="BV1054" t="s">
        <v>86</v>
      </c>
      <c r="BY1054">
        <v>9900</v>
      </c>
      <c r="CA1054" t="s">
        <v>150</v>
      </c>
      <c r="CC1054" t="s">
        <v>76</v>
      </c>
      <c r="CD1054">
        <v>1614</v>
      </c>
      <c r="CE1054" t="s">
        <v>96</v>
      </c>
      <c r="CF1054" s="3">
        <v>45791</v>
      </c>
      <c r="CI1054">
        <v>1</v>
      </c>
      <c r="CJ1054">
        <v>1</v>
      </c>
      <c r="CK1054">
        <v>22</v>
      </c>
      <c r="CL1054" t="s">
        <v>89</v>
      </c>
    </row>
    <row r="1055" spans="1:90" x14ac:dyDescent="0.3">
      <c r="A1055" t="s">
        <v>72</v>
      </c>
      <c r="B1055" t="s">
        <v>73</v>
      </c>
      <c r="C1055" t="s">
        <v>74</v>
      </c>
      <c r="E1055" t="str">
        <f>"080065327929"</f>
        <v>080065327929</v>
      </c>
      <c r="F1055" s="3">
        <v>45789</v>
      </c>
      <c r="G1055">
        <v>202602</v>
      </c>
      <c r="H1055" t="s">
        <v>75</v>
      </c>
      <c r="I1055" t="s">
        <v>76</v>
      </c>
      <c r="J1055" t="s">
        <v>77</v>
      </c>
      <c r="K1055" t="s">
        <v>78</v>
      </c>
      <c r="L1055" t="s">
        <v>130</v>
      </c>
      <c r="M1055" t="s">
        <v>131</v>
      </c>
      <c r="N1055" t="s">
        <v>909</v>
      </c>
      <c r="O1055" t="s">
        <v>82</v>
      </c>
      <c r="P1055" t="str">
        <f>"4170037895                    "</f>
        <v xml:space="preserve">4170037895                    </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21.38</v>
      </c>
      <c r="AR1055">
        <v>0</v>
      </c>
      <c r="AS1055">
        <v>0</v>
      </c>
      <c r="AT1055">
        <v>0</v>
      </c>
      <c r="AU1055">
        <v>0</v>
      </c>
      <c r="AV1055">
        <v>0</v>
      </c>
      <c r="AW1055">
        <v>0</v>
      </c>
      <c r="AX1055">
        <v>0</v>
      </c>
      <c r="AY1055">
        <v>0</v>
      </c>
      <c r="AZ1055">
        <v>0</v>
      </c>
      <c r="BA1055">
        <v>0</v>
      </c>
      <c r="BB1055">
        <v>0</v>
      </c>
      <c r="BC1055">
        <v>0</v>
      </c>
      <c r="BD1055">
        <v>0</v>
      </c>
      <c r="BE1055">
        <v>0</v>
      </c>
      <c r="BF1055">
        <v>0</v>
      </c>
      <c r="BG1055">
        <v>0</v>
      </c>
      <c r="BH1055">
        <v>1</v>
      </c>
      <c r="BI1055">
        <v>1</v>
      </c>
      <c r="BJ1055">
        <v>0.2</v>
      </c>
      <c r="BK1055">
        <v>1</v>
      </c>
      <c r="BL1055">
        <v>69.98</v>
      </c>
      <c r="BM1055">
        <v>10.5</v>
      </c>
      <c r="BN1055">
        <v>80.48</v>
      </c>
      <c r="BO1055">
        <v>80.48</v>
      </c>
      <c r="BQ1055" t="s">
        <v>910</v>
      </c>
      <c r="BR1055" t="s">
        <v>84</v>
      </c>
      <c r="BS1055" s="3">
        <v>45790</v>
      </c>
      <c r="BT1055" s="4">
        <v>0.42291666666666666</v>
      </c>
      <c r="BU1055" t="s">
        <v>1711</v>
      </c>
      <c r="BV1055" t="s">
        <v>86</v>
      </c>
      <c r="BY1055">
        <v>1200</v>
      </c>
      <c r="CA1055" t="s">
        <v>712</v>
      </c>
      <c r="CC1055" t="s">
        <v>131</v>
      </c>
      <c r="CD1055">
        <v>7530</v>
      </c>
      <c r="CE1055" t="s">
        <v>88</v>
      </c>
      <c r="CF1055" s="3">
        <v>45791</v>
      </c>
      <c r="CI1055">
        <v>1</v>
      </c>
      <c r="CJ1055">
        <v>1</v>
      </c>
      <c r="CK1055">
        <v>21</v>
      </c>
      <c r="CL1055" t="s">
        <v>89</v>
      </c>
    </row>
    <row r="1056" spans="1:90" x14ac:dyDescent="0.3">
      <c r="A1056" t="s">
        <v>72</v>
      </c>
      <c r="B1056" t="s">
        <v>73</v>
      </c>
      <c r="C1056" t="s">
        <v>74</v>
      </c>
      <c r="E1056" t="str">
        <f>"080065327955"</f>
        <v>080065327955</v>
      </c>
      <c r="F1056" s="3">
        <v>45789</v>
      </c>
      <c r="G1056">
        <v>202602</v>
      </c>
      <c r="H1056" t="s">
        <v>75</v>
      </c>
      <c r="I1056" t="s">
        <v>76</v>
      </c>
      <c r="J1056" t="s">
        <v>77</v>
      </c>
      <c r="K1056" t="s">
        <v>78</v>
      </c>
      <c r="L1056" t="s">
        <v>350</v>
      </c>
      <c r="M1056" t="s">
        <v>351</v>
      </c>
      <c r="N1056" t="s">
        <v>678</v>
      </c>
      <c r="O1056" t="s">
        <v>82</v>
      </c>
      <c r="P1056" t="str">
        <f>"4170037776                    "</f>
        <v xml:space="preserve">4170037776                    </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53.43</v>
      </c>
      <c r="AR1056">
        <v>0</v>
      </c>
      <c r="AS1056">
        <v>0</v>
      </c>
      <c r="AT1056">
        <v>0</v>
      </c>
      <c r="AU1056">
        <v>0</v>
      </c>
      <c r="AV1056">
        <v>0</v>
      </c>
      <c r="AW1056">
        <v>0</v>
      </c>
      <c r="AX1056">
        <v>0</v>
      </c>
      <c r="AY1056">
        <v>0</v>
      </c>
      <c r="AZ1056">
        <v>0</v>
      </c>
      <c r="BA1056">
        <v>0</v>
      </c>
      <c r="BB1056">
        <v>0</v>
      </c>
      <c r="BC1056">
        <v>0</v>
      </c>
      <c r="BD1056">
        <v>0</v>
      </c>
      <c r="BE1056">
        <v>0</v>
      </c>
      <c r="BF1056">
        <v>0</v>
      </c>
      <c r="BG1056">
        <v>0</v>
      </c>
      <c r="BH1056">
        <v>1</v>
      </c>
      <c r="BI1056">
        <v>5</v>
      </c>
      <c r="BJ1056">
        <v>1.7</v>
      </c>
      <c r="BK1056">
        <v>5</v>
      </c>
      <c r="BL1056">
        <v>174.87</v>
      </c>
      <c r="BM1056">
        <v>26.23</v>
      </c>
      <c r="BN1056">
        <v>201.1</v>
      </c>
      <c r="BO1056">
        <v>201.1</v>
      </c>
      <c r="BQ1056" t="s">
        <v>679</v>
      </c>
      <c r="BR1056" t="s">
        <v>84</v>
      </c>
      <c r="BS1056" s="3">
        <v>45790</v>
      </c>
      <c r="BT1056" s="4">
        <v>0.54861111111111116</v>
      </c>
      <c r="BU1056" t="s">
        <v>680</v>
      </c>
      <c r="BV1056" t="s">
        <v>89</v>
      </c>
      <c r="BY1056">
        <v>8512</v>
      </c>
      <c r="CA1056" t="s">
        <v>326</v>
      </c>
      <c r="CC1056" t="s">
        <v>351</v>
      </c>
      <c r="CD1056">
        <v>4052</v>
      </c>
      <c r="CE1056" t="s">
        <v>96</v>
      </c>
      <c r="CF1056" s="3">
        <v>45791</v>
      </c>
      <c r="CI1056">
        <v>1</v>
      </c>
      <c r="CJ1056">
        <v>1</v>
      </c>
      <c r="CK1056">
        <v>21</v>
      </c>
      <c r="CL1056" t="s">
        <v>89</v>
      </c>
    </row>
    <row r="1057" spans="1:90" x14ac:dyDescent="0.3">
      <c r="A1057" t="s">
        <v>72</v>
      </c>
      <c r="B1057" t="s">
        <v>73</v>
      </c>
      <c r="C1057" t="s">
        <v>74</v>
      </c>
      <c r="E1057" t="str">
        <f>"080065327959"</f>
        <v>080065327959</v>
      </c>
      <c r="F1057" s="3">
        <v>45789</v>
      </c>
      <c r="G1057">
        <v>202602</v>
      </c>
      <c r="H1057" t="s">
        <v>75</v>
      </c>
      <c r="I1057" t="s">
        <v>76</v>
      </c>
      <c r="J1057" t="s">
        <v>77</v>
      </c>
      <c r="K1057" t="s">
        <v>78</v>
      </c>
      <c r="L1057" t="s">
        <v>90</v>
      </c>
      <c r="M1057" t="s">
        <v>91</v>
      </c>
      <c r="N1057" t="s">
        <v>1211</v>
      </c>
      <c r="O1057" t="s">
        <v>82</v>
      </c>
      <c r="P1057" t="str">
        <f>"4170037806                    "</f>
        <v xml:space="preserve">4170037806                    </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21.38</v>
      </c>
      <c r="AR1057">
        <v>0</v>
      </c>
      <c r="AS1057">
        <v>0</v>
      </c>
      <c r="AT1057">
        <v>0</v>
      </c>
      <c r="AU1057">
        <v>0</v>
      </c>
      <c r="AV1057">
        <v>0</v>
      </c>
      <c r="AW1057">
        <v>0</v>
      </c>
      <c r="AX1057">
        <v>0</v>
      </c>
      <c r="AY1057">
        <v>0</v>
      </c>
      <c r="AZ1057">
        <v>0</v>
      </c>
      <c r="BA1057">
        <v>0</v>
      </c>
      <c r="BB1057">
        <v>0</v>
      </c>
      <c r="BC1057">
        <v>0</v>
      </c>
      <c r="BD1057">
        <v>0</v>
      </c>
      <c r="BE1057">
        <v>0</v>
      </c>
      <c r="BF1057">
        <v>0</v>
      </c>
      <c r="BG1057">
        <v>0</v>
      </c>
      <c r="BH1057">
        <v>1</v>
      </c>
      <c r="BI1057">
        <v>1</v>
      </c>
      <c r="BJ1057">
        <v>0.2</v>
      </c>
      <c r="BK1057">
        <v>1</v>
      </c>
      <c r="BL1057">
        <v>69.98</v>
      </c>
      <c r="BM1057">
        <v>10.5</v>
      </c>
      <c r="BN1057">
        <v>80.48</v>
      </c>
      <c r="BO1057">
        <v>80.48</v>
      </c>
      <c r="BQ1057" t="s">
        <v>1212</v>
      </c>
      <c r="BR1057" t="s">
        <v>84</v>
      </c>
      <c r="BS1057" s="3">
        <v>45790</v>
      </c>
      <c r="BT1057" s="4">
        <v>0.42916666666666664</v>
      </c>
      <c r="BU1057" t="s">
        <v>1746</v>
      </c>
      <c r="BV1057" t="s">
        <v>86</v>
      </c>
      <c r="BY1057">
        <v>1200</v>
      </c>
      <c r="CA1057" t="s">
        <v>943</v>
      </c>
      <c r="CC1057" t="s">
        <v>91</v>
      </c>
      <c r="CD1057">
        <v>6012</v>
      </c>
      <c r="CE1057" t="s">
        <v>88</v>
      </c>
      <c r="CF1057" s="3">
        <v>45790</v>
      </c>
      <c r="CI1057">
        <v>1</v>
      </c>
      <c r="CJ1057">
        <v>1</v>
      </c>
      <c r="CK1057">
        <v>21</v>
      </c>
      <c r="CL1057" t="s">
        <v>89</v>
      </c>
    </row>
    <row r="1058" spans="1:90" x14ac:dyDescent="0.3">
      <c r="A1058" t="s">
        <v>72</v>
      </c>
      <c r="B1058" t="s">
        <v>73</v>
      </c>
      <c r="C1058" t="s">
        <v>74</v>
      </c>
      <c r="E1058" t="str">
        <f>"080065327981"</f>
        <v>080065327981</v>
      </c>
      <c r="F1058" s="3">
        <v>45789</v>
      </c>
      <c r="G1058">
        <v>202602</v>
      </c>
      <c r="H1058" t="s">
        <v>75</v>
      </c>
      <c r="I1058" t="s">
        <v>76</v>
      </c>
      <c r="J1058" t="s">
        <v>77</v>
      </c>
      <c r="K1058" t="s">
        <v>78</v>
      </c>
      <c r="L1058" t="s">
        <v>130</v>
      </c>
      <c r="M1058" t="s">
        <v>131</v>
      </c>
      <c r="N1058" t="s">
        <v>1066</v>
      </c>
      <c r="O1058" t="s">
        <v>82</v>
      </c>
      <c r="P1058" t="str">
        <f>"4170037878                    "</f>
        <v xml:space="preserve">4170037878                    </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42.75</v>
      </c>
      <c r="AR1058">
        <v>0</v>
      </c>
      <c r="AS1058">
        <v>0</v>
      </c>
      <c r="AT1058">
        <v>0</v>
      </c>
      <c r="AU1058">
        <v>0</v>
      </c>
      <c r="AV1058">
        <v>0</v>
      </c>
      <c r="AW1058">
        <v>0</v>
      </c>
      <c r="AX1058">
        <v>0</v>
      </c>
      <c r="AY1058">
        <v>0</v>
      </c>
      <c r="AZ1058">
        <v>0</v>
      </c>
      <c r="BA1058">
        <v>0</v>
      </c>
      <c r="BB1058">
        <v>0</v>
      </c>
      <c r="BC1058">
        <v>0</v>
      </c>
      <c r="BD1058">
        <v>0</v>
      </c>
      <c r="BE1058">
        <v>0</v>
      </c>
      <c r="BF1058">
        <v>0</v>
      </c>
      <c r="BG1058">
        <v>0</v>
      </c>
      <c r="BH1058">
        <v>1</v>
      </c>
      <c r="BI1058">
        <v>4</v>
      </c>
      <c r="BJ1058">
        <v>3.8</v>
      </c>
      <c r="BK1058">
        <v>4</v>
      </c>
      <c r="BL1058">
        <v>139.91</v>
      </c>
      <c r="BM1058">
        <v>20.99</v>
      </c>
      <c r="BN1058">
        <v>160.9</v>
      </c>
      <c r="BO1058">
        <v>160.9</v>
      </c>
      <c r="BQ1058" t="s">
        <v>1067</v>
      </c>
      <c r="BR1058" t="s">
        <v>84</v>
      </c>
      <c r="BS1058" s="3">
        <v>45790</v>
      </c>
      <c r="BT1058" s="4">
        <v>0.47152777777777777</v>
      </c>
      <c r="BU1058" t="s">
        <v>1669</v>
      </c>
      <c r="BV1058" t="s">
        <v>89</v>
      </c>
      <c r="BY1058">
        <v>18792</v>
      </c>
      <c r="CA1058" t="s">
        <v>712</v>
      </c>
      <c r="CC1058" t="s">
        <v>131</v>
      </c>
      <c r="CD1058">
        <v>7561</v>
      </c>
      <c r="CE1058" t="s">
        <v>221</v>
      </c>
      <c r="CF1058" s="3">
        <v>45791</v>
      </c>
      <c r="CI1058">
        <v>1</v>
      </c>
      <c r="CJ1058">
        <v>1</v>
      </c>
      <c r="CK1058">
        <v>21</v>
      </c>
      <c r="CL1058" t="s">
        <v>89</v>
      </c>
    </row>
    <row r="1059" spans="1:90" x14ac:dyDescent="0.3">
      <c r="A1059" t="s">
        <v>72</v>
      </c>
      <c r="B1059" t="s">
        <v>73</v>
      </c>
      <c r="C1059" t="s">
        <v>74</v>
      </c>
      <c r="E1059" t="str">
        <f>"080065327989"</f>
        <v>080065327989</v>
      </c>
      <c r="F1059" s="3">
        <v>45789</v>
      </c>
      <c r="G1059">
        <v>202602</v>
      </c>
      <c r="H1059" t="s">
        <v>75</v>
      </c>
      <c r="I1059" t="s">
        <v>76</v>
      </c>
      <c r="J1059" t="s">
        <v>77</v>
      </c>
      <c r="K1059" t="s">
        <v>78</v>
      </c>
      <c r="L1059" t="s">
        <v>130</v>
      </c>
      <c r="M1059" t="s">
        <v>131</v>
      </c>
      <c r="N1059" t="s">
        <v>327</v>
      </c>
      <c r="O1059" t="s">
        <v>82</v>
      </c>
      <c r="P1059" t="str">
        <f>"4170037773                    "</f>
        <v xml:space="preserve">4170037773                    </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21.38</v>
      </c>
      <c r="AR1059">
        <v>0</v>
      </c>
      <c r="AS1059">
        <v>0</v>
      </c>
      <c r="AT1059">
        <v>0</v>
      </c>
      <c r="AU1059">
        <v>0</v>
      </c>
      <c r="AV1059">
        <v>0</v>
      </c>
      <c r="AW1059">
        <v>0</v>
      </c>
      <c r="AX1059">
        <v>0</v>
      </c>
      <c r="AY1059">
        <v>0</v>
      </c>
      <c r="AZ1059">
        <v>0</v>
      </c>
      <c r="BA1059">
        <v>0</v>
      </c>
      <c r="BB1059">
        <v>0</v>
      </c>
      <c r="BC1059">
        <v>0</v>
      </c>
      <c r="BD1059">
        <v>0</v>
      </c>
      <c r="BE1059">
        <v>0</v>
      </c>
      <c r="BF1059">
        <v>0</v>
      </c>
      <c r="BG1059">
        <v>0</v>
      </c>
      <c r="BH1059">
        <v>1</v>
      </c>
      <c r="BI1059">
        <v>1</v>
      </c>
      <c r="BJ1059">
        <v>0.2</v>
      </c>
      <c r="BK1059">
        <v>1</v>
      </c>
      <c r="BL1059">
        <v>69.98</v>
      </c>
      <c r="BM1059">
        <v>10.5</v>
      </c>
      <c r="BN1059">
        <v>80.48</v>
      </c>
      <c r="BO1059">
        <v>80.48</v>
      </c>
      <c r="BQ1059" t="s">
        <v>328</v>
      </c>
      <c r="BR1059" t="s">
        <v>84</v>
      </c>
      <c r="BS1059" s="3">
        <v>45789</v>
      </c>
      <c r="BT1059" s="4">
        <v>0.41666666666666669</v>
      </c>
      <c r="BU1059" t="s">
        <v>1766</v>
      </c>
      <c r="BV1059" t="s">
        <v>86</v>
      </c>
      <c r="BY1059">
        <v>1200</v>
      </c>
      <c r="CC1059" t="s">
        <v>131</v>
      </c>
      <c r="CD1059">
        <v>7480</v>
      </c>
      <c r="CE1059" t="s">
        <v>88</v>
      </c>
      <c r="CF1059" s="3">
        <v>45797</v>
      </c>
      <c r="CI1059">
        <v>1</v>
      </c>
      <c r="CJ1059">
        <v>0</v>
      </c>
      <c r="CK1059">
        <v>21</v>
      </c>
      <c r="CL1059" t="s">
        <v>89</v>
      </c>
    </row>
    <row r="1060" spans="1:90" x14ac:dyDescent="0.3">
      <c r="A1060" t="s">
        <v>72</v>
      </c>
      <c r="B1060" t="s">
        <v>73</v>
      </c>
      <c r="C1060" t="s">
        <v>74</v>
      </c>
      <c r="E1060" t="str">
        <f>"080065328052"</f>
        <v>080065328052</v>
      </c>
      <c r="F1060" s="3">
        <v>45789</v>
      </c>
      <c r="G1060">
        <v>202602</v>
      </c>
      <c r="H1060" t="s">
        <v>75</v>
      </c>
      <c r="I1060" t="s">
        <v>76</v>
      </c>
      <c r="J1060" t="s">
        <v>77</v>
      </c>
      <c r="K1060" t="s">
        <v>78</v>
      </c>
      <c r="L1060" t="s">
        <v>222</v>
      </c>
      <c r="M1060" t="s">
        <v>223</v>
      </c>
      <c r="N1060" t="s">
        <v>224</v>
      </c>
      <c r="O1060" t="s">
        <v>82</v>
      </c>
      <c r="P1060" t="str">
        <f>"4170037745                    "</f>
        <v xml:space="preserve">4170037745                    </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30.07</v>
      </c>
      <c r="AR1060">
        <v>0</v>
      </c>
      <c r="AS1060">
        <v>0</v>
      </c>
      <c r="AT1060">
        <v>0</v>
      </c>
      <c r="AU1060">
        <v>0</v>
      </c>
      <c r="AV1060">
        <v>0</v>
      </c>
      <c r="AW1060">
        <v>0</v>
      </c>
      <c r="AX1060">
        <v>0</v>
      </c>
      <c r="AY1060">
        <v>0</v>
      </c>
      <c r="AZ1060">
        <v>0</v>
      </c>
      <c r="BA1060">
        <v>0</v>
      </c>
      <c r="BB1060">
        <v>0</v>
      </c>
      <c r="BC1060">
        <v>0</v>
      </c>
      <c r="BD1060">
        <v>0</v>
      </c>
      <c r="BE1060">
        <v>0</v>
      </c>
      <c r="BF1060">
        <v>0</v>
      </c>
      <c r="BG1060">
        <v>0</v>
      </c>
      <c r="BH1060">
        <v>1</v>
      </c>
      <c r="BI1060">
        <v>2</v>
      </c>
      <c r="BJ1060">
        <v>1.2</v>
      </c>
      <c r="BK1060">
        <v>2</v>
      </c>
      <c r="BL1060">
        <v>98.42</v>
      </c>
      <c r="BM1060">
        <v>14.76</v>
      </c>
      <c r="BN1060">
        <v>113.18</v>
      </c>
      <c r="BO1060">
        <v>113.18</v>
      </c>
      <c r="BQ1060" t="s">
        <v>225</v>
      </c>
      <c r="BR1060" t="s">
        <v>84</v>
      </c>
      <c r="BS1060" s="3">
        <v>45790</v>
      </c>
      <c r="BT1060" s="4">
        <v>0.45763888888888887</v>
      </c>
      <c r="BU1060" t="s">
        <v>226</v>
      </c>
      <c r="BV1060" t="s">
        <v>86</v>
      </c>
      <c r="BY1060">
        <v>5880</v>
      </c>
      <c r="CA1060" t="s">
        <v>227</v>
      </c>
      <c r="CC1060" t="s">
        <v>223</v>
      </c>
      <c r="CD1060">
        <v>1754</v>
      </c>
      <c r="CE1060" t="s">
        <v>96</v>
      </c>
      <c r="CF1060" s="3">
        <v>45791</v>
      </c>
      <c r="CI1060">
        <v>1</v>
      </c>
      <c r="CJ1060">
        <v>1</v>
      </c>
      <c r="CK1060">
        <v>24</v>
      </c>
      <c r="CL1060" t="s">
        <v>89</v>
      </c>
    </row>
    <row r="1061" spans="1:90" x14ac:dyDescent="0.3">
      <c r="A1061" t="s">
        <v>72</v>
      </c>
      <c r="B1061" t="s">
        <v>73</v>
      </c>
      <c r="C1061" t="s">
        <v>74</v>
      </c>
      <c r="E1061" t="str">
        <f>"080065328069"</f>
        <v>080065328069</v>
      </c>
      <c r="F1061" s="3">
        <v>45789</v>
      </c>
      <c r="G1061">
        <v>202602</v>
      </c>
      <c r="H1061" t="s">
        <v>75</v>
      </c>
      <c r="I1061" t="s">
        <v>76</v>
      </c>
      <c r="J1061" t="s">
        <v>77</v>
      </c>
      <c r="K1061" t="s">
        <v>78</v>
      </c>
      <c r="L1061" t="s">
        <v>130</v>
      </c>
      <c r="M1061" t="s">
        <v>131</v>
      </c>
      <c r="N1061" t="s">
        <v>327</v>
      </c>
      <c r="O1061" t="s">
        <v>82</v>
      </c>
      <c r="P1061" t="str">
        <f>"4170037773                    "</f>
        <v xml:space="preserve">4170037773                    </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21.38</v>
      </c>
      <c r="AR1061">
        <v>0</v>
      </c>
      <c r="AS1061">
        <v>0</v>
      </c>
      <c r="AT1061">
        <v>0</v>
      </c>
      <c r="AU1061">
        <v>0</v>
      </c>
      <c r="AV1061">
        <v>0</v>
      </c>
      <c r="AW1061">
        <v>0</v>
      </c>
      <c r="AX1061">
        <v>0</v>
      </c>
      <c r="AY1061">
        <v>0</v>
      </c>
      <c r="AZ1061">
        <v>0</v>
      </c>
      <c r="BA1061">
        <v>0</v>
      </c>
      <c r="BB1061">
        <v>0</v>
      </c>
      <c r="BC1061">
        <v>0</v>
      </c>
      <c r="BD1061">
        <v>0</v>
      </c>
      <c r="BE1061">
        <v>0</v>
      </c>
      <c r="BF1061">
        <v>0</v>
      </c>
      <c r="BG1061">
        <v>0</v>
      </c>
      <c r="BH1061">
        <v>1</v>
      </c>
      <c r="BI1061">
        <v>1</v>
      </c>
      <c r="BJ1061">
        <v>0.2</v>
      </c>
      <c r="BK1061">
        <v>1</v>
      </c>
      <c r="BL1061">
        <v>69.98</v>
      </c>
      <c r="BM1061">
        <v>10.5</v>
      </c>
      <c r="BN1061">
        <v>80.48</v>
      </c>
      <c r="BO1061">
        <v>80.48</v>
      </c>
      <c r="BQ1061" t="s">
        <v>328</v>
      </c>
      <c r="BR1061" t="s">
        <v>84</v>
      </c>
      <c r="BS1061" s="3">
        <v>45790</v>
      </c>
      <c r="BT1061" s="4">
        <v>0.41875000000000001</v>
      </c>
      <c r="BU1061" t="s">
        <v>1767</v>
      </c>
      <c r="BV1061" t="s">
        <v>86</v>
      </c>
      <c r="BY1061">
        <v>1200</v>
      </c>
      <c r="CA1061" t="s">
        <v>330</v>
      </c>
      <c r="CC1061" t="s">
        <v>131</v>
      </c>
      <c r="CD1061">
        <v>7480</v>
      </c>
      <c r="CE1061" t="s">
        <v>88</v>
      </c>
      <c r="CF1061" s="3">
        <v>45791</v>
      </c>
      <c r="CI1061">
        <v>1</v>
      </c>
      <c r="CJ1061">
        <v>1</v>
      </c>
      <c r="CK1061">
        <v>21</v>
      </c>
      <c r="CL1061" t="s">
        <v>89</v>
      </c>
    </row>
    <row r="1062" spans="1:90" x14ac:dyDescent="0.3">
      <c r="A1062" t="s">
        <v>72</v>
      </c>
      <c r="B1062" t="s">
        <v>73</v>
      </c>
      <c r="C1062" t="s">
        <v>74</v>
      </c>
      <c r="E1062" t="str">
        <f>"080065328076"</f>
        <v>080065328076</v>
      </c>
      <c r="F1062" s="3">
        <v>45789</v>
      </c>
      <c r="G1062">
        <v>202602</v>
      </c>
      <c r="H1062" t="s">
        <v>75</v>
      </c>
      <c r="I1062" t="s">
        <v>76</v>
      </c>
      <c r="J1062" t="s">
        <v>77</v>
      </c>
      <c r="K1062" t="s">
        <v>78</v>
      </c>
      <c r="L1062" t="s">
        <v>136</v>
      </c>
      <c r="M1062" t="s">
        <v>137</v>
      </c>
      <c r="N1062" t="s">
        <v>735</v>
      </c>
      <c r="O1062" t="s">
        <v>82</v>
      </c>
      <c r="P1062" t="str">
        <f>"4170037869                    "</f>
        <v xml:space="preserve">4170037869                    </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21.38</v>
      </c>
      <c r="AR1062">
        <v>0</v>
      </c>
      <c r="AS1062">
        <v>0</v>
      </c>
      <c r="AT1062">
        <v>0</v>
      </c>
      <c r="AU1062">
        <v>0</v>
      </c>
      <c r="AV1062">
        <v>0</v>
      </c>
      <c r="AW1062">
        <v>0</v>
      </c>
      <c r="AX1062">
        <v>0</v>
      </c>
      <c r="AY1062">
        <v>0</v>
      </c>
      <c r="AZ1062">
        <v>0</v>
      </c>
      <c r="BA1062">
        <v>0</v>
      </c>
      <c r="BB1062">
        <v>0</v>
      </c>
      <c r="BC1062">
        <v>0</v>
      </c>
      <c r="BD1062">
        <v>0</v>
      </c>
      <c r="BE1062">
        <v>0</v>
      </c>
      <c r="BF1062">
        <v>0</v>
      </c>
      <c r="BG1062">
        <v>0</v>
      </c>
      <c r="BH1062">
        <v>1</v>
      </c>
      <c r="BI1062">
        <v>1</v>
      </c>
      <c r="BJ1062">
        <v>0.2</v>
      </c>
      <c r="BK1062">
        <v>1</v>
      </c>
      <c r="BL1062">
        <v>69.98</v>
      </c>
      <c r="BM1062">
        <v>10.5</v>
      </c>
      <c r="BN1062">
        <v>80.48</v>
      </c>
      <c r="BO1062">
        <v>80.48</v>
      </c>
      <c r="BQ1062" t="s">
        <v>736</v>
      </c>
      <c r="BR1062" t="s">
        <v>84</v>
      </c>
      <c r="BS1062" s="3">
        <v>45790</v>
      </c>
      <c r="BT1062" s="4">
        <v>0.37361111111111112</v>
      </c>
      <c r="BU1062" t="s">
        <v>1699</v>
      </c>
      <c r="BV1062" t="s">
        <v>86</v>
      </c>
      <c r="BY1062">
        <v>1200</v>
      </c>
      <c r="CA1062" t="s">
        <v>258</v>
      </c>
      <c r="CC1062" t="s">
        <v>137</v>
      </c>
      <c r="CD1062" s="5" t="s">
        <v>738</v>
      </c>
      <c r="CE1062" t="s">
        <v>88</v>
      </c>
      <c r="CF1062" s="3">
        <v>45790</v>
      </c>
      <c r="CI1062">
        <v>1</v>
      </c>
      <c r="CJ1062">
        <v>1</v>
      </c>
      <c r="CK1062">
        <v>21</v>
      </c>
      <c r="CL1062" t="s">
        <v>89</v>
      </c>
    </row>
    <row r="1063" spans="1:90" x14ac:dyDescent="0.3">
      <c r="A1063" t="s">
        <v>72</v>
      </c>
      <c r="B1063" t="s">
        <v>73</v>
      </c>
      <c r="C1063" t="s">
        <v>74</v>
      </c>
      <c r="E1063" t="str">
        <f>"080065328095"</f>
        <v>080065328095</v>
      </c>
      <c r="F1063" s="3">
        <v>45789</v>
      </c>
      <c r="G1063">
        <v>202602</v>
      </c>
      <c r="H1063" t="s">
        <v>75</v>
      </c>
      <c r="I1063" t="s">
        <v>76</v>
      </c>
      <c r="J1063" t="s">
        <v>77</v>
      </c>
      <c r="K1063" t="s">
        <v>78</v>
      </c>
      <c r="L1063" t="s">
        <v>130</v>
      </c>
      <c r="M1063" t="s">
        <v>131</v>
      </c>
      <c r="N1063" t="s">
        <v>343</v>
      </c>
      <c r="O1063" t="s">
        <v>82</v>
      </c>
      <c r="P1063" t="str">
        <f>"4170037823                    "</f>
        <v xml:space="preserve">4170037823                    </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v>0</v>
      </c>
      <c r="AM1063">
        <v>0</v>
      </c>
      <c r="AN1063">
        <v>0</v>
      </c>
      <c r="AO1063">
        <v>0</v>
      </c>
      <c r="AP1063">
        <v>0</v>
      </c>
      <c r="AQ1063">
        <v>21.38</v>
      </c>
      <c r="AR1063">
        <v>0</v>
      </c>
      <c r="AS1063">
        <v>0</v>
      </c>
      <c r="AT1063">
        <v>0</v>
      </c>
      <c r="AU1063">
        <v>0</v>
      </c>
      <c r="AV1063">
        <v>0</v>
      </c>
      <c r="AW1063">
        <v>0</v>
      </c>
      <c r="AX1063">
        <v>0</v>
      </c>
      <c r="AY1063">
        <v>0</v>
      </c>
      <c r="AZ1063">
        <v>0</v>
      </c>
      <c r="BA1063">
        <v>0</v>
      </c>
      <c r="BB1063">
        <v>0</v>
      </c>
      <c r="BC1063">
        <v>0</v>
      </c>
      <c r="BD1063">
        <v>0</v>
      </c>
      <c r="BE1063">
        <v>0</v>
      </c>
      <c r="BF1063">
        <v>0</v>
      </c>
      <c r="BG1063">
        <v>0</v>
      </c>
      <c r="BH1063">
        <v>1</v>
      </c>
      <c r="BI1063">
        <v>1</v>
      </c>
      <c r="BJ1063">
        <v>0.2</v>
      </c>
      <c r="BK1063">
        <v>1</v>
      </c>
      <c r="BL1063">
        <v>69.98</v>
      </c>
      <c r="BM1063">
        <v>10.5</v>
      </c>
      <c r="BN1063">
        <v>80.48</v>
      </c>
      <c r="BO1063">
        <v>80.48</v>
      </c>
      <c r="BQ1063" t="s">
        <v>344</v>
      </c>
      <c r="BR1063" t="s">
        <v>84</v>
      </c>
      <c r="BS1063" s="3">
        <v>45790</v>
      </c>
      <c r="BT1063" s="4">
        <v>0.3888888888888889</v>
      </c>
      <c r="BU1063" t="s">
        <v>1633</v>
      </c>
      <c r="BV1063" t="s">
        <v>86</v>
      </c>
      <c r="BY1063">
        <v>1200</v>
      </c>
      <c r="CA1063" t="s">
        <v>1634</v>
      </c>
      <c r="CC1063" t="s">
        <v>131</v>
      </c>
      <c r="CD1063">
        <v>7441</v>
      </c>
      <c r="CE1063" t="s">
        <v>88</v>
      </c>
      <c r="CF1063" s="3">
        <v>45791</v>
      </c>
      <c r="CI1063">
        <v>1</v>
      </c>
      <c r="CJ1063">
        <v>1</v>
      </c>
      <c r="CK1063">
        <v>21</v>
      </c>
      <c r="CL1063" t="s">
        <v>89</v>
      </c>
    </row>
    <row r="1064" spans="1:90" x14ac:dyDescent="0.3">
      <c r="A1064" t="s">
        <v>72</v>
      </c>
      <c r="B1064" t="s">
        <v>73</v>
      </c>
      <c r="C1064" t="s">
        <v>74</v>
      </c>
      <c r="E1064" t="str">
        <f>"080065328102"</f>
        <v>080065328102</v>
      </c>
      <c r="F1064" s="3">
        <v>45789</v>
      </c>
      <c r="G1064">
        <v>202602</v>
      </c>
      <c r="H1064" t="s">
        <v>75</v>
      </c>
      <c r="I1064" t="s">
        <v>76</v>
      </c>
      <c r="J1064" t="s">
        <v>77</v>
      </c>
      <c r="K1064" t="s">
        <v>78</v>
      </c>
      <c r="L1064" t="s">
        <v>143</v>
      </c>
      <c r="M1064" t="s">
        <v>144</v>
      </c>
      <c r="N1064" t="s">
        <v>762</v>
      </c>
      <c r="O1064" t="s">
        <v>82</v>
      </c>
      <c r="P1064" t="str">
        <f>"4170037994                    "</f>
        <v xml:space="preserve">4170037994                    </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16.7</v>
      </c>
      <c r="AR1064">
        <v>0</v>
      </c>
      <c r="AS1064">
        <v>0</v>
      </c>
      <c r="AT1064">
        <v>0</v>
      </c>
      <c r="AU1064">
        <v>0</v>
      </c>
      <c r="AV1064">
        <v>0</v>
      </c>
      <c r="AW1064">
        <v>0</v>
      </c>
      <c r="AX1064">
        <v>0</v>
      </c>
      <c r="AY1064">
        <v>0</v>
      </c>
      <c r="AZ1064">
        <v>0</v>
      </c>
      <c r="BA1064">
        <v>0</v>
      </c>
      <c r="BB1064">
        <v>0</v>
      </c>
      <c r="BC1064">
        <v>0</v>
      </c>
      <c r="BD1064">
        <v>0</v>
      </c>
      <c r="BE1064">
        <v>0</v>
      </c>
      <c r="BF1064">
        <v>0</v>
      </c>
      <c r="BG1064">
        <v>0</v>
      </c>
      <c r="BH1064">
        <v>1</v>
      </c>
      <c r="BI1064">
        <v>1</v>
      </c>
      <c r="BJ1064">
        <v>0.2</v>
      </c>
      <c r="BK1064">
        <v>1</v>
      </c>
      <c r="BL1064">
        <v>54.66</v>
      </c>
      <c r="BM1064">
        <v>8.1999999999999993</v>
      </c>
      <c r="BN1064">
        <v>62.86</v>
      </c>
      <c r="BO1064">
        <v>62.86</v>
      </c>
      <c r="BQ1064" t="s">
        <v>763</v>
      </c>
      <c r="BR1064" t="s">
        <v>84</v>
      </c>
      <c r="BS1064" s="3">
        <v>45790</v>
      </c>
      <c r="BT1064" s="4">
        <v>0.42499999999999999</v>
      </c>
      <c r="BU1064" t="s">
        <v>359</v>
      </c>
      <c r="BV1064" t="s">
        <v>86</v>
      </c>
      <c r="BY1064">
        <v>1200</v>
      </c>
      <c r="CA1064" t="s">
        <v>765</v>
      </c>
      <c r="CC1064" t="s">
        <v>144</v>
      </c>
      <c r="CD1064">
        <v>1428</v>
      </c>
      <c r="CE1064" t="s">
        <v>88</v>
      </c>
      <c r="CF1064" s="3">
        <v>45790</v>
      </c>
      <c r="CI1064">
        <v>1</v>
      </c>
      <c r="CJ1064">
        <v>1</v>
      </c>
      <c r="CK1064">
        <v>22</v>
      </c>
      <c r="CL1064" t="s">
        <v>89</v>
      </c>
    </row>
    <row r="1065" spans="1:90" x14ac:dyDescent="0.3">
      <c r="A1065" t="s">
        <v>72</v>
      </c>
      <c r="B1065" t="s">
        <v>73</v>
      </c>
      <c r="C1065" t="s">
        <v>74</v>
      </c>
      <c r="E1065" t="str">
        <f>"080065328117"</f>
        <v>080065328117</v>
      </c>
      <c r="F1065" s="3">
        <v>45789</v>
      </c>
      <c r="G1065">
        <v>202602</v>
      </c>
      <c r="H1065" t="s">
        <v>75</v>
      </c>
      <c r="I1065" t="s">
        <v>76</v>
      </c>
      <c r="J1065" t="s">
        <v>77</v>
      </c>
      <c r="K1065" t="s">
        <v>78</v>
      </c>
      <c r="L1065" t="s">
        <v>79</v>
      </c>
      <c r="M1065" t="s">
        <v>80</v>
      </c>
      <c r="N1065" t="s">
        <v>357</v>
      </c>
      <c r="O1065" t="s">
        <v>82</v>
      </c>
      <c r="P1065" t="str">
        <f>"4170037986                    "</f>
        <v xml:space="preserve">4170037986                    </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0</v>
      </c>
      <c r="AQ1065">
        <v>21.38</v>
      </c>
      <c r="AR1065">
        <v>0</v>
      </c>
      <c r="AS1065">
        <v>0</v>
      </c>
      <c r="AT1065">
        <v>0</v>
      </c>
      <c r="AU1065">
        <v>0</v>
      </c>
      <c r="AV1065">
        <v>0</v>
      </c>
      <c r="AW1065">
        <v>0</v>
      </c>
      <c r="AX1065">
        <v>0</v>
      </c>
      <c r="AY1065">
        <v>0</v>
      </c>
      <c r="AZ1065">
        <v>0</v>
      </c>
      <c r="BA1065">
        <v>0</v>
      </c>
      <c r="BB1065">
        <v>0</v>
      </c>
      <c r="BC1065">
        <v>0</v>
      </c>
      <c r="BD1065">
        <v>0</v>
      </c>
      <c r="BE1065">
        <v>0</v>
      </c>
      <c r="BF1065">
        <v>0</v>
      </c>
      <c r="BG1065">
        <v>0</v>
      </c>
      <c r="BH1065">
        <v>1</v>
      </c>
      <c r="BI1065">
        <v>1</v>
      </c>
      <c r="BJ1065">
        <v>0.2</v>
      </c>
      <c r="BK1065">
        <v>1</v>
      </c>
      <c r="BL1065">
        <v>69.98</v>
      </c>
      <c r="BM1065">
        <v>10.5</v>
      </c>
      <c r="BN1065">
        <v>80.48</v>
      </c>
      <c r="BO1065">
        <v>80.48</v>
      </c>
      <c r="BQ1065" t="s">
        <v>358</v>
      </c>
      <c r="BR1065" t="s">
        <v>84</v>
      </c>
      <c r="BS1065" s="3">
        <v>45790</v>
      </c>
      <c r="BT1065" s="4">
        <v>0.47847222222222224</v>
      </c>
      <c r="BU1065" t="s">
        <v>1768</v>
      </c>
      <c r="BV1065" t="s">
        <v>89</v>
      </c>
      <c r="BY1065">
        <v>1200</v>
      </c>
      <c r="CA1065" t="s">
        <v>87</v>
      </c>
      <c r="CC1065" t="s">
        <v>80</v>
      </c>
      <c r="CD1065">
        <v>3608</v>
      </c>
      <c r="CE1065" t="s">
        <v>88</v>
      </c>
      <c r="CF1065" s="3">
        <v>45791</v>
      </c>
      <c r="CI1065">
        <v>1</v>
      </c>
      <c r="CJ1065">
        <v>1</v>
      </c>
      <c r="CK1065">
        <v>21</v>
      </c>
      <c r="CL1065" t="s">
        <v>89</v>
      </c>
    </row>
    <row r="1066" spans="1:90" x14ac:dyDescent="0.3">
      <c r="A1066" t="s">
        <v>72</v>
      </c>
      <c r="B1066" t="s">
        <v>73</v>
      </c>
      <c r="C1066" t="s">
        <v>74</v>
      </c>
      <c r="E1066" t="str">
        <f>"080065328133"</f>
        <v>080065328133</v>
      </c>
      <c r="F1066" s="3">
        <v>45789</v>
      </c>
      <c r="G1066">
        <v>202602</v>
      </c>
      <c r="H1066" t="s">
        <v>75</v>
      </c>
      <c r="I1066" t="s">
        <v>76</v>
      </c>
      <c r="J1066" t="s">
        <v>77</v>
      </c>
      <c r="K1066" t="s">
        <v>78</v>
      </c>
      <c r="L1066" t="s">
        <v>374</v>
      </c>
      <c r="M1066" t="s">
        <v>375</v>
      </c>
      <c r="N1066" t="s">
        <v>376</v>
      </c>
      <c r="O1066" t="s">
        <v>82</v>
      </c>
      <c r="P1066" t="str">
        <f>"4170037886                    "</f>
        <v xml:space="preserve">4170037886                    </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41.43</v>
      </c>
      <c r="AR1066">
        <v>0</v>
      </c>
      <c r="AS1066">
        <v>0</v>
      </c>
      <c r="AT1066">
        <v>0</v>
      </c>
      <c r="AU1066">
        <v>0</v>
      </c>
      <c r="AV1066">
        <v>0</v>
      </c>
      <c r="AW1066">
        <v>0</v>
      </c>
      <c r="AX1066">
        <v>0</v>
      </c>
      <c r="AY1066">
        <v>0</v>
      </c>
      <c r="AZ1066">
        <v>0</v>
      </c>
      <c r="BA1066">
        <v>0</v>
      </c>
      <c r="BB1066">
        <v>0</v>
      </c>
      <c r="BC1066">
        <v>0</v>
      </c>
      <c r="BD1066">
        <v>0</v>
      </c>
      <c r="BE1066">
        <v>0</v>
      </c>
      <c r="BF1066">
        <v>0</v>
      </c>
      <c r="BG1066">
        <v>0</v>
      </c>
      <c r="BH1066">
        <v>1</v>
      </c>
      <c r="BI1066">
        <v>1</v>
      </c>
      <c r="BJ1066">
        <v>0.2</v>
      </c>
      <c r="BK1066">
        <v>1</v>
      </c>
      <c r="BL1066">
        <v>135.59</v>
      </c>
      <c r="BM1066">
        <v>20.34</v>
      </c>
      <c r="BN1066">
        <v>155.93</v>
      </c>
      <c r="BO1066">
        <v>155.93</v>
      </c>
      <c r="BQ1066" t="s">
        <v>377</v>
      </c>
      <c r="BR1066" t="s">
        <v>84</v>
      </c>
      <c r="BS1066" s="3">
        <v>45790</v>
      </c>
      <c r="BT1066" s="4">
        <v>0.52500000000000002</v>
      </c>
      <c r="BU1066" t="s">
        <v>1601</v>
      </c>
      <c r="BV1066" t="s">
        <v>86</v>
      </c>
      <c r="BY1066">
        <v>1200</v>
      </c>
      <c r="CA1066" t="s">
        <v>379</v>
      </c>
      <c r="CC1066" t="s">
        <v>375</v>
      </c>
      <c r="CD1066">
        <v>7130</v>
      </c>
      <c r="CE1066" t="s">
        <v>88</v>
      </c>
      <c r="CF1066" s="3">
        <v>45791</v>
      </c>
      <c r="CI1066">
        <v>1</v>
      </c>
      <c r="CJ1066">
        <v>1</v>
      </c>
      <c r="CK1066">
        <v>23</v>
      </c>
      <c r="CL1066" t="s">
        <v>89</v>
      </c>
    </row>
    <row r="1067" spans="1:90" x14ac:dyDescent="0.3">
      <c r="A1067" t="s">
        <v>72</v>
      </c>
      <c r="B1067" t="s">
        <v>73</v>
      </c>
      <c r="C1067" t="s">
        <v>74</v>
      </c>
      <c r="E1067" t="str">
        <f>"080065328148"</f>
        <v>080065328148</v>
      </c>
      <c r="F1067" s="3">
        <v>45789</v>
      </c>
      <c r="G1067">
        <v>202602</v>
      </c>
      <c r="H1067" t="s">
        <v>75</v>
      </c>
      <c r="I1067" t="s">
        <v>76</v>
      </c>
      <c r="J1067" t="s">
        <v>77</v>
      </c>
      <c r="K1067" t="s">
        <v>78</v>
      </c>
      <c r="L1067" t="s">
        <v>350</v>
      </c>
      <c r="M1067" t="s">
        <v>351</v>
      </c>
      <c r="N1067" t="s">
        <v>404</v>
      </c>
      <c r="O1067" t="s">
        <v>82</v>
      </c>
      <c r="P1067" t="str">
        <f>"4170037919                    "</f>
        <v xml:space="preserve">4170037919                    </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P1067">
        <v>0</v>
      </c>
      <c r="AQ1067">
        <v>21.38</v>
      </c>
      <c r="AR1067">
        <v>0</v>
      </c>
      <c r="AS1067">
        <v>0</v>
      </c>
      <c r="AT1067">
        <v>0</v>
      </c>
      <c r="AU1067">
        <v>0</v>
      </c>
      <c r="AV1067">
        <v>0</v>
      </c>
      <c r="AW1067">
        <v>0</v>
      </c>
      <c r="AX1067">
        <v>0</v>
      </c>
      <c r="AY1067">
        <v>0</v>
      </c>
      <c r="AZ1067">
        <v>0</v>
      </c>
      <c r="BA1067">
        <v>0</v>
      </c>
      <c r="BB1067">
        <v>0</v>
      </c>
      <c r="BC1067">
        <v>0</v>
      </c>
      <c r="BD1067">
        <v>0</v>
      </c>
      <c r="BE1067">
        <v>0</v>
      </c>
      <c r="BF1067">
        <v>0</v>
      </c>
      <c r="BG1067">
        <v>0</v>
      </c>
      <c r="BH1067">
        <v>1</v>
      </c>
      <c r="BI1067">
        <v>1</v>
      </c>
      <c r="BJ1067">
        <v>0.2</v>
      </c>
      <c r="BK1067">
        <v>1</v>
      </c>
      <c r="BL1067">
        <v>69.98</v>
      </c>
      <c r="BM1067">
        <v>10.5</v>
      </c>
      <c r="BN1067">
        <v>80.48</v>
      </c>
      <c r="BO1067">
        <v>80.48</v>
      </c>
      <c r="BQ1067" t="s">
        <v>405</v>
      </c>
      <c r="BR1067" t="s">
        <v>84</v>
      </c>
      <c r="BS1067" s="3">
        <v>45790</v>
      </c>
      <c r="BT1067" s="4">
        <v>0.54791666666666672</v>
      </c>
      <c r="BU1067" t="s">
        <v>1588</v>
      </c>
      <c r="BV1067" t="s">
        <v>89</v>
      </c>
      <c r="BY1067">
        <v>1200</v>
      </c>
      <c r="CA1067" t="s">
        <v>326</v>
      </c>
      <c r="CC1067" t="s">
        <v>351</v>
      </c>
      <c r="CD1067">
        <v>4052</v>
      </c>
      <c r="CE1067" t="s">
        <v>88</v>
      </c>
      <c r="CF1067" s="3">
        <v>45791</v>
      </c>
      <c r="CI1067">
        <v>1</v>
      </c>
      <c r="CJ1067">
        <v>1</v>
      </c>
      <c r="CK1067">
        <v>21</v>
      </c>
      <c r="CL1067" t="s">
        <v>89</v>
      </c>
    </row>
    <row r="1068" spans="1:90" x14ac:dyDescent="0.3">
      <c r="A1068" t="s">
        <v>72</v>
      </c>
      <c r="B1068" t="s">
        <v>73</v>
      </c>
      <c r="C1068" t="s">
        <v>74</v>
      </c>
      <c r="E1068" t="str">
        <f>"080065328155"</f>
        <v>080065328155</v>
      </c>
      <c r="F1068" s="3">
        <v>45789</v>
      </c>
      <c r="G1068">
        <v>202602</v>
      </c>
      <c r="H1068" t="s">
        <v>75</v>
      </c>
      <c r="I1068" t="s">
        <v>76</v>
      </c>
      <c r="J1068" t="s">
        <v>77</v>
      </c>
      <c r="K1068" t="s">
        <v>78</v>
      </c>
      <c r="L1068" t="s">
        <v>75</v>
      </c>
      <c r="M1068" t="s">
        <v>76</v>
      </c>
      <c r="N1068" t="s">
        <v>601</v>
      </c>
      <c r="O1068" t="s">
        <v>82</v>
      </c>
      <c r="P1068" t="str">
        <f>"4170037844                    "</f>
        <v xml:space="preserve">4170037844                    </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P1068">
        <v>0</v>
      </c>
      <c r="AQ1068">
        <v>16.7</v>
      </c>
      <c r="AR1068">
        <v>0</v>
      </c>
      <c r="AS1068">
        <v>0</v>
      </c>
      <c r="AT1068">
        <v>0</v>
      </c>
      <c r="AU1068">
        <v>0</v>
      </c>
      <c r="AV1068">
        <v>0</v>
      </c>
      <c r="AW1068">
        <v>0</v>
      </c>
      <c r="AX1068">
        <v>0</v>
      </c>
      <c r="AY1068">
        <v>0</v>
      </c>
      <c r="AZ1068">
        <v>0</v>
      </c>
      <c r="BA1068">
        <v>0</v>
      </c>
      <c r="BB1068">
        <v>0</v>
      </c>
      <c r="BC1068">
        <v>0</v>
      </c>
      <c r="BD1068">
        <v>0</v>
      </c>
      <c r="BE1068">
        <v>0</v>
      </c>
      <c r="BF1068">
        <v>0</v>
      </c>
      <c r="BG1068">
        <v>0</v>
      </c>
      <c r="BH1068">
        <v>1</v>
      </c>
      <c r="BI1068">
        <v>1</v>
      </c>
      <c r="BJ1068">
        <v>0.2</v>
      </c>
      <c r="BK1068">
        <v>1</v>
      </c>
      <c r="BL1068">
        <v>54.66</v>
      </c>
      <c r="BM1068">
        <v>8.1999999999999993</v>
      </c>
      <c r="BN1068">
        <v>62.86</v>
      </c>
      <c r="BO1068">
        <v>62.86</v>
      </c>
      <c r="BQ1068" t="s">
        <v>603</v>
      </c>
      <c r="BR1068" t="s">
        <v>84</v>
      </c>
      <c r="BS1068" s="3">
        <v>45790</v>
      </c>
      <c r="BT1068" s="4">
        <v>0.41875000000000001</v>
      </c>
      <c r="BU1068" t="s">
        <v>604</v>
      </c>
      <c r="BV1068" t="s">
        <v>86</v>
      </c>
      <c r="BY1068">
        <v>1200</v>
      </c>
      <c r="CA1068" t="s">
        <v>605</v>
      </c>
      <c r="CC1068" t="s">
        <v>76</v>
      </c>
      <c r="CD1068">
        <v>1645</v>
      </c>
      <c r="CE1068" t="s">
        <v>88</v>
      </c>
      <c r="CF1068" s="3">
        <v>45790</v>
      </c>
      <c r="CI1068">
        <v>1</v>
      </c>
      <c r="CJ1068">
        <v>1</v>
      </c>
      <c r="CK1068">
        <v>22</v>
      </c>
      <c r="CL1068" t="s">
        <v>89</v>
      </c>
    </row>
    <row r="1069" spans="1:90" x14ac:dyDescent="0.3">
      <c r="A1069" t="s">
        <v>72</v>
      </c>
      <c r="B1069" t="s">
        <v>73</v>
      </c>
      <c r="C1069" t="s">
        <v>74</v>
      </c>
      <c r="E1069" t="str">
        <f>"080065328169"</f>
        <v>080065328169</v>
      </c>
      <c r="F1069" s="3">
        <v>45789</v>
      </c>
      <c r="G1069">
        <v>202602</v>
      </c>
      <c r="H1069" t="s">
        <v>75</v>
      </c>
      <c r="I1069" t="s">
        <v>76</v>
      </c>
      <c r="J1069" t="s">
        <v>77</v>
      </c>
      <c r="K1069" t="s">
        <v>78</v>
      </c>
      <c r="L1069" t="s">
        <v>90</v>
      </c>
      <c r="M1069" t="s">
        <v>91</v>
      </c>
      <c r="N1069" t="s">
        <v>543</v>
      </c>
      <c r="O1069" t="s">
        <v>82</v>
      </c>
      <c r="P1069" t="str">
        <f>"4170037978                    "</f>
        <v xml:space="preserve">4170037978                    </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21.38</v>
      </c>
      <c r="AR1069">
        <v>0</v>
      </c>
      <c r="AS1069">
        <v>0</v>
      </c>
      <c r="AT1069">
        <v>0</v>
      </c>
      <c r="AU1069">
        <v>0</v>
      </c>
      <c r="AV1069">
        <v>0</v>
      </c>
      <c r="AW1069">
        <v>0</v>
      </c>
      <c r="AX1069">
        <v>0</v>
      </c>
      <c r="AY1069">
        <v>0</v>
      </c>
      <c r="AZ1069">
        <v>0</v>
      </c>
      <c r="BA1069">
        <v>0</v>
      </c>
      <c r="BB1069">
        <v>0</v>
      </c>
      <c r="BC1069">
        <v>0</v>
      </c>
      <c r="BD1069">
        <v>0</v>
      </c>
      <c r="BE1069">
        <v>0</v>
      </c>
      <c r="BF1069">
        <v>0</v>
      </c>
      <c r="BG1069">
        <v>0</v>
      </c>
      <c r="BH1069">
        <v>1</v>
      </c>
      <c r="BI1069">
        <v>1</v>
      </c>
      <c r="BJ1069">
        <v>0.2</v>
      </c>
      <c r="BK1069">
        <v>1</v>
      </c>
      <c r="BL1069">
        <v>69.98</v>
      </c>
      <c r="BM1069">
        <v>10.5</v>
      </c>
      <c r="BN1069">
        <v>80.48</v>
      </c>
      <c r="BO1069">
        <v>80.48</v>
      </c>
      <c r="BQ1069" t="s">
        <v>544</v>
      </c>
      <c r="BR1069" t="s">
        <v>84</v>
      </c>
      <c r="BS1069" s="3">
        <v>45790</v>
      </c>
      <c r="BT1069" s="4">
        <v>0.35555555555555557</v>
      </c>
      <c r="BU1069" t="s">
        <v>1647</v>
      </c>
      <c r="BV1069" t="s">
        <v>86</v>
      </c>
      <c r="BY1069">
        <v>1200</v>
      </c>
      <c r="CA1069" t="s">
        <v>271</v>
      </c>
      <c r="CC1069" t="s">
        <v>91</v>
      </c>
      <c r="CD1069">
        <v>6001</v>
      </c>
      <c r="CE1069" t="s">
        <v>88</v>
      </c>
      <c r="CF1069" s="3">
        <v>45790</v>
      </c>
      <c r="CI1069">
        <v>1</v>
      </c>
      <c r="CJ1069">
        <v>1</v>
      </c>
      <c r="CK1069">
        <v>21</v>
      </c>
      <c r="CL1069" t="s">
        <v>89</v>
      </c>
    </row>
    <row r="1070" spans="1:90" x14ac:dyDescent="0.3">
      <c r="A1070" t="s">
        <v>72</v>
      </c>
      <c r="B1070" t="s">
        <v>73</v>
      </c>
      <c r="C1070" t="s">
        <v>74</v>
      </c>
      <c r="E1070" t="str">
        <f>"080065328225"</f>
        <v>080065328225</v>
      </c>
      <c r="F1070" s="3">
        <v>45789</v>
      </c>
      <c r="G1070">
        <v>202602</v>
      </c>
      <c r="H1070" t="s">
        <v>75</v>
      </c>
      <c r="I1070" t="s">
        <v>76</v>
      </c>
      <c r="J1070" t="s">
        <v>77</v>
      </c>
      <c r="K1070" t="s">
        <v>78</v>
      </c>
      <c r="L1070" t="s">
        <v>130</v>
      </c>
      <c r="M1070" t="s">
        <v>131</v>
      </c>
      <c r="N1070" t="s">
        <v>343</v>
      </c>
      <c r="O1070" t="s">
        <v>82</v>
      </c>
      <c r="P1070" t="str">
        <f>"4170037829                    "</f>
        <v xml:space="preserve">4170037829                    </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21.38</v>
      </c>
      <c r="AR1070">
        <v>0</v>
      </c>
      <c r="AS1070">
        <v>0</v>
      </c>
      <c r="AT1070">
        <v>0</v>
      </c>
      <c r="AU1070">
        <v>0</v>
      </c>
      <c r="AV1070">
        <v>0</v>
      </c>
      <c r="AW1070">
        <v>0</v>
      </c>
      <c r="AX1070">
        <v>0</v>
      </c>
      <c r="AY1070">
        <v>0</v>
      </c>
      <c r="AZ1070">
        <v>0</v>
      </c>
      <c r="BA1070">
        <v>0</v>
      </c>
      <c r="BB1070">
        <v>0</v>
      </c>
      <c r="BC1070">
        <v>0</v>
      </c>
      <c r="BD1070">
        <v>0</v>
      </c>
      <c r="BE1070">
        <v>0</v>
      </c>
      <c r="BF1070">
        <v>0</v>
      </c>
      <c r="BG1070">
        <v>0</v>
      </c>
      <c r="BH1070">
        <v>1</v>
      </c>
      <c r="BI1070">
        <v>1</v>
      </c>
      <c r="BJ1070">
        <v>0.2</v>
      </c>
      <c r="BK1070">
        <v>1</v>
      </c>
      <c r="BL1070">
        <v>69.98</v>
      </c>
      <c r="BM1070">
        <v>10.5</v>
      </c>
      <c r="BN1070">
        <v>80.48</v>
      </c>
      <c r="BO1070">
        <v>80.48</v>
      </c>
      <c r="BQ1070" t="s">
        <v>344</v>
      </c>
      <c r="BR1070" t="s">
        <v>84</v>
      </c>
      <c r="BS1070" s="3">
        <v>45790</v>
      </c>
      <c r="BT1070" s="4">
        <v>0.3888888888888889</v>
      </c>
      <c r="BU1070" t="s">
        <v>1633</v>
      </c>
      <c r="BV1070" t="s">
        <v>86</v>
      </c>
      <c r="BY1070">
        <v>1200</v>
      </c>
      <c r="CA1070" t="s">
        <v>1634</v>
      </c>
      <c r="CC1070" t="s">
        <v>131</v>
      </c>
      <c r="CD1070">
        <v>7441</v>
      </c>
      <c r="CE1070" t="s">
        <v>88</v>
      </c>
      <c r="CF1070" s="3">
        <v>45791</v>
      </c>
      <c r="CI1070">
        <v>1</v>
      </c>
      <c r="CJ1070">
        <v>1</v>
      </c>
      <c r="CK1070">
        <v>21</v>
      </c>
      <c r="CL1070" t="s">
        <v>89</v>
      </c>
    </row>
    <row r="1071" spans="1:90" x14ac:dyDescent="0.3">
      <c r="A1071" t="s">
        <v>72</v>
      </c>
      <c r="B1071" t="s">
        <v>73</v>
      </c>
      <c r="C1071" t="s">
        <v>74</v>
      </c>
      <c r="E1071" t="str">
        <f>"080065328254"</f>
        <v>080065328254</v>
      </c>
      <c r="F1071" s="3">
        <v>45789</v>
      </c>
      <c r="G1071">
        <v>202602</v>
      </c>
      <c r="H1071" t="s">
        <v>75</v>
      </c>
      <c r="I1071" t="s">
        <v>76</v>
      </c>
      <c r="J1071" t="s">
        <v>77</v>
      </c>
      <c r="K1071" t="s">
        <v>78</v>
      </c>
      <c r="L1071" t="s">
        <v>177</v>
      </c>
      <c r="M1071" t="s">
        <v>178</v>
      </c>
      <c r="N1071" t="s">
        <v>212</v>
      </c>
      <c r="O1071" t="s">
        <v>82</v>
      </c>
      <c r="P1071" t="str">
        <f>"4170037812                    "</f>
        <v xml:space="preserve">4170037812                    </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c r="AP1071">
        <v>0</v>
      </c>
      <c r="AQ1071">
        <v>74.8</v>
      </c>
      <c r="AR1071">
        <v>0</v>
      </c>
      <c r="AS1071">
        <v>0</v>
      </c>
      <c r="AT1071">
        <v>0</v>
      </c>
      <c r="AU1071">
        <v>0</v>
      </c>
      <c r="AV1071">
        <v>0</v>
      </c>
      <c r="AW1071">
        <v>0</v>
      </c>
      <c r="AX1071">
        <v>0</v>
      </c>
      <c r="AY1071">
        <v>0</v>
      </c>
      <c r="AZ1071">
        <v>0</v>
      </c>
      <c r="BA1071">
        <v>0</v>
      </c>
      <c r="BB1071">
        <v>0</v>
      </c>
      <c r="BC1071">
        <v>0</v>
      </c>
      <c r="BD1071">
        <v>0</v>
      </c>
      <c r="BE1071">
        <v>0</v>
      </c>
      <c r="BF1071">
        <v>0</v>
      </c>
      <c r="BG1071">
        <v>0</v>
      </c>
      <c r="BH1071">
        <v>1</v>
      </c>
      <c r="BI1071">
        <v>7</v>
      </c>
      <c r="BJ1071">
        <v>3.4</v>
      </c>
      <c r="BK1071">
        <v>7</v>
      </c>
      <c r="BL1071">
        <v>244.8</v>
      </c>
      <c r="BM1071">
        <v>36.72</v>
      </c>
      <c r="BN1071">
        <v>281.52</v>
      </c>
      <c r="BO1071">
        <v>281.52</v>
      </c>
      <c r="BQ1071" t="s">
        <v>213</v>
      </c>
      <c r="BR1071" t="s">
        <v>84</v>
      </c>
      <c r="BS1071" s="3">
        <v>45790</v>
      </c>
      <c r="BT1071" s="4">
        <v>0.35069444444444442</v>
      </c>
      <c r="BU1071" t="s">
        <v>1568</v>
      </c>
      <c r="BV1071" t="s">
        <v>86</v>
      </c>
      <c r="BY1071">
        <v>16965</v>
      </c>
      <c r="CA1071" t="s">
        <v>182</v>
      </c>
      <c r="CC1071" t="s">
        <v>178</v>
      </c>
      <c r="CD1071">
        <v>6229</v>
      </c>
      <c r="CE1071" t="s">
        <v>96</v>
      </c>
      <c r="CF1071" s="3">
        <v>45790</v>
      </c>
      <c r="CI1071">
        <v>1</v>
      </c>
      <c r="CJ1071">
        <v>1</v>
      </c>
      <c r="CK1071">
        <v>21</v>
      </c>
      <c r="CL1071" t="s">
        <v>89</v>
      </c>
    </row>
    <row r="1072" spans="1:90" x14ac:dyDescent="0.3">
      <c r="A1072" t="s">
        <v>72</v>
      </c>
      <c r="B1072" t="s">
        <v>73</v>
      </c>
      <c r="C1072" t="s">
        <v>74</v>
      </c>
      <c r="E1072" t="str">
        <f>"080065328293"</f>
        <v>080065328293</v>
      </c>
      <c r="F1072" s="3">
        <v>45789</v>
      </c>
      <c r="G1072">
        <v>202602</v>
      </c>
      <c r="H1072" t="s">
        <v>75</v>
      </c>
      <c r="I1072" t="s">
        <v>76</v>
      </c>
      <c r="J1072" t="s">
        <v>77</v>
      </c>
      <c r="K1072" t="s">
        <v>78</v>
      </c>
      <c r="L1072" t="s">
        <v>130</v>
      </c>
      <c r="M1072" t="s">
        <v>131</v>
      </c>
      <c r="N1072" t="s">
        <v>1280</v>
      </c>
      <c r="O1072" t="s">
        <v>82</v>
      </c>
      <c r="P1072" t="str">
        <f>"4170037897                    "</f>
        <v xml:space="preserve">4170037897                    </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P1072">
        <v>0</v>
      </c>
      <c r="AQ1072">
        <v>21.38</v>
      </c>
      <c r="AR1072">
        <v>0</v>
      </c>
      <c r="AS1072">
        <v>0</v>
      </c>
      <c r="AT1072">
        <v>0</v>
      </c>
      <c r="AU1072">
        <v>0</v>
      </c>
      <c r="AV1072">
        <v>0</v>
      </c>
      <c r="AW1072">
        <v>0</v>
      </c>
      <c r="AX1072">
        <v>0</v>
      </c>
      <c r="AY1072">
        <v>0</v>
      </c>
      <c r="AZ1072">
        <v>0</v>
      </c>
      <c r="BA1072">
        <v>0</v>
      </c>
      <c r="BB1072">
        <v>0</v>
      </c>
      <c r="BC1072">
        <v>0</v>
      </c>
      <c r="BD1072">
        <v>0</v>
      </c>
      <c r="BE1072">
        <v>0</v>
      </c>
      <c r="BF1072">
        <v>0</v>
      </c>
      <c r="BG1072">
        <v>0</v>
      </c>
      <c r="BH1072">
        <v>1</v>
      </c>
      <c r="BI1072">
        <v>1</v>
      </c>
      <c r="BJ1072">
        <v>0.2</v>
      </c>
      <c r="BK1072">
        <v>1</v>
      </c>
      <c r="BL1072">
        <v>69.98</v>
      </c>
      <c r="BM1072">
        <v>10.5</v>
      </c>
      <c r="BN1072">
        <v>80.48</v>
      </c>
      <c r="BO1072">
        <v>80.48</v>
      </c>
      <c r="BQ1072" t="s">
        <v>1281</v>
      </c>
      <c r="BR1072" t="s">
        <v>84</v>
      </c>
      <c r="BS1072" s="3">
        <v>45790</v>
      </c>
      <c r="BT1072" s="4">
        <v>0.41180555555555554</v>
      </c>
      <c r="BU1072" t="s">
        <v>1769</v>
      </c>
      <c r="BV1072" t="s">
        <v>86</v>
      </c>
      <c r="BY1072">
        <v>1200</v>
      </c>
      <c r="CA1072" t="s">
        <v>135</v>
      </c>
      <c r="CC1072" t="s">
        <v>131</v>
      </c>
      <c r="CD1072">
        <v>7490</v>
      </c>
      <c r="CE1072" t="s">
        <v>88</v>
      </c>
      <c r="CF1072" s="3">
        <v>45791</v>
      </c>
      <c r="CI1072">
        <v>1</v>
      </c>
      <c r="CJ1072">
        <v>1</v>
      </c>
      <c r="CK1072">
        <v>21</v>
      </c>
      <c r="CL1072" t="s">
        <v>89</v>
      </c>
    </row>
    <row r="1073" spans="1:90" x14ac:dyDescent="0.3">
      <c r="A1073" t="s">
        <v>72</v>
      </c>
      <c r="B1073" t="s">
        <v>73</v>
      </c>
      <c r="C1073" t="s">
        <v>74</v>
      </c>
      <c r="E1073" t="str">
        <f>"080065328324"</f>
        <v>080065328324</v>
      </c>
      <c r="F1073" s="3">
        <v>45789</v>
      </c>
      <c r="G1073">
        <v>202602</v>
      </c>
      <c r="H1073" t="s">
        <v>75</v>
      </c>
      <c r="I1073" t="s">
        <v>76</v>
      </c>
      <c r="J1073" t="s">
        <v>77</v>
      </c>
      <c r="K1073" t="s">
        <v>78</v>
      </c>
      <c r="L1073" t="s">
        <v>479</v>
      </c>
      <c r="M1073" t="s">
        <v>480</v>
      </c>
      <c r="N1073" t="s">
        <v>793</v>
      </c>
      <c r="O1073" t="s">
        <v>82</v>
      </c>
      <c r="P1073" t="str">
        <f>"4170037893                    "</f>
        <v xml:space="preserve">4170037893                    </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P1073">
        <v>0</v>
      </c>
      <c r="AQ1073">
        <v>16.7</v>
      </c>
      <c r="AR1073">
        <v>0</v>
      </c>
      <c r="AS1073">
        <v>0</v>
      </c>
      <c r="AT1073">
        <v>0</v>
      </c>
      <c r="AU1073">
        <v>0</v>
      </c>
      <c r="AV1073">
        <v>0</v>
      </c>
      <c r="AW1073">
        <v>0</v>
      </c>
      <c r="AX1073">
        <v>0</v>
      </c>
      <c r="AY1073">
        <v>0</v>
      </c>
      <c r="AZ1073">
        <v>0</v>
      </c>
      <c r="BA1073">
        <v>0</v>
      </c>
      <c r="BB1073">
        <v>0</v>
      </c>
      <c r="BC1073">
        <v>0</v>
      </c>
      <c r="BD1073">
        <v>0</v>
      </c>
      <c r="BE1073">
        <v>0</v>
      </c>
      <c r="BF1073">
        <v>0</v>
      </c>
      <c r="BG1073">
        <v>0</v>
      </c>
      <c r="BH1073">
        <v>1</v>
      </c>
      <c r="BI1073">
        <v>2</v>
      </c>
      <c r="BJ1073">
        <v>1.5</v>
      </c>
      <c r="BK1073">
        <v>2</v>
      </c>
      <c r="BL1073">
        <v>54.66</v>
      </c>
      <c r="BM1073">
        <v>8.1999999999999993</v>
      </c>
      <c r="BN1073">
        <v>62.86</v>
      </c>
      <c r="BO1073">
        <v>62.86</v>
      </c>
      <c r="BQ1073" t="s">
        <v>794</v>
      </c>
      <c r="BR1073" t="s">
        <v>84</v>
      </c>
      <c r="BS1073" s="3">
        <v>45790</v>
      </c>
      <c r="BT1073" s="4">
        <v>0.41666666666666669</v>
      </c>
      <c r="BU1073" t="s">
        <v>795</v>
      </c>
      <c r="BV1073" t="s">
        <v>86</v>
      </c>
      <c r="BY1073">
        <v>7560</v>
      </c>
      <c r="CA1073" t="s">
        <v>796</v>
      </c>
      <c r="CC1073" t="s">
        <v>480</v>
      </c>
      <c r="CD1073">
        <v>2163</v>
      </c>
      <c r="CE1073" t="s">
        <v>221</v>
      </c>
      <c r="CF1073" s="3">
        <v>45791</v>
      </c>
      <c r="CI1073">
        <v>1</v>
      </c>
      <c r="CJ1073">
        <v>1</v>
      </c>
      <c r="CK1073">
        <v>22</v>
      </c>
      <c r="CL1073" t="s">
        <v>89</v>
      </c>
    </row>
    <row r="1074" spans="1:90" x14ac:dyDescent="0.3">
      <c r="A1074" t="s">
        <v>72</v>
      </c>
      <c r="B1074" t="s">
        <v>73</v>
      </c>
      <c r="C1074" t="s">
        <v>74</v>
      </c>
      <c r="E1074" t="str">
        <f>"080065328342"</f>
        <v>080065328342</v>
      </c>
      <c r="F1074" s="3">
        <v>45789</v>
      </c>
      <c r="G1074">
        <v>202602</v>
      </c>
      <c r="H1074" t="s">
        <v>75</v>
      </c>
      <c r="I1074" t="s">
        <v>76</v>
      </c>
      <c r="J1074" t="s">
        <v>77</v>
      </c>
      <c r="K1074" t="s">
        <v>78</v>
      </c>
      <c r="L1074" t="s">
        <v>567</v>
      </c>
      <c r="M1074" t="s">
        <v>568</v>
      </c>
      <c r="N1074" t="s">
        <v>1770</v>
      </c>
      <c r="O1074" t="s">
        <v>82</v>
      </c>
      <c r="P1074" t="str">
        <f>"4170037883                    "</f>
        <v xml:space="preserve">4170037883                    </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0</v>
      </c>
      <c r="AQ1074">
        <v>41.43</v>
      </c>
      <c r="AR1074">
        <v>0</v>
      </c>
      <c r="AS1074">
        <v>0</v>
      </c>
      <c r="AT1074">
        <v>0</v>
      </c>
      <c r="AU1074">
        <v>0</v>
      </c>
      <c r="AV1074">
        <v>0</v>
      </c>
      <c r="AW1074">
        <v>0</v>
      </c>
      <c r="AX1074">
        <v>0</v>
      </c>
      <c r="AY1074">
        <v>0</v>
      </c>
      <c r="AZ1074">
        <v>0</v>
      </c>
      <c r="BA1074">
        <v>0</v>
      </c>
      <c r="BB1074">
        <v>0</v>
      </c>
      <c r="BC1074">
        <v>0</v>
      </c>
      <c r="BD1074">
        <v>0</v>
      </c>
      <c r="BE1074">
        <v>0</v>
      </c>
      <c r="BF1074">
        <v>0</v>
      </c>
      <c r="BG1074">
        <v>0</v>
      </c>
      <c r="BH1074">
        <v>1</v>
      </c>
      <c r="BI1074">
        <v>1</v>
      </c>
      <c r="BJ1074">
        <v>0.2</v>
      </c>
      <c r="BK1074">
        <v>1</v>
      </c>
      <c r="BL1074">
        <v>135.59</v>
      </c>
      <c r="BM1074">
        <v>20.34</v>
      </c>
      <c r="BN1074">
        <v>155.93</v>
      </c>
      <c r="BO1074">
        <v>155.93</v>
      </c>
      <c r="BQ1074" t="s">
        <v>1771</v>
      </c>
      <c r="BR1074" t="s">
        <v>84</v>
      </c>
      <c r="BS1074" s="3">
        <v>45790</v>
      </c>
      <c r="BT1074" s="4">
        <v>0.41736111111111113</v>
      </c>
      <c r="BU1074" t="s">
        <v>1772</v>
      </c>
      <c r="BV1074" t="s">
        <v>86</v>
      </c>
      <c r="BY1074">
        <v>1200</v>
      </c>
      <c r="CC1074" t="s">
        <v>568</v>
      </c>
      <c r="CD1074" s="5" t="s">
        <v>573</v>
      </c>
      <c r="CE1074" t="s">
        <v>88</v>
      </c>
      <c r="CF1074" s="3">
        <v>45791</v>
      </c>
      <c r="CI1074">
        <v>1</v>
      </c>
      <c r="CJ1074">
        <v>1</v>
      </c>
      <c r="CK1074">
        <v>23</v>
      </c>
      <c r="CL1074" t="s">
        <v>89</v>
      </c>
    </row>
    <row r="1075" spans="1:90" x14ac:dyDescent="0.3">
      <c r="A1075" t="s">
        <v>72</v>
      </c>
      <c r="B1075" t="s">
        <v>73</v>
      </c>
      <c r="C1075" t="s">
        <v>74</v>
      </c>
      <c r="E1075" t="str">
        <f>"080065328367"</f>
        <v>080065328367</v>
      </c>
      <c r="F1075" s="3">
        <v>45789</v>
      </c>
      <c r="G1075">
        <v>202602</v>
      </c>
      <c r="H1075" t="s">
        <v>75</v>
      </c>
      <c r="I1075" t="s">
        <v>76</v>
      </c>
      <c r="J1075" t="s">
        <v>77</v>
      </c>
      <c r="K1075" t="s">
        <v>78</v>
      </c>
      <c r="L1075" t="s">
        <v>130</v>
      </c>
      <c r="M1075" t="s">
        <v>131</v>
      </c>
      <c r="N1075" t="s">
        <v>343</v>
      </c>
      <c r="O1075" t="s">
        <v>82</v>
      </c>
      <c r="P1075" t="str">
        <f>"4170037979                    "</f>
        <v xml:space="preserve">4170037979                    </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21.38</v>
      </c>
      <c r="AR1075">
        <v>0</v>
      </c>
      <c r="AS1075">
        <v>0</v>
      </c>
      <c r="AT1075">
        <v>0</v>
      </c>
      <c r="AU1075">
        <v>0</v>
      </c>
      <c r="AV1075">
        <v>0</v>
      </c>
      <c r="AW1075">
        <v>0</v>
      </c>
      <c r="AX1075">
        <v>0</v>
      </c>
      <c r="AY1075">
        <v>0</v>
      </c>
      <c r="AZ1075">
        <v>0</v>
      </c>
      <c r="BA1075">
        <v>0</v>
      </c>
      <c r="BB1075">
        <v>0</v>
      </c>
      <c r="BC1075">
        <v>0</v>
      </c>
      <c r="BD1075">
        <v>0</v>
      </c>
      <c r="BE1075">
        <v>0</v>
      </c>
      <c r="BF1075">
        <v>0</v>
      </c>
      <c r="BG1075">
        <v>0</v>
      </c>
      <c r="BH1075">
        <v>1</v>
      </c>
      <c r="BI1075">
        <v>1</v>
      </c>
      <c r="BJ1075">
        <v>0.2</v>
      </c>
      <c r="BK1075">
        <v>1</v>
      </c>
      <c r="BL1075">
        <v>69.98</v>
      </c>
      <c r="BM1075">
        <v>10.5</v>
      </c>
      <c r="BN1075">
        <v>80.48</v>
      </c>
      <c r="BO1075">
        <v>80.48</v>
      </c>
      <c r="BQ1075" t="s">
        <v>344</v>
      </c>
      <c r="BR1075" t="s">
        <v>84</v>
      </c>
      <c r="BS1075" s="3">
        <v>45790</v>
      </c>
      <c r="BT1075" s="4">
        <v>0.3888888888888889</v>
      </c>
      <c r="BU1075" t="s">
        <v>1633</v>
      </c>
      <c r="BV1075" t="s">
        <v>86</v>
      </c>
      <c r="BY1075">
        <v>1200</v>
      </c>
      <c r="CA1075" t="s">
        <v>1634</v>
      </c>
      <c r="CC1075" t="s">
        <v>131</v>
      </c>
      <c r="CD1075">
        <v>7441</v>
      </c>
      <c r="CE1075" t="s">
        <v>88</v>
      </c>
      <c r="CF1075" s="3">
        <v>45791</v>
      </c>
      <c r="CI1075">
        <v>1</v>
      </c>
      <c r="CJ1075">
        <v>1</v>
      </c>
      <c r="CK1075">
        <v>21</v>
      </c>
      <c r="CL1075" t="s">
        <v>89</v>
      </c>
    </row>
    <row r="1076" spans="1:90" x14ac:dyDescent="0.3">
      <c r="A1076" t="s">
        <v>72</v>
      </c>
      <c r="B1076" t="s">
        <v>73</v>
      </c>
      <c r="C1076" t="s">
        <v>74</v>
      </c>
      <c r="E1076" t="str">
        <f>"080065328407"</f>
        <v>080065328407</v>
      </c>
      <c r="F1076" s="3">
        <v>45789</v>
      </c>
      <c r="G1076">
        <v>202602</v>
      </c>
      <c r="H1076" t="s">
        <v>75</v>
      </c>
      <c r="I1076" t="s">
        <v>76</v>
      </c>
      <c r="J1076" t="s">
        <v>77</v>
      </c>
      <c r="K1076" t="s">
        <v>78</v>
      </c>
      <c r="L1076" t="s">
        <v>130</v>
      </c>
      <c r="M1076" t="s">
        <v>131</v>
      </c>
      <c r="N1076" t="s">
        <v>239</v>
      </c>
      <c r="O1076" t="s">
        <v>82</v>
      </c>
      <c r="P1076" t="str">
        <f>"4170037890                    "</f>
        <v xml:space="preserve">4170037890                    </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21.38</v>
      </c>
      <c r="AR1076">
        <v>0</v>
      </c>
      <c r="AS1076">
        <v>0</v>
      </c>
      <c r="AT1076">
        <v>0</v>
      </c>
      <c r="AU1076">
        <v>0</v>
      </c>
      <c r="AV1076">
        <v>0</v>
      </c>
      <c r="AW1076">
        <v>0</v>
      </c>
      <c r="AX1076">
        <v>0</v>
      </c>
      <c r="AY1076">
        <v>0</v>
      </c>
      <c r="AZ1076">
        <v>0</v>
      </c>
      <c r="BA1076">
        <v>0</v>
      </c>
      <c r="BB1076">
        <v>0</v>
      </c>
      <c r="BC1076">
        <v>0</v>
      </c>
      <c r="BD1076">
        <v>0</v>
      </c>
      <c r="BE1076">
        <v>0</v>
      </c>
      <c r="BF1076">
        <v>0</v>
      </c>
      <c r="BG1076">
        <v>0</v>
      </c>
      <c r="BH1076">
        <v>1</v>
      </c>
      <c r="BI1076">
        <v>1</v>
      </c>
      <c r="BJ1076">
        <v>0.2</v>
      </c>
      <c r="BK1076">
        <v>1</v>
      </c>
      <c r="BL1076">
        <v>69.98</v>
      </c>
      <c r="BM1076">
        <v>10.5</v>
      </c>
      <c r="BN1076">
        <v>80.48</v>
      </c>
      <c r="BO1076">
        <v>80.48</v>
      </c>
      <c r="BQ1076" t="s">
        <v>240</v>
      </c>
      <c r="BR1076" t="s">
        <v>84</v>
      </c>
      <c r="BS1076" s="3">
        <v>45790</v>
      </c>
      <c r="BT1076" s="4">
        <v>0.38263888888888886</v>
      </c>
      <c r="BU1076" t="s">
        <v>1725</v>
      </c>
      <c r="BV1076" t="s">
        <v>86</v>
      </c>
      <c r="BY1076">
        <v>1200</v>
      </c>
      <c r="CA1076" t="s">
        <v>242</v>
      </c>
      <c r="CC1076" t="s">
        <v>131</v>
      </c>
      <c r="CD1076">
        <v>7441</v>
      </c>
      <c r="CE1076" t="s">
        <v>88</v>
      </c>
      <c r="CF1076" s="3">
        <v>45791</v>
      </c>
      <c r="CI1076">
        <v>1</v>
      </c>
      <c r="CJ1076">
        <v>1</v>
      </c>
      <c r="CK1076">
        <v>21</v>
      </c>
      <c r="CL1076" t="s">
        <v>89</v>
      </c>
    </row>
    <row r="1077" spans="1:90" x14ac:dyDescent="0.3">
      <c r="A1077" t="s">
        <v>72</v>
      </c>
      <c r="B1077" t="s">
        <v>73</v>
      </c>
      <c r="C1077" t="s">
        <v>74</v>
      </c>
      <c r="E1077" t="str">
        <f>"080065328420"</f>
        <v>080065328420</v>
      </c>
      <c r="F1077" s="3">
        <v>45789</v>
      </c>
      <c r="G1077">
        <v>202602</v>
      </c>
      <c r="H1077" t="s">
        <v>75</v>
      </c>
      <c r="I1077" t="s">
        <v>76</v>
      </c>
      <c r="J1077" t="s">
        <v>77</v>
      </c>
      <c r="K1077" t="s">
        <v>78</v>
      </c>
      <c r="L1077" t="s">
        <v>117</v>
      </c>
      <c r="M1077" t="s">
        <v>118</v>
      </c>
      <c r="N1077" t="s">
        <v>1679</v>
      </c>
      <c r="O1077" t="s">
        <v>82</v>
      </c>
      <c r="P1077" t="str">
        <f>"4170037871                    "</f>
        <v xml:space="preserve">4170037871                    </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16.7</v>
      </c>
      <c r="AR1077">
        <v>0</v>
      </c>
      <c r="AS1077">
        <v>0</v>
      </c>
      <c r="AT1077">
        <v>0</v>
      </c>
      <c r="AU1077">
        <v>0</v>
      </c>
      <c r="AV1077">
        <v>0</v>
      </c>
      <c r="AW1077">
        <v>0</v>
      </c>
      <c r="AX1077">
        <v>0</v>
      </c>
      <c r="AY1077">
        <v>0</v>
      </c>
      <c r="AZ1077">
        <v>0</v>
      </c>
      <c r="BA1077">
        <v>0</v>
      </c>
      <c r="BB1077">
        <v>0</v>
      </c>
      <c r="BC1077">
        <v>0</v>
      </c>
      <c r="BD1077">
        <v>0</v>
      </c>
      <c r="BE1077">
        <v>0</v>
      </c>
      <c r="BF1077">
        <v>0</v>
      </c>
      <c r="BG1077">
        <v>0</v>
      </c>
      <c r="BH1077">
        <v>1</v>
      </c>
      <c r="BI1077">
        <v>2</v>
      </c>
      <c r="BJ1077">
        <v>5.7</v>
      </c>
      <c r="BK1077">
        <v>6</v>
      </c>
      <c r="BL1077">
        <v>54.66</v>
      </c>
      <c r="BM1077">
        <v>8.1999999999999993</v>
      </c>
      <c r="BN1077">
        <v>62.86</v>
      </c>
      <c r="BO1077">
        <v>62.86</v>
      </c>
      <c r="BQ1077" t="s">
        <v>1680</v>
      </c>
      <c r="BR1077" t="s">
        <v>84</v>
      </c>
      <c r="BS1077" s="3">
        <v>45790</v>
      </c>
      <c r="BT1077" s="4">
        <v>0.66597222222222219</v>
      </c>
      <c r="BU1077" t="s">
        <v>1681</v>
      </c>
      <c r="BV1077" t="s">
        <v>89</v>
      </c>
      <c r="BY1077">
        <v>28275</v>
      </c>
      <c r="CA1077" t="s">
        <v>231</v>
      </c>
      <c r="CC1077" t="s">
        <v>118</v>
      </c>
      <c r="CD1077">
        <v>2092</v>
      </c>
      <c r="CE1077" t="s">
        <v>96</v>
      </c>
      <c r="CF1077" s="3">
        <v>45791</v>
      </c>
      <c r="CI1077">
        <v>1</v>
      </c>
      <c r="CJ1077">
        <v>1</v>
      </c>
      <c r="CK1077">
        <v>22</v>
      </c>
      <c r="CL1077" t="s">
        <v>89</v>
      </c>
    </row>
    <row r="1078" spans="1:90" x14ac:dyDescent="0.3">
      <c r="A1078" t="s">
        <v>72</v>
      </c>
      <c r="B1078" t="s">
        <v>73</v>
      </c>
      <c r="C1078" t="s">
        <v>74</v>
      </c>
      <c r="E1078" t="str">
        <f>"080065328443"</f>
        <v>080065328443</v>
      </c>
      <c r="F1078" s="3">
        <v>45789</v>
      </c>
      <c r="G1078">
        <v>202602</v>
      </c>
      <c r="H1078" t="s">
        <v>75</v>
      </c>
      <c r="I1078" t="s">
        <v>76</v>
      </c>
      <c r="J1078" t="s">
        <v>77</v>
      </c>
      <c r="K1078" t="s">
        <v>78</v>
      </c>
      <c r="L1078" t="s">
        <v>130</v>
      </c>
      <c r="M1078" t="s">
        <v>131</v>
      </c>
      <c r="N1078" t="s">
        <v>239</v>
      </c>
      <c r="O1078" t="s">
        <v>82</v>
      </c>
      <c r="P1078" t="str">
        <f>"4170037901                    "</f>
        <v xml:space="preserve">4170037901                    </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0</v>
      </c>
      <c r="AJ1078">
        <v>0</v>
      </c>
      <c r="AK1078">
        <v>0</v>
      </c>
      <c r="AL1078">
        <v>0</v>
      </c>
      <c r="AM1078">
        <v>0</v>
      </c>
      <c r="AN1078">
        <v>0</v>
      </c>
      <c r="AO1078">
        <v>0</v>
      </c>
      <c r="AP1078">
        <v>0</v>
      </c>
      <c r="AQ1078">
        <v>21.38</v>
      </c>
      <c r="AR1078">
        <v>0</v>
      </c>
      <c r="AS1078">
        <v>0</v>
      </c>
      <c r="AT1078">
        <v>0</v>
      </c>
      <c r="AU1078">
        <v>0</v>
      </c>
      <c r="AV1078">
        <v>0</v>
      </c>
      <c r="AW1078">
        <v>0</v>
      </c>
      <c r="AX1078">
        <v>0</v>
      </c>
      <c r="AY1078">
        <v>0</v>
      </c>
      <c r="AZ1078">
        <v>0</v>
      </c>
      <c r="BA1078">
        <v>0</v>
      </c>
      <c r="BB1078">
        <v>0</v>
      </c>
      <c r="BC1078">
        <v>0</v>
      </c>
      <c r="BD1078">
        <v>0</v>
      </c>
      <c r="BE1078">
        <v>0</v>
      </c>
      <c r="BF1078">
        <v>0</v>
      </c>
      <c r="BG1078">
        <v>0</v>
      </c>
      <c r="BH1078">
        <v>1</v>
      </c>
      <c r="BI1078">
        <v>1</v>
      </c>
      <c r="BJ1078">
        <v>0.2</v>
      </c>
      <c r="BK1078">
        <v>1</v>
      </c>
      <c r="BL1078">
        <v>69.98</v>
      </c>
      <c r="BM1078">
        <v>10.5</v>
      </c>
      <c r="BN1078">
        <v>80.48</v>
      </c>
      <c r="BO1078">
        <v>80.48</v>
      </c>
      <c r="BQ1078" t="s">
        <v>240</v>
      </c>
      <c r="BR1078" t="s">
        <v>84</v>
      </c>
      <c r="BS1078" s="3">
        <v>45790</v>
      </c>
      <c r="BT1078" s="4">
        <v>0.38263888888888886</v>
      </c>
      <c r="BU1078" t="s">
        <v>1725</v>
      </c>
      <c r="BV1078" t="s">
        <v>86</v>
      </c>
      <c r="BY1078">
        <v>1200</v>
      </c>
      <c r="CA1078" t="s">
        <v>242</v>
      </c>
      <c r="CC1078" t="s">
        <v>131</v>
      </c>
      <c r="CD1078">
        <v>7441</v>
      </c>
      <c r="CE1078" t="s">
        <v>88</v>
      </c>
      <c r="CF1078" s="3">
        <v>45791</v>
      </c>
      <c r="CI1078">
        <v>1</v>
      </c>
      <c r="CJ1078">
        <v>1</v>
      </c>
      <c r="CK1078">
        <v>21</v>
      </c>
      <c r="CL1078" t="s">
        <v>89</v>
      </c>
    </row>
    <row r="1079" spans="1:90" x14ac:dyDescent="0.3">
      <c r="A1079" t="s">
        <v>72</v>
      </c>
      <c r="B1079" t="s">
        <v>73</v>
      </c>
      <c r="C1079" t="s">
        <v>74</v>
      </c>
      <c r="E1079" t="str">
        <f>"080065328452"</f>
        <v>080065328452</v>
      </c>
      <c r="F1079" s="3">
        <v>45789</v>
      </c>
      <c r="G1079">
        <v>202602</v>
      </c>
      <c r="H1079" t="s">
        <v>75</v>
      </c>
      <c r="I1079" t="s">
        <v>76</v>
      </c>
      <c r="J1079" t="s">
        <v>77</v>
      </c>
      <c r="K1079" t="s">
        <v>78</v>
      </c>
      <c r="L1079" t="s">
        <v>75</v>
      </c>
      <c r="M1079" t="s">
        <v>76</v>
      </c>
      <c r="N1079" t="s">
        <v>601</v>
      </c>
      <c r="O1079" t="s">
        <v>82</v>
      </c>
      <c r="P1079" t="str">
        <f>"4170037867                    "</f>
        <v xml:space="preserve">4170037867                    </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16.7</v>
      </c>
      <c r="AR1079">
        <v>0</v>
      </c>
      <c r="AS1079">
        <v>0</v>
      </c>
      <c r="AT1079">
        <v>0</v>
      </c>
      <c r="AU1079">
        <v>0</v>
      </c>
      <c r="AV1079">
        <v>0</v>
      </c>
      <c r="AW1079">
        <v>0</v>
      </c>
      <c r="AX1079">
        <v>0</v>
      </c>
      <c r="AY1079">
        <v>0</v>
      </c>
      <c r="AZ1079">
        <v>0</v>
      </c>
      <c r="BA1079">
        <v>0</v>
      </c>
      <c r="BB1079">
        <v>0</v>
      </c>
      <c r="BC1079">
        <v>0</v>
      </c>
      <c r="BD1079">
        <v>0</v>
      </c>
      <c r="BE1079">
        <v>0</v>
      </c>
      <c r="BF1079">
        <v>0</v>
      </c>
      <c r="BG1079">
        <v>0</v>
      </c>
      <c r="BH1079">
        <v>1</v>
      </c>
      <c r="BI1079">
        <v>3</v>
      </c>
      <c r="BJ1079">
        <v>3.2</v>
      </c>
      <c r="BK1079">
        <v>4</v>
      </c>
      <c r="BL1079">
        <v>54.66</v>
      </c>
      <c r="BM1079">
        <v>8.1999999999999993</v>
      </c>
      <c r="BN1079">
        <v>62.86</v>
      </c>
      <c r="BO1079">
        <v>62.86</v>
      </c>
      <c r="BQ1079" t="s">
        <v>603</v>
      </c>
      <c r="BR1079" t="s">
        <v>84</v>
      </c>
      <c r="BS1079" s="3">
        <v>45790</v>
      </c>
      <c r="BT1079" s="4">
        <v>0.41944444444444445</v>
      </c>
      <c r="BU1079" t="s">
        <v>604</v>
      </c>
      <c r="BV1079" t="s">
        <v>86</v>
      </c>
      <c r="BY1079">
        <v>16128</v>
      </c>
      <c r="CA1079" t="s">
        <v>605</v>
      </c>
      <c r="CC1079" t="s">
        <v>76</v>
      </c>
      <c r="CD1079">
        <v>1645</v>
      </c>
      <c r="CE1079" t="s">
        <v>221</v>
      </c>
      <c r="CF1079" s="3">
        <v>45790</v>
      </c>
      <c r="CI1079">
        <v>1</v>
      </c>
      <c r="CJ1079">
        <v>1</v>
      </c>
      <c r="CK1079">
        <v>22</v>
      </c>
      <c r="CL1079" t="s">
        <v>89</v>
      </c>
    </row>
    <row r="1080" spans="1:90" x14ac:dyDescent="0.3">
      <c r="A1080" t="s">
        <v>72</v>
      </c>
      <c r="B1080" t="s">
        <v>73</v>
      </c>
      <c r="C1080" t="s">
        <v>74</v>
      </c>
      <c r="E1080" t="str">
        <f>"080065328461"</f>
        <v>080065328461</v>
      </c>
      <c r="F1080" s="3">
        <v>45789</v>
      </c>
      <c r="G1080">
        <v>202602</v>
      </c>
      <c r="H1080" t="s">
        <v>75</v>
      </c>
      <c r="I1080" t="s">
        <v>76</v>
      </c>
      <c r="J1080" t="s">
        <v>77</v>
      </c>
      <c r="K1080" t="s">
        <v>78</v>
      </c>
      <c r="L1080" t="s">
        <v>90</v>
      </c>
      <c r="M1080" t="s">
        <v>91</v>
      </c>
      <c r="N1080" t="s">
        <v>563</v>
      </c>
      <c r="O1080" t="s">
        <v>82</v>
      </c>
      <c r="P1080" t="str">
        <f>"4170037970                    "</f>
        <v xml:space="preserve">4170037970                    </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21.38</v>
      </c>
      <c r="AR1080">
        <v>0</v>
      </c>
      <c r="AS1080">
        <v>0</v>
      </c>
      <c r="AT1080">
        <v>0</v>
      </c>
      <c r="AU1080">
        <v>0</v>
      </c>
      <c r="AV1080">
        <v>0</v>
      </c>
      <c r="AW1080">
        <v>0</v>
      </c>
      <c r="AX1080">
        <v>0</v>
      </c>
      <c r="AY1080">
        <v>0</v>
      </c>
      <c r="AZ1080">
        <v>0</v>
      </c>
      <c r="BA1080">
        <v>0</v>
      </c>
      <c r="BB1080">
        <v>0</v>
      </c>
      <c r="BC1080">
        <v>0</v>
      </c>
      <c r="BD1080">
        <v>0</v>
      </c>
      <c r="BE1080">
        <v>0</v>
      </c>
      <c r="BF1080">
        <v>0</v>
      </c>
      <c r="BG1080">
        <v>0</v>
      </c>
      <c r="BH1080">
        <v>1</v>
      </c>
      <c r="BI1080">
        <v>1</v>
      </c>
      <c r="BJ1080">
        <v>0.2</v>
      </c>
      <c r="BK1080">
        <v>1</v>
      </c>
      <c r="BL1080">
        <v>69.98</v>
      </c>
      <c r="BM1080">
        <v>10.5</v>
      </c>
      <c r="BN1080">
        <v>80.48</v>
      </c>
      <c r="BO1080">
        <v>80.48</v>
      </c>
      <c r="BQ1080" t="s">
        <v>564</v>
      </c>
      <c r="BR1080" t="s">
        <v>84</v>
      </c>
      <c r="BS1080" s="3">
        <v>45790</v>
      </c>
      <c r="BT1080" s="4">
        <v>0.35208333333333336</v>
      </c>
      <c r="BU1080" t="s">
        <v>1621</v>
      </c>
      <c r="BV1080" t="s">
        <v>86</v>
      </c>
      <c r="BY1080">
        <v>1200</v>
      </c>
      <c r="CA1080" t="s">
        <v>1622</v>
      </c>
      <c r="CC1080" t="s">
        <v>91</v>
      </c>
      <c r="CD1080">
        <v>6001</v>
      </c>
      <c r="CE1080" t="s">
        <v>88</v>
      </c>
      <c r="CF1080" s="3">
        <v>45790</v>
      </c>
      <c r="CI1080">
        <v>1</v>
      </c>
      <c r="CJ1080">
        <v>1</v>
      </c>
      <c r="CK1080">
        <v>21</v>
      </c>
      <c r="CL1080" t="s">
        <v>89</v>
      </c>
    </row>
    <row r="1081" spans="1:90" x14ac:dyDescent="0.3">
      <c r="A1081" t="s">
        <v>72</v>
      </c>
      <c r="B1081" t="s">
        <v>73</v>
      </c>
      <c r="C1081" t="s">
        <v>74</v>
      </c>
      <c r="E1081" t="str">
        <f>"080065328471"</f>
        <v>080065328471</v>
      </c>
      <c r="F1081" s="3">
        <v>45789</v>
      </c>
      <c r="G1081">
        <v>202602</v>
      </c>
      <c r="H1081" t="s">
        <v>75</v>
      </c>
      <c r="I1081" t="s">
        <v>76</v>
      </c>
      <c r="J1081" t="s">
        <v>77</v>
      </c>
      <c r="K1081" t="s">
        <v>78</v>
      </c>
      <c r="L1081" t="s">
        <v>136</v>
      </c>
      <c r="M1081" t="s">
        <v>137</v>
      </c>
      <c r="N1081" t="s">
        <v>1702</v>
      </c>
      <c r="O1081" t="s">
        <v>82</v>
      </c>
      <c r="P1081" t="str">
        <f>"4170037852                    "</f>
        <v xml:space="preserve">4170037852                    </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21.38</v>
      </c>
      <c r="AR1081">
        <v>0</v>
      </c>
      <c r="AS1081">
        <v>0</v>
      </c>
      <c r="AT1081">
        <v>0</v>
      </c>
      <c r="AU1081">
        <v>0</v>
      </c>
      <c r="AV1081">
        <v>0</v>
      </c>
      <c r="AW1081">
        <v>0</v>
      </c>
      <c r="AX1081">
        <v>0</v>
      </c>
      <c r="AY1081">
        <v>0</v>
      </c>
      <c r="AZ1081">
        <v>0</v>
      </c>
      <c r="BA1081">
        <v>0</v>
      </c>
      <c r="BB1081">
        <v>0</v>
      </c>
      <c r="BC1081">
        <v>0</v>
      </c>
      <c r="BD1081">
        <v>0</v>
      </c>
      <c r="BE1081">
        <v>0</v>
      </c>
      <c r="BF1081">
        <v>0</v>
      </c>
      <c r="BG1081">
        <v>0</v>
      </c>
      <c r="BH1081">
        <v>1</v>
      </c>
      <c r="BI1081">
        <v>1</v>
      </c>
      <c r="BJ1081">
        <v>0.6</v>
      </c>
      <c r="BK1081">
        <v>1</v>
      </c>
      <c r="BL1081">
        <v>69.98</v>
      </c>
      <c r="BM1081">
        <v>10.5</v>
      </c>
      <c r="BN1081">
        <v>80.48</v>
      </c>
      <c r="BO1081">
        <v>80.48</v>
      </c>
      <c r="BQ1081" t="s">
        <v>1773</v>
      </c>
      <c r="BR1081" t="s">
        <v>84</v>
      </c>
      <c r="BS1081" s="3">
        <v>45790</v>
      </c>
      <c r="BT1081" s="4">
        <v>0.43680555555555556</v>
      </c>
      <c r="BU1081" t="s">
        <v>1774</v>
      </c>
      <c r="BV1081" t="s">
        <v>86</v>
      </c>
      <c r="BY1081">
        <v>3192</v>
      </c>
      <c r="CA1081" t="s">
        <v>141</v>
      </c>
      <c r="CC1081" t="s">
        <v>137</v>
      </c>
      <c r="CD1081" s="5" t="s">
        <v>142</v>
      </c>
      <c r="CE1081" t="s">
        <v>96</v>
      </c>
      <c r="CF1081" s="3">
        <v>45790</v>
      </c>
      <c r="CI1081">
        <v>1</v>
      </c>
      <c r="CJ1081">
        <v>1</v>
      </c>
      <c r="CK1081">
        <v>21</v>
      </c>
      <c r="CL1081" t="s">
        <v>89</v>
      </c>
    </row>
    <row r="1082" spans="1:90" x14ac:dyDescent="0.3">
      <c r="A1082" t="s">
        <v>72</v>
      </c>
      <c r="B1082" t="s">
        <v>73</v>
      </c>
      <c r="C1082" t="s">
        <v>74</v>
      </c>
      <c r="E1082" t="str">
        <f>"080065328474"</f>
        <v>080065328474</v>
      </c>
      <c r="F1082" s="3">
        <v>45789</v>
      </c>
      <c r="G1082">
        <v>202602</v>
      </c>
      <c r="H1082" t="s">
        <v>75</v>
      </c>
      <c r="I1082" t="s">
        <v>76</v>
      </c>
      <c r="J1082" t="s">
        <v>77</v>
      </c>
      <c r="K1082" t="s">
        <v>78</v>
      </c>
      <c r="L1082" t="s">
        <v>266</v>
      </c>
      <c r="M1082" t="s">
        <v>267</v>
      </c>
      <c r="N1082" t="s">
        <v>1750</v>
      </c>
      <c r="O1082" t="s">
        <v>82</v>
      </c>
      <c r="P1082" t="str">
        <f>"4170037872                    "</f>
        <v xml:space="preserve">4170037872                    </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21.38</v>
      </c>
      <c r="AR1082">
        <v>0</v>
      </c>
      <c r="AS1082">
        <v>0</v>
      </c>
      <c r="AT1082">
        <v>0</v>
      </c>
      <c r="AU1082">
        <v>0</v>
      </c>
      <c r="AV1082">
        <v>0</v>
      </c>
      <c r="AW1082">
        <v>0</v>
      </c>
      <c r="AX1082">
        <v>0</v>
      </c>
      <c r="AY1082">
        <v>0</v>
      </c>
      <c r="AZ1082">
        <v>0</v>
      </c>
      <c r="BA1082">
        <v>0</v>
      </c>
      <c r="BB1082">
        <v>0</v>
      </c>
      <c r="BC1082">
        <v>0</v>
      </c>
      <c r="BD1082">
        <v>0</v>
      </c>
      <c r="BE1082">
        <v>0</v>
      </c>
      <c r="BF1082">
        <v>0</v>
      </c>
      <c r="BG1082">
        <v>0</v>
      </c>
      <c r="BH1082">
        <v>1</v>
      </c>
      <c r="BI1082">
        <v>1</v>
      </c>
      <c r="BJ1082">
        <v>0.2</v>
      </c>
      <c r="BK1082">
        <v>1</v>
      </c>
      <c r="BL1082">
        <v>69.98</v>
      </c>
      <c r="BM1082">
        <v>10.5</v>
      </c>
      <c r="BN1082">
        <v>80.48</v>
      </c>
      <c r="BO1082">
        <v>80.48</v>
      </c>
      <c r="BQ1082" t="s">
        <v>1751</v>
      </c>
      <c r="BR1082" t="s">
        <v>84</v>
      </c>
      <c r="BS1082" s="3">
        <v>45790</v>
      </c>
      <c r="BT1082" s="4">
        <v>0.4</v>
      </c>
      <c r="BU1082" t="s">
        <v>1752</v>
      </c>
      <c r="BV1082" t="s">
        <v>86</v>
      </c>
      <c r="BY1082">
        <v>1200</v>
      </c>
      <c r="CA1082" t="s">
        <v>271</v>
      </c>
      <c r="CC1082" t="s">
        <v>267</v>
      </c>
      <c r="CD1082">
        <v>6220</v>
      </c>
      <c r="CE1082" t="s">
        <v>88</v>
      </c>
      <c r="CF1082" s="3">
        <v>45790</v>
      </c>
      <c r="CI1082">
        <v>1</v>
      </c>
      <c r="CJ1082">
        <v>1</v>
      </c>
      <c r="CK1082">
        <v>21</v>
      </c>
      <c r="CL1082" t="s">
        <v>89</v>
      </c>
    </row>
    <row r="1083" spans="1:90" x14ac:dyDescent="0.3">
      <c r="A1083" t="s">
        <v>72</v>
      </c>
      <c r="B1083" t="s">
        <v>73</v>
      </c>
      <c r="C1083" t="s">
        <v>74</v>
      </c>
      <c r="E1083" t="str">
        <f>"080065328480"</f>
        <v>080065328480</v>
      </c>
      <c r="F1083" s="3">
        <v>45789</v>
      </c>
      <c r="G1083">
        <v>202602</v>
      </c>
      <c r="H1083" t="s">
        <v>75</v>
      </c>
      <c r="I1083" t="s">
        <v>76</v>
      </c>
      <c r="J1083" t="s">
        <v>77</v>
      </c>
      <c r="K1083" t="s">
        <v>78</v>
      </c>
      <c r="L1083" t="s">
        <v>103</v>
      </c>
      <c r="M1083" t="s">
        <v>104</v>
      </c>
      <c r="N1083" t="s">
        <v>633</v>
      </c>
      <c r="O1083" t="s">
        <v>82</v>
      </c>
      <c r="P1083" t="str">
        <f>"4170037900                    "</f>
        <v xml:space="preserve">4170037900                    </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c r="AQ1083">
        <v>21.38</v>
      </c>
      <c r="AR1083">
        <v>0</v>
      </c>
      <c r="AS1083">
        <v>0</v>
      </c>
      <c r="AT1083">
        <v>0</v>
      </c>
      <c r="AU1083">
        <v>0</v>
      </c>
      <c r="AV1083">
        <v>0</v>
      </c>
      <c r="AW1083">
        <v>0</v>
      </c>
      <c r="AX1083">
        <v>0</v>
      </c>
      <c r="AY1083">
        <v>0</v>
      </c>
      <c r="AZ1083">
        <v>0</v>
      </c>
      <c r="BA1083">
        <v>0</v>
      </c>
      <c r="BB1083">
        <v>0</v>
      </c>
      <c r="BC1083">
        <v>0</v>
      </c>
      <c r="BD1083">
        <v>0</v>
      </c>
      <c r="BE1083">
        <v>0</v>
      </c>
      <c r="BF1083">
        <v>0</v>
      </c>
      <c r="BG1083">
        <v>0</v>
      </c>
      <c r="BH1083">
        <v>1</v>
      </c>
      <c r="BI1083">
        <v>1</v>
      </c>
      <c r="BJ1083">
        <v>0.2</v>
      </c>
      <c r="BK1083">
        <v>1</v>
      </c>
      <c r="BL1083">
        <v>69.98</v>
      </c>
      <c r="BM1083">
        <v>10.5</v>
      </c>
      <c r="BN1083">
        <v>80.48</v>
      </c>
      <c r="BO1083">
        <v>80.48</v>
      </c>
      <c r="BQ1083" t="s">
        <v>634</v>
      </c>
      <c r="BR1083" t="s">
        <v>84</v>
      </c>
      <c r="BS1083" s="3">
        <v>45790</v>
      </c>
      <c r="BT1083" s="4">
        <v>0.45833333333333331</v>
      </c>
      <c r="BU1083" t="s">
        <v>635</v>
      </c>
      <c r="BV1083" t="s">
        <v>86</v>
      </c>
      <c r="BY1083">
        <v>1200</v>
      </c>
      <c r="CA1083" t="s">
        <v>440</v>
      </c>
      <c r="CC1083" t="s">
        <v>104</v>
      </c>
      <c r="CD1083">
        <v>3212</v>
      </c>
      <c r="CE1083" t="s">
        <v>88</v>
      </c>
      <c r="CF1083" s="3">
        <v>45791</v>
      </c>
      <c r="CI1083">
        <v>2</v>
      </c>
      <c r="CJ1083">
        <v>1</v>
      </c>
      <c r="CK1083">
        <v>21</v>
      </c>
      <c r="CL1083" t="s">
        <v>89</v>
      </c>
    </row>
    <row r="1084" spans="1:90" x14ac:dyDescent="0.3">
      <c r="A1084" t="s">
        <v>72</v>
      </c>
      <c r="B1084" t="s">
        <v>73</v>
      </c>
      <c r="C1084" t="s">
        <v>74</v>
      </c>
      <c r="E1084" t="str">
        <f>"080065328482"</f>
        <v>080065328482</v>
      </c>
      <c r="F1084" s="3">
        <v>45789</v>
      </c>
      <c r="G1084">
        <v>202602</v>
      </c>
      <c r="H1084" t="s">
        <v>75</v>
      </c>
      <c r="I1084" t="s">
        <v>76</v>
      </c>
      <c r="J1084" t="s">
        <v>77</v>
      </c>
      <c r="K1084" t="s">
        <v>78</v>
      </c>
      <c r="L1084" t="s">
        <v>463</v>
      </c>
      <c r="M1084" t="s">
        <v>464</v>
      </c>
      <c r="N1084" t="s">
        <v>744</v>
      </c>
      <c r="O1084" t="s">
        <v>300</v>
      </c>
      <c r="P1084" t="str">
        <f>"4170037996                    "</f>
        <v xml:space="preserve">4170037996                    </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58.42</v>
      </c>
      <c r="AR1084">
        <v>0</v>
      </c>
      <c r="AS1084">
        <v>0</v>
      </c>
      <c r="AT1084">
        <v>0</v>
      </c>
      <c r="AU1084">
        <v>0</v>
      </c>
      <c r="AV1084">
        <v>0</v>
      </c>
      <c r="AW1084">
        <v>0</v>
      </c>
      <c r="AX1084">
        <v>0</v>
      </c>
      <c r="AY1084">
        <v>0</v>
      </c>
      <c r="AZ1084">
        <v>0</v>
      </c>
      <c r="BA1084">
        <v>0</v>
      </c>
      <c r="BB1084">
        <v>0</v>
      </c>
      <c r="BC1084">
        <v>0</v>
      </c>
      <c r="BD1084">
        <v>0</v>
      </c>
      <c r="BE1084">
        <v>0</v>
      </c>
      <c r="BF1084">
        <v>0</v>
      </c>
      <c r="BG1084">
        <v>0</v>
      </c>
      <c r="BH1084">
        <v>2</v>
      </c>
      <c r="BI1084">
        <v>25</v>
      </c>
      <c r="BJ1084">
        <v>13.3</v>
      </c>
      <c r="BK1084">
        <v>25</v>
      </c>
      <c r="BL1084">
        <v>196.77</v>
      </c>
      <c r="BM1084">
        <v>29.52</v>
      </c>
      <c r="BN1084">
        <v>226.29</v>
      </c>
      <c r="BO1084">
        <v>226.29</v>
      </c>
      <c r="BQ1084" t="s">
        <v>745</v>
      </c>
      <c r="BR1084" t="s">
        <v>84</v>
      </c>
      <c r="BS1084" s="3">
        <v>45791</v>
      </c>
      <c r="BT1084" s="4">
        <v>0.47847222222222224</v>
      </c>
      <c r="BU1084" t="s">
        <v>1775</v>
      </c>
      <c r="BV1084" t="s">
        <v>86</v>
      </c>
      <c r="BY1084">
        <v>66656</v>
      </c>
      <c r="CA1084" t="s">
        <v>1509</v>
      </c>
      <c r="CC1084" t="s">
        <v>464</v>
      </c>
      <c r="CD1084">
        <v>5201</v>
      </c>
      <c r="CE1084" t="s">
        <v>221</v>
      </c>
      <c r="CF1084" s="3">
        <v>45792</v>
      </c>
      <c r="CI1084">
        <v>3</v>
      </c>
      <c r="CJ1084">
        <v>2</v>
      </c>
      <c r="CK1084">
        <v>41</v>
      </c>
      <c r="CL1084" t="s">
        <v>89</v>
      </c>
    </row>
    <row r="1085" spans="1:90" x14ac:dyDescent="0.3">
      <c r="A1085" t="s">
        <v>72</v>
      </c>
      <c r="B1085" t="s">
        <v>73</v>
      </c>
      <c r="C1085" t="s">
        <v>74</v>
      </c>
      <c r="E1085" t="str">
        <f>"080065328488"</f>
        <v>080065328488</v>
      </c>
      <c r="F1085" s="3">
        <v>45789</v>
      </c>
      <c r="G1085">
        <v>202602</v>
      </c>
      <c r="H1085" t="s">
        <v>75</v>
      </c>
      <c r="I1085" t="s">
        <v>76</v>
      </c>
      <c r="J1085" t="s">
        <v>77</v>
      </c>
      <c r="K1085" t="s">
        <v>78</v>
      </c>
      <c r="L1085" t="s">
        <v>75</v>
      </c>
      <c r="M1085" t="s">
        <v>76</v>
      </c>
      <c r="N1085" t="s">
        <v>1776</v>
      </c>
      <c r="O1085" t="s">
        <v>82</v>
      </c>
      <c r="P1085" t="str">
        <f>"4170037855                    "</f>
        <v xml:space="preserve">4170037855                    </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16.7</v>
      </c>
      <c r="AR1085">
        <v>0</v>
      </c>
      <c r="AS1085">
        <v>0</v>
      </c>
      <c r="AT1085">
        <v>0</v>
      </c>
      <c r="AU1085">
        <v>0</v>
      </c>
      <c r="AV1085">
        <v>0</v>
      </c>
      <c r="AW1085">
        <v>0</v>
      </c>
      <c r="AX1085">
        <v>0</v>
      </c>
      <c r="AY1085">
        <v>0</v>
      </c>
      <c r="AZ1085">
        <v>0</v>
      </c>
      <c r="BA1085">
        <v>0</v>
      </c>
      <c r="BB1085">
        <v>0</v>
      </c>
      <c r="BC1085">
        <v>0</v>
      </c>
      <c r="BD1085">
        <v>0</v>
      </c>
      <c r="BE1085">
        <v>0</v>
      </c>
      <c r="BF1085">
        <v>0</v>
      </c>
      <c r="BG1085">
        <v>0</v>
      </c>
      <c r="BH1085">
        <v>1</v>
      </c>
      <c r="BI1085">
        <v>1</v>
      </c>
      <c r="BJ1085">
        <v>0.2</v>
      </c>
      <c r="BK1085">
        <v>1</v>
      </c>
      <c r="BL1085">
        <v>54.66</v>
      </c>
      <c r="BM1085">
        <v>8.1999999999999993</v>
      </c>
      <c r="BN1085">
        <v>62.86</v>
      </c>
      <c r="BO1085">
        <v>62.86</v>
      </c>
      <c r="BQ1085" t="s">
        <v>1777</v>
      </c>
      <c r="BR1085" t="s">
        <v>84</v>
      </c>
      <c r="BS1085" s="3">
        <v>45790</v>
      </c>
      <c r="BT1085" s="4">
        <v>0.39930555555555558</v>
      </c>
      <c r="BU1085" t="s">
        <v>1778</v>
      </c>
      <c r="BV1085" t="s">
        <v>86</v>
      </c>
      <c r="BY1085">
        <v>1200</v>
      </c>
      <c r="CA1085" t="s">
        <v>853</v>
      </c>
      <c r="CC1085" t="s">
        <v>76</v>
      </c>
      <c r="CD1085">
        <v>1665</v>
      </c>
      <c r="CE1085" t="s">
        <v>88</v>
      </c>
      <c r="CF1085" s="3">
        <v>45791</v>
      </c>
      <c r="CI1085">
        <v>1</v>
      </c>
      <c r="CJ1085">
        <v>1</v>
      </c>
      <c r="CK1085">
        <v>22</v>
      </c>
      <c r="CL1085" t="s">
        <v>89</v>
      </c>
    </row>
    <row r="1086" spans="1:90" x14ac:dyDescent="0.3">
      <c r="A1086" t="s">
        <v>72</v>
      </c>
      <c r="B1086" t="s">
        <v>73</v>
      </c>
      <c r="C1086" t="s">
        <v>74</v>
      </c>
      <c r="E1086" t="str">
        <f>"080065328501"</f>
        <v>080065328501</v>
      </c>
      <c r="F1086" s="3">
        <v>45789</v>
      </c>
      <c r="G1086">
        <v>202602</v>
      </c>
      <c r="H1086" t="s">
        <v>75</v>
      </c>
      <c r="I1086" t="s">
        <v>76</v>
      </c>
      <c r="J1086" t="s">
        <v>77</v>
      </c>
      <c r="K1086" t="s">
        <v>78</v>
      </c>
      <c r="L1086" t="s">
        <v>136</v>
      </c>
      <c r="M1086" t="s">
        <v>137</v>
      </c>
      <c r="N1086" t="s">
        <v>250</v>
      </c>
      <c r="O1086" t="s">
        <v>82</v>
      </c>
      <c r="P1086" t="str">
        <f>"4170037771                    "</f>
        <v xml:space="preserve">4170037771                    </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21.38</v>
      </c>
      <c r="AR1086">
        <v>0</v>
      </c>
      <c r="AS1086">
        <v>0</v>
      </c>
      <c r="AT1086">
        <v>0</v>
      </c>
      <c r="AU1086">
        <v>0</v>
      </c>
      <c r="AV1086">
        <v>0</v>
      </c>
      <c r="AW1086">
        <v>0</v>
      </c>
      <c r="AX1086">
        <v>0</v>
      </c>
      <c r="AY1086">
        <v>0</v>
      </c>
      <c r="AZ1086">
        <v>0</v>
      </c>
      <c r="BA1086">
        <v>0</v>
      </c>
      <c r="BB1086">
        <v>0</v>
      </c>
      <c r="BC1086">
        <v>0</v>
      </c>
      <c r="BD1086">
        <v>0</v>
      </c>
      <c r="BE1086">
        <v>0</v>
      </c>
      <c r="BF1086">
        <v>0</v>
      </c>
      <c r="BG1086">
        <v>0</v>
      </c>
      <c r="BH1086">
        <v>1</v>
      </c>
      <c r="BI1086">
        <v>1</v>
      </c>
      <c r="BJ1086">
        <v>0.2</v>
      </c>
      <c r="BK1086">
        <v>1</v>
      </c>
      <c r="BL1086">
        <v>69.98</v>
      </c>
      <c r="BM1086">
        <v>10.5</v>
      </c>
      <c r="BN1086">
        <v>80.48</v>
      </c>
      <c r="BO1086">
        <v>80.48</v>
      </c>
      <c r="BQ1086" t="s">
        <v>251</v>
      </c>
      <c r="BR1086" t="s">
        <v>84</v>
      </c>
      <c r="BS1086" s="3">
        <v>45790</v>
      </c>
      <c r="BT1086" s="4">
        <v>0.4375</v>
      </c>
      <c r="BU1086" t="s">
        <v>252</v>
      </c>
      <c r="BV1086" t="s">
        <v>86</v>
      </c>
      <c r="BY1086">
        <v>1200</v>
      </c>
      <c r="CA1086" t="s">
        <v>253</v>
      </c>
      <c r="CC1086" t="s">
        <v>137</v>
      </c>
      <c r="CD1086" s="5" t="s">
        <v>254</v>
      </c>
      <c r="CE1086" t="s">
        <v>88</v>
      </c>
      <c r="CF1086" s="3">
        <v>45790</v>
      </c>
      <c r="CI1086">
        <v>1</v>
      </c>
      <c r="CJ1086">
        <v>1</v>
      </c>
      <c r="CK1086">
        <v>21</v>
      </c>
      <c r="CL1086" t="s">
        <v>89</v>
      </c>
    </row>
    <row r="1087" spans="1:90" x14ac:dyDescent="0.3">
      <c r="A1087" t="s">
        <v>72</v>
      </c>
      <c r="B1087" t="s">
        <v>73</v>
      </c>
      <c r="C1087" t="s">
        <v>74</v>
      </c>
      <c r="E1087" t="str">
        <f>"080065328503"</f>
        <v>080065328503</v>
      </c>
      <c r="F1087" s="3">
        <v>45789</v>
      </c>
      <c r="G1087">
        <v>202602</v>
      </c>
      <c r="H1087" t="s">
        <v>75</v>
      </c>
      <c r="I1087" t="s">
        <v>76</v>
      </c>
      <c r="J1087" t="s">
        <v>77</v>
      </c>
      <c r="K1087" t="s">
        <v>78</v>
      </c>
      <c r="L1087" t="s">
        <v>75</v>
      </c>
      <c r="M1087" t="s">
        <v>76</v>
      </c>
      <c r="N1087" t="s">
        <v>601</v>
      </c>
      <c r="O1087" t="s">
        <v>82</v>
      </c>
      <c r="P1087" t="str">
        <f>"4170037814                    "</f>
        <v xml:space="preserve">4170037814                    </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16.7</v>
      </c>
      <c r="AR1087">
        <v>0</v>
      </c>
      <c r="AS1087">
        <v>0</v>
      </c>
      <c r="AT1087">
        <v>0</v>
      </c>
      <c r="AU1087">
        <v>0</v>
      </c>
      <c r="AV1087">
        <v>0</v>
      </c>
      <c r="AW1087">
        <v>0</v>
      </c>
      <c r="AX1087">
        <v>0</v>
      </c>
      <c r="AY1087">
        <v>0</v>
      </c>
      <c r="AZ1087">
        <v>0</v>
      </c>
      <c r="BA1087">
        <v>0</v>
      </c>
      <c r="BB1087">
        <v>0</v>
      </c>
      <c r="BC1087">
        <v>0</v>
      </c>
      <c r="BD1087">
        <v>0</v>
      </c>
      <c r="BE1087">
        <v>0</v>
      </c>
      <c r="BF1087">
        <v>0</v>
      </c>
      <c r="BG1087">
        <v>0</v>
      </c>
      <c r="BH1087">
        <v>1</v>
      </c>
      <c r="BI1087">
        <v>2</v>
      </c>
      <c r="BJ1087">
        <v>1.1000000000000001</v>
      </c>
      <c r="BK1087">
        <v>2</v>
      </c>
      <c r="BL1087">
        <v>54.66</v>
      </c>
      <c r="BM1087">
        <v>8.1999999999999993</v>
      </c>
      <c r="BN1087">
        <v>62.86</v>
      </c>
      <c r="BO1087">
        <v>62.86</v>
      </c>
      <c r="BQ1087" t="s">
        <v>603</v>
      </c>
      <c r="BR1087" t="s">
        <v>84</v>
      </c>
      <c r="BS1087" s="3">
        <v>45790</v>
      </c>
      <c r="BT1087" s="4">
        <v>0.41944444444444445</v>
      </c>
      <c r="BU1087" t="s">
        <v>623</v>
      </c>
      <c r="BV1087" t="s">
        <v>86</v>
      </c>
      <c r="BY1087">
        <v>5320</v>
      </c>
      <c r="CA1087" t="s">
        <v>605</v>
      </c>
      <c r="CC1087" t="s">
        <v>76</v>
      </c>
      <c r="CD1087">
        <v>1645</v>
      </c>
      <c r="CE1087" t="s">
        <v>96</v>
      </c>
      <c r="CF1087" s="3">
        <v>45790</v>
      </c>
      <c r="CI1087">
        <v>1</v>
      </c>
      <c r="CJ1087">
        <v>1</v>
      </c>
      <c r="CK1087">
        <v>22</v>
      </c>
      <c r="CL1087" t="s">
        <v>89</v>
      </c>
    </row>
    <row r="1088" spans="1:90" x14ac:dyDescent="0.3">
      <c r="A1088" t="s">
        <v>72</v>
      </c>
      <c r="B1088" t="s">
        <v>73</v>
      </c>
      <c r="C1088" t="s">
        <v>74</v>
      </c>
      <c r="E1088" t="str">
        <f>"080065328513"</f>
        <v>080065328513</v>
      </c>
      <c r="F1088" s="3">
        <v>45789</v>
      </c>
      <c r="G1088">
        <v>202602</v>
      </c>
      <c r="H1088" t="s">
        <v>75</v>
      </c>
      <c r="I1088" t="s">
        <v>76</v>
      </c>
      <c r="J1088" t="s">
        <v>77</v>
      </c>
      <c r="K1088" t="s">
        <v>78</v>
      </c>
      <c r="L1088" t="s">
        <v>130</v>
      </c>
      <c r="M1088" t="s">
        <v>131</v>
      </c>
      <c r="N1088" t="s">
        <v>343</v>
      </c>
      <c r="O1088" t="s">
        <v>82</v>
      </c>
      <c r="P1088" t="str">
        <f>"4170037791                    "</f>
        <v xml:space="preserve">4170037791                    </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21.38</v>
      </c>
      <c r="AR1088">
        <v>0</v>
      </c>
      <c r="AS1088">
        <v>0</v>
      </c>
      <c r="AT1088">
        <v>0</v>
      </c>
      <c r="AU1088">
        <v>0</v>
      </c>
      <c r="AV1088">
        <v>0</v>
      </c>
      <c r="AW1088">
        <v>0</v>
      </c>
      <c r="AX1088">
        <v>0</v>
      </c>
      <c r="AY1088">
        <v>0</v>
      </c>
      <c r="AZ1088">
        <v>0</v>
      </c>
      <c r="BA1088">
        <v>0</v>
      </c>
      <c r="BB1088">
        <v>0</v>
      </c>
      <c r="BC1088">
        <v>0</v>
      </c>
      <c r="BD1088">
        <v>0</v>
      </c>
      <c r="BE1088">
        <v>0</v>
      </c>
      <c r="BF1088">
        <v>0</v>
      </c>
      <c r="BG1088">
        <v>0</v>
      </c>
      <c r="BH1088">
        <v>1</v>
      </c>
      <c r="BI1088">
        <v>1</v>
      </c>
      <c r="BJ1088">
        <v>0.2</v>
      </c>
      <c r="BK1088">
        <v>1</v>
      </c>
      <c r="BL1088">
        <v>69.98</v>
      </c>
      <c r="BM1088">
        <v>10.5</v>
      </c>
      <c r="BN1088">
        <v>80.48</v>
      </c>
      <c r="BO1088">
        <v>80.48</v>
      </c>
      <c r="BQ1088" t="s">
        <v>344</v>
      </c>
      <c r="BR1088" t="s">
        <v>84</v>
      </c>
      <c r="BS1088" s="3">
        <v>45790</v>
      </c>
      <c r="BT1088" s="4">
        <v>0.3888888888888889</v>
      </c>
      <c r="BU1088" t="s">
        <v>1633</v>
      </c>
      <c r="BV1088" t="s">
        <v>86</v>
      </c>
      <c r="BY1088">
        <v>1200</v>
      </c>
      <c r="CA1088" t="s">
        <v>1634</v>
      </c>
      <c r="CC1088" t="s">
        <v>131</v>
      </c>
      <c r="CD1088">
        <v>7441</v>
      </c>
      <c r="CE1088" t="s">
        <v>88</v>
      </c>
      <c r="CF1088" s="3">
        <v>45791</v>
      </c>
      <c r="CI1088">
        <v>1</v>
      </c>
      <c r="CJ1088">
        <v>1</v>
      </c>
      <c r="CK1088">
        <v>21</v>
      </c>
      <c r="CL1088" t="s">
        <v>89</v>
      </c>
    </row>
    <row r="1089" spans="1:90" x14ac:dyDescent="0.3">
      <c r="A1089" t="s">
        <v>72</v>
      </c>
      <c r="B1089" t="s">
        <v>73</v>
      </c>
      <c r="C1089" t="s">
        <v>74</v>
      </c>
      <c r="E1089" t="str">
        <f>"080065328521"</f>
        <v>080065328521</v>
      </c>
      <c r="F1089" s="3">
        <v>45789</v>
      </c>
      <c r="G1089">
        <v>202602</v>
      </c>
      <c r="H1089" t="s">
        <v>75</v>
      </c>
      <c r="I1089" t="s">
        <v>76</v>
      </c>
      <c r="J1089" t="s">
        <v>77</v>
      </c>
      <c r="K1089" t="s">
        <v>78</v>
      </c>
      <c r="L1089" t="s">
        <v>123</v>
      </c>
      <c r="M1089" t="s">
        <v>123</v>
      </c>
      <c r="N1089" t="s">
        <v>1779</v>
      </c>
      <c r="O1089" t="s">
        <v>82</v>
      </c>
      <c r="P1089" t="str">
        <f>"4170037931                    "</f>
        <v xml:space="preserve">4170037931                    </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172.39</v>
      </c>
      <c r="AR1089">
        <v>0</v>
      </c>
      <c r="AS1089">
        <v>0</v>
      </c>
      <c r="AT1089">
        <v>0</v>
      </c>
      <c r="AU1089">
        <v>0</v>
      </c>
      <c r="AV1089">
        <v>0</v>
      </c>
      <c r="AW1089">
        <v>0</v>
      </c>
      <c r="AX1089">
        <v>0</v>
      </c>
      <c r="AY1089">
        <v>0</v>
      </c>
      <c r="AZ1089">
        <v>0</v>
      </c>
      <c r="BA1089">
        <v>0</v>
      </c>
      <c r="BB1089">
        <v>0</v>
      </c>
      <c r="BC1089">
        <v>0</v>
      </c>
      <c r="BD1089">
        <v>0</v>
      </c>
      <c r="BE1089">
        <v>0</v>
      </c>
      <c r="BF1089">
        <v>0</v>
      </c>
      <c r="BG1089">
        <v>0</v>
      </c>
      <c r="BH1089">
        <v>1</v>
      </c>
      <c r="BI1089">
        <v>5</v>
      </c>
      <c r="BJ1089">
        <v>8.9</v>
      </c>
      <c r="BK1089">
        <v>9</v>
      </c>
      <c r="BL1089">
        <v>564.19000000000005</v>
      </c>
      <c r="BM1089">
        <v>84.63</v>
      </c>
      <c r="BN1089">
        <v>648.82000000000005</v>
      </c>
      <c r="BO1089">
        <v>648.82000000000005</v>
      </c>
      <c r="BQ1089" t="s">
        <v>1780</v>
      </c>
      <c r="BR1089" t="s">
        <v>84</v>
      </c>
      <c r="BS1089" s="3">
        <v>45790</v>
      </c>
      <c r="BT1089" s="4">
        <v>0.54027777777777775</v>
      </c>
      <c r="BU1089" t="s">
        <v>1781</v>
      </c>
      <c r="BV1089" t="s">
        <v>86</v>
      </c>
      <c r="BY1089">
        <v>44640</v>
      </c>
      <c r="CA1089" t="s">
        <v>128</v>
      </c>
      <c r="CC1089" t="s">
        <v>123</v>
      </c>
      <c r="CD1089">
        <v>7646</v>
      </c>
      <c r="CE1089" t="s">
        <v>96</v>
      </c>
      <c r="CF1089" s="3">
        <v>45791</v>
      </c>
      <c r="CI1089">
        <v>1</v>
      </c>
      <c r="CJ1089">
        <v>1</v>
      </c>
      <c r="CK1089">
        <v>23</v>
      </c>
      <c r="CL1089" t="s">
        <v>89</v>
      </c>
    </row>
    <row r="1090" spans="1:90" x14ac:dyDescent="0.3">
      <c r="A1090" t="s">
        <v>72</v>
      </c>
      <c r="B1090" t="s">
        <v>73</v>
      </c>
      <c r="C1090" t="s">
        <v>74</v>
      </c>
      <c r="E1090" t="str">
        <f>"080065328529"</f>
        <v>080065328529</v>
      </c>
      <c r="F1090" s="3">
        <v>45789</v>
      </c>
      <c r="G1090">
        <v>202602</v>
      </c>
      <c r="H1090" t="s">
        <v>75</v>
      </c>
      <c r="I1090" t="s">
        <v>76</v>
      </c>
      <c r="J1090" t="s">
        <v>77</v>
      </c>
      <c r="K1090" t="s">
        <v>78</v>
      </c>
      <c r="L1090" t="s">
        <v>136</v>
      </c>
      <c r="M1090" t="s">
        <v>137</v>
      </c>
      <c r="N1090" t="s">
        <v>1656</v>
      </c>
      <c r="O1090" t="s">
        <v>82</v>
      </c>
      <c r="P1090" t="str">
        <f>"4170037918                    "</f>
        <v xml:space="preserve">4170037918                    </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21.38</v>
      </c>
      <c r="AR1090">
        <v>0</v>
      </c>
      <c r="AS1090">
        <v>0</v>
      </c>
      <c r="AT1090">
        <v>0</v>
      </c>
      <c r="AU1090">
        <v>0</v>
      </c>
      <c r="AV1090">
        <v>0</v>
      </c>
      <c r="AW1090">
        <v>0</v>
      </c>
      <c r="AX1090">
        <v>0</v>
      </c>
      <c r="AY1090">
        <v>0</v>
      </c>
      <c r="AZ1090">
        <v>0</v>
      </c>
      <c r="BA1090">
        <v>0</v>
      </c>
      <c r="BB1090">
        <v>0</v>
      </c>
      <c r="BC1090">
        <v>0</v>
      </c>
      <c r="BD1090">
        <v>0</v>
      </c>
      <c r="BE1090">
        <v>0</v>
      </c>
      <c r="BF1090">
        <v>0</v>
      </c>
      <c r="BG1090">
        <v>0</v>
      </c>
      <c r="BH1090">
        <v>1</v>
      </c>
      <c r="BI1090">
        <v>1</v>
      </c>
      <c r="BJ1090">
        <v>0.2</v>
      </c>
      <c r="BK1090">
        <v>1</v>
      </c>
      <c r="BL1090">
        <v>69.98</v>
      </c>
      <c r="BM1090">
        <v>10.5</v>
      </c>
      <c r="BN1090">
        <v>80.48</v>
      </c>
      <c r="BO1090">
        <v>80.48</v>
      </c>
      <c r="BQ1090" t="s">
        <v>1657</v>
      </c>
      <c r="BR1090" t="s">
        <v>84</v>
      </c>
      <c r="BS1090" s="3">
        <v>45790</v>
      </c>
      <c r="BT1090" s="4">
        <v>0.39652777777777776</v>
      </c>
      <c r="BU1090" t="s">
        <v>1658</v>
      </c>
      <c r="BV1090" t="s">
        <v>86</v>
      </c>
      <c r="BY1090">
        <v>1200</v>
      </c>
      <c r="CA1090" t="s">
        <v>141</v>
      </c>
      <c r="CC1090" t="s">
        <v>137</v>
      </c>
      <c r="CD1090" s="5" t="s">
        <v>142</v>
      </c>
      <c r="CE1090" t="s">
        <v>88</v>
      </c>
      <c r="CF1090" s="3">
        <v>45790</v>
      </c>
      <c r="CI1090">
        <v>1</v>
      </c>
      <c r="CJ1090">
        <v>1</v>
      </c>
      <c r="CK1090">
        <v>21</v>
      </c>
      <c r="CL1090" t="s">
        <v>89</v>
      </c>
    </row>
    <row r="1091" spans="1:90" x14ac:dyDescent="0.3">
      <c r="A1091" t="s">
        <v>72</v>
      </c>
      <c r="B1091" t="s">
        <v>73</v>
      </c>
      <c r="C1091" t="s">
        <v>74</v>
      </c>
      <c r="E1091" t="str">
        <f>"080065328540"</f>
        <v>080065328540</v>
      </c>
      <c r="F1091" s="3">
        <v>45789</v>
      </c>
      <c r="G1091">
        <v>202602</v>
      </c>
      <c r="H1091" t="s">
        <v>75</v>
      </c>
      <c r="I1091" t="s">
        <v>76</v>
      </c>
      <c r="J1091" t="s">
        <v>77</v>
      </c>
      <c r="K1091" t="s">
        <v>78</v>
      </c>
      <c r="L1091" t="s">
        <v>143</v>
      </c>
      <c r="M1091" t="s">
        <v>144</v>
      </c>
      <c r="N1091" t="s">
        <v>669</v>
      </c>
      <c r="O1091" t="s">
        <v>82</v>
      </c>
      <c r="P1091" t="str">
        <f>"4170037747                    "</f>
        <v xml:space="preserve">4170037747                    </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16.7</v>
      </c>
      <c r="AR1091">
        <v>0</v>
      </c>
      <c r="AS1091">
        <v>0</v>
      </c>
      <c r="AT1091">
        <v>0</v>
      </c>
      <c r="AU1091">
        <v>0</v>
      </c>
      <c r="AV1091">
        <v>0</v>
      </c>
      <c r="AW1091">
        <v>0</v>
      </c>
      <c r="AX1091">
        <v>0</v>
      </c>
      <c r="AY1091">
        <v>0</v>
      </c>
      <c r="AZ1091">
        <v>0</v>
      </c>
      <c r="BA1091">
        <v>0</v>
      </c>
      <c r="BB1091">
        <v>0</v>
      </c>
      <c r="BC1091">
        <v>0</v>
      </c>
      <c r="BD1091">
        <v>0</v>
      </c>
      <c r="BE1091">
        <v>0</v>
      </c>
      <c r="BF1091">
        <v>0</v>
      </c>
      <c r="BG1091">
        <v>0</v>
      </c>
      <c r="BH1091">
        <v>1</v>
      </c>
      <c r="BI1091">
        <v>1</v>
      </c>
      <c r="BJ1091">
        <v>3.4</v>
      </c>
      <c r="BK1091">
        <v>4</v>
      </c>
      <c r="BL1091">
        <v>54.66</v>
      </c>
      <c r="BM1091">
        <v>8.1999999999999993</v>
      </c>
      <c r="BN1091">
        <v>62.86</v>
      </c>
      <c r="BO1091">
        <v>62.86</v>
      </c>
      <c r="BQ1091" t="s">
        <v>670</v>
      </c>
      <c r="BR1091" t="s">
        <v>84</v>
      </c>
      <c r="BS1091" s="3">
        <v>45790</v>
      </c>
      <c r="BT1091" s="4">
        <v>0.41736111111111113</v>
      </c>
      <c r="BU1091" t="s">
        <v>671</v>
      </c>
      <c r="BV1091" t="s">
        <v>86</v>
      </c>
      <c r="BY1091">
        <v>16965</v>
      </c>
      <c r="CA1091" t="s">
        <v>150</v>
      </c>
      <c r="CC1091" t="s">
        <v>144</v>
      </c>
      <c r="CD1091">
        <v>1401</v>
      </c>
      <c r="CE1091" t="s">
        <v>96</v>
      </c>
      <c r="CF1091" s="3">
        <v>45791</v>
      </c>
      <c r="CI1091">
        <v>1</v>
      </c>
      <c r="CJ1091">
        <v>1</v>
      </c>
      <c r="CK1091">
        <v>22</v>
      </c>
      <c r="CL1091" t="s">
        <v>89</v>
      </c>
    </row>
    <row r="1092" spans="1:90" x14ac:dyDescent="0.3">
      <c r="A1092" t="s">
        <v>72</v>
      </c>
      <c r="B1092" t="s">
        <v>73</v>
      </c>
      <c r="C1092" t="s">
        <v>74</v>
      </c>
      <c r="E1092" t="str">
        <f>"080065328542"</f>
        <v>080065328542</v>
      </c>
      <c r="F1092" s="3">
        <v>45789</v>
      </c>
      <c r="G1092">
        <v>202602</v>
      </c>
      <c r="H1092" t="s">
        <v>75</v>
      </c>
      <c r="I1092" t="s">
        <v>76</v>
      </c>
      <c r="J1092" t="s">
        <v>77</v>
      </c>
      <c r="K1092" t="s">
        <v>78</v>
      </c>
      <c r="L1092" t="s">
        <v>75</v>
      </c>
      <c r="M1092" t="s">
        <v>76</v>
      </c>
      <c r="N1092" t="s">
        <v>1404</v>
      </c>
      <c r="O1092" t="s">
        <v>82</v>
      </c>
      <c r="P1092" t="str">
        <f>"4170037770                    "</f>
        <v xml:space="preserve">4170037770                    </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16.7</v>
      </c>
      <c r="AR1092">
        <v>0</v>
      </c>
      <c r="AS1092">
        <v>0</v>
      </c>
      <c r="AT1092">
        <v>0</v>
      </c>
      <c r="AU1092">
        <v>0</v>
      </c>
      <c r="AV1092">
        <v>0</v>
      </c>
      <c r="AW1092">
        <v>0</v>
      </c>
      <c r="AX1092">
        <v>0</v>
      </c>
      <c r="AY1092">
        <v>0</v>
      </c>
      <c r="AZ1092">
        <v>0</v>
      </c>
      <c r="BA1092">
        <v>0</v>
      </c>
      <c r="BB1092">
        <v>0</v>
      </c>
      <c r="BC1092">
        <v>0</v>
      </c>
      <c r="BD1092">
        <v>0</v>
      </c>
      <c r="BE1092">
        <v>0</v>
      </c>
      <c r="BF1092">
        <v>0</v>
      </c>
      <c r="BG1092">
        <v>0</v>
      </c>
      <c r="BH1092">
        <v>1</v>
      </c>
      <c r="BI1092">
        <v>1</v>
      </c>
      <c r="BJ1092">
        <v>0.2</v>
      </c>
      <c r="BK1092">
        <v>1</v>
      </c>
      <c r="BL1092">
        <v>54.66</v>
      </c>
      <c r="BM1092">
        <v>8.1999999999999993</v>
      </c>
      <c r="BN1092">
        <v>62.86</v>
      </c>
      <c r="BO1092">
        <v>62.86</v>
      </c>
      <c r="BQ1092" t="s">
        <v>1405</v>
      </c>
      <c r="BR1092" t="s">
        <v>84</v>
      </c>
      <c r="BS1092" s="3">
        <v>45790</v>
      </c>
      <c r="BT1092" s="4">
        <v>0.36458333333333331</v>
      </c>
      <c r="BU1092" t="s">
        <v>1230</v>
      </c>
      <c r="BV1092" t="s">
        <v>86</v>
      </c>
      <c r="BY1092">
        <v>1200</v>
      </c>
      <c r="CA1092" t="s">
        <v>484</v>
      </c>
      <c r="CC1092" t="s">
        <v>76</v>
      </c>
      <c r="CD1092">
        <v>1601</v>
      </c>
      <c r="CE1092" t="s">
        <v>88</v>
      </c>
      <c r="CF1092" s="3">
        <v>45790</v>
      </c>
      <c r="CI1092">
        <v>1</v>
      </c>
      <c r="CJ1092">
        <v>1</v>
      </c>
      <c r="CK1092">
        <v>22</v>
      </c>
      <c r="CL1092" t="s">
        <v>89</v>
      </c>
    </row>
    <row r="1093" spans="1:90" x14ac:dyDescent="0.3">
      <c r="A1093" t="s">
        <v>72</v>
      </c>
      <c r="B1093" t="s">
        <v>73</v>
      </c>
      <c r="C1093" t="s">
        <v>74</v>
      </c>
      <c r="E1093" t="str">
        <f>"080065328558"</f>
        <v>080065328558</v>
      </c>
      <c r="F1093" s="3">
        <v>45789</v>
      </c>
      <c r="G1093">
        <v>202602</v>
      </c>
      <c r="H1093" t="s">
        <v>75</v>
      </c>
      <c r="I1093" t="s">
        <v>76</v>
      </c>
      <c r="J1093" t="s">
        <v>77</v>
      </c>
      <c r="K1093" t="s">
        <v>78</v>
      </c>
      <c r="L1093" t="s">
        <v>123</v>
      </c>
      <c r="M1093" t="s">
        <v>123</v>
      </c>
      <c r="N1093" t="s">
        <v>766</v>
      </c>
      <c r="O1093" t="s">
        <v>82</v>
      </c>
      <c r="P1093" t="str">
        <f>"4170037894                    "</f>
        <v xml:space="preserve">4170037894                    </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c r="AQ1093">
        <v>41.43</v>
      </c>
      <c r="AR1093">
        <v>0</v>
      </c>
      <c r="AS1093">
        <v>0</v>
      </c>
      <c r="AT1093">
        <v>0</v>
      </c>
      <c r="AU1093">
        <v>0</v>
      </c>
      <c r="AV1093">
        <v>0</v>
      </c>
      <c r="AW1093">
        <v>0</v>
      </c>
      <c r="AX1093">
        <v>0</v>
      </c>
      <c r="AY1093">
        <v>0</v>
      </c>
      <c r="AZ1093">
        <v>0</v>
      </c>
      <c r="BA1093">
        <v>0</v>
      </c>
      <c r="BB1093">
        <v>0</v>
      </c>
      <c r="BC1093">
        <v>0</v>
      </c>
      <c r="BD1093">
        <v>0</v>
      </c>
      <c r="BE1093">
        <v>0</v>
      </c>
      <c r="BF1093">
        <v>0</v>
      </c>
      <c r="BG1093">
        <v>0</v>
      </c>
      <c r="BH1093">
        <v>1</v>
      </c>
      <c r="BI1093">
        <v>1</v>
      </c>
      <c r="BJ1093">
        <v>0.2</v>
      </c>
      <c r="BK1093">
        <v>1</v>
      </c>
      <c r="BL1093">
        <v>135.59</v>
      </c>
      <c r="BM1093">
        <v>20.34</v>
      </c>
      <c r="BN1093">
        <v>155.93</v>
      </c>
      <c r="BO1093">
        <v>155.93</v>
      </c>
      <c r="BQ1093" t="s">
        <v>767</v>
      </c>
      <c r="BR1093" t="s">
        <v>84</v>
      </c>
      <c r="BS1093" s="3">
        <v>45790</v>
      </c>
      <c r="BT1093" s="4">
        <v>0.53680555555555554</v>
      </c>
      <c r="BU1093" t="s">
        <v>768</v>
      </c>
      <c r="BV1093" t="s">
        <v>86</v>
      </c>
      <c r="BY1093">
        <v>1200</v>
      </c>
      <c r="CA1093" t="s">
        <v>128</v>
      </c>
      <c r="CC1093" t="s">
        <v>123</v>
      </c>
      <c r="CD1093">
        <v>7646</v>
      </c>
      <c r="CE1093" t="s">
        <v>88</v>
      </c>
      <c r="CF1093" s="3">
        <v>45791</v>
      </c>
      <c r="CI1093">
        <v>1</v>
      </c>
      <c r="CJ1093">
        <v>1</v>
      </c>
      <c r="CK1093">
        <v>23</v>
      </c>
      <c r="CL1093" t="s">
        <v>89</v>
      </c>
    </row>
    <row r="1094" spans="1:90" x14ac:dyDescent="0.3">
      <c r="A1094" t="s">
        <v>72</v>
      </c>
      <c r="B1094" t="s">
        <v>73</v>
      </c>
      <c r="C1094" t="s">
        <v>74</v>
      </c>
      <c r="E1094" t="str">
        <f>"080065328565"</f>
        <v>080065328565</v>
      </c>
      <c r="F1094" s="3">
        <v>45789</v>
      </c>
      <c r="G1094">
        <v>202602</v>
      </c>
      <c r="H1094" t="s">
        <v>75</v>
      </c>
      <c r="I1094" t="s">
        <v>76</v>
      </c>
      <c r="J1094" t="s">
        <v>77</v>
      </c>
      <c r="K1094" t="s">
        <v>78</v>
      </c>
      <c r="L1094" t="s">
        <v>117</v>
      </c>
      <c r="M1094" t="s">
        <v>118</v>
      </c>
      <c r="N1094" t="s">
        <v>978</v>
      </c>
      <c r="O1094" t="s">
        <v>82</v>
      </c>
      <c r="P1094" t="str">
        <f>"4170037822                    "</f>
        <v xml:space="preserve">4170037822                    </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16.7</v>
      </c>
      <c r="AR1094">
        <v>0</v>
      </c>
      <c r="AS1094">
        <v>0</v>
      </c>
      <c r="AT1094">
        <v>0</v>
      </c>
      <c r="AU1094">
        <v>0</v>
      </c>
      <c r="AV1094">
        <v>0</v>
      </c>
      <c r="AW1094">
        <v>0</v>
      </c>
      <c r="AX1094">
        <v>0</v>
      </c>
      <c r="AY1094">
        <v>0</v>
      </c>
      <c r="AZ1094">
        <v>0</v>
      </c>
      <c r="BA1094">
        <v>0</v>
      </c>
      <c r="BB1094">
        <v>0</v>
      </c>
      <c r="BC1094">
        <v>0</v>
      </c>
      <c r="BD1094">
        <v>0</v>
      </c>
      <c r="BE1094">
        <v>0</v>
      </c>
      <c r="BF1094">
        <v>0</v>
      </c>
      <c r="BG1094">
        <v>0</v>
      </c>
      <c r="BH1094">
        <v>1</v>
      </c>
      <c r="BI1094">
        <v>1</v>
      </c>
      <c r="BJ1094">
        <v>0.2</v>
      </c>
      <c r="BK1094">
        <v>1</v>
      </c>
      <c r="BL1094">
        <v>54.66</v>
      </c>
      <c r="BM1094">
        <v>8.1999999999999993</v>
      </c>
      <c r="BN1094">
        <v>62.86</v>
      </c>
      <c r="BO1094">
        <v>62.86</v>
      </c>
      <c r="BQ1094" t="s">
        <v>979</v>
      </c>
      <c r="BR1094" t="s">
        <v>84</v>
      </c>
      <c r="BS1094" s="3">
        <v>45790</v>
      </c>
      <c r="BT1094" s="4">
        <v>0.5131944444444444</v>
      </c>
      <c r="BU1094" t="s">
        <v>1782</v>
      </c>
      <c r="BV1094" t="s">
        <v>89</v>
      </c>
      <c r="BY1094">
        <v>1200</v>
      </c>
      <c r="CA1094" t="s">
        <v>1662</v>
      </c>
      <c r="CC1094" t="s">
        <v>118</v>
      </c>
      <c r="CD1094">
        <v>2040</v>
      </c>
      <c r="CE1094" t="s">
        <v>88</v>
      </c>
      <c r="CF1094" s="3">
        <v>45790</v>
      </c>
      <c r="CI1094">
        <v>1</v>
      </c>
      <c r="CJ1094">
        <v>1</v>
      </c>
      <c r="CK1094">
        <v>22</v>
      </c>
      <c r="CL1094" t="s">
        <v>89</v>
      </c>
    </row>
    <row r="1095" spans="1:90" x14ac:dyDescent="0.3">
      <c r="A1095" t="s">
        <v>72</v>
      </c>
      <c r="B1095" t="s">
        <v>73</v>
      </c>
      <c r="C1095" t="s">
        <v>74</v>
      </c>
      <c r="E1095" t="str">
        <f>"080065328573"</f>
        <v>080065328573</v>
      </c>
      <c r="F1095" s="3">
        <v>45789</v>
      </c>
      <c r="G1095">
        <v>202602</v>
      </c>
      <c r="H1095" t="s">
        <v>75</v>
      </c>
      <c r="I1095" t="s">
        <v>76</v>
      </c>
      <c r="J1095" t="s">
        <v>77</v>
      </c>
      <c r="K1095" t="s">
        <v>78</v>
      </c>
      <c r="L1095" t="s">
        <v>648</v>
      </c>
      <c r="M1095" t="s">
        <v>649</v>
      </c>
      <c r="N1095" t="s">
        <v>785</v>
      </c>
      <c r="O1095" t="s">
        <v>82</v>
      </c>
      <c r="P1095" t="str">
        <f>"4170037715                    "</f>
        <v xml:space="preserve">4170037715                    </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16.7</v>
      </c>
      <c r="AR1095">
        <v>0</v>
      </c>
      <c r="AS1095">
        <v>0</v>
      </c>
      <c r="AT1095">
        <v>0</v>
      </c>
      <c r="AU1095">
        <v>0</v>
      </c>
      <c r="AV1095">
        <v>0</v>
      </c>
      <c r="AW1095">
        <v>0</v>
      </c>
      <c r="AX1095">
        <v>0</v>
      </c>
      <c r="AY1095">
        <v>0</v>
      </c>
      <c r="AZ1095">
        <v>0</v>
      </c>
      <c r="BA1095">
        <v>0</v>
      </c>
      <c r="BB1095">
        <v>0</v>
      </c>
      <c r="BC1095">
        <v>0</v>
      </c>
      <c r="BD1095">
        <v>0</v>
      </c>
      <c r="BE1095">
        <v>0</v>
      </c>
      <c r="BF1095">
        <v>0</v>
      </c>
      <c r="BG1095">
        <v>0</v>
      </c>
      <c r="BH1095">
        <v>1</v>
      </c>
      <c r="BI1095">
        <v>1</v>
      </c>
      <c r="BJ1095">
        <v>0.2</v>
      </c>
      <c r="BK1095">
        <v>1</v>
      </c>
      <c r="BL1095">
        <v>54.66</v>
      </c>
      <c r="BM1095">
        <v>8.1999999999999993</v>
      </c>
      <c r="BN1095">
        <v>62.86</v>
      </c>
      <c r="BO1095">
        <v>62.86</v>
      </c>
      <c r="BQ1095" t="s">
        <v>786</v>
      </c>
      <c r="BR1095" t="s">
        <v>84</v>
      </c>
      <c r="BS1095" s="3">
        <v>45790</v>
      </c>
      <c r="BT1095" s="4">
        <v>0.43055555555555558</v>
      </c>
      <c r="BU1095" t="s">
        <v>787</v>
      </c>
      <c r="BV1095" t="s">
        <v>86</v>
      </c>
      <c r="BY1095">
        <v>1200</v>
      </c>
      <c r="CA1095" t="s">
        <v>698</v>
      </c>
      <c r="CC1095" t="s">
        <v>649</v>
      </c>
      <c r="CD1095">
        <v>1559</v>
      </c>
      <c r="CE1095" t="s">
        <v>88</v>
      </c>
      <c r="CF1095" s="3">
        <v>45790</v>
      </c>
      <c r="CI1095">
        <v>1</v>
      </c>
      <c r="CJ1095">
        <v>1</v>
      </c>
      <c r="CK1095">
        <v>22</v>
      </c>
      <c r="CL1095" t="s">
        <v>89</v>
      </c>
    </row>
    <row r="1096" spans="1:90" x14ac:dyDescent="0.3">
      <c r="A1096" t="s">
        <v>72</v>
      </c>
      <c r="B1096" t="s">
        <v>73</v>
      </c>
      <c r="C1096" t="s">
        <v>74</v>
      </c>
      <c r="E1096" t="str">
        <f>"080065328589"</f>
        <v>080065328589</v>
      </c>
      <c r="F1096" s="3">
        <v>45789</v>
      </c>
      <c r="G1096">
        <v>202602</v>
      </c>
      <c r="H1096" t="s">
        <v>75</v>
      </c>
      <c r="I1096" t="s">
        <v>76</v>
      </c>
      <c r="J1096" t="s">
        <v>77</v>
      </c>
      <c r="K1096" t="s">
        <v>78</v>
      </c>
      <c r="L1096" t="s">
        <v>136</v>
      </c>
      <c r="M1096" t="s">
        <v>137</v>
      </c>
      <c r="N1096" t="s">
        <v>1783</v>
      </c>
      <c r="O1096" t="s">
        <v>82</v>
      </c>
      <c r="P1096" t="str">
        <f>"4170037876                    "</f>
        <v xml:space="preserve">4170037876                    </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21.38</v>
      </c>
      <c r="AR1096">
        <v>0</v>
      </c>
      <c r="AS1096">
        <v>0</v>
      </c>
      <c r="AT1096">
        <v>0</v>
      </c>
      <c r="AU1096">
        <v>0</v>
      </c>
      <c r="AV1096">
        <v>0</v>
      </c>
      <c r="AW1096">
        <v>0</v>
      </c>
      <c r="AX1096">
        <v>0</v>
      </c>
      <c r="AY1096">
        <v>0</v>
      </c>
      <c r="AZ1096">
        <v>0</v>
      </c>
      <c r="BA1096">
        <v>0</v>
      </c>
      <c r="BB1096">
        <v>0</v>
      </c>
      <c r="BC1096">
        <v>0</v>
      </c>
      <c r="BD1096">
        <v>0</v>
      </c>
      <c r="BE1096">
        <v>0</v>
      </c>
      <c r="BF1096">
        <v>0</v>
      </c>
      <c r="BG1096">
        <v>0</v>
      </c>
      <c r="BH1096">
        <v>1</v>
      </c>
      <c r="BI1096">
        <v>1</v>
      </c>
      <c r="BJ1096">
        <v>0.2</v>
      </c>
      <c r="BK1096">
        <v>1</v>
      </c>
      <c r="BL1096">
        <v>69.98</v>
      </c>
      <c r="BM1096">
        <v>10.5</v>
      </c>
      <c r="BN1096">
        <v>80.48</v>
      </c>
      <c r="BO1096">
        <v>80.48</v>
      </c>
      <c r="BQ1096" t="s">
        <v>1784</v>
      </c>
      <c r="BR1096" t="s">
        <v>84</v>
      </c>
      <c r="BS1096" s="3">
        <v>45790</v>
      </c>
      <c r="BT1096" s="4">
        <v>0.43055555555555558</v>
      </c>
      <c r="BU1096" t="s">
        <v>1785</v>
      </c>
      <c r="BV1096" t="s">
        <v>86</v>
      </c>
      <c r="BY1096">
        <v>1200</v>
      </c>
      <c r="CA1096" t="s">
        <v>141</v>
      </c>
      <c r="CC1096" t="s">
        <v>137</v>
      </c>
      <c r="CD1096" s="5" t="s">
        <v>1786</v>
      </c>
      <c r="CE1096" t="s">
        <v>88</v>
      </c>
      <c r="CF1096" s="3">
        <v>45790</v>
      </c>
      <c r="CI1096">
        <v>1</v>
      </c>
      <c r="CJ1096">
        <v>1</v>
      </c>
      <c r="CK1096">
        <v>21</v>
      </c>
      <c r="CL1096" t="s">
        <v>89</v>
      </c>
    </row>
    <row r="1097" spans="1:90" x14ac:dyDescent="0.3">
      <c r="A1097" t="s">
        <v>72</v>
      </c>
      <c r="B1097" t="s">
        <v>73</v>
      </c>
      <c r="C1097" t="s">
        <v>74</v>
      </c>
      <c r="E1097" t="str">
        <f>"009944129720"</f>
        <v>009944129720</v>
      </c>
      <c r="F1097" s="3">
        <v>45789</v>
      </c>
      <c r="G1097">
        <v>202602</v>
      </c>
      <c r="H1097" t="s">
        <v>130</v>
      </c>
      <c r="I1097" t="s">
        <v>131</v>
      </c>
      <c r="J1097" t="s">
        <v>1787</v>
      </c>
      <c r="K1097" t="s">
        <v>78</v>
      </c>
      <c r="L1097" t="s">
        <v>350</v>
      </c>
      <c r="M1097" t="s">
        <v>351</v>
      </c>
      <c r="N1097" t="s">
        <v>1788</v>
      </c>
      <c r="O1097" t="s">
        <v>300</v>
      </c>
      <c r="P1097" t="str">
        <f>"                              "</f>
        <v xml:space="preserve">                              </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53.3</v>
      </c>
      <c r="AR1097">
        <v>0</v>
      </c>
      <c r="AS1097">
        <v>0</v>
      </c>
      <c r="AT1097">
        <v>0</v>
      </c>
      <c r="AU1097">
        <v>0</v>
      </c>
      <c r="AV1097">
        <v>0</v>
      </c>
      <c r="AW1097">
        <v>0</v>
      </c>
      <c r="AX1097">
        <v>0</v>
      </c>
      <c r="AY1097">
        <v>0</v>
      </c>
      <c r="AZ1097">
        <v>0</v>
      </c>
      <c r="BA1097">
        <v>0</v>
      </c>
      <c r="BB1097">
        <v>0</v>
      </c>
      <c r="BC1097">
        <v>0</v>
      </c>
      <c r="BD1097">
        <v>0</v>
      </c>
      <c r="BE1097">
        <v>0</v>
      </c>
      <c r="BF1097">
        <v>0</v>
      </c>
      <c r="BG1097">
        <v>0</v>
      </c>
      <c r="BH1097">
        <v>1</v>
      </c>
      <c r="BI1097">
        <v>9.6999999999999993</v>
      </c>
      <c r="BJ1097">
        <v>21.2</v>
      </c>
      <c r="BK1097">
        <v>22</v>
      </c>
      <c r="BL1097">
        <v>180.01</v>
      </c>
      <c r="BM1097">
        <v>27</v>
      </c>
      <c r="BN1097">
        <v>207.01</v>
      </c>
      <c r="BO1097">
        <v>207.01</v>
      </c>
      <c r="BQ1097" t="s">
        <v>1789</v>
      </c>
      <c r="BS1097" s="3">
        <v>45791</v>
      </c>
      <c r="BT1097" s="4">
        <v>0.67361111111111116</v>
      </c>
      <c r="BU1097" t="s">
        <v>1790</v>
      </c>
      <c r="BV1097" t="s">
        <v>86</v>
      </c>
      <c r="BY1097">
        <v>106003.45</v>
      </c>
      <c r="BZ1097" t="s">
        <v>303</v>
      </c>
      <c r="CC1097" t="s">
        <v>351</v>
      </c>
      <c r="CD1097">
        <v>4017</v>
      </c>
      <c r="CE1097" t="s">
        <v>176</v>
      </c>
      <c r="CF1097" s="3">
        <v>45792</v>
      </c>
      <c r="CI1097">
        <v>3</v>
      </c>
      <c r="CJ1097">
        <v>2</v>
      </c>
      <c r="CK1097">
        <v>41</v>
      </c>
      <c r="CL1097" t="s">
        <v>89</v>
      </c>
    </row>
    <row r="1098" spans="1:90" x14ac:dyDescent="0.3">
      <c r="A1098" t="s">
        <v>72</v>
      </c>
      <c r="B1098" t="s">
        <v>73</v>
      </c>
      <c r="C1098" t="s">
        <v>74</v>
      </c>
      <c r="E1098" t="str">
        <f>"080065317247"</f>
        <v>080065317247</v>
      </c>
      <c r="F1098" s="3">
        <v>45789</v>
      </c>
      <c r="G1098">
        <v>202602</v>
      </c>
      <c r="H1098" t="s">
        <v>75</v>
      </c>
      <c r="I1098" t="s">
        <v>76</v>
      </c>
      <c r="J1098" t="s">
        <v>1791</v>
      </c>
      <c r="K1098" t="s">
        <v>78</v>
      </c>
      <c r="L1098" t="s">
        <v>103</v>
      </c>
      <c r="M1098" t="s">
        <v>104</v>
      </c>
      <c r="N1098" t="s">
        <v>633</v>
      </c>
      <c r="O1098" t="s">
        <v>300</v>
      </c>
      <c r="P1098" t="str">
        <f>"4170037661                    "</f>
        <v xml:space="preserve">4170037661                    </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c r="AP1098">
        <v>0</v>
      </c>
      <c r="AQ1098">
        <v>155.72999999999999</v>
      </c>
      <c r="AR1098">
        <v>0</v>
      </c>
      <c r="AS1098">
        <v>0</v>
      </c>
      <c r="AT1098">
        <v>0</v>
      </c>
      <c r="AU1098">
        <v>0</v>
      </c>
      <c r="AV1098">
        <v>0</v>
      </c>
      <c r="AW1098">
        <v>0</v>
      </c>
      <c r="AX1098">
        <v>0</v>
      </c>
      <c r="AY1098">
        <v>0</v>
      </c>
      <c r="AZ1098">
        <v>0</v>
      </c>
      <c r="BA1098">
        <v>0</v>
      </c>
      <c r="BB1098">
        <v>0</v>
      </c>
      <c r="BC1098">
        <v>0</v>
      </c>
      <c r="BD1098">
        <v>0</v>
      </c>
      <c r="BE1098">
        <v>0</v>
      </c>
      <c r="BF1098">
        <v>0</v>
      </c>
      <c r="BG1098">
        <v>0</v>
      </c>
      <c r="BH1098">
        <v>2</v>
      </c>
      <c r="BI1098">
        <v>71</v>
      </c>
      <c r="BJ1098">
        <v>81.7</v>
      </c>
      <c r="BK1098">
        <v>82</v>
      </c>
      <c r="BL1098">
        <v>515.24</v>
      </c>
      <c r="BM1098">
        <v>77.290000000000006</v>
      </c>
      <c r="BN1098">
        <v>592.53</v>
      </c>
      <c r="BO1098">
        <v>592.53</v>
      </c>
      <c r="BQ1098" t="s">
        <v>1792</v>
      </c>
      <c r="BR1098" t="s">
        <v>1793</v>
      </c>
      <c r="BS1098" s="3">
        <v>45790</v>
      </c>
      <c r="BT1098" s="4">
        <v>0.58888888888888891</v>
      </c>
      <c r="BU1098" t="s">
        <v>1794</v>
      </c>
      <c r="BV1098" t="s">
        <v>86</v>
      </c>
      <c r="BY1098">
        <v>408288</v>
      </c>
      <c r="BZ1098" t="s">
        <v>1795</v>
      </c>
      <c r="CA1098" t="s">
        <v>1796</v>
      </c>
      <c r="CC1098" t="s">
        <v>104</v>
      </c>
      <c r="CD1098">
        <v>3212</v>
      </c>
      <c r="CE1098" t="s">
        <v>176</v>
      </c>
      <c r="CF1098" s="3">
        <v>45791</v>
      </c>
      <c r="CI1098">
        <v>2</v>
      </c>
      <c r="CJ1098">
        <v>1</v>
      </c>
      <c r="CK1098">
        <v>41</v>
      </c>
      <c r="CL1098" t="s">
        <v>89</v>
      </c>
    </row>
    <row r="1099" spans="1:90" x14ac:dyDescent="0.3">
      <c r="A1099" t="s">
        <v>72</v>
      </c>
      <c r="B1099" t="s">
        <v>73</v>
      </c>
      <c r="C1099" t="s">
        <v>74</v>
      </c>
      <c r="E1099" t="str">
        <f>"080065344387"</f>
        <v>080065344387</v>
      </c>
      <c r="F1099" s="3">
        <v>45790</v>
      </c>
      <c r="G1099">
        <v>202602</v>
      </c>
      <c r="H1099" t="s">
        <v>75</v>
      </c>
      <c r="I1099" t="s">
        <v>76</v>
      </c>
      <c r="J1099" t="s">
        <v>77</v>
      </c>
      <c r="K1099" t="s">
        <v>78</v>
      </c>
      <c r="L1099" t="s">
        <v>75</v>
      </c>
      <c r="M1099" t="s">
        <v>76</v>
      </c>
      <c r="N1099" t="s">
        <v>1404</v>
      </c>
      <c r="O1099" t="s">
        <v>82</v>
      </c>
      <c r="P1099" t="str">
        <f>"4170037786                    "</f>
        <v xml:space="preserve">4170037786                    </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P1099">
        <v>0</v>
      </c>
      <c r="AQ1099">
        <v>16.7</v>
      </c>
      <c r="AR1099">
        <v>0</v>
      </c>
      <c r="AS1099">
        <v>0</v>
      </c>
      <c r="AT1099">
        <v>0</v>
      </c>
      <c r="AU1099">
        <v>0</v>
      </c>
      <c r="AV1099">
        <v>0</v>
      </c>
      <c r="AW1099">
        <v>0</v>
      </c>
      <c r="AX1099">
        <v>0</v>
      </c>
      <c r="AY1099">
        <v>0</v>
      </c>
      <c r="AZ1099">
        <v>0</v>
      </c>
      <c r="BA1099">
        <v>0</v>
      </c>
      <c r="BB1099">
        <v>0</v>
      </c>
      <c r="BC1099">
        <v>0</v>
      </c>
      <c r="BD1099">
        <v>0</v>
      </c>
      <c r="BE1099">
        <v>0</v>
      </c>
      <c r="BF1099">
        <v>0</v>
      </c>
      <c r="BG1099">
        <v>0</v>
      </c>
      <c r="BH1099">
        <v>1</v>
      </c>
      <c r="BI1099">
        <v>1</v>
      </c>
      <c r="BJ1099">
        <v>0.2</v>
      </c>
      <c r="BK1099">
        <v>1</v>
      </c>
      <c r="BL1099">
        <v>54.66</v>
      </c>
      <c r="BM1099">
        <v>8.1999999999999993</v>
      </c>
      <c r="BN1099">
        <v>62.86</v>
      </c>
      <c r="BO1099">
        <v>62.86</v>
      </c>
      <c r="BQ1099" t="s">
        <v>1405</v>
      </c>
      <c r="BR1099" t="s">
        <v>84</v>
      </c>
      <c r="BS1099" s="3">
        <v>45791</v>
      </c>
      <c r="BT1099" s="4">
        <v>0.37916666666666665</v>
      </c>
      <c r="BU1099" t="s">
        <v>1230</v>
      </c>
      <c r="BV1099" t="s">
        <v>86</v>
      </c>
      <c r="BY1099">
        <v>1200</v>
      </c>
      <c r="CA1099" t="s">
        <v>484</v>
      </c>
      <c r="CC1099" t="s">
        <v>76</v>
      </c>
      <c r="CD1099">
        <v>1601</v>
      </c>
      <c r="CE1099" t="s">
        <v>88</v>
      </c>
      <c r="CF1099" s="3">
        <v>45791</v>
      </c>
      <c r="CI1099">
        <v>1</v>
      </c>
      <c r="CJ1099">
        <v>1</v>
      </c>
      <c r="CK1099">
        <v>22</v>
      </c>
      <c r="CL1099" t="s">
        <v>89</v>
      </c>
    </row>
    <row r="1100" spans="1:90" x14ac:dyDescent="0.3">
      <c r="A1100" t="s">
        <v>72</v>
      </c>
      <c r="B1100" t="s">
        <v>73</v>
      </c>
      <c r="C1100" t="s">
        <v>74</v>
      </c>
      <c r="E1100" t="str">
        <f>"080065344439"</f>
        <v>080065344439</v>
      </c>
      <c r="F1100" s="3">
        <v>45790</v>
      </c>
      <c r="G1100">
        <v>202602</v>
      </c>
      <c r="H1100" t="s">
        <v>75</v>
      </c>
      <c r="I1100" t="s">
        <v>76</v>
      </c>
      <c r="J1100" t="s">
        <v>77</v>
      </c>
      <c r="K1100" t="s">
        <v>78</v>
      </c>
      <c r="L1100" t="s">
        <v>648</v>
      </c>
      <c r="M1100" t="s">
        <v>649</v>
      </c>
      <c r="N1100" t="s">
        <v>762</v>
      </c>
      <c r="O1100" t="s">
        <v>82</v>
      </c>
      <c r="P1100" t="str">
        <f>"4170037787                    "</f>
        <v xml:space="preserve">4170037787                    </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16.7</v>
      </c>
      <c r="AR1100">
        <v>0</v>
      </c>
      <c r="AS1100">
        <v>0</v>
      </c>
      <c r="AT1100">
        <v>0</v>
      </c>
      <c r="AU1100">
        <v>0</v>
      </c>
      <c r="AV1100">
        <v>0</v>
      </c>
      <c r="AW1100">
        <v>0</v>
      </c>
      <c r="AX1100">
        <v>0</v>
      </c>
      <c r="AY1100">
        <v>0</v>
      </c>
      <c r="AZ1100">
        <v>0</v>
      </c>
      <c r="BA1100">
        <v>0</v>
      </c>
      <c r="BB1100">
        <v>0</v>
      </c>
      <c r="BC1100">
        <v>0</v>
      </c>
      <c r="BD1100">
        <v>0</v>
      </c>
      <c r="BE1100">
        <v>0</v>
      </c>
      <c r="BF1100">
        <v>0</v>
      </c>
      <c r="BG1100">
        <v>0</v>
      </c>
      <c r="BH1100">
        <v>1</v>
      </c>
      <c r="BI1100">
        <v>3</v>
      </c>
      <c r="BJ1100">
        <v>1</v>
      </c>
      <c r="BK1100">
        <v>3</v>
      </c>
      <c r="BL1100">
        <v>54.66</v>
      </c>
      <c r="BM1100">
        <v>8.1999999999999993</v>
      </c>
      <c r="BN1100">
        <v>62.86</v>
      </c>
      <c r="BO1100">
        <v>62.86</v>
      </c>
      <c r="BQ1100" t="s">
        <v>763</v>
      </c>
      <c r="BR1100" t="s">
        <v>84</v>
      </c>
      <c r="BS1100" s="3">
        <v>45791</v>
      </c>
      <c r="BT1100" s="4">
        <v>0.47291666666666665</v>
      </c>
      <c r="BU1100" t="s">
        <v>1797</v>
      </c>
      <c r="BV1100" t="s">
        <v>89</v>
      </c>
      <c r="BW1100" t="s">
        <v>148</v>
      </c>
      <c r="BX1100" t="s">
        <v>1798</v>
      </c>
      <c r="BY1100">
        <v>5184</v>
      </c>
      <c r="CA1100" t="s">
        <v>698</v>
      </c>
      <c r="CC1100" t="s">
        <v>649</v>
      </c>
      <c r="CD1100">
        <v>1559</v>
      </c>
      <c r="CE1100" t="s">
        <v>1799</v>
      </c>
      <c r="CF1100" s="3">
        <v>45791</v>
      </c>
      <c r="CI1100">
        <v>1</v>
      </c>
      <c r="CJ1100">
        <v>1</v>
      </c>
      <c r="CK1100">
        <v>22</v>
      </c>
      <c r="CL1100" t="s">
        <v>89</v>
      </c>
    </row>
    <row r="1101" spans="1:90" x14ac:dyDescent="0.3">
      <c r="A1101" t="s">
        <v>72</v>
      </c>
      <c r="B1101" t="s">
        <v>73</v>
      </c>
      <c r="C1101" t="s">
        <v>74</v>
      </c>
      <c r="E1101" t="str">
        <f>"080065344497"</f>
        <v>080065344497</v>
      </c>
      <c r="F1101" s="3">
        <v>45790</v>
      </c>
      <c r="G1101">
        <v>202602</v>
      </c>
      <c r="H1101" t="s">
        <v>75</v>
      </c>
      <c r="I1101" t="s">
        <v>76</v>
      </c>
      <c r="J1101" t="s">
        <v>77</v>
      </c>
      <c r="K1101" t="s">
        <v>78</v>
      </c>
      <c r="L1101" t="s">
        <v>648</v>
      </c>
      <c r="M1101" t="s">
        <v>649</v>
      </c>
      <c r="N1101" t="s">
        <v>695</v>
      </c>
      <c r="O1101" t="s">
        <v>82</v>
      </c>
      <c r="P1101" t="str">
        <f>"4170037744                    "</f>
        <v xml:space="preserve">4170037744                    </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16.7</v>
      </c>
      <c r="AR1101">
        <v>0</v>
      </c>
      <c r="AS1101">
        <v>0</v>
      </c>
      <c r="AT1101">
        <v>0</v>
      </c>
      <c r="AU1101">
        <v>0</v>
      </c>
      <c r="AV1101">
        <v>0</v>
      </c>
      <c r="AW1101">
        <v>0</v>
      </c>
      <c r="AX1101">
        <v>0</v>
      </c>
      <c r="AY1101">
        <v>0</v>
      </c>
      <c r="AZ1101">
        <v>0</v>
      </c>
      <c r="BA1101">
        <v>0</v>
      </c>
      <c r="BB1101">
        <v>0</v>
      </c>
      <c r="BC1101">
        <v>0</v>
      </c>
      <c r="BD1101">
        <v>0</v>
      </c>
      <c r="BE1101">
        <v>0</v>
      </c>
      <c r="BF1101">
        <v>0</v>
      </c>
      <c r="BG1101">
        <v>0</v>
      </c>
      <c r="BH1101">
        <v>1</v>
      </c>
      <c r="BI1101">
        <v>1</v>
      </c>
      <c r="BJ1101">
        <v>0.8</v>
      </c>
      <c r="BK1101">
        <v>1</v>
      </c>
      <c r="BL1101">
        <v>54.66</v>
      </c>
      <c r="BM1101">
        <v>8.1999999999999993</v>
      </c>
      <c r="BN1101">
        <v>62.86</v>
      </c>
      <c r="BO1101">
        <v>62.86</v>
      </c>
      <c r="BQ1101" t="s">
        <v>696</v>
      </c>
      <c r="BR1101" t="s">
        <v>84</v>
      </c>
      <c r="BS1101" s="3">
        <v>45791</v>
      </c>
      <c r="BT1101" s="4">
        <v>0.35694444444444445</v>
      </c>
      <c r="BU1101" t="s">
        <v>1477</v>
      </c>
      <c r="BV1101" t="s">
        <v>86</v>
      </c>
      <c r="BY1101">
        <v>4176</v>
      </c>
      <c r="CA1101" t="s">
        <v>698</v>
      </c>
      <c r="CC1101" t="s">
        <v>649</v>
      </c>
      <c r="CD1101">
        <v>1559</v>
      </c>
      <c r="CE1101" t="s">
        <v>96</v>
      </c>
      <c r="CF1101" s="3">
        <v>45791</v>
      </c>
      <c r="CI1101">
        <v>1</v>
      </c>
      <c r="CJ1101">
        <v>1</v>
      </c>
      <c r="CK1101">
        <v>22</v>
      </c>
      <c r="CL1101" t="s">
        <v>89</v>
      </c>
    </row>
    <row r="1102" spans="1:90" x14ac:dyDescent="0.3">
      <c r="A1102" t="s">
        <v>72</v>
      </c>
      <c r="B1102" t="s">
        <v>73</v>
      </c>
      <c r="C1102" t="s">
        <v>74</v>
      </c>
      <c r="E1102" t="str">
        <f>"080065344548"</f>
        <v>080065344548</v>
      </c>
      <c r="F1102" s="3">
        <v>45790</v>
      </c>
      <c r="G1102">
        <v>202602</v>
      </c>
      <c r="H1102" t="s">
        <v>75</v>
      </c>
      <c r="I1102" t="s">
        <v>76</v>
      </c>
      <c r="J1102" t="s">
        <v>77</v>
      </c>
      <c r="K1102" t="s">
        <v>78</v>
      </c>
      <c r="L1102" t="s">
        <v>143</v>
      </c>
      <c r="M1102" t="s">
        <v>144</v>
      </c>
      <c r="N1102" t="s">
        <v>762</v>
      </c>
      <c r="O1102" t="s">
        <v>82</v>
      </c>
      <c r="P1102" t="str">
        <f>"4170037714                    "</f>
        <v xml:space="preserve">4170037714                    </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c r="AP1102">
        <v>0</v>
      </c>
      <c r="AQ1102">
        <v>16.7</v>
      </c>
      <c r="AR1102">
        <v>0</v>
      </c>
      <c r="AS1102">
        <v>0</v>
      </c>
      <c r="AT1102">
        <v>0</v>
      </c>
      <c r="AU1102">
        <v>0</v>
      </c>
      <c r="AV1102">
        <v>0</v>
      </c>
      <c r="AW1102">
        <v>0</v>
      </c>
      <c r="AX1102">
        <v>0</v>
      </c>
      <c r="AY1102">
        <v>0</v>
      </c>
      <c r="AZ1102">
        <v>0</v>
      </c>
      <c r="BA1102">
        <v>0</v>
      </c>
      <c r="BB1102">
        <v>0</v>
      </c>
      <c r="BC1102">
        <v>0</v>
      </c>
      <c r="BD1102">
        <v>0</v>
      </c>
      <c r="BE1102">
        <v>0</v>
      </c>
      <c r="BF1102">
        <v>0</v>
      </c>
      <c r="BG1102">
        <v>0</v>
      </c>
      <c r="BH1102">
        <v>1</v>
      </c>
      <c r="BI1102">
        <v>1</v>
      </c>
      <c r="BJ1102">
        <v>0.9</v>
      </c>
      <c r="BK1102">
        <v>1</v>
      </c>
      <c r="BL1102">
        <v>54.66</v>
      </c>
      <c r="BM1102">
        <v>8.1999999999999993</v>
      </c>
      <c r="BN1102">
        <v>62.86</v>
      </c>
      <c r="BO1102">
        <v>62.86</v>
      </c>
      <c r="BQ1102" t="s">
        <v>763</v>
      </c>
      <c r="BR1102" t="s">
        <v>84</v>
      </c>
      <c r="BS1102" s="3">
        <v>45791</v>
      </c>
      <c r="BT1102" s="4">
        <v>0.55555555555555558</v>
      </c>
      <c r="BU1102" t="s">
        <v>1800</v>
      </c>
      <c r="BV1102" t="s">
        <v>89</v>
      </c>
      <c r="BW1102" t="s">
        <v>148</v>
      </c>
      <c r="BX1102" t="s">
        <v>203</v>
      </c>
      <c r="BY1102">
        <v>4256</v>
      </c>
      <c r="CA1102" t="s">
        <v>1801</v>
      </c>
      <c r="CC1102" t="s">
        <v>144</v>
      </c>
      <c r="CD1102">
        <v>1428</v>
      </c>
      <c r="CE1102" t="s">
        <v>96</v>
      </c>
      <c r="CF1102" s="3">
        <v>45791</v>
      </c>
      <c r="CI1102">
        <v>1</v>
      </c>
      <c r="CJ1102">
        <v>1</v>
      </c>
      <c r="CK1102">
        <v>22</v>
      </c>
      <c r="CL1102" t="s">
        <v>89</v>
      </c>
    </row>
    <row r="1103" spans="1:90" x14ac:dyDescent="0.3">
      <c r="A1103" t="s">
        <v>72</v>
      </c>
      <c r="B1103" t="s">
        <v>73</v>
      </c>
      <c r="C1103" t="s">
        <v>74</v>
      </c>
      <c r="E1103" t="str">
        <f>"080065344584"</f>
        <v>080065344584</v>
      </c>
      <c r="F1103" s="3">
        <v>45790</v>
      </c>
      <c r="G1103">
        <v>202602</v>
      </c>
      <c r="H1103" t="s">
        <v>75</v>
      </c>
      <c r="I1103" t="s">
        <v>76</v>
      </c>
      <c r="J1103" t="s">
        <v>77</v>
      </c>
      <c r="K1103" t="s">
        <v>78</v>
      </c>
      <c r="L1103" t="s">
        <v>420</v>
      </c>
      <c r="M1103" t="s">
        <v>421</v>
      </c>
      <c r="N1103" t="s">
        <v>1802</v>
      </c>
      <c r="O1103" t="s">
        <v>82</v>
      </c>
      <c r="P1103" t="str">
        <f>"4170038031                    "</f>
        <v xml:space="preserve">4170038031                    </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P1103">
        <v>0</v>
      </c>
      <c r="AQ1103">
        <v>41.43</v>
      </c>
      <c r="AR1103">
        <v>0</v>
      </c>
      <c r="AS1103">
        <v>0</v>
      </c>
      <c r="AT1103">
        <v>0</v>
      </c>
      <c r="AU1103">
        <v>0</v>
      </c>
      <c r="AV1103">
        <v>0</v>
      </c>
      <c r="AW1103">
        <v>0</v>
      </c>
      <c r="AX1103">
        <v>0</v>
      </c>
      <c r="AY1103">
        <v>0</v>
      </c>
      <c r="AZ1103">
        <v>0</v>
      </c>
      <c r="BA1103">
        <v>0</v>
      </c>
      <c r="BB1103">
        <v>0</v>
      </c>
      <c r="BC1103">
        <v>0</v>
      </c>
      <c r="BD1103">
        <v>0</v>
      </c>
      <c r="BE1103">
        <v>0</v>
      </c>
      <c r="BF1103">
        <v>0</v>
      </c>
      <c r="BG1103">
        <v>0</v>
      </c>
      <c r="BH1103">
        <v>1</v>
      </c>
      <c r="BI1103">
        <v>1</v>
      </c>
      <c r="BJ1103">
        <v>0.2</v>
      </c>
      <c r="BK1103">
        <v>1</v>
      </c>
      <c r="BL1103">
        <v>135.59</v>
      </c>
      <c r="BM1103">
        <v>20.34</v>
      </c>
      <c r="BN1103">
        <v>155.93</v>
      </c>
      <c r="BO1103">
        <v>155.93</v>
      </c>
      <c r="BQ1103" t="s">
        <v>1803</v>
      </c>
      <c r="BR1103" t="s">
        <v>84</v>
      </c>
      <c r="BS1103" s="3">
        <v>45791</v>
      </c>
      <c r="BT1103" s="4">
        <v>0.41666666666666669</v>
      </c>
      <c r="BU1103" t="s">
        <v>1804</v>
      </c>
      <c r="BV1103" t="s">
        <v>86</v>
      </c>
      <c r="BY1103">
        <v>1200</v>
      </c>
      <c r="CA1103" t="s">
        <v>1805</v>
      </c>
      <c r="CC1103" t="s">
        <v>421</v>
      </c>
      <c r="CD1103">
        <v>3290</v>
      </c>
      <c r="CE1103" t="s">
        <v>88</v>
      </c>
      <c r="CF1103" s="3">
        <v>45792</v>
      </c>
      <c r="CI1103">
        <v>1</v>
      </c>
      <c r="CJ1103">
        <v>1</v>
      </c>
      <c r="CK1103">
        <v>23</v>
      </c>
      <c r="CL1103" t="s">
        <v>89</v>
      </c>
    </row>
    <row r="1104" spans="1:90" x14ac:dyDescent="0.3">
      <c r="A1104" t="s">
        <v>72</v>
      </c>
      <c r="B1104" t="s">
        <v>73</v>
      </c>
      <c r="C1104" t="s">
        <v>74</v>
      </c>
      <c r="E1104" t="str">
        <f>"080065344630"</f>
        <v>080065344630</v>
      </c>
      <c r="F1104" s="3">
        <v>45790</v>
      </c>
      <c r="G1104">
        <v>202602</v>
      </c>
      <c r="H1104" t="s">
        <v>75</v>
      </c>
      <c r="I1104" t="s">
        <v>76</v>
      </c>
      <c r="J1104" t="s">
        <v>77</v>
      </c>
      <c r="K1104" t="s">
        <v>78</v>
      </c>
      <c r="L1104" t="s">
        <v>136</v>
      </c>
      <c r="M1104" t="s">
        <v>137</v>
      </c>
      <c r="N1104" t="s">
        <v>735</v>
      </c>
      <c r="O1104" t="s">
        <v>82</v>
      </c>
      <c r="P1104" t="str">
        <f>"4170038015                    "</f>
        <v xml:space="preserve">4170038015                    </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21.38</v>
      </c>
      <c r="AR1104">
        <v>0</v>
      </c>
      <c r="AS1104">
        <v>0</v>
      </c>
      <c r="AT1104">
        <v>0</v>
      </c>
      <c r="AU1104">
        <v>0</v>
      </c>
      <c r="AV1104">
        <v>0</v>
      </c>
      <c r="AW1104">
        <v>0</v>
      </c>
      <c r="AX1104">
        <v>0</v>
      </c>
      <c r="AY1104">
        <v>0</v>
      </c>
      <c r="AZ1104">
        <v>0</v>
      </c>
      <c r="BA1104">
        <v>0</v>
      </c>
      <c r="BB1104">
        <v>0</v>
      </c>
      <c r="BC1104">
        <v>0</v>
      </c>
      <c r="BD1104">
        <v>0</v>
      </c>
      <c r="BE1104">
        <v>0</v>
      </c>
      <c r="BF1104">
        <v>0</v>
      </c>
      <c r="BG1104">
        <v>0</v>
      </c>
      <c r="BH1104">
        <v>1</v>
      </c>
      <c r="BI1104">
        <v>1</v>
      </c>
      <c r="BJ1104">
        <v>0.2</v>
      </c>
      <c r="BK1104">
        <v>1</v>
      </c>
      <c r="BL1104">
        <v>69.98</v>
      </c>
      <c r="BM1104">
        <v>10.5</v>
      </c>
      <c r="BN1104">
        <v>80.48</v>
      </c>
      <c r="BO1104">
        <v>80.48</v>
      </c>
      <c r="BQ1104" t="s">
        <v>736</v>
      </c>
      <c r="BR1104" t="s">
        <v>84</v>
      </c>
      <c r="BS1104" s="3">
        <v>45791</v>
      </c>
      <c r="BT1104" s="4">
        <v>0.39652777777777776</v>
      </c>
      <c r="BU1104" t="s">
        <v>1699</v>
      </c>
      <c r="BV1104" t="s">
        <v>86</v>
      </c>
      <c r="BY1104">
        <v>1200</v>
      </c>
      <c r="CA1104" t="s">
        <v>258</v>
      </c>
      <c r="CC1104" t="s">
        <v>137</v>
      </c>
      <c r="CD1104" s="5" t="s">
        <v>738</v>
      </c>
      <c r="CE1104" t="s">
        <v>88</v>
      </c>
      <c r="CF1104" s="3">
        <v>45791</v>
      </c>
      <c r="CI1104">
        <v>1</v>
      </c>
      <c r="CJ1104">
        <v>1</v>
      </c>
      <c r="CK1104">
        <v>21</v>
      </c>
      <c r="CL1104" t="s">
        <v>89</v>
      </c>
    </row>
    <row r="1105" spans="1:90" x14ac:dyDescent="0.3">
      <c r="A1105" t="s">
        <v>72</v>
      </c>
      <c r="B1105" t="s">
        <v>73</v>
      </c>
      <c r="C1105" t="s">
        <v>74</v>
      </c>
      <c r="E1105" t="str">
        <f>"080065344714"</f>
        <v>080065344714</v>
      </c>
      <c r="F1105" s="3">
        <v>45790</v>
      </c>
      <c r="G1105">
        <v>202602</v>
      </c>
      <c r="H1105" t="s">
        <v>75</v>
      </c>
      <c r="I1105" t="s">
        <v>76</v>
      </c>
      <c r="J1105" t="s">
        <v>77</v>
      </c>
      <c r="K1105" t="s">
        <v>78</v>
      </c>
      <c r="L1105" t="s">
        <v>350</v>
      </c>
      <c r="M1105" t="s">
        <v>351</v>
      </c>
      <c r="N1105" t="s">
        <v>459</v>
      </c>
      <c r="O1105" t="s">
        <v>82</v>
      </c>
      <c r="P1105" t="str">
        <f>"4170038040                    "</f>
        <v xml:space="preserve">4170038040                    </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21.38</v>
      </c>
      <c r="AR1105">
        <v>0</v>
      </c>
      <c r="AS1105">
        <v>0</v>
      </c>
      <c r="AT1105">
        <v>0</v>
      </c>
      <c r="AU1105">
        <v>0</v>
      </c>
      <c r="AV1105">
        <v>0</v>
      </c>
      <c r="AW1105">
        <v>0</v>
      </c>
      <c r="AX1105">
        <v>0</v>
      </c>
      <c r="AY1105">
        <v>0</v>
      </c>
      <c r="AZ1105">
        <v>0</v>
      </c>
      <c r="BA1105">
        <v>0</v>
      </c>
      <c r="BB1105">
        <v>0</v>
      </c>
      <c r="BC1105">
        <v>0</v>
      </c>
      <c r="BD1105">
        <v>0</v>
      </c>
      <c r="BE1105">
        <v>0</v>
      </c>
      <c r="BF1105">
        <v>0</v>
      </c>
      <c r="BG1105">
        <v>0</v>
      </c>
      <c r="BH1105">
        <v>1</v>
      </c>
      <c r="BI1105">
        <v>1</v>
      </c>
      <c r="BJ1105">
        <v>0.2</v>
      </c>
      <c r="BK1105">
        <v>1</v>
      </c>
      <c r="BL1105">
        <v>69.98</v>
      </c>
      <c r="BM1105">
        <v>10.5</v>
      </c>
      <c r="BN1105">
        <v>80.48</v>
      </c>
      <c r="BO1105">
        <v>80.48</v>
      </c>
      <c r="BQ1105" t="s">
        <v>460</v>
      </c>
      <c r="BR1105" t="s">
        <v>84</v>
      </c>
      <c r="BS1105" s="3">
        <v>45791</v>
      </c>
      <c r="BT1105" s="4">
        <v>0.33819444444444446</v>
      </c>
      <c r="BU1105" t="s">
        <v>1121</v>
      </c>
      <c r="BV1105" t="s">
        <v>86</v>
      </c>
      <c r="BY1105">
        <v>1200</v>
      </c>
      <c r="CA1105" t="s">
        <v>462</v>
      </c>
      <c r="CC1105" t="s">
        <v>351</v>
      </c>
      <c r="CD1105">
        <v>4051</v>
      </c>
      <c r="CE1105" t="s">
        <v>88</v>
      </c>
      <c r="CF1105" s="3">
        <v>45792</v>
      </c>
      <c r="CI1105">
        <v>1</v>
      </c>
      <c r="CJ1105">
        <v>1</v>
      </c>
      <c r="CK1105">
        <v>21</v>
      </c>
      <c r="CL1105" t="s">
        <v>89</v>
      </c>
    </row>
    <row r="1106" spans="1:90" x14ac:dyDescent="0.3">
      <c r="A1106" t="s">
        <v>72</v>
      </c>
      <c r="B1106" t="s">
        <v>73</v>
      </c>
      <c r="C1106" t="s">
        <v>74</v>
      </c>
      <c r="E1106" t="str">
        <f>"080065344751"</f>
        <v>080065344751</v>
      </c>
      <c r="F1106" s="3">
        <v>45790</v>
      </c>
      <c r="G1106">
        <v>202602</v>
      </c>
      <c r="H1106" t="s">
        <v>75</v>
      </c>
      <c r="I1106" t="s">
        <v>76</v>
      </c>
      <c r="J1106" t="s">
        <v>77</v>
      </c>
      <c r="K1106" t="s">
        <v>78</v>
      </c>
      <c r="L1106" t="s">
        <v>624</v>
      </c>
      <c r="M1106" t="s">
        <v>625</v>
      </c>
      <c r="N1106" t="s">
        <v>481</v>
      </c>
      <c r="O1106" t="s">
        <v>82</v>
      </c>
      <c r="P1106" t="str">
        <f>"4170038021                    "</f>
        <v xml:space="preserve">4170038021                    </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41.43</v>
      </c>
      <c r="AR1106">
        <v>0</v>
      </c>
      <c r="AS1106">
        <v>0</v>
      </c>
      <c r="AT1106">
        <v>0</v>
      </c>
      <c r="AU1106">
        <v>0</v>
      </c>
      <c r="AV1106">
        <v>0</v>
      </c>
      <c r="AW1106">
        <v>0</v>
      </c>
      <c r="AX1106">
        <v>0</v>
      </c>
      <c r="AY1106">
        <v>0</v>
      </c>
      <c r="AZ1106">
        <v>0</v>
      </c>
      <c r="BA1106">
        <v>0</v>
      </c>
      <c r="BB1106">
        <v>0</v>
      </c>
      <c r="BC1106">
        <v>0</v>
      </c>
      <c r="BD1106">
        <v>0</v>
      </c>
      <c r="BE1106">
        <v>0</v>
      </c>
      <c r="BF1106">
        <v>0</v>
      </c>
      <c r="BG1106">
        <v>0</v>
      </c>
      <c r="BH1106">
        <v>1</v>
      </c>
      <c r="BI1106">
        <v>1</v>
      </c>
      <c r="BJ1106">
        <v>0.2</v>
      </c>
      <c r="BK1106">
        <v>1</v>
      </c>
      <c r="BL1106">
        <v>135.59</v>
      </c>
      <c r="BM1106">
        <v>20.34</v>
      </c>
      <c r="BN1106">
        <v>155.93</v>
      </c>
      <c r="BO1106">
        <v>155.93</v>
      </c>
      <c r="BQ1106" t="s">
        <v>1025</v>
      </c>
      <c r="BR1106" t="s">
        <v>84</v>
      </c>
      <c r="BS1106" s="3">
        <v>45791</v>
      </c>
      <c r="BT1106" s="4">
        <v>0.39097222222222222</v>
      </c>
      <c r="BU1106" t="s">
        <v>1806</v>
      </c>
      <c r="BV1106" t="s">
        <v>86</v>
      </c>
      <c r="BY1106">
        <v>1200</v>
      </c>
      <c r="CA1106" t="s">
        <v>629</v>
      </c>
      <c r="CC1106" t="s">
        <v>625</v>
      </c>
      <c r="CD1106">
        <v>1947</v>
      </c>
      <c r="CE1106" t="s">
        <v>88</v>
      </c>
      <c r="CF1106" s="3">
        <v>45792</v>
      </c>
      <c r="CI1106">
        <v>1</v>
      </c>
      <c r="CJ1106">
        <v>1</v>
      </c>
      <c r="CK1106">
        <v>23</v>
      </c>
      <c r="CL1106" t="s">
        <v>89</v>
      </c>
    </row>
    <row r="1107" spans="1:90" x14ac:dyDescent="0.3">
      <c r="A1107" t="s">
        <v>72</v>
      </c>
      <c r="B1107" t="s">
        <v>73</v>
      </c>
      <c r="C1107" t="s">
        <v>74</v>
      </c>
      <c r="E1107" t="str">
        <f>"080065344782"</f>
        <v>080065344782</v>
      </c>
      <c r="F1107" s="3">
        <v>45790</v>
      </c>
      <c r="G1107">
        <v>202602</v>
      </c>
      <c r="H1107" t="s">
        <v>75</v>
      </c>
      <c r="I1107" t="s">
        <v>76</v>
      </c>
      <c r="J1107" t="s">
        <v>77</v>
      </c>
      <c r="K1107" t="s">
        <v>78</v>
      </c>
      <c r="L1107" t="s">
        <v>844</v>
      </c>
      <c r="M1107" t="s">
        <v>845</v>
      </c>
      <c r="N1107" t="s">
        <v>1807</v>
      </c>
      <c r="O1107" t="s">
        <v>82</v>
      </c>
      <c r="P1107" t="str">
        <f>"4170038027                    "</f>
        <v xml:space="preserve">4170038027                    </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21.38</v>
      </c>
      <c r="AR1107">
        <v>0</v>
      </c>
      <c r="AS1107">
        <v>0</v>
      </c>
      <c r="AT1107">
        <v>0</v>
      </c>
      <c r="AU1107">
        <v>0</v>
      </c>
      <c r="AV1107">
        <v>0</v>
      </c>
      <c r="AW1107">
        <v>0</v>
      </c>
      <c r="AX1107">
        <v>0</v>
      </c>
      <c r="AY1107">
        <v>0</v>
      </c>
      <c r="AZ1107">
        <v>0</v>
      </c>
      <c r="BA1107">
        <v>0</v>
      </c>
      <c r="BB1107">
        <v>0</v>
      </c>
      <c r="BC1107">
        <v>0</v>
      </c>
      <c r="BD1107">
        <v>0</v>
      </c>
      <c r="BE1107">
        <v>0</v>
      </c>
      <c r="BF1107">
        <v>0</v>
      </c>
      <c r="BG1107">
        <v>0</v>
      </c>
      <c r="BH1107">
        <v>1</v>
      </c>
      <c r="BI1107">
        <v>1</v>
      </c>
      <c r="BJ1107">
        <v>0.2</v>
      </c>
      <c r="BK1107">
        <v>1</v>
      </c>
      <c r="BL1107">
        <v>69.98</v>
      </c>
      <c r="BM1107">
        <v>10.5</v>
      </c>
      <c r="BN1107">
        <v>80.48</v>
      </c>
      <c r="BO1107">
        <v>80.48</v>
      </c>
      <c r="BQ1107" t="s">
        <v>1808</v>
      </c>
      <c r="BR1107" t="s">
        <v>84</v>
      </c>
      <c r="BS1107" s="3">
        <v>45791</v>
      </c>
      <c r="BT1107" s="4">
        <v>0.4152777777777778</v>
      </c>
      <c r="BU1107" t="s">
        <v>1809</v>
      </c>
      <c r="BV1107" t="s">
        <v>86</v>
      </c>
      <c r="BY1107">
        <v>1200</v>
      </c>
      <c r="CA1107" t="s">
        <v>849</v>
      </c>
      <c r="CC1107" t="s">
        <v>845</v>
      </c>
      <c r="CD1107">
        <v>7600</v>
      </c>
      <c r="CE1107" t="s">
        <v>88</v>
      </c>
      <c r="CF1107" s="3">
        <v>45792</v>
      </c>
      <c r="CI1107">
        <v>1</v>
      </c>
      <c r="CJ1107">
        <v>1</v>
      </c>
      <c r="CK1107">
        <v>21</v>
      </c>
      <c r="CL1107" t="s">
        <v>89</v>
      </c>
    </row>
    <row r="1108" spans="1:90" x14ac:dyDescent="0.3">
      <c r="A1108" t="s">
        <v>72</v>
      </c>
      <c r="B1108" t="s">
        <v>73</v>
      </c>
      <c r="C1108" t="s">
        <v>74</v>
      </c>
      <c r="E1108" t="str">
        <f>"080065344824"</f>
        <v>080065344824</v>
      </c>
      <c r="F1108" s="3">
        <v>45790</v>
      </c>
      <c r="G1108">
        <v>202602</v>
      </c>
      <c r="H1108" t="s">
        <v>75</v>
      </c>
      <c r="I1108" t="s">
        <v>76</v>
      </c>
      <c r="J1108" t="s">
        <v>77</v>
      </c>
      <c r="K1108" t="s">
        <v>78</v>
      </c>
      <c r="L1108" t="s">
        <v>103</v>
      </c>
      <c r="M1108" t="s">
        <v>104</v>
      </c>
      <c r="N1108" t="s">
        <v>1372</v>
      </c>
      <c r="O1108" t="s">
        <v>82</v>
      </c>
      <c r="P1108" t="str">
        <f>"4170038016                    "</f>
        <v xml:space="preserve">4170038016                    </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21.38</v>
      </c>
      <c r="AR1108">
        <v>0</v>
      </c>
      <c r="AS1108">
        <v>0</v>
      </c>
      <c r="AT1108">
        <v>0</v>
      </c>
      <c r="AU1108">
        <v>0</v>
      </c>
      <c r="AV1108">
        <v>0</v>
      </c>
      <c r="AW1108">
        <v>0</v>
      </c>
      <c r="AX1108">
        <v>0</v>
      </c>
      <c r="AY1108">
        <v>0</v>
      </c>
      <c r="AZ1108">
        <v>0</v>
      </c>
      <c r="BA1108">
        <v>0</v>
      </c>
      <c r="BB1108">
        <v>0</v>
      </c>
      <c r="BC1108">
        <v>0</v>
      </c>
      <c r="BD1108">
        <v>0</v>
      </c>
      <c r="BE1108">
        <v>0</v>
      </c>
      <c r="BF1108">
        <v>0</v>
      </c>
      <c r="BG1108">
        <v>0</v>
      </c>
      <c r="BH1108">
        <v>1</v>
      </c>
      <c r="BI1108">
        <v>1</v>
      </c>
      <c r="BJ1108">
        <v>0.2</v>
      </c>
      <c r="BK1108">
        <v>1</v>
      </c>
      <c r="BL1108">
        <v>69.98</v>
      </c>
      <c r="BM1108">
        <v>10.5</v>
      </c>
      <c r="BN1108">
        <v>80.48</v>
      </c>
      <c r="BO1108">
        <v>80.48</v>
      </c>
      <c r="BQ1108" t="s">
        <v>1373</v>
      </c>
      <c r="BR1108" t="s">
        <v>84</v>
      </c>
      <c r="BS1108" s="3">
        <v>45791</v>
      </c>
      <c r="BT1108" s="4">
        <v>0.41666666666666669</v>
      </c>
      <c r="BU1108" t="s">
        <v>1374</v>
      </c>
      <c r="BV1108" t="s">
        <v>86</v>
      </c>
      <c r="BY1108">
        <v>1200</v>
      </c>
      <c r="CA1108" t="s">
        <v>1375</v>
      </c>
      <c r="CC1108" t="s">
        <v>104</v>
      </c>
      <c r="CD1108">
        <v>3201</v>
      </c>
      <c r="CE1108" t="s">
        <v>88</v>
      </c>
      <c r="CF1108" s="3">
        <v>45792</v>
      </c>
      <c r="CI1108">
        <v>1</v>
      </c>
      <c r="CJ1108">
        <v>1</v>
      </c>
      <c r="CK1108">
        <v>21</v>
      </c>
      <c r="CL1108" t="s">
        <v>89</v>
      </c>
    </row>
    <row r="1109" spans="1:90" x14ac:dyDescent="0.3">
      <c r="A1109" t="s">
        <v>72</v>
      </c>
      <c r="B1109" t="s">
        <v>73</v>
      </c>
      <c r="C1109" t="s">
        <v>74</v>
      </c>
      <c r="E1109" t="str">
        <f>"080065344871"</f>
        <v>080065344871</v>
      </c>
      <c r="F1109" s="3">
        <v>45790</v>
      </c>
      <c r="G1109">
        <v>202602</v>
      </c>
      <c r="H1109" t="s">
        <v>75</v>
      </c>
      <c r="I1109" t="s">
        <v>76</v>
      </c>
      <c r="J1109" t="s">
        <v>77</v>
      </c>
      <c r="K1109" t="s">
        <v>78</v>
      </c>
      <c r="L1109" t="s">
        <v>350</v>
      </c>
      <c r="M1109" t="s">
        <v>351</v>
      </c>
      <c r="N1109" t="s">
        <v>404</v>
      </c>
      <c r="O1109" t="s">
        <v>82</v>
      </c>
      <c r="P1109" t="str">
        <f>"4170038050                    "</f>
        <v xml:space="preserve">4170038050                    </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21.38</v>
      </c>
      <c r="AR1109">
        <v>0</v>
      </c>
      <c r="AS1109">
        <v>0</v>
      </c>
      <c r="AT1109">
        <v>0</v>
      </c>
      <c r="AU1109">
        <v>0</v>
      </c>
      <c r="AV1109">
        <v>0</v>
      </c>
      <c r="AW1109">
        <v>0</v>
      </c>
      <c r="AX1109">
        <v>0</v>
      </c>
      <c r="AY1109">
        <v>0</v>
      </c>
      <c r="AZ1109">
        <v>0</v>
      </c>
      <c r="BA1109">
        <v>0</v>
      </c>
      <c r="BB1109">
        <v>0</v>
      </c>
      <c r="BC1109">
        <v>0</v>
      </c>
      <c r="BD1109">
        <v>0</v>
      </c>
      <c r="BE1109">
        <v>0</v>
      </c>
      <c r="BF1109">
        <v>0</v>
      </c>
      <c r="BG1109">
        <v>0</v>
      </c>
      <c r="BH1109">
        <v>1</v>
      </c>
      <c r="BI1109">
        <v>1</v>
      </c>
      <c r="BJ1109">
        <v>0.2</v>
      </c>
      <c r="BK1109">
        <v>1</v>
      </c>
      <c r="BL1109">
        <v>69.98</v>
      </c>
      <c r="BM1109">
        <v>10.5</v>
      </c>
      <c r="BN1109">
        <v>80.48</v>
      </c>
      <c r="BO1109">
        <v>80.48</v>
      </c>
      <c r="BQ1109" t="s">
        <v>405</v>
      </c>
      <c r="BR1109" t="s">
        <v>84</v>
      </c>
      <c r="BS1109" s="3">
        <v>45791</v>
      </c>
      <c r="BT1109" s="4">
        <v>0.42430555555555555</v>
      </c>
      <c r="BU1109" t="s">
        <v>1588</v>
      </c>
      <c r="BV1109" t="s">
        <v>86</v>
      </c>
      <c r="BY1109">
        <v>1200</v>
      </c>
      <c r="CA1109" t="s">
        <v>326</v>
      </c>
      <c r="CC1109" t="s">
        <v>351</v>
      </c>
      <c r="CD1109">
        <v>4052</v>
      </c>
      <c r="CE1109" t="s">
        <v>88</v>
      </c>
      <c r="CF1109" s="3">
        <v>45792</v>
      </c>
      <c r="CI1109">
        <v>1</v>
      </c>
      <c r="CJ1109">
        <v>1</v>
      </c>
      <c r="CK1109">
        <v>21</v>
      </c>
      <c r="CL1109" t="s">
        <v>89</v>
      </c>
    </row>
    <row r="1110" spans="1:90" x14ac:dyDescent="0.3">
      <c r="A1110" t="s">
        <v>72</v>
      </c>
      <c r="B1110" t="s">
        <v>73</v>
      </c>
      <c r="C1110" t="s">
        <v>74</v>
      </c>
      <c r="E1110" t="str">
        <f>"080065344913"</f>
        <v>080065344913</v>
      </c>
      <c r="F1110" s="3">
        <v>45790</v>
      </c>
      <c r="G1110">
        <v>202602</v>
      </c>
      <c r="H1110" t="s">
        <v>75</v>
      </c>
      <c r="I1110" t="s">
        <v>76</v>
      </c>
      <c r="J1110" t="s">
        <v>77</v>
      </c>
      <c r="K1110" t="s">
        <v>78</v>
      </c>
      <c r="L1110" t="s">
        <v>103</v>
      </c>
      <c r="M1110" t="s">
        <v>104</v>
      </c>
      <c r="N1110" t="s">
        <v>105</v>
      </c>
      <c r="O1110" t="s">
        <v>82</v>
      </c>
      <c r="P1110" t="str">
        <f>"4170038074                    "</f>
        <v xml:space="preserve">4170038074                    </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21.38</v>
      </c>
      <c r="AR1110">
        <v>0</v>
      </c>
      <c r="AS1110">
        <v>0</v>
      </c>
      <c r="AT1110">
        <v>0</v>
      </c>
      <c r="AU1110">
        <v>0</v>
      </c>
      <c r="AV1110">
        <v>0</v>
      </c>
      <c r="AW1110">
        <v>0</v>
      </c>
      <c r="AX1110">
        <v>0</v>
      </c>
      <c r="AY1110">
        <v>0</v>
      </c>
      <c r="AZ1110">
        <v>0</v>
      </c>
      <c r="BA1110">
        <v>0</v>
      </c>
      <c r="BB1110">
        <v>0</v>
      </c>
      <c r="BC1110">
        <v>0</v>
      </c>
      <c r="BD1110">
        <v>0</v>
      </c>
      <c r="BE1110">
        <v>0</v>
      </c>
      <c r="BF1110">
        <v>0</v>
      </c>
      <c r="BG1110">
        <v>0</v>
      </c>
      <c r="BH1110">
        <v>1</v>
      </c>
      <c r="BI1110">
        <v>1</v>
      </c>
      <c r="BJ1110">
        <v>0.2</v>
      </c>
      <c r="BK1110">
        <v>1</v>
      </c>
      <c r="BL1110">
        <v>69.98</v>
      </c>
      <c r="BM1110">
        <v>10.5</v>
      </c>
      <c r="BN1110">
        <v>80.48</v>
      </c>
      <c r="BO1110">
        <v>80.48</v>
      </c>
      <c r="BQ1110" t="s">
        <v>106</v>
      </c>
      <c r="BR1110" t="s">
        <v>84</v>
      </c>
      <c r="BS1110" s="3">
        <v>45791</v>
      </c>
      <c r="BT1110" s="4">
        <v>0.41666666666666669</v>
      </c>
      <c r="BU1110" t="s">
        <v>430</v>
      </c>
      <c r="BV1110" t="s">
        <v>86</v>
      </c>
      <c r="BY1110">
        <v>1200</v>
      </c>
      <c r="CA1110" t="s">
        <v>108</v>
      </c>
      <c r="CC1110" t="s">
        <v>104</v>
      </c>
      <c r="CD1110">
        <v>3201</v>
      </c>
      <c r="CE1110" t="s">
        <v>88</v>
      </c>
      <c r="CF1110" s="3">
        <v>45792</v>
      </c>
      <c r="CI1110">
        <v>1</v>
      </c>
      <c r="CJ1110">
        <v>1</v>
      </c>
      <c r="CK1110">
        <v>21</v>
      </c>
      <c r="CL1110" t="s">
        <v>89</v>
      </c>
    </row>
    <row r="1111" spans="1:90" x14ac:dyDescent="0.3">
      <c r="A1111" t="s">
        <v>72</v>
      </c>
      <c r="B1111" t="s">
        <v>73</v>
      </c>
      <c r="C1111" t="s">
        <v>74</v>
      </c>
      <c r="E1111" t="str">
        <f>"080065344956"</f>
        <v>080065344956</v>
      </c>
      <c r="F1111" s="3">
        <v>45790</v>
      </c>
      <c r="G1111">
        <v>202602</v>
      </c>
      <c r="H1111" t="s">
        <v>75</v>
      </c>
      <c r="I1111" t="s">
        <v>76</v>
      </c>
      <c r="J1111" t="s">
        <v>77</v>
      </c>
      <c r="K1111" t="s">
        <v>78</v>
      </c>
      <c r="L1111" t="s">
        <v>672</v>
      </c>
      <c r="M1111" t="s">
        <v>673</v>
      </c>
      <c r="N1111" t="s">
        <v>674</v>
      </c>
      <c r="O1111" t="s">
        <v>82</v>
      </c>
      <c r="P1111" t="str">
        <f>"4170038080                    "</f>
        <v xml:space="preserve">4170038080                    </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c r="AQ1111">
        <v>41.43</v>
      </c>
      <c r="AR1111">
        <v>0</v>
      </c>
      <c r="AS1111">
        <v>0</v>
      </c>
      <c r="AT1111">
        <v>0</v>
      </c>
      <c r="AU1111">
        <v>0</v>
      </c>
      <c r="AV1111">
        <v>0</v>
      </c>
      <c r="AW1111">
        <v>0</v>
      </c>
      <c r="AX1111">
        <v>0</v>
      </c>
      <c r="AY1111">
        <v>0</v>
      </c>
      <c r="AZ1111">
        <v>0</v>
      </c>
      <c r="BA1111">
        <v>0</v>
      </c>
      <c r="BB1111">
        <v>0</v>
      </c>
      <c r="BC1111">
        <v>0</v>
      </c>
      <c r="BD1111">
        <v>0</v>
      </c>
      <c r="BE1111">
        <v>0</v>
      </c>
      <c r="BF1111">
        <v>0</v>
      </c>
      <c r="BG1111">
        <v>0</v>
      </c>
      <c r="BH1111">
        <v>1</v>
      </c>
      <c r="BI1111">
        <v>1</v>
      </c>
      <c r="BJ1111">
        <v>0.2</v>
      </c>
      <c r="BK1111">
        <v>1</v>
      </c>
      <c r="BL1111">
        <v>135.59</v>
      </c>
      <c r="BM1111">
        <v>20.34</v>
      </c>
      <c r="BN1111">
        <v>155.93</v>
      </c>
      <c r="BO1111">
        <v>155.93</v>
      </c>
      <c r="BQ1111" t="s">
        <v>675</v>
      </c>
      <c r="BR1111" t="s">
        <v>84</v>
      </c>
      <c r="BS1111" s="3">
        <v>45791</v>
      </c>
      <c r="BT1111" s="4">
        <v>0.41458333333333336</v>
      </c>
      <c r="BU1111" t="s">
        <v>1059</v>
      </c>
      <c r="BV1111" t="s">
        <v>86</v>
      </c>
      <c r="BY1111">
        <v>1200</v>
      </c>
      <c r="CA1111" t="s">
        <v>1179</v>
      </c>
      <c r="CC1111" t="s">
        <v>673</v>
      </c>
      <c r="CD1111">
        <v>2531</v>
      </c>
      <c r="CE1111" t="s">
        <v>88</v>
      </c>
      <c r="CF1111" s="3">
        <v>45792</v>
      </c>
      <c r="CI1111">
        <v>1</v>
      </c>
      <c r="CJ1111">
        <v>1</v>
      </c>
      <c r="CK1111">
        <v>23</v>
      </c>
      <c r="CL1111" t="s">
        <v>89</v>
      </c>
    </row>
    <row r="1112" spans="1:90" x14ac:dyDescent="0.3">
      <c r="A1112" t="s">
        <v>72</v>
      </c>
      <c r="B1112" t="s">
        <v>73</v>
      </c>
      <c r="C1112" t="s">
        <v>74</v>
      </c>
      <c r="E1112" t="str">
        <f>"080065345017"</f>
        <v>080065345017</v>
      </c>
      <c r="F1112" s="3">
        <v>45790</v>
      </c>
      <c r="G1112">
        <v>202602</v>
      </c>
      <c r="H1112" t="s">
        <v>75</v>
      </c>
      <c r="I1112" t="s">
        <v>76</v>
      </c>
      <c r="J1112" t="s">
        <v>77</v>
      </c>
      <c r="K1112" t="s">
        <v>78</v>
      </c>
      <c r="L1112" t="s">
        <v>79</v>
      </c>
      <c r="M1112" t="s">
        <v>80</v>
      </c>
      <c r="N1112" t="s">
        <v>1111</v>
      </c>
      <c r="O1112" t="s">
        <v>82</v>
      </c>
      <c r="P1112" t="str">
        <f>"4170037942                    "</f>
        <v xml:space="preserve">4170037942                    </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c r="AQ1112">
        <v>21.38</v>
      </c>
      <c r="AR1112">
        <v>0</v>
      </c>
      <c r="AS1112">
        <v>0</v>
      </c>
      <c r="AT1112">
        <v>0</v>
      </c>
      <c r="AU1112">
        <v>0</v>
      </c>
      <c r="AV1112">
        <v>0</v>
      </c>
      <c r="AW1112">
        <v>0</v>
      </c>
      <c r="AX1112">
        <v>0</v>
      </c>
      <c r="AY1112">
        <v>0</v>
      </c>
      <c r="AZ1112">
        <v>0</v>
      </c>
      <c r="BA1112">
        <v>0</v>
      </c>
      <c r="BB1112">
        <v>0</v>
      </c>
      <c r="BC1112">
        <v>0</v>
      </c>
      <c r="BD1112">
        <v>0</v>
      </c>
      <c r="BE1112">
        <v>0</v>
      </c>
      <c r="BF1112">
        <v>0</v>
      </c>
      <c r="BG1112">
        <v>0</v>
      </c>
      <c r="BH1112">
        <v>1</v>
      </c>
      <c r="BI1112">
        <v>1</v>
      </c>
      <c r="BJ1112">
        <v>0.2</v>
      </c>
      <c r="BK1112">
        <v>1</v>
      </c>
      <c r="BL1112">
        <v>69.98</v>
      </c>
      <c r="BM1112">
        <v>10.5</v>
      </c>
      <c r="BN1112">
        <v>80.48</v>
      </c>
      <c r="BO1112">
        <v>80.48</v>
      </c>
      <c r="BQ1112" t="s">
        <v>1112</v>
      </c>
      <c r="BR1112" t="s">
        <v>84</v>
      </c>
      <c r="BS1112" s="3">
        <v>45791</v>
      </c>
      <c r="BT1112" s="4">
        <v>0.45833333333333331</v>
      </c>
      <c r="BU1112" t="s">
        <v>1810</v>
      </c>
      <c r="BV1112" t="s">
        <v>86</v>
      </c>
      <c r="BY1112">
        <v>1200</v>
      </c>
      <c r="CA1112" t="s">
        <v>160</v>
      </c>
      <c r="CC1112" t="s">
        <v>80</v>
      </c>
      <c r="CD1112">
        <v>3610</v>
      </c>
      <c r="CE1112" t="s">
        <v>88</v>
      </c>
      <c r="CF1112" s="3">
        <v>45792</v>
      </c>
      <c r="CI1112">
        <v>1</v>
      </c>
      <c r="CJ1112">
        <v>1</v>
      </c>
      <c r="CK1112">
        <v>21</v>
      </c>
      <c r="CL1112" t="s">
        <v>89</v>
      </c>
    </row>
    <row r="1113" spans="1:90" x14ac:dyDescent="0.3">
      <c r="A1113" t="s">
        <v>72</v>
      </c>
      <c r="B1113" t="s">
        <v>73</v>
      </c>
      <c r="C1113" t="s">
        <v>74</v>
      </c>
      <c r="E1113" t="str">
        <f>"080065345079"</f>
        <v>080065345079</v>
      </c>
      <c r="F1113" s="3">
        <v>45790</v>
      </c>
      <c r="G1113">
        <v>202602</v>
      </c>
      <c r="H1113" t="s">
        <v>75</v>
      </c>
      <c r="I1113" t="s">
        <v>76</v>
      </c>
      <c r="J1113" t="s">
        <v>77</v>
      </c>
      <c r="K1113" t="s">
        <v>78</v>
      </c>
      <c r="L1113" t="s">
        <v>143</v>
      </c>
      <c r="M1113" t="s">
        <v>144</v>
      </c>
      <c r="N1113" t="s">
        <v>1811</v>
      </c>
      <c r="O1113" t="s">
        <v>82</v>
      </c>
      <c r="P1113" t="str">
        <f>"4170038026                    "</f>
        <v xml:space="preserve">4170038026                    </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c r="AQ1113">
        <v>16.7</v>
      </c>
      <c r="AR1113">
        <v>0</v>
      </c>
      <c r="AS1113">
        <v>0</v>
      </c>
      <c r="AT1113">
        <v>0</v>
      </c>
      <c r="AU1113">
        <v>0</v>
      </c>
      <c r="AV1113">
        <v>0</v>
      </c>
      <c r="AW1113">
        <v>0</v>
      </c>
      <c r="AX1113">
        <v>0</v>
      </c>
      <c r="AY1113">
        <v>0</v>
      </c>
      <c r="AZ1113">
        <v>0</v>
      </c>
      <c r="BA1113">
        <v>0</v>
      </c>
      <c r="BB1113">
        <v>0</v>
      </c>
      <c r="BC1113">
        <v>0</v>
      </c>
      <c r="BD1113">
        <v>0</v>
      </c>
      <c r="BE1113">
        <v>0</v>
      </c>
      <c r="BF1113">
        <v>0</v>
      </c>
      <c r="BG1113">
        <v>0</v>
      </c>
      <c r="BH1113">
        <v>1</v>
      </c>
      <c r="BI1113">
        <v>1</v>
      </c>
      <c r="BJ1113">
        <v>0.2</v>
      </c>
      <c r="BK1113">
        <v>1</v>
      </c>
      <c r="BL1113">
        <v>54.66</v>
      </c>
      <c r="BM1113">
        <v>8.1999999999999993</v>
      </c>
      <c r="BN1113">
        <v>62.86</v>
      </c>
      <c r="BO1113">
        <v>62.86</v>
      </c>
      <c r="BQ1113" t="s">
        <v>1812</v>
      </c>
      <c r="BR1113" t="s">
        <v>84</v>
      </c>
      <c r="BS1113" s="3">
        <v>45791</v>
      </c>
      <c r="BT1113" s="4">
        <v>0.38263888888888886</v>
      </c>
      <c r="BU1113" t="s">
        <v>1813</v>
      </c>
      <c r="BV1113" t="s">
        <v>86</v>
      </c>
      <c r="BY1113">
        <v>1200</v>
      </c>
      <c r="CA1113" t="s">
        <v>1814</v>
      </c>
      <c r="CC1113" t="s">
        <v>144</v>
      </c>
      <c r="CD1113">
        <v>1401</v>
      </c>
      <c r="CE1113" t="s">
        <v>88</v>
      </c>
      <c r="CF1113" s="3">
        <v>45791</v>
      </c>
      <c r="CI1113">
        <v>1</v>
      </c>
      <c r="CJ1113">
        <v>1</v>
      </c>
      <c r="CK1113">
        <v>22</v>
      </c>
      <c r="CL1113" t="s">
        <v>89</v>
      </c>
    </row>
    <row r="1114" spans="1:90" x14ac:dyDescent="0.3">
      <c r="A1114" t="s">
        <v>72</v>
      </c>
      <c r="B1114" t="s">
        <v>73</v>
      </c>
      <c r="C1114" t="s">
        <v>74</v>
      </c>
      <c r="E1114" t="str">
        <f>"080065345127"</f>
        <v>080065345127</v>
      </c>
      <c r="F1114" s="3">
        <v>45790</v>
      </c>
      <c r="G1114">
        <v>202602</v>
      </c>
      <c r="H1114" t="s">
        <v>75</v>
      </c>
      <c r="I1114" t="s">
        <v>76</v>
      </c>
      <c r="J1114" t="s">
        <v>77</v>
      </c>
      <c r="K1114" t="s">
        <v>78</v>
      </c>
      <c r="L1114" t="s">
        <v>79</v>
      </c>
      <c r="M1114" t="s">
        <v>80</v>
      </c>
      <c r="N1114" t="s">
        <v>862</v>
      </c>
      <c r="O1114" t="s">
        <v>82</v>
      </c>
      <c r="P1114" t="str">
        <f>"4170037929                    "</f>
        <v xml:space="preserve">4170037929                    </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0</v>
      </c>
      <c r="AL1114">
        <v>0</v>
      </c>
      <c r="AM1114">
        <v>0</v>
      </c>
      <c r="AN1114">
        <v>0</v>
      </c>
      <c r="AO1114">
        <v>0</v>
      </c>
      <c r="AP1114">
        <v>0</v>
      </c>
      <c r="AQ1114">
        <v>37.409999999999997</v>
      </c>
      <c r="AR1114">
        <v>0</v>
      </c>
      <c r="AS1114">
        <v>0</v>
      </c>
      <c r="AT1114">
        <v>0</v>
      </c>
      <c r="AU1114">
        <v>0</v>
      </c>
      <c r="AV1114">
        <v>0</v>
      </c>
      <c r="AW1114">
        <v>0</v>
      </c>
      <c r="AX1114">
        <v>0</v>
      </c>
      <c r="AY1114">
        <v>0</v>
      </c>
      <c r="AZ1114">
        <v>0</v>
      </c>
      <c r="BA1114">
        <v>0</v>
      </c>
      <c r="BB1114">
        <v>0</v>
      </c>
      <c r="BC1114">
        <v>0</v>
      </c>
      <c r="BD1114">
        <v>0</v>
      </c>
      <c r="BE1114">
        <v>0</v>
      </c>
      <c r="BF1114">
        <v>0</v>
      </c>
      <c r="BG1114">
        <v>0</v>
      </c>
      <c r="BH1114">
        <v>1</v>
      </c>
      <c r="BI1114">
        <v>3</v>
      </c>
      <c r="BJ1114">
        <v>3.4</v>
      </c>
      <c r="BK1114">
        <v>3.5</v>
      </c>
      <c r="BL1114">
        <v>122.43</v>
      </c>
      <c r="BM1114">
        <v>18.36</v>
      </c>
      <c r="BN1114">
        <v>140.79</v>
      </c>
      <c r="BO1114">
        <v>140.79</v>
      </c>
      <c r="BQ1114" t="s">
        <v>863</v>
      </c>
      <c r="BR1114" t="s">
        <v>84</v>
      </c>
      <c r="BS1114" s="3">
        <v>45791</v>
      </c>
      <c r="BT1114" s="4">
        <v>0.39583333333333331</v>
      </c>
      <c r="BU1114" t="s">
        <v>864</v>
      </c>
      <c r="BV1114" t="s">
        <v>86</v>
      </c>
      <c r="BY1114">
        <v>16965</v>
      </c>
      <c r="CA1114" t="s">
        <v>160</v>
      </c>
      <c r="CC1114" t="s">
        <v>80</v>
      </c>
      <c r="CD1114">
        <v>3610</v>
      </c>
      <c r="CE1114" t="s">
        <v>96</v>
      </c>
      <c r="CF1114" s="3">
        <v>45792</v>
      </c>
      <c r="CI1114">
        <v>1</v>
      </c>
      <c r="CJ1114">
        <v>1</v>
      </c>
      <c r="CK1114">
        <v>21</v>
      </c>
      <c r="CL1114" t="s">
        <v>89</v>
      </c>
    </row>
    <row r="1115" spans="1:90" x14ac:dyDescent="0.3">
      <c r="A1115" t="s">
        <v>72</v>
      </c>
      <c r="B1115" t="s">
        <v>73</v>
      </c>
      <c r="C1115" t="s">
        <v>74</v>
      </c>
      <c r="E1115" t="str">
        <f>"080065345218"</f>
        <v>080065345218</v>
      </c>
      <c r="F1115" s="3">
        <v>45790</v>
      </c>
      <c r="G1115">
        <v>202602</v>
      </c>
      <c r="H1115" t="s">
        <v>75</v>
      </c>
      <c r="I1115" t="s">
        <v>76</v>
      </c>
      <c r="J1115" t="s">
        <v>77</v>
      </c>
      <c r="K1115" t="s">
        <v>78</v>
      </c>
      <c r="L1115" t="s">
        <v>103</v>
      </c>
      <c r="M1115" t="s">
        <v>104</v>
      </c>
      <c r="N1115" t="s">
        <v>1815</v>
      </c>
      <c r="O1115" t="s">
        <v>82</v>
      </c>
      <c r="P1115" t="str">
        <f>"4170037864                    "</f>
        <v xml:space="preserve">4170037864                    </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0</v>
      </c>
      <c r="AP1115">
        <v>0</v>
      </c>
      <c r="AQ1115">
        <v>80.14</v>
      </c>
      <c r="AR1115">
        <v>0</v>
      </c>
      <c r="AS1115">
        <v>0</v>
      </c>
      <c r="AT1115">
        <v>0</v>
      </c>
      <c r="AU1115">
        <v>0</v>
      </c>
      <c r="AV1115">
        <v>0</v>
      </c>
      <c r="AW1115">
        <v>0</v>
      </c>
      <c r="AX1115">
        <v>0</v>
      </c>
      <c r="AY1115">
        <v>0</v>
      </c>
      <c r="AZ1115">
        <v>0</v>
      </c>
      <c r="BA1115">
        <v>0</v>
      </c>
      <c r="BB1115">
        <v>0</v>
      </c>
      <c r="BC1115">
        <v>0</v>
      </c>
      <c r="BD1115">
        <v>0</v>
      </c>
      <c r="BE1115">
        <v>0</v>
      </c>
      <c r="BF1115">
        <v>0</v>
      </c>
      <c r="BG1115">
        <v>0</v>
      </c>
      <c r="BH1115">
        <v>2</v>
      </c>
      <c r="BI1115">
        <v>5</v>
      </c>
      <c r="BJ1115">
        <v>7.1</v>
      </c>
      <c r="BK1115">
        <v>7.5</v>
      </c>
      <c r="BL1115">
        <v>262.27999999999997</v>
      </c>
      <c r="BM1115">
        <v>39.340000000000003</v>
      </c>
      <c r="BN1115">
        <v>301.62</v>
      </c>
      <c r="BO1115">
        <v>301.62</v>
      </c>
      <c r="BQ1115" t="s">
        <v>1816</v>
      </c>
      <c r="BR1115" t="s">
        <v>84</v>
      </c>
      <c r="BS1115" s="3">
        <v>45791</v>
      </c>
      <c r="BT1115" s="4">
        <v>0.41666666666666669</v>
      </c>
      <c r="BU1115" t="s">
        <v>1817</v>
      </c>
      <c r="BV1115" t="s">
        <v>86</v>
      </c>
      <c r="BY1115">
        <v>35269</v>
      </c>
      <c r="CA1115" t="s">
        <v>1375</v>
      </c>
      <c r="CC1115" t="s">
        <v>104</v>
      </c>
      <c r="CD1115">
        <v>3201</v>
      </c>
      <c r="CE1115" t="s">
        <v>96</v>
      </c>
      <c r="CF1115" s="3">
        <v>45792</v>
      </c>
      <c r="CI1115">
        <v>1</v>
      </c>
      <c r="CJ1115">
        <v>1</v>
      </c>
      <c r="CK1115">
        <v>21</v>
      </c>
      <c r="CL1115" t="s">
        <v>89</v>
      </c>
    </row>
    <row r="1116" spans="1:90" x14ac:dyDescent="0.3">
      <c r="A1116" t="s">
        <v>72</v>
      </c>
      <c r="B1116" t="s">
        <v>73</v>
      </c>
      <c r="C1116" t="s">
        <v>74</v>
      </c>
      <c r="E1116" t="str">
        <f>"080065345330"</f>
        <v>080065345330</v>
      </c>
      <c r="F1116" s="3">
        <v>45790</v>
      </c>
      <c r="G1116">
        <v>202602</v>
      </c>
      <c r="H1116" t="s">
        <v>75</v>
      </c>
      <c r="I1116" t="s">
        <v>76</v>
      </c>
      <c r="J1116" t="s">
        <v>77</v>
      </c>
      <c r="K1116" t="s">
        <v>78</v>
      </c>
      <c r="L1116" t="s">
        <v>1456</v>
      </c>
      <c r="M1116" t="s">
        <v>1457</v>
      </c>
      <c r="N1116" t="s">
        <v>1458</v>
      </c>
      <c r="O1116" t="s">
        <v>82</v>
      </c>
      <c r="P1116" t="str">
        <f>"4170038035                    "</f>
        <v xml:space="preserve">4170038035                    </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21.38</v>
      </c>
      <c r="AR1116">
        <v>0</v>
      </c>
      <c r="AS1116">
        <v>0</v>
      </c>
      <c r="AT1116">
        <v>0</v>
      </c>
      <c r="AU1116">
        <v>0</v>
      </c>
      <c r="AV1116">
        <v>0</v>
      </c>
      <c r="AW1116">
        <v>0</v>
      </c>
      <c r="AX1116">
        <v>0</v>
      </c>
      <c r="AY1116">
        <v>0</v>
      </c>
      <c r="AZ1116">
        <v>0</v>
      </c>
      <c r="BA1116">
        <v>0</v>
      </c>
      <c r="BB1116">
        <v>0</v>
      </c>
      <c r="BC1116">
        <v>0</v>
      </c>
      <c r="BD1116">
        <v>0</v>
      </c>
      <c r="BE1116">
        <v>0</v>
      </c>
      <c r="BF1116">
        <v>0</v>
      </c>
      <c r="BG1116">
        <v>0</v>
      </c>
      <c r="BH1116">
        <v>1</v>
      </c>
      <c r="BI1116">
        <v>1</v>
      </c>
      <c r="BJ1116">
        <v>0.2</v>
      </c>
      <c r="BK1116">
        <v>1</v>
      </c>
      <c r="BL1116">
        <v>69.98</v>
      </c>
      <c r="BM1116">
        <v>10.5</v>
      </c>
      <c r="BN1116">
        <v>80.48</v>
      </c>
      <c r="BO1116">
        <v>80.48</v>
      </c>
      <c r="BQ1116" t="s">
        <v>1459</v>
      </c>
      <c r="BR1116" t="s">
        <v>84</v>
      </c>
      <c r="BS1116" s="3">
        <v>45791</v>
      </c>
      <c r="BT1116" s="4">
        <v>0.53263888888888888</v>
      </c>
      <c r="BU1116" t="s">
        <v>1460</v>
      </c>
      <c r="BV1116" t="s">
        <v>86</v>
      </c>
      <c r="BY1116">
        <v>1200</v>
      </c>
      <c r="CA1116" t="s">
        <v>1461</v>
      </c>
      <c r="CC1116" t="s">
        <v>1457</v>
      </c>
      <c r="CD1116">
        <v>6529</v>
      </c>
      <c r="CE1116" t="s">
        <v>88</v>
      </c>
      <c r="CF1116" s="3">
        <v>45791</v>
      </c>
      <c r="CI1116">
        <v>1</v>
      </c>
      <c r="CJ1116">
        <v>1</v>
      </c>
      <c r="CK1116">
        <v>21</v>
      </c>
      <c r="CL1116" t="s">
        <v>89</v>
      </c>
    </row>
    <row r="1117" spans="1:90" x14ac:dyDescent="0.3">
      <c r="A1117" t="s">
        <v>72</v>
      </c>
      <c r="B1117" t="s">
        <v>73</v>
      </c>
      <c r="C1117" t="s">
        <v>74</v>
      </c>
      <c r="E1117" t="str">
        <f>"080065345324"</f>
        <v>080065345324</v>
      </c>
      <c r="F1117" s="3">
        <v>45790</v>
      </c>
      <c r="G1117">
        <v>202602</v>
      </c>
      <c r="H1117" t="s">
        <v>75</v>
      </c>
      <c r="I1117" t="s">
        <v>76</v>
      </c>
      <c r="J1117" t="s">
        <v>77</v>
      </c>
      <c r="K1117" t="s">
        <v>78</v>
      </c>
      <c r="L1117" t="s">
        <v>117</v>
      </c>
      <c r="M1117" t="s">
        <v>118</v>
      </c>
      <c r="N1117" t="s">
        <v>1818</v>
      </c>
      <c r="O1117" t="s">
        <v>82</v>
      </c>
      <c r="P1117" t="str">
        <f>"4170037991                    "</f>
        <v xml:space="preserve">4170037991                    </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0</v>
      </c>
      <c r="AO1117">
        <v>0</v>
      </c>
      <c r="AP1117">
        <v>0</v>
      </c>
      <c r="AQ1117">
        <v>16.7</v>
      </c>
      <c r="AR1117">
        <v>0</v>
      </c>
      <c r="AS1117">
        <v>0</v>
      </c>
      <c r="AT1117">
        <v>0</v>
      </c>
      <c r="AU1117">
        <v>0</v>
      </c>
      <c r="AV1117">
        <v>0</v>
      </c>
      <c r="AW1117">
        <v>0</v>
      </c>
      <c r="AX1117">
        <v>0</v>
      </c>
      <c r="AY1117">
        <v>0</v>
      </c>
      <c r="AZ1117">
        <v>0</v>
      </c>
      <c r="BA1117">
        <v>0</v>
      </c>
      <c r="BB1117">
        <v>0</v>
      </c>
      <c r="BC1117">
        <v>0</v>
      </c>
      <c r="BD1117">
        <v>0</v>
      </c>
      <c r="BE1117">
        <v>0</v>
      </c>
      <c r="BF1117">
        <v>0</v>
      </c>
      <c r="BG1117">
        <v>0</v>
      </c>
      <c r="BH1117">
        <v>1</v>
      </c>
      <c r="BI1117">
        <v>3</v>
      </c>
      <c r="BJ1117">
        <v>1.1000000000000001</v>
      </c>
      <c r="BK1117">
        <v>3</v>
      </c>
      <c r="BL1117">
        <v>54.66</v>
      </c>
      <c r="BM1117">
        <v>8.1999999999999993</v>
      </c>
      <c r="BN1117">
        <v>62.86</v>
      </c>
      <c r="BO1117">
        <v>62.86</v>
      </c>
      <c r="BQ1117" t="s">
        <v>1819</v>
      </c>
      <c r="BR1117" t="s">
        <v>84</v>
      </c>
      <c r="BS1117" s="3">
        <v>45791</v>
      </c>
      <c r="BT1117" s="4">
        <v>0.36249999999999999</v>
      </c>
      <c r="BU1117" t="s">
        <v>1820</v>
      </c>
      <c r="BV1117" t="s">
        <v>86</v>
      </c>
      <c r="BY1117">
        <v>5320</v>
      </c>
      <c r="CA1117" t="s">
        <v>535</v>
      </c>
      <c r="CC1117" t="s">
        <v>118</v>
      </c>
      <c r="CD1117">
        <v>2022</v>
      </c>
      <c r="CE1117" t="s">
        <v>116</v>
      </c>
      <c r="CF1117" s="3">
        <v>45791</v>
      </c>
      <c r="CI1117">
        <v>1</v>
      </c>
      <c r="CJ1117">
        <v>1</v>
      </c>
      <c r="CK1117">
        <v>22</v>
      </c>
      <c r="CL1117" t="s">
        <v>89</v>
      </c>
    </row>
    <row r="1118" spans="1:90" x14ac:dyDescent="0.3">
      <c r="A1118" t="s">
        <v>72</v>
      </c>
      <c r="B1118" t="s">
        <v>73</v>
      </c>
      <c r="C1118" t="s">
        <v>74</v>
      </c>
      <c r="E1118" t="str">
        <f>"080065345391"</f>
        <v>080065345391</v>
      </c>
      <c r="F1118" s="3">
        <v>45790</v>
      </c>
      <c r="G1118">
        <v>202602</v>
      </c>
      <c r="H1118" t="s">
        <v>75</v>
      </c>
      <c r="I1118" t="s">
        <v>76</v>
      </c>
      <c r="J1118" t="s">
        <v>77</v>
      </c>
      <c r="K1118" t="s">
        <v>78</v>
      </c>
      <c r="L1118" t="s">
        <v>117</v>
      </c>
      <c r="M1118" t="s">
        <v>118</v>
      </c>
      <c r="N1118" t="s">
        <v>1453</v>
      </c>
      <c r="O1118" t="s">
        <v>82</v>
      </c>
      <c r="P1118" t="str">
        <f>"4170038002                    "</f>
        <v xml:space="preserve">4170038002                    </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16.7</v>
      </c>
      <c r="AR1118">
        <v>0</v>
      </c>
      <c r="AS1118">
        <v>0</v>
      </c>
      <c r="AT1118">
        <v>0</v>
      </c>
      <c r="AU1118">
        <v>0</v>
      </c>
      <c r="AV1118">
        <v>0</v>
      </c>
      <c r="AW1118">
        <v>0</v>
      </c>
      <c r="AX1118">
        <v>0</v>
      </c>
      <c r="AY1118">
        <v>0</v>
      </c>
      <c r="AZ1118">
        <v>0</v>
      </c>
      <c r="BA1118">
        <v>0</v>
      </c>
      <c r="BB1118">
        <v>0</v>
      </c>
      <c r="BC1118">
        <v>0</v>
      </c>
      <c r="BD1118">
        <v>0</v>
      </c>
      <c r="BE1118">
        <v>0</v>
      </c>
      <c r="BF1118">
        <v>0</v>
      </c>
      <c r="BG1118">
        <v>0</v>
      </c>
      <c r="BH1118">
        <v>1</v>
      </c>
      <c r="BI1118">
        <v>1</v>
      </c>
      <c r="BJ1118">
        <v>0.2</v>
      </c>
      <c r="BK1118">
        <v>1</v>
      </c>
      <c r="BL1118">
        <v>54.66</v>
      </c>
      <c r="BM1118">
        <v>8.1999999999999993</v>
      </c>
      <c r="BN1118">
        <v>62.86</v>
      </c>
      <c r="BO1118">
        <v>62.86</v>
      </c>
      <c r="BQ1118" t="s">
        <v>1454</v>
      </c>
      <c r="BR1118" t="s">
        <v>84</v>
      </c>
      <c r="BS1118" s="3">
        <v>45791</v>
      </c>
      <c r="BT1118" s="4">
        <v>0.39305555555555555</v>
      </c>
      <c r="BU1118" t="s">
        <v>1227</v>
      </c>
      <c r="BV1118" t="s">
        <v>86</v>
      </c>
      <c r="BY1118">
        <v>1200</v>
      </c>
      <c r="CA1118" t="s">
        <v>535</v>
      </c>
      <c r="CC1118" t="s">
        <v>118</v>
      </c>
      <c r="CD1118">
        <v>2049</v>
      </c>
      <c r="CE1118" t="s">
        <v>88</v>
      </c>
      <c r="CF1118" s="3">
        <v>45791</v>
      </c>
      <c r="CI1118">
        <v>1</v>
      </c>
      <c r="CJ1118">
        <v>1</v>
      </c>
      <c r="CK1118">
        <v>22</v>
      </c>
      <c r="CL1118" t="s">
        <v>89</v>
      </c>
    </row>
    <row r="1119" spans="1:90" x14ac:dyDescent="0.3">
      <c r="A1119" t="s">
        <v>72</v>
      </c>
      <c r="B1119" t="s">
        <v>73</v>
      </c>
      <c r="C1119" t="s">
        <v>74</v>
      </c>
      <c r="E1119" t="str">
        <f>"080065345454"</f>
        <v>080065345454</v>
      </c>
      <c r="F1119" s="3">
        <v>45790</v>
      </c>
      <c r="G1119">
        <v>202602</v>
      </c>
      <c r="H1119" t="s">
        <v>75</v>
      </c>
      <c r="I1119" t="s">
        <v>76</v>
      </c>
      <c r="J1119" t="s">
        <v>77</v>
      </c>
      <c r="K1119" t="s">
        <v>78</v>
      </c>
      <c r="L1119" t="s">
        <v>266</v>
      </c>
      <c r="M1119" t="s">
        <v>267</v>
      </c>
      <c r="N1119" t="s">
        <v>663</v>
      </c>
      <c r="O1119" t="s">
        <v>82</v>
      </c>
      <c r="P1119" t="str">
        <f>"4170038097                    "</f>
        <v xml:space="preserve">4170038097                    </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21.38</v>
      </c>
      <c r="AR1119">
        <v>0</v>
      </c>
      <c r="AS1119">
        <v>0</v>
      </c>
      <c r="AT1119">
        <v>0</v>
      </c>
      <c r="AU1119">
        <v>0</v>
      </c>
      <c r="AV1119">
        <v>0</v>
      </c>
      <c r="AW1119">
        <v>0</v>
      </c>
      <c r="AX1119">
        <v>0</v>
      </c>
      <c r="AY1119">
        <v>0</v>
      </c>
      <c r="AZ1119">
        <v>0</v>
      </c>
      <c r="BA1119">
        <v>0</v>
      </c>
      <c r="BB1119">
        <v>0</v>
      </c>
      <c r="BC1119">
        <v>0</v>
      </c>
      <c r="BD1119">
        <v>0</v>
      </c>
      <c r="BE1119">
        <v>0</v>
      </c>
      <c r="BF1119">
        <v>0</v>
      </c>
      <c r="BG1119">
        <v>0</v>
      </c>
      <c r="BH1119">
        <v>1</v>
      </c>
      <c r="BI1119">
        <v>1</v>
      </c>
      <c r="BJ1119">
        <v>0.2</v>
      </c>
      <c r="BK1119">
        <v>1</v>
      </c>
      <c r="BL1119">
        <v>69.98</v>
      </c>
      <c r="BM1119">
        <v>10.5</v>
      </c>
      <c r="BN1119">
        <v>80.48</v>
      </c>
      <c r="BO1119">
        <v>80.48</v>
      </c>
      <c r="BQ1119" t="s">
        <v>664</v>
      </c>
      <c r="BR1119" t="s">
        <v>84</v>
      </c>
      <c r="BS1119" s="3">
        <v>45791</v>
      </c>
      <c r="BT1119" s="4">
        <v>0.4236111111111111</v>
      </c>
      <c r="BU1119" t="s">
        <v>1765</v>
      </c>
      <c r="BV1119" t="s">
        <v>86</v>
      </c>
      <c r="BY1119">
        <v>1200</v>
      </c>
      <c r="CA1119" t="s">
        <v>271</v>
      </c>
      <c r="CC1119" t="s">
        <v>267</v>
      </c>
      <c r="CD1119">
        <v>6220</v>
      </c>
      <c r="CE1119" t="s">
        <v>88</v>
      </c>
      <c r="CF1119" s="3">
        <v>45791</v>
      </c>
      <c r="CI1119">
        <v>1</v>
      </c>
      <c r="CJ1119">
        <v>1</v>
      </c>
      <c r="CK1119">
        <v>21</v>
      </c>
      <c r="CL1119" t="s">
        <v>89</v>
      </c>
    </row>
    <row r="1120" spans="1:90" x14ac:dyDescent="0.3">
      <c r="A1120" t="s">
        <v>72</v>
      </c>
      <c r="B1120" t="s">
        <v>73</v>
      </c>
      <c r="C1120" t="s">
        <v>74</v>
      </c>
      <c r="E1120" t="str">
        <f>"080065345500"</f>
        <v>080065345500</v>
      </c>
      <c r="F1120" s="3">
        <v>45790</v>
      </c>
      <c r="G1120">
        <v>202602</v>
      </c>
      <c r="H1120" t="s">
        <v>75</v>
      </c>
      <c r="I1120" t="s">
        <v>76</v>
      </c>
      <c r="J1120" t="s">
        <v>77</v>
      </c>
      <c r="K1120" t="s">
        <v>78</v>
      </c>
      <c r="L1120" t="s">
        <v>143</v>
      </c>
      <c r="M1120" t="s">
        <v>144</v>
      </c>
      <c r="N1120" t="s">
        <v>762</v>
      </c>
      <c r="O1120" t="s">
        <v>82</v>
      </c>
      <c r="P1120" t="str">
        <f>"4170038098                    "</f>
        <v xml:space="preserve">4170038098                    </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16.7</v>
      </c>
      <c r="AR1120">
        <v>0</v>
      </c>
      <c r="AS1120">
        <v>0</v>
      </c>
      <c r="AT1120">
        <v>0</v>
      </c>
      <c r="AU1120">
        <v>0</v>
      </c>
      <c r="AV1120">
        <v>0</v>
      </c>
      <c r="AW1120">
        <v>0</v>
      </c>
      <c r="AX1120">
        <v>0</v>
      </c>
      <c r="AY1120">
        <v>0</v>
      </c>
      <c r="AZ1120">
        <v>0</v>
      </c>
      <c r="BA1120">
        <v>0</v>
      </c>
      <c r="BB1120">
        <v>0</v>
      </c>
      <c r="BC1120">
        <v>0</v>
      </c>
      <c r="BD1120">
        <v>0</v>
      </c>
      <c r="BE1120">
        <v>0</v>
      </c>
      <c r="BF1120">
        <v>0</v>
      </c>
      <c r="BG1120">
        <v>0</v>
      </c>
      <c r="BH1120">
        <v>1</v>
      </c>
      <c r="BI1120">
        <v>1</v>
      </c>
      <c r="BJ1120">
        <v>0.2</v>
      </c>
      <c r="BK1120">
        <v>1</v>
      </c>
      <c r="BL1120">
        <v>54.66</v>
      </c>
      <c r="BM1120">
        <v>8.1999999999999993</v>
      </c>
      <c r="BN1120">
        <v>62.86</v>
      </c>
      <c r="BO1120">
        <v>62.86</v>
      </c>
      <c r="BQ1120" t="s">
        <v>763</v>
      </c>
      <c r="BR1120" t="s">
        <v>84</v>
      </c>
      <c r="BS1120" s="3">
        <v>45791</v>
      </c>
      <c r="BT1120" s="4">
        <v>0.55555555555555558</v>
      </c>
      <c r="BU1120" t="s">
        <v>1800</v>
      </c>
      <c r="BV1120" t="s">
        <v>89</v>
      </c>
      <c r="BW1120" t="s">
        <v>148</v>
      </c>
      <c r="BX1120" t="s">
        <v>203</v>
      </c>
      <c r="BY1120">
        <v>1200</v>
      </c>
      <c r="CA1120" t="s">
        <v>1801</v>
      </c>
      <c r="CC1120" t="s">
        <v>144</v>
      </c>
      <c r="CD1120">
        <v>1428</v>
      </c>
      <c r="CE1120" t="s">
        <v>88</v>
      </c>
      <c r="CF1120" s="3">
        <v>45791</v>
      </c>
      <c r="CI1120">
        <v>1</v>
      </c>
      <c r="CJ1120">
        <v>1</v>
      </c>
      <c r="CK1120">
        <v>22</v>
      </c>
      <c r="CL1120" t="s">
        <v>89</v>
      </c>
    </row>
    <row r="1121" spans="1:90" x14ac:dyDescent="0.3">
      <c r="A1121" t="s">
        <v>72</v>
      </c>
      <c r="B1121" t="s">
        <v>73</v>
      </c>
      <c r="C1121" t="s">
        <v>74</v>
      </c>
      <c r="E1121" t="str">
        <f>"080065345578"</f>
        <v>080065345578</v>
      </c>
      <c r="F1121" s="3">
        <v>45790</v>
      </c>
      <c r="G1121">
        <v>202602</v>
      </c>
      <c r="H1121" t="s">
        <v>75</v>
      </c>
      <c r="I1121" t="s">
        <v>76</v>
      </c>
      <c r="J1121" t="s">
        <v>77</v>
      </c>
      <c r="K1121" t="s">
        <v>78</v>
      </c>
      <c r="L1121" t="s">
        <v>79</v>
      </c>
      <c r="M1121" t="s">
        <v>80</v>
      </c>
      <c r="N1121" t="s">
        <v>357</v>
      </c>
      <c r="O1121" t="s">
        <v>82</v>
      </c>
      <c r="P1121" t="str">
        <f>"4170037877                    "</f>
        <v xml:space="preserve">4170037877                    </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v>0</v>
      </c>
      <c r="AM1121">
        <v>0</v>
      </c>
      <c r="AN1121">
        <v>0</v>
      </c>
      <c r="AO1121">
        <v>0</v>
      </c>
      <c r="AP1121">
        <v>0</v>
      </c>
      <c r="AQ1121">
        <v>21.38</v>
      </c>
      <c r="AR1121">
        <v>0</v>
      </c>
      <c r="AS1121">
        <v>0</v>
      </c>
      <c r="AT1121">
        <v>0</v>
      </c>
      <c r="AU1121">
        <v>0</v>
      </c>
      <c r="AV1121">
        <v>0</v>
      </c>
      <c r="AW1121">
        <v>0</v>
      </c>
      <c r="AX1121">
        <v>0</v>
      </c>
      <c r="AY1121">
        <v>0</v>
      </c>
      <c r="AZ1121">
        <v>0</v>
      </c>
      <c r="BA1121">
        <v>0</v>
      </c>
      <c r="BB1121">
        <v>0</v>
      </c>
      <c r="BC1121">
        <v>0</v>
      </c>
      <c r="BD1121">
        <v>0</v>
      </c>
      <c r="BE1121">
        <v>0</v>
      </c>
      <c r="BF1121">
        <v>0</v>
      </c>
      <c r="BG1121">
        <v>0</v>
      </c>
      <c r="BH1121">
        <v>1</v>
      </c>
      <c r="BI1121">
        <v>2</v>
      </c>
      <c r="BJ1121">
        <v>0.9</v>
      </c>
      <c r="BK1121">
        <v>2</v>
      </c>
      <c r="BL1121">
        <v>69.98</v>
      </c>
      <c r="BM1121">
        <v>10.5</v>
      </c>
      <c r="BN1121">
        <v>80.48</v>
      </c>
      <c r="BO1121">
        <v>80.48</v>
      </c>
      <c r="BQ1121" t="s">
        <v>358</v>
      </c>
      <c r="BR1121" t="s">
        <v>84</v>
      </c>
      <c r="BS1121" s="3">
        <v>45791</v>
      </c>
      <c r="BT1121" s="4">
        <v>0.5</v>
      </c>
      <c r="BU1121" t="s">
        <v>1821</v>
      </c>
      <c r="BV1121" t="s">
        <v>89</v>
      </c>
      <c r="BW1121" t="s">
        <v>296</v>
      </c>
      <c r="BX1121" t="s">
        <v>325</v>
      </c>
      <c r="BY1121">
        <v>4256</v>
      </c>
      <c r="CC1121" t="s">
        <v>80</v>
      </c>
      <c r="CD1121">
        <v>3608</v>
      </c>
      <c r="CE1121" t="s">
        <v>96</v>
      </c>
      <c r="CF1121" s="3">
        <v>45792</v>
      </c>
      <c r="CI1121">
        <v>1</v>
      </c>
      <c r="CJ1121">
        <v>1</v>
      </c>
      <c r="CK1121">
        <v>21</v>
      </c>
      <c r="CL1121" t="s">
        <v>89</v>
      </c>
    </row>
    <row r="1122" spans="1:90" x14ac:dyDescent="0.3">
      <c r="A1122" t="s">
        <v>72</v>
      </c>
      <c r="B1122" t="s">
        <v>73</v>
      </c>
      <c r="C1122" t="s">
        <v>74</v>
      </c>
      <c r="E1122" t="str">
        <f>"080065345397"</f>
        <v>080065345397</v>
      </c>
      <c r="F1122" s="3">
        <v>45790</v>
      </c>
      <c r="G1122">
        <v>202602</v>
      </c>
      <c r="H1122" t="s">
        <v>75</v>
      </c>
      <c r="I1122" t="s">
        <v>76</v>
      </c>
      <c r="J1122" t="s">
        <v>77</v>
      </c>
      <c r="K1122" t="s">
        <v>78</v>
      </c>
      <c r="L1122" t="s">
        <v>350</v>
      </c>
      <c r="M1122" t="s">
        <v>351</v>
      </c>
      <c r="N1122" t="s">
        <v>459</v>
      </c>
      <c r="O1122" t="s">
        <v>82</v>
      </c>
      <c r="P1122" t="str">
        <f>"4170038012                    "</f>
        <v xml:space="preserve">4170038012                    </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21.38</v>
      </c>
      <c r="AR1122">
        <v>0</v>
      </c>
      <c r="AS1122">
        <v>0</v>
      </c>
      <c r="AT1122">
        <v>0</v>
      </c>
      <c r="AU1122">
        <v>0</v>
      </c>
      <c r="AV1122">
        <v>0</v>
      </c>
      <c r="AW1122">
        <v>0</v>
      </c>
      <c r="AX1122">
        <v>0</v>
      </c>
      <c r="AY1122">
        <v>0</v>
      </c>
      <c r="AZ1122">
        <v>0</v>
      </c>
      <c r="BA1122">
        <v>0</v>
      </c>
      <c r="BB1122">
        <v>0</v>
      </c>
      <c r="BC1122">
        <v>0</v>
      </c>
      <c r="BD1122">
        <v>0</v>
      </c>
      <c r="BE1122">
        <v>0</v>
      </c>
      <c r="BF1122">
        <v>0</v>
      </c>
      <c r="BG1122">
        <v>0</v>
      </c>
      <c r="BH1122">
        <v>1</v>
      </c>
      <c r="BI1122">
        <v>2</v>
      </c>
      <c r="BJ1122">
        <v>1.1000000000000001</v>
      </c>
      <c r="BK1122">
        <v>2</v>
      </c>
      <c r="BL1122">
        <v>69.98</v>
      </c>
      <c r="BM1122">
        <v>10.5</v>
      </c>
      <c r="BN1122">
        <v>80.48</v>
      </c>
      <c r="BO1122">
        <v>80.48</v>
      </c>
      <c r="BQ1122" t="s">
        <v>460</v>
      </c>
      <c r="BR1122" t="s">
        <v>84</v>
      </c>
      <c r="BS1122" s="3">
        <v>45791</v>
      </c>
      <c r="BT1122" s="4">
        <v>0.33819444444444446</v>
      </c>
      <c r="BU1122" t="s">
        <v>1121</v>
      </c>
      <c r="BV1122" t="s">
        <v>86</v>
      </c>
      <c r="BY1122">
        <v>5320</v>
      </c>
      <c r="CA1122" t="s">
        <v>462</v>
      </c>
      <c r="CC1122" t="s">
        <v>351</v>
      </c>
      <c r="CD1122">
        <v>4051</v>
      </c>
      <c r="CE1122" t="s">
        <v>116</v>
      </c>
      <c r="CF1122" s="3">
        <v>45792</v>
      </c>
      <c r="CI1122">
        <v>1</v>
      </c>
      <c r="CJ1122">
        <v>1</v>
      </c>
      <c r="CK1122">
        <v>21</v>
      </c>
      <c r="CL1122" t="s">
        <v>89</v>
      </c>
    </row>
    <row r="1123" spans="1:90" x14ac:dyDescent="0.3">
      <c r="A1123" t="s">
        <v>72</v>
      </c>
      <c r="B1123" t="s">
        <v>73</v>
      </c>
      <c r="C1123" t="s">
        <v>74</v>
      </c>
      <c r="E1123" t="str">
        <f>"080065345685"</f>
        <v>080065345685</v>
      </c>
      <c r="F1123" s="3">
        <v>45790</v>
      </c>
      <c r="G1123">
        <v>202602</v>
      </c>
      <c r="H1123" t="s">
        <v>75</v>
      </c>
      <c r="I1123" t="s">
        <v>76</v>
      </c>
      <c r="J1123" t="s">
        <v>77</v>
      </c>
      <c r="K1123" t="s">
        <v>78</v>
      </c>
      <c r="L1123" t="s">
        <v>90</v>
      </c>
      <c r="M1123" t="s">
        <v>91</v>
      </c>
      <c r="N1123" t="s">
        <v>1411</v>
      </c>
      <c r="O1123" t="s">
        <v>82</v>
      </c>
      <c r="P1123" t="str">
        <f>"4170038085                    "</f>
        <v xml:space="preserve">4170038085                    </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0</v>
      </c>
      <c r="AM1123">
        <v>0</v>
      </c>
      <c r="AN1123">
        <v>0</v>
      </c>
      <c r="AO1123">
        <v>0</v>
      </c>
      <c r="AP1123">
        <v>0</v>
      </c>
      <c r="AQ1123">
        <v>21.38</v>
      </c>
      <c r="AR1123">
        <v>0</v>
      </c>
      <c r="AS1123">
        <v>0</v>
      </c>
      <c r="AT1123">
        <v>0</v>
      </c>
      <c r="AU1123">
        <v>0</v>
      </c>
      <c r="AV1123">
        <v>0</v>
      </c>
      <c r="AW1123">
        <v>0</v>
      </c>
      <c r="AX1123">
        <v>0</v>
      </c>
      <c r="AY1123">
        <v>0</v>
      </c>
      <c r="AZ1123">
        <v>0</v>
      </c>
      <c r="BA1123">
        <v>0</v>
      </c>
      <c r="BB1123">
        <v>0</v>
      </c>
      <c r="BC1123">
        <v>0</v>
      </c>
      <c r="BD1123">
        <v>0</v>
      </c>
      <c r="BE1123">
        <v>0</v>
      </c>
      <c r="BF1123">
        <v>0</v>
      </c>
      <c r="BG1123">
        <v>0</v>
      </c>
      <c r="BH1123">
        <v>1</v>
      </c>
      <c r="BI1123">
        <v>1</v>
      </c>
      <c r="BJ1123">
        <v>1.1000000000000001</v>
      </c>
      <c r="BK1123">
        <v>1.5</v>
      </c>
      <c r="BL1123">
        <v>69.98</v>
      </c>
      <c r="BM1123">
        <v>10.5</v>
      </c>
      <c r="BN1123">
        <v>80.48</v>
      </c>
      <c r="BO1123">
        <v>80.48</v>
      </c>
      <c r="BQ1123" t="s">
        <v>1412</v>
      </c>
      <c r="BR1123" t="s">
        <v>84</v>
      </c>
      <c r="BS1123" s="3">
        <v>45791</v>
      </c>
      <c r="BT1123" s="4">
        <v>0.39166666666666666</v>
      </c>
      <c r="BU1123" t="s">
        <v>1822</v>
      </c>
      <c r="BV1123" t="s">
        <v>86</v>
      </c>
      <c r="BY1123">
        <v>5320</v>
      </c>
      <c r="CA1123" t="s">
        <v>271</v>
      </c>
      <c r="CC1123" t="s">
        <v>91</v>
      </c>
      <c r="CD1123">
        <v>6001</v>
      </c>
      <c r="CE1123" t="s">
        <v>96</v>
      </c>
      <c r="CF1123" s="3">
        <v>45791</v>
      </c>
      <c r="CI1123">
        <v>1</v>
      </c>
      <c r="CJ1123">
        <v>1</v>
      </c>
      <c r="CK1123">
        <v>21</v>
      </c>
      <c r="CL1123" t="s">
        <v>89</v>
      </c>
    </row>
    <row r="1124" spans="1:90" x14ac:dyDescent="0.3">
      <c r="A1124" t="s">
        <v>72</v>
      </c>
      <c r="B1124" t="s">
        <v>73</v>
      </c>
      <c r="C1124" t="s">
        <v>74</v>
      </c>
      <c r="E1124" t="str">
        <f>"080065345805"</f>
        <v>080065345805</v>
      </c>
      <c r="F1124" s="3">
        <v>45790</v>
      </c>
      <c r="G1124">
        <v>202602</v>
      </c>
      <c r="H1124" t="s">
        <v>75</v>
      </c>
      <c r="I1124" t="s">
        <v>76</v>
      </c>
      <c r="J1124" t="s">
        <v>77</v>
      </c>
      <c r="K1124" t="s">
        <v>78</v>
      </c>
      <c r="L1124" t="s">
        <v>463</v>
      </c>
      <c r="M1124" t="s">
        <v>464</v>
      </c>
      <c r="N1124" t="s">
        <v>1823</v>
      </c>
      <c r="O1124" t="s">
        <v>82</v>
      </c>
      <c r="P1124" t="str">
        <f>"4170038062                    "</f>
        <v xml:space="preserve">4170038062                    </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42.75</v>
      </c>
      <c r="AR1124">
        <v>0</v>
      </c>
      <c r="AS1124">
        <v>0</v>
      </c>
      <c r="AT1124">
        <v>0</v>
      </c>
      <c r="AU1124">
        <v>0</v>
      </c>
      <c r="AV1124">
        <v>0</v>
      </c>
      <c r="AW1124">
        <v>0</v>
      </c>
      <c r="AX1124">
        <v>0</v>
      </c>
      <c r="AY1124">
        <v>0</v>
      </c>
      <c r="AZ1124">
        <v>0</v>
      </c>
      <c r="BA1124">
        <v>0</v>
      </c>
      <c r="BB1124">
        <v>0</v>
      </c>
      <c r="BC1124">
        <v>0</v>
      </c>
      <c r="BD1124">
        <v>0</v>
      </c>
      <c r="BE1124">
        <v>0</v>
      </c>
      <c r="BF1124">
        <v>0</v>
      </c>
      <c r="BG1124">
        <v>0</v>
      </c>
      <c r="BH1124">
        <v>1</v>
      </c>
      <c r="BI1124">
        <v>4</v>
      </c>
      <c r="BJ1124">
        <v>2</v>
      </c>
      <c r="BK1124">
        <v>4</v>
      </c>
      <c r="BL1124">
        <v>139.91</v>
      </c>
      <c r="BM1124">
        <v>20.99</v>
      </c>
      <c r="BN1124">
        <v>160.9</v>
      </c>
      <c r="BO1124">
        <v>160.9</v>
      </c>
      <c r="BQ1124" t="s">
        <v>1824</v>
      </c>
      <c r="BR1124" t="s">
        <v>84</v>
      </c>
      <c r="BS1124" s="3">
        <v>45791</v>
      </c>
      <c r="BT1124" s="4">
        <v>0.62777777777777777</v>
      </c>
      <c r="BU1124" t="s">
        <v>1825</v>
      </c>
      <c r="BV1124" t="s">
        <v>89</v>
      </c>
      <c r="BY1124">
        <v>9918</v>
      </c>
      <c r="CC1124" t="s">
        <v>464</v>
      </c>
      <c r="CD1124">
        <v>5201</v>
      </c>
      <c r="CE1124" t="s">
        <v>96</v>
      </c>
      <c r="CF1124" s="3">
        <v>45792</v>
      </c>
      <c r="CI1124">
        <v>1</v>
      </c>
      <c r="CJ1124">
        <v>1</v>
      </c>
      <c r="CK1124">
        <v>21</v>
      </c>
      <c r="CL1124" t="s">
        <v>89</v>
      </c>
    </row>
    <row r="1125" spans="1:90" x14ac:dyDescent="0.3">
      <c r="A1125" t="s">
        <v>72</v>
      </c>
      <c r="B1125" t="s">
        <v>73</v>
      </c>
      <c r="C1125" t="s">
        <v>74</v>
      </c>
      <c r="E1125" t="str">
        <f>"080065346177"</f>
        <v>080065346177</v>
      </c>
      <c r="F1125" s="3">
        <v>45790</v>
      </c>
      <c r="G1125">
        <v>202602</v>
      </c>
      <c r="H1125" t="s">
        <v>75</v>
      </c>
      <c r="I1125" t="s">
        <v>76</v>
      </c>
      <c r="J1125" t="s">
        <v>77</v>
      </c>
      <c r="K1125" t="s">
        <v>78</v>
      </c>
      <c r="L1125" t="s">
        <v>350</v>
      </c>
      <c r="M1125" t="s">
        <v>351</v>
      </c>
      <c r="N1125" t="s">
        <v>352</v>
      </c>
      <c r="O1125" t="s">
        <v>82</v>
      </c>
      <c r="P1125" t="str">
        <f>"4170038028                    "</f>
        <v xml:space="preserve">4170038028                    </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37.409999999999997</v>
      </c>
      <c r="AR1125">
        <v>0</v>
      </c>
      <c r="AS1125">
        <v>0</v>
      </c>
      <c r="AT1125">
        <v>0</v>
      </c>
      <c r="AU1125">
        <v>0</v>
      </c>
      <c r="AV1125">
        <v>0</v>
      </c>
      <c r="AW1125">
        <v>0</v>
      </c>
      <c r="AX1125">
        <v>0</v>
      </c>
      <c r="AY1125">
        <v>0</v>
      </c>
      <c r="AZ1125">
        <v>0</v>
      </c>
      <c r="BA1125">
        <v>0</v>
      </c>
      <c r="BB1125">
        <v>0</v>
      </c>
      <c r="BC1125">
        <v>0</v>
      </c>
      <c r="BD1125">
        <v>0</v>
      </c>
      <c r="BE1125">
        <v>0</v>
      </c>
      <c r="BF1125">
        <v>0</v>
      </c>
      <c r="BG1125">
        <v>0</v>
      </c>
      <c r="BH1125">
        <v>1</v>
      </c>
      <c r="BI1125">
        <v>2</v>
      </c>
      <c r="BJ1125">
        <v>3.4</v>
      </c>
      <c r="BK1125">
        <v>3.5</v>
      </c>
      <c r="BL1125">
        <v>122.43</v>
      </c>
      <c r="BM1125">
        <v>18.36</v>
      </c>
      <c r="BN1125">
        <v>140.79</v>
      </c>
      <c r="BO1125">
        <v>140.79</v>
      </c>
      <c r="BQ1125" t="s">
        <v>353</v>
      </c>
      <c r="BR1125" t="s">
        <v>84</v>
      </c>
      <c r="BS1125" s="3">
        <v>45791</v>
      </c>
      <c r="BT1125" s="4">
        <v>0.3888888888888889</v>
      </c>
      <c r="BU1125" t="s">
        <v>1826</v>
      </c>
      <c r="BV1125" t="s">
        <v>86</v>
      </c>
      <c r="BY1125">
        <v>16965</v>
      </c>
      <c r="CA1125" t="s">
        <v>160</v>
      </c>
      <c r="CC1125" t="s">
        <v>351</v>
      </c>
      <c r="CD1125">
        <v>4000</v>
      </c>
      <c r="CE1125" t="s">
        <v>96</v>
      </c>
      <c r="CF1125" s="3">
        <v>45792</v>
      </c>
      <c r="CI1125">
        <v>1</v>
      </c>
      <c r="CJ1125">
        <v>1</v>
      </c>
      <c r="CK1125">
        <v>21</v>
      </c>
      <c r="CL1125" t="s">
        <v>89</v>
      </c>
    </row>
    <row r="1126" spans="1:90" x14ac:dyDescent="0.3">
      <c r="A1126" t="s">
        <v>72</v>
      </c>
      <c r="B1126" t="s">
        <v>73</v>
      </c>
      <c r="C1126" t="s">
        <v>74</v>
      </c>
      <c r="E1126" t="str">
        <f>"080065346284"</f>
        <v>080065346284</v>
      </c>
      <c r="F1126" s="3">
        <v>45790</v>
      </c>
      <c r="G1126">
        <v>202602</v>
      </c>
      <c r="H1126" t="s">
        <v>75</v>
      </c>
      <c r="I1126" t="s">
        <v>76</v>
      </c>
      <c r="J1126" t="s">
        <v>77</v>
      </c>
      <c r="K1126" t="s">
        <v>78</v>
      </c>
      <c r="L1126" t="s">
        <v>90</v>
      </c>
      <c r="M1126" t="s">
        <v>91</v>
      </c>
      <c r="N1126" t="s">
        <v>563</v>
      </c>
      <c r="O1126" t="s">
        <v>82</v>
      </c>
      <c r="P1126" t="str">
        <f>"4170038070                    "</f>
        <v xml:space="preserve">4170038070                    </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21.38</v>
      </c>
      <c r="AR1126">
        <v>0</v>
      </c>
      <c r="AS1126">
        <v>0</v>
      </c>
      <c r="AT1126">
        <v>0</v>
      </c>
      <c r="AU1126">
        <v>0</v>
      </c>
      <c r="AV1126">
        <v>0</v>
      </c>
      <c r="AW1126">
        <v>0</v>
      </c>
      <c r="AX1126">
        <v>0</v>
      </c>
      <c r="AY1126">
        <v>0</v>
      </c>
      <c r="AZ1126">
        <v>0</v>
      </c>
      <c r="BA1126">
        <v>0</v>
      </c>
      <c r="BB1126">
        <v>0</v>
      </c>
      <c r="BC1126">
        <v>0</v>
      </c>
      <c r="BD1126">
        <v>0</v>
      </c>
      <c r="BE1126">
        <v>0</v>
      </c>
      <c r="BF1126">
        <v>0</v>
      </c>
      <c r="BG1126">
        <v>0</v>
      </c>
      <c r="BH1126">
        <v>1</v>
      </c>
      <c r="BI1126">
        <v>1</v>
      </c>
      <c r="BJ1126">
        <v>0.2</v>
      </c>
      <c r="BK1126">
        <v>1</v>
      </c>
      <c r="BL1126">
        <v>69.98</v>
      </c>
      <c r="BM1126">
        <v>10.5</v>
      </c>
      <c r="BN1126">
        <v>80.48</v>
      </c>
      <c r="BO1126">
        <v>80.48</v>
      </c>
      <c r="BQ1126" t="s">
        <v>564</v>
      </c>
      <c r="BR1126" t="s">
        <v>84</v>
      </c>
      <c r="BS1126" s="3">
        <v>45791</v>
      </c>
      <c r="BT1126" s="4">
        <v>0.375</v>
      </c>
      <c r="BU1126" t="s">
        <v>780</v>
      </c>
      <c r="BV1126" t="s">
        <v>86</v>
      </c>
      <c r="BY1126">
        <v>1200</v>
      </c>
      <c r="CA1126" t="s">
        <v>566</v>
      </c>
      <c r="CC1126" t="s">
        <v>91</v>
      </c>
      <c r="CD1126">
        <v>6001</v>
      </c>
      <c r="CE1126" t="s">
        <v>88</v>
      </c>
      <c r="CF1126" s="3">
        <v>45791</v>
      </c>
      <c r="CI1126">
        <v>1</v>
      </c>
      <c r="CJ1126">
        <v>1</v>
      </c>
      <c r="CK1126">
        <v>21</v>
      </c>
      <c r="CL1126" t="s">
        <v>89</v>
      </c>
    </row>
    <row r="1127" spans="1:90" x14ac:dyDescent="0.3">
      <c r="A1127" t="s">
        <v>72</v>
      </c>
      <c r="B1127" t="s">
        <v>73</v>
      </c>
      <c r="C1127" t="s">
        <v>74</v>
      </c>
      <c r="E1127" t="str">
        <f>"080065347196"</f>
        <v>080065347196</v>
      </c>
      <c r="F1127" s="3">
        <v>45790</v>
      </c>
      <c r="G1127">
        <v>202602</v>
      </c>
      <c r="H1127" t="s">
        <v>75</v>
      </c>
      <c r="I1127" t="s">
        <v>76</v>
      </c>
      <c r="J1127" t="s">
        <v>77</v>
      </c>
      <c r="K1127" t="s">
        <v>78</v>
      </c>
      <c r="L1127" t="s">
        <v>117</v>
      </c>
      <c r="M1127" t="s">
        <v>118</v>
      </c>
      <c r="N1127" t="s">
        <v>304</v>
      </c>
      <c r="O1127" t="s">
        <v>82</v>
      </c>
      <c r="P1127" t="str">
        <f>"4170038152                    "</f>
        <v xml:space="preserve">4170038152                    </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P1127">
        <v>0</v>
      </c>
      <c r="AQ1127">
        <v>16.7</v>
      </c>
      <c r="AR1127">
        <v>0</v>
      </c>
      <c r="AS1127">
        <v>0</v>
      </c>
      <c r="AT1127">
        <v>0</v>
      </c>
      <c r="AU1127">
        <v>0</v>
      </c>
      <c r="AV1127">
        <v>0</v>
      </c>
      <c r="AW1127">
        <v>0</v>
      </c>
      <c r="AX1127">
        <v>0</v>
      </c>
      <c r="AY1127">
        <v>0</v>
      </c>
      <c r="AZ1127">
        <v>0</v>
      </c>
      <c r="BA1127">
        <v>0</v>
      </c>
      <c r="BB1127">
        <v>0</v>
      </c>
      <c r="BC1127">
        <v>0</v>
      </c>
      <c r="BD1127">
        <v>0</v>
      </c>
      <c r="BE1127">
        <v>0</v>
      </c>
      <c r="BF1127">
        <v>0</v>
      </c>
      <c r="BG1127">
        <v>0</v>
      </c>
      <c r="BH1127">
        <v>1</v>
      </c>
      <c r="BI1127">
        <v>1</v>
      </c>
      <c r="BJ1127">
        <v>0.2</v>
      </c>
      <c r="BK1127">
        <v>1</v>
      </c>
      <c r="BL1127">
        <v>54.66</v>
      </c>
      <c r="BM1127">
        <v>8.1999999999999993</v>
      </c>
      <c r="BN1127">
        <v>62.86</v>
      </c>
      <c r="BO1127">
        <v>62.86</v>
      </c>
      <c r="BQ1127" t="s">
        <v>305</v>
      </c>
      <c r="BR1127" t="s">
        <v>84</v>
      </c>
      <c r="BS1127" s="3">
        <v>45791</v>
      </c>
      <c r="BT1127" s="4">
        <v>0.3347222222222222</v>
      </c>
      <c r="BU1127" t="s">
        <v>1827</v>
      </c>
      <c r="BV1127" t="s">
        <v>86</v>
      </c>
      <c r="BY1127">
        <v>1200</v>
      </c>
      <c r="CA1127" t="s">
        <v>275</v>
      </c>
      <c r="CC1127" t="s">
        <v>118</v>
      </c>
      <c r="CD1127">
        <v>2190</v>
      </c>
      <c r="CE1127" t="s">
        <v>88</v>
      </c>
      <c r="CF1127" s="3">
        <v>45792</v>
      </c>
      <c r="CI1127">
        <v>1</v>
      </c>
      <c r="CJ1127">
        <v>1</v>
      </c>
      <c r="CK1127">
        <v>22</v>
      </c>
      <c r="CL1127" t="s">
        <v>89</v>
      </c>
    </row>
    <row r="1128" spans="1:90" x14ac:dyDescent="0.3">
      <c r="A1128" t="s">
        <v>72</v>
      </c>
      <c r="B1128" t="s">
        <v>73</v>
      </c>
      <c r="C1128" t="s">
        <v>74</v>
      </c>
      <c r="E1128" t="str">
        <f>"080065347214"</f>
        <v>080065347214</v>
      </c>
      <c r="F1128" s="3">
        <v>45790</v>
      </c>
      <c r="G1128">
        <v>202602</v>
      </c>
      <c r="H1128" t="s">
        <v>75</v>
      </c>
      <c r="I1128" t="s">
        <v>76</v>
      </c>
      <c r="J1128" t="s">
        <v>77</v>
      </c>
      <c r="K1128" t="s">
        <v>78</v>
      </c>
      <c r="L1128" t="s">
        <v>350</v>
      </c>
      <c r="M1128" t="s">
        <v>351</v>
      </c>
      <c r="N1128" t="s">
        <v>678</v>
      </c>
      <c r="O1128" t="s">
        <v>300</v>
      </c>
      <c r="P1128" t="str">
        <f>"4170038022                    "</f>
        <v xml:space="preserve">4170038022                    </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v>0</v>
      </c>
      <c r="AM1128">
        <v>0</v>
      </c>
      <c r="AN1128">
        <v>0</v>
      </c>
      <c r="AO1128">
        <v>0</v>
      </c>
      <c r="AP1128">
        <v>0</v>
      </c>
      <c r="AQ1128">
        <v>49.89</v>
      </c>
      <c r="AR1128">
        <v>0</v>
      </c>
      <c r="AS1128">
        <v>0</v>
      </c>
      <c r="AT1128">
        <v>0</v>
      </c>
      <c r="AU1128">
        <v>0</v>
      </c>
      <c r="AV1128">
        <v>0</v>
      </c>
      <c r="AW1128">
        <v>0</v>
      </c>
      <c r="AX1128">
        <v>0</v>
      </c>
      <c r="AY1128">
        <v>0</v>
      </c>
      <c r="AZ1128">
        <v>0</v>
      </c>
      <c r="BA1128">
        <v>0</v>
      </c>
      <c r="BB1128">
        <v>0</v>
      </c>
      <c r="BC1128">
        <v>0</v>
      </c>
      <c r="BD1128">
        <v>0</v>
      </c>
      <c r="BE1128">
        <v>0</v>
      </c>
      <c r="BF1128">
        <v>0</v>
      </c>
      <c r="BG1128">
        <v>0</v>
      </c>
      <c r="BH1128">
        <v>1</v>
      </c>
      <c r="BI1128">
        <v>20</v>
      </c>
      <c r="BJ1128">
        <v>19.399999999999999</v>
      </c>
      <c r="BK1128">
        <v>20</v>
      </c>
      <c r="BL1128">
        <v>168.84</v>
      </c>
      <c r="BM1128">
        <v>25.33</v>
      </c>
      <c r="BN1128">
        <v>194.17</v>
      </c>
      <c r="BO1128">
        <v>194.17</v>
      </c>
      <c r="BQ1128" t="s">
        <v>679</v>
      </c>
      <c r="BR1128" t="s">
        <v>84</v>
      </c>
      <c r="BS1128" s="3">
        <v>45792</v>
      </c>
      <c r="BT1128" s="4">
        <v>0.52222222222222225</v>
      </c>
      <c r="BU1128" t="s">
        <v>1828</v>
      </c>
      <c r="BV1128" t="s">
        <v>89</v>
      </c>
      <c r="BW1128" t="s">
        <v>434</v>
      </c>
      <c r="BX1128" t="s">
        <v>1829</v>
      </c>
      <c r="BY1128">
        <v>97200</v>
      </c>
      <c r="CA1128" t="s">
        <v>326</v>
      </c>
      <c r="CC1128" t="s">
        <v>351</v>
      </c>
      <c r="CD1128">
        <v>4052</v>
      </c>
      <c r="CE1128" t="s">
        <v>511</v>
      </c>
      <c r="CF1128" s="3">
        <v>45793</v>
      </c>
      <c r="CI1128">
        <v>1</v>
      </c>
      <c r="CJ1128">
        <v>2</v>
      </c>
      <c r="CK1128">
        <v>41</v>
      </c>
      <c r="CL1128" t="s">
        <v>89</v>
      </c>
    </row>
    <row r="1129" spans="1:90" x14ac:dyDescent="0.3">
      <c r="A1129" t="s">
        <v>72</v>
      </c>
      <c r="B1129" t="s">
        <v>73</v>
      </c>
      <c r="C1129" t="s">
        <v>74</v>
      </c>
      <c r="E1129" t="str">
        <f>"080065347219"</f>
        <v>080065347219</v>
      </c>
      <c r="F1129" s="3">
        <v>45790</v>
      </c>
      <c r="G1129">
        <v>202602</v>
      </c>
      <c r="H1129" t="s">
        <v>75</v>
      </c>
      <c r="I1129" t="s">
        <v>76</v>
      </c>
      <c r="J1129" t="s">
        <v>77</v>
      </c>
      <c r="K1129" t="s">
        <v>78</v>
      </c>
      <c r="L1129" t="s">
        <v>136</v>
      </c>
      <c r="M1129" t="s">
        <v>137</v>
      </c>
      <c r="N1129" t="s">
        <v>735</v>
      </c>
      <c r="O1129" t="s">
        <v>82</v>
      </c>
      <c r="P1129" t="str">
        <f>"4170038048                    "</f>
        <v xml:space="preserve">4170038048                    </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v>0</v>
      </c>
      <c r="AM1129">
        <v>0</v>
      </c>
      <c r="AN1129">
        <v>0</v>
      </c>
      <c r="AO1129">
        <v>0</v>
      </c>
      <c r="AP1129">
        <v>0</v>
      </c>
      <c r="AQ1129">
        <v>21.38</v>
      </c>
      <c r="AR1129">
        <v>0</v>
      </c>
      <c r="AS1129">
        <v>0</v>
      </c>
      <c r="AT1129">
        <v>0</v>
      </c>
      <c r="AU1129">
        <v>0</v>
      </c>
      <c r="AV1129">
        <v>0</v>
      </c>
      <c r="AW1129">
        <v>0</v>
      </c>
      <c r="AX1129">
        <v>0</v>
      </c>
      <c r="AY1129">
        <v>0</v>
      </c>
      <c r="AZ1129">
        <v>0</v>
      </c>
      <c r="BA1129">
        <v>0</v>
      </c>
      <c r="BB1129">
        <v>0</v>
      </c>
      <c r="BC1129">
        <v>0</v>
      </c>
      <c r="BD1129">
        <v>0</v>
      </c>
      <c r="BE1129">
        <v>0</v>
      </c>
      <c r="BF1129">
        <v>0</v>
      </c>
      <c r="BG1129">
        <v>0</v>
      </c>
      <c r="BH1129">
        <v>1</v>
      </c>
      <c r="BI1129">
        <v>1</v>
      </c>
      <c r="BJ1129">
        <v>0.2</v>
      </c>
      <c r="BK1129">
        <v>1</v>
      </c>
      <c r="BL1129">
        <v>69.98</v>
      </c>
      <c r="BM1129">
        <v>10.5</v>
      </c>
      <c r="BN1129">
        <v>80.48</v>
      </c>
      <c r="BO1129">
        <v>80.48</v>
      </c>
      <c r="BQ1129" t="s">
        <v>736</v>
      </c>
      <c r="BR1129" t="s">
        <v>84</v>
      </c>
      <c r="BS1129" s="3">
        <v>45791</v>
      </c>
      <c r="BT1129" s="4">
        <v>0.39583333333333331</v>
      </c>
      <c r="BU1129" t="s">
        <v>1699</v>
      </c>
      <c r="BV1129" t="s">
        <v>86</v>
      </c>
      <c r="BY1129">
        <v>1200</v>
      </c>
      <c r="CA1129" t="s">
        <v>258</v>
      </c>
      <c r="CC1129" t="s">
        <v>137</v>
      </c>
      <c r="CD1129" s="5" t="s">
        <v>738</v>
      </c>
      <c r="CE1129" t="s">
        <v>88</v>
      </c>
      <c r="CF1129" s="3">
        <v>45791</v>
      </c>
      <c r="CI1129">
        <v>1</v>
      </c>
      <c r="CJ1129">
        <v>1</v>
      </c>
      <c r="CK1129">
        <v>21</v>
      </c>
      <c r="CL1129" t="s">
        <v>89</v>
      </c>
    </row>
    <row r="1130" spans="1:90" x14ac:dyDescent="0.3">
      <c r="A1130" t="s">
        <v>72</v>
      </c>
      <c r="B1130" t="s">
        <v>73</v>
      </c>
      <c r="C1130" t="s">
        <v>74</v>
      </c>
      <c r="E1130" t="str">
        <f>"080065347242"</f>
        <v>080065347242</v>
      </c>
      <c r="F1130" s="3">
        <v>45790</v>
      </c>
      <c r="G1130">
        <v>202602</v>
      </c>
      <c r="H1130" t="s">
        <v>75</v>
      </c>
      <c r="I1130" t="s">
        <v>76</v>
      </c>
      <c r="J1130" t="s">
        <v>77</v>
      </c>
      <c r="K1130" t="s">
        <v>78</v>
      </c>
      <c r="L1130" t="s">
        <v>130</v>
      </c>
      <c r="M1130" t="s">
        <v>131</v>
      </c>
      <c r="N1130" t="s">
        <v>1830</v>
      </c>
      <c r="O1130" t="s">
        <v>82</v>
      </c>
      <c r="P1130" t="str">
        <f>"4170038189                    "</f>
        <v xml:space="preserve">4170038189                    </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P1130">
        <v>0</v>
      </c>
      <c r="AQ1130">
        <v>21.38</v>
      </c>
      <c r="AR1130">
        <v>0</v>
      </c>
      <c r="AS1130">
        <v>0</v>
      </c>
      <c r="AT1130">
        <v>0</v>
      </c>
      <c r="AU1130">
        <v>0</v>
      </c>
      <c r="AV1130">
        <v>0</v>
      </c>
      <c r="AW1130">
        <v>0</v>
      </c>
      <c r="AX1130">
        <v>0</v>
      </c>
      <c r="AY1130">
        <v>0</v>
      </c>
      <c r="AZ1130">
        <v>0</v>
      </c>
      <c r="BA1130">
        <v>0</v>
      </c>
      <c r="BB1130">
        <v>0</v>
      </c>
      <c r="BC1130">
        <v>0</v>
      </c>
      <c r="BD1130">
        <v>0</v>
      </c>
      <c r="BE1130">
        <v>0</v>
      </c>
      <c r="BF1130">
        <v>0</v>
      </c>
      <c r="BG1130">
        <v>0</v>
      </c>
      <c r="BH1130">
        <v>1</v>
      </c>
      <c r="BI1130">
        <v>1</v>
      </c>
      <c r="BJ1130">
        <v>0.2</v>
      </c>
      <c r="BK1130">
        <v>1</v>
      </c>
      <c r="BL1130">
        <v>69.98</v>
      </c>
      <c r="BM1130">
        <v>10.5</v>
      </c>
      <c r="BN1130">
        <v>80.48</v>
      </c>
      <c r="BO1130">
        <v>80.48</v>
      </c>
      <c r="BQ1130" t="s">
        <v>1831</v>
      </c>
      <c r="BR1130" t="s">
        <v>84</v>
      </c>
      <c r="BS1130" s="3">
        <v>45791</v>
      </c>
      <c r="BT1130" s="4">
        <v>0.4513888888888889</v>
      </c>
      <c r="BU1130" t="s">
        <v>1832</v>
      </c>
      <c r="BV1130" t="s">
        <v>89</v>
      </c>
      <c r="BW1130" t="s">
        <v>340</v>
      </c>
      <c r="BX1130" t="s">
        <v>341</v>
      </c>
      <c r="BY1130">
        <v>1200</v>
      </c>
      <c r="CA1130" t="s">
        <v>1350</v>
      </c>
      <c r="CC1130" t="s">
        <v>131</v>
      </c>
      <c r="CD1130">
        <v>7441</v>
      </c>
      <c r="CE1130" t="s">
        <v>88</v>
      </c>
      <c r="CF1130" s="3">
        <v>45792</v>
      </c>
      <c r="CI1130">
        <v>1</v>
      </c>
      <c r="CJ1130">
        <v>1</v>
      </c>
      <c r="CK1130">
        <v>21</v>
      </c>
      <c r="CL1130" t="s">
        <v>89</v>
      </c>
    </row>
    <row r="1131" spans="1:90" x14ac:dyDescent="0.3">
      <c r="A1131" t="s">
        <v>72</v>
      </c>
      <c r="B1131" t="s">
        <v>73</v>
      </c>
      <c r="C1131" t="s">
        <v>74</v>
      </c>
      <c r="E1131" t="str">
        <f>"080065347254"</f>
        <v>080065347254</v>
      </c>
      <c r="F1131" s="3">
        <v>45790</v>
      </c>
      <c r="G1131">
        <v>202602</v>
      </c>
      <c r="H1131" t="s">
        <v>75</v>
      </c>
      <c r="I1131" t="s">
        <v>76</v>
      </c>
      <c r="J1131" t="s">
        <v>77</v>
      </c>
      <c r="K1131" t="s">
        <v>78</v>
      </c>
      <c r="L1131" t="s">
        <v>130</v>
      </c>
      <c r="M1131" t="s">
        <v>131</v>
      </c>
      <c r="N1131" t="s">
        <v>239</v>
      </c>
      <c r="O1131" t="s">
        <v>300</v>
      </c>
      <c r="P1131" t="str">
        <f>"4170038006                    "</f>
        <v xml:space="preserve">4170038006                    </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c r="AJ1131">
        <v>0</v>
      </c>
      <c r="AK1131">
        <v>0</v>
      </c>
      <c r="AL1131">
        <v>0</v>
      </c>
      <c r="AM1131">
        <v>0</v>
      </c>
      <c r="AN1131">
        <v>0</v>
      </c>
      <c r="AO1131">
        <v>0</v>
      </c>
      <c r="AP1131">
        <v>0</v>
      </c>
      <c r="AQ1131">
        <v>55.01</v>
      </c>
      <c r="AR1131">
        <v>0</v>
      </c>
      <c r="AS1131">
        <v>0</v>
      </c>
      <c r="AT1131">
        <v>0</v>
      </c>
      <c r="AU1131">
        <v>0</v>
      </c>
      <c r="AV1131">
        <v>0</v>
      </c>
      <c r="AW1131">
        <v>0</v>
      </c>
      <c r="AX1131">
        <v>0</v>
      </c>
      <c r="AY1131">
        <v>0</v>
      </c>
      <c r="AZ1131">
        <v>0</v>
      </c>
      <c r="BA1131">
        <v>0</v>
      </c>
      <c r="BB1131">
        <v>0</v>
      </c>
      <c r="BC1131">
        <v>0</v>
      </c>
      <c r="BD1131">
        <v>0</v>
      </c>
      <c r="BE1131">
        <v>0</v>
      </c>
      <c r="BF1131">
        <v>0</v>
      </c>
      <c r="BG1131">
        <v>0</v>
      </c>
      <c r="BH1131">
        <v>1</v>
      </c>
      <c r="BI1131">
        <v>23</v>
      </c>
      <c r="BJ1131">
        <v>8.9</v>
      </c>
      <c r="BK1131">
        <v>23</v>
      </c>
      <c r="BL1131">
        <v>185.6</v>
      </c>
      <c r="BM1131">
        <v>27.84</v>
      </c>
      <c r="BN1131">
        <v>213.44</v>
      </c>
      <c r="BO1131">
        <v>213.44</v>
      </c>
      <c r="BQ1131" t="s">
        <v>240</v>
      </c>
      <c r="BR1131" t="s">
        <v>84</v>
      </c>
      <c r="BS1131" s="3">
        <v>45793</v>
      </c>
      <c r="BT1131" s="4">
        <v>0.45833333333333331</v>
      </c>
      <c r="BU1131" t="s">
        <v>1833</v>
      </c>
      <c r="BV1131" t="s">
        <v>86</v>
      </c>
      <c r="BY1131">
        <v>44640</v>
      </c>
      <c r="CA1131" t="s">
        <v>1834</v>
      </c>
      <c r="CC1131" t="s">
        <v>131</v>
      </c>
      <c r="CD1131">
        <v>7441</v>
      </c>
      <c r="CE1131" t="s">
        <v>96</v>
      </c>
      <c r="CF1131" s="3">
        <v>45796</v>
      </c>
      <c r="CI1131">
        <v>3</v>
      </c>
      <c r="CJ1131">
        <v>3</v>
      </c>
      <c r="CK1131">
        <v>41</v>
      </c>
      <c r="CL1131" t="s">
        <v>89</v>
      </c>
    </row>
    <row r="1132" spans="1:90" x14ac:dyDescent="0.3">
      <c r="A1132" t="s">
        <v>72</v>
      </c>
      <c r="B1132" t="s">
        <v>73</v>
      </c>
      <c r="C1132" t="s">
        <v>74</v>
      </c>
      <c r="E1132" t="str">
        <f>"080065347277"</f>
        <v>080065347277</v>
      </c>
      <c r="F1132" s="3">
        <v>45790</v>
      </c>
      <c r="G1132">
        <v>202602</v>
      </c>
      <c r="H1132" t="s">
        <v>75</v>
      </c>
      <c r="I1132" t="s">
        <v>76</v>
      </c>
      <c r="J1132" t="s">
        <v>77</v>
      </c>
      <c r="K1132" t="s">
        <v>78</v>
      </c>
      <c r="L1132" t="s">
        <v>90</v>
      </c>
      <c r="M1132" t="s">
        <v>91</v>
      </c>
      <c r="N1132" t="s">
        <v>1835</v>
      </c>
      <c r="O1132" t="s">
        <v>82</v>
      </c>
      <c r="P1132" t="str">
        <f>"4170038056                    "</f>
        <v xml:space="preserve">4170038056                    </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c r="AL1132">
        <v>0</v>
      </c>
      <c r="AM1132">
        <v>0</v>
      </c>
      <c r="AN1132">
        <v>0</v>
      </c>
      <c r="AO1132">
        <v>0</v>
      </c>
      <c r="AP1132">
        <v>0</v>
      </c>
      <c r="AQ1132">
        <v>21.38</v>
      </c>
      <c r="AR1132">
        <v>0</v>
      </c>
      <c r="AS1132">
        <v>0</v>
      </c>
      <c r="AT1132">
        <v>0</v>
      </c>
      <c r="AU1132">
        <v>0</v>
      </c>
      <c r="AV1132">
        <v>0</v>
      </c>
      <c r="AW1132">
        <v>0</v>
      </c>
      <c r="AX1132">
        <v>0</v>
      </c>
      <c r="AY1132">
        <v>0</v>
      </c>
      <c r="AZ1132">
        <v>0</v>
      </c>
      <c r="BA1132">
        <v>0</v>
      </c>
      <c r="BB1132">
        <v>0</v>
      </c>
      <c r="BC1132">
        <v>0</v>
      </c>
      <c r="BD1132">
        <v>0</v>
      </c>
      <c r="BE1132">
        <v>0</v>
      </c>
      <c r="BF1132">
        <v>0</v>
      </c>
      <c r="BG1132">
        <v>0</v>
      </c>
      <c r="BH1132">
        <v>1</v>
      </c>
      <c r="BI1132">
        <v>1</v>
      </c>
      <c r="BJ1132">
        <v>0.2</v>
      </c>
      <c r="BK1132">
        <v>1</v>
      </c>
      <c r="BL1132">
        <v>69.98</v>
      </c>
      <c r="BM1132">
        <v>10.5</v>
      </c>
      <c r="BN1132">
        <v>80.48</v>
      </c>
      <c r="BO1132">
        <v>80.48</v>
      </c>
      <c r="BQ1132" t="s">
        <v>1836</v>
      </c>
      <c r="BR1132" t="s">
        <v>84</v>
      </c>
      <c r="BS1132" s="3">
        <v>45791</v>
      </c>
      <c r="BT1132" s="4">
        <v>0.43055555555555558</v>
      </c>
      <c r="BU1132" t="s">
        <v>1837</v>
      </c>
      <c r="BV1132" t="s">
        <v>86</v>
      </c>
      <c r="BY1132">
        <v>1200</v>
      </c>
      <c r="CA1132" t="s">
        <v>824</v>
      </c>
      <c r="CC1132" t="s">
        <v>91</v>
      </c>
      <c r="CD1132">
        <v>6001</v>
      </c>
      <c r="CE1132" t="s">
        <v>88</v>
      </c>
      <c r="CF1132" s="3">
        <v>45791</v>
      </c>
      <c r="CI1132">
        <v>1</v>
      </c>
      <c r="CJ1132">
        <v>1</v>
      </c>
      <c r="CK1132">
        <v>21</v>
      </c>
      <c r="CL1132" t="s">
        <v>89</v>
      </c>
    </row>
    <row r="1133" spans="1:90" x14ac:dyDescent="0.3">
      <c r="A1133" t="s">
        <v>72</v>
      </c>
      <c r="B1133" t="s">
        <v>73</v>
      </c>
      <c r="C1133" t="s">
        <v>74</v>
      </c>
      <c r="E1133" t="str">
        <f>"080065347309"</f>
        <v>080065347309</v>
      </c>
      <c r="F1133" s="3">
        <v>45790</v>
      </c>
      <c r="G1133">
        <v>202602</v>
      </c>
      <c r="H1133" t="s">
        <v>75</v>
      </c>
      <c r="I1133" t="s">
        <v>76</v>
      </c>
      <c r="J1133" t="s">
        <v>77</v>
      </c>
      <c r="K1133" t="s">
        <v>78</v>
      </c>
      <c r="L1133" t="s">
        <v>350</v>
      </c>
      <c r="M1133" t="s">
        <v>351</v>
      </c>
      <c r="N1133" t="s">
        <v>1838</v>
      </c>
      <c r="O1133" t="s">
        <v>82</v>
      </c>
      <c r="P1133" t="str">
        <f>"4170038010                    "</f>
        <v xml:space="preserve">4170038010                    </v>
      </c>
      <c r="Q1133">
        <v>0</v>
      </c>
      <c r="R1133">
        <v>0</v>
      </c>
      <c r="S1133">
        <v>0</v>
      </c>
      <c r="T1133">
        <v>0</v>
      </c>
      <c r="U1133">
        <v>0</v>
      </c>
      <c r="V1133">
        <v>0</v>
      </c>
      <c r="W1133">
        <v>0</v>
      </c>
      <c r="X1133">
        <v>0</v>
      </c>
      <c r="Y1133">
        <v>0</v>
      </c>
      <c r="Z1133">
        <v>0</v>
      </c>
      <c r="AA1133">
        <v>0</v>
      </c>
      <c r="AB1133">
        <v>0</v>
      </c>
      <c r="AC1133">
        <v>0</v>
      </c>
      <c r="AD1133">
        <v>0</v>
      </c>
      <c r="AE1133">
        <v>0</v>
      </c>
      <c r="AF1133">
        <v>0</v>
      </c>
      <c r="AG1133">
        <v>0</v>
      </c>
      <c r="AH1133">
        <v>0</v>
      </c>
      <c r="AI1133">
        <v>0</v>
      </c>
      <c r="AJ1133">
        <v>0</v>
      </c>
      <c r="AK1133">
        <v>0</v>
      </c>
      <c r="AL1133">
        <v>0</v>
      </c>
      <c r="AM1133">
        <v>0</v>
      </c>
      <c r="AN1133">
        <v>0</v>
      </c>
      <c r="AO1133">
        <v>0</v>
      </c>
      <c r="AP1133">
        <v>0</v>
      </c>
      <c r="AQ1133">
        <v>21.38</v>
      </c>
      <c r="AR1133">
        <v>0</v>
      </c>
      <c r="AS1133">
        <v>0</v>
      </c>
      <c r="AT1133">
        <v>0</v>
      </c>
      <c r="AU1133">
        <v>0</v>
      </c>
      <c r="AV1133">
        <v>0</v>
      </c>
      <c r="AW1133">
        <v>0</v>
      </c>
      <c r="AX1133">
        <v>0</v>
      </c>
      <c r="AY1133">
        <v>0</v>
      </c>
      <c r="AZ1133">
        <v>0</v>
      </c>
      <c r="BA1133">
        <v>0</v>
      </c>
      <c r="BB1133">
        <v>0</v>
      </c>
      <c r="BC1133">
        <v>0</v>
      </c>
      <c r="BD1133">
        <v>0</v>
      </c>
      <c r="BE1133">
        <v>0</v>
      </c>
      <c r="BF1133">
        <v>0</v>
      </c>
      <c r="BG1133">
        <v>0</v>
      </c>
      <c r="BH1133">
        <v>1</v>
      </c>
      <c r="BI1133">
        <v>1</v>
      </c>
      <c r="BJ1133">
        <v>1.1000000000000001</v>
      </c>
      <c r="BK1133">
        <v>1.5</v>
      </c>
      <c r="BL1133">
        <v>69.98</v>
      </c>
      <c r="BM1133">
        <v>10.5</v>
      </c>
      <c r="BN1133">
        <v>80.48</v>
      </c>
      <c r="BO1133">
        <v>80.48</v>
      </c>
      <c r="BQ1133" t="s">
        <v>1839</v>
      </c>
      <c r="BR1133" t="s">
        <v>84</v>
      </c>
      <c r="BS1133" s="3">
        <v>45792</v>
      </c>
      <c r="BT1133" s="4">
        <v>0.3611111111111111</v>
      </c>
      <c r="BU1133" t="s">
        <v>1840</v>
      </c>
      <c r="BV1133" t="s">
        <v>89</v>
      </c>
      <c r="BW1133" t="s">
        <v>434</v>
      </c>
      <c r="BX1133" t="s">
        <v>1829</v>
      </c>
      <c r="BY1133">
        <v>5320</v>
      </c>
      <c r="CA1133" t="s">
        <v>326</v>
      </c>
      <c r="CC1133" t="s">
        <v>351</v>
      </c>
      <c r="CD1133">
        <v>4060</v>
      </c>
      <c r="CE1133" t="s">
        <v>116</v>
      </c>
      <c r="CF1133" s="3">
        <v>45793</v>
      </c>
      <c r="CI1133">
        <v>1</v>
      </c>
      <c r="CJ1133">
        <v>2</v>
      </c>
      <c r="CK1133">
        <v>21</v>
      </c>
      <c r="CL1133" t="s">
        <v>89</v>
      </c>
    </row>
    <row r="1134" spans="1:90" x14ac:dyDescent="0.3">
      <c r="A1134" t="s">
        <v>72</v>
      </c>
      <c r="B1134" t="s">
        <v>73</v>
      </c>
      <c r="C1134" t="s">
        <v>74</v>
      </c>
      <c r="E1134" t="str">
        <f>"080065347323"</f>
        <v>080065347323</v>
      </c>
      <c r="F1134" s="3">
        <v>45790</v>
      </c>
      <c r="G1134">
        <v>202602</v>
      </c>
      <c r="H1134" t="s">
        <v>75</v>
      </c>
      <c r="I1134" t="s">
        <v>76</v>
      </c>
      <c r="J1134" t="s">
        <v>77</v>
      </c>
      <c r="K1134" t="s">
        <v>78</v>
      </c>
      <c r="L1134" t="s">
        <v>130</v>
      </c>
      <c r="M1134" t="s">
        <v>131</v>
      </c>
      <c r="N1134" t="s">
        <v>250</v>
      </c>
      <c r="O1134" t="s">
        <v>82</v>
      </c>
      <c r="P1134" t="str">
        <f>"4170038052                    "</f>
        <v xml:space="preserve">4170038052                    </v>
      </c>
      <c r="Q1134">
        <v>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c r="AJ1134">
        <v>0</v>
      </c>
      <c r="AK1134">
        <v>0</v>
      </c>
      <c r="AL1134">
        <v>0</v>
      </c>
      <c r="AM1134">
        <v>0</v>
      </c>
      <c r="AN1134">
        <v>0</v>
      </c>
      <c r="AO1134">
        <v>0</v>
      </c>
      <c r="AP1134">
        <v>0</v>
      </c>
      <c r="AQ1134">
        <v>21.38</v>
      </c>
      <c r="AR1134">
        <v>0</v>
      </c>
      <c r="AS1134">
        <v>0</v>
      </c>
      <c r="AT1134">
        <v>0</v>
      </c>
      <c r="AU1134">
        <v>0</v>
      </c>
      <c r="AV1134">
        <v>0</v>
      </c>
      <c r="AW1134">
        <v>0</v>
      </c>
      <c r="AX1134">
        <v>0</v>
      </c>
      <c r="AY1134">
        <v>0</v>
      </c>
      <c r="AZ1134">
        <v>0</v>
      </c>
      <c r="BA1134">
        <v>0</v>
      </c>
      <c r="BB1134">
        <v>0</v>
      </c>
      <c r="BC1134">
        <v>0</v>
      </c>
      <c r="BD1134">
        <v>0</v>
      </c>
      <c r="BE1134">
        <v>0</v>
      </c>
      <c r="BF1134">
        <v>0</v>
      </c>
      <c r="BG1134">
        <v>0</v>
      </c>
      <c r="BH1134">
        <v>1</v>
      </c>
      <c r="BI1134">
        <v>1</v>
      </c>
      <c r="BJ1134">
        <v>0.2</v>
      </c>
      <c r="BK1134">
        <v>1</v>
      </c>
      <c r="BL1134">
        <v>69.98</v>
      </c>
      <c r="BM1134">
        <v>10.5</v>
      </c>
      <c r="BN1134">
        <v>80.48</v>
      </c>
      <c r="BO1134">
        <v>80.48</v>
      </c>
      <c r="BQ1134" t="s">
        <v>251</v>
      </c>
      <c r="BR1134" t="s">
        <v>84</v>
      </c>
      <c r="BS1134" s="3">
        <v>45791</v>
      </c>
      <c r="BT1134" s="4">
        <v>0.43055555555555558</v>
      </c>
      <c r="BU1134" t="s">
        <v>388</v>
      </c>
      <c r="BV1134" t="s">
        <v>86</v>
      </c>
      <c r="BY1134">
        <v>1200</v>
      </c>
      <c r="CA1134" t="s">
        <v>389</v>
      </c>
      <c r="CC1134" t="s">
        <v>131</v>
      </c>
      <c r="CD1134">
        <v>7530</v>
      </c>
      <c r="CE1134" t="s">
        <v>88</v>
      </c>
      <c r="CF1134" s="3">
        <v>45792</v>
      </c>
      <c r="CI1134">
        <v>1</v>
      </c>
      <c r="CJ1134">
        <v>1</v>
      </c>
      <c r="CK1134">
        <v>21</v>
      </c>
      <c r="CL1134" t="s">
        <v>89</v>
      </c>
    </row>
    <row r="1135" spans="1:90" x14ac:dyDescent="0.3">
      <c r="A1135" t="s">
        <v>72</v>
      </c>
      <c r="B1135" t="s">
        <v>73</v>
      </c>
      <c r="C1135" t="s">
        <v>74</v>
      </c>
      <c r="E1135" t="str">
        <f>"080065347347"</f>
        <v>080065347347</v>
      </c>
      <c r="F1135" s="3">
        <v>45790</v>
      </c>
      <c r="G1135">
        <v>202602</v>
      </c>
      <c r="H1135" t="s">
        <v>75</v>
      </c>
      <c r="I1135" t="s">
        <v>76</v>
      </c>
      <c r="J1135" t="s">
        <v>77</v>
      </c>
      <c r="K1135" t="s">
        <v>78</v>
      </c>
      <c r="L1135" t="s">
        <v>75</v>
      </c>
      <c r="M1135" t="s">
        <v>76</v>
      </c>
      <c r="N1135" t="s">
        <v>1841</v>
      </c>
      <c r="O1135" t="s">
        <v>82</v>
      </c>
      <c r="P1135" t="str">
        <f>"4170038047                    "</f>
        <v xml:space="preserve">4170038047                    </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0</v>
      </c>
      <c r="AL1135">
        <v>0</v>
      </c>
      <c r="AM1135">
        <v>0</v>
      </c>
      <c r="AN1135">
        <v>0</v>
      </c>
      <c r="AO1135">
        <v>0</v>
      </c>
      <c r="AP1135">
        <v>0</v>
      </c>
      <c r="AQ1135">
        <v>16.7</v>
      </c>
      <c r="AR1135">
        <v>0</v>
      </c>
      <c r="AS1135">
        <v>0</v>
      </c>
      <c r="AT1135">
        <v>0</v>
      </c>
      <c r="AU1135">
        <v>0</v>
      </c>
      <c r="AV1135">
        <v>0</v>
      </c>
      <c r="AW1135">
        <v>0</v>
      </c>
      <c r="AX1135">
        <v>0</v>
      </c>
      <c r="AY1135">
        <v>0</v>
      </c>
      <c r="AZ1135">
        <v>0</v>
      </c>
      <c r="BA1135">
        <v>0</v>
      </c>
      <c r="BB1135">
        <v>0</v>
      </c>
      <c r="BC1135">
        <v>0</v>
      </c>
      <c r="BD1135">
        <v>0</v>
      </c>
      <c r="BE1135">
        <v>0</v>
      </c>
      <c r="BF1135">
        <v>0</v>
      </c>
      <c r="BG1135">
        <v>0</v>
      </c>
      <c r="BH1135">
        <v>1</v>
      </c>
      <c r="BI1135">
        <v>3</v>
      </c>
      <c r="BJ1135">
        <v>3.2</v>
      </c>
      <c r="BK1135">
        <v>4</v>
      </c>
      <c r="BL1135">
        <v>54.66</v>
      </c>
      <c r="BM1135">
        <v>8.1999999999999993</v>
      </c>
      <c r="BN1135">
        <v>62.86</v>
      </c>
      <c r="BO1135">
        <v>62.86</v>
      </c>
      <c r="BQ1135" t="s">
        <v>1842</v>
      </c>
      <c r="BR1135" t="s">
        <v>84</v>
      </c>
      <c r="BS1135" s="3">
        <v>45791</v>
      </c>
      <c r="BT1135" s="4">
        <v>0.43055555555555558</v>
      </c>
      <c r="BU1135" t="s">
        <v>1843</v>
      </c>
      <c r="BV1135" t="s">
        <v>86</v>
      </c>
      <c r="BY1135">
        <v>16240</v>
      </c>
      <c r="CA1135" t="s">
        <v>605</v>
      </c>
      <c r="CC1135" t="s">
        <v>76</v>
      </c>
      <c r="CD1135">
        <v>1610</v>
      </c>
      <c r="CE1135" t="s">
        <v>221</v>
      </c>
      <c r="CF1135" s="3">
        <v>45792</v>
      </c>
      <c r="CI1135">
        <v>1</v>
      </c>
      <c r="CJ1135">
        <v>1</v>
      </c>
      <c r="CK1135">
        <v>22</v>
      </c>
      <c r="CL1135" t="s">
        <v>89</v>
      </c>
    </row>
    <row r="1136" spans="1:90" x14ac:dyDescent="0.3">
      <c r="A1136" t="s">
        <v>72</v>
      </c>
      <c r="B1136" t="s">
        <v>73</v>
      </c>
      <c r="C1136" t="s">
        <v>74</v>
      </c>
      <c r="E1136" t="str">
        <f>"080065347355"</f>
        <v>080065347355</v>
      </c>
      <c r="F1136" s="3">
        <v>45790</v>
      </c>
      <c r="G1136">
        <v>202602</v>
      </c>
      <c r="H1136" t="s">
        <v>75</v>
      </c>
      <c r="I1136" t="s">
        <v>76</v>
      </c>
      <c r="J1136" t="s">
        <v>77</v>
      </c>
      <c r="K1136" t="s">
        <v>78</v>
      </c>
      <c r="L1136" t="s">
        <v>136</v>
      </c>
      <c r="M1136" t="s">
        <v>137</v>
      </c>
      <c r="N1136" t="s">
        <v>138</v>
      </c>
      <c r="O1136" t="s">
        <v>82</v>
      </c>
      <c r="P1136" t="str">
        <f>"4170038144                    "</f>
        <v xml:space="preserve">4170038144                    </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21.38</v>
      </c>
      <c r="AR1136">
        <v>0</v>
      </c>
      <c r="AS1136">
        <v>0</v>
      </c>
      <c r="AT1136">
        <v>0</v>
      </c>
      <c r="AU1136">
        <v>0</v>
      </c>
      <c r="AV1136">
        <v>0</v>
      </c>
      <c r="AW1136">
        <v>0</v>
      </c>
      <c r="AX1136">
        <v>0</v>
      </c>
      <c r="AY1136">
        <v>0</v>
      </c>
      <c r="AZ1136">
        <v>0</v>
      </c>
      <c r="BA1136">
        <v>0</v>
      </c>
      <c r="BB1136">
        <v>0</v>
      </c>
      <c r="BC1136">
        <v>0</v>
      </c>
      <c r="BD1136">
        <v>0</v>
      </c>
      <c r="BE1136">
        <v>0</v>
      </c>
      <c r="BF1136">
        <v>0</v>
      </c>
      <c r="BG1136">
        <v>0</v>
      </c>
      <c r="BH1136">
        <v>1</v>
      </c>
      <c r="BI1136">
        <v>1</v>
      </c>
      <c r="BJ1136">
        <v>0.2</v>
      </c>
      <c r="BK1136">
        <v>1</v>
      </c>
      <c r="BL1136">
        <v>69.98</v>
      </c>
      <c r="BM1136">
        <v>10.5</v>
      </c>
      <c r="BN1136">
        <v>80.48</v>
      </c>
      <c r="BO1136">
        <v>80.48</v>
      </c>
      <c r="BQ1136" t="s">
        <v>139</v>
      </c>
      <c r="BR1136" t="s">
        <v>84</v>
      </c>
      <c r="BS1136" s="3">
        <v>45791</v>
      </c>
      <c r="BT1136" s="4">
        <v>0.43611111111111112</v>
      </c>
      <c r="BU1136" t="s">
        <v>1844</v>
      </c>
      <c r="BV1136" t="s">
        <v>86</v>
      </c>
      <c r="BY1136">
        <v>1200</v>
      </c>
      <c r="CC1136" t="s">
        <v>137</v>
      </c>
      <c r="CD1136" s="5" t="s">
        <v>142</v>
      </c>
      <c r="CE1136" t="s">
        <v>88</v>
      </c>
      <c r="CF1136" s="3">
        <v>45791</v>
      </c>
      <c r="CI1136">
        <v>1</v>
      </c>
      <c r="CJ1136">
        <v>1</v>
      </c>
      <c r="CK1136">
        <v>21</v>
      </c>
      <c r="CL1136" t="s">
        <v>89</v>
      </c>
    </row>
    <row r="1137" spans="1:90" x14ac:dyDescent="0.3">
      <c r="A1137" t="s">
        <v>72</v>
      </c>
      <c r="B1137" t="s">
        <v>73</v>
      </c>
      <c r="C1137" t="s">
        <v>74</v>
      </c>
      <c r="E1137" t="str">
        <f>"080065347391"</f>
        <v>080065347391</v>
      </c>
      <c r="F1137" s="3">
        <v>45790</v>
      </c>
      <c r="G1137">
        <v>202602</v>
      </c>
      <c r="H1137" t="s">
        <v>75</v>
      </c>
      <c r="I1137" t="s">
        <v>76</v>
      </c>
      <c r="J1137" t="s">
        <v>77</v>
      </c>
      <c r="K1137" t="s">
        <v>78</v>
      </c>
      <c r="L1137" t="s">
        <v>130</v>
      </c>
      <c r="M1137" t="s">
        <v>131</v>
      </c>
      <c r="N1137" t="s">
        <v>343</v>
      </c>
      <c r="O1137" t="s">
        <v>82</v>
      </c>
      <c r="P1137" t="str">
        <f>"4170038087                    "</f>
        <v xml:space="preserve">4170038087                    </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21.38</v>
      </c>
      <c r="AR1137">
        <v>0</v>
      </c>
      <c r="AS1137">
        <v>0</v>
      </c>
      <c r="AT1137">
        <v>0</v>
      </c>
      <c r="AU1137">
        <v>0</v>
      </c>
      <c r="AV1137">
        <v>0</v>
      </c>
      <c r="AW1137">
        <v>0</v>
      </c>
      <c r="AX1137">
        <v>0</v>
      </c>
      <c r="AY1137">
        <v>0</v>
      </c>
      <c r="AZ1137">
        <v>0</v>
      </c>
      <c r="BA1137">
        <v>0</v>
      </c>
      <c r="BB1137">
        <v>0</v>
      </c>
      <c r="BC1137">
        <v>0</v>
      </c>
      <c r="BD1137">
        <v>0</v>
      </c>
      <c r="BE1137">
        <v>0</v>
      </c>
      <c r="BF1137">
        <v>0</v>
      </c>
      <c r="BG1137">
        <v>0</v>
      </c>
      <c r="BH1137">
        <v>1</v>
      </c>
      <c r="BI1137">
        <v>1</v>
      </c>
      <c r="BJ1137">
        <v>1.1000000000000001</v>
      </c>
      <c r="BK1137">
        <v>1.5</v>
      </c>
      <c r="BL1137">
        <v>69.98</v>
      </c>
      <c r="BM1137">
        <v>10.5</v>
      </c>
      <c r="BN1137">
        <v>80.48</v>
      </c>
      <c r="BO1137">
        <v>80.48</v>
      </c>
      <c r="BQ1137" t="s">
        <v>344</v>
      </c>
      <c r="BR1137" t="s">
        <v>84</v>
      </c>
      <c r="BS1137" s="3">
        <v>45791</v>
      </c>
      <c r="BT1137" s="4">
        <v>0.40972222222222221</v>
      </c>
      <c r="BU1137" t="s">
        <v>1427</v>
      </c>
      <c r="BV1137" t="s">
        <v>86</v>
      </c>
      <c r="BY1137">
        <v>5320</v>
      </c>
      <c r="CC1137" t="s">
        <v>131</v>
      </c>
      <c r="CD1137">
        <v>7441</v>
      </c>
      <c r="CE1137" t="s">
        <v>116</v>
      </c>
      <c r="CF1137" s="3">
        <v>45792</v>
      </c>
      <c r="CI1137">
        <v>1</v>
      </c>
      <c r="CJ1137">
        <v>1</v>
      </c>
      <c r="CK1137">
        <v>21</v>
      </c>
      <c r="CL1137" t="s">
        <v>89</v>
      </c>
    </row>
    <row r="1138" spans="1:90" x14ac:dyDescent="0.3">
      <c r="A1138" t="s">
        <v>72</v>
      </c>
      <c r="B1138" t="s">
        <v>73</v>
      </c>
      <c r="C1138" t="s">
        <v>74</v>
      </c>
      <c r="E1138" t="str">
        <f>"080065347616"</f>
        <v>080065347616</v>
      </c>
      <c r="F1138" s="3">
        <v>45790</v>
      </c>
      <c r="G1138">
        <v>202602</v>
      </c>
      <c r="H1138" t="s">
        <v>75</v>
      </c>
      <c r="I1138" t="s">
        <v>76</v>
      </c>
      <c r="J1138" t="s">
        <v>77</v>
      </c>
      <c r="K1138" t="s">
        <v>78</v>
      </c>
      <c r="L1138" t="s">
        <v>350</v>
      </c>
      <c r="M1138" t="s">
        <v>351</v>
      </c>
      <c r="N1138" t="s">
        <v>459</v>
      </c>
      <c r="O1138" t="s">
        <v>82</v>
      </c>
      <c r="P1138" t="str">
        <f>"4170038096                    "</f>
        <v xml:space="preserve">4170038096                    </v>
      </c>
      <c r="Q1138">
        <v>0</v>
      </c>
      <c r="R1138">
        <v>0</v>
      </c>
      <c r="S1138">
        <v>0</v>
      </c>
      <c r="T1138">
        <v>0</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21.38</v>
      </c>
      <c r="AR1138">
        <v>0</v>
      </c>
      <c r="AS1138">
        <v>0</v>
      </c>
      <c r="AT1138">
        <v>0</v>
      </c>
      <c r="AU1138">
        <v>0</v>
      </c>
      <c r="AV1138">
        <v>0</v>
      </c>
      <c r="AW1138">
        <v>0</v>
      </c>
      <c r="AX1138">
        <v>0</v>
      </c>
      <c r="AY1138">
        <v>0</v>
      </c>
      <c r="AZ1138">
        <v>0</v>
      </c>
      <c r="BA1138">
        <v>0</v>
      </c>
      <c r="BB1138">
        <v>0</v>
      </c>
      <c r="BC1138">
        <v>0</v>
      </c>
      <c r="BD1138">
        <v>0</v>
      </c>
      <c r="BE1138">
        <v>0</v>
      </c>
      <c r="BF1138">
        <v>0</v>
      </c>
      <c r="BG1138">
        <v>0</v>
      </c>
      <c r="BH1138">
        <v>1</v>
      </c>
      <c r="BI1138">
        <v>1</v>
      </c>
      <c r="BJ1138">
        <v>0.2</v>
      </c>
      <c r="BK1138">
        <v>1</v>
      </c>
      <c r="BL1138">
        <v>69.98</v>
      </c>
      <c r="BM1138">
        <v>10.5</v>
      </c>
      <c r="BN1138">
        <v>80.48</v>
      </c>
      <c r="BO1138">
        <v>80.48</v>
      </c>
      <c r="BQ1138" t="s">
        <v>460</v>
      </c>
      <c r="BR1138" t="s">
        <v>84</v>
      </c>
      <c r="BS1138" s="3">
        <v>45791</v>
      </c>
      <c r="BT1138" s="4">
        <v>0.33819444444444446</v>
      </c>
      <c r="BU1138" t="s">
        <v>1121</v>
      </c>
      <c r="BV1138" t="s">
        <v>86</v>
      </c>
      <c r="BY1138">
        <v>1200</v>
      </c>
      <c r="CA1138" t="s">
        <v>462</v>
      </c>
      <c r="CC1138" t="s">
        <v>351</v>
      </c>
      <c r="CD1138">
        <v>4000</v>
      </c>
      <c r="CE1138" t="s">
        <v>88</v>
      </c>
      <c r="CF1138" s="3">
        <v>45792</v>
      </c>
      <c r="CI1138">
        <v>1</v>
      </c>
      <c r="CJ1138">
        <v>1</v>
      </c>
      <c r="CK1138">
        <v>21</v>
      </c>
      <c r="CL1138" t="s">
        <v>89</v>
      </c>
    </row>
    <row r="1139" spans="1:90" x14ac:dyDescent="0.3">
      <c r="A1139" t="s">
        <v>72</v>
      </c>
      <c r="B1139" t="s">
        <v>73</v>
      </c>
      <c r="C1139" t="s">
        <v>74</v>
      </c>
      <c r="E1139" t="str">
        <f>"080065347621"</f>
        <v>080065347621</v>
      </c>
      <c r="F1139" s="3">
        <v>45790</v>
      </c>
      <c r="G1139">
        <v>202602</v>
      </c>
      <c r="H1139" t="s">
        <v>75</v>
      </c>
      <c r="I1139" t="s">
        <v>76</v>
      </c>
      <c r="J1139" t="s">
        <v>77</v>
      </c>
      <c r="K1139" t="s">
        <v>78</v>
      </c>
      <c r="L1139" t="s">
        <v>350</v>
      </c>
      <c r="M1139" t="s">
        <v>351</v>
      </c>
      <c r="N1139" t="s">
        <v>678</v>
      </c>
      <c r="O1139" t="s">
        <v>82</v>
      </c>
      <c r="P1139" t="str">
        <f>"4170038095                    "</f>
        <v xml:space="preserve">4170038095                    </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21.38</v>
      </c>
      <c r="AR1139">
        <v>0</v>
      </c>
      <c r="AS1139">
        <v>0</v>
      </c>
      <c r="AT1139">
        <v>0</v>
      </c>
      <c r="AU1139">
        <v>0</v>
      </c>
      <c r="AV1139">
        <v>0</v>
      </c>
      <c r="AW1139">
        <v>0</v>
      </c>
      <c r="AX1139">
        <v>0</v>
      </c>
      <c r="AY1139">
        <v>0</v>
      </c>
      <c r="AZ1139">
        <v>0</v>
      </c>
      <c r="BA1139">
        <v>0</v>
      </c>
      <c r="BB1139">
        <v>0</v>
      </c>
      <c r="BC1139">
        <v>0</v>
      </c>
      <c r="BD1139">
        <v>0</v>
      </c>
      <c r="BE1139">
        <v>0</v>
      </c>
      <c r="BF1139">
        <v>0</v>
      </c>
      <c r="BG1139">
        <v>0</v>
      </c>
      <c r="BH1139">
        <v>1</v>
      </c>
      <c r="BI1139">
        <v>1</v>
      </c>
      <c r="BJ1139">
        <v>1.7</v>
      </c>
      <c r="BK1139">
        <v>2</v>
      </c>
      <c r="BL1139">
        <v>69.98</v>
      </c>
      <c r="BM1139">
        <v>10.5</v>
      </c>
      <c r="BN1139">
        <v>80.48</v>
      </c>
      <c r="BO1139">
        <v>80.48</v>
      </c>
      <c r="BQ1139" t="s">
        <v>679</v>
      </c>
      <c r="BR1139" t="s">
        <v>84</v>
      </c>
      <c r="BS1139" s="3">
        <v>45791</v>
      </c>
      <c r="BT1139" s="4">
        <v>0.41666666666666669</v>
      </c>
      <c r="BU1139" t="s">
        <v>680</v>
      </c>
      <c r="BV1139" t="s">
        <v>86</v>
      </c>
      <c r="BY1139">
        <v>8512</v>
      </c>
      <c r="CA1139" t="s">
        <v>326</v>
      </c>
      <c r="CC1139" t="s">
        <v>351</v>
      </c>
      <c r="CD1139">
        <v>4052</v>
      </c>
      <c r="CE1139" t="s">
        <v>116</v>
      </c>
      <c r="CF1139" s="3">
        <v>45792</v>
      </c>
      <c r="CI1139">
        <v>1</v>
      </c>
      <c r="CJ1139">
        <v>1</v>
      </c>
      <c r="CK1139">
        <v>21</v>
      </c>
      <c r="CL1139" t="s">
        <v>89</v>
      </c>
    </row>
    <row r="1140" spans="1:90" x14ac:dyDescent="0.3">
      <c r="A1140" t="s">
        <v>72</v>
      </c>
      <c r="B1140" t="s">
        <v>73</v>
      </c>
      <c r="C1140" t="s">
        <v>74</v>
      </c>
      <c r="E1140" t="str">
        <f>"080065347658"</f>
        <v>080065347658</v>
      </c>
      <c r="F1140" s="3">
        <v>45790</v>
      </c>
      <c r="G1140">
        <v>202602</v>
      </c>
      <c r="H1140" t="s">
        <v>75</v>
      </c>
      <c r="I1140" t="s">
        <v>76</v>
      </c>
      <c r="J1140" t="s">
        <v>77</v>
      </c>
      <c r="K1140" t="s">
        <v>78</v>
      </c>
      <c r="L1140" t="s">
        <v>136</v>
      </c>
      <c r="M1140" t="s">
        <v>137</v>
      </c>
      <c r="N1140" t="s">
        <v>773</v>
      </c>
      <c r="O1140" t="s">
        <v>82</v>
      </c>
      <c r="P1140" t="str">
        <f>"4170038067                    "</f>
        <v xml:space="preserve">4170038067                    </v>
      </c>
      <c r="Q1140">
        <v>0</v>
      </c>
      <c r="R1140">
        <v>0</v>
      </c>
      <c r="S1140">
        <v>0</v>
      </c>
      <c r="T1140">
        <v>0</v>
      </c>
      <c r="U1140">
        <v>0</v>
      </c>
      <c r="V1140">
        <v>0</v>
      </c>
      <c r="W1140">
        <v>0</v>
      </c>
      <c r="X1140">
        <v>0</v>
      </c>
      <c r="Y1140">
        <v>0</v>
      </c>
      <c r="Z1140">
        <v>0</v>
      </c>
      <c r="AA1140">
        <v>0</v>
      </c>
      <c r="AB1140">
        <v>0</v>
      </c>
      <c r="AC1140">
        <v>0</v>
      </c>
      <c r="AD1140">
        <v>0</v>
      </c>
      <c r="AE1140">
        <v>0</v>
      </c>
      <c r="AF1140">
        <v>0</v>
      </c>
      <c r="AG1140">
        <v>0</v>
      </c>
      <c r="AH1140">
        <v>0</v>
      </c>
      <c r="AI1140">
        <v>0</v>
      </c>
      <c r="AJ1140">
        <v>0</v>
      </c>
      <c r="AK1140">
        <v>0</v>
      </c>
      <c r="AL1140">
        <v>0</v>
      </c>
      <c r="AM1140">
        <v>0</v>
      </c>
      <c r="AN1140">
        <v>0</v>
      </c>
      <c r="AO1140">
        <v>0</v>
      </c>
      <c r="AP1140">
        <v>0</v>
      </c>
      <c r="AQ1140">
        <v>21.38</v>
      </c>
      <c r="AR1140">
        <v>0</v>
      </c>
      <c r="AS1140">
        <v>0</v>
      </c>
      <c r="AT1140">
        <v>0</v>
      </c>
      <c r="AU1140">
        <v>0</v>
      </c>
      <c r="AV1140">
        <v>0</v>
      </c>
      <c r="AW1140">
        <v>0</v>
      </c>
      <c r="AX1140">
        <v>0</v>
      </c>
      <c r="AY1140">
        <v>0</v>
      </c>
      <c r="AZ1140">
        <v>0</v>
      </c>
      <c r="BA1140">
        <v>0</v>
      </c>
      <c r="BB1140">
        <v>0</v>
      </c>
      <c r="BC1140">
        <v>0</v>
      </c>
      <c r="BD1140">
        <v>0</v>
      </c>
      <c r="BE1140">
        <v>0</v>
      </c>
      <c r="BF1140">
        <v>0</v>
      </c>
      <c r="BG1140">
        <v>0</v>
      </c>
      <c r="BH1140">
        <v>1</v>
      </c>
      <c r="BI1140">
        <v>1</v>
      </c>
      <c r="BJ1140">
        <v>0.2</v>
      </c>
      <c r="BK1140">
        <v>1</v>
      </c>
      <c r="BL1140">
        <v>69.98</v>
      </c>
      <c r="BM1140">
        <v>10.5</v>
      </c>
      <c r="BN1140">
        <v>80.48</v>
      </c>
      <c r="BO1140">
        <v>80.48</v>
      </c>
      <c r="BQ1140" t="s">
        <v>774</v>
      </c>
      <c r="BR1140" t="s">
        <v>84</v>
      </c>
      <c r="BS1140" s="3">
        <v>45791</v>
      </c>
      <c r="BT1140" s="4">
        <v>0.42777777777777776</v>
      </c>
      <c r="BU1140" t="s">
        <v>1754</v>
      </c>
      <c r="BV1140" t="s">
        <v>86</v>
      </c>
      <c r="BY1140">
        <v>1200</v>
      </c>
      <c r="CA1140" t="s">
        <v>141</v>
      </c>
      <c r="CC1140" t="s">
        <v>137</v>
      </c>
      <c r="CD1140" s="5" t="s">
        <v>142</v>
      </c>
      <c r="CE1140" t="s">
        <v>88</v>
      </c>
      <c r="CF1140" s="3">
        <v>45791</v>
      </c>
      <c r="CI1140">
        <v>1</v>
      </c>
      <c r="CJ1140">
        <v>1</v>
      </c>
      <c r="CK1140">
        <v>21</v>
      </c>
      <c r="CL1140" t="s">
        <v>89</v>
      </c>
    </row>
    <row r="1141" spans="1:90" x14ac:dyDescent="0.3">
      <c r="A1141" t="s">
        <v>72</v>
      </c>
      <c r="B1141" t="s">
        <v>73</v>
      </c>
      <c r="C1141" t="s">
        <v>74</v>
      </c>
      <c r="E1141" t="str">
        <f>"080065347663"</f>
        <v>080065347663</v>
      </c>
      <c r="F1141" s="3">
        <v>45790</v>
      </c>
      <c r="G1141">
        <v>202602</v>
      </c>
      <c r="H1141" t="s">
        <v>75</v>
      </c>
      <c r="I1141" t="s">
        <v>76</v>
      </c>
      <c r="J1141" t="s">
        <v>77</v>
      </c>
      <c r="K1141" t="s">
        <v>78</v>
      </c>
      <c r="L1141" t="s">
        <v>350</v>
      </c>
      <c r="M1141" t="s">
        <v>351</v>
      </c>
      <c r="N1141" t="s">
        <v>459</v>
      </c>
      <c r="O1141" t="s">
        <v>82</v>
      </c>
      <c r="P1141" t="str">
        <f>"4170037993                    "</f>
        <v xml:space="preserve">4170037993                    </v>
      </c>
      <c r="Q1141">
        <v>0</v>
      </c>
      <c r="R1141">
        <v>0</v>
      </c>
      <c r="S1141">
        <v>0</v>
      </c>
      <c r="T1141">
        <v>0</v>
      </c>
      <c r="U1141">
        <v>0</v>
      </c>
      <c r="V1141">
        <v>0</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21.38</v>
      </c>
      <c r="AR1141">
        <v>0</v>
      </c>
      <c r="AS1141">
        <v>0</v>
      </c>
      <c r="AT1141">
        <v>0</v>
      </c>
      <c r="AU1141">
        <v>0</v>
      </c>
      <c r="AV1141">
        <v>0</v>
      </c>
      <c r="AW1141">
        <v>0</v>
      </c>
      <c r="AX1141">
        <v>0</v>
      </c>
      <c r="AY1141">
        <v>0</v>
      </c>
      <c r="AZ1141">
        <v>0</v>
      </c>
      <c r="BA1141">
        <v>0</v>
      </c>
      <c r="BB1141">
        <v>0</v>
      </c>
      <c r="BC1141">
        <v>0</v>
      </c>
      <c r="BD1141">
        <v>0</v>
      </c>
      <c r="BE1141">
        <v>0</v>
      </c>
      <c r="BF1141">
        <v>0</v>
      </c>
      <c r="BG1141">
        <v>0</v>
      </c>
      <c r="BH1141">
        <v>1</v>
      </c>
      <c r="BI1141">
        <v>1</v>
      </c>
      <c r="BJ1141">
        <v>1.7</v>
      </c>
      <c r="BK1141">
        <v>2</v>
      </c>
      <c r="BL1141">
        <v>69.98</v>
      </c>
      <c r="BM1141">
        <v>10.5</v>
      </c>
      <c r="BN1141">
        <v>80.48</v>
      </c>
      <c r="BO1141">
        <v>80.48</v>
      </c>
      <c r="BQ1141" t="s">
        <v>460</v>
      </c>
      <c r="BR1141" t="s">
        <v>84</v>
      </c>
      <c r="BS1141" s="3">
        <v>45791</v>
      </c>
      <c r="BT1141" s="4">
        <v>0.33819444444444446</v>
      </c>
      <c r="BU1141" t="s">
        <v>1121</v>
      </c>
      <c r="BV1141" t="s">
        <v>86</v>
      </c>
      <c r="BY1141">
        <v>8512</v>
      </c>
      <c r="CA1141" t="s">
        <v>462</v>
      </c>
      <c r="CC1141" t="s">
        <v>351</v>
      </c>
      <c r="CD1141">
        <v>4051</v>
      </c>
      <c r="CE1141" t="s">
        <v>116</v>
      </c>
      <c r="CF1141" s="3">
        <v>45792</v>
      </c>
      <c r="CI1141">
        <v>1</v>
      </c>
      <c r="CJ1141">
        <v>1</v>
      </c>
      <c r="CK1141">
        <v>21</v>
      </c>
      <c r="CL1141" t="s">
        <v>89</v>
      </c>
    </row>
    <row r="1142" spans="1:90" x14ac:dyDescent="0.3">
      <c r="A1142" t="s">
        <v>72</v>
      </c>
      <c r="B1142" t="s">
        <v>73</v>
      </c>
      <c r="C1142" t="s">
        <v>74</v>
      </c>
      <c r="E1142" t="str">
        <f>"080065347693"</f>
        <v>080065347693</v>
      </c>
      <c r="F1142" s="3">
        <v>45790</v>
      </c>
      <c r="G1142">
        <v>202602</v>
      </c>
      <c r="H1142" t="s">
        <v>75</v>
      </c>
      <c r="I1142" t="s">
        <v>76</v>
      </c>
      <c r="J1142" t="s">
        <v>77</v>
      </c>
      <c r="K1142" t="s">
        <v>78</v>
      </c>
      <c r="L1142" t="s">
        <v>648</v>
      </c>
      <c r="M1142" t="s">
        <v>649</v>
      </c>
      <c r="N1142" t="s">
        <v>1845</v>
      </c>
      <c r="O1142" t="s">
        <v>82</v>
      </c>
      <c r="P1142" t="str">
        <f>"4170038086                    "</f>
        <v xml:space="preserve">4170038086                    </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16.7</v>
      </c>
      <c r="AR1142">
        <v>0</v>
      </c>
      <c r="AS1142">
        <v>0</v>
      </c>
      <c r="AT1142">
        <v>0</v>
      </c>
      <c r="AU1142">
        <v>0</v>
      </c>
      <c r="AV1142">
        <v>0</v>
      </c>
      <c r="AW1142">
        <v>0</v>
      </c>
      <c r="AX1142">
        <v>0</v>
      </c>
      <c r="AY1142">
        <v>0</v>
      </c>
      <c r="AZ1142">
        <v>0</v>
      </c>
      <c r="BA1142">
        <v>0</v>
      </c>
      <c r="BB1142">
        <v>0</v>
      </c>
      <c r="BC1142">
        <v>0</v>
      </c>
      <c r="BD1142">
        <v>0</v>
      </c>
      <c r="BE1142">
        <v>0</v>
      </c>
      <c r="BF1142">
        <v>0</v>
      </c>
      <c r="BG1142">
        <v>0</v>
      </c>
      <c r="BH1142">
        <v>1</v>
      </c>
      <c r="BI1142">
        <v>1</v>
      </c>
      <c r="BJ1142">
        <v>0.2</v>
      </c>
      <c r="BK1142">
        <v>1</v>
      </c>
      <c r="BL1142">
        <v>54.66</v>
      </c>
      <c r="BM1142">
        <v>8.1999999999999993</v>
      </c>
      <c r="BN1142">
        <v>62.86</v>
      </c>
      <c r="BO1142">
        <v>62.86</v>
      </c>
      <c r="BQ1142" t="s">
        <v>1846</v>
      </c>
      <c r="BR1142" t="s">
        <v>84</v>
      </c>
      <c r="BS1142" s="3">
        <v>45791</v>
      </c>
      <c r="BT1142" s="4">
        <v>0.3576388888888889</v>
      </c>
      <c r="BU1142" t="s">
        <v>1403</v>
      </c>
      <c r="BV1142" t="s">
        <v>86</v>
      </c>
      <c r="BY1142">
        <v>1200</v>
      </c>
      <c r="CA1142" t="s">
        <v>698</v>
      </c>
      <c r="CC1142" t="s">
        <v>649</v>
      </c>
      <c r="CD1142">
        <v>1559</v>
      </c>
      <c r="CE1142" t="s">
        <v>88</v>
      </c>
      <c r="CF1142" s="3">
        <v>45791</v>
      </c>
      <c r="CI1142">
        <v>1</v>
      </c>
      <c r="CJ1142">
        <v>1</v>
      </c>
      <c r="CK1142">
        <v>22</v>
      </c>
      <c r="CL1142" t="s">
        <v>89</v>
      </c>
    </row>
    <row r="1143" spans="1:90" x14ac:dyDescent="0.3">
      <c r="A1143" t="s">
        <v>72</v>
      </c>
      <c r="B1143" t="s">
        <v>73</v>
      </c>
      <c r="C1143" t="s">
        <v>74</v>
      </c>
      <c r="E1143" t="str">
        <f>"080065347739"</f>
        <v>080065347739</v>
      </c>
      <c r="F1143" s="3">
        <v>45790</v>
      </c>
      <c r="G1143">
        <v>202602</v>
      </c>
      <c r="H1143" t="s">
        <v>75</v>
      </c>
      <c r="I1143" t="s">
        <v>76</v>
      </c>
      <c r="J1143" t="s">
        <v>77</v>
      </c>
      <c r="K1143" t="s">
        <v>78</v>
      </c>
      <c r="L1143" t="s">
        <v>136</v>
      </c>
      <c r="M1143" t="s">
        <v>137</v>
      </c>
      <c r="N1143" t="s">
        <v>138</v>
      </c>
      <c r="O1143" t="s">
        <v>82</v>
      </c>
      <c r="P1143" t="str">
        <f>"4170038064                    "</f>
        <v xml:space="preserve">4170038064                    </v>
      </c>
      <c r="Q1143">
        <v>0</v>
      </c>
      <c r="R1143">
        <v>0</v>
      </c>
      <c r="S1143">
        <v>0</v>
      </c>
      <c r="T1143">
        <v>0</v>
      </c>
      <c r="U1143">
        <v>0</v>
      </c>
      <c r="V1143">
        <v>0</v>
      </c>
      <c r="W1143">
        <v>0</v>
      </c>
      <c r="X1143">
        <v>0</v>
      </c>
      <c r="Y1143">
        <v>0</v>
      </c>
      <c r="Z1143">
        <v>0</v>
      </c>
      <c r="AA1143">
        <v>0</v>
      </c>
      <c r="AB1143">
        <v>0</v>
      </c>
      <c r="AC1143">
        <v>0</v>
      </c>
      <c r="AD1143">
        <v>0</v>
      </c>
      <c r="AE1143">
        <v>0</v>
      </c>
      <c r="AF1143">
        <v>0</v>
      </c>
      <c r="AG1143">
        <v>0</v>
      </c>
      <c r="AH1143">
        <v>0</v>
      </c>
      <c r="AI1143">
        <v>0</v>
      </c>
      <c r="AJ1143">
        <v>0</v>
      </c>
      <c r="AK1143">
        <v>0</v>
      </c>
      <c r="AL1143">
        <v>0</v>
      </c>
      <c r="AM1143">
        <v>0</v>
      </c>
      <c r="AN1143">
        <v>0</v>
      </c>
      <c r="AO1143">
        <v>0</v>
      </c>
      <c r="AP1143">
        <v>0</v>
      </c>
      <c r="AQ1143">
        <v>21.38</v>
      </c>
      <c r="AR1143">
        <v>0</v>
      </c>
      <c r="AS1143">
        <v>0</v>
      </c>
      <c r="AT1143">
        <v>0</v>
      </c>
      <c r="AU1143">
        <v>0</v>
      </c>
      <c r="AV1143">
        <v>0</v>
      </c>
      <c r="AW1143">
        <v>0</v>
      </c>
      <c r="AX1143">
        <v>0</v>
      </c>
      <c r="AY1143">
        <v>0</v>
      </c>
      <c r="AZ1143">
        <v>0</v>
      </c>
      <c r="BA1143">
        <v>0</v>
      </c>
      <c r="BB1143">
        <v>0</v>
      </c>
      <c r="BC1143">
        <v>0</v>
      </c>
      <c r="BD1143">
        <v>0</v>
      </c>
      <c r="BE1143">
        <v>0</v>
      </c>
      <c r="BF1143">
        <v>0</v>
      </c>
      <c r="BG1143">
        <v>0</v>
      </c>
      <c r="BH1143">
        <v>1</v>
      </c>
      <c r="BI1143">
        <v>1</v>
      </c>
      <c r="BJ1143">
        <v>0.2</v>
      </c>
      <c r="BK1143">
        <v>1</v>
      </c>
      <c r="BL1143">
        <v>69.98</v>
      </c>
      <c r="BM1143">
        <v>10.5</v>
      </c>
      <c r="BN1143">
        <v>80.48</v>
      </c>
      <c r="BO1143">
        <v>80.48</v>
      </c>
      <c r="BQ1143" t="s">
        <v>139</v>
      </c>
      <c r="BR1143" t="s">
        <v>84</v>
      </c>
      <c r="BS1143" s="3">
        <v>45791</v>
      </c>
      <c r="BT1143" s="4">
        <v>0.44027777777777777</v>
      </c>
      <c r="BU1143" t="s">
        <v>1847</v>
      </c>
      <c r="BV1143" t="s">
        <v>89</v>
      </c>
      <c r="BW1143" t="s">
        <v>148</v>
      </c>
      <c r="BX1143" t="s">
        <v>1848</v>
      </c>
      <c r="BY1143">
        <v>1200</v>
      </c>
      <c r="CA1143" t="s">
        <v>141</v>
      </c>
      <c r="CC1143" t="s">
        <v>137</v>
      </c>
      <c r="CD1143" s="5" t="s">
        <v>142</v>
      </c>
      <c r="CE1143" t="s">
        <v>88</v>
      </c>
      <c r="CF1143" s="3">
        <v>45791</v>
      </c>
      <c r="CI1143">
        <v>1</v>
      </c>
      <c r="CJ1143">
        <v>1</v>
      </c>
      <c r="CK1143">
        <v>21</v>
      </c>
      <c r="CL1143" t="s">
        <v>89</v>
      </c>
    </row>
    <row r="1144" spans="1:90" x14ac:dyDescent="0.3">
      <c r="A1144" t="s">
        <v>72</v>
      </c>
      <c r="B1144" t="s">
        <v>73</v>
      </c>
      <c r="C1144" t="s">
        <v>74</v>
      </c>
      <c r="E1144" t="str">
        <f>"080065347775"</f>
        <v>080065347775</v>
      </c>
      <c r="F1144" s="3">
        <v>45790</v>
      </c>
      <c r="G1144">
        <v>202602</v>
      </c>
      <c r="H1144" t="s">
        <v>75</v>
      </c>
      <c r="I1144" t="s">
        <v>76</v>
      </c>
      <c r="J1144" t="s">
        <v>77</v>
      </c>
      <c r="K1144" t="s">
        <v>78</v>
      </c>
      <c r="L1144" t="s">
        <v>79</v>
      </c>
      <c r="M1144" t="s">
        <v>80</v>
      </c>
      <c r="N1144" t="s">
        <v>452</v>
      </c>
      <c r="O1144" t="s">
        <v>82</v>
      </c>
      <c r="P1144" t="str">
        <f>"4170038038                    "</f>
        <v xml:space="preserve">4170038038                    </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42.75</v>
      </c>
      <c r="AR1144">
        <v>0</v>
      </c>
      <c r="AS1144">
        <v>0</v>
      </c>
      <c r="AT1144">
        <v>0</v>
      </c>
      <c r="AU1144">
        <v>0</v>
      </c>
      <c r="AV1144">
        <v>0</v>
      </c>
      <c r="AW1144">
        <v>0</v>
      </c>
      <c r="AX1144">
        <v>0</v>
      </c>
      <c r="AY1144">
        <v>0</v>
      </c>
      <c r="AZ1144">
        <v>0</v>
      </c>
      <c r="BA1144">
        <v>0</v>
      </c>
      <c r="BB1144">
        <v>0</v>
      </c>
      <c r="BC1144">
        <v>0</v>
      </c>
      <c r="BD1144">
        <v>0</v>
      </c>
      <c r="BE1144">
        <v>0</v>
      </c>
      <c r="BF1144">
        <v>0</v>
      </c>
      <c r="BG1144">
        <v>0</v>
      </c>
      <c r="BH1144">
        <v>1</v>
      </c>
      <c r="BI1144">
        <v>4</v>
      </c>
      <c r="BJ1144">
        <v>1.9</v>
      </c>
      <c r="BK1144">
        <v>4</v>
      </c>
      <c r="BL1144">
        <v>139.91</v>
      </c>
      <c r="BM1144">
        <v>20.99</v>
      </c>
      <c r="BN1144">
        <v>160.9</v>
      </c>
      <c r="BO1144">
        <v>160.9</v>
      </c>
      <c r="BQ1144" t="s">
        <v>453</v>
      </c>
      <c r="BR1144" t="s">
        <v>84</v>
      </c>
      <c r="BS1144" s="3">
        <v>45791</v>
      </c>
      <c r="BT1144" s="4">
        <v>0.375</v>
      </c>
      <c r="BU1144" t="s">
        <v>1071</v>
      </c>
      <c r="BV1144" t="s">
        <v>86</v>
      </c>
      <c r="BY1144">
        <v>9600</v>
      </c>
      <c r="CA1144" t="s">
        <v>160</v>
      </c>
      <c r="CC1144" t="s">
        <v>80</v>
      </c>
      <c r="CD1144">
        <v>3610</v>
      </c>
      <c r="CE1144" t="s">
        <v>116</v>
      </c>
      <c r="CF1144" s="3">
        <v>45792</v>
      </c>
      <c r="CI1144">
        <v>1</v>
      </c>
      <c r="CJ1144">
        <v>1</v>
      </c>
      <c r="CK1144">
        <v>21</v>
      </c>
      <c r="CL1144" t="s">
        <v>89</v>
      </c>
    </row>
    <row r="1145" spans="1:90" x14ac:dyDescent="0.3">
      <c r="A1145" t="s">
        <v>72</v>
      </c>
      <c r="B1145" t="s">
        <v>73</v>
      </c>
      <c r="C1145" t="s">
        <v>74</v>
      </c>
      <c r="E1145" t="str">
        <f>"080065347773"</f>
        <v>080065347773</v>
      </c>
      <c r="F1145" s="3">
        <v>45790</v>
      </c>
      <c r="G1145">
        <v>202602</v>
      </c>
      <c r="H1145" t="s">
        <v>75</v>
      </c>
      <c r="I1145" t="s">
        <v>76</v>
      </c>
      <c r="J1145" t="s">
        <v>77</v>
      </c>
      <c r="K1145" t="s">
        <v>78</v>
      </c>
      <c r="L1145" t="s">
        <v>117</v>
      </c>
      <c r="M1145" t="s">
        <v>118</v>
      </c>
      <c r="N1145" t="s">
        <v>984</v>
      </c>
      <c r="O1145" t="s">
        <v>82</v>
      </c>
      <c r="P1145" t="str">
        <f>"4170038084                    "</f>
        <v xml:space="preserve">4170038084                    </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16.7</v>
      </c>
      <c r="AR1145">
        <v>0</v>
      </c>
      <c r="AS1145">
        <v>0</v>
      </c>
      <c r="AT1145">
        <v>0</v>
      </c>
      <c r="AU1145">
        <v>0</v>
      </c>
      <c r="AV1145">
        <v>0</v>
      </c>
      <c r="AW1145">
        <v>0</v>
      </c>
      <c r="AX1145">
        <v>0</v>
      </c>
      <c r="AY1145">
        <v>0</v>
      </c>
      <c r="AZ1145">
        <v>0</v>
      </c>
      <c r="BA1145">
        <v>0</v>
      </c>
      <c r="BB1145">
        <v>0</v>
      </c>
      <c r="BC1145">
        <v>0</v>
      </c>
      <c r="BD1145">
        <v>0</v>
      </c>
      <c r="BE1145">
        <v>0</v>
      </c>
      <c r="BF1145">
        <v>0</v>
      </c>
      <c r="BG1145">
        <v>0</v>
      </c>
      <c r="BH1145">
        <v>1</v>
      </c>
      <c r="BI1145">
        <v>1</v>
      </c>
      <c r="BJ1145">
        <v>0.2</v>
      </c>
      <c r="BK1145">
        <v>1</v>
      </c>
      <c r="BL1145">
        <v>54.66</v>
      </c>
      <c r="BM1145">
        <v>8.1999999999999993</v>
      </c>
      <c r="BN1145">
        <v>62.86</v>
      </c>
      <c r="BO1145">
        <v>62.86</v>
      </c>
      <c r="BQ1145" t="s">
        <v>985</v>
      </c>
      <c r="BR1145" t="s">
        <v>84</v>
      </c>
      <c r="BS1145" s="3">
        <v>45791</v>
      </c>
      <c r="BT1145" s="4">
        <v>0.30416666666666664</v>
      </c>
      <c r="BU1145" t="s">
        <v>1849</v>
      </c>
      <c r="BV1145" t="s">
        <v>86</v>
      </c>
      <c r="BY1145">
        <v>1200</v>
      </c>
      <c r="CA1145" t="s">
        <v>275</v>
      </c>
      <c r="CC1145" t="s">
        <v>118</v>
      </c>
      <c r="CD1145">
        <v>2013</v>
      </c>
      <c r="CE1145" t="s">
        <v>88</v>
      </c>
      <c r="CF1145" s="3">
        <v>45792</v>
      </c>
      <c r="CI1145">
        <v>1</v>
      </c>
      <c r="CJ1145">
        <v>1</v>
      </c>
      <c r="CK1145">
        <v>22</v>
      </c>
      <c r="CL1145" t="s">
        <v>89</v>
      </c>
    </row>
    <row r="1146" spans="1:90" x14ac:dyDescent="0.3">
      <c r="A1146" t="s">
        <v>72</v>
      </c>
      <c r="B1146" t="s">
        <v>73</v>
      </c>
      <c r="C1146" t="s">
        <v>74</v>
      </c>
      <c r="E1146" t="str">
        <f>"080065347807"</f>
        <v>080065347807</v>
      </c>
      <c r="F1146" s="3">
        <v>45790</v>
      </c>
      <c r="G1146">
        <v>202602</v>
      </c>
      <c r="H1146" t="s">
        <v>75</v>
      </c>
      <c r="I1146" t="s">
        <v>76</v>
      </c>
      <c r="J1146" t="s">
        <v>77</v>
      </c>
      <c r="K1146" t="s">
        <v>78</v>
      </c>
      <c r="L1146" t="s">
        <v>136</v>
      </c>
      <c r="M1146" t="s">
        <v>137</v>
      </c>
      <c r="N1146" t="s">
        <v>773</v>
      </c>
      <c r="O1146" t="s">
        <v>82</v>
      </c>
      <c r="P1146" t="str">
        <f>"4170038066                    "</f>
        <v xml:space="preserve">4170038066                    </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21.38</v>
      </c>
      <c r="AR1146">
        <v>0</v>
      </c>
      <c r="AS1146">
        <v>0</v>
      </c>
      <c r="AT1146">
        <v>0</v>
      </c>
      <c r="AU1146">
        <v>0</v>
      </c>
      <c r="AV1146">
        <v>0</v>
      </c>
      <c r="AW1146">
        <v>0</v>
      </c>
      <c r="AX1146">
        <v>0</v>
      </c>
      <c r="AY1146">
        <v>0</v>
      </c>
      <c r="AZ1146">
        <v>0</v>
      </c>
      <c r="BA1146">
        <v>0</v>
      </c>
      <c r="BB1146">
        <v>0</v>
      </c>
      <c r="BC1146">
        <v>0</v>
      </c>
      <c r="BD1146">
        <v>0</v>
      </c>
      <c r="BE1146">
        <v>0</v>
      </c>
      <c r="BF1146">
        <v>0</v>
      </c>
      <c r="BG1146">
        <v>0</v>
      </c>
      <c r="BH1146">
        <v>1</v>
      </c>
      <c r="BI1146">
        <v>1</v>
      </c>
      <c r="BJ1146">
        <v>0.2</v>
      </c>
      <c r="BK1146">
        <v>1</v>
      </c>
      <c r="BL1146">
        <v>69.98</v>
      </c>
      <c r="BM1146">
        <v>10.5</v>
      </c>
      <c r="BN1146">
        <v>80.48</v>
      </c>
      <c r="BO1146">
        <v>80.48</v>
      </c>
      <c r="BQ1146" t="s">
        <v>774</v>
      </c>
      <c r="BR1146" t="s">
        <v>84</v>
      </c>
      <c r="BS1146" s="3">
        <v>45791</v>
      </c>
      <c r="BT1146" s="4">
        <v>0.42708333333333331</v>
      </c>
      <c r="BU1146" t="s">
        <v>1754</v>
      </c>
      <c r="BV1146" t="s">
        <v>86</v>
      </c>
      <c r="BY1146">
        <v>1200</v>
      </c>
      <c r="CA1146" t="s">
        <v>141</v>
      </c>
      <c r="CC1146" t="s">
        <v>137</v>
      </c>
      <c r="CD1146" s="5" t="s">
        <v>142</v>
      </c>
      <c r="CE1146" t="s">
        <v>88</v>
      </c>
      <c r="CF1146" s="3">
        <v>45791</v>
      </c>
      <c r="CI1146">
        <v>1</v>
      </c>
      <c r="CJ1146">
        <v>1</v>
      </c>
      <c r="CK1146">
        <v>21</v>
      </c>
      <c r="CL1146" t="s">
        <v>89</v>
      </c>
    </row>
    <row r="1147" spans="1:90" x14ac:dyDescent="0.3">
      <c r="A1147" t="s">
        <v>72</v>
      </c>
      <c r="B1147" t="s">
        <v>73</v>
      </c>
      <c r="C1147" t="s">
        <v>74</v>
      </c>
      <c r="E1147" t="str">
        <f>"080065347817"</f>
        <v>080065347817</v>
      </c>
      <c r="F1147" s="3">
        <v>45790</v>
      </c>
      <c r="G1147">
        <v>202602</v>
      </c>
      <c r="H1147" t="s">
        <v>75</v>
      </c>
      <c r="I1147" t="s">
        <v>76</v>
      </c>
      <c r="J1147" t="s">
        <v>77</v>
      </c>
      <c r="K1147" t="s">
        <v>78</v>
      </c>
      <c r="L1147" t="s">
        <v>420</v>
      </c>
      <c r="M1147" t="s">
        <v>421</v>
      </c>
      <c r="N1147" t="s">
        <v>1802</v>
      </c>
      <c r="O1147" t="s">
        <v>82</v>
      </c>
      <c r="P1147" t="str">
        <f>"4170038032                    "</f>
        <v xml:space="preserve">4170038032                    </v>
      </c>
      <c r="Q1147">
        <v>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0</v>
      </c>
      <c r="AK1147">
        <v>0</v>
      </c>
      <c r="AL1147">
        <v>0</v>
      </c>
      <c r="AM1147">
        <v>0</v>
      </c>
      <c r="AN1147">
        <v>0</v>
      </c>
      <c r="AO1147">
        <v>0</v>
      </c>
      <c r="AP1147">
        <v>0</v>
      </c>
      <c r="AQ1147">
        <v>60.14</v>
      </c>
      <c r="AR1147">
        <v>0</v>
      </c>
      <c r="AS1147">
        <v>0</v>
      </c>
      <c r="AT1147">
        <v>0</v>
      </c>
      <c r="AU1147">
        <v>0</v>
      </c>
      <c r="AV1147">
        <v>0</v>
      </c>
      <c r="AW1147">
        <v>0</v>
      </c>
      <c r="AX1147">
        <v>0</v>
      </c>
      <c r="AY1147">
        <v>0</v>
      </c>
      <c r="AZ1147">
        <v>0</v>
      </c>
      <c r="BA1147">
        <v>0</v>
      </c>
      <c r="BB1147">
        <v>0</v>
      </c>
      <c r="BC1147">
        <v>0</v>
      </c>
      <c r="BD1147">
        <v>0</v>
      </c>
      <c r="BE1147">
        <v>0</v>
      </c>
      <c r="BF1147">
        <v>0</v>
      </c>
      <c r="BG1147">
        <v>0</v>
      </c>
      <c r="BH1147">
        <v>1</v>
      </c>
      <c r="BI1147">
        <v>3</v>
      </c>
      <c r="BJ1147">
        <v>1.4</v>
      </c>
      <c r="BK1147">
        <v>3</v>
      </c>
      <c r="BL1147">
        <v>196.82</v>
      </c>
      <c r="BM1147">
        <v>29.52</v>
      </c>
      <c r="BN1147">
        <v>226.34</v>
      </c>
      <c r="BO1147">
        <v>226.34</v>
      </c>
      <c r="BQ1147" t="s">
        <v>1803</v>
      </c>
      <c r="BR1147" t="s">
        <v>84</v>
      </c>
      <c r="BS1147" s="3">
        <v>45791</v>
      </c>
      <c r="BT1147" s="4">
        <v>0.41666666666666669</v>
      </c>
      <c r="BU1147" t="s">
        <v>1804</v>
      </c>
      <c r="BV1147" t="s">
        <v>86</v>
      </c>
      <c r="BY1147">
        <v>7000</v>
      </c>
      <c r="CA1147" t="s">
        <v>1805</v>
      </c>
      <c r="CC1147" t="s">
        <v>421</v>
      </c>
      <c r="CD1147">
        <v>3290</v>
      </c>
      <c r="CE1147" t="s">
        <v>116</v>
      </c>
      <c r="CF1147" s="3">
        <v>45792</v>
      </c>
      <c r="CI1147">
        <v>1</v>
      </c>
      <c r="CJ1147">
        <v>1</v>
      </c>
      <c r="CK1147">
        <v>23</v>
      </c>
      <c r="CL1147" t="s">
        <v>89</v>
      </c>
    </row>
    <row r="1148" spans="1:90" x14ac:dyDescent="0.3">
      <c r="A1148" t="s">
        <v>72</v>
      </c>
      <c r="B1148" t="s">
        <v>73</v>
      </c>
      <c r="C1148" t="s">
        <v>74</v>
      </c>
      <c r="E1148" t="str">
        <f>"080065347890"</f>
        <v>080065347890</v>
      </c>
      <c r="F1148" s="3">
        <v>45790</v>
      </c>
      <c r="G1148">
        <v>202602</v>
      </c>
      <c r="H1148" t="s">
        <v>75</v>
      </c>
      <c r="I1148" t="s">
        <v>76</v>
      </c>
      <c r="J1148" t="s">
        <v>77</v>
      </c>
      <c r="K1148" t="s">
        <v>78</v>
      </c>
      <c r="L1148" t="s">
        <v>624</v>
      </c>
      <c r="M1148" t="s">
        <v>625</v>
      </c>
      <c r="N1148" t="s">
        <v>481</v>
      </c>
      <c r="O1148" t="s">
        <v>82</v>
      </c>
      <c r="P1148" t="str">
        <f>"4170038025                    "</f>
        <v xml:space="preserve">4170038025                    </v>
      </c>
      <c r="Q1148">
        <v>0</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41.43</v>
      </c>
      <c r="AR1148">
        <v>0</v>
      </c>
      <c r="AS1148">
        <v>0</v>
      </c>
      <c r="AT1148">
        <v>0</v>
      </c>
      <c r="AU1148">
        <v>0</v>
      </c>
      <c r="AV1148">
        <v>0</v>
      </c>
      <c r="AW1148">
        <v>0</v>
      </c>
      <c r="AX1148">
        <v>0</v>
      </c>
      <c r="AY1148">
        <v>0</v>
      </c>
      <c r="AZ1148">
        <v>0</v>
      </c>
      <c r="BA1148">
        <v>0</v>
      </c>
      <c r="BB1148">
        <v>0</v>
      </c>
      <c r="BC1148">
        <v>0</v>
      </c>
      <c r="BD1148">
        <v>0</v>
      </c>
      <c r="BE1148">
        <v>0</v>
      </c>
      <c r="BF1148">
        <v>0</v>
      </c>
      <c r="BG1148">
        <v>0</v>
      </c>
      <c r="BH1148">
        <v>1</v>
      </c>
      <c r="BI1148">
        <v>1</v>
      </c>
      <c r="BJ1148">
        <v>0.2</v>
      </c>
      <c r="BK1148">
        <v>1</v>
      </c>
      <c r="BL1148">
        <v>135.59</v>
      </c>
      <c r="BM1148">
        <v>20.34</v>
      </c>
      <c r="BN1148">
        <v>155.93</v>
      </c>
      <c r="BO1148">
        <v>155.93</v>
      </c>
      <c r="BQ1148" t="s">
        <v>482</v>
      </c>
      <c r="BR1148" t="s">
        <v>84</v>
      </c>
      <c r="BS1148" s="3">
        <v>45791</v>
      </c>
      <c r="BT1148" s="4">
        <v>0.41666666666666669</v>
      </c>
      <c r="BU1148" t="s">
        <v>1850</v>
      </c>
      <c r="BV1148" t="s">
        <v>86</v>
      </c>
      <c r="BY1148">
        <v>1200</v>
      </c>
      <c r="CC1148" t="s">
        <v>625</v>
      </c>
      <c r="CD1148">
        <v>1947</v>
      </c>
      <c r="CE1148" t="s">
        <v>88</v>
      </c>
      <c r="CF1148" s="3">
        <v>45792</v>
      </c>
      <c r="CI1148">
        <v>1</v>
      </c>
      <c r="CJ1148">
        <v>1</v>
      </c>
      <c r="CK1148">
        <v>23</v>
      </c>
      <c r="CL1148" t="s">
        <v>89</v>
      </c>
    </row>
    <row r="1149" spans="1:90" x14ac:dyDescent="0.3">
      <c r="A1149" t="s">
        <v>72</v>
      </c>
      <c r="B1149" t="s">
        <v>73</v>
      </c>
      <c r="C1149" t="s">
        <v>74</v>
      </c>
      <c r="E1149" t="str">
        <f>"080065348023"</f>
        <v>080065348023</v>
      </c>
      <c r="F1149" s="3">
        <v>45790</v>
      </c>
      <c r="G1149">
        <v>202602</v>
      </c>
      <c r="H1149" t="s">
        <v>75</v>
      </c>
      <c r="I1149" t="s">
        <v>76</v>
      </c>
      <c r="J1149" t="s">
        <v>77</v>
      </c>
      <c r="K1149" t="s">
        <v>78</v>
      </c>
      <c r="L1149" t="s">
        <v>117</v>
      </c>
      <c r="M1149" t="s">
        <v>118</v>
      </c>
      <c r="N1149" t="s">
        <v>1851</v>
      </c>
      <c r="O1149" t="s">
        <v>82</v>
      </c>
      <c r="P1149" t="str">
        <f>"4170038078                    "</f>
        <v xml:space="preserve">4170038078                    </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0</v>
      </c>
      <c r="AM1149">
        <v>0</v>
      </c>
      <c r="AN1149">
        <v>0</v>
      </c>
      <c r="AO1149">
        <v>0</v>
      </c>
      <c r="AP1149">
        <v>0</v>
      </c>
      <c r="AQ1149">
        <v>16.7</v>
      </c>
      <c r="AR1149">
        <v>0</v>
      </c>
      <c r="AS1149">
        <v>0</v>
      </c>
      <c r="AT1149">
        <v>0</v>
      </c>
      <c r="AU1149">
        <v>0</v>
      </c>
      <c r="AV1149">
        <v>0</v>
      </c>
      <c r="AW1149">
        <v>0</v>
      </c>
      <c r="AX1149">
        <v>0</v>
      </c>
      <c r="AY1149">
        <v>0</v>
      </c>
      <c r="AZ1149">
        <v>0</v>
      </c>
      <c r="BA1149">
        <v>0</v>
      </c>
      <c r="BB1149">
        <v>0</v>
      </c>
      <c r="BC1149">
        <v>0</v>
      </c>
      <c r="BD1149">
        <v>0</v>
      </c>
      <c r="BE1149">
        <v>0</v>
      </c>
      <c r="BF1149">
        <v>0</v>
      </c>
      <c r="BG1149">
        <v>0</v>
      </c>
      <c r="BH1149">
        <v>1</v>
      </c>
      <c r="BI1149">
        <v>1</v>
      </c>
      <c r="BJ1149">
        <v>1.1000000000000001</v>
      </c>
      <c r="BK1149">
        <v>2</v>
      </c>
      <c r="BL1149">
        <v>54.66</v>
      </c>
      <c r="BM1149">
        <v>8.1999999999999993</v>
      </c>
      <c r="BN1149">
        <v>62.86</v>
      </c>
      <c r="BO1149">
        <v>62.86</v>
      </c>
      <c r="BQ1149" t="s">
        <v>1852</v>
      </c>
      <c r="BR1149" t="s">
        <v>84</v>
      </c>
      <c r="BS1149" s="3">
        <v>45791</v>
      </c>
      <c r="BT1149" s="4">
        <v>0.42499999999999999</v>
      </c>
      <c r="BU1149" t="s">
        <v>1853</v>
      </c>
      <c r="BV1149" t="s">
        <v>86</v>
      </c>
      <c r="BY1149">
        <v>5320</v>
      </c>
      <c r="CA1149" t="s">
        <v>1397</v>
      </c>
      <c r="CC1149" t="s">
        <v>118</v>
      </c>
      <c r="CD1149">
        <v>2139</v>
      </c>
      <c r="CE1149" t="s">
        <v>116</v>
      </c>
      <c r="CF1149" s="3">
        <v>45792</v>
      </c>
      <c r="CI1149">
        <v>1</v>
      </c>
      <c r="CJ1149">
        <v>1</v>
      </c>
      <c r="CK1149">
        <v>22</v>
      </c>
      <c r="CL1149" t="s">
        <v>89</v>
      </c>
    </row>
    <row r="1150" spans="1:90" x14ac:dyDescent="0.3">
      <c r="A1150" t="s">
        <v>72</v>
      </c>
      <c r="B1150" t="s">
        <v>73</v>
      </c>
      <c r="C1150" t="s">
        <v>74</v>
      </c>
      <c r="E1150" t="str">
        <f>"080065348058"</f>
        <v>080065348058</v>
      </c>
      <c r="F1150" s="3">
        <v>45790</v>
      </c>
      <c r="G1150">
        <v>202602</v>
      </c>
      <c r="H1150" t="s">
        <v>75</v>
      </c>
      <c r="I1150" t="s">
        <v>76</v>
      </c>
      <c r="J1150" t="s">
        <v>77</v>
      </c>
      <c r="K1150" t="s">
        <v>78</v>
      </c>
      <c r="L1150" t="s">
        <v>130</v>
      </c>
      <c r="M1150" t="s">
        <v>131</v>
      </c>
      <c r="N1150" t="s">
        <v>239</v>
      </c>
      <c r="O1150" t="s">
        <v>82</v>
      </c>
      <c r="P1150" t="str">
        <f>"4170038037                    "</f>
        <v xml:space="preserve">4170038037                    </v>
      </c>
      <c r="Q1150">
        <v>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P1150">
        <v>0</v>
      </c>
      <c r="AQ1150">
        <v>21.38</v>
      </c>
      <c r="AR1150">
        <v>0</v>
      </c>
      <c r="AS1150">
        <v>0</v>
      </c>
      <c r="AT1150">
        <v>0</v>
      </c>
      <c r="AU1150">
        <v>0</v>
      </c>
      <c r="AV1150">
        <v>0</v>
      </c>
      <c r="AW1150">
        <v>0</v>
      </c>
      <c r="AX1150">
        <v>0</v>
      </c>
      <c r="AY1150">
        <v>0</v>
      </c>
      <c r="AZ1150">
        <v>0</v>
      </c>
      <c r="BA1150">
        <v>0</v>
      </c>
      <c r="BB1150">
        <v>0</v>
      </c>
      <c r="BC1150">
        <v>0</v>
      </c>
      <c r="BD1150">
        <v>0</v>
      </c>
      <c r="BE1150">
        <v>0</v>
      </c>
      <c r="BF1150">
        <v>0</v>
      </c>
      <c r="BG1150">
        <v>0</v>
      </c>
      <c r="BH1150">
        <v>1</v>
      </c>
      <c r="BI1150">
        <v>1</v>
      </c>
      <c r="BJ1150">
        <v>0.2</v>
      </c>
      <c r="BK1150">
        <v>1</v>
      </c>
      <c r="BL1150">
        <v>69.98</v>
      </c>
      <c r="BM1150">
        <v>10.5</v>
      </c>
      <c r="BN1150">
        <v>80.48</v>
      </c>
      <c r="BO1150">
        <v>80.48</v>
      </c>
      <c r="BQ1150" t="s">
        <v>240</v>
      </c>
      <c r="BR1150" t="s">
        <v>84</v>
      </c>
      <c r="BS1150" s="3">
        <v>45791</v>
      </c>
      <c r="BT1150" s="4">
        <v>0.37083333333333335</v>
      </c>
      <c r="BU1150" t="s">
        <v>241</v>
      </c>
      <c r="BV1150" t="s">
        <v>86</v>
      </c>
      <c r="BY1150">
        <v>1200</v>
      </c>
      <c r="CA1150" t="s">
        <v>242</v>
      </c>
      <c r="CC1150" t="s">
        <v>131</v>
      </c>
      <c r="CD1150">
        <v>7441</v>
      </c>
      <c r="CE1150" t="s">
        <v>88</v>
      </c>
      <c r="CF1150" s="3">
        <v>45792</v>
      </c>
      <c r="CI1150">
        <v>1</v>
      </c>
      <c r="CJ1150">
        <v>1</v>
      </c>
      <c r="CK1150">
        <v>21</v>
      </c>
      <c r="CL1150" t="s">
        <v>89</v>
      </c>
    </row>
    <row r="1151" spans="1:90" x14ac:dyDescent="0.3">
      <c r="A1151" t="s">
        <v>72</v>
      </c>
      <c r="B1151" t="s">
        <v>73</v>
      </c>
      <c r="C1151" t="s">
        <v>74</v>
      </c>
      <c r="E1151" t="str">
        <f>"080065348088"</f>
        <v>080065348088</v>
      </c>
      <c r="F1151" s="3">
        <v>45790</v>
      </c>
      <c r="G1151">
        <v>202602</v>
      </c>
      <c r="H1151" t="s">
        <v>75</v>
      </c>
      <c r="I1151" t="s">
        <v>76</v>
      </c>
      <c r="J1151" t="s">
        <v>77</v>
      </c>
      <c r="K1151" t="s">
        <v>78</v>
      </c>
      <c r="L1151" t="s">
        <v>103</v>
      </c>
      <c r="M1151" t="s">
        <v>104</v>
      </c>
      <c r="N1151" t="s">
        <v>105</v>
      </c>
      <c r="O1151" t="s">
        <v>82</v>
      </c>
      <c r="P1151" t="str">
        <f>"4170038014                    "</f>
        <v xml:space="preserve">4170038014                    </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21.38</v>
      </c>
      <c r="AR1151">
        <v>0</v>
      </c>
      <c r="AS1151">
        <v>0</v>
      </c>
      <c r="AT1151">
        <v>0</v>
      </c>
      <c r="AU1151">
        <v>0</v>
      </c>
      <c r="AV1151">
        <v>0</v>
      </c>
      <c r="AW1151">
        <v>0</v>
      </c>
      <c r="AX1151">
        <v>0</v>
      </c>
      <c r="AY1151">
        <v>0</v>
      </c>
      <c r="AZ1151">
        <v>0</v>
      </c>
      <c r="BA1151">
        <v>0</v>
      </c>
      <c r="BB1151">
        <v>0</v>
      </c>
      <c r="BC1151">
        <v>0</v>
      </c>
      <c r="BD1151">
        <v>0</v>
      </c>
      <c r="BE1151">
        <v>0</v>
      </c>
      <c r="BF1151">
        <v>0</v>
      </c>
      <c r="BG1151">
        <v>0</v>
      </c>
      <c r="BH1151">
        <v>1</v>
      </c>
      <c r="BI1151">
        <v>1</v>
      </c>
      <c r="BJ1151">
        <v>0.2</v>
      </c>
      <c r="BK1151">
        <v>1</v>
      </c>
      <c r="BL1151">
        <v>69.98</v>
      </c>
      <c r="BM1151">
        <v>10.5</v>
      </c>
      <c r="BN1151">
        <v>80.48</v>
      </c>
      <c r="BO1151">
        <v>80.48</v>
      </c>
      <c r="BQ1151" t="s">
        <v>106</v>
      </c>
      <c r="BR1151" t="s">
        <v>84</v>
      </c>
      <c r="BS1151" s="3">
        <v>45791</v>
      </c>
      <c r="BT1151" s="4">
        <v>0.41666666666666669</v>
      </c>
      <c r="BU1151" t="s">
        <v>430</v>
      </c>
      <c r="BV1151" t="s">
        <v>86</v>
      </c>
      <c r="BY1151">
        <v>1200</v>
      </c>
      <c r="CA1151" t="s">
        <v>108</v>
      </c>
      <c r="CC1151" t="s">
        <v>104</v>
      </c>
      <c r="CD1151">
        <v>3201</v>
      </c>
      <c r="CE1151" t="s">
        <v>88</v>
      </c>
      <c r="CF1151" s="3">
        <v>45792</v>
      </c>
      <c r="CI1151">
        <v>1</v>
      </c>
      <c r="CJ1151">
        <v>1</v>
      </c>
      <c r="CK1151">
        <v>21</v>
      </c>
      <c r="CL1151" t="s">
        <v>89</v>
      </c>
    </row>
    <row r="1152" spans="1:90" x14ac:dyDescent="0.3">
      <c r="A1152" t="s">
        <v>72</v>
      </c>
      <c r="B1152" t="s">
        <v>73</v>
      </c>
      <c r="C1152" t="s">
        <v>74</v>
      </c>
      <c r="E1152" t="str">
        <f>"080065348124"</f>
        <v>080065348124</v>
      </c>
      <c r="F1152" s="3">
        <v>45790</v>
      </c>
      <c r="G1152">
        <v>202602</v>
      </c>
      <c r="H1152" t="s">
        <v>75</v>
      </c>
      <c r="I1152" t="s">
        <v>76</v>
      </c>
      <c r="J1152" t="s">
        <v>77</v>
      </c>
      <c r="K1152" t="s">
        <v>78</v>
      </c>
      <c r="L1152" t="s">
        <v>350</v>
      </c>
      <c r="M1152" t="s">
        <v>351</v>
      </c>
      <c r="N1152" t="s">
        <v>431</v>
      </c>
      <c r="O1152" t="s">
        <v>82</v>
      </c>
      <c r="P1152" t="str">
        <f>"4170038065                    "</f>
        <v xml:space="preserve">4170038065                    </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21.38</v>
      </c>
      <c r="AR1152">
        <v>0</v>
      </c>
      <c r="AS1152">
        <v>0</v>
      </c>
      <c r="AT1152">
        <v>0</v>
      </c>
      <c r="AU1152">
        <v>0</v>
      </c>
      <c r="AV1152">
        <v>0</v>
      </c>
      <c r="AW1152">
        <v>0</v>
      </c>
      <c r="AX1152">
        <v>0</v>
      </c>
      <c r="AY1152">
        <v>0</v>
      </c>
      <c r="AZ1152">
        <v>0</v>
      </c>
      <c r="BA1152">
        <v>0</v>
      </c>
      <c r="BB1152">
        <v>0</v>
      </c>
      <c r="BC1152">
        <v>0</v>
      </c>
      <c r="BD1152">
        <v>0</v>
      </c>
      <c r="BE1152">
        <v>0</v>
      </c>
      <c r="BF1152">
        <v>0</v>
      </c>
      <c r="BG1152">
        <v>0</v>
      </c>
      <c r="BH1152">
        <v>1</v>
      </c>
      <c r="BI1152">
        <v>1</v>
      </c>
      <c r="BJ1152">
        <v>0.2</v>
      </c>
      <c r="BK1152">
        <v>1</v>
      </c>
      <c r="BL1152">
        <v>69.98</v>
      </c>
      <c r="BM1152">
        <v>10.5</v>
      </c>
      <c r="BN1152">
        <v>80.48</v>
      </c>
      <c r="BO1152">
        <v>80.48</v>
      </c>
      <c r="BQ1152" t="s">
        <v>432</v>
      </c>
      <c r="BR1152" t="s">
        <v>84</v>
      </c>
      <c r="BS1152" s="3">
        <v>45791</v>
      </c>
      <c r="BT1152" s="4">
        <v>0.38611111111111113</v>
      </c>
      <c r="BU1152" t="s">
        <v>433</v>
      </c>
      <c r="BV1152" t="s">
        <v>86</v>
      </c>
      <c r="BY1152">
        <v>1200</v>
      </c>
      <c r="CA1152" t="s">
        <v>436</v>
      </c>
      <c r="CC1152" t="s">
        <v>351</v>
      </c>
      <c r="CD1152">
        <v>4052</v>
      </c>
      <c r="CE1152" t="s">
        <v>88</v>
      </c>
      <c r="CF1152" s="3">
        <v>45792</v>
      </c>
      <c r="CI1152">
        <v>1</v>
      </c>
      <c r="CJ1152">
        <v>1</v>
      </c>
      <c r="CK1152">
        <v>21</v>
      </c>
      <c r="CL1152" t="s">
        <v>89</v>
      </c>
    </row>
    <row r="1153" spans="1:90" x14ac:dyDescent="0.3">
      <c r="A1153" t="s">
        <v>72</v>
      </c>
      <c r="B1153" t="s">
        <v>73</v>
      </c>
      <c r="C1153" t="s">
        <v>74</v>
      </c>
      <c r="E1153" t="str">
        <f>"080065348642"</f>
        <v>080065348642</v>
      </c>
      <c r="F1153" s="3">
        <v>45790</v>
      </c>
      <c r="G1153">
        <v>202602</v>
      </c>
      <c r="H1153" t="s">
        <v>75</v>
      </c>
      <c r="I1153" t="s">
        <v>76</v>
      </c>
      <c r="J1153" t="s">
        <v>77</v>
      </c>
      <c r="K1153" t="s">
        <v>78</v>
      </c>
      <c r="L1153" t="s">
        <v>177</v>
      </c>
      <c r="M1153" t="s">
        <v>178</v>
      </c>
      <c r="N1153" t="s">
        <v>1854</v>
      </c>
      <c r="O1153" t="s">
        <v>82</v>
      </c>
      <c r="P1153" t="str">
        <f>"4170038164                    "</f>
        <v xml:space="preserve">4170038164                    </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v>0</v>
      </c>
      <c r="AM1153">
        <v>0</v>
      </c>
      <c r="AN1153">
        <v>0</v>
      </c>
      <c r="AO1153">
        <v>0</v>
      </c>
      <c r="AP1153">
        <v>0</v>
      </c>
      <c r="AQ1153">
        <v>21.38</v>
      </c>
      <c r="AR1153">
        <v>0</v>
      </c>
      <c r="AS1153">
        <v>0</v>
      </c>
      <c r="AT1153">
        <v>0</v>
      </c>
      <c r="AU1153">
        <v>0</v>
      </c>
      <c r="AV1153">
        <v>0</v>
      </c>
      <c r="AW1153">
        <v>0</v>
      </c>
      <c r="AX1153">
        <v>0</v>
      </c>
      <c r="AY1153">
        <v>0</v>
      </c>
      <c r="AZ1153">
        <v>0</v>
      </c>
      <c r="BA1153">
        <v>0</v>
      </c>
      <c r="BB1153">
        <v>0</v>
      </c>
      <c r="BC1153">
        <v>0</v>
      </c>
      <c r="BD1153">
        <v>0</v>
      </c>
      <c r="BE1153">
        <v>0</v>
      </c>
      <c r="BF1153">
        <v>0</v>
      </c>
      <c r="BG1153">
        <v>0</v>
      </c>
      <c r="BH1153">
        <v>1</v>
      </c>
      <c r="BI1153">
        <v>1</v>
      </c>
      <c r="BJ1153">
        <v>0.2</v>
      </c>
      <c r="BK1153">
        <v>1</v>
      </c>
      <c r="BL1153">
        <v>69.98</v>
      </c>
      <c r="BM1153">
        <v>10.5</v>
      </c>
      <c r="BN1153">
        <v>80.48</v>
      </c>
      <c r="BO1153">
        <v>80.48</v>
      </c>
      <c r="BQ1153" t="s">
        <v>1855</v>
      </c>
      <c r="BR1153" t="s">
        <v>84</v>
      </c>
      <c r="BS1153" s="3">
        <v>45791</v>
      </c>
      <c r="BT1153" s="4">
        <v>0.39027777777777778</v>
      </c>
      <c r="BU1153" t="s">
        <v>1856</v>
      </c>
      <c r="BV1153" t="s">
        <v>86</v>
      </c>
      <c r="BY1153">
        <v>1200</v>
      </c>
      <c r="CA1153" t="s">
        <v>182</v>
      </c>
      <c r="CC1153" t="s">
        <v>178</v>
      </c>
      <c r="CD1153">
        <v>6230</v>
      </c>
      <c r="CE1153" t="s">
        <v>88</v>
      </c>
      <c r="CF1153" s="3">
        <v>45791</v>
      </c>
      <c r="CI1153">
        <v>1</v>
      </c>
      <c r="CJ1153">
        <v>1</v>
      </c>
      <c r="CK1153">
        <v>21</v>
      </c>
      <c r="CL1153" t="s">
        <v>89</v>
      </c>
    </row>
    <row r="1154" spans="1:90" x14ac:dyDescent="0.3">
      <c r="A1154" t="s">
        <v>72</v>
      </c>
      <c r="B1154" t="s">
        <v>73</v>
      </c>
      <c r="C1154" t="s">
        <v>74</v>
      </c>
      <c r="E1154" t="str">
        <f>"080065348675"</f>
        <v>080065348675</v>
      </c>
      <c r="F1154" s="3">
        <v>45790</v>
      </c>
      <c r="G1154">
        <v>202602</v>
      </c>
      <c r="H1154" t="s">
        <v>75</v>
      </c>
      <c r="I1154" t="s">
        <v>76</v>
      </c>
      <c r="J1154" t="s">
        <v>77</v>
      </c>
      <c r="K1154" t="s">
        <v>78</v>
      </c>
      <c r="L1154" t="s">
        <v>143</v>
      </c>
      <c r="M1154" t="s">
        <v>144</v>
      </c>
      <c r="N1154" t="s">
        <v>1009</v>
      </c>
      <c r="O1154" t="s">
        <v>82</v>
      </c>
      <c r="P1154" t="str">
        <f>"4170038030                    "</f>
        <v xml:space="preserve">4170038030                    </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16.7</v>
      </c>
      <c r="AR1154">
        <v>0</v>
      </c>
      <c r="AS1154">
        <v>0</v>
      </c>
      <c r="AT1154">
        <v>0</v>
      </c>
      <c r="AU1154">
        <v>0</v>
      </c>
      <c r="AV1154">
        <v>0</v>
      </c>
      <c r="AW1154">
        <v>0</v>
      </c>
      <c r="AX1154">
        <v>0</v>
      </c>
      <c r="AY1154">
        <v>0</v>
      </c>
      <c r="AZ1154">
        <v>0</v>
      </c>
      <c r="BA1154">
        <v>0</v>
      </c>
      <c r="BB1154">
        <v>0</v>
      </c>
      <c r="BC1154">
        <v>0</v>
      </c>
      <c r="BD1154">
        <v>0</v>
      </c>
      <c r="BE1154">
        <v>0</v>
      </c>
      <c r="BF1154">
        <v>0</v>
      </c>
      <c r="BG1154">
        <v>0</v>
      </c>
      <c r="BH1154">
        <v>1</v>
      </c>
      <c r="BI1154">
        <v>1</v>
      </c>
      <c r="BJ1154">
        <v>0.2</v>
      </c>
      <c r="BK1154">
        <v>1</v>
      </c>
      <c r="BL1154">
        <v>54.66</v>
      </c>
      <c r="BM1154">
        <v>8.1999999999999993</v>
      </c>
      <c r="BN1154">
        <v>62.86</v>
      </c>
      <c r="BO1154">
        <v>62.86</v>
      </c>
      <c r="BQ1154" t="s">
        <v>1010</v>
      </c>
      <c r="BR1154" t="s">
        <v>84</v>
      </c>
      <c r="BS1154" s="3">
        <v>45791</v>
      </c>
      <c r="BT1154" s="4">
        <v>0.38333333333333336</v>
      </c>
      <c r="BU1154" t="s">
        <v>1857</v>
      </c>
      <c r="BV1154" t="s">
        <v>86</v>
      </c>
      <c r="BY1154">
        <v>1200</v>
      </c>
      <c r="CA1154" t="s">
        <v>150</v>
      </c>
      <c r="CC1154" t="s">
        <v>144</v>
      </c>
      <c r="CD1154">
        <v>1406</v>
      </c>
      <c r="CE1154" t="s">
        <v>88</v>
      </c>
      <c r="CF1154" s="3">
        <v>45791</v>
      </c>
      <c r="CI1154">
        <v>1</v>
      </c>
      <c r="CJ1154">
        <v>1</v>
      </c>
      <c r="CK1154">
        <v>22</v>
      </c>
      <c r="CL1154" t="s">
        <v>89</v>
      </c>
    </row>
    <row r="1155" spans="1:90" x14ac:dyDescent="0.3">
      <c r="A1155" t="s">
        <v>72</v>
      </c>
      <c r="B1155" t="s">
        <v>73</v>
      </c>
      <c r="C1155" t="s">
        <v>74</v>
      </c>
      <c r="E1155" t="str">
        <f>"080065348698"</f>
        <v>080065348698</v>
      </c>
      <c r="F1155" s="3">
        <v>45790</v>
      </c>
      <c r="G1155">
        <v>202602</v>
      </c>
      <c r="H1155" t="s">
        <v>75</v>
      </c>
      <c r="I1155" t="s">
        <v>76</v>
      </c>
      <c r="J1155" t="s">
        <v>77</v>
      </c>
      <c r="K1155" t="s">
        <v>78</v>
      </c>
      <c r="L1155" t="s">
        <v>79</v>
      </c>
      <c r="M1155" t="s">
        <v>80</v>
      </c>
      <c r="N1155" t="s">
        <v>862</v>
      </c>
      <c r="O1155" t="s">
        <v>82</v>
      </c>
      <c r="P1155" t="str">
        <f>"4170038160                    "</f>
        <v xml:space="preserve">4170038160                    </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21.38</v>
      </c>
      <c r="AR1155">
        <v>0</v>
      </c>
      <c r="AS1155">
        <v>0</v>
      </c>
      <c r="AT1155">
        <v>0</v>
      </c>
      <c r="AU1155">
        <v>0</v>
      </c>
      <c r="AV1155">
        <v>0</v>
      </c>
      <c r="AW1155">
        <v>0</v>
      </c>
      <c r="AX1155">
        <v>0</v>
      </c>
      <c r="AY1155">
        <v>0</v>
      </c>
      <c r="AZ1155">
        <v>0</v>
      </c>
      <c r="BA1155">
        <v>0</v>
      </c>
      <c r="BB1155">
        <v>0</v>
      </c>
      <c r="BC1155">
        <v>0</v>
      </c>
      <c r="BD1155">
        <v>0</v>
      </c>
      <c r="BE1155">
        <v>0</v>
      </c>
      <c r="BF1155">
        <v>0</v>
      </c>
      <c r="BG1155">
        <v>0</v>
      </c>
      <c r="BH1155">
        <v>1</v>
      </c>
      <c r="BI1155">
        <v>1</v>
      </c>
      <c r="BJ1155">
        <v>0.2</v>
      </c>
      <c r="BK1155">
        <v>1</v>
      </c>
      <c r="BL1155">
        <v>69.98</v>
      </c>
      <c r="BM1155">
        <v>10.5</v>
      </c>
      <c r="BN1155">
        <v>80.48</v>
      </c>
      <c r="BO1155">
        <v>80.48</v>
      </c>
      <c r="BQ1155" t="s">
        <v>863</v>
      </c>
      <c r="BR1155" t="s">
        <v>84</v>
      </c>
      <c r="BS1155" s="3">
        <v>45791</v>
      </c>
      <c r="BT1155" s="4">
        <v>0.43333333333333335</v>
      </c>
      <c r="BU1155" t="s">
        <v>864</v>
      </c>
      <c r="BV1155" t="s">
        <v>86</v>
      </c>
      <c r="BY1155">
        <v>1200</v>
      </c>
      <c r="CA1155" t="s">
        <v>160</v>
      </c>
      <c r="CC1155" t="s">
        <v>80</v>
      </c>
      <c r="CD1155">
        <v>3610</v>
      </c>
      <c r="CE1155" t="s">
        <v>88</v>
      </c>
      <c r="CF1155" s="3">
        <v>45792</v>
      </c>
      <c r="CI1155">
        <v>1</v>
      </c>
      <c r="CJ1155">
        <v>1</v>
      </c>
      <c r="CK1155">
        <v>21</v>
      </c>
      <c r="CL1155" t="s">
        <v>89</v>
      </c>
    </row>
    <row r="1156" spans="1:90" x14ac:dyDescent="0.3">
      <c r="A1156" t="s">
        <v>72</v>
      </c>
      <c r="B1156" t="s">
        <v>73</v>
      </c>
      <c r="C1156" t="s">
        <v>74</v>
      </c>
      <c r="E1156" t="str">
        <f>"080065348718"</f>
        <v>080065348718</v>
      </c>
      <c r="F1156" s="3">
        <v>45790</v>
      </c>
      <c r="G1156">
        <v>202602</v>
      </c>
      <c r="H1156" t="s">
        <v>75</v>
      </c>
      <c r="I1156" t="s">
        <v>76</v>
      </c>
      <c r="J1156" t="s">
        <v>77</v>
      </c>
      <c r="K1156" t="s">
        <v>78</v>
      </c>
      <c r="L1156" t="s">
        <v>266</v>
      </c>
      <c r="M1156" t="s">
        <v>267</v>
      </c>
      <c r="N1156" t="s">
        <v>1750</v>
      </c>
      <c r="O1156" t="s">
        <v>82</v>
      </c>
      <c r="P1156" t="str">
        <f>"4170038165                    "</f>
        <v xml:space="preserve">4170038165                    </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21.38</v>
      </c>
      <c r="AR1156">
        <v>0</v>
      </c>
      <c r="AS1156">
        <v>0</v>
      </c>
      <c r="AT1156">
        <v>0</v>
      </c>
      <c r="AU1156">
        <v>0</v>
      </c>
      <c r="AV1156">
        <v>0</v>
      </c>
      <c r="AW1156">
        <v>0</v>
      </c>
      <c r="AX1156">
        <v>0</v>
      </c>
      <c r="AY1156">
        <v>0</v>
      </c>
      <c r="AZ1156">
        <v>0</v>
      </c>
      <c r="BA1156">
        <v>0</v>
      </c>
      <c r="BB1156">
        <v>0</v>
      </c>
      <c r="BC1156">
        <v>0</v>
      </c>
      <c r="BD1156">
        <v>0</v>
      </c>
      <c r="BE1156">
        <v>0</v>
      </c>
      <c r="BF1156">
        <v>0</v>
      </c>
      <c r="BG1156">
        <v>0</v>
      </c>
      <c r="BH1156">
        <v>1</v>
      </c>
      <c r="BI1156">
        <v>1</v>
      </c>
      <c r="BJ1156">
        <v>0.2</v>
      </c>
      <c r="BK1156">
        <v>1</v>
      </c>
      <c r="BL1156">
        <v>69.98</v>
      </c>
      <c r="BM1156">
        <v>10.5</v>
      </c>
      <c r="BN1156">
        <v>80.48</v>
      </c>
      <c r="BO1156">
        <v>80.48</v>
      </c>
      <c r="BQ1156" t="s">
        <v>1751</v>
      </c>
      <c r="BR1156" t="s">
        <v>84</v>
      </c>
      <c r="BS1156" s="3">
        <v>45791</v>
      </c>
      <c r="BT1156" s="4">
        <v>0.4201388888888889</v>
      </c>
      <c r="BU1156" t="s">
        <v>1752</v>
      </c>
      <c r="BV1156" t="s">
        <v>86</v>
      </c>
      <c r="BY1156">
        <v>1200</v>
      </c>
      <c r="CA1156" t="s">
        <v>271</v>
      </c>
      <c r="CC1156" t="s">
        <v>267</v>
      </c>
      <c r="CD1156">
        <v>6220</v>
      </c>
      <c r="CE1156" t="s">
        <v>88</v>
      </c>
      <c r="CF1156" s="3">
        <v>45791</v>
      </c>
      <c r="CI1156">
        <v>1</v>
      </c>
      <c r="CJ1156">
        <v>1</v>
      </c>
      <c r="CK1156">
        <v>21</v>
      </c>
      <c r="CL1156" t="s">
        <v>89</v>
      </c>
    </row>
    <row r="1157" spans="1:90" x14ac:dyDescent="0.3">
      <c r="A1157" t="s">
        <v>72</v>
      </c>
      <c r="B1157" t="s">
        <v>73</v>
      </c>
      <c r="C1157" t="s">
        <v>74</v>
      </c>
      <c r="E1157" t="str">
        <f>"080065348741"</f>
        <v>080065348741</v>
      </c>
      <c r="F1157" s="3">
        <v>45790</v>
      </c>
      <c r="G1157">
        <v>202602</v>
      </c>
      <c r="H1157" t="s">
        <v>75</v>
      </c>
      <c r="I1157" t="s">
        <v>76</v>
      </c>
      <c r="J1157" t="s">
        <v>77</v>
      </c>
      <c r="K1157" t="s">
        <v>78</v>
      </c>
      <c r="L1157" t="s">
        <v>136</v>
      </c>
      <c r="M1157" t="s">
        <v>137</v>
      </c>
      <c r="N1157" t="s">
        <v>1656</v>
      </c>
      <c r="O1157" t="s">
        <v>82</v>
      </c>
      <c r="P1157" t="str">
        <f>"4170038157                    "</f>
        <v xml:space="preserve">4170038157                    </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P1157">
        <v>0</v>
      </c>
      <c r="AQ1157">
        <v>21.38</v>
      </c>
      <c r="AR1157">
        <v>0</v>
      </c>
      <c r="AS1157">
        <v>0</v>
      </c>
      <c r="AT1157">
        <v>0</v>
      </c>
      <c r="AU1157">
        <v>0</v>
      </c>
      <c r="AV1157">
        <v>0</v>
      </c>
      <c r="AW1157">
        <v>0</v>
      </c>
      <c r="AX1157">
        <v>0</v>
      </c>
      <c r="AY1157">
        <v>0</v>
      </c>
      <c r="AZ1157">
        <v>0</v>
      </c>
      <c r="BA1157">
        <v>0</v>
      </c>
      <c r="BB1157">
        <v>0</v>
      </c>
      <c r="BC1157">
        <v>0</v>
      </c>
      <c r="BD1157">
        <v>0</v>
      </c>
      <c r="BE1157">
        <v>0</v>
      </c>
      <c r="BF1157">
        <v>0</v>
      </c>
      <c r="BG1157">
        <v>0</v>
      </c>
      <c r="BH1157">
        <v>1</v>
      </c>
      <c r="BI1157">
        <v>1</v>
      </c>
      <c r="BJ1157">
        <v>0.2</v>
      </c>
      <c r="BK1157">
        <v>1</v>
      </c>
      <c r="BL1157">
        <v>69.98</v>
      </c>
      <c r="BM1157">
        <v>10.5</v>
      </c>
      <c r="BN1157">
        <v>80.48</v>
      </c>
      <c r="BO1157">
        <v>80.48</v>
      </c>
      <c r="BQ1157" t="s">
        <v>1657</v>
      </c>
      <c r="BR1157" t="s">
        <v>84</v>
      </c>
      <c r="BS1157" s="3">
        <v>45791</v>
      </c>
      <c r="BT1157" s="4">
        <v>0.41875000000000001</v>
      </c>
      <c r="BU1157" t="s">
        <v>1658</v>
      </c>
      <c r="BV1157" t="s">
        <v>86</v>
      </c>
      <c r="BY1157">
        <v>1200</v>
      </c>
      <c r="CA1157" t="s">
        <v>141</v>
      </c>
      <c r="CC1157" t="s">
        <v>137</v>
      </c>
      <c r="CD1157" s="5" t="s">
        <v>142</v>
      </c>
      <c r="CE1157" t="s">
        <v>88</v>
      </c>
      <c r="CF1157" s="3">
        <v>45791</v>
      </c>
      <c r="CI1157">
        <v>1</v>
      </c>
      <c r="CJ1157">
        <v>1</v>
      </c>
      <c r="CK1157">
        <v>21</v>
      </c>
      <c r="CL1157" t="s">
        <v>89</v>
      </c>
    </row>
    <row r="1158" spans="1:90" x14ac:dyDescent="0.3">
      <c r="A1158" t="s">
        <v>72</v>
      </c>
      <c r="B1158" t="s">
        <v>73</v>
      </c>
      <c r="C1158" t="s">
        <v>74</v>
      </c>
      <c r="E1158" t="str">
        <f>"080065348763"</f>
        <v>080065348763</v>
      </c>
      <c r="F1158" s="3">
        <v>45790</v>
      </c>
      <c r="G1158">
        <v>202602</v>
      </c>
      <c r="H1158" t="s">
        <v>75</v>
      </c>
      <c r="I1158" t="s">
        <v>76</v>
      </c>
      <c r="J1158" t="s">
        <v>77</v>
      </c>
      <c r="K1158" t="s">
        <v>78</v>
      </c>
      <c r="L1158" t="s">
        <v>117</v>
      </c>
      <c r="M1158" t="s">
        <v>118</v>
      </c>
      <c r="N1158" t="s">
        <v>1635</v>
      </c>
      <c r="O1158" t="s">
        <v>82</v>
      </c>
      <c r="P1158" t="str">
        <f>"4170038049                    "</f>
        <v xml:space="preserve">4170038049                    </v>
      </c>
      <c r="Q1158">
        <v>0</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16.7</v>
      </c>
      <c r="AR1158">
        <v>0</v>
      </c>
      <c r="AS1158">
        <v>0</v>
      </c>
      <c r="AT1158">
        <v>0</v>
      </c>
      <c r="AU1158">
        <v>0</v>
      </c>
      <c r="AV1158">
        <v>0</v>
      </c>
      <c r="AW1158">
        <v>0</v>
      </c>
      <c r="AX1158">
        <v>0</v>
      </c>
      <c r="AY1158">
        <v>0</v>
      </c>
      <c r="AZ1158">
        <v>0</v>
      </c>
      <c r="BA1158">
        <v>0</v>
      </c>
      <c r="BB1158">
        <v>0</v>
      </c>
      <c r="BC1158">
        <v>0</v>
      </c>
      <c r="BD1158">
        <v>0</v>
      </c>
      <c r="BE1158">
        <v>0</v>
      </c>
      <c r="BF1158">
        <v>0</v>
      </c>
      <c r="BG1158">
        <v>0</v>
      </c>
      <c r="BH1158">
        <v>1</v>
      </c>
      <c r="BI1158">
        <v>1</v>
      </c>
      <c r="BJ1158">
        <v>0.2</v>
      </c>
      <c r="BK1158">
        <v>1</v>
      </c>
      <c r="BL1158">
        <v>54.66</v>
      </c>
      <c r="BM1158">
        <v>8.1999999999999993</v>
      </c>
      <c r="BN1158">
        <v>62.86</v>
      </c>
      <c r="BO1158">
        <v>62.86</v>
      </c>
      <c r="BQ1158" t="s">
        <v>1636</v>
      </c>
      <c r="BR1158" t="s">
        <v>84</v>
      </c>
      <c r="BS1158" s="3">
        <v>45791</v>
      </c>
      <c r="BT1158" s="4">
        <v>0.38263888888888886</v>
      </c>
      <c r="BU1158" t="s">
        <v>1858</v>
      </c>
      <c r="BV1158" t="s">
        <v>86</v>
      </c>
      <c r="BY1158">
        <v>1200</v>
      </c>
      <c r="CA1158" t="s">
        <v>535</v>
      </c>
      <c r="CC1158" t="s">
        <v>118</v>
      </c>
      <c r="CD1158">
        <v>2094</v>
      </c>
      <c r="CE1158" t="s">
        <v>88</v>
      </c>
      <c r="CF1158" s="3">
        <v>45791</v>
      </c>
      <c r="CI1158">
        <v>1</v>
      </c>
      <c r="CJ1158">
        <v>1</v>
      </c>
      <c r="CK1158">
        <v>22</v>
      </c>
      <c r="CL1158" t="s">
        <v>89</v>
      </c>
    </row>
    <row r="1159" spans="1:90" x14ac:dyDescent="0.3">
      <c r="A1159" t="s">
        <v>72</v>
      </c>
      <c r="B1159" t="s">
        <v>73</v>
      </c>
      <c r="C1159" t="s">
        <v>74</v>
      </c>
      <c r="E1159" t="str">
        <f>"080065348793"</f>
        <v>080065348793</v>
      </c>
      <c r="F1159" s="3">
        <v>45790</v>
      </c>
      <c r="G1159">
        <v>202602</v>
      </c>
      <c r="H1159" t="s">
        <v>75</v>
      </c>
      <c r="I1159" t="s">
        <v>76</v>
      </c>
      <c r="J1159" t="s">
        <v>77</v>
      </c>
      <c r="K1159" t="s">
        <v>78</v>
      </c>
      <c r="L1159" t="s">
        <v>97</v>
      </c>
      <c r="M1159" t="s">
        <v>98</v>
      </c>
      <c r="N1159" t="s">
        <v>1859</v>
      </c>
      <c r="O1159" t="s">
        <v>82</v>
      </c>
      <c r="P1159" t="str">
        <f>"4170038041                    "</f>
        <v xml:space="preserve">4170038041                    </v>
      </c>
      <c r="Q1159">
        <v>0</v>
      </c>
      <c r="R1159">
        <v>0</v>
      </c>
      <c r="S1159">
        <v>0</v>
      </c>
      <c r="T1159">
        <v>0</v>
      </c>
      <c r="U1159">
        <v>0</v>
      </c>
      <c r="V1159">
        <v>0</v>
      </c>
      <c r="W1159">
        <v>0</v>
      </c>
      <c r="X1159">
        <v>0</v>
      </c>
      <c r="Y1159">
        <v>0</v>
      </c>
      <c r="Z1159">
        <v>0</v>
      </c>
      <c r="AA1159">
        <v>0</v>
      </c>
      <c r="AB1159">
        <v>0</v>
      </c>
      <c r="AC1159">
        <v>0</v>
      </c>
      <c r="AD1159">
        <v>0</v>
      </c>
      <c r="AE1159">
        <v>0</v>
      </c>
      <c r="AF1159">
        <v>0</v>
      </c>
      <c r="AG1159">
        <v>0</v>
      </c>
      <c r="AH1159">
        <v>0</v>
      </c>
      <c r="AI1159">
        <v>0</v>
      </c>
      <c r="AJ1159">
        <v>0</v>
      </c>
      <c r="AK1159">
        <v>0</v>
      </c>
      <c r="AL1159">
        <v>0</v>
      </c>
      <c r="AM1159">
        <v>0</v>
      </c>
      <c r="AN1159">
        <v>0</v>
      </c>
      <c r="AO1159">
        <v>0</v>
      </c>
      <c r="AP1159">
        <v>0</v>
      </c>
      <c r="AQ1159">
        <v>16.7</v>
      </c>
      <c r="AR1159">
        <v>0</v>
      </c>
      <c r="AS1159">
        <v>0</v>
      </c>
      <c r="AT1159">
        <v>0</v>
      </c>
      <c r="AU1159">
        <v>0</v>
      </c>
      <c r="AV1159">
        <v>0</v>
      </c>
      <c r="AW1159">
        <v>0</v>
      </c>
      <c r="AX1159">
        <v>0</v>
      </c>
      <c r="AY1159">
        <v>0</v>
      </c>
      <c r="AZ1159">
        <v>0</v>
      </c>
      <c r="BA1159">
        <v>0</v>
      </c>
      <c r="BB1159">
        <v>0</v>
      </c>
      <c r="BC1159">
        <v>0</v>
      </c>
      <c r="BD1159">
        <v>0</v>
      </c>
      <c r="BE1159">
        <v>0</v>
      </c>
      <c r="BF1159">
        <v>0</v>
      </c>
      <c r="BG1159">
        <v>0</v>
      </c>
      <c r="BH1159">
        <v>1</v>
      </c>
      <c r="BI1159">
        <v>3</v>
      </c>
      <c r="BJ1159">
        <v>0.9</v>
      </c>
      <c r="BK1159">
        <v>3</v>
      </c>
      <c r="BL1159">
        <v>54.66</v>
      </c>
      <c r="BM1159">
        <v>8.1999999999999993</v>
      </c>
      <c r="BN1159">
        <v>62.86</v>
      </c>
      <c r="BO1159">
        <v>62.86</v>
      </c>
      <c r="BQ1159" t="s">
        <v>1860</v>
      </c>
      <c r="BR1159" t="s">
        <v>84</v>
      </c>
      <c r="BS1159" s="3">
        <v>45791</v>
      </c>
      <c r="BT1159" s="4">
        <v>0.39027777777777778</v>
      </c>
      <c r="BU1159" t="s">
        <v>1861</v>
      </c>
      <c r="BV1159" t="s">
        <v>86</v>
      </c>
      <c r="BY1159">
        <v>4275</v>
      </c>
      <c r="CA1159" t="s">
        <v>1862</v>
      </c>
      <c r="CC1159" t="s">
        <v>98</v>
      </c>
      <c r="CD1159">
        <v>1459</v>
      </c>
      <c r="CE1159" t="s">
        <v>116</v>
      </c>
      <c r="CF1159" s="3">
        <v>45791</v>
      </c>
      <c r="CI1159">
        <v>1</v>
      </c>
      <c r="CJ1159">
        <v>1</v>
      </c>
      <c r="CK1159">
        <v>22</v>
      </c>
      <c r="CL1159" t="s">
        <v>89</v>
      </c>
    </row>
    <row r="1160" spans="1:90" x14ac:dyDescent="0.3">
      <c r="A1160" t="s">
        <v>72</v>
      </c>
      <c r="B1160" t="s">
        <v>73</v>
      </c>
      <c r="C1160" t="s">
        <v>74</v>
      </c>
      <c r="E1160" t="str">
        <f>"080065350543"</f>
        <v>080065350543</v>
      </c>
      <c r="F1160" s="3">
        <v>45790</v>
      </c>
      <c r="G1160">
        <v>202602</v>
      </c>
      <c r="H1160" t="s">
        <v>75</v>
      </c>
      <c r="I1160" t="s">
        <v>76</v>
      </c>
      <c r="J1160" t="s">
        <v>77</v>
      </c>
      <c r="K1160" t="s">
        <v>78</v>
      </c>
      <c r="L1160" t="s">
        <v>350</v>
      </c>
      <c r="M1160" t="s">
        <v>351</v>
      </c>
      <c r="N1160" t="s">
        <v>404</v>
      </c>
      <c r="O1160" t="s">
        <v>82</v>
      </c>
      <c r="P1160" t="str">
        <f>"4170038131                    "</f>
        <v xml:space="preserve">4170038131                    </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58.78</v>
      </c>
      <c r="AR1160">
        <v>0</v>
      </c>
      <c r="AS1160">
        <v>0</v>
      </c>
      <c r="AT1160">
        <v>0</v>
      </c>
      <c r="AU1160">
        <v>0</v>
      </c>
      <c r="AV1160">
        <v>0</v>
      </c>
      <c r="AW1160">
        <v>0</v>
      </c>
      <c r="AX1160">
        <v>0</v>
      </c>
      <c r="AY1160">
        <v>0</v>
      </c>
      <c r="AZ1160">
        <v>0</v>
      </c>
      <c r="BA1160">
        <v>0</v>
      </c>
      <c r="BB1160">
        <v>0</v>
      </c>
      <c r="BC1160">
        <v>0</v>
      </c>
      <c r="BD1160">
        <v>0</v>
      </c>
      <c r="BE1160">
        <v>0</v>
      </c>
      <c r="BF1160">
        <v>0</v>
      </c>
      <c r="BG1160">
        <v>0</v>
      </c>
      <c r="BH1160">
        <v>1</v>
      </c>
      <c r="BI1160">
        <v>3</v>
      </c>
      <c r="BJ1160">
        <v>5.2</v>
      </c>
      <c r="BK1160">
        <v>5.5</v>
      </c>
      <c r="BL1160">
        <v>192.36</v>
      </c>
      <c r="BM1160">
        <v>28.85</v>
      </c>
      <c r="BN1160">
        <v>221.21</v>
      </c>
      <c r="BO1160">
        <v>221.21</v>
      </c>
      <c r="BQ1160" t="s">
        <v>405</v>
      </c>
      <c r="BR1160" t="s">
        <v>84</v>
      </c>
      <c r="BS1160" s="3">
        <v>45791</v>
      </c>
      <c r="BT1160" s="4">
        <v>0.4236111111111111</v>
      </c>
      <c r="BU1160" t="s">
        <v>1588</v>
      </c>
      <c r="BV1160" t="s">
        <v>86</v>
      </c>
      <c r="BY1160">
        <v>26013</v>
      </c>
      <c r="CA1160" t="s">
        <v>326</v>
      </c>
      <c r="CC1160" t="s">
        <v>351</v>
      </c>
      <c r="CD1160">
        <v>4052</v>
      </c>
      <c r="CE1160" t="s">
        <v>96</v>
      </c>
      <c r="CF1160" s="3">
        <v>45792</v>
      </c>
      <c r="CI1160">
        <v>1</v>
      </c>
      <c r="CJ1160">
        <v>1</v>
      </c>
      <c r="CK1160">
        <v>21</v>
      </c>
      <c r="CL1160" t="s">
        <v>89</v>
      </c>
    </row>
    <row r="1161" spans="1:90" x14ac:dyDescent="0.3">
      <c r="A1161" t="s">
        <v>72</v>
      </c>
      <c r="B1161" t="s">
        <v>73</v>
      </c>
      <c r="C1161" t="s">
        <v>74</v>
      </c>
      <c r="E1161" t="str">
        <f>"080065350551"</f>
        <v>080065350551</v>
      </c>
      <c r="F1161" s="3">
        <v>45790</v>
      </c>
      <c r="G1161">
        <v>202602</v>
      </c>
      <c r="H1161" t="s">
        <v>75</v>
      </c>
      <c r="I1161" t="s">
        <v>76</v>
      </c>
      <c r="J1161" t="s">
        <v>77</v>
      </c>
      <c r="K1161" t="s">
        <v>78</v>
      </c>
      <c r="L1161" t="s">
        <v>103</v>
      </c>
      <c r="M1161" t="s">
        <v>104</v>
      </c>
      <c r="N1161" t="s">
        <v>437</v>
      </c>
      <c r="O1161" t="s">
        <v>82</v>
      </c>
      <c r="P1161" t="str">
        <f>"4170038033                    "</f>
        <v xml:space="preserve">4170038033                    </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160.27000000000001</v>
      </c>
      <c r="AR1161">
        <v>0</v>
      </c>
      <c r="AS1161">
        <v>0</v>
      </c>
      <c r="AT1161">
        <v>0</v>
      </c>
      <c r="AU1161">
        <v>0</v>
      </c>
      <c r="AV1161">
        <v>0</v>
      </c>
      <c r="AW1161">
        <v>0</v>
      </c>
      <c r="AX1161">
        <v>0</v>
      </c>
      <c r="AY1161">
        <v>0</v>
      </c>
      <c r="AZ1161">
        <v>0</v>
      </c>
      <c r="BA1161">
        <v>0</v>
      </c>
      <c r="BB1161">
        <v>0</v>
      </c>
      <c r="BC1161">
        <v>0</v>
      </c>
      <c r="BD1161">
        <v>0</v>
      </c>
      <c r="BE1161">
        <v>0</v>
      </c>
      <c r="BF1161">
        <v>0</v>
      </c>
      <c r="BG1161">
        <v>0</v>
      </c>
      <c r="BH1161">
        <v>1</v>
      </c>
      <c r="BI1161">
        <v>15</v>
      </c>
      <c r="BJ1161">
        <v>8.9</v>
      </c>
      <c r="BK1161">
        <v>15</v>
      </c>
      <c r="BL1161">
        <v>524.51</v>
      </c>
      <c r="BM1161">
        <v>78.680000000000007</v>
      </c>
      <c r="BN1161">
        <v>603.19000000000005</v>
      </c>
      <c r="BO1161">
        <v>603.19000000000005</v>
      </c>
      <c r="BQ1161" t="s">
        <v>438</v>
      </c>
      <c r="BR1161" t="s">
        <v>84</v>
      </c>
      <c r="BS1161" s="3">
        <v>45791</v>
      </c>
      <c r="BT1161" s="4">
        <v>0.41666666666666669</v>
      </c>
      <c r="BU1161" t="s">
        <v>1863</v>
      </c>
      <c r="BV1161" t="s">
        <v>86</v>
      </c>
      <c r="BY1161">
        <v>44640</v>
      </c>
      <c r="CA1161" t="s">
        <v>440</v>
      </c>
      <c r="CC1161" t="s">
        <v>104</v>
      </c>
      <c r="CD1161">
        <v>3212</v>
      </c>
      <c r="CE1161" t="s">
        <v>96</v>
      </c>
      <c r="CF1161" s="3">
        <v>45792</v>
      </c>
      <c r="CI1161">
        <v>2</v>
      </c>
      <c r="CJ1161">
        <v>1</v>
      </c>
      <c r="CK1161">
        <v>21</v>
      </c>
      <c r="CL1161" t="s">
        <v>89</v>
      </c>
    </row>
    <row r="1162" spans="1:90" x14ac:dyDescent="0.3">
      <c r="A1162" t="s">
        <v>72</v>
      </c>
      <c r="B1162" t="s">
        <v>73</v>
      </c>
      <c r="C1162" t="s">
        <v>74</v>
      </c>
      <c r="E1162" t="str">
        <f>"080065350624"</f>
        <v>080065350624</v>
      </c>
      <c r="F1162" s="3">
        <v>45790</v>
      </c>
      <c r="G1162">
        <v>202602</v>
      </c>
      <c r="H1162" t="s">
        <v>75</v>
      </c>
      <c r="I1162" t="s">
        <v>76</v>
      </c>
      <c r="J1162" t="s">
        <v>77</v>
      </c>
      <c r="K1162" t="s">
        <v>78</v>
      </c>
      <c r="L1162" t="s">
        <v>79</v>
      </c>
      <c r="M1162" t="s">
        <v>80</v>
      </c>
      <c r="N1162" t="s">
        <v>880</v>
      </c>
      <c r="O1162" t="s">
        <v>82</v>
      </c>
      <c r="P1162" t="str">
        <f>"4170038104                    "</f>
        <v xml:space="preserve">4170038104                    </v>
      </c>
      <c r="Q1162">
        <v>0</v>
      </c>
      <c r="R1162">
        <v>0</v>
      </c>
      <c r="S1162">
        <v>0</v>
      </c>
      <c r="T1162">
        <v>0</v>
      </c>
      <c r="U1162">
        <v>0</v>
      </c>
      <c r="V1162">
        <v>0</v>
      </c>
      <c r="W1162">
        <v>0</v>
      </c>
      <c r="X1162">
        <v>0</v>
      </c>
      <c r="Y1162">
        <v>0</v>
      </c>
      <c r="Z1162">
        <v>0</v>
      </c>
      <c r="AA1162">
        <v>0</v>
      </c>
      <c r="AB1162">
        <v>0</v>
      </c>
      <c r="AC1162">
        <v>0</v>
      </c>
      <c r="AD1162">
        <v>0</v>
      </c>
      <c r="AE1162">
        <v>0</v>
      </c>
      <c r="AF1162">
        <v>0</v>
      </c>
      <c r="AG1162">
        <v>0</v>
      </c>
      <c r="AH1162">
        <v>0</v>
      </c>
      <c r="AI1162">
        <v>0</v>
      </c>
      <c r="AJ1162">
        <v>0</v>
      </c>
      <c r="AK1162">
        <v>0</v>
      </c>
      <c r="AL1162">
        <v>0</v>
      </c>
      <c r="AM1162">
        <v>0</v>
      </c>
      <c r="AN1162">
        <v>0</v>
      </c>
      <c r="AO1162">
        <v>0</v>
      </c>
      <c r="AP1162">
        <v>0</v>
      </c>
      <c r="AQ1162">
        <v>21.38</v>
      </c>
      <c r="AR1162">
        <v>0</v>
      </c>
      <c r="AS1162">
        <v>0</v>
      </c>
      <c r="AT1162">
        <v>0</v>
      </c>
      <c r="AU1162">
        <v>0</v>
      </c>
      <c r="AV1162">
        <v>0</v>
      </c>
      <c r="AW1162">
        <v>0</v>
      </c>
      <c r="AX1162">
        <v>0</v>
      </c>
      <c r="AY1162">
        <v>0</v>
      </c>
      <c r="AZ1162">
        <v>0</v>
      </c>
      <c r="BA1162">
        <v>0</v>
      </c>
      <c r="BB1162">
        <v>0</v>
      </c>
      <c r="BC1162">
        <v>0</v>
      </c>
      <c r="BD1162">
        <v>0</v>
      </c>
      <c r="BE1162">
        <v>0</v>
      </c>
      <c r="BF1162">
        <v>0</v>
      </c>
      <c r="BG1162">
        <v>0</v>
      </c>
      <c r="BH1162">
        <v>1</v>
      </c>
      <c r="BI1162">
        <v>2</v>
      </c>
      <c r="BJ1162">
        <v>1.1000000000000001</v>
      </c>
      <c r="BK1162">
        <v>2</v>
      </c>
      <c r="BL1162">
        <v>69.98</v>
      </c>
      <c r="BM1162">
        <v>10.5</v>
      </c>
      <c r="BN1162">
        <v>80.48</v>
      </c>
      <c r="BO1162">
        <v>80.48</v>
      </c>
      <c r="BQ1162" t="s">
        <v>881</v>
      </c>
      <c r="BR1162" t="s">
        <v>84</v>
      </c>
      <c r="BS1162" s="3">
        <v>45791</v>
      </c>
      <c r="BT1162" s="4">
        <v>0.39930555555555558</v>
      </c>
      <c r="BU1162" t="s">
        <v>882</v>
      </c>
      <c r="BV1162" t="s">
        <v>86</v>
      </c>
      <c r="BY1162">
        <v>5320</v>
      </c>
      <c r="CA1162" t="s">
        <v>160</v>
      </c>
      <c r="CC1162" t="s">
        <v>80</v>
      </c>
      <c r="CD1162">
        <v>3620</v>
      </c>
      <c r="CE1162" t="s">
        <v>116</v>
      </c>
      <c r="CF1162" s="3">
        <v>45792</v>
      </c>
      <c r="CI1162">
        <v>1</v>
      </c>
      <c r="CJ1162">
        <v>1</v>
      </c>
      <c r="CK1162">
        <v>21</v>
      </c>
      <c r="CL1162" t="s">
        <v>89</v>
      </c>
    </row>
    <row r="1163" spans="1:90" x14ac:dyDescent="0.3">
      <c r="A1163" t="s">
        <v>72</v>
      </c>
      <c r="B1163" t="s">
        <v>73</v>
      </c>
      <c r="C1163" t="s">
        <v>74</v>
      </c>
      <c r="E1163" t="str">
        <f>"080065350627"</f>
        <v>080065350627</v>
      </c>
      <c r="F1163" s="3">
        <v>45790</v>
      </c>
      <c r="G1163">
        <v>202602</v>
      </c>
      <c r="H1163" t="s">
        <v>75</v>
      </c>
      <c r="I1163" t="s">
        <v>76</v>
      </c>
      <c r="J1163" t="s">
        <v>77</v>
      </c>
      <c r="K1163" t="s">
        <v>78</v>
      </c>
      <c r="L1163" t="s">
        <v>1864</v>
      </c>
      <c r="M1163" t="s">
        <v>1865</v>
      </c>
      <c r="N1163" t="s">
        <v>1866</v>
      </c>
      <c r="O1163" t="s">
        <v>82</v>
      </c>
      <c r="P1163" t="str">
        <f>"4170038138                    "</f>
        <v xml:space="preserve">4170038138                    </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P1163">
        <v>0</v>
      </c>
      <c r="AQ1163">
        <v>60.14</v>
      </c>
      <c r="AR1163">
        <v>0</v>
      </c>
      <c r="AS1163">
        <v>0</v>
      </c>
      <c r="AT1163">
        <v>0</v>
      </c>
      <c r="AU1163">
        <v>0</v>
      </c>
      <c r="AV1163">
        <v>0</v>
      </c>
      <c r="AW1163">
        <v>0</v>
      </c>
      <c r="AX1163">
        <v>0</v>
      </c>
      <c r="AY1163">
        <v>0</v>
      </c>
      <c r="AZ1163">
        <v>0</v>
      </c>
      <c r="BA1163">
        <v>0</v>
      </c>
      <c r="BB1163">
        <v>0</v>
      </c>
      <c r="BC1163">
        <v>0</v>
      </c>
      <c r="BD1163">
        <v>0</v>
      </c>
      <c r="BE1163">
        <v>0</v>
      </c>
      <c r="BF1163">
        <v>0</v>
      </c>
      <c r="BG1163">
        <v>0</v>
      </c>
      <c r="BH1163">
        <v>1</v>
      </c>
      <c r="BI1163">
        <v>3</v>
      </c>
      <c r="BJ1163">
        <v>2</v>
      </c>
      <c r="BK1163">
        <v>3</v>
      </c>
      <c r="BL1163">
        <v>196.82</v>
      </c>
      <c r="BM1163">
        <v>29.52</v>
      </c>
      <c r="BN1163">
        <v>226.34</v>
      </c>
      <c r="BO1163">
        <v>226.34</v>
      </c>
      <c r="BQ1163" t="s">
        <v>1867</v>
      </c>
      <c r="BR1163" t="s">
        <v>84</v>
      </c>
      <c r="BS1163" s="3">
        <v>45797</v>
      </c>
      <c r="BT1163" s="4">
        <v>0.58333333333333337</v>
      </c>
      <c r="BU1163" t="s">
        <v>1868</v>
      </c>
      <c r="BV1163" t="s">
        <v>89</v>
      </c>
      <c r="BW1163" t="s">
        <v>1723</v>
      </c>
      <c r="BX1163" t="s">
        <v>1869</v>
      </c>
      <c r="BY1163">
        <v>9918</v>
      </c>
      <c r="CC1163" t="s">
        <v>1865</v>
      </c>
      <c r="CD1163">
        <v>8801</v>
      </c>
      <c r="CE1163" t="s">
        <v>96</v>
      </c>
      <c r="CF1163" s="3">
        <v>45798</v>
      </c>
      <c r="CI1163">
        <v>2</v>
      </c>
      <c r="CJ1163">
        <v>5</v>
      </c>
      <c r="CK1163">
        <v>23</v>
      </c>
      <c r="CL1163" t="s">
        <v>89</v>
      </c>
    </row>
    <row r="1164" spans="1:90" x14ac:dyDescent="0.3">
      <c r="A1164" t="s">
        <v>72</v>
      </c>
      <c r="B1164" t="s">
        <v>73</v>
      </c>
      <c r="C1164" t="s">
        <v>74</v>
      </c>
      <c r="E1164" t="str">
        <f>"080065350711"</f>
        <v>080065350711</v>
      </c>
      <c r="F1164" s="3">
        <v>45790</v>
      </c>
      <c r="G1164">
        <v>202602</v>
      </c>
      <c r="H1164" t="s">
        <v>75</v>
      </c>
      <c r="I1164" t="s">
        <v>76</v>
      </c>
      <c r="J1164" t="s">
        <v>77</v>
      </c>
      <c r="K1164" t="s">
        <v>78</v>
      </c>
      <c r="L1164" t="s">
        <v>103</v>
      </c>
      <c r="M1164" t="s">
        <v>104</v>
      </c>
      <c r="N1164" t="s">
        <v>686</v>
      </c>
      <c r="O1164" t="s">
        <v>82</v>
      </c>
      <c r="P1164" t="str">
        <f>"4170038125                    "</f>
        <v xml:space="preserve">4170038125                    </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21.38</v>
      </c>
      <c r="AR1164">
        <v>0</v>
      </c>
      <c r="AS1164">
        <v>0</v>
      </c>
      <c r="AT1164">
        <v>0</v>
      </c>
      <c r="AU1164">
        <v>0</v>
      </c>
      <c r="AV1164">
        <v>0</v>
      </c>
      <c r="AW1164">
        <v>0</v>
      </c>
      <c r="AX1164">
        <v>0</v>
      </c>
      <c r="AY1164">
        <v>0</v>
      </c>
      <c r="AZ1164">
        <v>0</v>
      </c>
      <c r="BA1164">
        <v>0</v>
      </c>
      <c r="BB1164">
        <v>0</v>
      </c>
      <c r="BC1164">
        <v>0</v>
      </c>
      <c r="BD1164">
        <v>0</v>
      </c>
      <c r="BE1164">
        <v>0</v>
      </c>
      <c r="BF1164">
        <v>0</v>
      </c>
      <c r="BG1164">
        <v>0</v>
      </c>
      <c r="BH1164">
        <v>1</v>
      </c>
      <c r="BI1164">
        <v>1</v>
      </c>
      <c r="BJ1164">
        <v>0.2</v>
      </c>
      <c r="BK1164">
        <v>1</v>
      </c>
      <c r="BL1164">
        <v>69.98</v>
      </c>
      <c r="BM1164">
        <v>10.5</v>
      </c>
      <c r="BN1164">
        <v>80.48</v>
      </c>
      <c r="BO1164">
        <v>80.48</v>
      </c>
      <c r="BQ1164" t="s">
        <v>687</v>
      </c>
      <c r="BR1164" t="s">
        <v>84</v>
      </c>
      <c r="BS1164" s="3">
        <v>45791</v>
      </c>
      <c r="BT1164" s="4">
        <v>0.41666666666666669</v>
      </c>
      <c r="BU1164" t="s">
        <v>1870</v>
      </c>
      <c r="BV1164" t="s">
        <v>86</v>
      </c>
      <c r="BY1164">
        <v>1200</v>
      </c>
      <c r="CA1164" t="s">
        <v>1169</v>
      </c>
      <c r="CC1164" t="s">
        <v>104</v>
      </c>
      <c r="CD1164">
        <v>3201</v>
      </c>
      <c r="CE1164" t="s">
        <v>88</v>
      </c>
      <c r="CF1164" s="3">
        <v>45792</v>
      </c>
      <c r="CI1164">
        <v>1</v>
      </c>
      <c r="CJ1164">
        <v>1</v>
      </c>
      <c r="CK1164">
        <v>21</v>
      </c>
      <c r="CL1164" t="s">
        <v>89</v>
      </c>
    </row>
    <row r="1165" spans="1:90" x14ac:dyDescent="0.3">
      <c r="A1165" t="s">
        <v>72</v>
      </c>
      <c r="B1165" t="s">
        <v>73</v>
      </c>
      <c r="C1165" t="s">
        <v>74</v>
      </c>
      <c r="E1165" t="str">
        <f>"080065350721"</f>
        <v>080065350721</v>
      </c>
      <c r="F1165" s="3">
        <v>45790</v>
      </c>
      <c r="G1165">
        <v>202602</v>
      </c>
      <c r="H1165" t="s">
        <v>75</v>
      </c>
      <c r="I1165" t="s">
        <v>76</v>
      </c>
      <c r="J1165" t="s">
        <v>77</v>
      </c>
      <c r="K1165" t="s">
        <v>78</v>
      </c>
      <c r="L1165" t="s">
        <v>222</v>
      </c>
      <c r="M1165" t="s">
        <v>223</v>
      </c>
      <c r="N1165" t="s">
        <v>589</v>
      </c>
      <c r="O1165" t="s">
        <v>602</v>
      </c>
      <c r="P1165" t="str">
        <f>"4170038130                    "</f>
        <v xml:space="preserve">4170038130                    </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120.32</v>
      </c>
      <c r="AR1165">
        <v>0</v>
      </c>
      <c r="AS1165">
        <v>0</v>
      </c>
      <c r="AT1165">
        <v>0</v>
      </c>
      <c r="AU1165">
        <v>0</v>
      </c>
      <c r="AV1165">
        <v>0</v>
      </c>
      <c r="AW1165">
        <v>0</v>
      </c>
      <c r="AX1165">
        <v>0</v>
      </c>
      <c r="AY1165">
        <v>0</v>
      </c>
      <c r="AZ1165">
        <v>0</v>
      </c>
      <c r="BA1165">
        <v>0</v>
      </c>
      <c r="BB1165">
        <v>0</v>
      </c>
      <c r="BC1165">
        <v>0</v>
      </c>
      <c r="BD1165">
        <v>0</v>
      </c>
      <c r="BE1165">
        <v>0</v>
      </c>
      <c r="BF1165">
        <v>0</v>
      </c>
      <c r="BG1165">
        <v>0</v>
      </c>
      <c r="BH1165">
        <v>2</v>
      </c>
      <c r="BI1165">
        <v>7</v>
      </c>
      <c r="BJ1165">
        <v>6.1</v>
      </c>
      <c r="BK1165">
        <v>7</v>
      </c>
      <c r="BL1165">
        <v>393.77</v>
      </c>
      <c r="BM1165">
        <v>59.07</v>
      </c>
      <c r="BN1165">
        <v>452.84</v>
      </c>
      <c r="BO1165">
        <v>452.84</v>
      </c>
      <c r="BQ1165" t="s">
        <v>590</v>
      </c>
      <c r="BR1165" t="s">
        <v>84</v>
      </c>
      <c r="BS1165" s="3">
        <v>45791</v>
      </c>
      <c r="BT1165" s="4">
        <v>0.44374999999999998</v>
      </c>
      <c r="BU1165" t="s">
        <v>1871</v>
      </c>
      <c r="BV1165" t="s">
        <v>86</v>
      </c>
      <c r="BY1165">
        <v>30720</v>
      </c>
      <c r="CA1165" t="s">
        <v>1662</v>
      </c>
      <c r="CC1165" t="s">
        <v>223</v>
      </c>
      <c r="CD1165">
        <v>1748</v>
      </c>
      <c r="CE1165" t="s">
        <v>96</v>
      </c>
      <c r="CF1165" s="3">
        <v>45791</v>
      </c>
      <c r="CI1165">
        <v>1</v>
      </c>
      <c r="CJ1165">
        <v>1</v>
      </c>
      <c r="CK1165">
        <v>34</v>
      </c>
      <c r="CL1165" t="s">
        <v>89</v>
      </c>
    </row>
    <row r="1166" spans="1:90" x14ac:dyDescent="0.3">
      <c r="A1166" t="s">
        <v>72</v>
      </c>
      <c r="B1166" t="s">
        <v>73</v>
      </c>
      <c r="C1166" t="s">
        <v>74</v>
      </c>
      <c r="E1166" t="str">
        <f>"080065350770"</f>
        <v>080065350770</v>
      </c>
      <c r="F1166" s="3">
        <v>45790</v>
      </c>
      <c r="G1166">
        <v>202602</v>
      </c>
      <c r="H1166" t="s">
        <v>75</v>
      </c>
      <c r="I1166" t="s">
        <v>76</v>
      </c>
      <c r="J1166" t="s">
        <v>77</v>
      </c>
      <c r="K1166" t="s">
        <v>78</v>
      </c>
      <c r="L1166" t="s">
        <v>79</v>
      </c>
      <c r="M1166" t="s">
        <v>80</v>
      </c>
      <c r="N1166" t="s">
        <v>452</v>
      </c>
      <c r="O1166" t="s">
        <v>82</v>
      </c>
      <c r="P1166" t="str">
        <f>"4170038107                    "</f>
        <v xml:space="preserve">4170038107                    </v>
      </c>
      <c r="Q1166">
        <v>0</v>
      </c>
      <c r="R1166">
        <v>0</v>
      </c>
      <c r="S1166">
        <v>0</v>
      </c>
      <c r="T1166">
        <v>0</v>
      </c>
      <c r="U1166">
        <v>0</v>
      </c>
      <c r="V1166">
        <v>0</v>
      </c>
      <c r="W1166">
        <v>0</v>
      </c>
      <c r="X1166">
        <v>0</v>
      </c>
      <c r="Y1166">
        <v>0</v>
      </c>
      <c r="Z1166">
        <v>0</v>
      </c>
      <c r="AA1166">
        <v>0</v>
      </c>
      <c r="AB1166">
        <v>0</v>
      </c>
      <c r="AC1166">
        <v>0</v>
      </c>
      <c r="AD1166">
        <v>0</v>
      </c>
      <c r="AE1166">
        <v>0</v>
      </c>
      <c r="AF1166">
        <v>0</v>
      </c>
      <c r="AG1166">
        <v>0</v>
      </c>
      <c r="AH1166">
        <v>0</v>
      </c>
      <c r="AI1166">
        <v>0</v>
      </c>
      <c r="AJ1166">
        <v>0</v>
      </c>
      <c r="AK1166">
        <v>0</v>
      </c>
      <c r="AL1166">
        <v>0</v>
      </c>
      <c r="AM1166">
        <v>0</v>
      </c>
      <c r="AN1166">
        <v>0</v>
      </c>
      <c r="AO1166">
        <v>0</v>
      </c>
      <c r="AP1166">
        <v>0</v>
      </c>
      <c r="AQ1166">
        <v>21.38</v>
      </c>
      <c r="AR1166">
        <v>0</v>
      </c>
      <c r="AS1166">
        <v>0</v>
      </c>
      <c r="AT1166">
        <v>0</v>
      </c>
      <c r="AU1166">
        <v>0</v>
      </c>
      <c r="AV1166">
        <v>0</v>
      </c>
      <c r="AW1166">
        <v>0</v>
      </c>
      <c r="AX1166">
        <v>0</v>
      </c>
      <c r="AY1166">
        <v>0</v>
      </c>
      <c r="AZ1166">
        <v>0</v>
      </c>
      <c r="BA1166">
        <v>0</v>
      </c>
      <c r="BB1166">
        <v>0</v>
      </c>
      <c r="BC1166">
        <v>0</v>
      </c>
      <c r="BD1166">
        <v>0</v>
      </c>
      <c r="BE1166">
        <v>0</v>
      </c>
      <c r="BF1166">
        <v>0</v>
      </c>
      <c r="BG1166">
        <v>0</v>
      </c>
      <c r="BH1166">
        <v>1</v>
      </c>
      <c r="BI1166">
        <v>1</v>
      </c>
      <c r="BJ1166">
        <v>0.2</v>
      </c>
      <c r="BK1166">
        <v>1</v>
      </c>
      <c r="BL1166">
        <v>69.98</v>
      </c>
      <c r="BM1166">
        <v>10.5</v>
      </c>
      <c r="BN1166">
        <v>80.48</v>
      </c>
      <c r="BO1166">
        <v>80.48</v>
      </c>
      <c r="BQ1166" t="s">
        <v>453</v>
      </c>
      <c r="BR1166" t="s">
        <v>84</v>
      </c>
      <c r="BS1166" s="3">
        <v>45791</v>
      </c>
      <c r="BT1166" s="4">
        <v>0.375</v>
      </c>
      <c r="BU1166" t="s">
        <v>1071</v>
      </c>
      <c r="BV1166" t="s">
        <v>86</v>
      </c>
      <c r="BY1166">
        <v>1200</v>
      </c>
      <c r="CA1166" t="s">
        <v>160</v>
      </c>
      <c r="CC1166" t="s">
        <v>80</v>
      </c>
      <c r="CD1166">
        <v>3610</v>
      </c>
      <c r="CE1166" t="s">
        <v>88</v>
      </c>
      <c r="CF1166" s="3">
        <v>45792</v>
      </c>
      <c r="CI1166">
        <v>1</v>
      </c>
      <c r="CJ1166">
        <v>1</v>
      </c>
      <c r="CK1166">
        <v>21</v>
      </c>
      <c r="CL1166" t="s">
        <v>89</v>
      </c>
    </row>
    <row r="1167" spans="1:90" x14ac:dyDescent="0.3">
      <c r="A1167" t="s">
        <v>72</v>
      </c>
      <c r="B1167" t="s">
        <v>73</v>
      </c>
      <c r="C1167" t="s">
        <v>74</v>
      </c>
      <c r="E1167" t="str">
        <f>"080065350792"</f>
        <v>080065350792</v>
      </c>
      <c r="F1167" s="3">
        <v>45790</v>
      </c>
      <c r="G1167">
        <v>202602</v>
      </c>
      <c r="H1167" t="s">
        <v>75</v>
      </c>
      <c r="I1167" t="s">
        <v>76</v>
      </c>
      <c r="J1167" t="s">
        <v>77</v>
      </c>
      <c r="K1167" t="s">
        <v>78</v>
      </c>
      <c r="L1167" t="s">
        <v>123</v>
      </c>
      <c r="M1167" t="s">
        <v>123</v>
      </c>
      <c r="N1167" t="s">
        <v>766</v>
      </c>
      <c r="O1167" t="s">
        <v>82</v>
      </c>
      <c r="P1167" t="str">
        <f>"4170038082                    "</f>
        <v xml:space="preserve">4170038082                    </v>
      </c>
      <c r="Q1167">
        <v>0</v>
      </c>
      <c r="R1167">
        <v>0</v>
      </c>
      <c r="S1167">
        <v>0</v>
      </c>
      <c r="T1167">
        <v>0</v>
      </c>
      <c r="U1167">
        <v>0</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0</v>
      </c>
      <c r="AQ1167">
        <v>41.43</v>
      </c>
      <c r="AR1167">
        <v>0</v>
      </c>
      <c r="AS1167">
        <v>0</v>
      </c>
      <c r="AT1167">
        <v>0</v>
      </c>
      <c r="AU1167">
        <v>0</v>
      </c>
      <c r="AV1167">
        <v>0</v>
      </c>
      <c r="AW1167">
        <v>0</v>
      </c>
      <c r="AX1167">
        <v>0</v>
      </c>
      <c r="AY1167">
        <v>0</v>
      </c>
      <c r="AZ1167">
        <v>0</v>
      </c>
      <c r="BA1167">
        <v>0</v>
      </c>
      <c r="BB1167">
        <v>0</v>
      </c>
      <c r="BC1167">
        <v>0</v>
      </c>
      <c r="BD1167">
        <v>0</v>
      </c>
      <c r="BE1167">
        <v>0</v>
      </c>
      <c r="BF1167">
        <v>0</v>
      </c>
      <c r="BG1167">
        <v>0</v>
      </c>
      <c r="BH1167">
        <v>1</v>
      </c>
      <c r="BI1167">
        <v>2</v>
      </c>
      <c r="BJ1167">
        <v>1.1000000000000001</v>
      </c>
      <c r="BK1167">
        <v>2</v>
      </c>
      <c r="BL1167">
        <v>135.59</v>
      </c>
      <c r="BM1167">
        <v>20.34</v>
      </c>
      <c r="BN1167">
        <v>155.93</v>
      </c>
      <c r="BO1167">
        <v>155.93</v>
      </c>
      <c r="BQ1167" t="s">
        <v>767</v>
      </c>
      <c r="BR1167" t="s">
        <v>84</v>
      </c>
      <c r="BS1167" s="3">
        <v>45791</v>
      </c>
      <c r="BT1167" s="4">
        <v>0.53263888888888888</v>
      </c>
      <c r="BU1167" t="s">
        <v>768</v>
      </c>
      <c r="BV1167" t="s">
        <v>86</v>
      </c>
      <c r="BY1167">
        <v>5320</v>
      </c>
      <c r="CA1167" t="s">
        <v>128</v>
      </c>
      <c r="CC1167" t="s">
        <v>123</v>
      </c>
      <c r="CD1167">
        <v>7646</v>
      </c>
      <c r="CE1167" t="s">
        <v>96</v>
      </c>
      <c r="CF1167" s="3">
        <v>45792</v>
      </c>
      <c r="CI1167">
        <v>1</v>
      </c>
      <c r="CJ1167">
        <v>1</v>
      </c>
      <c r="CK1167">
        <v>23</v>
      </c>
      <c r="CL1167" t="s">
        <v>89</v>
      </c>
    </row>
    <row r="1168" spans="1:90" x14ac:dyDescent="0.3">
      <c r="A1168" t="s">
        <v>72</v>
      </c>
      <c r="B1168" t="s">
        <v>73</v>
      </c>
      <c r="C1168" t="s">
        <v>74</v>
      </c>
      <c r="E1168" t="str">
        <f>"080065351177"</f>
        <v>080065351177</v>
      </c>
      <c r="F1168" s="3">
        <v>45790</v>
      </c>
      <c r="G1168">
        <v>202602</v>
      </c>
      <c r="H1168" t="s">
        <v>75</v>
      </c>
      <c r="I1168" t="s">
        <v>76</v>
      </c>
      <c r="J1168" t="s">
        <v>77</v>
      </c>
      <c r="K1168" t="s">
        <v>78</v>
      </c>
      <c r="L1168" t="s">
        <v>232</v>
      </c>
      <c r="M1168" t="s">
        <v>233</v>
      </c>
      <c r="N1168" t="s">
        <v>917</v>
      </c>
      <c r="O1168" t="s">
        <v>82</v>
      </c>
      <c r="P1168" t="str">
        <f>"4170038081                    "</f>
        <v xml:space="preserve">4170038081                    </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P1168">
        <v>0</v>
      </c>
      <c r="AQ1168">
        <v>21.38</v>
      </c>
      <c r="AR1168">
        <v>0</v>
      </c>
      <c r="AS1168">
        <v>0</v>
      </c>
      <c r="AT1168">
        <v>0</v>
      </c>
      <c r="AU1168">
        <v>0</v>
      </c>
      <c r="AV1168">
        <v>0</v>
      </c>
      <c r="AW1168">
        <v>0</v>
      </c>
      <c r="AX1168">
        <v>0</v>
      </c>
      <c r="AY1168">
        <v>0</v>
      </c>
      <c r="AZ1168">
        <v>0</v>
      </c>
      <c r="BA1168">
        <v>0</v>
      </c>
      <c r="BB1168">
        <v>0</v>
      </c>
      <c r="BC1168">
        <v>0</v>
      </c>
      <c r="BD1168">
        <v>0</v>
      </c>
      <c r="BE1168">
        <v>0</v>
      </c>
      <c r="BF1168">
        <v>0</v>
      </c>
      <c r="BG1168">
        <v>0</v>
      </c>
      <c r="BH1168">
        <v>1</v>
      </c>
      <c r="BI1168">
        <v>1</v>
      </c>
      <c r="BJ1168">
        <v>0.2</v>
      </c>
      <c r="BK1168">
        <v>1</v>
      </c>
      <c r="BL1168">
        <v>69.98</v>
      </c>
      <c r="BM1168">
        <v>10.5</v>
      </c>
      <c r="BN1168">
        <v>80.48</v>
      </c>
      <c r="BO1168">
        <v>80.48</v>
      </c>
      <c r="BQ1168" t="s">
        <v>918</v>
      </c>
      <c r="BR1168" t="s">
        <v>84</v>
      </c>
      <c r="BS1168" s="3">
        <v>45791</v>
      </c>
      <c r="BT1168" s="4">
        <v>0.40069444444444446</v>
      </c>
      <c r="BU1168" t="s">
        <v>1872</v>
      </c>
      <c r="BV1168" t="s">
        <v>86</v>
      </c>
      <c r="BY1168">
        <v>1200</v>
      </c>
      <c r="CA1168" t="s">
        <v>258</v>
      </c>
      <c r="CC1168" t="s">
        <v>233</v>
      </c>
      <c r="CD1168" s="5" t="s">
        <v>238</v>
      </c>
      <c r="CE1168" t="s">
        <v>88</v>
      </c>
      <c r="CF1168" s="3">
        <v>45791</v>
      </c>
      <c r="CI1168">
        <v>1</v>
      </c>
      <c r="CJ1168">
        <v>1</v>
      </c>
      <c r="CK1168">
        <v>21</v>
      </c>
      <c r="CL1168" t="s">
        <v>89</v>
      </c>
    </row>
    <row r="1169" spans="1:90" x14ac:dyDescent="0.3">
      <c r="A1169" t="s">
        <v>72</v>
      </c>
      <c r="B1169" t="s">
        <v>73</v>
      </c>
      <c r="C1169" t="s">
        <v>74</v>
      </c>
      <c r="E1169" t="str">
        <f>"080065351240"</f>
        <v>080065351240</v>
      </c>
      <c r="F1169" s="3">
        <v>45790</v>
      </c>
      <c r="G1169">
        <v>202602</v>
      </c>
      <c r="H1169" t="s">
        <v>75</v>
      </c>
      <c r="I1169" t="s">
        <v>76</v>
      </c>
      <c r="J1169" t="s">
        <v>77</v>
      </c>
      <c r="K1169" t="s">
        <v>78</v>
      </c>
      <c r="L1169" t="s">
        <v>130</v>
      </c>
      <c r="M1169" t="s">
        <v>131</v>
      </c>
      <c r="N1169" t="s">
        <v>699</v>
      </c>
      <c r="O1169" t="s">
        <v>82</v>
      </c>
      <c r="P1169" t="str">
        <f>"4170038054                    "</f>
        <v xml:space="preserve">4170038054                    </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21.38</v>
      </c>
      <c r="AR1169">
        <v>0</v>
      </c>
      <c r="AS1169">
        <v>0</v>
      </c>
      <c r="AT1169">
        <v>0</v>
      </c>
      <c r="AU1169">
        <v>0</v>
      </c>
      <c r="AV1169">
        <v>0</v>
      </c>
      <c r="AW1169">
        <v>0</v>
      </c>
      <c r="AX1169">
        <v>0</v>
      </c>
      <c r="AY1169">
        <v>0</v>
      </c>
      <c r="AZ1169">
        <v>0</v>
      </c>
      <c r="BA1169">
        <v>0</v>
      </c>
      <c r="BB1169">
        <v>0</v>
      </c>
      <c r="BC1169">
        <v>0</v>
      </c>
      <c r="BD1169">
        <v>0</v>
      </c>
      <c r="BE1169">
        <v>0</v>
      </c>
      <c r="BF1169">
        <v>0</v>
      </c>
      <c r="BG1169">
        <v>0</v>
      </c>
      <c r="BH1169">
        <v>1</v>
      </c>
      <c r="BI1169">
        <v>1</v>
      </c>
      <c r="BJ1169">
        <v>0.2</v>
      </c>
      <c r="BK1169">
        <v>1</v>
      </c>
      <c r="BL1169">
        <v>69.98</v>
      </c>
      <c r="BM1169">
        <v>10.5</v>
      </c>
      <c r="BN1169">
        <v>80.48</v>
      </c>
      <c r="BO1169">
        <v>80.48</v>
      </c>
      <c r="BQ1169" t="s">
        <v>700</v>
      </c>
      <c r="BR1169" t="s">
        <v>84</v>
      </c>
      <c r="BS1169" s="3">
        <v>45791</v>
      </c>
      <c r="BT1169" s="4">
        <v>0.40416666666666667</v>
      </c>
      <c r="BU1169" t="s">
        <v>1873</v>
      </c>
      <c r="BV1169" t="s">
        <v>86</v>
      </c>
      <c r="BY1169">
        <v>1200</v>
      </c>
      <c r="CA1169" t="s">
        <v>330</v>
      </c>
      <c r="CC1169" t="s">
        <v>131</v>
      </c>
      <c r="CD1169">
        <v>7480</v>
      </c>
      <c r="CE1169" t="s">
        <v>88</v>
      </c>
      <c r="CF1169" s="3">
        <v>45792</v>
      </c>
      <c r="CI1169">
        <v>1</v>
      </c>
      <c r="CJ1169">
        <v>1</v>
      </c>
      <c r="CK1169">
        <v>21</v>
      </c>
      <c r="CL1169" t="s">
        <v>89</v>
      </c>
    </row>
    <row r="1170" spans="1:90" x14ac:dyDescent="0.3">
      <c r="A1170" t="s">
        <v>72</v>
      </c>
      <c r="B1170" t="s">
        <v>73</v>
      </c>
      <c r="C1170" t="s">
        <v>74</v>
      </c>
      <c r="E1170" t="str">
        <f>"080065351248"</f>
        <v>080065351248</v>
      </c>
      <c r="F1170" s="3">
        <v>45790</v>
      </c>
      <c r="G1170">
        <v>202602</v>
      </c>
      <c r="H1170" t="s">
        <v>75</v>
      </c>
      <c r="I1170" t="s">
        <v>76</v>
      </c>
      <c r="J1170" t="s">
        <v>77</v>
      </c>
      <c r="K1170" t="s">
        <v>78</v>
      </c>
      <c r="L1170" t="s">
        <v>79</v>
      </c>
      <c r="M1170" t="s">
        <v>80</v>
      </c>
      <c r="N1170" t="s">
        <v>415</v>
      </c>
      <c r="O1170" t="s">
        <v>82</v>
      </c>
      <c r="P1170" t="str">
        <f>"4170038101                    "</f>
        <v xml:space="preserve">4170038101                    </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0</v>
      </c>
      <c r="AL1170">
        <v>0</v>
      </c>
      <c r="AM1170">
        <v>0</v>
      </c>
      <c r="AN1170">
        <v>0</v>
      </c>
      <c r="AO1170">
        <v>0</v>
      </c>
      <c r="AP1170">
        <v>0</v>
      </c>
      <c r="AQ1170">
        <v>64.12</v>
      </c>
      <c r="AR1170">
        <v>0</v>
      </c>
      <c r="AS1170">
        <v>0</v>
      </c>
      <c r="AT1170">
        <v>0</v>
      </c>
      <c r="AU1170">
        <v>0</v>
      </c>
      <c r="AV1170">
        <v>0</v>
      </c>
      <c r="AW1170">
        <v>0</v>
      </c>
      <c r="AX1170">
        <v>0</v>
      </c>
      <c r="AY1170">
        <v>0</v>
      </c>
      <c r="AZ1170">
        <v>0</v>
      </c>
      <c r="BA1170">
        <v>0</v>
      </c>
      <c r="BB1170">
        <v>0</v>
      </c>
      <c r="BC1170">
        <v>0</v>
      </c>
      <c r="BD1170">
        <v>0</v>
      </c>
      <c r="BE1170">
        <v>0</v>
      </c>
      <c r="BF1170">
        <v>0</v>
      </c>
      <c r="BG1170">
        <v>0</v>
      </c>
      <c r="BH1170">
        <v>2</v>
      </c>
      <c r="BI1170">
        <v>6</v>
      </c>
      <c r="BJ1170">
        <v>3.6</v>
      </c>
      <c r="BK1170">
        <v>6</v>
      </c>
      <c r="BL1170">
        <v>209.84</v>
      </c>
      <c r="BM1170">
        <v>31.48</v>
      </c>
      <c r="BN1170">
        <v>241.32</v>
      </c>
      <c r="BO1170">
        <v>241.32</v>
      </c>
      <c r="BQ1170" t="s">
        <v>416</v>
      </c>
      <c r="BR1170" t="s">
        <v>84</v>
      </c>
      <c r="BS1170" s="3">
        <v>45791</v>
      </c>
      <c r="BT1170" s="4">
        <v>0.55486111111111114</v>
      </c>
      <c r="BU1170" t="s">
        <v>1152</v>
      </c>
      <c r="BV1170" t="s">
        <v>89</v>
      </c>
      <c r="BW1170" t="s">
        <v>296</v>
      </c>
      <c r="BX1170" t="s">
        <v>325</v>
      </c>
      <c r="BY1170">
        <v>17864</v>
      </c>
      <c r="CA1170" t="s">
        <v>87</v>
      </c>
      <c r="CC1170" t="s">
        <v>80</v>
      </c>
      <c r="CD1170">
        <v>3610</v>
      </c>
      <c r="CE1170" t="s">
        <v>116</v>
      </c>
      <c r="CF1170" s="3">
        <v>45792</v>
      </c>
      <c r="CI1170">
        <v>1</v>
      </c>
      <c r="CJ1170">
        <v>1</v>
      </c>
      <c r="CK1170">
        <v>21</v>
      </c>
      <c r="CL1170" t="s">
        <v>89</v>
      </c>
    </row>
    <row r="1171" spans="1:90" x14ac:dyDescent="0.3">
      <c r="A1171" t="s">
        <v>72</v>
      </c>
      <c r="B1171" t="s">
        <v>73</v>
      </c>
      <c r="C1171" t="s">
        <v>74</v>
      </c>
      <c r="E1171" t="str">
        <f>"080065351293"</f>
        <v>080065351293</v>
      </c>
      <c r="F1171" s="3">
        <v>45790</v>
      </c>
      <c r="G1171">
        <v>202602</v>
      </c>
      <c r="H1171" t="s">
        <v>75</v>
      </c>
      <c r="I1171" t="s">
        <v>76</v>
      </c>
      <c r="J1171" t="s">
        <v>77</v>
      </c>
      <c r="K1171" t="s">
        <v>78</v>
      </c>
      <c r="L1171" t="s">
        <v>130</v>
      </c>
      <c r="M1171" t="s">
        <v>131</v>
      </c>
      <c r="N1171" t="s">
        <v>1874</v>
      </c>
      <c r="O1171" t="s">
        <v>82</v>
      </c>
      <c r="P1171" t="str">
        <f>"4170038075                    "</f>
        <v xml:space="preserve">4170038075                    </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0</v>
      </c>
      <c r="AL1171">
        <v>0</v>
      </c>
      <c r="AM1171">
        <v>0</v>
      </c>
      <c r="AN1171">
        <v>0</v>
      </c>
      <c r="AO1171">
        <v>0</v>
      </c>
      <c r="AP1171">
        <v>0</v>
      </c>
      <c r="AQ1171">
        <v>21.38</v>
      </c>
      <c r="AR1171">
        <v>0</v>
      </c>
      <c r="AS1171">
        <v>0</v>
      </c>
      <c r="AT1171">
        <v>0</v>
      </c>
      <c r="AU1171">
        <v>0</v>
      </c>
      <c r="AV1171">
        <v>0</v>
      </c>
      <c r="AW1171">
        <v>0</v>
      </c>
      <c r="AX1171">
        <v>0</v>
      </c>
      <c r="AY1171">
        <v>0</v>
      </c>
      <c r="AZ1171">
        <v>0</v>
      </c>
      <c r="BA1171">
        <v>0</v>
      </c>
      <c r="BB1171">
        <v>0</v>
      </c>
      <c r="BC1171">
        <v>0</v>
      </c>
      <c r="BD1171">
        <v>0</v>
      </c>
      <c r="BE1171">
        <v>0</v>
      </c>
      <c r="BF1171">
        <v>0</v>
      </c>
      <c r="BG1171">
        <v>0</v>
      </c>
      <c r="BH1171">
        <v>1</v>
      </c>
      <c r="BI1171">
        <v>1</v>
      </c>
      <c r="BJ1171">
        <v>0.2</v>
      </c>
      <c r="BK1171">
        <v>1</v>
      </c>
      <c r="BL1171">
        <v>69.98</v>
      </c>
      <c r="BM1171">
        <v>10.5</v>
      </c>
      <c r="BN1171">
        <v>80.48</v>
      </c>
      <c r="BO1171">
        <v>80.48</v>
      </c>
      <c r="BQ1171" t="s">
        <v>1875</v>
      </c>
      <c r="BR1171" t="s">
        <v>84</v>
      </c>
      <c r="BS1171" s="3">
        <v>45791</v>
      </c>
      <c r="BT1171" s="4">
        <v>0.38541666666666669</v>
      </c>
      <c r="BU1171" t="s">
        <v>1876</v>
      </c>
      <c r="BV1171" t="s">
        <v>86</v>
      </c>
      <c r="BY1171">
        <v>1200</v>
      </c>
      <c r="CA1171" t="s">
        <v>784</v>
      </c>
      <c r="CC1171" t="s">
        <v>131</v>
      </c>
      <c r="CD1171">
        <v>7405</v>
      </c>
      <c r="CE1171" t="s">
        <v>88</v>
      </c>
      <c r="CF1171" s="3">
        <v>45792</v>
      </c>
      <c r="CI1171">
        <v>1</v>
      </c>
      <c r="CJ1171">
        <v>1</v>
      </c>
      <c r="CK1171">
        <v>21</v>
      </c>
      <c r="CL1171" t="s">
        <v>89</v>
      </c>
    </row>
    <row r="1172" spans="1:90" x14ac:dyDescent="0.3">
      <c r="A1172" t="s">
        <v>72</v>
      </c>
      <c r="B1172" t="s">
        <v>73</v>
      </c>
      <c r="C1172" t="s">
        <v>74</v>
      </c>
      <c r="E1172" t="str">
        <f>"080065351318"</f>
        <v>080065351318</v>
      </c>
      <c r="F1172" s="3">
        <v>45790</v>
      </c>
      <c r="G1172">
        <v>202602</v>
      </c>
      <c r="H1172" t="s">
        <v>75</v>
      </c>
      <c r="I1172" t="s">
        <v>76</v>
      </c>
      <c r="J1172" t="s">
        <v>77</v>
      </c>
      <c r="K1172" t="s">
        <v>78</v>
      </c>
      <c r="L1172" t="s">
        <v>215</v>
      </c>
      <c r="M1172" t="s">
        <v>216</v>
      </c>
      <c r="N1172" t="s">
        <v>217</v>
      </c>
      <c r="O1172" t="s">
        <v>82</v>
      </c>
      <c r="P1172" t="str">
        <f>"4170038133                    "</f>
        <v xml:space="preserve">4170038133                    </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P1172">
        <v>0</v>
      </c>
      <c r="AQ1172">
        <v>69.489999999999995</v>
      </c>
      <c r="AR1172">
        <v>0</v>
      </c>
      <c r="AS1172">
        <v>0</v>
      </c>
      <c r="AT1172">
        <v>0</v>
      </c>
      <c r="AU1172">
        <v>0</v>
      </c>
      <c r="AV1172">
        <v>0</v>
      </c>
      <c r="AW1172">
        <v>0</v>
      </c>
      <c r="AX1172">
        <v>0</v>
      </c>
      <c r="AY1172">
        <v>0</v>
      </c>
      <c r="AZ1172">
        <v>0</v>
      </c>
      <c r="BA1172">
        <v>0</v>
      </c>
      <c r="BB1172">
        <v>0</v>
      </c>
      <c r="BC1172">
        <v>0</v>
      </c>
      <c r="BD1172">
        <v>0</v>
      </c>
      <c r="BE1172">
        <v>0</v>
      </c>
      <c r="BF1172">
        <v>0</v>
      </c>
      <c r="BG1172">
        <v>0</v>
      </c>
      <c r="BH1172">
        <v>1</v>
      </c>
      <c r="BI1172">
        <v>1</v>
      </c>
      <c r="BJ1172">
        <v>3.1</v>
      </c>
      <c r="BK1172">
        <v>3.5</v>
      </c>
      <c r="BL1172">
        <v>227.43</v>
      </c>
      <c r="BM1172">
        <v>34.11</v>
      </c>
      <c r="BN1172">
        <v>261.54000000000002</v>
      </c>
      <c r="BO1172">
        <v>261.54000000000002</v>
      </c>
      <c r="BQ1172" t="s">
        <v>218</v>
      </c>
      <c r="BR1172" t="s">
        <v>84</v>
      </c>
      <c r="BS1172" s="3">
        <v>45791</v>
      </c>
      <c r="BT1172" s="4">
        <v>0.41111111111111109</v>
      </c>
      <c r="BU1172" t="s">
        <v>219</v>
      </c>
      <c r="BV1172" t="s">
        <v>86</v>
      </c>
      <c r="BY1172">
        <v>15360</v>
      </c>
      <c r="CA1172" t="s">
        <v>220</v>
      </c>
      <c r="CC1172" t="s">
        <v>216</v>
      </c>
      <c r="CD1172">
        <v>4449</v>
      </c>
      <c r="CE1172" t="s">
        <v>116</v>
      </c>
      <c r="CF1172" s="3">
        <v>45792</v>
      </c>
      <c r="CI1172">
        <v>1</v>
      </c>
      <c r="CJ1172">
        <v>1</v>
      </c>
      <c r="CK1172">
        <v>23</v>
      </c>
      <c r="CL1172" t="s">
        <v>89</v>
      </c>
    </row>
    <row r="1173" spans="1:90" x14ac:dyDescent="0.3">
      <c r="A1173" t="s">
        <v>72</v>
      </c>
      <c r="B1173" t="s">
        <v>73</v>
      </c>
      <c r="C1173" t="s">
        <v>74</v>
      </c>
      <c r="E1173" t="str">
        <f>"080065351338"</f>
        <v>080065351338</v>
      </c>
      <c r="F1173" s="3">
        <v>45790</v>
      </c>
      <c r="G1173">
        <v>202602</v>
      </c>
      <c r="H1173" t="s">
        <v>75</v>
      </c>
      <c r="I1173" t="s">
        <v>76</v>
      </c>
      <c r="J1173" t="s">
        <v>77</v>
      </c>
      <c r="K1173" t="s">
        <v>78</v>
      </c>
      <c r="L1173" t="s">
        <v>123</v>
      </c>
      <c r="M1173" t="s">
        <v>123</v>
      </c>
      <c r="N1173" t="s">
        <v>1877</v>
      </c>
      <c r="O1173" t="s">
        <v>82</v>
      </c>
      <c r="P1173" t="str">
        <f>"4170038180                    "</f>
        <v xml:space="preserve">4170038180                    </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P1173">
        <v>0</v>
      </c>
      <c r="AQ1173">
        <v>41.43</v>
      </c>
      <c r="AR1173">
        <v>0</v>
      </c>
      <c r="AS1173">
        <v>0</v>
      </c>
      <c r="AT1173">
        <v>0</v>
      </c>
      <c r="AU1173">
        <v>0</v>
      </c>
      <c r="AV1173">
        <v>0</v>
      </c>
      <c r="AW1173">
        <v>0</v>
      </c>
      <c r="AX1173">
        <v>0</v>
      </c>
      <c r="AY1173">
        <v>0</v>
      </c>
      <c r="AZ1173">
        <v>0</v>
      </c>
      <c r="BA1173">
        <v>0</v>
      </c>
      <c r="BB1173">
        <v>0</v>
      </c>
      <c r="BC1173">
        <v>0</v>
      </c>
      <c r="BD1173">
        <v>0</v>
      </c>
      <c r="BE1173">
        <v>0</v>
      </c>
      <c r="BF1173">
        <v>0</v>
      </c>
      <c r="BG1173">
        <v>0</v>
      </c>
      <c r="BH1173">
        <v>1</v>
      </c>
      <c r="BI1173">
        <v>1</v>
      </c>
      <c r="BJ1173">
        <v>0.2</v>
      </c>
      <c r="BK1173">
        <v>1</v>
      </c>
      <c r="BL1173">
        <v>135.59</v>
      </c>
      <c r="BM1173">
        <v>20.34</v>
      </c>
      <c r="BN1173">
        <v>155.93</v>
      </c>
      <c r="BO1173">
        <v>155.93</v>
      </c>
      <c r="BQ1173" t="s">
        <v>1878</v>
      </c>
      <c r="BR1173" t="s">
        <v>84</v>
      </c>
      <c r="BS1173" s="3">
        <v>45791</v>
      </c>
      <c r="BT1173" s="4">
        <v>0.53472222222222221</v>
      </c>
      <c r="BU1173" t="s">
        <v>1879</v>
      </c>
      <c r="BV1173" t="s">
        <v>86</v>
      </c>
      <c r="BY1173">
        <v>1200</v>
      </c>
      <c r="CA1173" t="s">
        <v>128</v>
      </c>
      <c r="CC1173" t="s">
        <v>123</v>
      </c>
      <c r="CD1173">
        <v>7646</v>
      </c>
      <c r="CE1173" t="s">
        <v>88</v>
      </c>
      <c r="CF1173" s="3">
        <v>45792</v>
      </c>
      <c r="CI1173">
        <v>1</v>
      </c>
      <c r="CJ1173">
        <v>1</v>
      </c>
      <c r="CK1173">
        <v>23</v>
      </c>
      <c r="CL1173" t="s">
        <v>89</v>
      </c>
    </row>
    <row r="1174" spans="1:90" x14ac:dyDescent="0.3">
      <c r="A1174" t="s">
        <v>72</v>
      </c>
      <c r="B1174" t="s">
        <v>73</v>
      </c>
      <c r="C1174" t="s">
        <v>74</v>
      </c>
      <c r="E1174" t="str">
        <f>"080065351501"</f>
        <v>080065351501</v>
      </c>
      <c r="F1174" s="3">
        <v>45790</v>
      </c>
      <c r="G1174">
        <v>202602</v>
      </c>
      <c r="H1174" t="s">
        <v>75</v>
      </c>
      <c r="I1174" t="s">
        <v>76</v>
      </c>
      <c r="J1174" t="s">
        <v>77</v>
      </c>
      <c r="K1174" t="s">
        <v>78</v>
      </c>
      <c r="L1174" t="s">
        <v>463</v>
      </c>
      <c r="M1174" t="s">
        <v>464</v>
      </c>
      <c r="N1174" t="s">
        <v>585</v>
      </c>
      <c r="O1174" t="s">
        <v>82</v>
      </c>
      <c r="P1174" t="str">
        <f>"4170038071                    "</f>
        <v xml:space="preserve">4170038071                    </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0</v>
      </c>
      <c r="AL1174">
        <v>0</v>
      </c>
      <c r="AM1174">
        <v>0</v>
      </c>
      <c r="AN1174">
        <v>0</v>
      </c>
      <c r="AO1174">
        <v>0</v>
      </c>
      <c r="AP1174">
        <v>0</v>
      </c>
      <c r="AQ1174">
        <v>21.38</v>
      </c>
      <c r="AR1174">
        <v>0</v>
      </c>
      <c r="AS1174">
        <v>0</v>
      </c>
      <c r="AT1174">
        <v>0</v>
      </c>
      <c r="AU1174">
        <v>0</v>
      </c>
      <c r="AV1174">
        <v>0</v>
      </c>
      <c r="AW1174">
        <v>0</v>
      </c>
      <c r="AX1174">
        <v>0</v>
      </c>
      <c r="AY1174">
        <v>0</v>
      </c>
      <c r="AZ1174">
        <v>0</v>
      </c>
      <c r="BA1174">
        <v>0</v>
      </c>
      <c r="BB1174">
        <v>0</v>
      </c>
      <c r="BC1174">
        <v>0</v>
      </c>
      <c r="BD1174">
        <v>0</v>
      </c>
      <c r="BE1174">
        <v>0</v>
      </c>
      <c r="BF1174">
        <v>0</v>
      </c>
      <c r="BG1174">
        <v>0</v>
      </c>
      <c r="BH1174">
        <v>1</v>
      </c>
      <c r="BI1174">
        <v>1</v>
      </c>
      <c r="BJ1174">
        <v>1.1000000000000001</v>
      </c>
      <c r="BK1174">
        <v>1.5</v>
      </c>
      <c r="BL1174">
        <v>69.98</v>
      </c>
      <c r="BM1174">
        <v>10.5</v>
      </c>
      <c r="BN1174">
        <v>80.48</v>
      </c>
      <c r="BO1174">
        <v>80.48</v>
      </c>
      <c r="BQ1174" t="s">
        <v>586</v>
      </c>
      <c r="BR1174" t="s">
        <v>84</v>
      </c>
      <c r="BS1174" s="3">
        <v>45791</v>
      </c>
      <c r="BT1174" s="4">
        <v>0.48958333333333331</v>
      </c>
      <c r="BU1174" t="s">
        <v>1444</v>
      </c>
      <c r="BV1174" t="s">
        <v>89</v>
      </c>
      <c r="BY1174">
        <v>5320</v>
      </c>
      <c r="CA1174" t="s">
        <v>1509</v>
      </c>
      <c r="CC1174" t="s">
        <v>464</v>
      </c>
      <c r="CD1174">
        <v>5201</v>
      </c>
      <c r="CE1174" t="s">
        <v>116</v>
      </c>
      <c r="CF1174" s="3">
        <v>45792</v>
      </c>
      <c r="CI1174">
        <v>1</v>
      </c>
      <c r="CJ1174">
        <v>1</v>
      </c>
      <c r="CK1174">
        <v>21</v>
      </c>
      <c r="CL1174" t="s">
        <v>89</v>
      </c>
    </row>
    <row r="1175" spans="1:90" x14ac:dyDescent="0.3">
      <c r="A1175" t="s">
        <v>72</v>
      </c>
      <c r="B1175" t="s">
        <v>73</v>
      </c>
      <c r="C1175" t="s">
        <v>74</v>
      </c>
      <c r="E1175" t="str">
        <f>"080065351540"</f>
        <v>080065351540</v>
      </c>
      <c r="F1175" s="3">
        <v>45790</v>
      </c>
      <c r="G1175">
        <v>202602</v>
      </c>
      <c r="H1175" t="s">
        <v>75</v>
      </c>
      <c r="I1175" t="s">
        <v>76</v>
      </c>
      <c r="J1175" t="s">
        <v>77</v>
      </c>
      <c r="K1175" t="s">
        <v>78</v>
      </c>
      <c r="L1175" t="s">
        <v>130</v>
      </c>
      <c r="M1175" t="s">
        <v>131</v>
      </c>
      <c r="N1175" t="s">
        <v>343</v>
      </c>
      <c r="O1175" t="s">
        <v>82</v>
      </c>
      <c r="P1175" t="str">
        <f>"4170038102                    "</f>
        <v xml:space="preserve">4170038102                    </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0</v>
      </c>
      <c r="AL1175">
        <v>0</v>
      </c>
      <c r="AM1175">
        <v>0</v>
      </c>
      <c r="AN1175">
        <v>0</v>
      </c>
      <c r="AO1175">
        <v>0</v>
      </c>
      <c r="AP1175">
        <v>0</v>
      </c>
      <c r="AQ1175">
        <v>53.43</v>
      </c>
      <c r="AR1175">
        <v>0</v>
      </c>
      <c r="AS1175">
        <v>0</v>
      </c>
      <c r="AT1175">
        <v>0</v>
      </c>
      <c r="AU1175">
        <v>0</v>
      </c>
      <c r="AV1175">
        <v>0</v>
      </c>
      <c r="AW1175">
        <v>0</v>
      </c>
      <c r="AX1175">
        <v>0</v>
      </c>
      <c r="AY1175">
        <v>0</v>
      </c>
      <c r="AZ1175">
        <v>0</v>
      </c>
      <c r="BA1175">
        <v>0</v>
      </c>
      <c r="BB1175">
        <v>0</v>
      </c>
      <c r="BC1175">
        <v>0</v>
      </c>
      <c r="BD1175">
        <v>0</v>
      </c>
      <c r="BE1175">
        <v>0</v>
      </c>
      <c r="BF1175">
        <v>0</v>
      </c>
      <c r="BG1175">
        <v>0</v>
      </c>
      <c r="BH1175">
        <v>1</v>
      </c>
      <c r="BI1175">
        <v>5</v>
      </c>
      <c r="BJ1175">
        <v>2.9</v>
      </c>
      <c r="BK1175">
        <v>5</v>
      </c>
      <c r="BL1175">
        <v>174.87</v>
      </c>
      <c r="BM1175">
        <v>26.23</v>
      </c>
      <c r="BN1175">
        <v>201.1</v>
      </c>
      <c r="BO1175">
        <v>201.1</v>
      </c>
      <c r="BQ1175" t="s">
        <v>344</v>
      </c>
      <c r="BR1175" t="s">
        <v>84</v>
      </c>
      <c r="BS1175" s="3">
        <v>45791</v>
      </c>
      <c r="BT1175" s="4">
        <v>0.40972222222222221</v>
      </c>
      <c r="BU1175" t="s">
        <v>345</v>
      </c>
      <c r="BV1175" t="s">
        <v>86</v>
      </c>
      <c r="BY1175">
        <v>14504</v>
      </c>
      <c r="CA1175" t="s">
        <v>242</v>
      </c>
      <c r="CC1175" t="s">
        <v>131</v>
      </c>
      <c r="CD1175">
        <v>7441</v>
      </c>
      <c r="CE1175" t="s">
        <v>221</v>
      </c>
      <c r="CF1175" s="3">
        <v>45792</v>
      </c>
      <c r="CI1175">
        <v>1</v>
      </c>
      <c r="CJ1175">
        <v>1</v>
      </c>
      <c r="CK1175">
        <v>21</v>
      </c>
      <c r="CL1175" t="s">
        <v>89</v>
      </c>
    </row>
    <row r="1176" spans="1:90" x14ac:dyDescent="0.3">
      <c r="A1176" t="s">
        <v>72</v>
      </c>
      <c r="B1176" t="s">
        <v>73</v>
      </c>
      <c r="C1176" t="s">
        <v>74</v>
      </c>
      <c r="E1176" t="str">
        <f>"080065351587"</f>
        <v>080065351587</v>
      </c>
      <c r="F1176" s="3">
        <v>45790</v>
      </c>
      <c r="G1176">
        <v>202602</v>
      </c>
      <c r="H1176" t="s">
        <v>75</v>
      </c>
      <c r="I1176" t="s">
        <v>76</v>
      </c>
      <c r="J1176" t="s">
        <v>77</v>
      </c>
      <c r="K1176" t="s">
        <v>78</v>
      </c>
      <c r="L1176" t="s">
        <v>90</v>
      </c>
      <c r="M1176" t="s">
        <v>91</v>
      </c>
      <c r="N1176" t="s">
        <v>92</v>
      </c>
      <c r="O1176" t="s">
        <v>300</v>
      </c>
      <c r="P1176" t="str">
        <f>"4170038184                    "</f>
        <v xml:space="preserve">4170038184                    </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319.62</v>
      </c>
      <c r="AR1176">
        <v>0</v>
      </c>
      <c r="AS1176">
        <v>0</v>
      </c>
      <c r="AT1176">
        <v>0</v>
      </c>
      <c r="AU1176">
        <v>0</v>
      </c>
      <c r="AV1176">
        <v>0</v>
      </c>
      <c r="AW1176">
        <v>0</v>
      </c>
      <c r="AX1176">
        <v>0</v>
      </c>
      <c r="AY1176">
        <v>0</v>
      </c>
      <c r="AZ1176">
        <v>0</v>
      </c>
      <c r="BA1176">
        <v>0</v>
      </c>
      <c r="BB1176">
        <v>0</v>
      </c>
      <c r="BC1176">
        <v>0</v>
      </c>
      <c r="BD1176">
        <v>0</v>
      </c>
      <c r="BE1176">
        <v>0</v>
      </c>
      <c r="BF1176">
        <v>0</v>
      </c>
      <c r="BG1176">
        <v>0</v>
      </c>
      <c r="BH1176">
        <v>1</v>
      </c>
      <c r="BI1176">
        <v>139</v>
      </c>
      <c r="BJ1176">
        <v>177.4</v>
      </c>
      <c r="BK1176">
        <v>178</v>
      </c>
      <c r="BL1176">
        <v>1051.6099999999999</v>
      </c>
      <c r="BM1176">
        <v>157.74</v>
      </c>
      <c r="BN1176">
        <v>1209.3499999999999</v>
      </c>
      <c r="BO1176">
        <v>1209.3499999999999</v>
      </c>
      <c r="BQ1176" t="s">
        <v>93</v>
      </c>
      <c r="BR1176" t="s">
        <v>84</v>
      </c>
      <c r="BS1176" s="3">
        <v>45792</v>
      </c>
      <c r="BT1176" s="4">
        <v>0.45</v>
      </c>
      <c r="BU1176" t="s">
        <v>1880</v>
      </c>
      <c r="BV1176" t="s">
        <v>86</v>
      </c>
      <c r="BY1176">
        <v>887040</v>
      </c>
      <c r="CC1176" t="s">
        <v>91</v>
      </c>
      <c r="CD1176">
        <v>6001</v>
      </c>
      <c r="CE1176" t="s">
        <v>1881</v>
      </c>
      <c r="CF1176" s="3">
        <v>45793</v>
      </c>
      <c r="CI1176">
        <v>3</v>
      </c>
      <c r="CJ1176">
        <v>2</v>
      </c>
      <c r="CK1176">
        <v>41</v>
      </c>
      <c r="CL1176" t="s">
        <v>89</v>
      </c>
    </row>
    <row r="1177" spans="1:90" x14ac:dyDescent="0.3">
      <c r="A1177" t="s">
        <v>72</v>
      </c>
      <c r="B1177" t="s">
        <v>73</v>
      </c>
      <c r="C1177" t="s">
        <v>74</v>
      </c>
      <c r="E1177" t="str">
        <f>"080065351946"</f>
        <v>080065351946</v>
      </c>
      <c r="F1177" s="3">
        <v>45790</v>
      </c>
      <c r="G1177">
        <v>202602</v>
      </c>
      <c r="H1177" t="s">
        <v>75</v>
      </c>
      <c r="I1177" t="s">
        <v>76</v>
      </c>
      <c r="J1177" t="s">
        <v>77</v>
      </c>
      <c r="K1177" t="s">
        <v>78</v>
      </c>
      <c r="L1177" t="s">
        <v>143</v>
      </c>
      <c r="M1177" t="s">
        <v>144</v>
      </c>
      <c r="N1177" t="s">
        <v>1811</v>
      </c>
      <c r="O1177" t="s">
        <v>82</v>
      </c>
      <c r="P1177" t="str">
        <f>"4170038135                    "</f>
        <v xml:space="preserve">4170038135                    </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P1177">
        <v>0</v>
      </c>
      <c r="AQ1177">
        <v>16.7</v>
      </c>
      <c r="AR1177">
        <v>0</v>
      </c>
      <c r="AS1177">
        <v>0</v>
      </c>
      <c r="AT1177">
        <v>0</v>
      </c>
      <c r="AU1177">
        <v>0</v>
      </c>
      <c r="AV1177">
        <v>0</v>
      </c>
      <c r="AW1177">
        <v>0</v>
      </c>
      <c r="AX1177">
        <v>0</v>
      </c>
      <c r="AY1177">
        <v>0</v>
      </c>
      <c r="AZ1177">
        <v>0</v>
      </c>
      <c r="BA1177">
        <v>0</v>
      </c>
      <c r="BB1177">
        <v>0</v>
      </c>
      <c r="BC1177">
        <v>0</v>
      </c>
      <c r="BD1177">
        <v>0</v>
      </c>
      <c r="BE1177">
        <v>0</v>
      </c>
      <c r="BF1177">
        <v>0</v>
      </c>
      <c r="BG1177">
        <v>0</v>
      </c>
      <c r="BH1177">
        <v>1</v>
      </c>
      <c r="BI1177">
        <v>1</v>
      </c>
      <c r="BJ1177">
        <v>0.2</v>
      </c>
      <c r="BK1177">
        <v>1</v>
      </c>
      <c r="BL1177">
        <v>54.66</v>
      </c>
      <c r="BM1177">
        <v>8.1999999999999993</v>
      </c>
      <c r="BN1177">
        <v>62.86</v>
      </c>
      <c r="BO1177">
        <v>62.86</v>
      </c>
      <c r="BQ1177" t="s">
        <v>1812</v>
      </c>
      <c r="BR1177" t="s">
        <v>84</v>
      </c>
      <c r="BS1177" s="3">
        <v>45791</v>
      </c>
      <c r="BT1177" s="4">
        <v>0.38263888888888886</v>
      </c>
      <c r="BU1177" t="s">
        <v>1813</v>
      </c>
      <c r="BV1177" t="s">
        <v>86</v>
      </c>
      <c r="BY1177">
        <v>1200</v>
      </c>
      <c r="CA1177" t="s">
        <v>1814</v>
      </c>
      <c r="CC1177" t="s">
        <v>144</v>
      </c>
      <c r="CD1177">
        <v>1401</v>
      </c>
      <c r="CE1177" t="s">
        <v>88</v>
      </c>
      <c r="CF1177" s="3">
        <v>45791</v>
      </c>
      <c r="CI1177">
        <v>1</v>
      </c>
      <c r="CJ1177">
        <v>1</v>
      </c>
      <c r="CK1177">
        <v>22</v>
      </c>
      <c r="CL1177" t="s">
        <v>89</v>
      </c>
    </row>
    <row r="1178" spans="1:90" x14ac:dyDescent="0.3">
      <c r="A1178" t="s">
        <v>72</v>
      </c>
      <c r="B1178" t="s">
        <v>73</v>
      </c>
      <c r="C1178" t="s">
        <v>74</v>
      </c>
      <c r="E1178" t="str">
        <f>"080065351969"</f>
        <v>080065351969</v>
      </c>
      <c r="F1178" s="3">
        <v>45790</v>
      </c>
      <c r="G1178">
        <v>202602</v>
      </c>
      <c r="H1178" t="s">
        <v>75</v>
      </c>
      <c r="I1178" t="s">
        <v>76</v>
      </c>
      <c r="J1178" t="s">
        <v>77</v>
      </c>
      <c r="K1178" t="s">
        <v>78</v>
      </c>
      <c r="L1178" t="s">
        <v>90</v>
      </c>
      <c r="M1178" t="s">
        <v>91</v>
      </c>
      <c r="N1178" t="s">
        <v>563</v>
      </c>
      <c r="O1178" t="s">
        <v>82</v>
      </c>
      <c r="P1178" t="str">
        <f>"4170038215                    "</f>
        <v xml:space="preserve">4170038215                    </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21.38</v>
      </c>
      <c r="AR1178">
        <v>0</v>
      </c>
      <c r="AS1178">
        <v>0</v>
      </c>
      <c r="AT1178">
        <v>0</v>
      </c>
      <c r="AU1178">
        <v>0</v>
      </c>
      <c r="AV1178">
        <v>0</v>
      </c>
      <c r="AW1178">
        <v>0</v>
      </c>
      <c r="AX1178">
        <v>0</v>
      </c>
      <c r="AY1178">
        <v>0</v>
      </c>
      <c r="AZ1178">
        <v>0</v>
      </c>
      <c r="BA1178">
        <v>0</v>
      </c>
      <c r="BB1178">
        <v>0</v>
      </c>
      <c r="BC1178">
        <v>0</v>
      </c>
      <c r="BD1178">
        <v>0</v>
      </c>
      <c r="BE1178">
        <v>0</v>
      </c>
      <c r="BF1178">
        <v>0</v>
      </c>
      <c r="BG1178">
        <v>0</v>
      </c>
      <c r="BH1178">
        <v>1</v>
      </c>
      <c r="BI1178">
        <v>1</v>
      </c>
      <c r="BJ1178">
        <v>0.2</v>
      </c>
      <c r="BK1178">
        <v>1</v>
      </c>
      <c r="BL1178">
        <v>69.98</v>
      </c>
      <c r="BM1178">
        <v>10.5</v>
      </c>
      <c r="BN1178">
        <v>80.48</v>
      </c>
      <c r="BO1178">
        <v>80.48</v>
      </c>
      <c r="BQ1178" t="s">
        <v>564</v>
      </c>
      <c r="BR1178" t="s">
        <v>84</v>
      </c>
      <c r="BS1178" s="3">
        <v>45791</v>
      </c>
      <c r="BT1178" s="4">
        <v>0.375</v>
      </c>
      <c r="BU1178" t="s">
        <v>780</v>
      </c>
      <c r="BV1178" t="s">
        <v>86</v>
      </c>
      <c r="BY1178">
        <v>1200</v>
      </c>
      <c r="CA1178" t="s">
        <v>566</v>
      </c>
      <c r="CC1178" t="s">
        <v>91</v>
      </c>
      <c r="CD1178">
        <v>6001</v>
      </c>
      <c r="CE1178" t="s">
        <v>88</v>
      </c>
      <c r="CF1178" s="3">
        <v>45791</v>
      </c>
      <c r="CI1178">
        <v>1</v>
      </c>
      <c r="CJ1178">
        <v>1</v>
      </c>
      <c r="CK1178">
        <v>21</v>
      </c>
      <c r="CL1178" t="s">
        <v>89</v>
      </c>
    </row>
    <row r="1179" spans="1:90" x14ac:dyDescent="0.3">
      <c r="A1179" t="s">
        <v>72</v>
      </c>
      <c r="B1179" t="s">
        <v>73</v>
      </c>
      <c r="C1179" t="s">
        <v>74</v>
      </c>
      <c r="E1179" t="str">
        <f>"080065351993"</f>
        <v>080065351993</v>
      </c>
      <c r="F1179" s="3">
        <v>45790</v>
      </c>
      <c r="G1179">
        <v>202602</v>
      </c>
      <c r="H1179" t="s">
        <v>75</v>
      </c>
      <c r="I1179" t="s">
        <v>76</v>
      </c>
      <c r="J1179" t="s">
        <v>77</v>
      </c>
      <c r="K1179" t="s">
        <v>78</v>
      </c>
      <c r="L1179" t="s">
        <v>117</v>
      </c>
      <c r="M1179" t="s">
        <v>118</v>
      </c>
      <c r="N1179" t="s">
        <v>722</v>
      </c>
      <c r="O1179" t="s">
        <v>82</v>
      </c>
      <c r="P1179" t="str">
        <f>"4170038094                    "</f>
        <v xml:space="preserve">4170038094                    </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0</v>
      </c>
      <c r="AJ1179">
        <v>0</v>
      </c>
      <c r="AK1179">
        <v>0</v>
      </c>
      <c r="AL1179">
        <v>0</v>
      </c>
      <c r="AM1179">
        <v>0</v>
      </c>
      <c r="AN1179">
        <v>0</v>
      </c>
      <c r="AO1179">
        <v>0</v>
      </c>
      <c r="AP1179">
        <v>0</v>
      </c>
      <c r="AQ1179">
        <v>16.7</v>
      </c>
      <c r="AR1179">
        <v>0</v>
      </c>
      <c r="AS1179">
        <v>0</v>
      </c>
      <c r="AT1179">
        <v>0</v>
      </c>
      <c r="AU1179">
        <v>0</v>
      </c>
      <c r="AV1179">
        <v>0</v>
      </c>
      <c r="AW1179">
        <v>0</v>
      </c>
      <c r="AX1179">
        <v>0</v>
      </c>
      <c r="AY1179">
        <v>0</v>
      </c>
      <c r="AZ1179">
        <v>0</v>
      </c>
      <c r="BA1179">
        <v>0</v>
      </c>
      <c r="BB1179">
        <v>0</v>
      </c>
      <c r="BC1179">
        <v>0</v>
      </c>
      <c r="BD1179">
        <v>0</v>
      </c>
      <c r="BE1179">
        <v>0</v>
      </c>
      <c r="BF1179">
        <v>0</v>
      </c>
      <c r="BG1179">
        <v>0</v>
      </c>
      <c r="BH1179">
        <v>1</v>
      </c>
      <c r="BI1179">
        <v>1</v>
      </c>
      <c r="BJ1179">
        <v>0.2</v>
      </c>
      <c r="BK1179">
        <v>1</v>
      </c>
      <c r="BL1179">
        <v>54.66</v>
      </c>
      <c r="BM1179">
        <v>8.1999999999999993</v>
      </c>
      <c r="BN1179">
        <v>62.86</v>
      </c>
      <c r="BO1179">
        <v>62.86</v>
      </c>
      <c r="BQ1179" t="s">
        <v>723</v>
      </c>
      <c r="BR1179" t="s">
        <v>84</v>
      </c>
      <c r="BS1179" s="3">
        <v>45791</v>
      </c>
      <c r="BT1179" s="4">
        <v>0.39583333333333331</v>
      </c>
      <c r="BU1179" t="s">
        <v>1882</v>
      </c>
      <c r="BV1179" t="s">
        <v>86</v>
      </c>
      <c r="BY1179">
        <v>1200</v>
      </c>
      <c r="CA1179" t="s">
        <v>535</v>
      </c>
      <c r="CC1179" t="s">
        <v>118</v>
      </c>
      <c r="CD1179">
        <v>2094</v>
      </c>
      <c r="CE1179" t="s">
        <v>88</v>
      </c>
      <c r="CF1179" s="3">
        <v>45791</v>
      </c>
      <c r="CI1179">
        <v>1</v>
      </c>
      <c r="CJ1179">
        <v>1</v>
      </c>
      <c r="CK1179">
        <v>22</v>
      </c>
      <c r="CL1179" t="s">
        <v>89</v>
      </c>
    </row>
    <row r="1180" spans="1:90" x14ac:dyDescent="0.3">
      <c r="A1180" t="s">
        <v>72</v>
      </c>
      <c r="B1180" t="s">
        <v>73</v>
      </c>
      <c r="C1180" t="s">
        <v>74</v>
      </c>
      <c r="E1180" t="str">
        <f>"080065352033"</f>
        <v>080065352033</v>
      </c>
      <c r="F1180" s="3">
        <v>45790</v>
      </c>
      <c r="G1180">
        <v>202602</v>
      </c>
      <c r="H1180" t="s">
        <v>75</v>
      </c>
      <c r="I1180" t="s">
        <v>76</v>
      </c>
      <c r="J1180" t="s">
        <v>77</v>
      </c>
      <c r="K1180" t="s">
        <v>78</v>
      </c>
      <c r="L1180" t="s">
        <v>130</v>
      </c>
      <c r="M1180" t="s">
        <v>131</v>
      </c>
      <c r="N1180" t="s">
        <v>1066</v>
      </c>
      <c r="O1180" t="s">
        <v>82</v>
      </c>
      <c r="P1180" t="str">
        <f>"4170038193                    "</f>
        <v xml:space="preserve">4170038193                    </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c r="AJ1180">
        <v>0</v>
      </c>
      <c r="AK1180">
        <v>0</v>
      </c>
      <c r="AL1180">
        <v>0</v>
      </c>
      <c r="AM1180">
        <v>0</v>
      </c>
      <c r="AN1180">
        <v>0</v>
      </c>
      <c r="AO1180">
        <v>0</v>
      </c>
      <c r="AP1180">
        <v>0</v>
      </c>
      <c r="AQ1180">
        <v>21.38</v>
      </c>
      <c r="AR1180">
        <v>0</v>
      </c>
      <c r="AS1180">
        <v>0</v>
      </c>
      <c r="AT1180">
        <v>0</v>
      </c>
      <c r="AU1180">
        <v>0</v>
      </c>
      <c r="AV1180">
        <v>0</v>
      </c>
      <c r="AW1180">
        <v>0</v>
      </c>
      <c r="AX1180">
        <v>0</v>
      </c>
      <c r="AY1180">
        <v>0</v>
      </c>
      <c r="AZ1180">
        <v>0</v>
      </c>
      <c r="BA1180">
        <v>0</v>
      </c>
      <c r="BB1180">
        <v>0</v>
      </c>
      <c r="BC1180">
        <v>0</v>
      </c>
      <c r="BD1180">
        <v>0</v>
      </c>
      <c r="BE1180">
        <v>0</v>
      </c>
      <c r="BF1180">
        <v>0</v>
      </c>
      <c r="BG1180">
        <v>0</v>
      </c>
      <c r="BH1180">
        <v>1</v>
      </c>
      <c r="BI1180">
        <v>1</v>
      </c>
      <c r="BJ1180">
        <v>0.2</v>
      </c>
      <c r="BK1180">
        <v>1</v>
      </c>
      <c r="BL1180">
        <v>69.98</v>
      </c>
      <c r="BM1180">
        <v>10.5</v>
      </c>
      <c r="BN1180">
        <v>80.48</v>
      </c>
      <c r="BO1180">
        <v>80.48</v>
      </c>
      <c r="BQ1180" t="s">
        <v>1067</v>
      </c>
      <c r="BR1180" t="s">
        <v>84</v>
      </c>
      <c r="BS1180" s="3">
        <v>45791</v>
      </c>
      <c r="BT1180" s="4">
        <v>0.38680555555555557</v>
      </c>
      <c r="BU1180" t="s">
        <v>1068</v>
      </c>
      <c r="BV1180" t="s">
        <v>86</v>
      </c>
      <c r="BY1180">
        <v>1200</v>
      </c>
      <c r="CA1180" t="s">
        <v>712</v>
      </c>
      <c r="CC1180" t="s">
        <v>131</v>
      </c>
      <c r="CD1180">
        <v>7561</v>
      </c>
      <c r="CE1180" t="s">
        <v>88</v>
      </c>
      <c r="CF1180" s="3">
        <v>45792</v>
      </c>
      <c r="CI1180">
        <v>1</v>
      </c>
      <c r="CJ1180">
        <v>1</v>
      </c>
      <c r="CK1180">
        <v>21</v>
      </c>
      <c r="CL1180" t="s">
        <v>89</v>
      </c>
    </row>
    <row r="1181" spans="1:90" x14ac:dyDescent="0.3">
      <c r="A1181" t="s">
        <v>72</v>
      </c>
      <c r="B1181" t="s">
        <v>73</v>
      </c>
      <c r="C1181" t="s">
        <v>74</v>
      </c>
      <c r="E1181" t="str">
        <f>"080065352060"</f>
        <v>080065352060</v>
      </c>
      <c r="F1181" s="3">
        <v>45790</v>
      </c>
      <c r="G1181">
        <v>202602</v>
      </c>
      <c r="H1181" t="s">
        <v>75</v>
      </c>
      <c r="I1181" t="s">
        <v>76</v>
      </c>
      <c r="J1181" t="s">
        <v>77</v>
      </c>
      <c r="K1181" t="s">
        <v>78</v>
      </c>
      <c r="L1181" t="s">
        <v>103</v>
      </c>
      <c r="M1181" t="s">
        <v>104</v>
      </c>
      <c r="N1181" t="s">
        <v>686</v>
      </c>
      <c r="O1181" t="s">
        <v>82</v>
      </c>
      <c r="P1181" t="str">
        <f>"4170038119                    "</f>
        <v xml:space="preserve">4170038119                    </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P1181">
        <v>0</v>
      </c>
      <c r="AQ1181">
        <v>21.38</v>
      </c>
      <c r="AR1181">
        <v>0</v>
      </c>
      <c r="AS1181">
        <v>0</v>
      </c>
      <c r="AT1181">
        <v>0</v>
      </c>
      <c r="AU1181">
        <v>0</v>
      </c>
      <c r="AV1181">
        <v>0</v>
      </c>
      <c r="AW1181">
        <v>0</v>
      </c>
      <c r="AX1181">
        <v>0</v>
      </c>
      <c r="AY1181">
        <v>0</v>
      </c>
      <c r="AZ1181">
        <v>0</v>
      </c>
      <c r="BA1181">
        <v>0</v>
      </c>
      <c r="BB1181">
        <v>0</v>
      </c>
      <c r="BC1181">
        <v>0</v>
      </c>
      <c r="BD1181">
        <v>0</v>
      </c>
      <c r="BE1181">
        <v>0</v>
      </c>
      <c r="BF1181">
        <v>0</v>
      </c>
      <c r="BG1181">
        <v>0</v>
      </c>
      <c r="BH1181">
        <v>1</v>
      </c>
      <c r="BI1181">
        <v>1</v>
      </c>
      <c r="BJ1181">
        <v>0.2</v>
      </c>
      <c r="BK1181">
        <v>1</v>
      </c>
      <c r="BL1181">
        <v>69.98</v>
      </c>
      <c r="BM1181">
        <v>10.5</v>
      </c>
      <c r="BN1181">
        <v>80.48</v>
      </c>
      <c r="BO1181">
        <v>80.48</v>
      </c>
      <c r="BQ1181" t="s">
        <v>687</v>
      </c>
      <c r="BR1181" t="s">
        <v>84</v>
      </c>
      <c r="BS1181" s="3">
        <v>45791</v>
      </c>
      <c r="BT1181" s="4">
        <v>0.41666666666666669</v>
      </c>
      <c r="BU1181" t="s">
        <v>1870</v>
      </c>
      <c r="BV1181" t="s">
        <v>86</v>
      </c>
      <c r="BY1181">
        <v>1200</v>
      </c>
      <c r="CA1181" t="s">
        <v>1169</v>
      </c>
      <c r="CC1181" t="s">
        <v>104</v>
      </c>
      <c r="CD1181">
        <v>3201</v>
      </c>
      <c r="CE1181" t="s">
        <v>88</v>
      </c>
      <c r="CF1181" s="3">
        <v>45792</v>
      </c>
      <c r="CI1181">
        <v>1</v>
      </c>
      <c r="CJ1181">
        <v>1</v>
      </c>
      <c r="CK1181">
        <v>21</v>
      </c>
      <c r="CL1181" t="s">
        <v>89</v>
      </c>
    </row>
    <row r="1182" spans="1:90" x14ac:dyDescent="0.3">
      <c r="A1182" t="s">
        <v>72</v>
      </c>
      <c r="B1182" t="s">
        <v>73</v>
      </c>
      <c r="C1182" t="s">
        <v>74</v>
      </c>
      <c r="E1182" t="str">
        <f>"080065352094"</f>
        <v>080065352094</v>
      </c>
      <c r="F1182" s="3">
        <v>45790</v>
      </c>
      <c r="G1182">
        <v>202602</v>
      </c>
      <c r="H1182" t="s">
        <v>75</v>
      </c>
      <c r="I1182" t="s">
        <v>76</v>
      </c>
      <c r="J1182" t="s">
        <v>77</v>
      </c>
      <c r="K1182" t="s">
        <v>78</v>
      </c>
      <c r="L1182" t="s">
        <v>130</v>
      </c>
      <c r="M1182" t="s">
        <v>131</v>
      </c>
      <c r="N1182" t="s">
        <v>709</v>
      </c>
      <c r="O1182" t="s">
        <v>82</v>
      </c>
      <c r="P1182" t="str">
        <f>"4170038113                    "</f>
        <v xml:space="preserve">4170038113                    </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117.53</v>
      </c>
      <c r="AR1182">
        <v>0</v>
      </c>
      <c r="AS1182">
        <v>0</v>
      </c>
      <c r="AT1182">
        <v>0</v>
      </c>
      <c r="AU1182">
        <v>0</v>
      </c>
      <c r="AV1182">
        <v>0</v>
      </c>
      <c r="AW1182">
        <v>0</v>
      </c>
      <c r="AX1182">
        <v>0</v>
      </c>
      <c r="AY1182">
        <v>0</v>
      </c>
      <c r="AZ1182">
        <v>0</v>
      </c>
      <c r="BA1182">
        <v>0</v>
      </c>
      <c r="BB1182">
        <v>0</v>
      </c>
      <c r="BC1182">
        <v>0</v>
      </c>
      <c r="BD1182">
        <v>0</v>
      </c>
      <c r="BE1182">
        <v>0</v>
      </c>
      <c r="BF1182">
        <v>0</v>
      </c>
      <c r="BG1182">
        <v>0</v>
      </c>
      <c r="BH1182">
        <v>1</v>
      </c>
      <c r="BI1182">
        <v>11</v>
      </c>
      <c r="BJ1182">
        <v>5.2</v>
      </c>
      <c r="BK1182">
        <v>11</v>
      </c>
      <c r="BL1182">
        <v>384.65</v>
      </c>
      <c r="BM1182">
        <v>57.7</v>
      </c>
      <c r="BN1182">
        <v>442.35</v>
      </c>
      <c r="BO1182">
        <v>442.35</v>
      </c>
      <c r="BQ1182" t="s">
        <v>710</v>
      </c>
      <c r="BR1182" t="s">
        <v>84</v>
      </c>
      <c r="BS1182" s="3">
        <v>45791</v>
      </c>
      <c r="BT1182" s="4">
        <v>0.34444444444444444</v>
      </c>
      <c r="BU1182" t="s">
        <v>1883</v>
      </c>
      <c r="BV1182" t="s">
        <v>86</v>
      </c>
      <c r="BY1182">
        <v>25984</v>
      </c>
      <c r="CA1182" t="s">
        <v>712</v>
      </c>
      <c r="CC1182" t="s">
        <v>131</v>
      </c>
      <c r="CD1182">
        <v>7530</v>
      </c>
      <c r="CE1182" t="s">
        <v>221</v>
      </c>
      <c r="CF1182" s="3">
        <v>45792</v>
      </c>
      <c r="CI1182">
        <v>1</v>
      </c>
      <c r="CJ1182">
        <v>1</v>
      </c>
      <c r="CK1182">
        <v>21</v>
      </c>
      <c r="CL1182" t="s">
        <v>89</v>
      </c>
    </row>
    <row r="1183" spans="1:90" x14ac:dyDescent="0.3">
      <c r="A1183" t="s">
        <v>72</v>
      </c>
      <c r="B1183" t="s">
        <v>73</v>
      </c>
      <c r="C1183" t="s">
        <v>74</v>
      </c>
      <c r="E1183" t="str">
        <f>"080065352146"</f>
        <v>080065352146</v>
      </c>
      <c r="F1183" s="3">
        <v>45790</v>
      </c>
      <c r="G1183">
        <v>202602</v>
      </c>
      <c r="H1183" t="s">
        <v>75</v>
      </c>
      <c r="I1183" t="s">
        <v>76</v>
      </c>
      <c r="J1183" t="s">
        <v>77</v>
      </c>
      <c r="K1183" t="s">
        <v>78</v>
      </c>
      <c r="L1183" t="s">
        <v>479</v>
      </c>
      <c r="M1183" t="s">
        <v>480</v>
      </c>
      <c r="N1183" t="s">
        <v>793</v>
      </c>
      <c r="O1183" t="s">
        <v>82</v>
      </c>
      <c r="P1183" t="str">
        <f>"4170038127                    "</f>
        <v xml:space="preserve">4170038127                    </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16.7</v>
      </c>
      <c r="AR1183">
        <v>0</v>
      </c>
      <c r="AS1183">
        <v>0</v>
      </c>
      <c r="AT1183">
        <v>0</v>
      </c>
      <c r="AU1183">
        <v>0</v>
      </c>
      <c r="AV1183">
        <v>0</v>
      </c>
      <c r="AW1183">
        <v>0</v>
      </c>
      <c r="AX1183">
        <v>0</v>
      </c>
      <c r="AY1183">
        <v>0</v>
      </c>
      <c r="AZ1183">
        <v>0</v>
      </c>
      <c r="BA1183">
        <v>0</v>
      </c>
      <c r="BB1183">
        <v>0</v>
      </c>
      <c r="BC1183">
        <v>0</v>
      </c>
      <c r="BD1183">
        <v>0</v>
      </c>
      <c r="BE1183">
        <v>0</v>
      </c>
      <c r="BF1183">
        <v>0</v>
      </c>
      <c r="BG1183">
        <v>0</v>
      </c>
      <c r="BH1183">
        <v>1</v>
      </c>
      <c r="BI1183">
        <v>2</v>
      </c>
      <c r="BJ1183">
        <v>1.4</v>
      </c>
      <c r="BK1183">
        <v>2</v>
      </c>
      <c r="BL1183">
        <v>54.66</v>
      </c>
      <c r="BM1183">
        <v>8.1999999999999993</v>
      </c>
      <c r="BN1183">
        <v>62.86</v>
      </c>
      <c r="BO1183">
        <v>62.86</v>
      </c>
      <c r="BQ1183" t="s">
        <v>794</v>
      </c>
      <c r="BR1183" t="s">
        <v>84</v>
      </c>
      <c r="BS1183" s="3">
        <v>45791</v>
      </c>
      <c r="BT1183" s="4">
        <v>0.4375</v>
      </c>
      <c r="BU1183" t="s">
        <v>1884</v>
      </c>
      <c r="BV1183" t="s">
        <v>86</v>
      </c>
      <c r="BY1183">
        <v>7000</v>
      </c>
      <c r="CA1183" t="s">
        <v>1443</v>
      </c>
      <c r="CC1183" t="s">
        <v>480</v>
      </c>
      <c r="CD1183">
        <v>2163</v>
      </c>
      <c r="CE1183" t="s">
        <v>116</v>
      </c>
      <c r="CF1183" s="3">
        <v>45792</v>
      </c>
      <c r="CI1183">
        <v>1</v>
      </c>
      <c r="CJ1183">
        <v>1</v>
      </c>
      <c r="CK1183">
        <v>22</v>
      </c>
      <c r="CL1183" t="s">
        <v>89</v>
      </c>
    </row>
    <row r="1184" spans="1:90" x14ac:dyDescent="0.3">
      <c r="A1184" t="s">
        <v>72</v>
      </c>
      <c r="B1184" t="s">
        <v>73</v>
      </c>
      <c r="C1184" t="s">
        <v>74</v>
      </c>
      <c r="E1184" t="str">
        <f>"080065352175"</f>
        <v>080065352175</v>
      </c>
      <c r="F1184" s="3">
        <v>45790</v>
      </c>
      <c r="G1184">
        <v>202602</v>
      </c>
      <c r="H1184" t="s">
        <v>75</v>
      </c>
      <c r="I1184" t="s">
        <v>76</v>
      </c>
      <c r="J1184" t="s">
        <v>77</v>
      </c>
      <c r="K1184" t="s">
        <v>78</v>
      </c>
      <c r="L1184" t="s">
        <v>97</v>
      </c>
      <c r="M1184" t="s">
        <v>98</v>
      </c>
      <c r="N1184" t="s">
        <v>99</v>
      </c>
      <c r="O1184" t="s">
        <v>82</v>
      </c>
      <c r="P1184" t="str">
        <f>"4170038106                    "</f>
        <v xml:space="preserve">4170038106                    </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16.7</v>
      </c>
      <c r="AR1184">
        <v>0</v>
      </c>
      <c r="AS1184">
        <v>0</v>
      </c>
      <c r="AT1184">
        <v>0</v>
      </c>
      <c r="AU1184">
        <v>0</v>
      </c>
      <c r="AV1184">
        <v>0</v>
      </c>
      <c r="AW1184">
        <v>0</v>
      </c>
      <c r="AX1184">
        <v>0</v>
      </c>
      <c r="AY1184">
        <v>0</v>
      </c>
      <c r="AZ1184">
        <v>0</v>
      </c>
      <c r="BA1184">
        <v>0</v>
      </c>
      <c r="BB1184">
        <v>0</v>
      </c>
      <c r="BC1184">
        <v>0</v>
      </c>
      <c r="BD1184">
        <v>0</v>
      </c>
      <c r="BE1184">
        <v>0</v>
      </c>
      <c r="BF1184">
        <v>0</v>
      </c>
      <c r="BG1184">
        <v>0</v>
      </c>
      <c r="BH1184">
        <v>1</v>
      </c>
      <c r="BI1184">
        <v>2</v>
      </c>
      <c r="BJ1184">
        <v>1.1000000000000001</v>
      </c>
      <c r="BK1184">
        <v>2</v>
      </c>
      <c r="BL1184">
        <v>54.66</v>
      </c>
      <c r="BM1184">
        <v>8.1999999999999993</v>
      </c>
      <c r="BN1184">
        <v>62.86</v>
      </c>
      <c r="BO1184">
        <v>62.86</v>
      </c>
      <c r="BQ1184" t="s">
        <v>100</v>
      </c>
      <c r="BR1184" t="s">
        <v>84</v>
      </c>
      <c r="BS1184" s="3">
        <v>45791</v>
      </c>
      <c r="BT1184" s="4">
        <v>0.34375</v>
      </c>
      <c r="BU1184" t="s">
        <v>286</v>
      </c>
      <c r="BV1184" t="s">
        <v>86</v>
      </c>
      <c r="BY1184">
        <v>5320</v>
      </c>
      <c r="CA1184" t="s">
        <v>279</v>
      </c>
      <c r="CC1184" t="s">
        <v>98</v>
      </c>
      <c r="CD1184">
        <v>1459</v>
      </c>
      <c r="CE1184" t="s">
        <v>116</v>
      </c>
      <c r="CF1184" s="3">
        <v>45792</v>
      </c>
      <c r="CI1184">
        <v>1</v>
      </c>
      <c r="CJ1184">
        <v>1</v>
      </c>
      <c r="CK1184">
        <v>22</v>
      </c>
      <c r="CL1184" t="s">
        <v>89</v>
      </c>
    </row>
    <row r="1185" spans="1:90" x14ac:dyDescent="0.3">
      <c r="A1185" t="s">
        <v>72</v>
      </c>
      <c r="B1185" t="s">
        <v>73</v>
      </c>
      <c r="C1185" t="s">
        <v>74</v>
      </c>
      <c r="E1185" t="str">
        <f>"080065352206"</f>
        <v>080065352206</v>
      </c>
      <c r="F1185" s="3">
        <v>45790</v>
      </c>
      <c r="G1185">
        <v>202602</v>
      </c>
      <c r="H1185" t="s">
        <v>75</v>
      </c>
      <c r="I1185" t="s">
        <v>76</v>
      </c>
      <c r="J1185" t="s">
        <v>77</v>
      </c>
      <c r="K1185" t="s">
        <v>78</v>
      </c>
      <c r="L1185" t="s">
        <v>1885</v>
      </c>
      <c r="M1185" t="s">
        <v>1886</v>
      </c>
      <c r="N1185" t="s">
        <v>1887</v>
      </c>
      <c r="O1185" t="s">
        <v>82</v>
      </c>
      <c r="P1185" t="str">
        <f>"4170038132                    "</f>
        <v xml:space="preserve">4170038132                    </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0</v>
      </c>
      <c r="AK1185">
        <v>0</v>
      </c>
      <c r="AL1185">
        <v>0</v>
      </c>
      <c r="AM1185">
        <v>0</v>
      </c>
      <c r="AN1185">
        <v>0</v>
      </c>
      <c r="AO1185">
        <v>0</v>
      </c>
      <c r="AP1185">
        <v>0</v>
      </c>
      <c r="AQ1185">
        <v>144.33000000000001</v>
      </c>
      <c r="AR1185">
        <v>0</v>
      </c>
      <c r="AS1185">
        <v>0</v>
      </c>
      <c r="AT1185">
        <v>0</v>
      </c>
      <c r="AU1185">
        <v>0</v>
      </c>
      <c r="AV1185">
        <v>0</v>
      </c>
      <c r="AW1185">
        <v>0</v>
      </c>
      <c r="AX1185">
        <v>0</v>
      </c>
      <c r="AY1185">
        <v>0</v>
      </c>
      <c r="AZ1185">
        <v>0</v>
      </c>
      <c r="BA1185">
        <v>0</v>
      </c>
      <c r="BB1185">
        <v>0</v>
      </c>
      <c r="BC1185">
        <v>0</v>
      </c>
      <c r="BD1185">
        <v>0</v>
      </c>
      <c r="BE1185">
        <v>0</v>
      </c>
      <c r="BF1185">
        <v>0</v>
      </c>
      <c r="BG1185">
        <v>0</v>
      </c>
      <c r="BH1185">
        <v>1</v>
      </c>
      <c r="BI1185">
        <v>6</v>
      </c>
      <c r="BJ1185">
        <v>7.5</v>
      </c>
      <c r="BK1185">
        <v>7.5</v>
      </c>
      <c r="BL1185">
        <v>472.35</v>
      </c>
      <c r="BM1185">
        <v>70.849999999999994</v>
      </c>
      <c r="BN1185">
        <v>543.20000000000005</v>
      </c>
      <c r="BO1185">
        <v>543.20000000000005</v>
      </c>
      <c r="BQ1185" t="s">
        <v>1888</v>
      </c>
      <c r="BR1185" t="s">
        <v>84</v>
      </c>
      <c r="BS1185" s="3">
        <v>45791</v>
      </c>
      <c r="BT1185" s="4">
        <v>0.41666666666666669</v>
      </c>
      <c r="BU1185" t="s">
        <v>1889</v>
      </c>
      <c r="BV1185" t="s">
        <v>86</v>
      </c>
      <c r="BY1185">
        <v>37488</v>
      </c>
      <c r="CC1185" t="s">
        <v>1886</v>
      </c>
      <c r="CD1185">
        <v>3310</v>
      </c>
      <c r="CE1185" t="s">
        <v>96</v>
      </c>
      <c r="CF1185" s="3">
        <v>45792</v>
      </c>
      <c r="CI1185">
        <v>1</v>
      </c>
      <c r="CJ1185">
        <v>1</v>
      </c>
      <c r="CK1185">
        <v>23</v>
      </c>
      <c r="CL1185" t="s">
        <v>89</v>
      </c>
    </row>
    <row r="1186" spans="1:90" x14ac:dyDescent="0.3">
      <c r="A1186" t="s">
        <v>72</v>
      </c>
      <c r="B1186" t="s">
        <v>73</v>
      </c>
      <c r="C1186" t="s">
        <v>74</v>
      </c>
      <c r="E1186" t="str">
        <f>"080065352239"</f>
        <v>080065352239</v>
      </c>
      <c r="F1186" s="3">
        <v>45790</v>
      </c>
      <c r="G1186">
        <v>202602</v>
      </c>
      <c r="H1186" t="s">
        <v>75</v>
      </c>
      <c r="I1186" t="s">
        <v>76</v>
      </c>
      <c r="J1186" t="s">
        <v>77</v>
      </c>
      <c r="K1186" t="s">
        <v>78</v>
      </c>
      <c r="L1186" t="s">
        <v>360</v>
      </c>
      <c r="M1186" t="s">
        <v>361</v>
      </c>
      <c r="N1186" t="s">
        <v>362</v>
      </c>
      <c r="O1186" t="s">
        <v>82</v>
      </c>
      <c r="P1186" t="str">
        <f>"4170038129                    "</f>
        <v xml:space="preserve">4170038129                    </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P1186">
        <v>0</v>
      </c>
      <c r="AQ1186">
        <v>144.33000000000001</v>
      </c>
      <c r="AR1186">
        <v>0</v>
      </c>
      <c r="AS1186">
        <v>0</v>
      </c>
      <c r="AT1186">
        <v>0</v>
      </c>
      <c r="AU1186">
        <v>0</v>
      </c>
      <c r="AV1186">
        <v>0</v>
      </c>
      <c r="AW1186">
        <v>0</v>
      </c>
      <c r="AX1186">
        <v>0</v>
      </c>
      <c r="AY1186">
        <v>0</v>
      </c>
      <c r="AZ1186">
        <v>0</v>
      </c>
      <c r="BA1186">
        <v>0</v>
      </c>
      <c r="BB1186">
        <v>0</v>
      </c>
      <c r="BC1186">
        <v>0</v>
      </c>
      <c r="BD1186">
        <v>0</v>
      </c>
      <c r="BE1186">
        <v>0</v>
      </c>
      <c r="BF1186">
        <v>0</v>
      </c>
      <c r="BG1186">
        <v>0</v>
      </c>
      <c r="BH1186">
        <v>1</v>
      </c>
      <c r="BI1186">
        <v>3</v>
      </c>
      <c r="BJ1186">
        <v>7.5</v>
      </c>
      <c r="BK1186">
        <v>7.5</v>
      </c>
      <c r="BL1186">
        <v>472.35</v>
      </c>
      <c r="BM1186">
        <v>70.849999999999994</v>
      </c>
      <c r="BN1186">
        <v>543.20000000000005</v>
      </c>
      <c r="BO1186">
        <v>543.20000000000005</v>
      </c>
      <c r="BQ1186" t="s">
        <v>363</v>
      </c>
      <c r="BR1186" t="s">
        <v>84</v>
      </c>
      <c r="BS1186" s="3">
        <v>45791</v>
      </c>
      <c r="BT1186" s="4">
        <v>0.65972222222222221</v>
      </c>
      <c r="BU1186" t="s">
        <v>1890</v>
      </c>
      <c r="BV1186" t="s">
        <v>86</v>
      </c>
      <c r="BY1186">
        <v>37488</v>
      </c>
      <c r="CA1186" t="s">
        <v>1891</v>
      </c>
      <c r="CC1186" t="s">
        <v>361</v>
      </c>
      <c r="CD1186">
        <v>7300</v>
      </c>
      <c r="CE1186" t="s">
        <v>96</v>
      </c>
      <c r="CF1186" s="3">
        <v>45792</v>
      </c>
      <c r="CI1186">
        <v>1</v>
      </c>
      <c r="CJ1186">
        <v>1</v>
      </c>
      <c r="CK1186">
        <v>23</v>
      </c>
      <c r="CL1186" t="s">
        <v>89</v>
      </c>
    </row>
    <row r="1187" spans="1:90" x14ac:dyDescent="0.3">
      <c r="A1187" t="s">
        <v>72</v>
      </c>
      <c r="B1187" t="s">
        <v>73</v>
      </c>
      <c r="C1187" t="s">
        <v>74</v>
      </c>
      <c r="E1187" t="str">
        <f>"080065352276"</f>
        <v>080065352276</v>
      </c>
      <c r="F1187" s="3">
        <v>45790</v>
      </c>
      <c r="G1187">
        <v>202602</v>
      </c>
      <c r="H1187" t="s">
        <v>75</v>
      </c>
      <c r="I1187" t="s">
        <v>76</v>
      </c>
      <c r="J1187" t="s">
        <v>77</v>
      </c>
      <c r="K1187" t="s">
        <v>78</v>
      </c>
      <c r="L1187" t="s">
        <v>130</v>
      </c>
      <c r="M1187" t="s">
        <v>131</v>
      </c>
      <c r="N1187" t="s">
        <v>343</v>
      </c>
      <c r="O1187" t="s">
        <v>82</v>
      </c>
      <c r="P1187" t="str">
        <f>"4170038124                    "</f>
        <v xml:space="preserve">4170038124                    </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48.09</v>
      </c>
      <c r="AR1187">
        <v>0</v>
      </c>
      <c r="AS1187">
        <v>0</v>
      </c>
      <c r="AT1187">
        <v>0</v>
      </c>
      <c r="AU1187">
        <v>0</v>
      </c>
      <c r="AV1187">
        <v>0</v>
      </c>
      <c r="AW1187">
        <v>0</v>
      </c>
      <c r="AX1187">
        <v>0</v>
      </c>
      <c r="AY1187">
        <v>0</v>
      </c>
      <c r="AZ1187">
        <v>0</v>
      </c>
      <c r="BA1187">
        <v>0</v>
      </c>
      <c r="BB1187">
        <v>0</v>
      </c>
      <c r="BC1187">
        <v>0</v>
      </c>
      <c r="BD1187">
        <v>0</v>
      </c>
      <c r="BE1187">
        <v>0</v>
      </c>
      <c r="BF1187">
        <v>0</v>
      </c>
      <c r="BG1187">
        <v>0</v>
      </c>
      <c r="BH1187">
        <v>1</v>
      </c>
      <c r="BI1187">
        <v>2</v>
      </c>
      <c r="BJ1187">
        <v>4.5</v>
      </c>
      <c r="BK1187">
        <v>4.5</v>
      </c>
      <c r="BL1187">
        <v>157.38999999999999</v>
      </c>
      <c r="BM1187">
        <v>23.61</v>
      </c>
      <c r="BN1187">
        <v>181</v>
      </c>
      <c r="BO1187">
        <v>181</v>
      </c>
      <c r="BQ1187" t="s">
        <v>344</v>
      </c>
      <c r="BR1187" t="s">
        <v>84</v>
      </c>
      <c r="BS1187" s="3">
        <v>45791</v>
      </c>
      <c r="BT1187" s="4">
        <v>0.40972222222222221</v>
      </c>
      <c r="BU1187" t="s">
        <v>345</v>
      </c>
      <c r="BV1187" t="s">
        <v>86</v>
      </c>
      <c r="BY1187">
        <v>22620</v>
      </c>
      <c r="CA1187" t="s">
        <v>242</v>
      </c>
      <c r="CC1187" t="s">
        <v>131</v>
      </c>
      <c r="CD1187">
        <v>7441</v>
      </c>
      <c r="CE1187" t="s">
        <v>96</v>
      </c>
      <c r="CF1187" s="3">
        <v>45792</v>
      </c>
      <c r="CI1187">
        <v>1</v>
      </c>
      <c r="CJ1187">
        <v>1</v>
      </c>
      <c r="CK1187">
        <v>21</v>
      </c>
      <c r="CL1187" t="s">
        <v>89</v>
      </c>
    </row>
    <row r="1188" spans="1:90" x14ac:dyDescent="0.3">
      <c r="A1188" t="s">
        <v>72</v>
      </c>
      <c r="B1188" t="s">
        <v>73</v>
      </c>
      <c r="C1188" t="s">
        <v>74</v>
      </c>
      <c r="E1188" t="str">
        <f>"080065352324"</f>
        <v>080065352324</v>
      </c>
      <c r="F1188" s="3">
        <v>45790</v>
      </c>
      <c r="G1188">
        <v>202602</v>
      </c>
      <c r="H1188" t="s">
        <v>75</v>
      </c>
      <c r="I1188" t="s">
        <v>76</v>
      </c>
      <c r="J1188" t="s">
        <v>77</v>
      </c>
      <c r="K1188" t="s">
        <v>78</v>
      </c>
      <c r="L1188" t="s">
        <v>130</v>
      </c>
      <c r="M1188" t="s">
        <v>131</v>
      </c>
      <c r="N1188" t="s">
        <v>1892</v>
      </c>
      <c r="O1188" t="s">
        <v>300</v>
      </c>
      <c r="P1188" t="str">
        <f>"4170038120                    "</f>
        <v xml:space="preserve">4170038120                    </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46.47</v>
      </c>
      <c r="AR1188">
        <v>0</v>
      </c>
      <c r="AS1188">
        <v>0</v>
      </c>
      <c r="AT1188">
        <v>0</v>
      </c>
      <c r="AU1188">
        <v>0</v>
      </c>
      <c r="AV1188">
        <v>0</v>
      </c>
      <c r="AW1188">
        <v>0</v>
      </c>
      <c r="AX1188">
        <v>0</v>
      </c>
      <c r="AY1188">
        <v>0</v>
      </c>
      <c r="AZ1188">
        <v>0</v>
      </c>
      <c r="BA1188">
        <v>0</v>
      </c>
      <c r="BB1188">
        <v>0</v>
      </c>
      <c r="BC1188">
        <v>0</v>
      </c>
      <c r="BD1188">
        <v>0</v>
      </c>
      <c r="BE1188">
        <v>0</v>
      </c>
      <c r="BF1188">
        <v>0</v>
      </c>
      <c r="BG1188">
        <v>0</v>
      </c>
      <c r="BH1188">
        <v>1</v>
      </c>
      <c r="BI1188">
        <v>6</v>
      </c>
      <c r="BJ1188">
        <v>17.7</v>
      </c>
      <c r="BK1188">
        <v>18</v>
      </c>
      <c r="BL1188">
        <v>157.66</v>
      </c>
      <c r="BM1188">
        <v>23.65</v>
      </c>
      <c r="BN1188">
        <v>181.31</v>
      </c>
      <c r="BO1188">
        <v>181.31</v>
      </c>
      <c r="BQ1188" t="s">
        <v>1893</v>
      </c>
      <c r="BR1188" t="s">
        <v>84</v>
      </c>
      <c r="BS1188" s="3">
        <v>45792</v>
      </c>
      <c r="BT1188" s="4">
        <v>0.39652777777777776</v>
      </c>
      <c r="BU1188" t="s">
        <v>1894</v>
      </c>
      <c r="BV1188" t="s">
        <v>86</v>
      </c>
      <c r="BY1188">
        <v>88320</v>
      </c>
      <c r="CA1188" t="s">
        <v>330</v>
      </c>
      <c r="CC1188" t="s">
        <v>131</v>
      </c>
      <c r="CD1188">
        <v>7480</v>
      </c>
      <c r="CE1188" t="s">
        <v>96</v>
      </c>
      <c r="CF1188" s="3">
        <v>45793</v>
      </c>
      <c r="CI1188">
        <v>3</v>
      </c>
      <c r="CJ1188">
        <v>2</v>
      </c>
      <c r="CK1188">
        <v>41</v>
      </c>
      <c r="CL1188" t="s">
        <v>89</v>
      </c>
    </row>
    <row r="1189" spans="1:90" x14ac:dyDescent="0.3">
      <c r="A1189" t="s">
        <v>72</v>
      </c>
      <c r="B1189" t="s">
        <v>73</v>
      </c>
      <c r="C1189" t="s">
        <v>74</v>
      </c>
      <c r="E1189" t="str">
        <f>"080065352376"</f>
        <v>080065352376</v>
      </c>
      <c r="F1189" s="3">
        <v>45790</v>
      </c>
      <c r="G1189">
        <v>202602</v>
      </c>
      <c r="H1189" t="s">
        <v>75</v>
      </c>
      <c r="I1189" t="s">
        <v>76</v>
      </c>
      <c r="J1189" t="s">
        <v>77</v>
      </c>
      <c r="K1189" t="s">
        <v>78</v>
      </c>
      <c r="L1189" t="s">
        <v>136</v>
      </c>
      <c r="M1189" t="s">
        <v>137</v>
      </c>
      <c r="N1189" t="s">
        <v>992</v>
      </c>
      <c r="O1189" t="s">
        <v>300</v>
      </c>
      <c r="P1189" t="str">
        <f>"4170038147                    "</f>
        <v xml:space="preserve">4170038147                    </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0</v>
      </c>
      <c r="AL1189">
        <v>0</v>
      </c>
      <c r="AM1189">
        <v>0</v>
      </c>
      <c r="AN1189">
        <v>0</v>
      </c>
      <c r="AO1189">
        <v>0</v>
      </c>
      <c r="AP1189">
        <v>0</v>
      </c>
      <c r="AQ1189">
        <v>75.5</v>
      </c>
      <c r="AR1189">
        <v>0</v>
      </c>
      <c r="AS1189">
        <v>0</v>
      </c>
      <c r="AT1189">
        <v>0</v>
      </c>
      <c r="AU1189">
        <v>0</v>
      </c>
      <c r="AV1189">
        <v>0</v>
      </c>
      <c r="AW1189">
        <v>0</v>
      </c>
      <c r="AX1189">
        <v>0</v>
      </c>
      <c r="AY1189">
        <v>0</v>
      </c>
      <c r="AZ1189">
        <v>0</v>
      </c>
      <c r="BA1189">
        <v>0</v>
      </c>
      <c r="BB1189">
        <v>0</v>
      </c>
      <c r="BC1189">
        <v>0</v>
      </c>
      <c r="BD1189">
        <v>0</v>
      </c>
      <c r="BE1189">
        <v>0</v>
      </c>
      <c r="BF1189">
        <v>0</v>
      </c>
      <c r="BG1189">
        <v>0</v>
      </c>
      <c r="BH1189">
        <v>1</v>
      </c>
      <c r="BI1189">
        <v>35</v>
      </c>
      <c r="BJ1189">
        <v>18.2</v>
      </c>
      <c r="BK1189">
        <v>35</v>
      </c>
      <c r="BL1189">
        <v>252.65</v>
      </c>
      <c r="BM1189">
        <v>37.9</v>
      </c>
      <c r="BN1189">
        <v>290.55</v>
      </c>
      <c r="BO1189">
        <v>290.55</v>
      </c>
      <c r="BQ1189" t="s">
        <v>993</v>
      </c>
      <c r="BR1189" t="s">
        <v>84</v>
      </c>
      <c r="BS1189" s="3">
        <v>45791</v>
      </c>
      <c r="BT1189" s="4">
        <v>0.57222222222222219</v>
      </c>
      <c r="BU1189" t="s">
        <v>1895</v>
      </c>
      <c r="BV1189" t="s">
        <v>86</v>
      </c>
      <c r="BY1189">
        <v>91200</v>
      </c>
      <c r="CA1189" t="s">
        <v>141</v>
      </c>
      <c r="CC1189" t="s">
        <v>137</v>
      </c>
      <c r="CD1189" s="5" t="s">
        <v>142</v>
      </c>
      <c r="CE1189" t="s">
        <v>1434</v>
      </c>
      <c r="CF1189" s="3">
        <v>45791</v>
      </c>
      <c r="CI1189">
        <v>1</v>
      </c>
      <c r="CJ1189">
        <v>1</v>
      </c>
      <c r="CK1189">
        <v>41</v>
      </c>
      <c r="CL1189" t="s">
        <v>89</v>
      </c>
    </row>
    <row r="1190" spans="1:90" x14ac:dyDescent="0.3">
      <c r="A1190" t="s">
        <v>72</v>
      </c>
      <c r="B1190" t="s">
        <v>73</v>
      </c>
      <c r="C1190" t="s">
        <v>74</v>
      </c>
      <c r="E1190" t="str">
        <f>"080011513202"</f>
        <v>080011513202</v>
      </c>
      <c r="F1190" s="3">
        <v>45790</v>
      </c>
      <c r="G1190">
        <v>202602</v>
      </c>
      <c r="H1190" t="s">
        <v>360</v>
      </c>
      <c r="I1190" t="s">
        <v>361</v>
      </c>
      <c r="J1190" t="s">
        <v>1896</v>
      </c>
      <c r="K1190" t="s">
        <v>78</v>
      </c>
      <c r="L1190" t="s">
        <v>75</v>
      </c>
      <c r="M1190" t="s">
        <v>76</v>
      </c>
      <c r="N1190" t="s">
        <v>1035</v>
      </c>
      <c r="O1190" t="s">
        <v>300</v>
      </c>
      <c r="P1190" t="str">
        <f>"ZA1001381855                  "</f>
        <v xml:space="preserve">ZA1001381855                  </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549.82000000000005</v>
      </c>
      <c r="AR1190">
        <v>0</v>
      </c>
      <c r="AS1190">
        <v>0</v>
      </c>
      <c r="AT1190">
        <v>0</v>
      </c>
      <c r="AU1190">
        <v>0</v>
      </c>
      <c r="AV1190">
        <v>0</v>
      </c>
      <c r="AW1190">
        <v>0</v>
      </c>
      <c r="AX1190">
        <v>0</v>
      </c>
      <c r="AY1190">
        <v>0</v>
      </c>
      <c r="AZ1190">
        <v>0</v>
      </c>
      <c r="BA1190">
        <v>0</v>
      </c>
      <c r="BB1190">
        <v>0</v>
      </c>
      <c r="BC1190">
        <v>0</v>
      </c>
      <c r="BD1190">
        <v>0</v>
      </c>
      <c r="BE1190">
        <v>0</v>
      </c>
      <c r="BF1190">
        <v>0</v>
      </c>
      <c r="BG1190">
        <v>0</v>
      </c>
      <c r="BH1190">
        <v>1</v>
      </c>
      <c r="BI1190">
        <v>112</v>
      </c>
      <c r="BJ1190">
        <v>179.7</v>
      </c>
      <c r="BK1190">
        <v>180</v>
      </c>
      <c r="BL1190">
        <v>1804.99</v>
      </c>
      <c r="BM1190">
        <v>270.75</v>
      </c>
      <c r="BN1190">
        <v>2075.7399999999998</v>
      </c>
      <c r="BO1190">
        <v>2075.7399999999998</v>
      </c>
      <c r="BP1190" t="s">
        <v>1897</v>
      </c>
      <c r="BQ1190" t="s">
        <v>1037</v>
      </c>
      <c r="BR1190" t="s">
        <v>1898</v>
      </c>
      <c r="BS1190" s="3">
        <v>45793</v>
      </c>
      <c r="BT1190" s="4">
        <v>0.63541666666666663</v>
      </c>
      <c r="BU1190" t="s">
        <v>1899</v>
      </c>
      <c r="BV1190" t="s">
        <v>86</v>
      </c>
      <c r="BY1190">
        <v>898560</v>
      </c>
      <c r="BZ1190" t="s">
        <v>303</v>
      </c>
      <c r="CA1190" t="s">
        <v>1900</v>
      </c>
      <c r="CC1190" t="s">
        <v>76</v>
      </c>
      <c r="CD1190">
        <v>1619</v>
      </c>
      <c r="CE1190" t="s">
        <v>1901</v>
      </c>
      <c r="CF1190" s="3">
        <v>45793</v>
      </c>
      <c r="CI1190">
        <v>3</v>
      </c>
      <c r="CJ1190">
        <v>3</v>
      </c>
      <c r="CK1190">
        <v>43</v>
      </c>
      <c r="CL1190" t="s">
        <v>89</v>
      </c>
    </row>
    <row r="1191" spans="1:90" x14ac:dyDescent="0.3">
      <c r="A1191" t="s">
        <v>72</v>
      </c>
      <c r="B1191" t="s">
        <v>73</v>
      </c>
      <c r="C1191" t="s">
        <v>74</v>
      </c>
      <c r="E1191" t="str">
        <f>"080011513228"</f>
        <v>080011513228</v>
      </c>
      <c r="F1191" s="3">
        <v>45790</v>
      </c>
      <c r="G1191">
        <v>202602</v>
      </c>
      <c r="H1191" t="s">
        <v>151</v>
      </c>
      <c r="I1191" t="s">
        <v>152</v>
      </c>
      <c r="J1191" t="s">
        <v>1902</v>
      </c>
      <c r="K1191" t="s">
        <v>78</v>
      </c>
      <c r="L1191" t="s">
        <v>75</v>
      </c>
      <c r="M1191" t="s">
        <v>76</v>
      </c>
      <c r="N1191" t="s">
        <v>1035</v>
      </c>
      <c r="O1191" t="s">
        <v>82</v>
      </c>
      <c r="P1191" t="str">
        <f>"ZA1001372361                  "</f>
        <v xml:space="preserve">ZA1001372361                  </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60.14</v>
      </c>
      <c r="AR1191">
        <v>0</v>
      </c>
      <c r="AS1191">
        <v>0</v>
      </c>
      <c r="AT1191">
        <v>0</v>
      </c>
      <c r="AU1191">
        <v>0</v>
      </c>
      <c r="AV1191">
        <v>0</v>
      </c>
      <c r="AW1191">
        <v>0</v>
      </c>
      <c r="AX1191">
        <v>0</v>
      </c>
      <c r="AY1191">
        <v>0</v>
      </c>
      <c r="AZ1191">
        <v>0</v>
      </c>
      <c r="BA1191">
        <v>0</v>
      </c>
      <c r="BB1191">
        <v>0</v>
      </c>
      <c r="BC1191">
        <v>0</v>
      </c>
      <c r="BD1191">
        <v>0</v>
      </c>
      <c r="BE1191">
        <v>0</v>
      </c>
      <c r="BF1191">
        <v>0</v>
      </c>
      <c r="BG1191">
        <v>0</v>
      </c>
      <c r="BH1191">
        <v>1</v>
      </c>
      <c r="BI1191">
        <v>3</v>
      </c>
      <c r="BJ1191">
        <v>2.4</v>
      </c>
      <c r="BK1191">
        <v>3</v>
      </c>
      <c r="BL1191">
        <v>196.82</v>
      </c>
      <c r="BM1191">
        <v>29.52</v>
      </c>
      <c r="BN1191">
        <v>226.34</v>
      </c>
      <c r="BO1191">
        <v>226.34</v>
      </c>
      <c r="BP1191" t="s">
        <v>1540</v>
      </c>
      <c r="BQ1191" t="s">
        <v>1037</v>
      </c>
      <c r="BR1191" t="s">
        <v>1903</v>
      </c>
      <c r="BS1191" s="3">
        <v>45791</v>
      </c>
      <c r="BT1191" s="4">
        <v>0.33611111111111114</v>
      </c>
      <c r="BU1191" t="s">
        <v>1039</v>
      </c>
      <c r="BV1191" t="s">
        <v>86</v>
      </c>
      <c r="BY1191">
        <v>12000</v>
      </c>
      <c r="BZ1191" t="s">
        <v>127</v>
      </c>
      <c r="CA1191" t="s">
        <v>484</v>
      </c>
      <c r="CC1191" t="s">
        <v>76</v>
      </c>
      <c r="CD1191">
        <v>1619</v>
      </c>
      <c r="CE1191" t="s">
        <v>1904</v>
      </c>
      <c r="CF1191" s="3">
        <v>45791</v>
      </c>
      <c r="CI1191">
        <v>1</v>
      </c>
      <c r="CJ1191">
        <v>1</v>
      </c>
      <c r="CK1191">
        <v>23</v>
      </c>
      <c r="CL1191" t="s">
        <v>89</v>
      </c>
    </row>
    <row r="1192" spans="1:90" x14ac:dyDescent="0.3">
      <c r="A1192" t="s">
        <v>72</v>
      </c>
      <c r="B1192" t="s">
        <v>73</v>
      </c>
      <c r="C1192" t="s">
        <v>74</v>
      </c>
      <c r="E1192" t="str">
        <f>"080065349444"</f>
        <v>080065349444</v>
      </c>
      <c r="F1192" s="3">
        <v>45790</v>
      </c>
      <c r="G1192">
        <v>202602</v>
      </c>
      <c r="H1192" t="s">
        <v>75</v>
      </c>
      <c r="I1192" t="s">
        <v>76</v>
      </c>
      <c r="J1192" t="s">
        <v>77</v>
      </c>
      <c r="K1192" t="s">
        <v>78</v>
      </c>
      <c r="L1192" t="s">
        <v>1132</v>
      </c>
      <c r="M1192" t="s">
        <v>1133</v>
      </c>
      <c r="N1192" t="s">
        <v>1134</v>
      </c>
      <c r="O1192" t="s">
        <v>82</v>
      </c>
      <c r="P1192" t="str">
        <f>"4170038072                    "</f>
        <v xml:space="preserve">4170038072                    </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P1192">
        <v>0</v>
      </c>
      <c r="AQ1192">
        <v>41.43</v>
      </c>
      <c r="AR1192">
        <v>0</v>
      </c>
      <c r="AS1192">
        <v>0</v>
      </c>
      <c r="AT1192">
        <v>0</v>
      </c>
      <c r="AU1192">
        <v>0</v>
      </c>
      <c r="AV1192">
        <v>0</v>
      </c>
      <c r="AW1192">
        <v>0</v>
      </c>
      <c r="AX1192">
        <v>0</v>
      </c>
      <c r="AY1192">
        <v>0</v>
      </c>
      <c r="AZ1192">
        <v>0</v>
      </c>
      <c r="BA1192">
        <v>0</v>
      </c>
      <c r="BB1192">
        <v>0</v>
      </c>
      <c r="BC1192">
        <v>0</v>
      </c>
      <c r="BD1192">
        <v>0</v>
      </c>
      <c r="BE1192">
        <v>0</v>
      </c>
      <c r="BF1192">
        <v>0</v>
      </c>
      <c r="BG1192">
        <v>0</v>
      </c>
      <c r="BH1192">
        <v>1</v>
      </c>
      <c r="BI1192">
        <v>1</v>
      </c>
      <c r="BJ1192">
        <v>0.2</v>
      </c>
      <c r="BK1192">
        <v>1</v>
      </c>
      <c r="BL1192">
        <v>135.59</v>
      </c>
      <c r="BM1192">
        <v>20.34</v>
      </c>
      <c r="BN1192">
        <v>155.93</v>
      </c>
      <c r="BO1192">
        <v>155.93</v>
      </c>
      <c r="BQ1192" t="s">
        <v>1135</v>
      </c>
      <c r="BR1192" t="s">
        <v>84</v>
      </c>
      <c r="BS1192" s="3">
        <v>45791</v>
      </c>
      <c r="BT1192" s="4">
        <v>0.57013888888888886</v>
      </c>
      <c r="BU1192" t="s">
        <v>1136</v>
      </c>
      <c r="BV1192" t="s">
        <v>89</v>
      </c>
      <c r="BW1192" t="s">
        <v>1905</v>
      </c>
      <c r="BX1192" t="s">
        <v>1906</v>
      </c>
      <c r="BY1192">
        <v>1200</v>
      </c>
      <c r="CA1192" t="s">
        <v>1137</v>
      </c>
      <c r="CC1192" t="s">
        <v>1133</v>
      </c>
      <c r="CD1192" s="5" t="s">
        <v>1138</v>
      </c>
      <c r="CE1192" t="s">
        <v>88</v>
      </c>
      <c r="CF1192" s="3">
        <v>45792</v>
      </c>
      <c r="CI1192">
        <v>1</v>
      </c>
      <c r="CJ1192">
        <v>1</v>
      </c>
      <c r="CK1192">
        <v>23</v>
      </c>
      <c r="CL1192" t="s">
        <v>89</v>
      </c>
    </row>
    <row r="1193" spans="1:90" x14ac:dyDescent="0.3">
      <c r="A1193" t="s">
        <v>72</v>
      </c>
      <c r="B1193" t="s">
        <v>73</v>
      </c>
      <c r="C1193" t="s">
        <v>74</v>
      </c>
      <c r="E1193" t="str">
        <f>"080065349450"</f>
        <v>080065349450</v>
      </c>
      <c r="F1193" s="3">
        <v>45790</v>
      </c>
      <c r="G1193">
        <v>202602</v>
      </c>
      <c r="H1193" t="s">
        <v>75</v>
      </c>
      <c r="I1193" t="s">
        <v>76</v>
      </c>
      <c r="J1193" t="s">
        <v>77</v>
      </c>
      <c r="K1193" t="s">
        <v>78</v>
      </c>
      <c r="L1193" t="s">
        <v>350</v>
      </c>
      <c r="M1193" t="s">
        <v>351</v>
      </c>
      <c r="N1193" t="s">
        <v>404</v>
      </c>
      <c r="O1193" t="s">
        <v>82</v>
      </c>
      <c r="P1193" t="str">
        <f>"4170038108                    "</f>
        <v xml:space="preserve">4170038108                    </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v>0</v>
      </c>
      <c r="AM1193">
        <v>0</v>
      </c>
      <c r="AN1193">
        <v>0</v>
      </c>
      <c r="AO1193">
        <v>0</v>
      </c>
      <c r="AP1193">
        <v>0</v>
      </c>
      <c r="AQ1193">
        <v>53.43</v>
      </c>
      <c r="AR1193">
        <v>0</v>
      </c>
      <c r="AS1193">
        <v>0</v>
      </c>
      <c r="AT1193">
        <v>0</v>
      </c>
      <c r="AU1193">
        <v>0</v>
      </c>
      <c r="AV1193">
        <v>0</v>
      </c>
      <c r="AW1193">
        <v>0</v>
      </c>
      <c r="AX1193">
        <v>0</v>
      </c>
      <c r="AY1193">
        <v>0</v>
      </c>
      <c r="AZ1193">
        <v>0</v>
      </c>
      <c r="BA1193">
        <v>0</v>
      </c>
      <c r="BB1193">
        <v>0</v>
      </c>
      <c r="BC1193">
        <v>0</v>
      </c>
      <c r="BD1193">
        <v>0</v>
      </c>
      <c r="BE1193">
        <v>0</v>
      </c>
      <c r="BF1193">
        <v>0</v>
      </c>
      <c r="BG1193">
        <v>0</v>
      </c>
      <c r="BH1193">
        <v>1</v>
      </c>
      <c r="BI1193">
        <v>5</v>
      </c>
      <c r="BJ1193">
        <v>1.8</v>
      </c>
      <c r="BK1193">
        <v>5</v>
      </c>
      <c r="BL1193">
        <v>174.87</v>
      </c>
      <c r="BM1193">
        <v>26.23</v>
      </c>
      <c r="BN1193">
        <v>201.1</v>
      </c>
      <c r="BO1193">
        <v>201.1</v>
      </c>
      <c r="BQ1193" t="s">
        <v>405</v>
      </c>
      <c r="BR1193" t="s">
        <v>84</v>
      </c>
      <c r="BS1193" s="3">
        <v>45791</v>
      </c>
      <c r="BT1193" s="4">
        <v>0.42430555555555555</v>
      </c>
      <c r="BU1193" t="s">
        <v>1588</v>
      </c>
      <c r="BV1193" t="s">
        <v>86</v>
      </c>
      <c r="BY1193">
        <v>8960</v>
      </c>
      <c r="CA1193" t="s">
        <v>326</v>
      </c>
      <c r="CC1193" t="s">
        <v>351</v>
      </c>
      <c r="CD1193">
        <v>4052</v>
      </c>
      <c r="CE1193" t="s">
        <v>221</v>
      </c>
      <c r="CF1193" s="3">
        <v>45792</v>
      </c>
      <c r="CI1193">
        <v>1</v>
      </c>
      <c r="CJ1193">
        <v>1</v>
      </c>
      <c r="CK1193">
        <v>21</v>
      </c>
      <c r="CL1193" t="s">
        <v>89</v>
      </c>
    </row>
    <row r="1194" spans="1:90" x14ac:dyDescent="0.3">
      <c r="A1194" t="s">
        <v>72</v>
      </c>
      <c r="B1194" t="s">
        <v>73</v>
      </c>
      <c r="C1194" t="s">
        <v>74</v>
      </c>
      <c r="E1194" t="str">
        <f>"080065349475"</f>
        <v>080065349475</v>
      </c>
      <c r="F1194" s="3">
        <v>45790</v>
      </c>
      <c r="G1194">
        <v>202602</v>
      </c>
      <c r="H1194" t="s">
        <v>75</v>
      </c>
      <c r="I1194" t="s">
        <v>76</v>
      </c>
      <c r="J1194" t="s">
        <v>77</v>
      </c>
      <c r="K1194" t="s">
        <v>78</v>
      </c>
      <c r="L1194" t="s">
        <v>567</v>
      </c>
      <c r="M1194" t="s">
        <v>568</v>
      </c>
      <c r="N1194" t="s">
        <v>1907</v>
      </c>
      <c r="O1194" t="s">
        <v>82</v>
      </c>
      <c r="P1194" t="str">
        <f>"4170038173                    "</f>
        <v xml:space="preserve">4170038173                    </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v>0</v>
      </c>
      <c r="AM1194">
        <v>0</v>
      </c>
      <c r="AN1194">
        <v>0</v>
      </c>
      <c r="AO1194">
        <v>0</v>
      </c>
      <c r="AP1194">
        <v>0</v>
      </c>
      <c r="AQ1194">
        <v>41.43</v>
      </c>
      <c r="AR1194">
        <v>0</v>
      </c>
      <c r="AS1194">
        <v>0</v>
      </c>
      <c r="AT1194">
        <v>0</v>
      </c>
      <c r="AU1194">
        <v>0</v>
      </c>
      <c r="AV1194">
        <v>0</v>
      </c>
      <c r="AW1194">
        <v>0</v>
      </c>
      <c r="AX1194">
        <v>0</v>
      </c>
      <c r="AY1194">
        <v>0</v>
      </c>
      <c r="AZ1194">
        <v>0</v>
      </c>
      <c r="BA1194">
        <v>0</v>
      </c>
      <c r="BB1194">
        <v>0</v>
      </c>
      <c r="BC1194">
        <v>0</v>
      </c>
      <c r="BD1194">
        <v>0</v>
      </c>
      <c r="BE1194">
        <v>0</v>
      </c>
      <c r="BF1194">
        <v>0</v>
      </c>
      <c r="BG1194">
        <v>0</v>
      </c>
      <c r="BH1194">
        <v>1</v>
      </c>
      <c r="BI1194">
        <v>1</v>
      </c>
      <c r="BJ1194">
        <v>0.2</v>
      </c>
      <c r="BK1194">
        <v>1</v>
      </c>
      <c r="BL1194">
        <v>135.59</v>
      </c>
      <c r="BM1194">
        <v>20.34</v>
      </c>
      <c r="BN1194">
        <v>155.93</v>
      </c>
      <c r="BO1194">
        <v>155.93</v>
      </c>
      <c r="BQ1194" t="s">
        <v>1908</v>
      </c>
      <c r="BR1194" t="s">
        <v>84</v>
      </c>
      <c r="BS1194" s="3">
        <v>45791</v>
      </c>
      <c r="BT1194" s="4">
        <v>0.41805555555555557</v>
      </c>
      <c r="BU1194" t="s">
        <v>1245</v>
      </c>
      <c r="BV1194" t="s">
        <v>86</v>
      </c>
      <c r="BY1194">
        <v>1200</v>
      </c>
      <c r="CC1194" t="s">
        <v>568</v>
      </c>
      <c r="CD1194" s="5" t="s">
        <v>573</v>
      </c>
      <c r="CE1194" t="s">
        <v>88</v>
      </c>
      <c r="CF1194" s="3">
        <v>45792</v>
      </c>
      <c r="CI1194">
        <v>1</v>
      </c>
      <c r="CJ1194">
        <v>1</v>
      </c>
      <c r="CK1194">
        <v>23</v>
      </c>
      <c r="CL1194" t="s">
        <v>89</v>
      </c>
    </row>
    <row r="1195" spans="1:90" x14ac:dyDescent="0.3">
      <c r="A1195" t="s">
        <v>72</v>
      </c>
      <c r="B1195" t="s">
        <v>73</v>
      </c>
      <c r="C1195" t="s">
        <v>74</v>
      </c>
      <c r="E1195" t="str">
        <f>"080065349484"</f>
        <v>080065349484</v>
      </c>
      <c r="F1195" s="3">
        <v>45790</v>
      </c>
      <c r="G1195">
        <v>202602</v>
      </c>
      <c r="H1195" t="s">
        <v>75</v>
      </c>
      <c r="I1195" t="s">
        <v>76</v>
      </c>
      <c r="J1195" t="s">
        <v>77</v>
      </c>
      <c r="K1195" t="s">
        <v>78</v>
      </c>
      <c r="L1195" t="s">
        <v>374</v>
      </c>
      <c r="M1195" t="s">
        <v>375</v>
      </c>
      <c r="N1195" t="s">
        <v>376</v>
      </c>
      <c r="O1195" t="s">
        <v>82</v>
      </c>
      <c r="P1195" t="str">
        <f>"4170038077                    "</f>
        <v xml:space="preserve">4170038077                    </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41.43</v>
      </c>
      <c r="AR1195">
        <v>0</v>
      </c>
      <c r="AS1195">
        <v>0</v>
      </c>
      <c r="AT1195">
        <v>0</v>
      </c>
      <c r="AU1195">
        <v>0</v>
      </c>
      <c r="AV1195">
        <v>0</v>
      </c>
      <c r="AW1195">
        <v>0</v>
      </c>
      <c r="AX1195">
        <v>0</v>
      </c>
      <c r="AY1195">
        <v>0</v>
      </c>
      <c r="AZ1195">
        <v>0</v>
      </c>
      <c r="BA1195">
        <v>0</v>
      </c>
      <c r="BB1195">
        <v>0</v>
      </c>
      <c r="BC1195">
        <v>0</v>
      </c>
      <c r="BD1195">
        <v>0</v>
      </c>
      <c r="BE1195">
        <v>0</v>
      </c>
      <c r="BF1195">
        <v>0</v>
      </c>
      <c r="BG1195">
        <v>0</v>
      </c>
      <c r="BH1195">
        <v>1</v>
      </c>
      <c r="BI1195">
        <v>2</v>
      </c>
      <c r="BJ1195">
        <v>1.1000000000000001</v>
      </c>
      <c r="BK1195">
        <v>2</v>
      </c>
      <c r="BL1195">
        <v>135.59</v>
      </c>
      <c r="BM1195">
        <v>20.34</v>
      </c>
      <c r="BN1195">
        <v>155.93</v>
      </c>
      <c r="BO1195">
        <v>155.93</v>
      </c>
      <c r="BQ1195" t="s">
        <v>377</v>
      </c>
      <c r="BR1195" t="s">
        <v>84</v>
      </c>
      <c r="BS1195" s="3">
        <v>45791</v>
      </c>
      <c r="BT1195" s="4">
        <v>0.38750000000000001</v>
      </c>
      <c r="BU1195" t="s">
        <v>1909</v>
      </c>
      <c r="BV1195" t="s">
        <v>86</v>
      </c>
      <c r="BY1195">
        <v>5320</v>
      </c>
      <c r="CA1195" t="s">
        <v>379</v>
      </c>
      <c r="CC1195" t="s">
        <v>375</v>
      </c>
      <c r="CD1195">
        <v>7130</v>
      </c>
      <c r="CE1195" t="s">
        <v>116</v>
      </c>
      <c r="CF1195" s="3">
        <v>45792</v>
      </c>
      <c r="CI1195">
        <v>1</v>
      </c>
      <c r="CJ1195">
        <v>1</v>
      </c>
      <c r="CK1195">
        <v>23</v>
      </c>
      <c r="CL1195" t="s">
        <v>89</v>
      </c>
    </row>
    <row r="1196" spans="1:90" x14ac:dyDescent="0.3">
      <c r="A1196" t="s">
        <v>72</v>
      </c>
      <c r="B1196" t="s">
        <v>73</v>
      </c>
      <c r="C1196" t="s">
        <v>74</v>
      </c>
      <c r="E1196" t="str">
        <f>"080065349490"</f>
        <v>080065349490</v>
      </c>
      <c r="F1196" s="3">
        <v>45790</v>
      </c>
      <c r="G1196">
        <v>202602</v>
      </c>
      <c r="H1196" t="s">
        <v>75</v>
      </c>
      <c r="I1196" t="s">
        <v>76</v>
      </c>
      <c r="J1196" t="s">
        <v>77</v>
      </c>
      <c r="K1196" t="s">
        <v>78</v>
      </c>
      <c r="L1196" t="s">
        <v>90</v>
      </c>
      <c r="M1196" t="s">
        <v>91</v>
      </c>
      <c r="N1196" t="s">
        <v>371</v>
      </c>
      <c r="O1196" t="s">
        <v>82</v>
      </c>
      <c r="P1196" t="str">
        <f>"4170038154                    "</f>
        <v xml:space="preserve">4170038154                    </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21.38</v>
      </c>
      <c r="AR1196">
        <v>0</v>
      </c>
      <c r="AS1196">
        <v>0</v>
      </c>
      <c r="AT1196">
        <v>0</v>
      </c>
      <c r="AU1196">
        <v>0</v>
      </c>
      <c r="AV1196">
        <v>0</v>
      </c>
      <c r="AW1196">
        <v>0</v>
      </c>
      <c r="AX1196">
        <v>0</v>
      </c>
      <c r="AY1196">
        <v>0</v>
      </c>
      <c r="AZ1196">
        <v>0</v>
      </c>
      <c r="BA1196">
        <v>0</v>
      </c>
      <c r="BB1196">
        <v>0</v>
      </c>
      <c r="BC1196">
        <v>0</v>
      </c>
      <c r="BD1196">
        <v>0</v>
      </c>
      <c r="BE1196">
        <v>0</v>
      </c>
      <c r="BF1196">
        <v>0</v>
      </c>
      <c r="BG1196">
        <v>0</v>
      </c>
      <c r="BH1196">
        <v>1</v>
      </c>
      <c r="BI1196">
        <v>1</v>
      </c>
      <c r="BJ1196">
        <v>0.2</v>
      </c>
      <c r="BK1196">
        <v>1</v>
      </c>
      <c r="BL1196">
        <v>69.98</v>
      </c>
      <c r="BM1196">
        <v>10.5</v>
      </c>
      <c r="BN1196">
        <v>80.48</v>
      </c>
      <c r="BO1196">
        <v>80.48</v>
      </c>
      <c r="BQ1196" t="s">
        <v>372</v>
      </c>
      <c r="BR1196" t="s">
        <v>84</v>
      </c>
      <c r="BS1196" s="3">
        <v>45791</v>
      </c>
      <c r="BT1196" s="4">
        <v>0.42152777777777778</v>
      </c>
      <c r="BU1196" t="s">
        <v>373</v>
      </c>
      <c r="BV1196" t="s">
        <v>86</v>
      </c>
      <c r="BY1196">
        <v>1200</v>
      </c>
      <c r="CA1196" t="s">
        <v>298</v>
      </c>
      <c r="CC1196" t="s">
        <v>91</v>
      </c>
      <c r="CD1196">
        <v>6001</v>
      </c>
      <c r="CE1196" t="s">
        <v>88</v>
      </c>
      <c r="CF1196" s="3">
        <v>45791</v>
      </c>
      <c r="CI1196">
        <v>1</v>
      </c>
      <c r="CJ1196">
        <v>1</v>
      </c>
      <c r="CK1196">
        <v>21</v>
      </c>
      <c r="CL1196" t="s">
        <v>89</v>
      </c>
    </row>
    <row r="1197" spans="1:90" x14ac:dyDescent="0.3">
      <c r="A1197" t="s">
        <v>72</v>
      </c>
      <c r="B1197" t="s">
        <v>73</v>
      </c>
      <c r="C1197" t="s">
        <v>74</v>
      </c>
      <c r="E1197" t="str">
        <f>"080065349504"</f>
        <v>080065349504</v>
      </c>
      <c r="F1197" s="3">
        <v>45790</v>
      </c>
      <c r="G1197">
        <v>202602</v>
      </c>
      <c r="H1197" t="s">
        <v>75</v>
      </c>
      <c r="I1197" t="s">
        <v>76</v>
      </c>
      <c r="J1197" t="s">
        <v>77</v>
      </c>
      <c r="K1197" t="s">
        <v>78</v>
      </c>
      <c r="L1197" t="s">
        <v>502</v>
      </c>
      <c r="M1197" t="s">
        <v>503</v>
      </c>
      <c r="N1197" t="s">
        <v>1910</v>
      </c>
      <c r="O1197" t="s">
        <v>82</v>
      </c>
      <c r="P1197" t="str">
        <f>"4170038099                    "</f>
        <v xml:space="preserve">4170038099                    </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0</v>
      </c>
      <c r="AP1197">
        <v>0</v>
      </c>
      <c r="AQ1197">
        <v>78.849999999999994</v>
      </c>
      <c r="AR1197">
        <v>0</v>
      </c>
      <c r="AS1197">
        <v>0</v>
      </c>
      <c r="AT1197">
        <v>0</v>
      </c>
      <c r="AU1197">
        <v>0</v>
      </c>
      <c r="AV1197">
        <v>0</v>
      </c>
      <c r="AW1197">
        <v>0</v>
      </c>
      <c r="AX1197">
        <v>0</v>
      </c>
      <c r="AY1197">
        <v>0</v>
      </c>
      <c r="AZ1197">
        <v>0</v>
      </c>
      <c r="BA1197">
        <v>0</v>
      </c>
      <c r="BB1197">
        <v>0</v>
      </c>
      <c r="BC1197">
        <v>0</v>
      </c>
      <c r="BD1197">
        <v>0</v>
      </c>
      <c r="BE1197">
        <v>0</v>
      </c>
      <c r="BF1197">
        <v>0</v>
      </c>
      <c r="BG1197">
        <v>0</v>
      </c>
      <c r="BH1197">
        <v>1</v>
      </c>
      <c r="BI1197">
        <v>4</v>
      </c>
      <c r="BJ1197">
        <v>1.1000000000000001</v>
      </c>
      <c r="BK1197">
        <v>4</v>
      </c>
      <c r="BL1197">
        <v>258.05</v>
      </c>
      <c r="BM1197">
        <v>38.71</v>
      </c>
      <c r="BN1197">
        <v>296.76</v>
      </c>
      <c r="BO1197">
        <v>296.76</v>
      </c>
      <c r="BQ1197" t="s">
        <v>1911</v>
      </c>
      <c r="BR1197" t="s">
        <v>84</v>
      </c>
      <c r="BS1197" s="3">
        <v>45791</v>
      </c>
      <c r="BT1197" s="4">
        <v>0.4777777777777778</v>
      </c>
      <c r="BU1197" t="s">
        <v>1912</v>
      </c>
      <c r="BV1197" t="s">
        <v>86</v>
      </c>
      <c r="BY1197">
        <v>5320</v>
      </c>
      <c r="CA1197" t="s">
        <v>507</v>
      </c>
      <c r="CC1197" t="s">
        <v>503</v>
      </c>
      <c r="CD1197">
        <v>3370</v>
      </c>
      <c r="CE1197" t="s">
        <v>116</v>
      </c>
      <c r="CF1197" s="3">
        <v>45792</v>
      </c>
      <c r="CI1197">
        <v>2</v>
      </c>
      <c r="CJ1197">
        <v>1</v>
      </c>
      <c r="CK1197">
        <v>23</v>
      </c>
      <c r="CL1197" t="s">
        <v>89</v>
      </c>
    </row>
    <row r="1198" spans="1:90" x14ac:dyDescent="0.3">
      <c r="A1198" t="s">
        <v>72</v>
      </c>
      <c r="B1198" t="s">
        <v>73</v>
      </c>
      <c r="C1198" t="s">
        <v>74</v>
      </c>
      <c r="E1198" t="str">
        <f>"080065349508"</f>
        <v>080065349508</v>
      </c>
      <c r="F1198" s="3">
        <v>45790</v>
      </c>
      <c r="G1198">
        <v>202602</v>
      </c>
      <c r="H1198" t="s">
        <v>75</v>
      </c>
      <c r="I1198" t="s">
        <v>76</v>
      </c>
      <c r="J1198" t="s">
        <v>77</v>
      </c>
      <c r="K1198" t="s">
        <v>78</v>
      </c>
      <c r="L1198" t="s">
        <v>463</v>
      </c>
      <c r="M1198" t="s">
        <v>464</v>
      </c>
      <c r="N1198" t="s">
        <v>1529</v>
      </c>
      <c r="O1198" t="s">
        <v>82</v>
      </c>
      <c r="P1198" t="str">
        <f>"4170038183                    "</f>
        <v xml:space="preserve">4170038183                    </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0</v>
      </c>
      <c r="AK1198">
        <v>0</v>
      </c>
      <c r="AL1198">
        <v>0</v>
      </c>
      <c r="AM1198">
        <v>0</v>
      </c>
      <c r="AN1198">
        <v>0</v>
      </c>
      <c r="AO1198">
        <v>0</v>
      </c>
      <c r="AP1198">
        <v>0</v>
      </c>
      <c r="AQ1198">
        <v>21.38</v>
      </c>
      <c r="AR1198">
        <v>0</v>
      </c>
      <c r="AS1198">
        <v>0</v>
      </c>
      <c r="AT1198">
        <v>0</v>
      </c>
      <c r="AU1198">
        <v>0</v>
      </c>
      <c r="AV1198">
        <v>0</v>
      </c>
      <c r="AW1198">
        <v>0</v>
      </c>
      <c r="AX1198">
        <v>0</v>
      </c>
      <c r="AY1198">
        <v>0</v>
      </c>
      <c r="AZ1198">
        <v>0</v>
      </c>
      <c r="BA1198">
        <v>0</v>
      </c>
      <c r="BB1198">
        <v>0</v>
      </c>
      <c r="BC1198">
        <v>0</v>
      </c>
      <c r="BD1198">
        <v>0</v>
      </c>
      <c r="BE1198">
        <v>0</v>
      </c>
      <c r="BF1198">
        <v>0</v>
      </c>
      <c r="BG1198">
        <v>0</v>
      </c>
      <c r="BH1198">
        <v>1</v>
      </c>
      <c r="BI1198">
        <v>1</v>
      </c>
      <c r="BJ1198">
        <v>0.2</v>
      </c>
      <c r="BK1198">
        <v>1</v>
      </c>
      <c r="BL1198">
        <v>69.98</v>
      </c>
      <c r="BM1198">
        <v>10.5</v>
      </c>
      <c r="BN1198">
        <v>80.48</v>
      </c>
      <c r="BO1198">
        <v>80.48</v>
      </c>
      <c r="BQ1198" t="s">
        <v>1530</v>
      </c>
      <c r="BR1198" t="s">
        <v>84</v>
      </c>
      <c r="BS1198" s="3">
        <v>45791</v>
      </c>
      <c r="BT1198" s="4">
        <v>0.67291666666666672</v>
      </c>
      <c r="BU1198" t="s">
        <v>1913</v>
      </c>
      <c r="BV1198" t="s">
        <v>89</v>
      </c>
      <c r="BY1198">
        <v>1200</v>
      </c>
      <c r="CA1198" t="s">
        <v>468</v>
      </c>
      <c r="CC1198" t="s">
        <v>464</v>
      </c>
      <c r="CD1198">
        <v>5201</v>
      </c>
      <c r="CE1198" t="s">
        <v>88</v>
      </c>
      <c r="CF1198" s="3">
        <v>45792</v>
      </c>
      <c r="CI1198">
        <v>1</v>
      </c>
      <c r="CJ1198">
        <v>1</v>
      </c>
      <c r="CK1198">
        <v>21</v>
      </c>
      <c r="CL1198" t="s">
        <v>89</v>
      </c>
    </row>
    <row r="1199" spans="1:90" x14ac:dyDescent="0.3">
      <c r="A1199" t="s">
        <v>72</v>
      </c>
      <c r="B1199" t="s">
        <v>73</v>
      </c>
      <c r="C1199" t="s">
        <v>74</v>
      </c>
      <c r="E1199" t="str">
        <f>"080065349527"</f>
        <v>080065349527</v>
      </c>
      <c r="F1199" s="3">
        <v>45790</v>
      </c>
      <c r="G1199">
        <v>202602</v>
      </c>
      <c r="H1199" t="s">
        <v>75</v>
      </c>
      <c r="I1199" t="s">
        <v>76</v>
      </c>
      <c r="J1199" t="s">
        <v>77</v>
      </c>
      <c r="K1199" t="s">
        <v>78</v>
      </c>
      <c r="L1199" t="s">
        <v>463</v>
      </c>
      <c r="M1199" t="s">
        <v>464</v>
      </c>
      <c r="N1199" t="s">
        <v>744</v>
      </c>
      <c r="O1199" t="s">
        <v>82</v>
      </c>
      <c r="P1199" t="str">
        <f>"4170038151                    "</f>
        <v xml:space="preserve">4170038151                    </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21.38</v>
      </c>
      <c r="AR1199">
        <v>0</v>
      </c>
      <c r="AS1199">
        <v>0</v>
      </c>
      <c r="AT1199">
        <v>0</v>
      </c>
      <c r="AU1199">
        <v>0</v>
      </c>
      <c r="AV1199">
        <v>0</v>
      </c>
      <c r="AW1199">
        <v>0</v>
      </c>
      <c r="AX1199">
        <v>0</v>
      </c>
      <c r="AY1199">
        <v>0</v>
      </c>
      <c r="AZ1199">
        <v>0</v>
      </c>
      <c r="BA1199">
        <v>0</v>
      </c>
      <c r="BB1199">
        <v>0</v>
      </c>
      <c r="BC1199">
        <v>0</v>
      </c>
      <c r="BD1199">
        <v>0</v>
      </c>
      <c r="BE1199">
        <v>0</v>
      </c>
      <c r="BF1199">
        <v>0</v>
      </c>
      <c r="BG1199">
        <v>0</v>
      </c>
      <c r="BH1199">
        <v>1</v>
      </c>
      <c r="BI1199">
        <v>1</v>
      </c>
      <c r="BJ1199">
        <v>0.2</v>
      </c>
      <c r="BK1199">
        <v>1</v>
      </c>
      <c r="BL1199">
        <v>69.98</v>
      </c>
      <c r="BM1199">
        <v>10.5</v>
      </c>
      <c r="BN1199">
        <v>80.48</v>
      </c>
      <c r="BO1199">
        <v>80.48</v>
      </c>
      <c r="BQ1199" t="s">
        <v>745</v>
      </c>
      <c r="BR1199" t="s">
        <v>84</v>
      </c>
      <c r="BS1199" s="3">
        <v>45791</v>
      </c>
      <c r="BT1199" s="4">
        <v>0.47847222222222224</v>
      </c>
      <c r="BU1199" t="s">
        <v>1775</v>
      </c>
      <c r="BV1199" t="s">
        <v>89</v>
      </c>
      <c r="BY1199">
        <v>1200</v>
      </c>
      <c r="CA1199" t="s">
        <v>1509</v>
      </c>
      <c r="CC1199" t="s">
        <v>464</v>
      </c>
      <c r="CD1199">
        <v>5201</v>
      </c>
      <c r="CE1199" t="s">
        <v>88</v>
      </c>
      <c r="CF1199" s="3">
        <v>45792</v>
      </c>
      <c r="CI1199">
        <v>1</v>
      </c>
      <c r="CJ1199">
        <v>1</v>
      </c>
      <c r="CK1199">
        <v>21</v>
      </c>
      <c r="CL1199" t="s">
        <v>89</v>
      </c>
    </row>
    <row r="1200" spans="1:90" x14ac:dyDescent="0.3">
      <c r="A1200" t="s">
        <v>72</v>
      </c>
      <c r="B1200" t="s">
        <v>73</v>
      </c>
      <c r="C1200" t="s">
        <v>74</v>
      </c>
      <c r="E1200" t="str">
        <f>"080065349540"</f>
        <v>080065349540</v>
      </c>
      <c r="F1200" s="3">
        <v>45790</v>
      </c>
      <c r="G1200">
        <v>202602</v>
      </c>
      <c r="H1200" t="s">
        <v>75</v>
      </c>
      <c r="I1200" t="s">
        <v>76</v>
      </c>
      <c r="J1200" t="s">
        <v>77</v>
      </c>
      <c r="K1200" t="s">
        <v>78</v>
      </c>
      <c r="L1200" t="s">
        <v>350</v>
      </c>
      <c r="M1200" t="s">
        <v>351</v>
      </c>
      <c r="N1200" t="s">
        <v>404</v>
      </c>
      <c r="O1200" t="s">
        <v>82</v>
      </c>
      <c r="P1200" t="str">
        <f>"4170038200                    "</f>
        <v xml:space="preserve">4170038200                    </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0</v>
      </c>
      <c r="AK1200">
        <v>0</v>
      </c>
      <c r="AL1200">
        <v>0</v>
      </c>
      <c r="AM1200">
        <v>0</v>
      </c>
      <c r="AN1200">
        <v>0</v>
      </c>
      <c r="AO1200">
        <v>0</v>
      </c>
      <c r="AP1200">
        <v>0</v>
      </c>
      <c r="AQ1200">
        <v>21.38</v>
      </c>
      <c r="AR1200">
        <v>0</v>
      </c>
      <c r="AS1200">
        <v>0</v>
      </c>
      <c r="AT1200">
        <v>0</v>
      </c>
      <c r="AU1200">
        <v>0</v>
      </c>
      <c r="AV1200">
        <v>0</v>
      </c>
      <c r="AW1200">
        <v>0</v>
      </c>
      <c r="AX1200">
        <v>0</v>
      </c>
      <c r="AY1200">
        <v>0</v>
      </c>
      <c r="AZ1200">
        <v>0</v>
      </c>
      <c r="BA1200">
        <v>0</v>
      </c>
      <c r="BB1200">
        <v>0</v>
      </c>
      <c r="BC1200">
        <v>0</v>
      </c>
      <c r="BD1200">
        <v>0</v>
      </c>
      <c r="BE1200">
        <v>0</v>
      </c>
      <c r="BF1200">
        <v>0</v>
      </c>
      <c r="BG1200">
        <v>0</v>
      </c>
      <c r="BH1200">
        <v>1</v>
      </c>
      <c r="BI1200">
        <v>1</v>
      </c>
      <c r="BJ1200">
        <v>0.9</v>
      </c>
      <c r="BK1200">
        <v>1</v>
      </c>
      <c r="BL1200">
        <v>69.98</v>
      </c>
      <c r="BM1200">
        <v>10.5</v>
      </c>
      <c r="BN1200">
        <v>80.48</v>
      </c>
      <c r="BO1200">
        <v>80.48</v>
      </c>
      <c r="BQ1200" t="s">
        <v>405</v>
      </c>
      <c r="BR1200" t="s">
        <v>84</v>
      </c>
      <c r="BS1200" s="3">
        <v>45791</v>
      </c>
      <c r="BT1200" s="4">
        <v>0.41736111111111113</v>
      </c>
      <c r="BU1200" t="s">
        <v>1588</v>
      </c>
      <c r="BV1200" t="s">
        <v>86</v>
      </c>
      <c r="BY1200">
        <v>4560</v>
      </c>
      <c r="CA1200" t="s">
        <v>326</v>
      </c>
      <c r="CC1200" t="s">
        <v>351</v>
      </c>
      <c r="CD1200">
        <v>4052</v>
      </c>
      <c r="CE1200" t="s">
        <v>116</v>
      </c>
      <c r="CF1200" s="3">
        <v>45792</v>
      </c>
      <c r="CI1200">
        <v>1</v>
      </c>
      <c r="CJ1200">
        <v>1</v>
      </c>
      <c r="CK1200">
        <v>21</v>
      </c>
      <c r="CL1200" t="s">
        <v>89</v>
      </c>
    </row>
    <row r="1201" spans="1:90" x14ac:dyDescent="0.3">
      <c r="A1201" t="s">
        <v>72</v>
      </c>
      <c r="B1201" t="s">
        <v>73</v>
      </c>
      <c r="C1201" t="s">
        <v>74</v>
      </c>
      <c r="E1201" t="str">
        <f>"080065349564"</f>
        <v>080065349564</v>
      </c>
      <c r="F1201" s="3">
        <v>45790</v>
      </c>
      <c r="G1201">
        <v>202602</v>
      </c>
      <c r="H1201" t="s">
        <v>75</v>
      </c>
      <c r="I1201" t="s">
        <v>76</v>
      </c>
      <c r="J1201" t="s">
        <v>77</v>
      </c>
      <c r="K1201" t="s">
        <v>78</v>
      </c>
      <c r="L1201" t="s">
        <v>420</v>
      </c>
      <c r="M1201" t="s">
        <v>421</v>
      </c>
      <c r="N1201" t="s">
        <v>1914</v>
      </c>
      <c r="O1201" t="s">
        <v>82</v>
      </c>
      <c r="P1201" t="str">
        <f>"4170038069                    "</f>
        <v xml:space="preserve">4170038069                    </v>
      </c>
      <c r="Q1201">
        <v>0</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41.43</v>
      </c>
      <c r="AR1201">
        <v>0</v>
      </c>
      <c r="AS1201">
        <v>0</v>
      </c>
      <c r="AT1201">
        <v>0</v>
      </c>
      <c r="AU1201">
        <v>0</v>
      </c>
      <c r="AV1201">
        <v>0</v>
      </c>
      <c r="AW1201">
        <v>0</v>
      </c>
      <c r="AX1201">
        <v>0</v>
      </c>
      <c r="AY1201">
        <v>0</v>
      </c>
      <c r="AZ1201">
        <v>0</v>
      </c>
      <c r="BA1201">
        <v>0</v>
      </c>
      <c r="BB1201">
        <v>0</v>
      </c>
      <c r="BC1201">
        <v>0</v>
      </c>
      <c r="BD1201">
        <v>0</v>
      </c>
      <c r="BE1201">
        <v>0</v>
      </c>
      <c r="BF1201">
        <v>0</v>
      </c>
      <c r="BG1201">
        <v>0</v>
      </c>
      <c r="BH1201">
        <v>1</v>
      </c>
      <c r="BI1201">
        <v>1</v>
      </c>
      <c r="BJ1201">
        <v>0.9</v>
      </c>
      <c r="BK1201">
        <v>1</v>
      </c>
      <c r="BL1201">
        <v>135.59</v>
      </c>
      <c r="BM1201">
        <v>20.34</v>
      </c>
      <c r="BN1201">
        <v>155.93</v>
      </c>
      <c r="BO1201">
        <v>155.93</v>
      </c>
      <c r="BQ1201" t="s">
        <v>1915</v>
      </c>
      <c r="BR1201" t="s">
        <v>84</v>
      </c>
      <c r="BS1201" s="3">
        <v>45791</v>
      </c>
      <c r="BT1201" s="4">
        <v>0.41666666666666669</v>
      </c>
      <c r="BU1201" t="s">
        <v>1916</v>
      </c>
      <c r="BV1201" t="s">
        <v>86</v>
      </c>
      <c r="BY1201">
        <v>4560</v>
      </c>
      <c r="CA1201" t="s">
        <v>1917</v>
      </c>
      <c r="CC1201" t="s">
        <v>421</v>
      </c>
      <c r="CD1201">
        <v>3290</v>
      </c>
      <c r="CE1201" t="s">
        <v>116</v>
      </c>
      <c r="CF1201" s="3">
        <v>45792</v>
      </c>
      <c r="CI1201">
        <v>1</v>
      </c>
      <c r="CJ1201">
        <v>1</v>
      </c>
      <c r="CK1201">
        <v>23</v>
      </c>
      <c r="CL1201" t="s">
        <v>89</v>
      </c>
    </row>
    <row r="1202" spans="1:90" x14ac:dyDescent="0.3">
      <c r="A1202" t="s">
        <v>72</v>
      </c>
      <c r="B1202" t="s">
        <v>73</v>
      </c>
      <c r="C1202" t="s">
        <v>74</v>
      </c>
      <c r="E1202" t="str">
        <f>"080065352522"</f>
        <v>080065352522</v>
      </c>
      <c r="F1202" s="3">
        <v>45790</v>
      </c>
      <c r="G1202">
        <v>202602</v>
      </c>
      <c r="H1202" t="s">
        <v>75</v>
      </c>
      <c r="I1202" t="s">
        <v>76</v>
      </c>
      <c r="J1202" t="s">
        <v>77</v>
      </c>
      <c r="K1202" t="s">
        <v>78</v>
      </c>
      <c r="L1202" t="s">
        <v>479</v>
      </c>
      <c r="M1202" t="s">
        <v>480</v>
      </c>
      <c r="N1202" t="s">
        <v>793</v>
      </c>
      <c r="O1202" t="s">
        <v>602</v>
      </c>
      <c r="P1202" t="str">
        <f>"4170038057                    "</f>
        <v xml:space="preserve">4170038057                    </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29.83</v>
      </c>
      <c r="AR1202">
        <v>0</v>
      </c>
      <c r="AS1202">
        <v>0</v>
      </c>
      <c r="AT1202">
        <v>0</v>
      </c>
      <c r="AU1202">
        <v>0</v>
      </c>
      <c r="AV1202">
        <v>0</v>
      </c>
      <c r="AW1202">
        <v>0</v>
      </c>
      <c r="AX1202">
        <v>0</v>
      </c>
      <c r="AY1202">
        <v>0</v>
      </c>
      <c r="AZ1202">
        <v>0</v>
      </c>
      <c r="BA1202">
        <v>0</v>
      </c>
      <c r="BB1202">
        <v>0</v>
      </c>
      <c r="BC1202">
        <v>0</v>
      </c>
      <c r="BD1202">
        <v>0</v>
      </c>
      <c r="BE1202">
        <v>0</v>
      </c>
      <c r="BF1202">
        <v>0</v>
      </c>
      <c r="BG1202">
        <v>0</v>
      </c>
      <c r="BH1202">
        <v>1</v>
      </c>
      <c r="BI1202">
        <v>15</v>
      </c>
      <c r="BJ1202">
        <v>6.5</v>
      </c>
      <c r="BK1202">
        <v>15</v>
      </c>
      <c r="BL1202">
        <v>97.62</v>
      </c>
      <c r="BM1202">
        <v>14.64</v>
      </c>
      <c r="BN1202">
        <v>112.26</v>
      </c>
      <c r="BO1202">
        <v>112.26</v>
      </c>
      <c r="BQ1202" t="s">
        <v>794</v>
      </c>
      <c r="BR1202" t="s">
        <v>84</v>
      </c>
      <c r="BS1202" s="3">
        <v>45791</v>
      </c>
      <c r="BT1202" s="4">
        <v>0.45069444444444445</v>
      </c>
      <c r="BU1202" t="s">
        <v>1884</v>
      </c>
      <c r="BV1202" t="s">
        <v>86</v>
      </c>
      <c r="BY1202">
        <v>32490</v>
      </c>
      <c r="CA1202" t="s">
        <v>1443</v>
      </c>
      <c r="CC1202" t="s">
        <v>480</v>
      </c>
      <c r="CD1202">
        <v>2163</v>
      </c>
      <c r="CE1202" t="s">
        <v>96</v>
      </c>
      <c r="CF1202" s="3">
        <v>45792</v>
      </c>
      <c r="CI1202">
        <v>1</v>
      </c>
      <c r="CJ1202">
        <v>1</v>
      </c>
      <c r="CK1202">
        <v>32</v>
      </c>
      <c r="CL1202" t="s">
        <v>89</v>
      </c>
    </row>
    <row r="1203" spans="1:90" x14ac:dyDescent="0.3">
      <c r="A1203" t="s">
        <v>72</v>
      </c>
      <c r="B1203" t="s">
        <v>73</v>
      </c>
      <c r="C1203" t="s">
        <v>74</v>
      </c>
      <c r="E1203" t="str">
        <f>"080065352551"</f>
        <v>080065352551</v>
      </c>
      <c r="F1203" s="3">
        <v>45790</v>
      </c>
      <c r="G1203">
        <v>202602</v>
      </c>
      <c r="H1203" t="s">
        <v>75</v>
      </c>
      <c r="I1203" t="s">
        <v>76</v>
      </c>
      <c r="J1203" t="s">
        <v>77</v>
      </c>
      <c r="K1203" t="s">
        <v>78</v>
      </c>
      <c r="L1203" t="s">
        <v>90</v>
      </c>
      <c r="M1203" t="s">
        <v>91</v>
      </c>
      <c r="N1203" t="s">
        <v>371</v>
      </c>
      <c r="O1203" t="s">
        <v>82</v>
      </c>
      <c r="P1203" t="str">
        <f>"4170038181                    "</f>
        <v xml:space="preserve">4170038181                    </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c r="AJ1203">
        <v>0</v>
      </c>
      <c r="AK1203">
        <v>0</v>
      </c>
      <c r="AL1203">
        <v>0</v>
      </c>
      <c r="AM1203">
        <v>0</v>
      </c>
      <c r="AN1203">
        <v>0</v>
      </c>
      <c r="AO1203">
        <v>0</v>
      </c>
      <c r="AP1203">
        <v>0</v>
      </c>
      <c r="AQ1203">
        <v>48.09</v>
      </c>
      <c r="AR1203">
        <v>0</v>
      </c>
      <c r="AS1203">
        <v>0</v>
      </c>
      <c r="AT1203">
        <v>0</v>
      </c>
      <c r="AU1203">
        <v>0</v>
      </c>
      <c r="AV1203">
        <v>0</v>
      </c>
      <c r="AW1203">
        <v>0</v>
      </c>
      <c r="AX1203">
        <v>0</v>
      </c>
      <c r="AY1203">
        <v>0</v>
      </c>
      <c r="AZ1203">
        <v>0</v>
      </c>
      <c r="BA1203">
        <v>0</v>
      </c>
      <c r="BB1203">
        <v>0</v>
      </c>
      <c r="BC1203">
        <v>0</v>
      </c>
      <c r="BD1203">
        <v>0</v>
      </c>
      <c r="BE1203">
        <v>0</v>
      </c>
      <c r="BF1203">
        <v>0</v>
      </c>
      <c r="BG1203">
        <v>0</v>
      </c>
      <c r="BH1203">
        <v>1</v>
      </c>
      <c r="BI1203">
        <v>4</v>
      </c>
      <c r="BJ1203">
        <v>4.0999999999999996</v>
      </c>
      <c r="BK1203">
        <v>4.5</v>
      </c>
      <c r="BL1203">
        <v>157.38999999999999</v>
      </c>
      <c r="BM1203">
        <v>23.61</v>
      </c>
      <c r="BN1203">
        <v>181</v>
      </c>
      <c r="BO1203">
        <v>181</v>
      </c>
      <c r="BQ1203" t="s">
        <v>372</v>
      </c>
      <c r="BR1203" t="s">
        <v>84</v>
      </c>
      <c r="BS1203" s="3">
        <v>45791</v>
      </c>
      <c r="BT1203" s="4">
        <v>0.42152777777777778</v>
      </c>
      <c r="BU1203" t="s">
        <v>373</v>
      </c>
      <c r="BV1203" t="s">
        <v>86</v>
      </c>
      <c r="BY1203">
        <v>20358</v>
      </c>
      <c r="CA1203" t="s">
        <v>298</v>
      </c>
      <c r="CC1203" t="s">
        <v>91</v>
      </c>
      <c r="CD1203">
        <v>6001</v>
      </c>
      <c r="CE1203" t="s">
        <v>96</v>
      </c>
      <c r="CF1203" s="3">
        <v>45791</v>
      </c>
      <c r="CI1203">
        <v>1</v>
      </c>
      <c r="CJ1203">
        <v>1</v>
      </c>
      <c r="CK1203">
        <v>21</v>
      </c>
      <c r="CL1203" t="s">
        <v>89</v>
      </c>
    </row>
    <row r="1204" spans="1:90" x14ac:dyDescent="0.3">
      <c r="A1204" t="s">
        <v>72</v>
      </c>
      <c r="B1204" t="s">
        <v>73</v>
      </c>
      <c r="C1204" t="s">
        <v>74</v>
      </c>
      <c r="E1204" t="str">
        <f>"080065352591"</f>
        <v>080065352591</v>
      </c>
      <c r="F1204" s="3">
        <v>45790</v>
      </c>
      <c r="G1204">
        <v>202602</v>
      </c>
      <c r="H1204" t="s">
        <v>75</v>
      </c>
      <c r="I1204" t="s">
        <v>76</v>
      </c>
      <c r="J1204" t="s">
        <v>77</v>
      </c>
      <c r="K1204" t="s">
        <v>78</v>
      </c>
      <c r="L1204" t="s">
        <v>463</v>
      </c>
      <c r="M1204" t="s">
        <v>464</v>
      </c>
      <c r="N1204" t="s">
        <v>465</v>
      </c>
      <c r="O1204" t="s">
        <v>82</v>
      </c>
      <c r="P1204" t="str">
        <f>"4170038172                    "</f>
        <v xml:space="preserve">4170038172                    </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0</v>
      </c>
      <c r="AL1204">
        <v>0</v>
      </c>
      <c r="AM1204">
        <v>0</v>
      </c>
      <c r="AN1204">
        <v>0</v>
      </c>
      <c r="AO1204">
        <v>0</v>
      </c>
      <c r="AP1204">
        <v>0</v>
      </c>
      <c r="AQ1204">
        <v>53.43</v>
      </c>
      <c r="AR1204">
        <v>0</v>
      </c>
      <c r="AS1204">
        <v>0</v>
      </c>
      <c r="AT1204">
        <v>0</v>
      </c>
      <c r="AU1204">
        <v>0</v>
      </c>
      <c r="AV1204">
        <v>0</v>
      </c>
      <c r="AW1204">
        <v>0</v>
      </c>
      <c r="AX1204">
        <v>0</v>
      </c>
      <c r="AY1204">
        <v>0</v>
      </c>
      <c r="AZ1204">
        <v>0</v>
      </c>
      <c r="BA1204">
        <v>0</v>
      </c>
      <c r="BB1204">
        <v>0</v>
      </c>
      <c r="BC1204">
        <v>0</v>
      </c>
      <c r="BD1204">
        <v>0</v>
      </c>
      <c r="BE1204">
        <v>0</v>
      </c>
      <c r="BF1204">
        <v>0</v>
      </c>
      <c r="BG1204">
        <v>0</v>
      </c>
      <c r="BH1204">
        <v>1</v>
      </c>
      <c r="BI1204">
        <v>5</v>
      </c>
      <c r="BJ1204">
        <v>2.6</v>
      </c>
      <c r="BK1204">
        <v>5</v>
      </c>
      <c r="BL1204">
        <v>174.87</v>
      </c>
      <c r="BM1204">
        <v>26.23</v>
      </c>
      <c r="BN1204">
        <v>201.1</v>
      </c>
      <c r="BO1204">
        <v>201.1</v>
      </c>
      <c r="BQ1204" t="s">
        <v>466</v>
      </c>
      <c r="BR1204" t="s">
        <v>84</v>
      </c>
      <c r="BS1204" s="3">
        <v>45791</v>
      </c>
      <c r="BT1204" s="4">
        <v>0.70277777777777772</v>
      </c>
      <c r="BU1204" t="s">
        <v>1918</v>
      </c>
      <c r="BV1204" t="s">
        <v>86</v>
      </c>
      <c r="BY1204">
        <v>13050</v>
      </c>
      <c r="CA1204" t="s">
        <v>468</v>
      </c>
      <c r="CC1204" t="s">
        <v>464</v>
      </c>
      <c r="CD1204">
        <v>5201</v>
      </c>
      <c r="CE1204" t="s">
        <v>96</v>
      </c>
      <c r="CF1204" s="3">
        <v>45792</v>
      </c>
      <c r="CI1204">
        <v>5</v>
      </c>
      <c r="CJ1204">
        <v>1</v>
      </c>
      <c r="CK1204">
        <v>21</v>
      </c>
      <c r="CL1204" t="s">
        <v>89</v>
      </c>
    </row>
    <row r="1205" spans="1:90" x14ac:dyDescent="0.3">
      <c r="A1205" t="s">
        <v>72</v>
      </c>
      <c r="B1205" t="s">
        <v>73</v>
      </c>
      <c r="C1205" t="s">
        <v>74</v>
      </c>
      <c r="E1205" t="str">
        <f>"080065352630"</f>
        <v>080065352630</v>
      </c>
      <c r="F1205" s="3">
        <v>45790</v>
      </c>
      <c r="G1205">
        <v>202602</v>
      </c>
      <c r="H1205" t="s">
        <v>75</v>
      </c>
      <c r="I1205" t="s">
        <v>76</v>
      </c>
      <c r="J1205" t="s">
        <v>77</v>
      </c>
      <c r="K1205" t="s">
        <v>78</v>
      </c>
      <c r="L1205" t="s">
        <v>75</v>
      </c>
      <c r="M1205" t="s">
        <v>76</v>
      </c>
      <c r="N1205" t="s">
        <v>1263</v>
      </c>
      <c r="O1205" t="s">
        <v>82</v>
      </c>
      <c r="P1205" t="str">
        <f>"4170038134                    "</f>
        <v xml:space="preserve">4170038134                    </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16.7</v>
      </c>
      <c r="AR1205">
        <v>0</v>
      </c>
      <c r="AS1205">
        <v>0</v>
      </c>
      <c r="AT1205">
        <v>0</v>
      </c>
      <c r="AU1205">
        <v>0</v>
      </c>
      <c r="AV1205">
        <v>0</v>
      </c>
      <c r="AW1205">
        <v>0</v>
      </c>
      <c r="AX1205">
        <v>0</v>
      </c>
      <c r="AY1205">
        <v>0</v>
      </c>
      <c r="AZ1205">
        <v>0</v>
      </c>
      <c r="BA1205">
        <v>0</v>
      </c>
      <c r="BB1205">
        <v>0</v>
      </c>
      <c r="BC1205">
        <v>0</v>
      </c>
      <c r="BD1205">
        <v>0</v>
      </c>
      <c r="BE1205">
        <v>0</v>
      </c>
      <c r="BF1205">
        <v>0</v>
      </c>
      <c r="BG1205">
        <v>0</v>
      </c>
      <c r="BH1205">
        <v>1</v>
      </c>
      <c r="BI1205">
        <v>2</v>
      </c>
      <c r="BJ1205">
        <v>2</v>
      </c>
      <c r="BK1205">
        <v>2</v>
      </c>
      <c r="BL1205">
        <v>54.66</v>
      </c>
      <c r="BM1205">
        <v>8.1999999999999993</v>
      </c>
      <c r="BN1205">
        <v>62.86</v>
      </c>
      <c r="BO1205">
        <v>62.86</v>
      </c>
      <c r="BQ1205" t="s">
        <v>1264</v>
      </c>
      <c r="BR1205" t="s">
        <v>84</v>
      </c>
      <c r="BS1205" s="3">
        <v>45791</v>
      </c>
      <c r="BT1205" s="4">
        <v>0.30694444444444446</v>
      </c>
      <c r="BU1205" t="s">
        <v>1919</v>
      </c>
      <c r="BV1205" t="s">
        <v>86</v>
      </c>
      <c r="BY1205">
        <v>9918</v>
      </c>
      <c r="CA1205" t="s">
        <v>115</v>
      </c>
      <c r="CC1205" t="s">
        <v>76</v>
      </c>
      <c r="CD1205">
        <v>1600</v>
      </c>
      <c r="CE1205" t="s">
        <v>96</v>
      </c>
      <c r="CF1205" s="3">
        <v>45792</v>
      </c>
      <c r="CI1205">
        <v>1</v>
      </c>
      <c r="CJ1205">
        <v>1</v>
      </c>
      <c r="CK1205">
        <v>22</v>
      </c>
      <c r="CL1205" t="s">
        <v>89</v>
      </c>
    </row>
    <row r="1206" spans="1:90" x14ac:dyDescent="0.3">
      <c r="A1206" t="s">
        <v>72</v>
      </c>
      <c r="B1206" t="s">
        <v>73</v>
      </c>
      <c r="C1206" t="s">
        <v>74</v>
      </c>
      <c r="E1206" t="str">
        <f>"080065352677"</f>
        <v>080065352677</v>
      </c>
      <c r="F1206" s="3">
        <v>45790</v>
      </c>
      <c r="G1206">
        <v>202602</v>
      </c>
      <c r="H1206" t="s">
        <v>75</v>
      </c>
      <c r="I1206" t="s">
        <v>76</v>
      </c>
      <c r="J1206" t="s">
        <v>77</v>
      </c>
      <c r="K1206" t="s">
        <v>78</v>
      </c>
      <c r="L1206" t="s">
        <v>136</v>
      </c>
      <c r="M1206" t="s">
        <v>137</v>
      </c>
      <c r="N1206" t="s">
        <v>1514</v>
      </c>
      <c r="O1206" t="s">
        <v>82</v>
      </c>
      <c r="P1206" t="str">
        <f>"4170038205                    "</f>
        <v xml:space="preserve">4170038205                    </v>
      </c>
      <c r="Q1206">
        <v>0</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21.38</v>
      </c>
      <c r="AR1206">
        <v>0</v>
      </c>
      <c r="AS1206">
        <v>0</v>
      </c>
      <c r="AT1206">
        <v>0</v>
      </c>
      <c r="AU1206">
        <v>0</v>
      </c>
      <c r="AV1206">
        <v>0</v>
      </c>
      <c r="AW1206">
        <v>0</v>
      </c>
      <c r="AX1206">
        <v>0</v>
      </c>
      <c r="AY1206">
        <v>0</v>
      </c>
      <c r="AZ1206">
        <v>0</v>
      </c>
      <c r="BA1206">
        <v>0</v>
      </c>
      <c r="BB1206">
        <v>0</v>
      </c>
      <c r="BC1206">
        <v>0</v>
      </c>
      <c r="BD1206">
        <v>0</v>
      </c>
      <c r="BE1206">
        <v>0</v>
      </c>
      <c r="BF1206">
        <v>0</v>
      </c>
      <c r="BG1206">
        <v>0</v>
      </c>
      <c r="BH1206">
        <v>1</v>
      </c>
      <c r="BI1206">
        <v>1</v>
      </c>
      <c r="BJ1206">
        <v>0.2</v>
      </c>
      <c r="BK1206">
        <v>1</v>
      </c>
      <c r="BL1206">
        <v>69.98</v>
      </c>
      <c r="BM1206">
        <v>10.5</v>
      </c>
      <c r="BN1206">
        <v>80.48</v>
      </c>
      <c r="BO1206">
        <v>80.48</v>
      </c>
      <c r="BQ1206" t="s">
        <v>1515</v>
      </c>
      <c r="BR1206" t="s">
        <v>84</v>
      </c>
      <c r="BS1206" s="3">
        <v>45791</v>
      </c>
      <c r="BT1206" s="4">
        <v>0.41249999999999998</v>
      </c>
      <c r="BU1206" t="s">
        <v>1920</v>
      </c>
      <c r="BV1206" t="s">
        <v>86</v>
      </c>
      <c r="BY1206">
        <v>1200</v>
      </c>
      <c r="CA1206" t="s">
        <v>141</v>
      </c>
      <c r="CC1206" t="s">
        <v>137</v>
      </c>
      <c r="CD1206" s="5" t="s">
        <v>142</v>
      </c>
      <c r="CE1206" t="s">
        <v>88</v>
      </c>
      <c r="CF1206" s="3">
        <v>45791</v>
      </c>
      <c r="CI1206">
        <v>1</v>
      </c>
      <c r="CJ1206">
        <v>1</v>
      </c>
      <c r="CK1206">
        <v>21</v>
      </c>
      <c r="CL1206" t="s">
        <v>89</v>
      </c>
    </row>
    <row r="1207" spans="1:90" x14ac:dyDescent="0.3">
      <c r="A1207" t="s">
        <v>72</v>
      </c>
      <c r="B1207" t="s">
        <v>73</v>
      </c>
      <c r="C1207" t="s">
        <v>74</v>
      </c>
      <c r="E1207" t="str">
        <f>"080065352704"</f>
        <v>080065352704</v>
      </c>
      <c r="F1207" s="3">
        <v>45790</v>
      </c>
      <c r="G1207">
        <v>202602</v>
      </c>
      <c r="H1207" t="s">
        <v>75</v>
      </c>
      <c r="I1207" t="s">
        <v>76</v>
      </c>
      <c r="J1207" t="s">
        <v>77</v>
      </c>
      <c r="K1207" t="s">
        <v>78</v>
      </c>
      <c r="L1207" t="s">
        <v>103</v>
      </c>
      <c r="M1207" t="s">
        <v>104</v>
      </c>
      <c r="N1207" t="s">
        <v>633</v>
      </c>
      <c r="O1207" t="s">
        <v>82</v>
      </c>
      <c r="P1207" t="str">
        <f>"4170038209                    "</f>
        <v xml:space="preserve">4170038209                    </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c r="AJ1207">
        <v>0</v>
      </c>
      <c r="AK1207">
        <v>0</v>
      </c>
      <c r="AL1207">
        <v>0</v>
      </c>
      <c r="AM1207">
        <v>0</v>
      </c>
      <c r="AN1207">
        <v>0</v>
      </c>
      <c r="AO1207">
        <v>0</v>
      </c>
      <c r="AP1207">
        <v>0</v>
      </c>
      <c r="AQ1207">
        <v>21.38</v>
      </c>
      <c r="AR1207">
        <v>0</v>
      </c>
      <c r="AS1207">
        <v>0</v>
      </c>
      <c r="AT1207">
        <v>0</v>
      </c>
      <c r="AU1207">
        <v>0</v>
      </c>
      <c r="AV1207">
        <v>0</v>
      </c>
      <c r="AW1207">
        <v>0</v>
      </c>
      <c r="AX1207">
        <v>0</v>
      </c>
      <c r="AY1207">
        <v>0</v>
      </c>
      <c r="AZ1207">
        <v>0</v>
      </c>
      <c r="BA1207">
        <v>0</v>
      </c>
      <c r="BB1207">
        <v>0</v>
      </c>
      <c r="BC1207">
        <v>0</v>
      </c>
      <c r="BD1207">
        <v>0</v>
      </c>
      <c r="BE1207">
        <v>0</v>
      </c>
      <c r="BF1207">
        <v>0</v>
      </c>
      <c r="BG1207">
        <v>0</v>
      </c>
      <c r="BH1207">
        <v>1</v>
      </c>
      <c r="BI1207">
        <v>1</v>
      </c>
      <c r="BJ1207">
        <v>2</v>
      </c>
      <c r="BK1207">
        <v>2</v>
      </c>
      <c r="BL1207">
        <v>69.98</v>
      </c>
      <c r="BM1207">
        <v>10.5</v>
      </c>
      <c r="BN1207">
        <v>80.48</v>
      </c>
      <c r="BO1207">
        <v>80.48</v>
      </c>
      <c r="BQ1207" t="s">
        <v>634</v>
      </c>
      <c r="BR1207" t="s">
        <v>84</v>
      </c>
      <c r="BS1207" s="3">
        <v>45791</v>
      </c>
      <c r="BT1207" s="4">
        <v>0.41666666666666669</v>
      </c>
      <c r="BU1207" t="s">
        <v>635</v>
      </c>
      <c r="BV1207" t="s">
        <v>86</v>
      </c>
      <c r="BY1207">
        <v>9984</v>
      </c>
      <c r="CA1207" t="s">
        <v>440</v>
      </c>
      <c r="CC1207" t="s">
        <v>104</v>
      </c>
      <c r="CD1207">
        <v>3212</v>
      </c>
      <c r="CE1207" t="s">
        <v>221</v>
      </c>
      <c r="CF1207" s="3">
        <v>45792</v>
      </c>
      <c r="CI1207">
        <v>2</v>
      </c>
      <c r="CJ1207">
        <v>1</v>
      </c>
      <c r="CK1207">
        <v>21</v>
      </c>
      <c r="CL1207" t="s">
        <v>89</v>
      </c>
    </row>
    <row r="1208" spans="1:90" x14ac:dyDescent="0.3">
      <c r="A1208" t="s">
        <v>72</v>
      </c>
      <c r="B1208" t="s">
        <v>73</v>
      </c>
      <c r="C1208" t="s">
        <v>74</v>
      </c>
      <c r="E1208" t="str">
        <f>"080065352730"</f>
        <v>080065352730</v>
      </c>
      <c r="F1208" s="3">
        <v>45790</v>
      </c>
      <c r="G1208">
        <v>202602</v>
      </c>
      <c r="H1208" t="s">
        <v>75</v>
      </c>
      <c r="I1208" t="s">
        <v>76</v>
      </c>
      <c r="J1208" t="s">
        <v>77</v>
      </c>
      <c r="K1208" t="s">
        <v>78</v>
      </c>
      <c r="L1208" t="s">
        <v>374</v>
      </c>
      <c r="M1208" t="s">
        <v>375</v>
      </c>
      <c r="N1208" t="s">
        <v>376</v>
      </c>
      <c r="O1208" t="s">
        <v>82</v>
      </c>
      <c r="P1208" t="str">
        <f>"4170038123                    "</f>
        <v xml:space="preserve">4170038123                    </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41.43</v>
      </c>
      <c r="AR1208">
        <v>0</v>
      </c>
      <c r="AS1208">
        <v>0</v>
      </c>
      <c r="AT1208">
        <v>0</v>
      </c>
      <c r="AU1208">
        <v>0</v>
      </c>
      <c r="AV1208">
        <v>0</v>
      </c>
      <c r="AW1208">
        <v>0</v>
      </c>
      <c r="AX1208">
        <v>0</v>
      </c>
      <c r="AY1208">
        <v>0</v>
      </c>
      <c r="AZ1208">
        <v>0</v>
      </c>
      <c r="BA1208">
        <v>0</v>
      </c>
      <c r="BB1208">
        <v>0</v>
      </c>
      <c r="BC1208">
        <v>0</v>
      </c>
      <c r="BD1208">
        <v>0</v>
      </c>
      <c r="BE1208">
        <v>0</v>
      </c>
      <c r="BF1208">
        <v>0</v>
      </c>
      <c r="BG1208">
        <v>0</v>
      </c>
      <c r="BH1208">
        <v>1</v>
      </c>
      <c r="BI1208">
        <v>1</v>
      </c>
      <c r="BJ1208">
        <v>0.2</v>
      </c>
      <c r="BK1208">
        <v>1</v>
      </c>
      <c r="BL1208">
        <v>135.59</v>
      </c>
      <c r="BM1208">
        <v>20.34</v>
      </c>
      <c r="BN1208">
        <v>155.93</v>
      </c>
      <c r="BO1208">
        <v>155.93</v>
      </c>
      <c r="BQ1208" t="s">
        <v>377</v>
      </c>
      <c r="BR1208" t="s">
        <v>84</v>
      </c>
      <c r="BS1208" s="3">
        <v>45791</v>
      </c>
      <c r="BT1208" s="4">
        <v>0.38750000000000001</v>
      </c>
      <c r="BU1208" t="s">
        <v>378</v>
      </c>
      <c r="BV1208" t="s">
        <v>86</v>
      </c>
      <c r="BY1208">
        <v>1200</v>
      </c>
      <c r="CA1208" t="s">
        <v>379</v>
      </c>
      <c r="CC1208" t="s">
        <v>375</v>
      </c>
      <c r="CD1208">
        <v>7130</v>
      </c>
      <c r="CE1208" t="s">
        <v>88</v>
      </c>
      <c r="CF1208" s="3">
        <v>45792</v>
      </c>
      <c r="CI1208">
        <v>1</v>
      </c>
      <c r="CJ1208">
        <v>1</v>
      </c>
      <c r="CK1208">
        <v>23</v>
      </c>
      <c r="CL1208" t="s">
        <v>89</v>
      </c>
    </row>
    <row r="1209" spans="1:90" x14ac:dyDescent="0.3">
      <c r="A1209" t="s">
        <v>72</v>
      </c>
      <c r="B1209" t="s">
        <v>73</v>
      </c>
      <c r="C1209" t="s">
        <v>74</v>
      </c>
      <c r="E1209" t="str">
        <f>"080065352770"</f>
        <v>080065352770</v>
      </c>
      <c r="F1209" s="3">
        <v>45790</v>
      </c>
      <c r="G1209">
        <v>202602</v>
      </c>
      <c r="H1209" t="s">
        <v>75</v>
      </c>
      <c r="I1209" t="s">
        <v>76</v>
      </c>
      <c r="J1209" t="s">
        <v>77</v>
      </c>
      <c r="K1209" t="s">
        <v>78</v>
      </c>
      <c r="L1209" t="s">
        <v>130</v>
      </c>
      <c r="M1209" t="s">
        <v>131</v>
      </c>
      <c r="N1209" t="s">
        <v>699</v>
      </c>
      <c r="O1209" t="s">
        <v>82</v>
      </c>
      <c r="P1209" t="str">
        <f>"4170038167                    "</f>
        <v xml:space="preserve">4170038167                    </v>
      </c>
      <c r="Q1209">
        <v>0</v>
      </c>
      <c r="R1209">
        <v>0</v>
      </c>
      <c r="S1209">
        <v>0</v>
      </c>
      <c r="T1209">
        <v>0</v>
      </c>
      <c r="U1209">
        <v>0</v>
      </c>
      <c r="V1209">
        <v>0</v>
      </c>
      <c r="W1209">
        <v>0</v>
      </c>
      <c r="X1209">
        <v>0</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21.38</v>
      </c>
      <c r="AR1209">
        <v>0</v>
      </c>
      <c r="AS1209">
        <v>0</v>
      </c>
      <c r="AT1209">
        <v>0</v>
      </c>
      <c r="AU1209">
        <v>0</v>
      </c>
      <c r="AV1209">
        <v>0</v>
      </c>
      <c r="AW1209">
        <v>0</v>
      </c>
      <c r="AX1209">
        <v>0</v>
      </c>
      <c r="AY1209">
        <v>0</v>
      </c>
      <c r="AZ1209">
        <v>0</v>
      </c>
      <c r="BA1209">
        <v>0</v>
      </c>
      <c r="BB1209">
        <v>0</v>
      </c>
      <c r="BC1209">
        <v>0</v>
      </c>
      <c r="BD1209">
        <v>0</v>
      </c>
      <c r="BE1209">
        <v>0</v>
      </c>
      <c r="BF1209">
        <v>0</v>
      </c>
      <c r="BG1209">
        <v>0</v>
      </c>
      <c r="BH1209">
        <v>1</v>
      </c>
      <c r="BI1209">
        <v>1</v>
      </c>
      <c r="BJ1209">
        <v>0.2</v>
      </c>
      <c r="BK1209">
        <v>1</v>
      </c>
      <c r="BL1209">
        <v>69.98</v>
      </c>
      <c r="BM1209">
        <v>10.5</v>
      </c>
      <c r="BN1209">
        <v>80.48</v>
      </c>
      <c r="BO1209">
        <v>80.48</v>
      </c>
      <c r="BQ1209" t="s">
        <v>700</v>
      </c>
      <c r="BR1209" t="s">
        <v>84</v>
      </c>
      <c r="BS1209" s="3">
        <v>45791</v>
      </c>
      <c r="BT1209" s="4">
        <v>0.40486111111111112</v>
      </c>
      <c r="BU1209" t="s">
        <v>1921</v>
      </c>
      <c r="BV1209" t="s">
        <v>86</v>
      </c>
      <c r="BY1209">
        <v>1200</v>
      </c>
      <c r="CA1209" t="s">
        <v>330</v>
      </c>
      <c r="CC1209" t="s">
        <v>131</v>
      </c>
      <c r="CD1209">
        <v>7480</v>
      </c>
      <c r="CE1209" t="s">
        <v>88</v>
      </c>
      <c r="CF1209" s="3">
        <v>45792</v>
      </c>
      <c r="CI1209">
        <v>1</v>
      </c>
      <c r="CJ1209">
        <v>1</v>
      </c>
      <c r="CK1209">
        <v>21</v>
      </c>
      <c r="CL1209" t="s">
        <v>89</v>
      </c>
    </row>
    <row r="1210" spans="1:90" x14ac:dyDescent="0.3">
      <c r="A1210" t="s">
        <v>72</v>
      </c>
      <c r="B1210" t="s">
        <v>73</v>
      </c>
      <c r="C1210" t="s">
        <v>74</v>
      </c>
      <c r="E1210" t="str">
        <f>"080065352779"</f>
        <v>080065352779</v>
      </c>
      <c r="F1210" s="3">
        <v>45790</v>
      </c>
      <c r="G1210">
        <v>202602</v>
      </c>
      <c r="H1210" t="s">
        <v>75</v>
      </c>
      <c r="I1210" t="s">
        <v>76</v>
      </c>
      <c r="J1210" t="s">
        <v>77</v>
      </c>
      <c r="K1210" t="s">
        <v>78</v>
      </c>
      <c r="L1210" t="s">
        <v>103</v>
      </c>
      <c r="M1210" t="s">
        <v>104</v>
      </c>
      <c r="N1210" t="s">
        <v>1372</v>
      </c>
      <c r="O1210" t="s">
        <v>82</v>
      </c>
      <c r="P1210" t="str">
        <f>"4170038117                    "</f>
        <v xml:space="preserve">4170038117                    </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c r="AJ1210">
        <v>0</v>
      </c>
      <c r="AK1210">
        <v>0</v>
      </c>
      <c r="AL1210">
        <v>0</v>
      </c>
      <c r="AM1210">
        <v>0</v>
      </c>
      <c r="AN1210">
        <v>0</v>
      </c>
      <c r="AO1210">
        <v>0</v>
      </c>
      <c r="AP1210">
        <v>0</v>
      </c>
      <c r="AQ1210">
        <v>42.75</v>
      </c>
      <c r="AR1210">
        <v>0</v>
      </c>
      <c r="AS1210">
        <v>0</v>
      </c>
      <c r="AT1210">
        <v>0</v>
      </c>
      <c r="AU1210">
        <v>0</v>
      </c>
      <c r="AV1210">
        <v>0</v>
      </c>
      <c r="AW1210">
        <v>0</v>
      </c>
      <c r="AX1210">
        <v>0</v>
      </c>
      <c r="AY1210">
        <v>0</v>
      </c>
      <c r="AZ1210">
        <v>0</v>
      </c>
      <c r="BA1210">
        <v>0</v>
      </c>
      <c r="BB1210">
        <v>0</v>
      </c>
      <c r="BC1210">
        <v>0</v>
      </c>
      <c r="BD1210">
        <v>0</v>
      </c>
      <c r="BE1210">
        <v>0</v>
      </c>
      <c r="BF1210">
        <v>0</v>
      </c>
      <c r="BG1210">
        <v>0</v>
      </c>
      <c r="BH1210">
        <v>1</v>
      </c>
      <c r="BI1210">
        <v>4</v>
      </c>
      <c r="BJ1210">
        <v>1.5</v>
      </c>
      <c r="BK1210">
        <v>4</v>
      </c>
      <c r="BL1210">
        <v>139.91</v>
      </c>
      <c r="BM1210">
        <v>20.99</v>
      </c>
      <c r="BN1210">
        <v>160.9</v>
      </c>
      <c r="BO1210">
        <v>160.9</v>
      </c>
      <c r="BQ1210" t="s">
        <v>1373</v>
      </c>
      <c r="BR1210" t="s">
        <v>84</v>
      </c>
      <c r="BS1210" s="3">
        <v>45791</v>
      </c>
      <c r="BT1210" s="4">
        <v>0.41666666666666669</v>
      </c>
      <c r="BU1210" t="s">
        <v>1374</v>
      </c>
      <c r="BV1210" t="s">
        <v>86</v>
      </c>
      <c r="BY1210">
        <v>7252</v>
      </c>
      <c r="CA1210" t="s">
        <v>1375</v>
      </c>
      <c r="CC1210" t="s">
        <v>104</v>
      </c>
      <c r="CD1210">
        <v>3201</v>
      </c>
      <c r="CE1210" t="s">
        <v>221</v>
      </c>
      <c r="CF1210" s="3">
        <v>45792</v>
      </c>
      <c r="CI1210">
        <v>1</v>
      </c>
      <c r="CJ1210">
        <v>1</v>
      </c>
      <c r="CK1210">
        <v>21</v>
      </c>
      <c r="CL1210" t="s">
        <v>89</v>
      </c>
    </row>
    <row r="1211" spans="1:90" x14ac:dyDescent="0.3">
      <c r="A1211" t="s">
        <v>72</v>
      </c>
      <c r="B1211" t="s">
        <v>73</v>
      </c>
      <c r="C1211" t="s">
        <v>74</v>
      </c>
      <c r="E1211" t="str">
        <f>"080065352808"</f>
        <v>080065352808</v>
      </c>
      <c r="F1211" s="3">
        <v>45790</v>
      </c>
      <c r="G1211">
        <v>202602</v>
      </c>
      <c r="H1211" t="s">
        <v>75</v>
      </c>
      <c r="I1211" t="s">
        <v>76</v>
      </c>
      <c r="J1211" t="s">
        <v>77</v>
      </c>
      <c r="K1211" t="s">
        <v>78</v>
      </c>
      <c r="L1211" t="s">
        <v>222</v>
      </c>
      <c r="M1211" t="s">
        <v>223</v>
      </c>
      <c r="N1211" t="s">
        <v>1369</v>
      </c>
      <c r="O1211" t="s">
        <v>82</v>
      </c>
      <c r="P1211" t="str">
        <f>"4170038171                    "</f>
        <v xml:space="preserve">4170038171                    </v>
      </c>
      <c r="Q1211">
        <v>0</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c r="AJ1211">
        <v>0</v>
      </c>
      <c r="AK1211">
        <v>0</v>
      </c>
      <c r="AL1211">
        <v>0</v>
      </c>
      <c r="AM1211">
        <v>0</v>
      </c>
      <c r="AN1211">
        <v>0</v>
      </c>
      <c r="AO1211">
        <v>0</v>
      </c>
      <c r="AP1211">
        <v>0</v>
      </c>
      <c r="AQ1211">
        <v>30.07</v>
      </c>
      <c r="AR1211">
        <v>0</v>
      </c>
      <c r="AS1211">
        <v>0</v>
      </c>
      <c r="AT1211">
        <v>0</v>
      </c>
      <c r="AU1211">
        <v>0</v>
      </c>
      <c r="AV1211">
        <v>0</v>
      </c>
      <c r="AW1211">
        <v>0</v>
      </c>
      <c r="AX1211">
        <v>0</v>
      </c>
      <c r="AY1211">
        <v>0</v>
      </c>
      <c r="AZ1211">
        <v>0</v>
      </c>
      <c r="BA1211">
        <v>0</v>
      </c>
      <c r="BB1211">
        <v>0</v>
      </c>
      <c r="BC1211">
        <v>0</v>
      </c>
      <c r="BD1211">
        <v>0</v>
      </c>
      <c r="BE1211">
        <v>0</v>
      </c>
      <c r="BF1211">
        <v>0</v>
      </c>
      <c r="BG1211">
        <v>0</v>
      </c>
      <c r="BH1211">
        <v>1</v>
      </c>
      <c r="BI1211">
        <v>1</v>
      </c>
      <c r="BJ1211">
        <v>0.2</v>
      </c>
      <c r="BK1211">
        <v>1</v>
      </c>
      <c r="BL1211">
        <v>98.42</v>
      </c>
      <c r="BM1211">
        <v>14.76</v>
      </c>
      <c r="BN1211">
        <v>113.18</v>
      </c>
      <c r="BO1211">
        <v>113.18</v>
      </c>
      <c r="BQ1211" t="s">
        <v>1370</v>
      </c>
      <c r="BR1211" t="s">
        <v>84</v>
      </c>
      <c r="BS1211" s="3">
        <v>45792</v>
      </c>
      <c r="BT1211" s="4">
        <v>0.33680555555555558</v>
      </c>
      <c r="BU1211" t="s">
        <v>1922</v>
      </c>
      <c r="BV1211" t="s">
        <v>89</v>
      </c>
      <c r="BW1211" t="s">
        <v>148</v>
      </c>
      <c r="BX1211" t="s">
        <v>1382</v>
      </c>
      <c r="BY1211">
        <v>1200</v>
      </c>
      <c r="CA1211" t="s">
        <v>592</v>
      </c>
      <c r="CC1211" t="s">
        <v>223</v>
      </c>
      <c r="CD1211">
        <v>1748</v>
      </c>
      <c r="CE1211" t="s">
        <v>88</v>
      </c>
      <c r="CF1211" s="3">
        <v>45793</v>
      </c>
      <c r="CI1211">
        <v>1</v>
      </c>
      <c r="CJ1211">
        <v>2</v>
      </c>
      <c r="CK1211">
        <v>24</v>
      </c>
      <c r="CL1211" t="s">
        <v>89</v>
      </c>
    </row>
    <row r="1212" spans="1:90" x14ac:dyDescent="0.3">
      <c r="A1212" t="s">
        <v>72</v>
      </c>
      <c r="B1212" t="s">
        <v>73</v>
      </c>
      <c r="C1212" t="s">
        <v>74</v>
      </c>
      <c r="E1212" t="str">
        <f>"080065352832"</f>
        <v>080065352832</v>
      </c>
      <c r="F1212" s="3">
        <v>45790</v>
      </c>
      <c r="G1212">
        <v>202602</v>
      </c>
      <c r="H1212" t="s">
        <v>75</v>
      </c>
      <c r="I1212" t="s">
        <v>76</v>
      </c>
      <c r="J1212" t="s">
        <v>77</v>
      </c>
      <c r="K1212" t="s">
        <v>78</v>
      </c>
      <c r="L1212" t="s">
        <v>136</v>
      </c>
      <c r="M1212" t="s">
        <v>137</v>
      </c>
      <c r="N1212" t="s">
        <v>1235</v>
      </c>
      <c r="O1212" t="s">
        <v>300</v>
      </c>
      <c r="P1212" t="str">
        <f>"4170038103                    "</f>
        <v xml:space="preserve">4170038103                    </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41.35</v>
      </c>
      <c r="AR1212">
        <v>0</v>
      </c>
      <c r="AS1212">
        <v>0</v>
      </c>
      <c r="AT1212">
        <v>0</v>
      </c>
      <c r="AU1212">
        <v>0</v>
      </c>
      <c r="AV1212">
        <v>0</v>
      </c>
      <c r="AW1212">
        <v>0</v>
      </c>
      <c r="AX1212">
        <v>0</v>
      </c>
      <c r="AY1212">
        <v>0</v>
      </c>
      <c r="AZ1212">
        <v>0</v>
      </c>
      <c r="BA1212">
        <v>0</v>
      </c>
      <c r="BB1212">
        <v>0</v>
      </c>
      <c r="BC1212">
        <v>0</v>
      </c>
      <c r="BD1212">
        <v>0</v>
      </c>
      <c r="BE1212">
        <v>0</v>
      </c>
      <c r="BF1212">
        <v>0</v>
      </c>
      <c r="BG1212">
        <v>0</v>
      </c>
      <c r="BH1212">
        <v>1</v>
      </c>
      <c r="BI1212">
        <v>7</v>
      </c>
      <c r="BJ1212">
        <v>2.9</v>
      </c>
      <c r="BK1212">
        <v>7</v>
      </c>
      <c r="BL1212">
        <v>140.9</v>
      </c>
      <c r="BM1212">
        <v>21.14</v>
      </c>
      <c r="BN1212">
        <v>162.04</v>
      </c>
      <c r="BO1212">
        <v>162.04</v>
      </c>
      <c r="BQ1212" t="s">
        <v>1236</v>
      </c>
      <c r="BR1212" t="s">
        <v>84</v>
      </c>
      <c r="BS1212" s="3">
        <v>45791</v>
      </c>
      <c r="BT1212" s="4">
        <v>0.3263888888888889</v>
      </c>
      <c r="BU1212" t="s">
        <v>1604</v>
      </c>
      <c r="BV1212" t="s">
        <v>86</v>
      </c>
      <c r="BY1212">
        <v>14700</v>
      </c>
      <c r="CA1212" t="s">
        <v>1238</v>
      </c>
      <c r="CC1212" t="s">
        <v>137</v>
      </c>
      <c r="CD1212" s="5" t="s">
        <v>1239</v>
      </c>
      <c r="CE1212" t="s">
        <v>221</v>
      </c>
      <c r="CF1212" s="3">
        <v>45791</v>
      </c>
      <c r="CI1212">
        <v>1</v>
      </c>
      <c r="CJ1212">
        <v>1</v>
      </c>
      <c r="CK1212">
        <v>41</v>
      </c>
      <c r="CL1212" t="s">
        <v>89</v>
      </c>
    </row>
    <row r="1213" spans="1:90" x14ac:dyDescent="0.3">
      <c r="A1213" t="s">
        <v>72</v>
      </c>
      <c r="B1213" t="s">
        <v>73</v>
      </c>
      <c r="C1213" t="s">
        <v>74</v>
      </c>
      <c r="E1213" t="str">
        <f>"080065352846"</f>
        <v>080065352846</v>
      </c>
      <c r="F1213" s="3">
        <v>45790</v>
      </c>
      <c r="G1213">
        <v>202602</v>
      </c>
      <c r="H1213" t="s">
        <v>75</v>
      </c>
      <c r="I1213" t="s">
        <v>76</v>
      </c>
      <c r="J1213" t="s">
        <v>77</v>
      </c>
      <c r="K1213" t="s">
        <v>78</v>
      </c>
      <c r="L1213" t="s">
        <v>117</v>
      </c>
      <c r="M1213" t="s">
        <v>118</v>
      </c>
      <c r="N1213" t="s">
        <v>1564</v>
      </c>
      <c r="O1213" t="s">
        <v>82</v>
      </c>
      <c r="P1213" t="str">
        <f>"4170038178                    "</f>
        <v xml:space="preserve">4170038178                    </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16.7</v>
      </c>
      <c r="AR1213">
        <v>0</v>
      </c>
      <c r="AS1213">
        <v>0</v>
      </c>
      <c r="AT1213">
        <v>0</v>
      </c>
      <c r="AU1213">
        <v>0</v>
      </c>
      <c r="AV1213">
        <v>0</v>
      </c>
      <c r="AW1213">
        <v>0</v>
      </c>
      <c r="AX1213">
        <v>0</v>
      </c>
      <c r="AY1213">
        <v>0</v>
      </c>
      <c r="AZ1213">
        <v>0</v>
      </c>
      <c r="BA1213">
        <v>0</v>
      </c>
      <c r="BB1213">
        <v>0</v>
      </c>
      <c r="BC1213">
        <v>0</v>
      </c>
      <c r="BD1213">
        <v>0</v>
      </c>
      <c r="BE1213">
        <v>0</v>
      </c>
      <c r="BF1213">
        <v>0</v>
      </c>
      <c r="BG1213">
        <v>0</v>
      </c>
      <c r="BH1213">
        <v>1</v>
      </c>
      <c r="BI1213">
        <v>1</v>
      </c>
      <c r="BJ1213">
        <v>0.2</v>
      </c>
      <c r="BK1213">
        <v>1</v>
      </c>
      <c r="BL1213">
        <v>54.66</v>
      </c>
      <c r="BM1213">
        <v>8.1999999999999993</v>
      </c>
      <c r="BN1213">
        <v>62.86</v>
      </c>
      <c r="BO1213">
        <v>62.86</v>
      </c>
      <c r="BQ1213" t="s">
        <v>1565</v>
      </c>
      <c r="BR1213" t="s">
        <v>84</v>
      </c>
      <c r="BS1213" s="3">
        <v>45791</v>
      </c>
      <c r="BT1213" s="4">
        <v>0.43055555555555558</v>
      </c>
      <c r="BU1213" t="s">
        <v>1923</v>
      </c>
      <c r="BV1213" t="s">
        <v>86</v>
      </c>
      <c r="BY1213">
        <v>1200</v>
      </c>
      <c r="CA1213" t="s">
        <v>924</v>
      </c>
      <c r="CC1213" t="s">
        <v>118</v>
      </c>
      <c r="CD1213">
        <v>2091</v>
      </c>
      <c r="CE1213" t="s">
        <v>88</v>
      </c>
      <c r="CF1213" s="3">
        <v>45792</v>
      </c>
      <c r="CI1213">
        <v>1</v>
      </c>
      <c r="CJ1213">
        <v>1</v>
      </c>
      <c r="CK1213">
        <v>22</v>
      </c>
      <c r="CL1213" t="s">
        <v>89</v>
      </c>
    </row>
    <row r="1214" spans="1:90" x14ac:dyDescent="0.3">
      <c r="A1214" t="s">
        <v>72</v>
      </c>
      <c r="B1214" t="s">
        <v>73</v>
      </c>
      <c r="C1214" t="s">
        <v>74</v>
      </c>
      <c r="E1214" t="str">
        <f>"080065352874"</f>
        <v>080065352874</v>
      </c>
      <c r="F1214" s="3">
        <v>45790</v>
      </c>
      <c r="G1214">
        <v>202602</v>
      </c>
      <c r="H1214" t="s">
        <v>75</v>
      </c>
      <c r="I1214" t="s">
        <v>76</v>
      </c>
      <c r="J1214" t="s">
        <v>77</v>
      </c>
      <c r="K1214" t="s">
        <v>78</v>
      </c>
      <c r="L1214" t="s">
        <v>463</v>
      </c>
      <c r="M1214" t="s">
        <v>464</v>
      </c>
      <c r="N1214" t="s">
        <v>744</v>
      </c>
      <c r="O1214" t="s">
        <v>82</v>
      </c>
      <c r="P1214" t="str">
        <f>"4170038161                    "</f>
        <v xml:space="preserve">4170038161                    </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21.38</v>
      </c>
      <c r="AR1214">
        <v>0</v>
      </c>
      <c r="AS1214">
        <v>0</v>
      </c>
      <c r="AT1214">
        <v>0</v>
      </c>
      <c r="AU1214">
        <v>0</v>
      </c>
      <c r="AV1214">
        <v>0</v>
      </c>
      <c r="AW1214">
        <v>0</v>
      </c>
      <c r="AX1214">
        <v>0</v>
      </c>
      <c r="AY1214">
        <v>0</v>
      </c>
      <c r="AZ1214">
        <v>0</v>
      </c>
      <c r="BA1214">
        <v>0</v>
      </c>
      <c r="BB1214">
        <v>0</v>
      </c>
      <c r="BC1214">
        <v>0</v>
      </c>
      <c r="BD1214">
        <v>0</v>
      </c>
      <c r="BE1214">
        <v>0</v>
      </c>
      <c r="BF1214">
        <v>0</v>
      </c>
      <c r="BG1214">
        <v>0</v>
      </c>
      <c r="BH1214">
        <v>1</v>
      </c>
      <c r="BI1214">
        <v>1</v>
      </c>
      <c r="BJ1214">
        <v>0.2</v>
      </c>
      <c r="BK1214">
        <v>1</v>
      </c>
      <c r="BL1214">
        <v>69.98</v>
      </c>
      <c r="BM1214">
        <v>10.5</v>
      </c>
      <c r="BN1214">
        <v>80.48</v>
      </c>
      <c r="BO1214">
        <v>80.48</v>
      </c>
      <c r="BQ1214" t="s">
        <v>745</v>
      </c>
      <c r="BR1214" t="s">
        <v>84</v>
      </c>
      <c r="BS1214" s="3">
        <v>45791</v>
      </c>
      <c r="BT1214" s="4">
        <v>0.47847222222222224</v>
      </c>
      <c r="BU1214" t="s">
        <v>1775</v>
      </c>
      <c r="BV1214" t="s">
        <v>89</v>
      </c>
      <c r="BY1214">
        <v>1200</v>
      </c>
      <c r="CA1214" t="s">
        <v>1509</v>
      </c>
      <c r="CC1214" t="s">
        <v>464</v>
      </c>
      <c r="CD1214">
        <v>5201</v>
      </c>
      <c r="CE1214" t="s">
        <v>88</v>
      </c>
      <c r="CF1214" s="3">
        <v>45792</v>
      </c>
      <c r="CI1214">
        <v>1</v>
      </c>
      <c r="CJ1214">
        <v>1</v>
      </c>
      <c r="CK1214">
        <v>21</v>
      </c>
      <c r="CL1214" t="s">
        <v>89</v>
      </c>
    </row>
    <row r="1215" spans="1:90" x14ac:dyDescent="0.3">
      <c r="A1215" t="s">
        <v>72</v>
      </c>
      <c r="B1215" t="s">
        <v>73</v>
      </c>
      <c r="C1215" t="s">
        <v>74</v>
      </c>
      <c r="E1215" t="str">
        <f>"080065352884"</f>
        <v>080065352884</v>
      </c>
      <c r="F1215" s="3">
        <v>45790</v>
      </c>
      <c r="G1215">
        <v>202602</v>
      </c>
      <c r="H1215" t="s">
        <v>75</v>
      </c>
      <c r="I1215" t="s">
        <v>76</v>
      </c>
      <c r="J1215" t="s">
        <v>77</v>
      </c>
      <c r="K1215" t="s">
        <v>78</v>
      </c>
      <c r="L1215" t="s">
        <v>311</v>
      </c>
      <c r="M1215" t="s">
        <v>312</v>
      </c>
      <c r="N1215" t="s">
        <v>939</v>
      </c>
      <c r="O1215" t="s">
        <v>82</v>
      </c>
      <c r="P1215" t="str">
        <f>"4170038112                    "</f>
        <v xml:space="preserve">4170038112                    </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20.71</v>
      </c>
      <c r="AR1215">
        <v>0</v>
      </c>
      <c r="AS1215">
        <v>0</v>
      </c>
      <c r="AT1215">
        <v>0</v>
      </c>
      <c r="AU1215">
        <v>0</v>
      </c>
      <c r="AV1215">
        <v>0</v>
      </c>
      <c r="AW1215">
        <v>0</v>
      </c>
      <c r="AX1215">
        <v>0</v>
      </c>
      <c r="AY1215">
        <v>0</v>
      </c>
      <c r="AZ1215">
        <v>0</v>
      </c>
      <c r="BA1215">
        <v>0</v>
      </c>
      <c r="BB1215">
        <v>0</v>
      </c>
      <c r="BC1215">
        <v>0</v>
      </c>
      <c r="BD1215">
        <v>0</v>
      </c>
      <c r="BE1215">
        <v>0</v>
      </c>
      <c r="BF1215">
        <v>0</v>
      </c>
      <c r="BG1215">
        <v>0</v>
      </c>
      <c r="BH1215">
        <v>1</v>
      </c>
      <c r="BI1215">
        <v>10</v>
      </c>
      <c r="BJ1215">
        <v>3.8</v>
      </c>
      <c r="BK1215">
        <v>10</v>
      </c>
      <c r="BL1215">
        <v>67.77</v>
      </c>
      <c r="BM1215">
        <v>10.17</v>
      </c>
      <c r="BN1215">
        <v>77.94</v>
      </c>
      <c r="BO1215">
        <v>77.94</v>
      </c>
      <c r="BQ1215" t="s">
        <v>940</v>
      </c>
      <c r="BR1215" t="s">
        <v>84</v>
      </c>
      <c r="BS1215" s="3">
        <v>45791</v>
      </c>
      <c r="BT1215" s="4">
        <v>0.40208333333333335</v>
      </c>
      <c r="BU1215" t="s">
        <v>1924</v>
      </c>
      <c r="BV1215" t="s">
        <v>86</v>
      </c>
      <c r="BY1215">
        <v>18900</v>
      </c>
      <c r="CA1215" t="s">
        <v>316</v>
      </c>
      <c r="CC1215" t="s">
        <v>312</v>
      </c>
      <c r="CD1215">
        <v>1502</v>
      </c>
      <c r="CE1215" t="s">
        <v>221</v>
      </c>
      <c r="CF1215" s="3">
        <v>45791</v>
      </c>
      <c r="CI1215">
        <v>1</v>
      </c>
      <c r="CJ1215">
        <v>1</v>
      </c>
      <c r="CK1215">
        <v>22</v>
      </c>
      <c r="CL1215" t="s">
        <v>89</v>
      </c>
    </row>
    <row r="1216" spans="1:90" x14ac:dyDescent="0.3">
      <c r="A1216" t="s">
        <v>72</v>
      </c>
      <c r="B1216" t="s">
        <v>73</v>
      </c>
      <c r="C1216" t="s">
        <v>74</v>
      </c>
      <c r="E1216" t="str">
        <f>"080065352911"</f>
        <v>080065352911</v>
      </c>
      <c r="F1216" s="3">
        <v>45790</v>
      </c>
      <c r="G1216">
        <v>202602</v>
      </c>
      <c r="H1216" t="s">
        <v>75</v>
      </c>
      <c r="I1216" t="s">
        <v>76</v>
      </c>
      <c r="J1216" t="s">
        <v>77</v>
      </c>
      <c r="K1216" t="s">
        <v>78</v>
      </c>
      <c r="L1216" t="s">
        <v>130</v>
      </c>
      <c r="M1216" t="s">
        <v>131</v>
      </c>
      <c r="N1216" t="s">
        <v>909</v>
      </c>
      <c r="O1216" t="s">
        <v>82</v>
      </c>
      <c r="P1216" t="str">
        <f>"4170038158                    "</f>
        <v xml:space="preserve">4170038158                    </v>
      </c>
      <c r="Q1216">
        <v>0</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c r="AJ1216">
        <v>0</v>
      </c>
      <c r="AK1216">
        <v>0</v>
      </c>
      <c r="AL1216">
        <v>0</v>
      </c>
      <c r="AM1216">
        <v>0</v>
      </c>
      <c r="AN1216">
        <v>0</v>
      </c>
      <c r="AO1216">
        <v>0</v>
      </c>
      <c r="AP1216">
        <v>0</v>
      </c>
      <c r="AQ1216">
        <v>21.38</v>
      </c>
      <c r="AR1216">
        <v>0</v>
      </c>
      <c r="AS1216">
        <v>0</v>
      </c>
      <c r="AT1216">
        <v>0</v>
      </c>
      <c r="AU1216">
        <v>0</v>
      </c>
      <c r="AV1216">
        <v>0</v>
      </c>
      <c r="AW1216">
        <v>0</v>
      </c>
      <c r="AX1216">
        <v>0</v>
      </c>
      <c r="AY1216">
        <v>0</v>
      </c>
      <c r="AZ1216">
        <v>0</v>
      </c>
      <c r="BA1216">
        <v>0</v>
      </c>
      <c r="BB1216">
        <v>0</v>
      </c>
      <c r="BC1216">
        <v>0</v>
      </c>
      <c r="BD1216">
        <v>0</v>
      </c>
      <c r="BE1216">
        <v>0</v>
      </c>
      <c r="BF1216">
        <v>0</v>
      </c>
      <c r="BG1216">
        <v>0</v>
      </c>
      <c r="BH1216">
        <v>1</v>
      </c>
      <c r="BI1216">
        <v>1</v>
      </c>
      <c r="BJ1216">
        <v>0.2</v>
      </c>
      <c r="BK1216">
        <v>1</v>
      </c>
      <c r="BL1216">
        <v>69.98</v>
      </c>
      <c r="BM1216">
        <v>10.5</v>
      </c>
      <c r="BN1216">
        <v>80.48</v>
      </c>
      <c r="BO1216">
        <v>80.48</v>
      </c>
      <c r="BQ1216" t="s">
        <v>910</v>
      </c>
      <c r="BR1216" t="s">
        <v>84</v>
      </c>
      <c r="BS1216" s="3">
        <v>45791</v>
      </c>
      <c r="BT1216" s="4">
        <v>0.35555555555555557</v>
      </c>
      <c r="BU1216" t="s">
        <v>911</v>
      </c>
      <c r="BV1216" t="s">
        <v>86</v>
      </c>
      <c r="BY1216">
        <v>1200</v>
      </c>
      <c r="CA1216" t="s">
        <v>712</v>
      </c>
      <c r="CC1216" t="s">
        <v>131</v>
      </c>
      <c r="CD1216">
        <v>7530</v>
      </c>
      <c r="CE1216" t="s">
        <v>88</v>
      </c>
      <c r="CF1216" s="3">
        <v>45792</v>
      </c>
      <c r="CI1216">
        <v>1</v>
      </c>
      <c r="CJ1216">
        <v>1</v>
      </c>
      <c r="CK1216">
        <v>21</v>
      </c>
      <c r="CL1216" t="s">
        <v>89</v>
      </c>
    </row>
    <row r="1217" spans="1:90" x14ac:dyDescent="0.3">
      <c r="A1217" t="s">
        <v>72</v>
      </c>
      <c r="B1217" t="s">
        <v>73</v>
      </c>
      <c r="C1217" t="s">
        <v>74</v>
      </c>
      <c r="E1217" t="str">
        <f>"080065352939"</f>
        <v>080065352939</v>
      </c>
      <c r="F1217" s="3">
        <v>45790</v>
      </c>
      <c r="G1217">
        <v>202602</v>
      </c>
      <c r="H1217" t="s">
        <v>75</v>
      </c>
      <c r="I1217" t="s">
        <v>76</v>
      </c>
      <c r="J1217" t="s">
        <v>77</v>
      </c>
      <c r="K1217" t="s">
        <v>78</v>
      </c>
      <c r="L1217" t="s">
        <v>222</v>
      </c>
      <c r="M1217" t="s">
        <v>223</v>
      </c>
      <c r="N1217" t="s">
        <v>826</v>
      </c>
      <c r="O1217" t="s">
        <v>300</v>
      </c>
      <c r="P1217" t="str">
        <f>"4170038137                    "</f>
        <v xml:space="preserve">4170038137                    </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0</v>
      </c>
      <c r="AQ1217">
        <v>49.24</v>
      </c>
      <c r="AR1217">
        <v>0</v>
      </c>
      <c r="AS1217">
        <v>0</v>
      </c>
      <c r="AT1217">
        <v>0</v>
      </c>
      <c r="AU1217">
        <v>0</v>
      </c>
      <c r="AV1217">
        <v>0</v>
      </c>
      <c r="AW1217">
        <v>0</v>
      </c>
      <c r="AX1217">
        <v>0</v>
      </c>
      <c r="AY1217">
        <v>0</v>
      </c>
      <c r="AZ1217">
        <v>0</v>
      </c>
      <c r="BA1217">
        <v>0</v>
      </c>
      <c r="BB1217">
        <v>0</v>
      </c>
      <c r="BC1217">
        <v>0</v>
      </c>
      <c r="BD1217">
        <v>0</v>
      </c>
      <c r="BE1217">
        <v>0</v>
      </c>
      <c r="BF1217">
        <v>0</v>
      </c>
      <c r="BG1217">
        <v>0</v>
      </c>
      <c r="BH1217">
        <v>1</v>
      </c>
      <c r="BI1217">
        <v>5</v>
      </c>
      <c r="BJ1217">
        <v>17.899999999999999</v>
      </c>
      <c r="BK1217">
        <v>18</v>
      </c>
      <c r="BL1217">
        <v>166.73</v>
      </c>
      <c r="BM1217">
        <v>25.01</v>
      </c>
      <c r="BN1217">
        <v>191.74</v>
      </c>
      <c r="BO1217">
        <v>191.74</v>
      </c>
      <c r="BQ1217" t="s">
        <v>1013</v>
      </c>
      <c r="BR1217" t="s">
        <v>84</v>
      </c>
      <c r="BS1217" s="3">
        <v>45791</v>
      </c>
      <c r="BT1217" s="4">
        <v>0.41041666666666665</v>
      </c>
      <c r="BU1217" t="s">
        <v>1925</v>
      </c>
      <c r="BV1217" t="s">
        <v>86</v>
      </c>
      <c r="BY1217">
        <v>89349</v>
      </c>
      <c r="CA1217" t="s">
        <v>1015</v>
      </c>
      <c r="CC1217" t="s">
        <v>223</v>
      </c>
      <c r="CD1217">
        <v>1739</v>
      </c>
      <c r="CE1217" t="s">
        <v>96</v>
      </c>
      <c r="CF1217" s="3">
        <v>45792</v>
      </c>
      <c r="CI1217">
        <v>1</v>
      </c>
      <c r="CJ1217">
        <v>1</v>
      </c>
      <c r="CK1217">
        <v>44</v>
      </c>
      <c r="CL1217" t="s">
        <v>89</v>
      </c>
    </row>
    <row r="1218" spans="1:90" x14ac:dyDescent="0.3">
      <c r="A1218" t="s">
        <v>72</v>
      </c>
      <c r="B1218" t="s">
        <v>73</v>
      </c>
      <c r="C1218" t="s">
        <v>74</v>
      </c>
      <c r="E1218" t="str">
        <f>"080065352944"</f>
        <v>080065352944</v>
      </c>
      <c r="F1218" s="3">
        <v>45790</v>
      </c>
      <c r="G1218">
        <v>202602</v>
      </c>
      <c r="H1218" t="s">
        <v>75</v>
      </c>
      <c r="I1218" t="s">
        <v>76</v>
      </c>
      <c r="J1218" t="s">
        <v>77</v>
      </c>
      <c r="K1218" t="s">
        <v>78</v>
      </c>
      <c r="L1218" t="s">
        <v>130</v>
      </c>
      <c r="M1218" t="s">
        <v>131</v>
      </c>
      <c r="N1218" t="s">
        <v>1066</v>
      </c>
      <c r="O1218" t="s">
        <v>82</v>
      </c>
      <c r="P1218" t="str">
        <f>"4170038194                    "</f>
        <v xml:space="preserve">4170038194                    </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21.38</v>
      </c>
      <c r="AR1218">
        <v>0</v>
      </c>
      <c r="AS1218">
        <v>0</v>
      </c>
      <c r="AT1218">
        <v>0</v>
      </c>
      <c r="AU1218">
        <v>0</v>
      </c>
      <c r="AV1218">
        <v>0</v>
      </c>
      <c r="AW1218">
        <v>0</v>
      </c>
      <c r="AX1218">
        <v>0</v>
      </c>
      <c r="AY1218">
        <v>0</v>
      </c>
      <c r="AZ1218">
        <v>0</v>
      </c>
      <c r="BA1218">
        <v>0</v>
      </c>
      <c r="BB1218">
        <v>0</v>
      </c>
      <c r="BC1218">
        <v>0</v>
      </c>
      <c r="BD1218">
        <v>0</v>
      </c>
      <c r="BE1218">
        <v>0</v>
      </c>
      <c r="BF1218">
        <v>0</v>
      </c>
      <c r="BG1218">
        <v>0</v>
      </c>
      <c r="BH1218">
        <v>1</v>
      </c>
      <c r="BI1218">
        <v>1</v>
      </c>
      <c r="BJ1218">
        <v>0.2</v>
      </c>
      <c r="BK1218">
        <v>1</v>
      </c>
      <c r="BL1218">
        <v>69.98</v>
      </c>
      <c r="BM1218">
        <v>10.5</v>
      </c>
      <c r="BN1218">
        <v>80.48</v>
      </c>
      <c r="BO1218">
        <v>80.48</v>
      </c>
      <c r="BQ1218" t="s">
        <v>1067</v>
      </c>
      <c r="BR1218" t="s">
        <v>84</v>
      </c>
      <c r="BS1218" s="3">
        <v>45791</v>
      </c>
      <c r="BT1218" s="4">
        <v>0.38680555555555557</v>
      </c>
      <c r="BU1218" t="s">
        <v>1068</v>
      </c>
      <c r="BV1218" t="s">
        <v>86</v>
      </c>
      <c r="BY1218">
        <v>1200</v>
      </c>
      <c r="CA1218" t="s">
        <v>712</v>
      </c>
      <c r="CC1218" t="s">
        <v>131</v>
      </c>
      <c r="CD1218">
        <v>7561</v>
      </c>
      <c r="CE1218" t="s">
        <v>88</v>
      </c>
      <c r="CF1218" s="3">
        <v>45792</v>
      </c>
      <c r="CI1218">
        <v>1</v>
      </c>
      <c r="CJ1218">
        <v>1</v>
      </c>
      <c r="CK1218">
        <v>21</v>
      </c>
      <c r="CL1218" t="s">
        <v>89</v>
      </c>
    </row>
    <row r="1219" spans="1:90" x14ac:dyDescent="0.3">
      <c r="A1219" t="s">
        <v>72</v>
      </c>
      <c r="B1219" t="s">
        <v>73</v>
      </c>
      <c r="C1219" t="s">
        <v>74</v>
      </c>
      <c r="E1219" t="str">
        <f>"080065352975"</f>
        <v>080065352975</v>
      </c>
      <c r="F1219" s="3">
        <v>45790</v>
      </c>
      <c r="G1219">
        <v>202602</v>
      </c>
      <c r="H1219" t="s">
        <v>75</v>
      </c>
      <c r="I1219" t="s">
        <v>76</v>
      </c>
      <c r="J1219" t="s">
        <v>77</v>
      </c>
      <c r="K1219" t="s">
        <v>78</v>
      </c>
      <c r="L1219" t="s">
        <v>463</v>
      </c>
      <c r="M1219" t="s">
        <v>464</v>
      </c>
      <c r="N1219" t="s">
        <v>585</v>
      </c>
      <c r="O1219" t="s">
        <v>82</v>
      </c>
      <c r="P1219" t="str">
        <f>"4170038126                    "</f>
        <v xml:space="preserve">4170038126                    </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v>0</v>
      </c>
      <c r="AQ1219">
        <v>21.38</v>
      </c>
      <c r="AR1219">
        <v>0</v>
      </c>
      <c r="AS1219">
        <v>0</v>
      </c>
      <c r="AT1219">
        <v>0</v>
      </c>
      <c r="AU1219">
        <v>0</v>
      </c>
      <c r="AV1219">
        <v>0</v>
      </c>
      <c r="AW1219">
        <v>0</v>
      </c>
      <c r="AX1219">
        <v>0</v>
      </c>
      <c r="AY1219">
        <v>0</v>
      </c>
      <c r="AZ1219">
        <v>0</v>
      </c>
      <c r="BA1219">
        <v>0</v>
      </c>
      <c r="BB1219">
        <v>0</v>
      </c>
      <c r="BC1219">
        <v>0</v>
      </c>
      <c r="BD1219">
        <v>0</v>
      </c>
      <c r="BE1219">
        <v>0</v>
      </c>
      <c r="BF1219">
        <v>0</v>
      </c>
      <c r="BG1219">
        <v>0</v>
      </c>
      <c r="BH1219">
        <v>1</v>
      </c>
      <c r="BI1219">
        <v>2</v>
      </c>
      <c r="BJ1219">
        <v>1.1000000000000001</v>
      </c>
      <c r="BK1219">
        <v>2</v>
      </c>
      <c r="BL1219">
        <v>69.98</v>
      </c>
      <c r="BM1219">
        <v>10.5</v>
      </c>
      <c r="BN1219">
        <v>80.48</v>
      </c>
      <c r="BO1219">
        <v>80.48</v>
      </c>
      <c r="BQ1219" t="s">
        <v>586</v>
      </c>
      <c r="BR1219" t="s">
        <v>84</v>
      </c>
      <c r="BS1219" s="3">
        <v>45791</v>
      </c>
      <c r="BT1219" s="4">
        <v>0.48958333333333331</v>
      </c>
      <c r="BU1219" t="s">
        <v>1444</v>
      </c>
      <c r="BV1219" t="s">
        <v>89</v>
      </c>
      <c r="BY1219">
        <v>5320</v>
      </c>
      <c r="CA1219" t="s">
        <v>1509</v>
      </c>
      <c r="CC1219" t="s">
        <v>464</v>
      </c>
      <c r="CD1219">
        <v>5201</v>
      </c>
      <c r="CE1219" t="s">
        <v>116</v>
      </c>
      <c r="CF1219" s="3">
        <v>45792</v>
      </c>
      <c r="CI1219">
        <v>1</v>
      </c>
      <c r="CJ1219">
        <v>1</v>
      </c>
      <c r="CK1219">
        <v>21</v>
      </c>
      <c r="CL1219" t="s">
        <v>89</v>
      </c>
    </row>
    <row r="1220" spans="1:90" x14ac:dyDescent="0.3">
      <c r="A1220" t="s">
        <v>72</v>
      </c>
      <c r="B1220" t="s">
        <v>73</v>
      </c>
      <c r="C1220" t="s">
        <v>74</v>
      </c>
      <c r="E1220" t="str">
        <f>"080065352973"</f>
        <v>080065352973</v>
      </c>
      <c r="F1220" s="3">
        <v>45790</v>
      </c>
      <c r="G1220">
        <v>202602</v>
      </c>
      <c r="H1220" t="s">
        <v>75</v>
      </c>
      <c r="I1220" t="s">
        <v>76</v>
      </c>
      <c r="J1220" t="s">
        <v>77</v>
      </c>
      <c r="K1220" t="s">
        <v>78</v>
      </c>
      <c r="L1220" t="s">
        <v>130</v>
      </c>
      <c r="M1220" t="s">
        <v>131</v>
      </c>
      <c r="N1220" t="s">
        <v>909</v>
      </c>
      <c r="O1220" t="s">
        <v>82</v>
      </c>
      <c r="P1220" t="str">
        <f>"4170038159                    "</f>
        <v xml:space="preserve">4170038159                    </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c r="AJ1220">
        <v>0</v>
      </c>
      <c r="AK1220">
        <v>0</v>
      </c>
      <c r="AL1220">
        <v>0</v>
      </c>
      <c r="AM1220">
        <v>0</v>
      </c>
      <c r="AN1220">
        <v>0</v>
      </c>
      <c r="AO1220">
        <v>0</v>
      </c>
      <c r="AP1220">
        <v>0</v>
      </c>
      <c r="AQ1220">
        <v>21.38</v>
      </c>
      <c r="AR1220">
        <v>0</v>
      </c>
      <c r="AS1220">
        <v>0</v>
      </c>
      <c r="AT1220">
        <v>0</v>
      </c>
      <c r="AU1220">
        <v>0</v>
      </c>
      <c r="AV1220">
        <v>0</v>
      </c>
      <c r="AW1220">
        <v>0</v>
      </c>
      <c r="AX1220">
        <v>0</v>
      </c>
      <c r="AY1220">
        <v>0</v>
      </c>
      <c r="AZ1220">
        <v>0</v>
      </c>
      <c r="BA1220">
        <v>0</v>
      </c>
      <c r="BB1220">
        <v>0</v>
      </c>
      <c r="BC1220">
        <v>0</v>
      </c>
      <c r="BD1220">
        <v>0</v>
      </c>
      <c r="BE1220">
        <v>0</v>
      </c>
      <c r="BF1220">
        <v>0</v>
      </c>
      <c r="BG1220">
        <v>0</v>
      </c>
      <c r="BH1220">
        <v>1</v>
      </c>
      <c r="BI1220">
        <v>1</v>
      </c>
      <c r="BJ1220">
        <v>0.2</v>
      </c>
      <c r="BK1220">
        <v>1</v>
      </c>
      <c r="BL1220">
        <v>69.98</v>
      </c>
      <c r="BM1220">
        <v>10.5</v>
      </c>
      <c r="BN1220">
        <v>80.48</v>
      </c>
      <c r="BO1220">
        <v>80.48</v>
      </c>
      <c r="BQ1220" t="s">
        <v>910</v>
      </c>
      <c r="BR1220" t="s">
        <v>84</v>
      </c>
      <c r="BS1220" s="3">
        <v>45791</v>
      </c>
      <c r="BT1220" s="4">
        <v>0.35555555555555557</v>
      </c>
      <c r="BU1220" t="s">
        <v>911</v>
      </c>
      <c r="BV1220" t="s">
        <v>86</v>
      </c>
      <c r="BY1220">
        <v>1200</v>
      </c>
      <c r="CA1220" t="s">
        <v>712</v>
      </c>
      <c r="CC1220" t="s">
        <v>131</v>
      </c>
      <c r="CD1220">
        <v>7530</v>
      </c>
      <c r="CE1220" t="s">
        <v>88</v>
      </c>
      <c r="CF1220" s="3">
        <v>45792</v>
      </c>
      <c r="CI1220">
        <v>1</v>
      </c>
      <c r="CJ1220">
        <v>1</v>
      </c>
      <c r="CK1220">
        <v>21</v>
      </c>
      <c r="CL1220" t="s">
        <v>89</v>
      </c>
    </row>
    <row r="1221" spans="1:90" x14ac:dyDescent="0.3">
      <c r="A1221" t="s">
        <v>72</v>
      </c>
      <c r="B1221" t="s">
        <v>73</v>
      </c>
      <c r="C1221" t="s">
        <v>74</v>
      </c>
      <c r="E1221" t="str">
        <f>"080065353002"</f>
        <v>080065353002</v>
      </c>
      <c r="F1221" s="3">
        <v>45790</v>
      </c>
      <c r="G1221">
        <v>202602</v>
      </c>
      <c r="H1221" t="s">
        <v>75</v>
      </c>
      <c r="I1221" t="s">
        <v>76</v>
      </c>
      <c r="J1221" t="s">
        <v>77</v>
      </c>
      <c r="K1221" t="s">
        <v>78</v>
      </c>
      <c r="L1221" t="s">
        <v>90</v>
      </c>
      <c r="M1221" t="s">
        <v>91</v>
      </c>
      <c r="N1221" t="s">
        <v>92</v>
      </c>
      <c r="O1221" t="s">
        <v>82</v>
      </c>
      <c r="P1221" t="str">
        <f>"4170038092                    "</f>
        <v xml:space="preserve">4170038092                    </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c r="AJ1221">
        <v>0</v>
      </c>
      <c r="AK1221">
        <v>0</v>
      </c>
      <c r="AL1221">
        <v>0</v>
      </c>
      <c r="AM1221">
        <v>0</v>
      </c>
      <c r="AN1221">
        <v>0</v>
      </c>
      <c r="AO1221">
        <v>0</v>
      </c>
      <c r="AP1221">
        <v>0</v>
      </c>
      <c r="AQ1221">
        <v>21.38</v>
      </c>
      <c r="AR1221">
        <v>0</v>
      </c>
      <c r="AS1221">
        <v>0</v>
      </c>
      <c r="AT1221">
        <v>0</v>
      </c>
      <c r="AU1221">
        <v>0</v>
      </c>
      <c r="AV1221">
        <v>0</v>
      </c>
      <c r="AW1221">
        <v>0</v>
      </c>
      <c r="AX1221">
        <v>0</v>
      </c>
      <c r="AY1221">
        <v>0</v>
      </c>
      <c r="AZ1221">
        <v>0</v>
      </c>
      <c r="BA1221">
        <v>0</v>
      </c>
      <c r="BB1221">
        <v>0</v>
      </c>
      <c r="BC1221">
        <v>0</v>
      </c>
      <c r="BD1221">
        <v>0</v>
      </c>
      <c r="BE1221">
        <v>0</v>
      </c>
      <c r="BF1221">
        <v>0</v>
      </c>
      <c r="BG1221">
        <v>0</v>
      </c>
      <c r="BH1221">
        <v>1</v>
      </c>
      <c r="BI1221">
        <v>1</v>
      </c>
      <c r="BJ1221">
        <v>0.2</v>
      </c>
      <c r="BK1221">
        <v>1</v>
      </c>
      <c r="BL1221">
        <v>69.98</v>
      </c>
      <c r="BM1221">
        <v>10.5</v>
      </c>
      <c r="BN1221">
        <v>80.48</v>
      </c>
      <c r="BO1221">
        <v>80.48</v>
      </c>
      <c r="BQ1221" t="s">
        <v>93</v>
      </c>
      <c r="BR1221" t="s">
        <v>84</v>
      </c>
      <c r="BS1221" s="3">
        <v>45791</v>
      </c>
      <c r="BT1221" s="4">
        <v>0.38124999999999998</v>
      </c>
      <c r="BU1221" t="s">
        <v>1926</v>
      </c>
      <c r="BV1221" t="s">
        <v>86</v>
      </c>
      <c r="BY1221">
        <v>1200</v>
      </c>
      <c r="CA1221" t="s">
        <v>95</v>
      </c>
      <c r="CC1221" t="s">
        <v>91</v>
      </c>
      <c r="CD1221">
        <v>6001</v>
      </c>
      <c r="CE1221" t="s">
        <v>88</v>
      </c>
      <c r="CF1221" s="3">
        <v>45791</v>
      </c>
      <c r="CI1221">
        <v>1</v>
      </c>
      <c r="CJ1221">
        <v>1</v>
      </c>
      <c r="CK1221">
        <v>21</v>
      </c>
      <c r="CL1221" t="s">
        <v>89</v>
      </c>
    </row>
    <row r="1222" spans="1:90" x14ac:dyDescent="0.3">
      <c r="A1222" t="s">
        <v>72</v>
      </c>
      <c r="B1222" t="s">
        <v>73</v>
      </c>
      <c r="C1222" t="s">
        <v>74</v>
      </c>
      <c r="E1222" t="str">
        <f>"080065353045"</f>
        <v>080065353045</v>
      </c>
      <c r="F1222" s="3">
        <v>45790</v>
      </c>
      <c r="G1222">
        <v>202602</v>
      </c>
      <c r="H1222" t="s">
        <v>75</v>
      </c>
      <c r="I1222" t="s">
        <v>76</v>
      </c>
      <c r="J1222" t="s">
        <v>77</v>
      </c>
      <c r="K1222" t="s">
        <v>78</v>
      </c>
      <c r="L1222" t="s">
        <v>136</v>
      </c>
      <c r="M1222" t="s">
        <v>137</v>
      </c>
      <c r="N1222" t="s">
        <v>1307</v>
      </c>
      <c r="O1222" t="s">
        <v>82</v>
      </c>
      <c r="P1222" t="str">
        <f>"4170038068                    "</f>
        <v xml:space="preserve">4170038068                    </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21.38</v>
      </c>
      <c r="AR1222">
        <v>0</v>
      </c>
      <c r="AS1222">
        <v>0</v>
      </c>
      <c r="AT1222">
        <v>0</v>
      </c>
      <c r="AU1222">
        <v>0</v>
      </c>
      <c r="AV1222">
        <v>0</v>
      </c>
      <c r="AW1222">
        <v>0</v>
      </c>
      <c r="AX1222">
        <v>0</v>
      </c>
      <c r="AY1222">
        <v>0</v>
      </c>
      <c r="AZ1222">
        <v>0</v>
      </c>
      <c r="BA1222">
        <v>0</v>
      </c>
      <c r="BB1222">
        <v>0</v>
      </c>
      <c r="BC1222">
        <v>0</v>
      </c>
      <c r="BD1222">
        <v>0</v>
      </c>
      <c r="BE1222">
        <v>0</v>
      </c>
      <c r="BF1222">
        <v>0</v>
      </c>
      <c r="BG1222">
        <v>0</v>
      </c>
      <c r="BH1222">
        <v>1</v>
      </c>
      <c r="BI1222">
        <v>1</v>
      </c>
      <c r="BJ1222">
        <v>0.2</v>
      </c>
      <c r="BK1222">
        <v>1</v>
      </c>
      <c r="BL1222">
        <v>69.98</v>
      </c>
      <c r="BM1222">
        <v>10.5</v>
      </c>
      <c r="BN1222">
        <v>80.48</v>
      </c>
      <c r="BO1222">
        <v>80.48</v>
      </c>
      <c r="BQ1222" t="s">
        <v>1308</v>
      </c>
      <c r="BR1222" t="s">
        <v>84</v>
      </c>
      <c r="BS1222" s="3">
        <v>45791</v>
      </c>
      <c r="BT1222" s="4">
        <v>0.40833333333333333</v>
      </c>
      <c r="BU1222" t="s">
        <v>1309</v>
      </c>
      <c r="BV1222" t="s">
        <v>86</v>
      </c>
      <c r="BY1222">
        <v>1200</v>
      </c>
      <c r="CA1222" t="s">
        <v>141</v>
      </c>
      <c r="CC1222" t="s">
        <v>137</v>
      </c>
      <c r="CD1222" s="5" t="s">
        <v>142</v>
      </c>
      <c r="CE1222" t="s">
        <v>88</v>
      </c>
      <c r="CF1222" s="3">
        <v>45791</v>
      </c>
      <c r="CI1222">
        <v>1</v>
      </c>
      <c r="CJ1222">
        <v>1</v>
      </c>
      <c r="CK1222">
        <v>21</v>
      </c>
      <c r="CL1222" t="s">
        <v>89</v>
      </c>
    </row>
    <row r="1223" spans="1:90" x14ac:dyDescent="0.3">
      <c r="A1223" t="s">
        <v>72</v>
      </c>
      <c r="B1223" t="s">
        <v>73</v>
      </c>
      <c r="C1223" t="s">
        <v>74</v>
      </c>
      <c r="E1223" t="str">
        <f>"080065353074"</f>
        <v>080065353074</v>
      </c>
      <c r="F1223" s="3">
        <v>45790</v>
      </c>
      <c r="G1223">
        <v>202602</v>
      </c>
      <c r="H1223" t="s">
        <v>75</v>
      </c>
      <c r="I1223" t="s">
        <v>76</v>
      </c>
      <c r="J1223" t="s">
        <v>77</v>
      </c>
      <c r="K1223" t="s">
        <v>78</v>
      </c>
      <c r="L1223" t="s">
        <v>130</v>
      </c>
      <c r="M1223" t="s">
        <v>131</v>
      </c>
      <c r="N1223" t="s">
        <v>897</v>
      </c>
      <c r="O1223" t="s">
        <v>82</v>
      </c>
      <c r="P1223" t="str">
        <f>"4170038203                    "</f>
        <v xml:space="preserve">4170038203                    </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0</v>
      </c>
      <c r="AK1223">
        <v>0</v>
      </c>
      <c r="AL1223">
        <v>0</v>
      </c>
      <c r="AM1223">
        <v>0</v>
      </c>
      <c r="AN1223">
        <v>0</v>
      </c>
      <c r="AO1223">
        <v>0</v>
      </c>
      <c r="AP1223">
        <v>0</v>
      </c>
      <c r="AQ1223">
        <v>21.38</v>
      </c>
      <c r="AR1223">
        <v>0</v>
      </c>
      <c r="AS1223">
        <v>0</v>
      </c>
      <c r="AT1223">
        <v>0</v>
      </c>
      <c r="AU1223">
        <v>0</v>
      </c>
      <c r="AV1223">
        <v>0</v>
      </c>
      <c r="AW1223">
        <v>0</v>
      </c>
      <c r="AX1223">
        <v>0</v>
      </c>
      <c r="AY1223">
        <v>0</v>
      </c>
      <c r="AZ1223">
        <v>0</v>
      </c>
      <c r="BA1223">
        <v>0</v>
      </c>
      <c r="BB1223">
        <v>0</v>
      </c>
      <c r="BC1223">
        <v>0</v>
      </c>
      <c r="BD1223">
        <v>0</v>
      </c>
      <c r="BE1223">
        <v>0</v>
      </c>
      <c r="BF1223">
        <v>0</v>
      </c>
      <c r="BG1223">
        <v>0</v>
      </c>
      <c r="BH1223">
        <v>1</v>
      </c>
      <c r="BI1223">
        <v>1</v>
      </c>
      <c r="BJ1223">
        <v>0.2</v>
      </c>
      <c r="BK1223">
        <v>1</v>
      </c>
      <c r="BL1223">
        <v>69.98</v>
      </c>
      <c r="BM1223">
        <v>10.5</v>
      </c>
      <c r="BN1223">
        <v>80.48</v>
      </c>
      <c r="BO1223">
        <v>80.48</v>
      </c>
      <c r="BQ1223" t="s">
        <v>898</v>
      </c>
      <c r="BR1223" t="s">
        <v>84</v>
      </c>
      <c r="BS1223" s="3">
        <v>45791</v>
      </c>
      <c r="BT1223" s="4">
        <v>0.47708333333333336</v>
      </c>
      <c r="BU1223" t="s">
        <v>899</v>
      </c>
      <c r="BV1223" t="s">
        <v>89</v>
      </c>
      <c r="BW1223" t="s">
        <v>340</v>
      </c>
      <c r="BX1223" t="s">
        <v>578</v>
      </c>
      <c r="BY1223">
        <v>1200</v>
      </c>
      <c r="CA1223" t="s">
        <v>901</v>
      </c>
      <c r="CC1223" t="s">
        <v>131</v>
      </c>
      <c r="CD1223">
        <v>7550</v>
      </c>
      <c r="CE1223" t="s">
        <v>88</v>
      </c>
      <c r="CF1223" s="3">
        <v>45792</v>
      </c>
      <c r="CI1223">
        <v>1</v>
      </c>
      <c r="CJ1223">
        <v>1</v>
      </c>
      <c r="CK1223">
        <v>21</v>
      </c>
      <c r="CL1223" t="s">
        <v>89</v>
      </c>
    </row>
    <row r="1224" spans="1:90" x14ac:dyDescent="0.3">
      <c r="A1224" t="s">
        <v>72</v>
      </c>
      <c r="B1224" t="s">
        <v>73</v>
      </c>
      <c r="C1224" t="s">
        <v>74</v>
      </c>
      <c r="E1224" t="str">
        <f>"080065353096"</f>
        <v>080065353096</v>
      </c>
      <c r="F1224" s="3">
        <v>45790</v>
      </c>
      <c r="G1224">
        <v>202602</v>
      </c>
      <c r="H1224" t="s">
        <v>75</v>
      </c>
      <c r="I1224" t="s">
        <v>76</v>
      </c>
      <c r="J1224" t="s">
        <v>77</v>
      </c>
      <c r="K1224" t="s">
        <v>78</v>
      </c>
      <c r="L1224" t="s">
        <v>79</v>
      </c>
      <c r="M1224" t="s">
        <v>80</v>
      </c>
      <c r="N1224" t="s">
        <v>862</v>
      </c>
      <c r="O1224" t="s">
        <v>82</v>
      </c>
      <c r="P1224" t="str">
        <f>"4170038206                    "</f>
        <v xml:space="preserve">4170038206                    </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0</v>
      </c>
      <c r="AL1224">
        <v>0</v>
      </c>
      <c r="AM1224">
        <v>0</v>
      </c>
      <c r="AN1224">
        <v>0</v>
      </c>
      <c r="AO1224">
        <v>0</v>
      </c>
      <c r="AP1224">
        <v>0</v>
      </c>
      <c r="AQ1224">
        <v>21.38</v>
      </c>
      <c r="AR1224">
        <v>0</v>
      </c>
      <c r="AS1224">
        <v>0</v>
      </c>
      <c r="AT1224">
        <v>0</v>
      </c>
      <c r="AU1224">
        <v>0</v>
      </c>
      <c r="AV1224">
        <v>0</v>
      </c>
      <c r="AW1224">
        <v>0</v>
      </c>
      <c r="AX1224">
        <v>0</v>
      </c>
      <c r="AY1224">
        <v>0</v>
      </c>
      <c r="AZ1224">
        <v>0</v>
      </c>
      <c r="BA1224">
        <v>0</v>
      </c>
      <c r="BB1224">
        <v>0</v>
      </c>
      <c r="BC1224">
        <v>0</v>
      </c>
      <c r="BD1224">
        <v>0</v>
      </c>
      <c r="BE1224">
        <v>0</v>
      </c>
      <c r="BF1224">
        <v>0</v>
      </c>
      <c r="BG1224">
        <v>0</v>
      </c>
      <c r="BH1224">
        <v>1</v>
      </c>
      <c r="BI1224">
        <v>1</v>
      </c>
      <c r="BJ1224">
        <v>0.2</v>
      </c>
      <c r="BK1224">
        <v>1</v>
      </c>
      <c r="BL1224">
        <v>69.98</v>
      </c>
      <c r="BM1224">
        <v>10.5</v>
      </c>
      <c r="BN1224">
        <v>80.48</v>
      </c>
      <c r="BO1224">
        <v>80.48</v>
      </c>
      <c r="BQ1224" t="s">
        <v>863</v>
      </c>
      <c r="BR1224" t="s">
        <v>84</v>
      </c>
      <c r="BS1224" s="3">
        <v>45791</v>
      </c>
      <c r="BT1224" s="4">
        <v>0.43333333333333335</v>
      </c>
      <c r="BU1224" t="s">
        <v>864</v>
      </c>
      <c r="BV1224" t="s">
        <v>86</v>
      </c>
      <c r="BY1224">
        <v>1200</v>
      </c>
      <c r="CA1224" t="s">
        <v>160</v>
      </c>
      <c r="CC1224" t="s">
        <v>80</v>
      </c>
      <c r="CD1224">
        <v>3610</v>
      </c>
      <c r="CE1224" t="s">
        <v>88</v>
      </c>
      <c r="CF1224" s="3">
        <v>45792</v>
      </c>
      <c r="CI1224">
        <v>1</v>
      </c>
      <c r="CJ1224">
        <v>1</v>
      </c>
      <c r="CK1224">
        <v>21</v>
      </c>
      <c r="CL1224" t="s">
        <v>89</v>
      </c>
    </row>
    <row r="1225" spans="1:90" x14ac:dyDescent="0.3">
      <c r="A1225" t="s">
        <v>72</v>
      </c>
      <c r="B1225" t="s">
        <v>73</v>
      </c>
      <c r="C1225" t="s">
        <v>74</v>
      </c>
      <c r="E1225" t="str">
        <f>"080065353123"</f>
        <v>080065353123</v>
      </c>
      <c r="F1225" s="3">
        <v>45790</v>
      </c>
      <c r="G1225">
        <v>202602</v>
      </c>
      <c r="H1225" t="s">
        <v>75</v>
      </c>
      <c r="I1225" t="s">
        <v>76</v>
      </c>
      <c r="J1225" t="s">
        <v>77</v>
      </c>
      <c r="K1225" t="s">
        <v>78</v>
      </c>
      <c r="L1225" t="s">
        <v>463</v>
      </c>
      <c r="M1225" t="s">
        <v>464</v>
      </c>
      <c r="N1225" t="s">
        <v>1927</v>
      </c>
      <c r="O1225" t="s">
        <v>82</v>
      </c>
      <c r="P1225" t="str">
        <f>"4170038155                    "</f>
        <v xml:space="preserve">4170038155                    </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c r="AJ1225">
        <v>0</v>
      </c>
      <c r="AK1225">
        <v>0</v>
      </c>
      <c r="AL1225">
        <v>0</v>
      </c>
      <c r="AM1225">
        <v>0</v>
      </c>
      <c r="AN1225">
        <v>0</v>
      </c>
      <c r="AO1225">
        <v>0</v>
      </c>
      <c r="AP1225">
        <v>0</v>
      </c>
      <c r="AQ1225">
        <v>21.38</v>
      </c>
      <c r="AR1225">
        <v>0</v>
      </c>
      <c r="AS1225">
        <v>0</v>
      </c>
      <c r="AT1225">
        <v>0</v>
      </c>
      <c r="AU1225">
        <v>0</v>
      </c>
      <c r="AV1225">
        <v>0</v>
      </c>
      <c r="AW1225">
        <v>0</v>
      </c>
      <c r="AX1225">
        <v>0</v>
      </c>
      <c r="AY1225">
        <v>0</v>
      </c>
      <c r="AZ1225">
        <v>0</v>
      </c>
      <c r="BA1225">
        <v>0</v>
      </c>
      <c r="BB1225">
        <v>0</v>
      </c>
      <c r="BC1225">
        <v>0</v>
      </c>
      <c r="BD1225">
        <v>0</v>
      </c>
      <c r="BE1225">
        <v>0</v>
      </c>
      <c r="BF1225">
        <v>0</v>
      </c>
      <c r="BG1225">
        <v>0</v>
      </c>
      <c r="BH1225">
        <v>1</v>
      </c>
      <c r="BI1225">
        <v>1</v>
      </c>
      <c r="BJ1225">
        <v>0.2</v>
      </c>
      <c r="BK1225">
        <v>1</v>
      </c>
      <c r="BL1225">
        <v>69.98</v>
      </c>
      <c r="BM1225">
        <v>10.5</v>
      </c>
      <c r="BN1225">
        <v>80.48</v>
      </c>
      <c r="BO1225">
        <v>80.48</v>
      </c>
      <c r="BQ1225" t="s">
        <v>1928</v>
      </c>
      <c r="BR1225" t="s">
        <v>84</v>
      </c>
      <c r="BS1225" s="3">
        <v>45791</v>
      </c>
      <c r="BT1225" s="4">
        <v>0.47291666666666665</v>
      </c>
      <c r="BU1225" t="s">
        <v>1929</v>
      </c>
      <c r="BV1225" t="s">
        <v>89</v>
      </c>
      <c r="BY1225">
        <v>1200</v>
      </c>
      <c r="CA1225" t="s">
        <v>1930</v>
      </c>
      <c r="CC1225" t="s">
        <v>464</v>
      </c>
      <c r="CD1225">
        <v>5200</v>
      </c>
      <c r="CE1225" t="s">
        <v>88</v>
      </c>
      <c r="CF1225" s="3">
        <v>45792</v>
      </c>
      <c r="CI1225">
        <v>1</v>
      </c>
      <c r="CJ1225">
        <v>1</v>
      </c>
      <c r="CK1225">
        <v>21</v>
      </c>
      <c r="CL1225" t="s">
        <v>89</v>
      </c>
    </row>
    <row r="1226" spans="1:90" x14ac:dyDescent="0.3">
      <c r="A1226" t="s">
        <v>72</v>
      </c>
      <c r="B1226" t="s">
        <v>73</v>
      </c>
      <c r="C1226" t="s">
        <v>74</v>
      </c>
      <c r="E1226" t="str">
        <f>"080065353156"</f>
        <v>080065353156</v>
      </c>
      <c r="F1226" s="3">
        <v>45790</v>
      </c>
      <c r="G1226">
        <v>202602</v>
      </c>
      <c r="H1226" t="s">
        <v>75</v>
      </c>
      <c r="I1226" t="s">
        <v>76</v>
      </c>
      <c r="J1226" t="s">
        <v>77</v>
      </c>
      <c r="K1226" t="s">
        <v>78</v>
      </c>
      <c r="L1226" t="s">
        <v>177</v>
      </c>
      <c r="M1226" t="s">
        <v>178</v>
      </c>
      <c r="N1226" t="s">
        <v>179</v>
      </c>
      <c r="O1226" t="s">
        <v>300</v>
      </c>
      <c r="P1226" t="str">
        <f>"4170038083                    "</f>
        <v xml:space="preserve">4170038083                    </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0</v>
      </c>
      <c r="AL1226">
        <v>0</v>
      </c>
      <c r="AM1226">
        <v>0</v>
      </c>
      <c r="AN1226">
        <v>0</v>
      </c>
      <c r="AO1226">
        <v>0</v>
      </c>
      <c r="AP1226">
        <v>0</v>
      </c>
      <c r="AQ1226">
        <v>46.47</v>
      </c>
      <c r="AR1226">
        <v>0</v>
      </c>
      <c r="AS1226">
        <v>0</v>
      </c>
      <c r="AT1226">
        <v>0</v>
      </c>
      <c r="AU1226">
        <v>0</v>
      </c>
      <c r="AV1226">
        <v>0</v>
      </c>
      <c r="AW1226">
        <v>0</v>
      </c>
      <c r="AX1226">
        <v>0</v>
      </c>
      <c r="AY1226">
        <v>0</v>
      </c>
      <c r="AZ1226">
        <v>0</v>
      </c>
      <c r="BA1226">
        <v>0</v>
      </c>
      <c r="BB1226">
        <v>0</v>
      </c>
      <c r="BC1226">
        <v>0</v>
      </c>
      <c r="BD1226">
        <v>0</v>
      </c>
      <c r="BE1226">
        <v>0</v>
      </c>
      <c r="BF1226">
        <v>0</v>
      </c>
      <c r="BG1226">
        <v>0</v>
      </c>
      <c r="BH1226">
        <v>1</v>
      </c>
      <c r="BI1226">
        <v>11</v>
      </c>
      <c r="BJ1226">
        <v>18</v>
      </c>
      <c r="BK1226">
        <v>18</v>
      </c>
      <c r="BL1226">
        <v>157.66</v>
      </c>
      <c r="BM1226">
        <v>23.65</v>
      </c>
      <c r="BN1226">
        <v>181.31</v>
      </c>
      <c r="BO1226">
        <v>181.31</v>
      </c>
      <c r="BQ1226" t="s">
        <v>180</v>
      </c>
      <c r="BR1226" t="s">
        <v>84</v>
      </c>
      <c r="BS1226" s="3">
        <v>45792</v>
      </c>
      <c r="BT1226" s="4">
        <v>0.41041666666666665</v>
      </c>
      <c r="BU1226" t="s">
        <v>181</v>
      </c>
      <c r="BV1226" t="s">
        <v>86</v>
      </c>
      <c r="BY1226">
        <v>89856</v>
      </c>
      <c r="CA1226" t="s">
        <v>182</v>
      </c>
      <c r="CC1226" t="s">
        <v>178</v>
      </c>
      <c r="CD1226">
        <v>6229</v>
      </c>
      <c r="CE1226" t="s">
        <v>221</v>
      </c>
      <c r="CF1226" s="3">
        <v>45792</v>
      </c>
      <c r="CI1226">
        <v>3</v>
      </c>
      <c r="CJ1226">
        <v>2</v>
      </c>
      <c r="CK1226">
        <v>41</v>
      </c>
      <c r="CL1226" t="s">
        <v>89</v>
      </c>
    </row>
    <row r="1227" spans="1:90" x14ac:dyDescent="0.3">
      <c r="A1227" t="s">
        <v>72</v>
      </c>
      <c r="B1227" t="s">
        <v>73</v>
      </c>
      <c r="C1227" t="s">
        <v>74</v>
      </c>
      <c r="E1227" t="str">
        <f>"080065353187"</f>
        <v>080065353187</v>
      </c>
      <c r="F1227" s="3">
        <v>45790</v>
      </c>
      <c r="G1227">
        <v>202602</v>
      </c>
      <c r="H1227" t="s">
        <v>75</v>
      </c>
      <c r="I1227" t="s">
        <v>76</v>
      </c>
      <c r="J1227" t="s">
        <v>77</v>
      </c>
      <c r="K1227" t="s">
        <v>78</v>
      </c>
      <c r="L1227" t="s">
        <v>136</v>
      </c>
      <c r="M1227" t="s">
        <v>137</v>
      </c>
      <c r="N1227" t="s">
        <v>441</v>
      </c>
      <c r="O1227" t="s">
        <v>300</v>
      </c>
      <c r="P1227" t="str">
        <f>"4170038110                    "</f>
        <v xml:space="preserve">4170038110                    </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0</v>
      </c>
      <c r="AL1227">
        <v>0</v>
      </c>
      <c r="AM1227">
        <v>0</v>
      </c>
      <c r="AN1227">
        <v>0</v>
      </c>
      <c r="AO1227">
        <v>0</v>
      </c>
      <c r="AP1227">
        <v>0</v>
      </c>
      <c r="AQ1227">
        <v>51.59</v>
      </c>
      <c r="AR1227">
        <v>0</v>
      </c>
      <c r="AS1227">
        <v>0</v>
      </c>
      <c r="AT1227">
        <v>0</v>
      </c>
      <c r="AU1227">
        <v>0</v>
      </c>
      <c r="AV1227">
        <v>0</v>
      </c>
      <c r="AW1227">
        <v>0</v>
      </c>
      <c r="AX1227">
        <v>0</v>
      </c>
      <c r="AY1227">
        <v>0</v>
      </c>
      <c r="AZ1227">
        <v>0</v>
      </c>
      <c r="BA1227">
        <v>0</v>
      </c>
      <c r="BB1227">
        <v>0</v>
      </c>
      <c r="BC1227">
        <v>0</v>
      </c>
      <c r="BD1227">
        <v>0</v>
      </c>
      <c r="BE1227">
        <v>0</v>
      </c>
      <c r="BF1227">
        <v>0</v>
      </c>
      <c r="BG1227">
        <v>0</v>
      </c>
      <c r="BH1227">
        <v>1</v>
      </c>
      <c r="BI1227">
        <v>21</v>
      </c>
      <c r="BJ1227">
        <v>8.9</v>
      </c>
      <c r="BK1227">
        <v>21</v>
      </c>
      <c r="BL1227">
        <v>174.42</v>
      </c>
      <c r="BM1227">
        <v>26.16</v>
      </c>
      <c r="BN1227">
        <v>200.58</v>
      </c>
      <c r="BO1227">
        <v>200.58</v>
      </c>
      <c r="BQ1227" t="s">
        <v>442</v>
      </c>
      <c r="BR1227" t="s">
        <v>84</v>
      </c>
      <c r="BS1227" s="3">
        <v>45791</v>
      </c>
      <c r="BT1227" s="4">
        <v>0.57986111111111116</v>
      </c>
      <c r="BU1227" t="s">
        <v>1361</v>
      </c>
      <c r="BV1227" t="s">
        <v>86</v>
      </c>
      <c r="BY1227">
        <v>44640</v>
      </c>
      <c r="CA1227" t="s">
        <v>575</v>
      </c>
      <c r="CC1227" t="s">
        <v>137</v>
      </c>
      <c r="CD1227" s="5" t="s">
        <v>444</v>
      </c>
      <c r="CE1227" t="s">
        <v>96</v>
      </c>
      <c r="CF1227" s="3">
        <v>45791</v>
      </c>
      <c r="CI1227">
        <v>1</v>
      </c>
      <c r="CJ1227">
        <v>1</v>
      </c>
      <c r="CK1227">
        <v>41</v>
      </c>
      <c r="CL1227" t="s">
        <v>89</v>
      </c>
    </row>
    <row r="1228" spans="1:90" x14ac:dyDescent="0.3">
      <c r="A1228" t="s">
        <v>72</v>
      </c>
      <c r="B1228" t="s">
        <v>73</v>
      </c>
      <c r="C1228" t="s">
        <v>74</v>
      </c>
      <c r="E1228" t="str">
        <f>"080065353550"</f>
        <v>080065353550</v>
      </c>
      <c r="F1228" s="3">
        <v>45790</v>
      </c>
      <c r="G1228">
        <v>202602</v>
      </c>
      <c r="H1228" t="s">
        <v>75</v>
      </c>
      <c r="I1228" t="s">
        <v>76</v>
      </c>
      <c r="J1228" t="s">
        <v>77</v>
      </c>
      <c r="K1228" t="s">
        <v>78</v>
      </c>
      <c r="L1228" t="s">
        <v>350</v>
      </c>
      <c r="M1228" t="s">
        <v>351</v>
      </c>
      <c r="N1228" t="s">
        <v>459</v>
      </c>
      <c r="O1228" t="s">
        <v>82</v>
      </c>
      <c r="P1228" t="str">
        <f>"4170038058                    "</f>
        <v xml:space="preserve">4170038058                    </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0</v>
      </c>
      <c r="AL1228">
        <v>0</v>
      </c>
      <c r="AM1228">
        <v>0</v>
      </c>
      <c r="AN1228">
        <v>0</v>
      </c>
      <c r="AO1228">
        <v>0</v>
      </c>
      <c r="AP1228">
        <v>0</v>
      </c>
      <c r="AQ1228">
        <v>21.38</v>
      </c>
      <c r="AR1228">
        <v>0</v>
      </c>
      <c r="AS1228">
        <v>0</v>
      </c>
      <c r="AT1228">
        <v>0</v>
      </c>
      <c r="AU1228">
        <v>0</v>
      </c>
      <c r="AV1228">
        <v>0</v>
      </c>
      <c r="AW1228">
        <v>0</v>
      </c>
      <c r="AX1228">
        <v>0</v>
      </c>
      <c r="AY1228">
        <v>0</v>
      </c>
      <c r="AZ1228">
        <v>0</v>
      </c>
      <c r="BA1228">
        <v>0</v>
      </c>
      <c r="BB1228">
        <v>0</v>
      </c>
      <c r="BC1228">
        <v>0</v>
      </c>
      <c r="BD1228">
        <v>0</v>
      </c>
      <c r="BE1228">
        <v>0</v>
      </c>
      <c r="BF1228">
        <v>0</v>
      </c>
      <c r="BG1228">
        <v>0</v>
      </c>
      <c r="BH1228">
        <v>1</v>
      </c>
      <c r="BI1228">
        <v>1</v>
      </c>
      <c r="BJ1228">
        <v>0.2</v>
      </c>
      <c r="BK1228">
        <v>1</v>
      </c>
      <c r="BL1228">
        <v>69.98</v>
      </c>
      <c r="BM1228">
        <v>10.5</v>
      </c>
      <c r="BN1228">
        <v>80.48</v>
      </c>
      <c r="BO1228">
        <v>80.48</v>
      </c>
      <c r="BQ1228" t="s">
        <v>460</v>
      </c>
      <c r="BR1228" t="s">
        <v>84</v>
      </c>
      <c r="BS1228" s="3">
        <v>45791</v>
      </c>
      <c r="BT1228" s="4">
        <v>0.33819444444444446</v>
      </c>
      <c r="BU1228" t="s">
        <v>1121</v>
      </c>
      <c r="BV1228" t="s">
        <v>86</v>
      </c>
      <c r="BY1228">
        <v>1200</v>
      </c>
      <c r="CA1228" t="s">
        <v>462</v>
      </c>
      <c r="CC1228" t="s">
        <v>351</v>
      </c>
      <c r="CD1228">
        <v>4000</v>
      </c>
      <c r="CE1228" t="s">
        <v>88</v>
      </c>
      <c r="CF1228" s="3">
        <v>45792</v>
      </c>
      <c r="CI1228">
        <v>1</v>
      </c>
      <c r="CJ1228">
        <v>1</v>
      </c>
      <c r="CK1228">
        <v>21</v>
      </c>
      <c r="CL1228" t="s">
        <v>89</v>
      </c>
    </row>
    <row r="1229" spans="1:90" x14ac:dyDescent="0.3">
      <c r="A1229" t="s">
        <v>72</v>
      </c>
      <c r="B1229" t="s">
        <v>73</v>
      </c>
      <c r="C1229" t="s">
        <v>74</v>
      </c>
      <c r="E1229" t="str">
        <f>"080065353557"</f>
        <v>080065353557</v>
      </c>
      <c r="F1229" s="3">
        <v>45790</v>
      </c>
      <c r="G1229">
        <v>202602</v>
      </c>
      <c r="H1229" t="s">
        <v>75</v>
      </c>
      <c r="I1229" t="s">
        <v>76</v>
      </c>
      <c r="J1229" t="s">
        <v>77</v>
      </c>
      <c r="K1229" t="s">
        <v>78</v>
      </c>
      <c r="L1229" t="s">
        <v>90</v>
      </c>
      <c r="M1229" t="s">
        <v>91</v>
      </c>
      <c r="N1229" t="s">
        <v>543</v>
      </c>
      <c r="O1229" t="s">
        <v>82</v>
      </c>
      <c r="P1229" t="str">
        <f>"4170038177                    "</f>
        <v xml:space="preserve">4170038177                    </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0</v>
      </c>
      <c r="AL1229">
        <v>0</v>
      </c>
      <c r="AM1229">
        <v>0</v>
      </c>
      <c r="AN1229">
        <v>0</v>
      </c>
      <c r="AO1229">
        <v>0</v>
      </c>
      <c r="AP1229">
        <v>0</v>
      </c>
      <c r="AQ1229">
        <v>32.07</v>
      </c>
      <c r="AR1229">
        <v>0</v>
      </c>
      <c r="AS1229">
        <v>0</v>
      </c>
      <c r="AT1229">
        <v>0</v>
      </c>
      <c r="AU1229">
        <v>0</v>
      </c>
      <c r="AV1229">
        <v>0</v>
      </c>
      <c r="AW1229">
        <v>0</v>
      </c>
      <c r="AX1229">
        <v>0</v>
      </c>
      <c r="AY1229">
        <v>0</v>
      </c>
      <c r="AZ1229">
        <v>0</v>
      </c>
      <c r="BA1229">
        <v>0</v>
      </c>
      <c r="BB1229">
        <v>0</v>
      </c>
      <c r="BC1229">
        <v>0</v>
      </c>
      <c r="BD1229">
        <v>0</v>
      </c>
      <c r="BE1229">
        <v>0</v>
      </c>
      <c r="BF1229">
        <v>0</v>
      </c>
      <c r="BG1229">
        <v>0</v>
      </c>
      <c r="BH1229">
        <v>1</v>
      </c>
      <c r="BI1229">
        <v>3</v>
      </c>
      <c r="BJ1229">
        <v>2.2999999999999998</v>
      </c>
      <c r="BK1229">
        <v>3</v>
      </c>
      <c r="BL1229">
        <v>104.95</v>
      </c>
      <c r="BM1229">
        <v>15.74</v>
      </c>
      <c r="BN1229">
        <v>120.69</v>
      </c>
      <c r="BO1229">
        <v>120.69</v>
      </c>
      <c r="BQ1229" t="s">
        <v>544</v>
      </c>
      <c r="BR1229" t="s">
        <v>84</v>
      </c>
      <c r="BS1229" s="3">
        <v>45791</v>
      </c>
      <c r="BT1229" s="4">
        <v>0.36666666666666664</v>
      </c>
      <c r="BU1229" t="s">
        <v>1931</v>
      </c>
      <c r="BV1229" t="s">
        <v>86</v>
      </c>
      <c r="BY1229">
        <v>11368</v>
      </c>
      <c r="CA1229" t="s">
        <v>283</v>
      </c>
      <c r="CC1229" t="s">
        <v>91</v>
      </c>
      <c r="CD1229">
        <v>6001</v>
      </c>
      <c r="CE1229" t="s">
        <v>221</v>
      </c>
      <c r="CF1229" s="3">
        <v>45791</v>
      </c>
      <c r="CI1229">
        <v>1</v>
      </c>
      <c r="CJ1229">
        <v>1</v>
      </c>
      <c r="CK1229">
        <v>21</v>
      </c>
      <c r="CL1229" t="s">
        <v>89</v>
      </c>
    </row>
    <row r="1230" spans="1:90" x14ac:dyDescent="0.3">
      <c r="A1230" t="s">
        <v>72</v>
      </c>
      <c r="B1230" t="s">
        <v>73</v>
      </c>
      <c r="C1230" t="s">
        <v>74</v>
      </c>
      <c r="E1230" t="str">
        <f>"080065353586"</f>
        <v>080065353586</v>
      </c>
      <c r="F1230" s="3">
        <v>45790</v>
      </c>
      <c r="G1230">
        <v>202602</v>
      </c>
      <c r="H1230" t="s">
        <v>75</v>
      </c>
      <c r="I1230" t="s">
        <v>76</v>
      </c>
      <c r="J1230" t="s">
        <v>77</v>
      </c>
      <c r="K1230" t="s">
        <v>78</v>
      </c>
      <c r="L1230" t="s">
        <v>130</v>
      </c>
      <c r="M1230" t="s">
        <v>131</v>
      </c>
      <c r="N1230" t="s">
        <v>1066</v>
      </c>
      <c r="O1230" t="s">
        <v>82</v>
      </c>
      <c r="P1230" t="str">
        <f>"4170038198                    "</f>
        <v xml:space="preserve">4170038198                    </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0</v>
      </c>
      <c r="AL1230">
        <v>0</v>
      </c>
      <c r="AM1230">
        <v>0</v>
      </c>
      <c r="AN1230">
        <v>0</v>
      </c>
      <c r="AO1230">
        <v>0</v>
      </c>
      <c r="AP1230">
        <v>0</v>
      </c>
      <c r="AQ1230">
        <v>21.38</v>
      </c>
      <c r="AR1230">
        <v>0</v>
      </c>
      <c r="AS1230">
        <v>0</v>
      </c>
      <c r="AT1230">
        <v>0</v>
      </c>
      <c r="AU1230">
        <v>0</v>
      </c>
      <c r="AV1230">
        <v>0</v>
      </c>
      <c r="AW1230">
        <v>0</v>
      </c>
      <c r="AX1230">
        <v>0</v>
      </c>
      <c r="AY1230">
        <v>0</v>
      </c>
      <c r="AZ1230">
        <v>0</v>
      </c>
      <c r="BA1230">
        <v>0</v>
      </c>
      <c r="BB1230">
        <v>0</v>
      </c>
      <c r="BC1230">
        <v>0</v>
      </c>
      <c r="BD1230">
        <v>0</v>
      </c>
      <c r="BE1230">
        <v>0</v>
      </c>
      <c r="BF1230">
        <v>0</v>
      </c>
      <c r="BG1230">
        <v>0</v>
      </c>
      <c r="BH1230">
        <v>1</v>
      </c>
      <c r="BI1230">
        <v>1</v>
      </c>
      <c r="BJ1230">
        <v>0.2</v>
      </c>
      <c r="BK1230">
        <v>1</v>
      </c>
      <c r="BL1230">
        <v>69.98</v>
      </c>
      <c r="BM1230">
        <v>10.5</v>
      </c>
      <c r="BN1230">
        <v>80.48</v>
      </c>
      <c r="BO1230">
        <v>80.48</v>
      </c>
      <c r="BQ1230" t="s">
        <v>1067</v>
      </c>
      <c r="BR1230" t="s">
        <v>84</v>
      </c>
      <c r="BS1230" s="3">
        <v>45791</v>
      </c>
      <c r="BT1230" s="4">
        <v>0.38680555555555557</v>
      </c>
      <c r="BU1230" t="s">
        <v>1068</v>
      </c>
      <c r="BV1230" t="s">
        <v>86</v>
      </c>
      <c r="BY1230">
        <v>1200</v>
      </c>
      <c r="CA1230" t="s">
        <v>712</v>
      </c>
      <c r="CC1230" t="s">
        <v>131</v>
      </c>
      <c r="CD1230">
        <v>7561</v>
      </c>
      <c r="CE1230" t="s">
        <v>88</v>
      </c>
      <c r="CF1230" s="3">
        <v>45792</v>
      </c>
      <c r="CI1230">
        <v>1</v>
      </c>
      <c r="CJ1230">
        <v>1</v>
      </c>
      <c r="CK1230">
        <v>21</v>
      </c>
      <c r="CL1230" t="s">
        <v>89</v>
      </c>
    </row>
    <row r="1231" spans="1:90" x14ac:dyDescent="0.3">
      <c r="A1231" t="s">
        <v>72</v>
      </c>
      <c r="B1231" t="s">
        <v>73</v>
      </c>
      <c r="C1231" t="s">
        <v>74</v>
      </c>
      <c r="E1231" t="str">
        <f>"080065353609"</f>
        <v>080065353609</v>
      </c>
      <c r="F1231" s="3">
        <v>45790</v>
      </c>
      <c r="G1231">
        <v>202602</v>
      </c>
      <c r="H1231" t="s">
        <v>75</v>
      </c>
      <c r="I1231" t="s">
        <v>76</v>
      </c>
      <c r="J1231" t="s">
        <v>77</v>
      </c>
      <c r="K1231" t="s">
        <v>78</v>
      </c>
      <c r="L1231" t="s">
        <v>350</v>
      </c>
      <c r="M1231" t="s">
        <v>351</v>
      </c>
      <c r="N1231" t="s">
        <v>1186</v>
      </c>
      <c r="O1231" t="s">
        <v>82</v>
      </c>
      <c r="P1231" t="str">
        <f>"4170038188                    "</f>
        <v xml:space="preserve">4170038188                    </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0</v>
      </c>
      <c r="AK1231">
        <v>0</v>
      </c>
      <c r="AL1231">
        <v>0</v>
      </c>
      <c r="AM1231">
        <v>0</v>
      </c>
      <c r="AN1231">
        <v>0</v>
      </c>
      <c r="AO1231">
        <v>0</v>
      </c>
      <c r="AP1231">
        <v>0</v>
      </c>
      <c r="AQ1231">
        <v>32.07</v>
      </c>
      <c r="AR1231">
        <v>0</v>
      </c>
      <c r="AS1231">
        <v>0</v>
      </c>
      <c r="AT1231">
        <v>0</v>
      </c>
      <c r="AU1231">
        <v>0</v>
      </c>
      <c r="AV1231">
        <v>0</v>
      </c>
      <c r="AW1231">
        <v>0</v>
      </c>
      <c r="AX1231">
        <v>0</v>
      </c>
      <c r="AY1231">
        <v>0</v>
      </c>
      <c r="AZ1231">
        <v>0</v>
      </c>
      <c r="BA1231">
        <v>0</v>
      </c>
      <c r="BB1231">
        <v>0</v>
      </c>
      <c r="BC1231">
        <v>0</v>
      </c>
      <c r="BD1231">
        <v>0</v>
      </c>
      <c r="BE1231">
        <v>0</v>
      </c>
      <c r="BF1231">
        <v>0</v>
      </c>
      <c r="BG1231">
        <v>0</v>
      </c>
      <c r="BH1231">
        <v>1</v>
      </c>
      <c r="BI1231">
        <v>3</v>
      </c>
      <c r="BJ1231">
        <v>1.4</v>
      </c>
      <c r="BK1231">
        <v>3</v>
      </c>
      <c r="BL1231">
        <v>104.95</v>
      </c>
      <c r="BM1231">
        <v>15.74</v>
      </c>
      <c r="BN1231">
        <v>120.69</v>
      </c>
      <c r="BO1231">
        <v>120.69</v>
      </c>
      <c r="BQ1231" t="s">
        <v>1187</v>
      </c>
      <c r="BR1231" t="s">
        <v>84</v>
      </c>
      <c r="BS1231" s="3">
        <v>45791</v>
      </c>
      <c r="BT1231" s="4">
        <v>0.42569444444444443</v>
      </c>
      <c r="BU1231" t="s">
        <v>1932</v>
      </c>
      <c r="BV1231" t="s">
        <v>86</v>
      </c>
      <c r="BY1231">
        <v>6960</v>
      </c>
      <c r="CA1231" t="s">
        <v>1085</v>
      </c>
      <c r="CC1231" t="s">
        <v>351</v>
      </c>
      <c r="CD1231">
        <v>4001</v>
      </c>
      <c r="CE1231" t="s">
        <v>116</v>
      </c>
      <c r="CF1231" s="3">
        <v>45792</v>
      </c>
      <c r="CI1231">
        <v>1</v>
      </c>
      <c r="CJ1231">
        <v>1</v>
      </c>
      <c r="CK1231">
        <v>21</v>
      </c>
      <c r="CL1231" t="s">
        <v>89</v>
      </c>
    </row>
    <row r="1232" spans="1:90" x14ac:dyDescent="0.3">
      <c r="A1232" t="s">
        <v>72</v>
      </c>
      <c r="B1232" t="s">
        <v>73</v>
      </c>
      <c r="C1232" t="s">
        <v>74</v>
      </c>
      <c r="E1232" t="str">
        <f>"080065353631"</f>
        <v>080065353631</v>
      </c>
      <c r="F1232" s="3">
        <v>45790</v>
      </c>
      <c r="G1232">
        <v>202602</v>
      </c>
      <c r="H1232" t="s">
        <v>75</v>
      </c>
      <c r="I1232" t="s">
        <v>76</v>
      </c>
      <c r="J1232" t="s">
        <v>77</v>
      </c>
      <c r="K1232" t="s">
        <v>78</v>
      </c>
      <c r="L1232" t="s">
        <v>90</v>
      </c>
      <c r="M1232" t="s">
        <v>91</v>
      </c>
      <c r="N1232" t="s">
        <v>385</v>
      </c>
      <c r="O1232" t="s">
        <v>82</v>
      </c>
      <c r="P1232" t="str">
        <f>"4170038201                    "</f>
        <v xml:space="preserve">4170038201                    </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c r="AJ1232">
        <v>0</v>
      </c>
      <c r="AK1232">
        <v>0</v>
      </c>
      <c r="AL1232">
        <v>0</v>
      </c>
      <c r="AM1232">
        <v>0</v>
      </c>
      <c r="AN1232">
        <v>0</v>
      </c>
      <c r="AO1232">
        <v>0</v>
      </c>
      <c r="AP1232">
        <v>0</v>
      </c>
      <c r="AQ1232">
        <v>21.38</v>
      </c>
      <c r="AR1232">
        <v>0</v>
      </c>
      <c r="AS1232">
        <v>0</v>
      </c>
      <c r="AT1232">
        <v>0</v>
      </c>
      <c r="AU1232">
        <v>0</v>
      </c>
      <c r="AV1232">
        <v>0</v>
      </c>
      <c r="AW1232">
        <v>0</v>
      </c>
      <c r="AX1232">
        <v>0</v>
      </c>
      <c r="AY1232">
        <v>0</v>
      </c>
      <c r="AZ1232">
        <v>0</v>
      </c>
      <c r="BA1232">
        <v>0</v>
      </c>
      <c r="BB1232">
        <v>0</v>
      </c>
      <c r="BC1232">
        <v>0</v>
      </c>
      <c r="BD1232">
        <v>0</v>
      </c>
      <c r="BE1232">
        <v>0</v>
      </c>
      <c r="BF1232">
        <v>0</v>
      </c>
      <c r="BG1232">
        <v>0</v>
      </c>
      <c r="BH1232">
        <v>1</v>
      </c>
      <c r="BI1232">
        <v>1</v>
      </c>
      <c r="BJ1232">
        <v>0.2</v>
      </c>
      <c r="BK1232">
        <v>1</v>
      </c>
      <c r="BL1232">
        <v>69.98</v>
      </c>
      <c r="BM1232">
        <v>10.5</v>
      </c>
      <c r="BN1232">
        <v>80.48</v>
      </c>
      <c r="BO1232">
        <v>80.48</v>
      </c>
      <c r="BQ1232" t="s">
        <v>386</v>
      </c>
      <c r="BR1232" t="s">
        <v>84</v>
      </c>
      <c r="BS1232" s="3">
        <v>45791</v>
      </c>
      <c r="BT1232" s="4">
        <v>0.41944444444444445</v>
      </c>
      <c r="BU1232" t="s">
        <v>387</v>
      </c>
      <c r="BV1232" t="s">
        <v>86</v>
      </c>
      <c r="BY1232">
        <v>1200</v>
      </c>
      <c r="CA1232" t="s">
        <v>95</v>
      </c>
      <c r="CC1232" t="s">
        <v>91</v>
      </c>
      <c r="CD1232">
        <v>6056</v>
      </c>
      <c r="CE1232" t="s">
        <v>88</v>
      </c>
      <c r="CF1232" s="3">
        <v>45791</v>
      </c>
      <c r="CI1232">
        <v>1</v>
      </c>
      <c r="CJ1232">
        <v>1</v>
      </c>
      <c r="CK1232">
        <v>21</v>
      </c>
      <c r="CL1232" t="s">
        <v>89</v>
      </c>
    </row>
    <row r="1233" spans="1:90" x14ac:dyDescent="0.3">
      <c r="A1233" t="s">
        <v>72</v>
      </c>
      <c r="B1233" t="s">
        <v>73</v>
      </c>
      <c r="C1233" t="s">
        <v>74</v>
      </c>
      <c r="E1233" t="str">
        <f>"080065353658"</f>
        <v>080065353658</v>
      </c>
      <c r="F1233" s="3">
        <v>45790</v>
      </c>
      <c r="G1233">
        <v>202602</v>
      </c>
      <c r="H1233" t="s">
        <v>75</v>
      </c>
      <c r="I1233" t="s">
        <v>76</v>
      </c>
      <c r="J1233" t="s">
        <v>77</v>
      </c>
      <c r="K1233" t="s">
        <v>78</v>
      </c>
      <c r="L1233" t="s">
        <v>130</v>
      </c>
      <c r="M1233" t="s">
        <v>131</v>
      </c>
      <c r="N1233" t="s">
        <v>1066</v>
      </c>
      <c r="O1233" t="s">
        <v>82</v>
      </c>
      <c r="P1233" t="str">
        <f>"4170038199                    "</f>
        <v xml:space="preserve">4170038199                    </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21.38</v>
      </c>
      <c r="AR1233">
        <v>0</v>
      </c>
      <c r="AS1233">
        <v>0</v>
      </c>
      <c r="AT1233">
        <v>0</v>
      </c>
      <c r="AU1233">
        <v>0</v>
      </c>
      <c r="AV1233">
        <v>0</v>
      </c>
      <c r="AW1233">
        <v>0</v>
      </c>
      <c r="AX1233">
        <v>0</v>
      </c>
      <c r="AY1233">
        <v>0</v>
      </c>
      <c r="AZ1233">
        <v>0</v>
      </c>
      <c r="BA1233">
        <v>0</v>
      </c>
      <c r="BB1233">
        <v>0</v>
      </c>
      <c r="BC1233">
        <v>0</v>
      </c>
      <c r="BD1233">
        <v>0</v>
      </c>
      <c r="BE1233">
        <v>0</v>
      </c>
      <c r="BF1233">
        <v>0</v>
      </c>
      <c r="BG1233">
        <v>0</v>
      </c>
      <c r="BH1233">
        <v>1</v>
      </c>
      <c r="BI1233">
        <v>1</v>
      </c>
      <c r="BJ1233">
        <v>0.2</v>
      </c>
      <c r="BK1233">
        <v>1</v>
      </c>
      <c r="BL1233">
        <v>69.98</v>
      </c>
      <c r="BM1233">
        <v>10.5</v>
      </c>
      <c r="BN1233">
        <v>80.48</v>
      </c>
      <c r="BO1233">
        <v>80.48</v>
      </c>
      <c r="BQ1233" t="s">
        <v>1067</v>
      </c>
      <c r="BR1233" t="s">
        <v>84</v>
      </c>
      <c r="BS1233" s="3">
        <v>45791</v>
      </c>
      <c r="BT1233" s="4">
        <v>0.38680555555555557</v>
      </c>
      <c r="BU1233" t="s">
        <v>1068</v>
      </c>
      <c r="BV1233" t="s">
        <v>86</v>
      </c>
      <c r="BY1233">
        <v>1200</v>
      </c>
      <c r="CA1233" t="s">
        <v>712</v>
      </c>
      <c r="CC1233" t="s">
        <v>131</v>
      </c>
      <c r="CD1233">
        <v>7561</v>
      </c>
      <c r="CE1233" t="s">
        <v>88</v>
      </c>
      <c r="CF1233" s="3">
        <v>45792</v>
      </c>
      <c r="CI1233">
        <v>1</v>
      </c>
      <c r="CJ1233">
        <v>1</v>
      </c>
      <c r="CK1233">
        <v>21</v>
      </c>
      <c r="CL1233" t="s">
        <v>89</v>
      </c>
    </row>
    <row r="1234" spans="1:90" x14ac:dyDescent="0.3">
      <c r="A1234" t="s">
        <v>72</v>
      </c>
      <c r="B1234" t="s">
        <v>73</v>
      </c>
      <c r="C1234" t="s">
        <v>74</v>
      </c>
      <c r="E1234" t="str">
        <f>"080065353659"</f>
        <v>080065353659</v>
      </c>
      <c r="F1234" s="3">
        <v>45790</v>
      </c>
      <c r="G1234">
        <v>202602</v>
      </c>
      <c r="H1234" t="s">
        <v>75</v>
      </c>
      <c r="I1234" t="s">
        <v>76</v>
      </c>
      <c r="J1234" t="s">
        <v>77</v>
      </c>
      <c r="K1234" t="s">
        <v>78</v>
      </c>
      <c r="L1234" t="s">
        <v>90</v>
      </c>
      <c r="M1234" t="s">
        <v>91</v>
      </c>
      <c r="N1234" t="s">
        <v>598</v>
      </c>
      <c r="O1234" t="s">
        <v>82</v>
      </c>
      <c r="P1234" t="str">
        <f>"4170038186                    "</f>
        <v xml:space="preserve">4170038186                    </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0</v>
      </c>
      <c r="AL1234">
        <v>0</v>
      </c>
      <c r="AM1234">
        <v>0</v>
      </c>
      <c r="AN1234">
        <v>0</v>
      </c>
      <c r="AO1234">
        <v>0</v>
      </c>
      <c r="AP1234">
        <v>0</v>
      </c>
      <c r="AQ1234">
        <v>21.38</v>
      </c>
      <c r="AR1234">
        <v>0</v>
      </c>
      <c r="AS1234">
        <v>0</v>
      </c>
      <c r="AT1234">
        <v>0</v>
      </c>
      <c r="AU1234">
        <v>0</v>
      </c>
      <c r="AV1234">
        <v>0</v>
      </c>
      <c r="AW1234">
        <v>0</v>
      </c>
      <c r="AX1234">
        <v>0</v>
      </c>
      <c r="AY1234">
        <v>0</v>
      </c>
      <c r="AZ1234">
        <v>0</v>
      </c>
      <c r="BA1234">
        <v>0</v>
      </c>
      <c r="BB1234">
        <v>0</v>
      </c>
      <c r="BC1234">
        <v>0</v>
      </c>
      <c r="BD1234">
        <v>0</v>
      </c>
      <c r="BE1234">
        <v>0</v>
      </c>
      <c r="BF1234">
        <v>0</v>
      </c>
      <c r="BG1234">
        <v>0</v>
      </c>
      <c r="BH1234">
        <v>1</v>
      </c>
      <c r="BI1234">
        <v>2</v>
      </c>
      <c r="BJ1234">
        <v>1.4</v>
      </c>
      <c r="BK1234">
        <v>2</v>
      </c>
      <c r="BL1234">
        <v>69.98</v>
      </c>
      <c r="BM1234">
        <v>10.5</v>
      </c>
      <c r="BN1234">
        <v>80.48</v>
      </c>
      <c r="BO1234">
        <v>80.48</v>
      </c>
      <c r="BQ1234" t="s">
        <v>599</v>
      </c>
      <c r="BR1234" t="s">
        <v>84</v>
      </c>
      <c r="BS1234" s="3">
        <v>45791</v>
      </c>
      <c r="BT1234" s="4">
        <v>0.43055555555555558</v>
      </c>
      <c r="BU1234" t="s">
        <v>1933</v>
      </c>
      <c r="BV1234" t="s">
        <v>86</v>
      </c>
      <c r="BY1234">
        <v>7000</v>
      </c>
      <c r="CA1234" t="s">
        <v>943</v>
      </c>
      <c r="CC1234" t="s">
        <v>91</v>
      </c>
      <c r="CD1234">
        <v>6012</v>
      </c>
      <c r="CE1234" t="s">
        <v>96</v>
      </c>
      <c r="CF1234" s="3">
        <v>45791</v>
      </c>
      <c r="CI1234">
        <v>1</v>
      </c>
      <c r="CJ1234">
        <v>1</v>
      </c>
      <c r="CK1234">
        <v>21</v>
      </c>
      <c r="CL1234" t="s">
        <v>89</v>
      </c>
    </row>
    <row r="1235" spans="1:90" x14ac:dyDescent="0.3">
      <c r="A1235" t="s">
        <v>72</v>
      </c>
      <c r="B1235" t="s">
        <v>73</v>
      </c>
      <c r="C1235" t="s">
        <v>74</v>
      </c>
      <c r="E1235" t="str">
        <f>"080065353686"</f>
        <v>080065353686</v>
      </c>
      <c r="F1235" s="3">
        <v>45790</v>
      </c>
      <c r="G1235">
        <v>202602</v>
      </c>
      <c r="H1235" t="s">
        <v>75</v>
      </c>
      <c r="I1235" t="s">
        <v>76</v>
      </c>
      <c r="J1235" t="s">
        <v>77</v>
      </c>
      <c r="K1235" t="s">
        <v>78</v>
      </c>
      <c r="L1235" t="s">
        <v>136</v>
      </c>
      <c r="M1235" t="s">
        <v>137</v>
      </c>
      <c r="N1235" t="s">
        <v>735</v>
      </c>
      <c r="O1235" t="s">
        <v>82</v>
      </c>
      <c r="P1235" t="str">
        <f>"4170038218                    "</f>
        <v xml:space="preserve">4170038218                    </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21.38</v>
      </c>
      <c r="AR1235">
        <v>0</v>
      </c>
      <c r="AS1235">
        <v>0</v>
      </c>
      <c r="AT1235">
        <v>0</v>
      </c>
      <c r="AU1235">
        <v>0</v>
      </c>
      <c r="AV1235">
        <v>0</v>
      </c>
      <c r="AW1235">
        <v>0</v>
      </c>
      <c r="AX1235">
        <v>0</v>
      </c>
      <c r="AY1235">
        <v>0</v>
      </c>
      <c r="AZ1235">
        <v>0</v>
      </c>
      <c r="BA1235">
        <v>0</v>
      </c>
      <c r="BB1235">
        <v>0</v>
      </c>
      <c r="BC1235">
        <v>0</v>
      </c>
      <c r="BD1235">
        <v>0</v>
      </c>
      <c r="BE1235">
        <v>0</v>
      </c>
      <c r="BF1235">
        <v>0</v>
      </c>
      <c r="BG1235">
        <v>0</v>
      </c>
      <c r="BH1235">
        <v>1</v>
      </c>
      <c r="BI1235">
        <v>1</v>
      </c>
      <c r="BJ1235">
        <v>0.2</v>
      </c>
      <c r="BK1235">
        <v>1</v>
      </c>
      <c r="BL1235">
        <v>69.98</v>
      </c>
      <c r="BM1235">
        <v>10.5</v>
      </c>
      <c r="BN1235">
        <v>80.48</v>
      </c>
      <c r="BO1235">
        <v>80.48</v>
      </c>
      <c r="BQ1235" t="s">
        <v>736</v>
      </c>
      <c r="BR1235" t="s">
        <v>84</v>
      </c>
      <c r="BS1235" s="3">
        <v>45791</v>
      </c>
      <c r="BT1235" s="4">
        <v>0.39652777777777776</v>
      </c>
      <c r="BU1235" t="s">
        <v>1699</v>
      </c>
      <c r="BV1235" t="s">
        <v>86</v>
      </c>
      <c r="BY1235">
        <v>1200</v>
      </c>
      <c r="CA1235" t="s">
        <v>258</v>
      </c>
      <c r="CC1235" t="s">
        <v>137</v>
      </c>
      <c r="CD1235" s="5" t="s">
        <v>738</v>
      </c>
      <c r="CE1235" t="s">
        <v>88</v>
      </c>
      <c r="CF1235" s="3">
        <v>45791</v>
      </c>
      <c r="CI1235">
        <v>1</v>
      </c>
      <c r="CJ1235">
        <v>1</v>
      </c>
      <c r="CK1235">
        <v>21</v>
      </c>
      <c r="CL1235" t="s">
        <v>89</v>
      </c>
    </row>
    <row r="1236" spans="1:90" x14ac:dyDescent="0.3">
      <c r="A1236" t="s">
        <v>72</v>
      </c>
      <c r="B1236" t="s">
        <v>73</v>
      </c>
      <c r="C1236" t="s">
        <v>74</v>
      </c>
      <c r="E1236" t="str">
        <f>"080065353692"</f>
        <v>080065353692</v>
      </c>
      <c r="F1236" s="3">
        <v>45790</v>
      </c>
      <c r="G1236">
        <v>202602</v>
      </c>
      <c r="H1236" t="s">
        <v>75</v>
      </c>
      <c r="I1236" t="s">
        <v>76</v>
      </c>
      <c r="J1236" t="s">
        <v>77</v>
      </c>
      <c r="K1236" t="s">
        <v>78</v>
      </c>
      <c r="L1236" t="s">
        <v>117</v>
      </c>
      <c r="M1236" t="s">
        <v>118</v>
      </c>
      <c r="N1236" t="s">
        <v>1052</v>
      </c>
      <c r="O1236" t="s">
        <v>82</v>
      </c>
      <c r="P1236" t="str">
        <f>"4170038093                    "</f>
        <v xml:space="preserve">4170038093                    </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0</v>
      </c>
      <c r="AL1236">
        <v>0</v>
      </c>
      <c r="AM1236">
        <v>0</v>
      </c>
      <c r="AN1236">
        <v>0</v>
      </c>
      <c r="AO1236">
        <v>0</v>
      </c>
      <c r="AP1236">
        <v>0</v>
      </c>
      <c r="AQ1236">
        <v>16.7</v>
      </c>
      <c r="AR1236">
        <v>0</v>
      </c>
      <c r="AS1236">
        <v>0</v>
      </c>
      <c r="AT1236">
        <v>0</v>
      </c>
      <c r="AU1236">
        <v>0</v>
      </c>
      <c r="AV1236">
        <v>0</v>
      </c>
      <c r="AW1236">
        <v>0</v>
      </c>
      <c r="AX1236">
        <v>0</v>
      </c>
      <c r="AY1236">
        <v>0</v>
      </c>
      <c r="AZ1236">
        <v>0</v>
      </c>
      <c r="BA1236">
        <v>0</v>
      </c>
      <c r="BB1236">
        <v>0</v>
      </c>
      <c r="BC1236">
        <v>0</v>
      </c>
      <c r="BD1236">
        <v>0</v>
      </c>
      <c r="BE1236">
        <v>0</v>
      </c>
      <c r="BF1236">
        <v>0</v>
      </c>
      <c r="BG1236">
        <v>0</v>
      </c>
      <c r="BH1236">
        <v>1</v>
      </c>
      <c r="BI1236">
        <v>1</v>
      </c>
      <c r="BJ1236">
        <v>1.1000000000000001</v>
      </c>
      <c r="BK1236">
        <v>2</v>
      </c>
      <c r="BL1236">
        <v>54.66</v>
      </c>
      <c r="BM1236">
        <v>8.1999999999999993</v>
      </c>
      <c r="BN1236">
        <v>62.86</v>
      </c>
      <c r="BO1236">
        <v>62.86</v>
      </c>
      <c r="BQ1236" t="s">
        <v>1053</v>
      </c>
      <c r="BR1236" t="s">
        <v>84</v>
      </c>
      <c r="BS1236" s="3">
        <v>45791</v>
      </c>
      <c r="BT1236" s="4">
        <v>0.3840277777777778</v>
      </c>
      <c r="BU1236" t="s">
        <v>1934</v>
      </c>
      <c r="BV1236" t="s">
        <v>86</v>
      </c>
      <c r="BY1236">
        <v>5320</v>
      </c>
      <c r="CA1236" t="s">
        <v>275</v>
      </c>
      <c r="CC1236" t="s">
        <v>118</v>
      </c>
      <c r="CD1236">
        <v>2001</v>
      </c>
      <c r="CE1236" t="s">
        <v>116</v>
      </c>
      <c r="CF1236" s="3">
        <v>45792</v>
      </c>
      <c r="CI1236">
        <v>1</v>
      </c>
      <c r="CJ1236">
        <v>1</v>
      </c>
      <c r="CK1236">
        <v>22</v>
      </c>
      <c r="CL1236" t="s">
        <v>89</v>
      </c>
    </row>
    <row r="1237" spans="1:90" x14ac:dyDescent="0.3">
      <c r="A1237" t="s">
        <v>72</v>
      </c>
      <c r="B1237" t="s">
        <v>73</v>
      </c>
      <c r="C1237" t="s">
        <v>74</v>
      </c>
      <c r="E1237" t="str">
        <f>"080065353746"</f>
        <v>080065353746</v>
      </c>
      <c r="F1237" s="3">
        <v>45790</v>
      </c>
      <c r="G1237">
        <v>202602</v>
      </c>
      <c r="H1237" t="s">
        <v>75</v>
      </c>
      <c r="I1237" t="s">
        <v>76</v>
      </c>
      <c r="J1237" t="s">
        <v>77</v>
      </c>
      <c r="K1237" t="s">
        <v>78</v>
      </c>
      <c r="L1237" t="s">
        <v>90</v>
      </c>
      <c r="M1237" t="s">
        <v>91</v>
      </c>
      <c r="N1237" t="s">
        <v>469</v>
      </c>
      <c r="O1237" t="s">
        <v>82</v>
      </c>
      <c r="P1237" t="str">
        <f>"4170038168                    "</f>
        <v xml:space="preserve">4170038168                    </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21.38</v>
      </c>
      <c r="AR1237">
        <v>0</v>
      </c>
      <c r="AS1237">
        <v>0</v>
      </c>
      <c r="AT1237">
        <v>0</v>
      </c>
      <c r="AU1237">
        <v>0</v>
      </c>
      <c r="AV1237">
        <v>0</v>
      </c>
      <c r="AW1237">
        <v>0</v>
      </c>
      <c r="AX1237">
        <v>0</v>
      </c>
      <c r="AY1237">
        <v>0</v>
      </c>
      <c r="AZ1237">
        <v>0</v>
      </c>
      <c r="BA1237">
        <v>0</v>
      </c>
      <c r="BB1237">
        <v>0</v>
      </c>
      <c r="BC1237">
        <v>0</v>
      </c>
      <c r="BD1237">
        <v>0</v>
      </c>
      <c r="BE1237">
        <v>0</v>
      </c>
      <c r="BF1237">
        <v>0</v>
      </c>
      <c r="BG1237">
        <v>0</v>
      </c>
      <c r="BH1237">
        <v>1</v>
      </c>
      <c r="BI1237">
        <v>1</v>
      </c>
      <c r="BJ1237">
        <v>0.2</v>
      </c>
      <c r="BK1237">
        <v>1</v>
      </c>
      <c r="BL1237">
        <v>69.98</v>
      </c>
      <c r="BM1237">
        <v>10.5</v>
      </c>
      <c r="BN1237">
        <v>80.48</v>
      </c>
      <c r="BO1237">
        <v>80.48</v>
      </c>
      <c r="BQ1237" t="s">
        <v>470</v>
      </c>
      <c r="BR1237" t="s">
        <v>84</v>
      </c>
      <c r="BS1237" s="3">
        <v>45791</v>
      </c>
      <c r="BT1237" s="4">
        <v>0.41111111111111109</v>
      </c>
      <c r="BU1237" t="s">
        <v>1935</v>
      </c>
      <c r="BV1237" t="s">
        <v>86</v>
      </c>
      <c r="BY1237">
        <v>1200</v>
      </c>
      <c r="CA1237" t="s">
        <v>182</v>
      </c>
      <c r="CC1237" t="s">
        <v>91</v>
      </c>
      <c r="CD1237">
        <v>6000</v>
      </c>
      <c r="CE1237" t="s">
        <v>88</v>
      </c>
      <c r="CF1237" s="3">
        <v>45791</v>
      </c>
      <c r="CI1237">
        <v>1</v>
      </c>
      <c r="CJ1237">
        <v>1</v>
      </c>
      <c r="CK1237">
        <v>21</v>
      </c>
      <c r="CL1237" t="s">
        <v>89</v>
      </c>
    </row>
    <row r="1238" spans="1:90" x14ac:dyDescent="0.3">
      <c r="A1238" t="s">
        <v>72</v>
      </c>
      <c r="B1238" t="s">
        <v>73</v>
      </c>
      <c r="C1238" t="s">
        <v>74</v>
      </c>
      <c r="E1238" t="str">
        <f>"080065353748"</f>
        <v>080065353748</v>
      </c>
      <c r="F1238" s="3">
        <v>45790</v>
      </c>
      <c r="G1238">
        <v>202602</v>
      </c>
      <c r="H1238" t="s">
        <v>75</v>
      </c>
      <c r="I1238" t="s">
        <v>76</v>
      </c>
      <c r="J1238" t="s">
        <v>77</v>
      </c>
      <c r="K1238" t="s">
        <v>78</v>
      </c>
      <c r="L1238" t="s">
        <v>130</v>
      </c>
      <c r="M1238" t="s">
        <v>131</v>
      </c>
      <c r="N1238" t="s">
        <v>1066</v>
      </c>
      <c r="O1238" t="s">
        <v>82</v>
      </c>
      <c r="P1238" t="str">
        <f>"4170038185                    "</f>
        <v xml:space="preserve">4170038185                    </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32.07</v>
      </c>
      <c r="AR1238">
        <v>0</v>
      </c>
      <c r="AS1238">
        <v>0</v>
      </c>
      <c r="AT1238">
        <v>0</v>
      </c>
      <c r="AU1238">
        <v>0</v>
      </c>
      <c r="AV1238">
        <v>0</v>
      </c>
      <c r="AW1238">
        <v>0</v>
      </c>
      <c r="AX1238">
        <v>0</v>
      </c>
      <c r="AY1238">
        <v>0</v>
      </c>
      <c r="AZ1238">
        <v>0</v>
      </c>
      <c r="BA1238">
        <v>0</v>
      </c>
      <c r="BB1238">
        <v>0</v>
      </c>
      <c r="BC1238">
        <v>0</v>
      </c>
      <c r="BD1238">
        <v>0</v>
      </c>
      <c r="BE1238">
        <v>0</v>
      </c>
      <c r="BF1238">
        <v>0</v>
      </c>
      <c r="BG1238">
        <v>0</v>
      </c>
      <c r="BH1238">
        <v>1</v>
      </c>
      <c r="BI1238">
        <v>3</v>
      </c>
      <c r="BJ1238">
        <v>1.9</v>
      </c>
      <c r="BK1238">
        <v>3</v>
      </c>
      <c r="BL1238">
        <v>104.95</v>
      </c>
      <c r="BM1238">
        <v>15.74</v>
      </c>
      <c r="BN1238">
        <v>120.69</v>
      </c>
      <c r="BO1238">
        <v>120.69</v>
      </c>
      <c r="BQ1238" t="s">
        <v>1067</v>
      </c>
      <c r="BR1238" t="s">
        <v>84</v>
      </c>
      <c r="BS1238" s="3">
        <v>45791</v>
      </c>
      <c r="BT1238" s="4">
        <v>0.39166666666666666</v>
      </c>
      <c r="BU1238" t="s">
        <v>1068</v>
      </c>
      <c r="BV1238" t="s">
        <v>86</v>
      </c>
      <c r="BY1238">
        <v>9600</v>
      </c>
      <c r="CA1238" t="s">
        <v>712</v>
      </c>
      <c r="CC1238" t="s">
        <v>131</v>
      </c>
      <c r="CD1238">
        <v>7561</v>
      </c>
      <c r="CE1238" t="s">
        <v>116</v>
      </c>
      <c r="CF1238" s="3">
        <v>45792</v>
      </c>
      <c r="CI1238">
        <v>1</v>
      </c>
      <c r="CJ1238">
        <v>1</v>
      </c>
      <c r="CK1238">
        <v>21</v>
      </c>
      <c r="CL1238" t="s">
        <v>89</v>
      </c>
    </row>
    <row r="1239" spans="1:90" x14ac:dyDescent="0.3">
      <c r="A1239" t="s">
        <v>72</v>
      </c>
      <c r="B1239" t="s">
        <v>73</v>
      </c>
      <c r="C1239" t="s">
        <v>74</v>
      </c>
      <c r="E1239" t="str">
        <f>"080065353761"</f>
        <v>080065353761</v>
      </c>
      <c r="F1239" s="3">
        <v>45790</v>
      </c>
      <c r="G1239">
        <v>202602</v>
      </c>
      <c r="H1239" t="s">
        <v>75</v>
      </c>
      <c r="I1239" t="s">
        <v>76</v>
      </c>
      <c r="J1239" t="s">
        <v>77</v>
      </c>
      <c r="K1239" t="s">
        <v>78</v>
      </c>
      <c r="L1239" t="s">
        <v>90</v>
      </c>
      <c r="M1239" t="s">
        <v>91</v>
      </c>
      <c r="N1239" t="s">
        <v>92</v>
      </c>
      <c r="O1239" t="s">
        <v>82</v>
      </c>
      <c r="P1239" t="str">
        <f>"4170038191                    "</f>
        <v xml:space="preserve">4170038191                    </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21.38</v>
      </c>
      <c r="AR1239">
        <v>0</v>
      </c>
      <c r="AS1239">
        <v>0</v>
      </c>
      <c r="AT1239">
        <v>0</v>
      </c>
      <c r="AU1239">
        <v>0</v>
      </c>
      <c r="AV1239">
        <v>0</v>
      </c>
      <c r="AW1239">
        <v>0</v>
      </c>
      <c r="AX1239">
        <v>0</v>
      </c>
      <c r="AY1239">
        <v>0</v>
      </c>
      <c r="AZ1239">
        <v>0</v>
      </c>
      <c r="BA1239">
        <v>0</v>
      </c>
      <c r="BB1239">
        <v>0</v>
      </c>
      <c r="BC1239">
        <v>0</v>
      </c>
      <c r="BD1239">
        <v>0</v>
      </c>
      <c r="BE1239">
        <v>0</v>
      </c>
      <c r="BF1239">
        <v>0</v>
      </c>
      <c r="BG1239">
        <v>0</v>
      </c>
      <c r="BH1239">
        <v>1</v>
      </c>
      <c r="BI1239">
        <v>1</v>
      </c>
      <c r="BJ1239">
        <v>0.2</v>
      </c>
      <c r="BK1239">
        <v>1</v>
      </c>
      <c r="BL1239">
        <v>69.98</v>
      </c>
      <c r="BM1239">
        <v>10.5</v>
      </c>
      <c r="BN1239">
        <v>80.48</v>
      </c>
      <c r="BO1239">
        <v>80.48</v>
      </c>
      <c r="BQ1239" t="s">
        <v>93</v>
      </c>
      <c r="BR1239" t="s">
        <v>84</v>
      </c>
      <c r="BS1239" s="3">
        <v>45791</v>
      </c>
      <c r="BT1239" s="4">
        <v>0.38124999999999998</v>
      </c>
      <c r="BU1239" t="s">
        <v>1926</v>
      </c>
      <c r="BV1239" t="s">
        <v>86</v>
      </c>
      <c r="BY1239">
        <v>1200</v>
      </c>
      <c r="CA1239" t="s">
        <v>95</v>
      </c>
      <c r="CC1239" t="s">
        <v>91</v>
      </c>
      <c r="CD1239">
        <v>6001</v>
      </c>
      <c r="CE1239" t="s">
        <v>88</v>
      </c>
      <c r="CF1239" s="3">
        <v>45791</v>
      </c>
      <c r="CI1239">
        <v>1</v>
      </c>
      <c r="CJ1239">
        <v>1</v>
      </c>
      <c r="CK1239">
        <v>21</v>
      </c>
      <c r="CL1239" t="s">
        <v>89</v>
      </c>
    </row>
    <row r="1240" spans="1:90" x14ac:dyDescent="0.3">
      <c r="A1240" t="s">
        <v>72</v>
      </c>
      <c r="B1240" t="s">
        <v>73</v>
      </c>
      <c r="C1240" t="s">
        <v>74</v>
      </c>
      <c r="E1240" t="str">
        <f>"080065353782"</f>
        <v>080065353782</v>
      </c>
      <c r="F1240" s="3">
        <v>45790</v>
      </c>
      <c r="G1240">
        <v>202602</v>
      </c>
      <c r="H1240" t="s">
        <v>75</v>
      </c>
      <c r="I1240" t="s">
        <v>76</v>
      </c>
      <c r="J1240" t="s">
        <v>77</v>
      </c>
      <c r="K1240" t="s">
        <v>78</v>
      </c>
      <c r="L1240" t="s">
        <v>624</v>
      </c>
      <c r="M1240" t="s">
        <v>625</v>
      </c>
      <c r="N1240" t="s">
        <v>626</v>
      </c>
      <c r="O1240" t="s">
        <v>82</v>
      </c>
      <c r="P1240" t="str">
        <f>"4170038243                    "</f>
        <v xml:space="preserve">4170038243                    </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c r="AJ1240">
        <v>0</v>
      </c>
      <c r="AK1240">
        <v>0</v>
      </c>
      <c r="AL1240">
        <v>0</v>
      </c>
      <c r="AM1240">
        <v>0</v>
      </c>
      <c r="AN1240">
        <v>0</v>
      </c>
      <c r="AO1240">
        <v>0</v>
      </c>
      <c r="AP1240">
        <v>0</v>
      </c>
      <c r="AQ1240">
        <v>41.43</v>
      </c>
      <c r="AR1240">
        <v>0</v>
      </c>
      <c r="AS1240">
        <v>0</v>
      </c>
      <c r="AT1240">
        <v>0</v>
      </c>
      <c r="AU1240">
        <v>0</v>
      </c>
      <c r="AV1240">
        <v>0</v>
      </c>
      <c r="AW1240">
        <v>0</v>
      </c>
      <c r="AX1240">
        <v>0</v>
      </c>
      <c r="AY1240">
        <v>0</v>
      </c>
      <c r="AZ1240">
        <v>0</v>
      </c>
      <c r="BA1240">
        <v>0</v>
      </c>
      <c r="BB1240">
        <v>0</v>
      </c>
      <c r="BC1240">
        <v>0</v>
      </c>
      <c r="BD1240">
        <v>0</v>
      </c>
      <c r="BE1240">
        <v>0</v>
      </c>
      <c r="BF1240">
        <v>0</v>
      </c>
      <c r="BG1240">
        <v>0</v>
      </c>
      <c r="BH1240">
        <v>1</v>
      </c>
      <c r="BI1240">
        <v>1</v>
      </c>
      <c r="BJ1240">
        <v>0.2</v>
      </c>
      <c r="BK1240">
        <v>1</v>
      </c>
      <c r="BL1240">
        <v>135.59</v>
      </c>
      <c r="BM1240">
        <v>20.34</v>
      </c>
      <c r="BN1240">
        <v>155.93</v>
      </c>
      <c r="BO1240">
        <v>155.93</v>
      </c>
      <c r="BQ1240" t="s">
        <v>627</v>
      </c>
      <c r="BR1240" t="s">
        <v>84</v>
      </c>
      <c r="BS1240" s="3">
        <v>45791</v>
      </c>
      <c r="BT1240" s="4">
        <v>0.33333333333333331</v>
      </c>
      <c r="BU1240" t="s">
        <v>1674</v>
      </c>
      <c r="BV1240" t="s">
        <v>86</v>
      </c>
      <c r="BY1240">
        <v>1200</v>
      </c>
      <c r="CC1240" t="s">
        <v>625</v>
      </c>
      <c r="CD1240">
        <v>1947</v>
      </c>
      <c r="CE1240" t="s">
        <v>88</v>
      </c>
      <c r="CF1240" s="3">
        <v>45791</v>
      </c>
      <c r="CI1240">
        <v>1</v>
      </c>
      <c r="CJ1240">
        <v>1</v>
      </c>
      <c r="CK1240">
        <v>23</v>
      </c>
      <c r="CL1240" t="s">
        <v>89</v>
      </c>
    </row>
    <row r="1241" spans="1:90" x14ac:dyDescent="0.3">
      <c r="A1241" t="s">
        <v>72</v>
      </c>
      <c r="B1241" t="s">
        <v>73</v>
      </c>
      <c r="C1241" t="s">
        <v>74</v>
      </c>
      <c r="E1241" t="str">
        <f>"080065353805"</f>
        <v>080065353805</v>
      </c>
      <c r="F1241" s="3">
        <v>45790</v>
      </c>
      <c r="G1241">
        <v>202602</v>
      </c>
      <c r="H1241" t="s">
        <v>75</v>
      </c>
      <c r="I1241" t="s">
        <v>76</v>
      </c>
      <c r="J1241" t="s">
        <v>77</v>
      </c>
      <c r="K1241" t="s">
        <v>78</v>
      </c>
      <c r="L1241" t="s">
        <v>75</v>
      </c>
      <c r="M1241" t="s">
        <v>76</v>
      </c>
      <c r="N1241" t="s">
        <v>601</v>
      </c>
      <c r="O1241" t="s">
        <v>82</v>
      </c>
      <c r="P1241" t="str">
        <f>"4170038214                    "</f>
        <v xml:space="preserve">4170038214                    </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0</v>
      </c>
      <c r="AL1241">
        <v>0</v>
      </c>
      <c r="AM1241">
        <v>0</v>
      </c>
      <c r="AN1241">
        <v>0</v>
      </c>
      <c r="AO1241">
        <v>0</v>
      </c>
      <c r="AP1241">
        <v>0</v>
      </c>
      <c r="AQ1241">
        <v>16.7</v>
      </c>
      <c r="AR1241">
        <v>0</v>
      </c>
      <c r="AS1241">
        <v>0</v>
      </c>
      <c r="AT1241">
        <v>0</v>
      </c>
      <c r="AU1241">
        <v>0</v>
      </c>
      <c r="AV1241">
        <v>0</v>
      </c>
      <c r="AW1241">
        <v>0</v>
      </c>
      <c r="AX1241">
        <v>0</v>
      </c>
      <c r="AY1241">
        <v>0</v>
      </c>
      <c r="AZ1241">
        <v>0</v>
      </c>
      <c r="BA1241">
        <v>0</v>
      </c>
      <c r="BB1241">
        <v>0</v>
      </c>
      <c r="BC1241">
        <v>0</v>
      </c>
      <c r="BD1241">
        <v>0</v>
      </c>
      <c r="BE1241">
        <v>0</v>
      </c>
      <c r="BF1241">
        <v>0</v>
      </c>
      <c r="BG1241">
        <v>0</v>
      </c>
      <c r="BH1241">
        <v>1</v>
      </c>
      <c r="BI1241">
        <v>1</v>
      </c>
      <c r="BJ1241">
        <v>0.2</v>
      </c>
      <c r="BK1241">
        <v>1</v>
      </c>
      <c r="BL1241">
        <v>54.66</v>
      </c>
      <c r="BM1241">
        <v>8.1999999999999993</v>
      </c>
      <c r="BN1241">
        <v>62.86</v>
      </c>
      <c r="BO1241">
        <v>62.86</v>
      </c>
      <c r="BQ1241" t="s">
        <v>603</v>
      </c>
      <c r="BR1241" t="s">
        <v>84</v>
      </c>
      <c r="BS1241" s="3">
        <v>45791</v>
      </c>
      <c r="BT1241" s="4">
        <v>0.4375</v>
      </c>
      <c r="BU1241" t="s">
        <v>789</v>
      </c>
      <c r="BV1241" t="s">
        <v>86</v>
      </c>
      <c r="BY1241">
        <v>1200</v>
      </c>
      <c r="CC1241" t="s">
        <v>76</v>
      </c>
      <c r="CD1241">
        <v>1645</v>
      </c>
      <c r="CE1241" t="s">
        <v>88</v>
      </c>
      <c r="CF1241" s="3">
        <v>45792</v>
      </c>
      <c r="CI1241">
        <v>1</v>
      </c>
      <c r="CJ1241">
        <v>1</v>
      </c>
      <c r="CK1241">
        <v>22</v>
      </c>
      <c r="CL1241" t="s">
        <v>89</v>
      </c>
    </row>
    <row r="1242" spans="1:90" x14ac:dyDescent="0.3">
      <c r="A1242" t="s">
        <v>72</v>
      </c>
      <c r="B1242" t="s">
        <v>73</v>
      </c>
      <c r="C1242" t="s">
        <v>74</v>
      </c>
      <c r="E1242" t="str">
        <f>"080065353806"</f>
        <v>080065353806</v>
      </c>
      <c r="F1242" s="3">
        <v>45790</v>
      </c>
      <c r="G1242">
        <v>202602</v>
      </c>
      <c r="H1242" t="s">
        <v>75</v>
      </c>
      <c r="I1242" t="s">
        <v>76</v>
      </c>
      <c r="J1242" t="s">
        <v>77</v>
      </c>
      <c r="K1242" t="s">
        <v>78</v>
      </c>
      <c r="L1242" t="s">
        <v>117</v>
      </c>
      <c r="M1242" t="s">
        <v>118</v>
      </c>
      <c r="N1242" t="s">
        <v>532</v>
      </c>
      <c r="O1242" t="s">
        <v>82</v>
      </c>
      <c r="P1242" t="str">
        <f>"4170038150                    "</f>
        <v xml:space="preserve">4170038150                    </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0</v>
      </c>
      <c r="AL1242">
        <v>0</v>
      </c>
      <c r="AM1242">
        <v>0</v>
      </c>
      <c r="AN1242">
        <v>0</v>
      </c>
      <c r="AO1242">
        <v>0</v>
      </c>
      <c r="AP1242">
        <v>0</v>
      </c>
      <c r="AQ1242">
        <v>16.7</v>
      </c>
      <c r="AR1242">
        <v>0</v>
      </c>
      <c r="AS1242">
        <v>0</v>
      </c>
      <c r="AT1242">
        <v>0</v>
      </c>
      <c r="AU1242">
        <v>0</v>
      </c>
      <c r="AV1242">
        <v>0</v>
      </c>
      <c r="AW1242">
        <v>0</v>
      </c>
      <c r="AX1242">
        <v>0</v>
      </c>
      <c r="AY1242">
        <v>0</v>
      </c>
      <c r="AZ1242">
        <v>0</v>
      </c>
      <c r="BA1242">
        <v>0</v>
      </c>
      <c r="BB1242">
        <v>0</v>
      </c>
      <c r="BC1242">
        <v>0</v>
      </c>
      <c r="BD1242">
        <v>0</v>
      </c>
      <c r="BE1242">
        <v>0</v>
      </c>
      <c r="BF1242">
        <v>0</v>
      </c>
      <c r="BG1242">
        <v>0</v>
      </c>
      <c r="BH1242">
        <v>1</v>
      </c>
      <c r="BI1242">
        <v>1</v>
      </c>
      <c r="BJ1242">
        <v>1.1000000000000001</v>
      </c>
      <c r="BK1242">
        <v>2</v>
      </c>
      <c r="BL1242">
        <v>54.66</v>
      </c>
      <c r="BM1242">
        <v>8.1999999999999993</v>
      </c>
      <c r="BN1242">
        <v>62.86</v>
      </c>
      <c r="BO1242">
        <v>62.86</v>
      </c>
      <c r="BQ1242" t="s">
        <v>533</v>
      </c>
      <c r="BR1242" t="s">
        <v>84</v>
      </c>
      <c r="BS1242" s="3">
        <v>45791</v>
      </c>
      <c r="BT1242" s="4">
        <v>0.4236111111111111</v>
      </c>
      <c r="BU1242" t="s">
        <v>1936</v>
      </c>
      <c r="BV1242" t="s">
        <v>86</v>
      </c>
      <c r="BY1242">
        <v>5460</v>
      </c>
      <c r="CA1242" t="s">
        <v>535</v>
      </c>
      <c r="CC1242" t="s">
        <v>118</v>
      </c>
      <c r="CD1242">
        <v>2094</v>
      </c>
      <c r="CE1242" t="s">
        <v>221</v>
      </c>
      <c r="CF1242" s="3">
        <v>45791</v>
      </c>
      <c r="CI1242">
        <v>1</v>
      </c>
      <c r="CJ1242">
        <v>1</v>
      </c>
      <c r="CK1242">
        <v>22</v>
      </c>
      <c r="CL1242" t="s">
        <v>89</v>
      </c>
    </row>
    <row r="1243" spans="1:90" x14ac:dyDescent="0.3">
      <c r="A1243" t="s">
        <v>72</v>
      </c>
      <c r="B1243" t="s">
        <v>73</v>
      </c>
      <c r="C1243" t="s">
        <v>74</v>
      </c>
      <c r="E1243" t="str">
        <f>"080065353856"</f>
        <v>080065353856</v>
      </c>
      <c r="F1243" s="3">
        <v>45790</v>
      </c>
      <c r="G1243">
        <v>202602</v>
      </c>
      <c r="H1243" t="s">
        <v>75</v>
      </c>
      <c r="I1243" t="s">
        <v>76</v>
      </c>
      <c r="J1243" t="s">
        <v>77</v>
      </c>
      <c r="K1243" t="s">
        <v>78</v>
      </c>
      <c r="L1243" t="s">
        <v>75</v>
      </c>
      <c r="M1243" t="s">
        <v>76</v>
      </c>
      <c r="N1243" t="s">
        <v>1937</v>
      </c>
      <c r="O1243" t="s">
        <v>82</v>
      </c>
      <c r="P1243" t="str">
        <f>"4170038204                    "</f>
        <v xml:space="preserve">4170038204                    </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c r="AJ1243">
        <v>0</v>
      </c>
      <c r="AK1243">
        <v>0</v>
      </c>
      <c r="AL1243">
        <v>0</v>
      </c>
      <c r="AM1243">
        <v>0</v>
      </c>
      <c r="AN1243">
        <v>0</v>
      </c>
      <c r="AO1243">
        <v>0</v>
      </c>
      <c r="AP1243">
        <v>0</v>
      </c>
      <c r="AQ1243">
        <v>16.7</v>
      </c>
      <c r="AR1243">
        <v>0</v>
      </c>
      <c r="AS1243">
        <v>0</v>
      </c>
      <c r="AT1243">
        <v>0</v>
      </c>
      <c r="AU1243">
        <v>0</v>
      </c>
      <c r="AV1243">
        <v>0</v>
      </c>
      <c r="AW1243">
        <v>0</v>
      </c>
      <c r="AX1243">
        <v>0</v>
      </c>
      <c r="AY1243">
        <v>0</v>
      </c>
      <c r="AZ1243">
        <v>0</v>
      </c>
      <c r="BA1243">
        <v>0</v>
      </c>
      <c r="BB1243">
        <v>0</v>
      </c>
      <c r="BC1243">
        <v>0</v>
      </c>
      <c r="BD1243">
        <v>0</v>
      </c>
      <c r="BE1243">
        <v>0</v>
      </c>
      <c r="BF1243">
        <v>0</v>
      </c>
      <c r="BG1243">
        <v>0</v>
      </c>
      <c r="BH1243">
        <v>1</v>
      </c>
      <c r="BI1243">
        <v>1</v>
      </c>
      <c r="BJ1243">
        <v>1.1000000000000001</v>
      </c>
      <c r="BK1243">
        <v>2</v>
      </c>
      <c r="BL1243">
        <v>54.66</v>
      </c>
      <c r="BM1243">
        <v>8.1999999999999993</v>
      </c>
      <c r="BN1243">
        <v>62.86</v>
      </c>
      <c r="BO1243">
        <v>62.86</v>
      </c>
      <c r="BQ1243" t="s">
        <v>1938</v>
      </c>
      <c r="BR1243" t="s">
        <v>84</v>
      </c>
      <c r="BS1243" s="3">
        <v>45791</v>
      </c>
      <c r="BT1243" s="4">
        <v>0.38750000000000001</v>
      </c>
      <c r="BU1243" t="s">
        <v>1939</v>
      </c>
      <c r="BV1243" t="s">
        <v>86</v>
      </c>
      <c r="BY1243">
        <v>5320</v>
      </c>
      <c r="CA1243" t="s">
        <v>605</v>
      </c>
      <c r="CC1243" t="s">
        <v>76</v>
      </c>
      <c r="CD1243">
        <v>1609</v>
      </c>
      <c r="CE1243" t="s">
        <v>116</v>
      </c>
      <c r="CF1243" s="3">
        <v>45792</v>
      </c>
      <c r="CI1243">
        <v>1</v>
      </c>
      <c r="CJ1243">
        <v>1</v>
      </c>
      <c r="CK1243">
        <v>22</v>
      </c>
      <c r="CL1243" t="s">
        <v>89</v>
      </c>
    </row>
    <row r="1244" spans="1:90" x14ac:dyDescent="0.3">
      <c r="A1244" t="s">
        <v>72</v>
      </c>
      <c r="B1244" t="s">
        <v>73</v>
      </c>
      <c r="C1244" t="s">
        <v>74</v>
      </c>
      <c r="E1244" t="str">
        <f>"080065354119"</f>
        <v>080065354119</v>
      </c>
      <c r="F1244" s="3">
        <v>45790</v>
      </c>
      <c r="G1244">
        <v>202602</v>
      </c>
      <c r="H1244" t="s">
        <v>75</v>
      </c>
      <c r="I1244" t="s">
        <v>76</v>
      </c>
      <c r="J1244" t="s">
        <v>77</v>
      </c>
      <c r="K1244" t="s">
        <v>78</v>
      </c>
      <c r="L1244" t="s">
        <v>136</v>
      </c>
      <c r="M1244" t="s">
        <v>137</v>
      </c>
      <c r="N1244" t="s">
        <v>441</v>
      </c>
      <c r="O1244" t="s">
        <v>300</v>
      </c>
      <c r="P1244" t="str">
        <f>"4170038109                    "</f>
        <v xml:space="preserve">4170038109                    </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77.2</v>
      </c>
      <c r="AR1244">
        <v>0</v>
      </c>
      <c r="AS1244">
        <v>0</v>
      </c>
      <c r="AT1244">
        <v>0</v>
      </c>
      <c r="AU1244">
        <v>0</v>
      </c>
      <c r="AV1244">
        <v>0</v>
      </c>
      <c r="AW1244">
        <v>0</v>
      </c>
      <c r="AX1244">
        <v>0</v>
      </c>
      <c r="AY1244">
        <v>0</v>
      </c>
      <c r="AZ1244">
        <v>0</v>
      </c>
      <c r="BA1244">
        <v>0</v>
      </c>
      <c r="BB1244">
        <v>0</v>
      </c>
      <c r="BC1244">
        <v>0</v>
      </c>
      <c r="BD1244">
        <v>0</v>
      </c>
      <c r="BE1244">
        <v>0</v>
      </c>
      <c r="BF1244">
        <v>0</v>
      </c>
      <c r="BG1244">
        <v>0</v>
      </c>
      <c r="BH1244">
        <v>2</v>
      </c>
      <c r="BI1244">
        <v>36</v>
      </c>
      <c r="BJ1244">
        <v>17.899999999999999</v>
      </c>
      <c r="BK1244">
        <v>36</v>
      </c>
      <c r="BL1244">
        <v>258.23</v>
      </c>
      <c r="BM1244">
        <v>38.729999999999997</v>
      </c>
      <c r="BN1244">
        <v>296.95999999999998</v>
      </c>
      <c r="BO1244">
        <v>296.95999999999998</v>
      </c>
      <c r="BQ1244" t="s">
        <v>442</v>
      </c>
      <c r="BR1244" t="s">
        <v>84</v>
      </c>
      <c r="BS1244" s="3">
        <v>45791</v>
      </c>
      <c r="BT1244" s="4">
        <v>0.57986111111111116</v>
      </c>
      <c r="BU1244" t="s">
        <v>1940</v>
      </c>
      <c r="BV1244" t="s">
        <v>86</v>
      </c>
      <c r="BY1244">
        <v>89280</v>
      </c>
      <c r="CA1244" t="s">
        <v>575</v>
      </c>
      <c r="CC1244" t="s">
        <v>137</v>
      </c>
      <c r="CD1244" s="5" t="s">
        <v>444</v>
      </c>
      <c r="CE1244" t="s">
        <v>96</v>
      </c>
      <c r="CF1244" s="3">
        <v>45791</v>
      </c>
      <c r="CI1244">
        <v>1</v>
      </c>
      <c r="CJ1244">
        <v>1</v>
      </c>
      <c r="CK1244">
        <v>41</v>
      </c>
      <c r="CL1244" t="s">
        <v>89</v>
      </c>
    </row>
    <row r="1245" spans="1:90" x14ac:dyDescent="0.3">
      <c r="A1245" t="s">
        <v>72</v>
      </c>
      <c r="B1245" t="s">
        <v>73</v>
      </c>
      <c r="C1245" t="s">
        <v>74</v>
      </c>
      <c r="E1245" t="str">
        <f>"080065354191"</f>
        <v>080065354191</v>
      </c>
      <c r="F1245" s="3">
        <v>45790</v>
      </c>
      <c r="G1245">
        <v>202602</v>
      </c>
      <c r="H1245" t="s">
        <v>75</v>
      </c>
      <c r="I1245" t="s">
        <v>76</v>
      </c>
      <c r="J1245" t="s">
        <v>77</v>
      </c>
      <c r="K1245" t="s">
        <v>78</v>
      </c>
      <c r="L1245" t="s">
        <v>75</v>
      </c>
      <c r="M1245" t="s">
        <v>76</v>
      </c>
      <c r="N1245" t="s">
        <v>346</v>
      </c>
      <c r="O1245" t="s">
        <v>82</v>
      </c>
      <c r="P1245" t="str">
        <f>"4170038176                    "</f>
        <v xml:space="preserve">4170038176                    </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0</v>
      </c>
      <c r="AL1245">
        <v>0</v>
      </c>
      <c r="AM1245">
        <v>0</v>
      </c>
      <c r="AN1245">
        <v>0</v>
      </c>
      <c r="AO1245">
        <v>0</v>
      </c>
      <c r="AP1245">
        <v>0</v>
      </c>
      <c r="AQ1245">
        <v>16.7</v>
      </c>
      <c r="AR1245">
        <v>0</v>
      </c>
      <c r="AS1245">
        <v>0</v>
      </c>
      <c r="AT1245">
        <v>0</v>
      </c>
      <c r="AU1245">
        <v>0</v>
      </c>
      <c r="AV1245">
        <v>0</v>
      </c>
      <c r="AW1245">
        <v>0</v>
      </c>
      <c r="AX1245">
        <v>0</v>
      </c>
      <c r="AY1245">
        <v>0</v>
      </c>
      <c r="AZ1245">
        <v>0</v>
      </c>
      <c r="BA1245">
        <v>0</v>
      </c>
      <c r="BB1245">
        <v>0</v>
      </c>
      <c r="BC1245">
        <v>0</v>
      </c>
      <c r="BD1245">
        <v>0</v>
      </c>
      <c r="BE1245">
        <v>0</v>
      </c>
      <c r="BF1245">
        <v>0</v>
      </c>
      <c r="BG1245">
        <v>0</v>
      </c>
      <c r="BH1245">
        <v>1</v>
      </c>
      <c r="BI1245">
        <v>3</v>
      </c>
      <c r="BJ1245">
        <v>2.4</v>
      </c>
      <c r="BK1245">
        <v>3</v>
      </c>
      <c r="BL1245">
        <v>54.66</v>
      </c>
      <c r="BM1245">
        <v>8.1999999999999993</v>
      </c>
      <c r="BN1245">
        <v>62.86</v>
      </c>
      <c r="BO1245">
        <v>62.86</v>
      </c>
      <c r="BQ1245" t="s">
        <v>347</v>
      </c>
      <c r="BR1245" t="s">
        <v>84</v>
      </c>
      <c r="BS1245" s="3">
        <v>45791</v>
      </c>
      <c r="BT1245" s="4">
        <v>0.38333333333333336</v>
      </c>
      <c r="BU1245" t="s">
        <v>348</v>
      </c>
      <c r="BV1245" t="s">
        <v>86</v>
      </c>
      <c r="BY1245">
        <v>12236</v>
      </c>
      <c r="CA1245" t="s">
        <v>349</v>
      </c>
      <c r="CC1245" t="s">
        <v>76</v>
      </c>
      <c r="CD1245">
        <v>1619</v>
      </c>
      <c r="CE1245" t="s">
        <v>116</v>
      </c>
      <c r="CF1245" s="3">
        <v>45791</v>
      </c>
      <c r="CI1245">
        <v>1</v>
      </c>
      <c r="CJ1245">
        <v>1</v>
      </c>
      <c r="CK1245">
        <v>22</v>
      </c>
      <c r="CL1245" t="s">
        <v>89</v>
      </c>
    </row>
    <row r="1246" spans="1:90" x14ac:dyDescent="0.3">
      <c r="A1246" t="s">
        <v>72</v>
      </c>
      <c r="B1246" t="s">
        <v>73</v>
      </c>
      <c r="C1246" t="s">
        <v>74</v>
      </c>
      <c r="E1246" t="str">
        <f>"080065354492"</f>
        <v>080065354492</v>
      </c>
      <c r="F1246" s="3">
        <v>45790</v>
      </c>
      <c r="G1246">
        <v>202602</v>
      </c>
      <c r="H1246" t="s">
        <v>75</v>
      </c>
      <c r="I1246" t="s">
        <v>76</v>
      </c>
      <c r="J1246" t="s">
        <v>77</v>
      </c>
      <c r="K1246" t="s">
        <v>78</v>
      </c>
      <c r="L1246" t="s">
        <v>90</v>
      </c>
      <c r="M1246" t="s">
        <v>91</v>
      </c>
      <c r="N1246" t="s">
        <v>515</v>
      </c>
      <c r="O1246" t="s">
        <v>82</v>
      </c>
      <c r="P1246" t="str">
        <f>"4170038216                    "</f>
        <v xml:space="preserve">4170038216                    </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0</v>
      </c>
      <c r="AL1246">
        <v>0</v>
      </c>
      <c r="AM1246">
        <v>0</v>
      </c>
      <c r="AN1246">
        <v>0</v>
      </c>
      <c r="AO1246">
        <v>0</v>
      </c>
      <c r="AP1246">
        <v>0</v>
      </c>
      <c r="AQ1246">
        <v>21.38</v>
      </c>
      <c r="AR1246">
        <v>0</v>
      </c>
      <c r="AS1246">
        <v>0</v>
      </c>
      <c r="AT1246">
        <v>0</v>
      </c>
      <c r="AU1246">
        <v>0</v>
      </c>
      <c r="AV1246">
        <v>0</v>
      </c>
      <c r="AW1246">
        <v>0</v>
      </c>
      <c r="AX1246">
        <v>0</v>
      </c>
      <c r="AY1246">
        <v>0</v>
      </c>
      <c r="AZ1246">
        <v>0</v>
      </c>
      <c r="BA1246">
        <v>0</v>
      </c>
      <c r="BB1246">
        <v>0</v>
      </c>
      <c r="BC1246">
        <v>0</v>
      </c>
      <c r="BD1246">
        <v>0</v>
      </c>
      <c r="BE1246">
        <v>0</v>
      </c>
      <c r="BF1246">
        <v>0</v>
      </c>
      <c r="BG1246">
        <v>0</v>
      </c>
      <c r="BH1246">
        <v>1</v>
      </c>
      <c r="BI1246">
        <v>1</v>
      </c>
      <c r="BJ1246">
        <v>0.2</v>
      </c>
      <c r="BK1246">
        <v>1</v>
      </c>
      <c r="BL1246">
        <v>69.98</v>
      </c>
      <c r="BM1246">
        <v>10.5</v>
      </c>
      <c r="BN1246">
        <v>80.48</v>
      </c>
      <c r="BO1246">
        <v>80.48</v>
      </c>
      <c r="BQ1246" t="s">
        <v>516</v>
      </c>
      <c r="BR1246" t="s">
        <v>84</v>
      </c>
      <c r="BS1246" s="3">
        <v>45791</v>
      </c>
      <c r="BT1246" s="4">
        <v>0.40763888888888888</v>
      </c>
      <c r="BU1246" t="s">
        <v>517</v>
      </c>
      <c r="BV1246" t="s">
        <v>86</v>
      </c>
      <c r="BY1246">
        <v>1200</v>
      </c>
      <c r="BZ1246" t="s">
        <v>127</v>
      </c>
      <c r="CA1246" t="s">
        <v>271</v>
      </c>
      <c r="CC1246" t="s">
        <v>91</v>
      </c>
      <c r="CD1246">
        <v>6001</v>
      </c>
      <c r="CE1246" t="s">
        <v>129</v>
      </c>
      <c r="CF1246" s="3">
        <v>45791</v>
      </c>
      <c r="CI1246">
        <v>1</v>
      </c>
      <c r="CJ1246">
        <v>1</v>
      </c>
      <c r="CK1246">
        <v>21</v>
      </c>
      <c r="CL1246" t="s">
        <v>89</v>
      </c>
    </row>
    <row r="1247" spans="1:90" x14ac:dyDescent="0.3">
      <c r="A1247" t="s">
        <v>72</v>
      </c>
      <c r="B1247" t="s">
        <v>73</v>
      </c>
      <c r="C1247" t="s">
        <v>74</v>
      </c>
      <c r="E1247" t="str">
        <f>"080065354529"</f>
        <v>080065354529</v>
      </c>
      <c r="F1247" s="3">
        <v>45790</v>
      </c>
      <c r="G1247">
        <v>202602</v>
      </c>
      <c r="H1247" t="s">
        <v>75</v>
      </c>
      <c r="I1247" t="s">
        <v>76</v>
      </c>
      <c r="J1247" t="s">
        <v>77</v>
      </c>
      <c r="K1247" t="s">
        <v>78</v>
      </c>
      <c r="L1247" t="s">
        <v>136</v>
      </c>
      <c r="M1247" t="s">
        <v>137</v>
      </c>
      <c r="N1247" t="s">
        <v>1941</v>
      </c>
      <c r="O1247" t="s">
        <v>82</v>
      </c>
      <c r="P1247" t="str">
        <f>"4170038190                    "</f>
        <v xml:space="preserve">4170038190                    </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0</v>
      </c>
      <c r="AL1247">
        <v>0</v>
      </c>
      <c r="AM1247">
        <v>0</v>
      </c>
      <c r="AN1247">
        <v>0</v>
      </c>
      <c r="AO1247">
        <v>0</v>
      </c>
      <c r="AP1247">
        <v>0</v>
      </c>
      <c r="AQ1247">
        <v>21.38</v>
      </c>
      <c r="AR1247">
        <v>0</v>
      </c>
      <c r="AS1247">
        <v>0</v>
      </c>
      <c r="AT1247">
        <v>0</v>
      </c>
      <c r="AU1247">
        <v>0</v>
      </c>
      <c r="AV1247">
        <v>0</v>
      </c>
      <c r="AW1247">
        <v>0</v>
      </c>
      <c r="AX1247">
        <v>0</v>
      </c>
      <c r="AY1247">
        <v>0</v>
      </c>
      <c r="AZ1247">
        <v>0</v>
      </c>
      <c r="BA1247">
        <v>0</v>
      </c>
      <c r="BB1247">
        <v>0</v>
      </c>
      <c r="BC1247">
        <v>0</v>
      </c>
      <c r="BD1247">
        <v>0</v>
      </c>
      <c r="BE1247">
        <v>0</v>
      </c>
      <c r="BF1247">
        <v>0</v>
      </c>
      <c r="BG1247">
        <v>0</v>
      </c>
      <c r="BH1247">
        <v>1</v>
      </c>
      <c r="BI1247">
        <v>1</v>
      </c>
      <c r="BJ1247">
        <v>0.2</v>
      </c>
      <c r="BK1247">
        <v>1</v>
      </c>
      <c r="BL1247">
        <v>69.98</v>
      </c>
      <c r="BM1247">
        <v>10.5</v>
      </c>
      <c r="BN1247">
        <v>80.48</v>
      </c>
      <c r="BO1247">
        <v>80.48</v>
      </c>
      <c r="BQ1247" t="s">
        <v>1942</v>
      </c>
      <c r="BR1247" t="s">
        <v>84</v>
      </c>
      <c r="BS1247" s="3">
        <v>45791</v>
      </c>
      <c r="BT1247" s="4">
        <v>0.42916666666666664</v>
      </c>
      <c r="BU1247" t="s">
        <v>1943</v>
      </c>
      <c r="BV1247" t="s">
        <v>86</v>
      </c>
      <c r="BY1247">
        <v>1200</v>
      </c>
      <c r="CA1247" t="s">
        <v>141</v>
      </c>
      <c r="CC1247" t="s">
        <v>137</v>
      </c>
      <c r="CD1247" s="5" t="s">
        <v>142</v>
      </c>
      <c r="CE1247" t="s">
        <v>88</v>
      </c>
      <c r="CF1247" s="3">
        <v>45791</v>
      </c>
      <c r="CI1247">
        <v>1</v>
      </c>
      <c r="CJ1247">
        <v>1</v>
      </c>
      <c r="CK1247">
        <v>21</v>
      </c>
      <c r="CL1247" t="s">
        <v>89</v>
      </c>
    </row>
    <row r="1248" spans="1:90" x14ac:dyDescent="0.3">
      <c r="A1248" t="s">
        <v>72</v>
      </c>
      <c r="B1248" t="s">
        <v>73</v>
      </c>
      <c r="C1248" t="s">
        <v>74</v>
      </c>
      <c r="E1248" t="str">
        <f>"080065354566"</f>
        <v>080065354566</v>
      </c>
      <c r="F1248" s="3">
        <v>45790</v>
      </c>
      <c r="G1248">
        <v>202602</v>
      </c>
      <c r="H1248" t="s">
        <v>75</v>
      </c>
      <c r="I1248" t="s">
        <v>76</v>
      </c>
      <c r="J1248" t="s">
        <v>77</v>
      </c>
      <c r="K1248" t="s">
        <v>78</v>
      </c>
      <c r="L1248" t="s">
        <v>117</v>
      </c>
      <c r="M1248" t="s">
        <v>118</v>
      </c>
      <c r="N1248" t="s">
        <v>272</v>
      </c>
      <c r="O1248" t="s">
        <v>82</v>
      </c>
      <c r="P1248" t="str">
        <f>"4170038213                    "</f>
        <v xml:space="preserve">4170038213                    </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0</v>
      </c>
      <c r="AL1248">
        <v>0</v>
      </c>
      <c r="AM1248">
        <v>0</v>
      </c>
      <c r="AN1248">
        <v>0</v>
      </c>
      <c r="AO1248">
        <v>0</v>
      </c>
      <c r="AP1248">
        <v>0</v>
      </c>
      <c r="AQ1248">
        <v>16.7</v>
      </c>
      <c r="AR1248">
        <v>0</v>
      </c>
      <c r="AS1248">
        <v>0</v>
      </c>
      <c r="AT1248">
        <v>0</v>
      </c>
      <c r="AU1248">
        <v>0</v>
      </c>
      <c r="AV1248">
        <v>0</v>
      </c>
      <c r="AW1248">
        <v>0</v>
      </c>
      <c r="AX1248">
        <v>0</v>
      </c>
      <c r="AY1248">
        <v>0</v>
      </c>
      <c r="AZ1248">
        <v>0</v>
      </c>
      <c r="BA1248">
        <v>0</v>
      </c>
      <c r="BB1248">
        <v>0</v>
      </c>
      <c r="BC1248">
        <v>0</v>
      </c>
      <c r="BD1248">
        <v>0</v>
      </c>
      <c r="BE1248">
        <v>0</v>
      </c>
      <c r="BF1248">
        <v>0</v>
      </c>
      <c r="BG1248">
        <v>0</v>
      </c>
      <c r="BH1248">
        <v>1</v>
      </c>
      <c r="BI1248">
        <v>1</v>
      </c>
      <c r="BJ1248">
        <v>0.2</v>
      </c>
      <c r="BK1248">
        <v>1</v>
      </c>
      <c r="BL1248">
        <v>54.66</v>
      </c>
      <c r="BM1248">
        <v>8.1999999999999993</v>
      </c>
      <c r="BN1248">
        <v>62.86</v>
      </c>
      <c r="BO1248">
        <v>62.86</v>
      </c>
      <c r="BQ1248" t="s">
        <v>273</v>
      </c>
      <c r="BR1248" t="s">
        <v>84</v>
      </c>
      <c r="BS1248" s="3">
        <v>45791</v>
      </c>
      <c r="BT1248" s="4">
        <v>0.3125</v>
      </c>
      <c r="BU1248" t="s">
        <v>1944</v>
      </c>
      <c r="BV1248" t="s">
        <v>86</v>
      </c>
      <c r="BY1248">
        <v>1200</v>
      </c>
      <c r="CA1248" t="s">
        <v>275</v>
      </c>
      <c r="CC1248" t="s">
        <v>118</v>
      </c>
      <c r="CD1248">
        <v>2013</v>
      </c>
      <c r="CE1248" t="s">
        <v>88</v>
      </c>
      <c r="CF1248" s="3">
        <v>45792</v>
      </c>
      <c r="CI1248">
        <v>1</v>
      </c>
      <c r="CJ1248">
        <v>1</v>
      </c>
      <c r="CK1248">
        <v>22</v>
      </c>
      <c r="CL1248" t="s">
        <v>89</v>
      </c>
    </row>
    <row r="1249" spans="1:90" x14ac:dyDescent="0.3">
      <c r="A1249" t="s">
        <v>72</v>
      </c>
      <c r="B1249" t="s">
        <v>73</v>
      </c>
      <c r="C1249" t="s">
        <v>74</v>
      </c>
      <c r="E1249" t="str">
        <f>"080065355479"</f>
        <v>080065355479</v>
      </c>
      <c r="F1249" s="3">
        <v>45790</v>
      </c>
      <c r="G1249">
        <v>202602</v>
      </c>
      <c r="H1249" t="s">
        <v>75</v>
      </c>
      <c r="I1249" t="s">
        <v>76</v>
      </c>
      <c r="J1249" t="s">
        <v>77</v>
      </c>
      <c r="K1249" t="s">
        <v>78</v>
      </c>
      <c r="L1249" t="s">
        <v>79</v>
      </c>
      <c r="M1249" t="s">
        <v>80</v>
      </c>
      <c r="N1249" t="s">
        <v>862</v>
      </c>
      <c r="O1249" t="s">
        <v>82</v>
      </c>
      <c r="P1249" t="str">
        <f>"4170038211                    "</f>
        <v xml:space="preserve">4170038211                    </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21.38</v>
      </c>
      <c r="AR1249">
        <v>0</v>
      </c>
      <c r="AS1249">
        <v>0</v>
      </c>
      <c r="AT1249">
        <v>0</v>
      </c>
      <c r="AU1249">
        <v>0</v>
      </c>
      <c r="AV1249">
        <v>0</v>
      </c>
      <c r="AW1249">
        <v>0</v>
      </c>
      <c r="AX1249">
        <v>0</v>
      </c>
      <c r="AY1249">
        <v>0</v>
      </c>
      <c r="AZ1249">
        <v>0</v>
      </c>
      <c r="BA1249">
        <v>0</v>
      </c>
      <c r="BB1249">
        <v>0</v>
      </c>
      <c r="BC1249">
        <v>0</v>
      </c>
      <c r="BD1249">
        <v>0</v>
      </c>
      <c r="BE1249">
        <v>0</v>
      </c>
      <c r="BF1249">
        <v>0</v>
      </c>
      <c r="BG1249">
        <v>0</v>
      </c>
      <c r="BH1249">
        <v>1</v>
      </c>
      <c r="BI1249">
        <v>1</v>
      </c>
      <c r="BJ1249">
        <v>1.1000000000000001</v>
      </c>
      <c r="BK1249">
        <v>1.5</v>
      </c>
      <c r="BL1249">
        <v>69.98</v>
      </c>
      <c r="BM1249">
        <v>10.5</v>
      </c>
      <c r="BN1249">
        <v>80.48</v>
      </c>
      <c r="BO1249">
        <v>80.48</v>
      </c>
      <c r="BQ1249" t="s">
        <v>863</v>
      </c>
      <c r="BR1249" t="s">
        <v>84</v>
      </c>
      <c r="BS1249" s="3">
        <v>45791</v>
      </c>
      <c r="BT1249" s="4">
        <v>0.47916666666666669</v>
      </c>
      <c r="BU1249" t="s">
        <v>864</v>
      </c>
      <c r="BV1249" t="s">
        <v>86</v>
      </c>
      <c r="BY1249">
        <v>5320</v>
      </c>
      <c r="CA1249" t="s">
        <v>160</v>
      </c>
      <c r="CC1249" t="s">
        <v>80</v>
      </c>
      <c r="CD1249">
        <v>3610</v>
      </c>
      <c r="CE1249" t="s">
        <v>116</v>
      </c>
      <c r="CF1249" s="3">
        <v>45792</v>
      </c>
      <c r="CI1249">
        <v>1</v>
      </c>
      <c r="CJ1249">
        <v>1</v>
      </c>
      <c r="CK1249">
        <v>21</v>
      </c>
      <c r="CL1249" t="s">
        <v>89</v>
      </c>
    </row>
    <row r="1250" spans="1:90" x14ac:dyDescent="0.3">
      <c r="A1250" t="s">
        <v>72</v>
      </c>
      <c r="B1250" t="s">
        <v>73</v>
      </c>
      <c r="C1250" t="s">
        <v>74</v>
      </c>
      <c r="E1250" t="str">
        <f>"080065355510"</f>
        <v>080065355510</v>
      </c>
      <c r="F1250" s="3">
        <v>45790</v>
      </c>
      <c r="G1250">
        <v>202602</v>
      </c>
      <c r="H1250" t="s">
        <v>75</v>
      </c>
      <c r="I1250" t="s">
        <v>76</v>
      </c>
      <c r="J1250" t="s">
        <v>77</v>
      </c>
      <c r="K1250" t="s">
        <v>78</v>
      </c>
      <c r="L1250" t="s">
        <v>103</v>
      </c>
      <c r="M1250" t="s">
        <v>104</v>
      </c>
      <c r="N1250" t="s">
        <v>105</v>
      </c>
      <c r="O1250" t="s">
        <v>82</v>
      </c>
      <c r="P1250" t="str">
        <f>"4170038053                    "</f>
        <v xml:space="preserve">4170038053                    </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c r="AJ1250">
        <v>0</v>
      </c>
      <c r="AK1250">
        <v>0</v>
      </c>
      <c r="AL1250">
        <v>0</v>
      </c>
      <c r="AM1250">
        <v>0</v>
      </c>
      <c r="AN1250">
        <v>0</v>
      </c>
      <c r="AO1250">
        <v>0</v>
      </c>
      <c r="AP1250">
        <v>0</v>
      </c>
      <c r="AQ1250">
        <v>21.38</v>
      </c>
      <c r="AR1250">
        <v>0</v>
      </c>
      <c r="AS1250">
        <v>0</v>
      </c>
      <c r="AT1250">
        <v>0</v>
      </c>
      <c r="AU1250">
        <v>0</v>
      </c>
      <c r="AV1250">
        <v>0</v>
      </c>
      <c r="AW1250">
        <v>0</v>
      </c>
      <c r="AX1250">
        <v>0</v>
      </c>
      <c r="AY1250">
        <v>0</v>
      </c>
      <c r="AZ1250">
        <v>0</v>
      </c>
      <c r="BA1250">
        <v>0</v>
      </c>
      <c r="BB1250">
        <v>0</v>
      </c>
      <c r="BC1250">
        <v>0</v>
      </c>
      <c r="BD1250">
        <v>0</v>
      </c>
      <c r="BE1250">
        <v>0</v>
      </c>
      <c r="BF1250">
        <v>0</v>
      </c>
      <c r="BG1250">
        <v>0</v>
      </c>
      <c r="BH1250">
        <v>1</v>
      </c>
      <c r="BI1250">
        <v>2</v>
      </c>
      <c r="BJ1250">
        <v>1.1000000000000001</v>
      </c>
      <c r="BK1250">
        <v>2</v>
      </c>
      <c r="BL1250">
        <v>69.98</v>
      </c>
      <c r="BM1250">
        <v>10.5</v>
      </c>
      <c r="BN1250">
        <v>80.48</v>
      </c>
      <c r="BO1250">
        <v>80.48</v>
      </c>
      <c r="BQ1250" t="s">
        <v>106</v>
      </c>
      <c r="BR1250" t="s">
        <v>84</v>
      </c>
      <c r="BS1250" s="3">
        <v>45791</v>
      </c>
      <c r="BT1250" s="4">
        <v>0.41666666666666669</v>
      </c>
      <c r="BU1250" t="s">
        <v>430</v>
      </c>
      <c r="BV1250" t="s">
        <v>86</v>
      </c>
      <c r="BY1250">
        <v>5320</v>
      </c>
      <c r="CA1250" t="s">
        <v>108</v>
      </c>
      <c r="CC1250" t="s">
        <v>104</v>
      </c>
      <c r="CD1250">
        <v>3201</v>
      </c>
      <c r="CE1250" t="s">
        <v>116</v>
      </c>
      <c r="CF1250" s="3">
        <v>45792</v>
      </c>
      <c r="CI1250">
        <v>1</v>
      </c>
      <c r="CJ1250">
        <v>1</v>
      </c>
      <c r="CK1250">
        <v>21</v>
      </c>
      <c r="CL1250" t="s">
        <v>89</v>
      </c>
    </row>
    <row r="1251" spans="1:90" x14ac:dyDescent="0.3">
      <c r="A1251" t="s">
        <v>72</v>
      </c>
      <c r="B1251" t="s">
        <v>73</v>
      </c>
      <c r="C1251" t="s">
        <v>74</v>
      </c>
      <c r="E1251" t="str">
        <f>"080065355559"</f>
        <v>080065355559</v>
      </c>
      <c r="F1251" s="3">
        <v>45790</v>
      </c>
      <c r="G1251">
        <v>202602</v>
      </c>
      <c r="H1251" t="s">
        <v>75</v>
      </c>
      <c r="I1251" t="s">
        <v>76</v>
      </c>
      <c r="J1251" t="s">
        <v>77</v>
      </c>
      <c r="K1251" t="s">
        <v>78</v>
      </c>
      <c r="L1251" t="s">
        <v>75</v>
      </c>
      <c r="M1251" t="s">
        <v>76</v>
      </c>
      <c r="N1251" t="s">
        <v>601</v>
      </c>
      <c r="O1251" t="s">
        <v>300</v>
      </c>
      <c r="P1251" t="str">
        <f>"4170038076                    "</f>
        <v xml:space="preserve">4170038076                    </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0</v>
      </c>
      <c r="AL1251">
        <v>0</v>
      </c>
      <c r="AM1251">
        <v>0</v>
      </c>
      <c r="AN1251">
        <v>0</v>
      </c>
      <c r="AO1251">
        <v>0</v>
      </c>
      <c r="AP1251">
        <v>0</v>
      </c>
      <c r="AQ1251">
        <v>34.71</v>
      </c>
      <c r="AR1251">
        <v>0</v>
      </c>
      <c r="AS1251">
        <v>0</v>
      </c>
      <c r="AT1251">
        <v>0</v>
      </c>
      <c r="AU1251">
        <v>0</v>
      </c>
      <c r="AV1251">
        <v>0</v>
      </c>
      <c r="AW1251">
        <v>0</v>
      </c>
      <c r="AX1251">
        <v>0</v>
      </c>
      <c r="AY1251">
        <v>0</v>
      </c>
      <c r="AZ1251">
        <v>0</v>
      </c>
      <c r="BA1251">
        <v>0</v>
      </c>
      <c r="BB1251">
        <v>0</v>
      </c>
      <c r="BC1251">
        <v>0</v>
      </c>
      <c r="BD1251">
        <v>0</v>
      </c>
      <c r="BE1251">
        <v>0</v>
      </c>
      <c r="BF1251">
        <v>0</v>
      </c>
      <c r="BG1251">
        <v>0</v>
      </c>
      <c r="BH1251">
        <v>1</v>
      </c>
      <c r="BI1251">
        <v>7</v>
      </c>
      <c r="BJ1251">
        <v>17.7</v>
      </c>
      <c r="BK1251">
        <v>18</v>
      </c>
      <c r="BL1251">
        <v>119.16</v>
      </c>
      <c r="BM1251">
        <v>17.87</v>
      </c>
      <c r="BN1251">
        <v>137.03</v>
      </c>
      <c r="BO1251">
        <v>137.03</v>
      </c>
      <c r="BQ1251" t="s">
        <v>603</v>
      </c>
      <c r="BR1251" t="s">
        <v>84</v>
      </c>
      <c r="BS1251" s="3">
        <v>45791</v>
      </c>
      <c r="BT1251" s="4">
        <v>0.34027777777777779</v>
      </c>
      <c r="BU1251" t="s">
        <v>1945</v>
      </c>
      <c r="BV1251" t="s">
        <v>86</v>
      </c>
      <c r="BY1251">
        <v>88320</v>
      </c>
      <c r="CA1251" t="s">
        <v>605</v>
      </c>
      <c r="CC1251" t="s">
        <v>76</v>
      </c>
      <c r="CD1251">
        <v>1645</v>
      </c>
      <c r="CE1251" t="s">
        <v>96</v>
      </c>
      <c r="CF1251" s="3">
        <v>45792</v>
      </c>
      <c r="CI1251">
        <v>1</v>
      </c>
      <c r="CJ1251">
        <v>1</v>
      </c>
      <c r="CK1251">
        <v>42</v>
      </c>
      <c r="CL1251" t="s">
        <v>89</v>
      </c>
    </row>
    <row r="1252" spans="1:90" x14ac:dyDescent="0.3">
      <c r="A1252" t="s">
        <v>72</v>
      </c>
      <c r="B1252" t="s">
        <v>73</v>
      </c>
      <c r="C1252" t="s">
        <v>74</v>
      </c>
      <c r="E1252" t="str">
        <f>"080065355591"</f>
        <v>080065355591</v>
      </c>
      <c r="F1252" s="3">
        <v>45790</v>
      </c>
      <c r="G1252">
        <v>202602</v>
      </c>
      <c r="H1252" t="s">
        <v>75</v>
      </c>
      <c r="I1252" t="s">
        <v>76</v>
      </c>
      <c r="J1252" t="s">
        <v>77</v>
      </c>
      <c r="K1252" t="s">
        <v>78</v>
      </c>
      <c r="L1252" t="s">
        <v>136</v>
      </c>
      <c r="M1252" t="s">
        <v>137</v>
      </c>
      <c r="N1252" t="s">
        <v>1235</v>
      </c>
      <c r="O1252" t="s">
        <v>300</v>
      </c>
      <c r="P1252" t="str">
        <f>"4170038227                    "</f>
        <v xml:space="preserve">4170038227                    </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0</v>
      </c>
      <c r="AL1252">
        <v>0</v>
      </c>
      <c r="AM1252">
        <v>0</v>
      </c>
      <c r="AN1252">
        <v>0</v>
      </c>
      <c r="AO1252">
        <v>0</v>
      </c>
      <c r="AP1252">
        <v>0</v>
      </c>
      <c r="AQ1252">
        <v>41.35</v>
      </c>
      <c r="AR1252">
        <v>0</v>
      </c>
      <c r="AS1252">
        <v>0</v>
      </c>
      <c r="AT1252">
        <v>0</v>
      </c>
      <c r="AU1252">
        <v>0</v>
      </c>
      <c r="AV1252">
        <v>0</v>
      </c>
      <c r="AW1252">
        <v>0</v>
      </c>
      <c r="AX1252">
        <v>0</v>
      </c>
      <c r="AY1252">
        <v>0</v>
      </c>
      <c r="AZ1252">
        <v>0</v>
      </c>
      <c r="BA1252">
        <v>0</v>
      </c>
      <c r="BB1252">
        <v>0</v>
      </c>
      <c r="BC1252">
        <v>0</v>
      </c>
      <c r="BD1252">
        <v>0</v>
      </c>
      <c r="BE1252">
        <v>0</v>
      </c>
      <c r="BF1252">
        <v>0</v>
      </c>
      <c r="BG1252">
        <v>0</v>
      </c>
      <c r="BH1252">
        <v>1</v>
      </c>
      <c r="BI1252">
        <v>10</v>
      </c>
      <c r="BJ1252">
        <v>4.5</v>
      </c>
      <c r="BK1252">
        <v>10</v>
      </c>
      <c r="BL1252">
        <v>140.9</v>
      </c>
      <c r="BM1252">
        <v>21.14</v>
      </c>
      <c r="BN1252">
        <v>162.04</v>
      </c>
      <c r="BO1252">
        <v>162.04</v>
      </c>
      <c r="BQ1252" t="s">
        <v>1236</v>
      </c>
      <c r="BR1252" t="s">
        <v>84</v>
      </c>
      <c r="BS1252" s="3">
        <v>45791</v>
      </c>
      <c r="BT1252" s="4">
        <v>0.3263888888888889</v>
      </c>
      <c r="BU1252" t="s">
        <v>1946</v>
      </c>
      <c r="BV1252" t="s">
        <v>86</v>
      </c>
      <c r="BY1252">
        <v>22620</v>
      </c>
      <c r="CA1252" t="s">
        <v>1947</v>
      </c>
      <c r="CC1252" t="s">
        <v>137</v>
      </c>
      <c r="CD1252" s="5" t="s">
        <v>1239</v>
      </c>
      <c r="CE1252" t="s">
        <v>96</v>
      </c>
      <c r="CF1252" s="3">
        <v>45791</v>
      </c>
      <c r="CI1252">
        <v>1</v>
      </c>
      <c r="CJ1252">
        <v>1</v>
      </c>
      <c r="CK1252">
        <v>41</v>
      </c>
      <c r="CL1252" t="s">
        <v>89</v>
      </c>
    </row>
    <row r="1253" spans="1:90" x14ac:dyDescent="0.3">
      <c r="A1253" t="s">
        <v>72</v>
      </c>
      <c r="B1253" t="s">
        <v>73</v>
      </c>
      <c r="C1253" t="s">
        <v>74</v>
      </c>
      <c r="E1253" t="str">
        <f>"080065355615"</f>
        <v>080065355615</v>
      </c>
      <c r="F1253" s="3">
        <v>45790</v>
      </c>
      <c r="G1253">
        <v>202602</v>
      </c>
      <c r="H1253" t="s">
        <v>75</v>
      </c>
      <c r="I1253" t="s">
        <v>76</v>
      </c>
      <c r="J1253" t="s">
        <v>77</v>
      </c>
      <c r="K1253" t="s">
        <v>78</v>
      </c>
      <c r="L1253" t="s">
        <v>463</v>
      </c>
      <c r="M1253" t="s">
        <v>464</v>
      </c>
      <c r="N1253" t="s">
        <v>636</v>
      </c>
      <c r="O1253" t="s">
        <v>82</v>
      </c>
      <c r="P1253" t="str">
        <f>"4170038169                    "</f>
        <v xml:space="preserve">4170038169                    </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0</v>
      </c>
      <c r="AL1253">
        <v>0</v>
      </c>
      <c r="AM1253">
        <v>0</v>
      </c>
      <c r="AN1253">
        <v>0</v>
      </c>
      <c r="AO1253">
        <v>0</v>
      </c>
      <c r="AP1253">
        <v>0</v>
      </c>
      <c r="AQ1253">
        <v>53.43</v>
      </c>
      <c r="AR1253">
        <v>0</v>
      </c>
      <c r="AS1253">
        <v>0</v>
      </c>
      <c r="AT1253">
        <v>0</v>
      </c>
      <c r="AU1253">
        <v>0</v>
      </c>
      <c r="AV1253">
        <v>0</v>
      </c>
      <c r="AW1253">
        <v>0</v>
      </c>
      <c r="AX1253">
        <v>0</v>
      </c>
      <c r="AY1253">
        <v>0</v>
      </c>
      <c r="AZ1253">
        <v>0</v>
      </c>
      <c r="BA1253">
        <v>0</v>
      </c>
      <c r="BB1253">
        <v>0</v>
      </c>
      <c r="BC1253">
        <v>0</v>
      </c>
      <c r="BD1253">
        <v>0</v>
      </c>
      <c r="BE1253">
        <v>0</v>
      </c>
      <c r="BF1253">
        <v>0</v>
      </c>
      <c r="BG1253">
        <v>0</v>
      </c>
      <c r="BH1253">
        <v>1</v>
      </c>
      <c r="BI1253">
        <v>3</v>
      </c>
      <c r="BJ1253">
        <v>5</v>
      </c>
      <c r="BK1253">
        <v>5</v>
      </c>
      <c r="BL1253">
        <v>174.87</v>
      </c>
      <c r="BM1253">
        <v>26.23</v>
      </c>
      <c r="BN1253">
        <v>201.1</v>
      </c>
      <c r="BO1253">
        <v>201.1</v>
      </c>
      <c r="BQ1253" t="s">
        <v>637</v>
      </c>
      <c r="BR1253" t="s">
        <v>84</v>
      </c>
      <c r="BS1253" s="3">
        <v>45791</v>
      </c>
      <c r="BT1253" s="4">
        <v>0.63680555555555551</v>
      </c>
      <c r="BU1253" t="s">
        <v>1948</v>
      </c>
      <c r="BV1253" t="s">
        <v>86</v>
      </c>
      <c r="BY1253">
        <v>24882</v>
      </c>
      <c r="CA1253" t="s">
        <v>468</v>
      </c>
      <c r="CC1253" t="s">
        <v>464</v>
      </c>
      <c r="CD1253">
        <v>5201</v>
      </c>
      <c r="CE1253" t="s">
        <v>96</v>
      </c>
      <c r="CF1253" s="3">
        <v>45792</v>
      </c>
      <c r="CI1253">
        <v>5</v>
      </c>
      <c r="CJ1253">
        <v>1</v>
      </c>
      <c r="CK1253">
        <v>21</v>
      </c>
      <c r="CL1253" t="s">
        <v>89</v>
      </c>
    </row>
    <row r="1254" spans="1:90" x14ac:dyDescent="0.3">
      <c r="A1254" t="s">
        <v>72</v>
      </c>
      <c r="B1254" t="s">
        <v>73</v>
      </c>
      <c r="C1254" t="s">
        <v>74</v>
      </c>
      <c r="E1254" t="str">
        <f>"080065355638"</f>
        <v>080065355638</v>
      </c>
      <c r="F1254" s="3">
        <v>45790</v>
      </c>
      <c r="G1254">
        <v>202602</v>
      </c>
      <c r="H1254" t="s">
        <v>75</v>
      </c>
      <c r="I1254" t="s">
        <v>76</v>
      </c>
      <c r="J1254" t="s">
        <v>77</v>
      </c>
      <c r="K1254" t="s">
        <v>78</v>
      </c>
      <c r="L1254" t="s">
        <v>479</v>
      </c>
      <c r="M1254" t="s">
        <v>480</v>
      </c>
      <c r="N1254" t="s">
        <v>793</v>
      </c>
      <c r="O1254" t="s">
        <v>82</v>
      </c>
      <c r="P1254" t="str">
        <f>"4170038210                    "</f>
        <v xml:space="preserve">4170038210                    </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c r="AJ1254">
        <v>0</v>
      </c>
      <c r="AK1254">
        <v>0</v>
      </c>
      <c r="AL1254">
        <v>0</v>
      </c>
      <c r="AM1254">
        <v>0</v>
      </c>
      <c r="AN1254">
        <v>0</v>
      </c>
      <c r="AO1254">
        <v>0</v>
      </c>
      <c r="AP1254">
        <v>0</v>
      </c>
      <c r="AQ1254">
        <v>16.7</v>
      </c>
      <c r="AR1254">
        <v>0</v>
      </c>
      <c r="AS1254">
        <v>0</v>
      </c>
      <c r="AT1254">
        <v>0</v>
      </c>
      <c r="AU1254">
        <v>0</v>
      </c>
      <c r="AV1254">
        <v>0</v>
      </c>
      <c r="AW1254">
        <v>0</v>
      </c>
      <c r="AX1254">
        <v>0</v>
      </c>
      <c r="AY1254">
        <v>0</v>
      </c>
      <c r="AZ1254">
        <v>0</v>
      </c>
      <c r="BA1254">
        <v>0</v>
      </c>
      <c r="BB1254">
        <v>0</v>
      </c>
      <c r="BC1254">
        <v>0</v>
      </c>
      <c r="BD1254">
        <v>0</v>
      </c>
      <c r="BE1254">
        <v>0</v>
      </c>
      <c r="BF1254">
        <v>0</v>
      </c>
      <c r="BG1254">
        <v>0</v>
      </c>
      <c r="BH1254">
        <v>1</v>
      </c>
      <c r="BI1254">
        <v>5</v>
      </c>
      <c r="BJ1254">
        <v>3.1</v>
      </c>
      <c r="BK1254">
        <v>5</v>
      </c>
      <c r="BL1254">
        <v>54.66</v>
      </c>
      <c r="BM1254">
        <v>8.1999999999999993</v>
      </c>
      <c r="BN1254">
        <v>62.86</v>
      </c>
      <c r="BO1254">
        <v>62.86</v>
      </c>
      <c r="BQ1254" t="s">
        <v>794</v>
      </c>
      <c r="BR1254" t="s">
        <v>84</v>
      </c>
      <c r="BS1254" s="3">
        <v>45791</v>
      </c>
      <c r="BT1254" s="4">
        <v>0.41666666666666669</v>
      </c>
      <c r="BU1254" t="s">
        <v>1884</v>
      </c>
      <c r="BV1254" t="s">
        <v>86</v>
      </c>
      <c r="BY1254">
        <v>15360</v>
      </c>
      <c r="CA1254" t="s">
        <v>1443</v>
      </c>
      <c r="CC1254" t="s">
        <v>480</v>
      </c>
      <c r="CD1254">
        <v>2163</v>
      </c>
      <c r="CE1254" t="s">
        <v>221</v>
      </c>
      <c r="CF1254" s="3">
        <v>45792</v>
      </c>
      <c r="CI1254">
        <v>1</v>
      </c>
      <c r="CJ1254">
        <v>1</v>
      </c>
      <c r="CK1254">
        <v>22</v>
      </c>
      <c r="CL1254" t="s">
        <v>89</v>
      </c>
    </row>
    <row r="1255" spans="1:90" x14ac:dyDescent="0.3">
      <c r="A1255" t="s">
        <v>72</v>
      </c>
      <c r="B1255" t="s">
        <v>73</v>
      </c>
      <c r="C1255" t="s">
        <v>74</v>
      </c>
      <c r="E1255" t="str">
        <f>"080065355657"</f>
        <v>080065355657</v>
      </c>
      <c r="F1255" s="3">
        <v>45790</v>
      </c>
      <c r="G1255">
        <v>202602</v>
      </c>
      <c r="H1255" t="s">
        <v>75</v>
      </c>
      <c r="I1255" t="s">
        <v>76</v>
      </c>
      <c r="J1255" t="s">
        <v>77</v>
      </c>
      <c r="K1255" t="s">
        <v>78</v>
      </c>
      <c r="L1255" t="s">
        <v>130</v>
      </c>
      <c r="M1255" t="s">
        <v>131</v>
      </c>
      <c r="N1255" t="s">
        <v>1066</v>
      </c>
      <c r="O1255" t="s">
        <v>82</v>
      </c>
      <c r="P1255" t="str">
        <f>"4170038195                    "</f>
        <v xml:space="preserve">4170038195                    </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0</v>
      </c>
      <c r="AL1255">
        <v>0</v>
      </c>
      <c r="AM1255">
        <v>0</v>
      </c>
      <c r="AN1255">
        <v>0</v>
      </c>
      <c r="AO1255">
        <v>0</v>
      </c>
      <c r="AP1255">
        <v>0</v>
      </c>
      <c r="AQ1255">
        <v>21.38</v>
      </c>
      <c r="AR1255">
        <v>0</v>
      </c>
      <c r="AS1255">
        <v>0</v>
      </c>
      <c r="AT1255">
        <v>0</v>
      </c>
      <c r="AU1255">
        <v>0</v>
      </c>
      <c r="AV1255">
        <v>0</v>
      </c>
      <c r="AW1255">
        <v>0</v>
      </c>
      <c r="AX1255">
        <v>0</v>
      </c>
      <c r="AY1255">
        <v>0</v>
      </c>
      <c r="AZ1255">
        <v>0</v>
      </c>
      <c r="BA1255">
        <v>0</v>
      </c>
      <c r="BB1255">
        <v>0</v>
      </c>
      <c r="BC1255">
        <v>0</v>
      </c>
      <c r="BD1255">
        <v>0</v>
      </c>
      <c r="BE1255">
        <v>0</v>
      </c>
      <c r="BF1255">
        <v>0</v>
      </c>
      <c r="BG1255">
        <v>0</v>
      </c>
      <c r="BH1255">
        <v>1</v>
      </c>
      <c r="BI1255">
        <v>1</v>
      </c>
      <c r="BJ1255">
        <v>0.2</v>
      </c>
      <c r="BK1255">
        <v>1</v>
      </c>
      <c r="BL1255">
        <v>69.98</v>
      </c>
      <c r="BM1255">
        <v>10.5</v>
      </c>
      <c r="BN1255">
        <v>80.48</v>
      </c>
      <c r="BO1255">
        <v>80.48</v>
      </c>
      <c r="BQ1255" t="s">
        <v>1067</v>
      </c>
      <c r="BR1255" t="s">
        <v>84</v>
      </c>
      <c r="BS1255" s="3">
        <v>45791</v>
      </c>
      <c r="BT1255" s="4">
        <v>0.38680555555555557</v>
      </c>
      <c r="BU1255" t="s">
        <v>1068</v>
      </c>
      <c r="BV1255" t="s">
        <v>86</v>
      </c>
      <c r="BY1255">
        <v>1200</v>
      </c>
      <c r="CA1255" t="s">
        <v>712</v>
      </c>
      <c r="CC1255" t="s">
        <v>131</v>
      </c>
      <c r="CD1255">
        <v>7561</v>
      </c>
      <c r="CE1255" t="s">
        <v>88</v>
      </c>
      <c r="CF1255" s="3">
        <v>45792</v>
      </c>
      <c r="CI1255">
        <v>1</v>
      </c>
      <c r="CJ1255">
        <v>1</v>
      </c>
      <c r="CK1255">
        <v>21</v>
      </c>
      <c r="CL1255" t="s">
        <v>89</v>
      </c>
    </row>
    <row r="1256" spans="1:90" x14ac:dyDescent="0.3">
      <c r="A1256" t="s">
        <v>72</v>
      </c>
      <c r="B1256" t="s">
        <v>73</v>
      </c>
      <c r="C1256" t="s">
        <v>74</v>
      </c>
      <c r="E1256" t="str">
        <f>"080065355661"</f>
        <v>080065355661</v>
      </c>
      <c r="F1256" s="3">
        <v>45790</v>
      </c>
      <c r="G1256">
        <v>202602</v>
      </c>
      <c r="H1256" t="s">
        <v>75</v>
      </c>
      <c r="I1256" t="s">
        <v>76</v>
      </c>
      <c r="J1256" t="s">
        <v>77</v>
      </c>
      <c r="K1256" t="s">
        <v>78</v>
      </c>
      <c r="L1256" t="s">
        <v>75</v>
      </c>
      <c r="M1256" t="s">
        <v>76</v>
      </c>
      <c r="N1256" t="s">
        <v>822</v>
      </c>
      <c r="O1256" t="s">
        <v>82</v>
      </c>
      <c r="P1256" t="str">
        <f>"4170038226                    "</f>
        <v xml:space="preserve">4170038226                    </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0</v>
      </c>
      <c r="AL1256">
        <v>0</v>
      </c>
      <c r="AM1256">
        <v>0</v>
      </c>
      <c r="AN1256">
        <v>0</v>
      </c>
      <c r="AO1256">
        <v>0</v>
      </c>
      <c r="AP1256">
        <v>0</v>
      </c>
      <c r="AQ1256">
        <v>16.7</v>
      </c>
      <c r="AR1256">
        <v>0</v>
      </c>
      <c r="AS1256">
        <v>0</v>
      </c>
      <c r="AT1256">
        <v>0</v>
      </c>
      <c r="AU1256">
        <v>0</v>
      </c>
      <c r="AV1256">
        <v>0</v>
      </c>
      <c r="AW1256">
        <v>0</v>
      </c>
      <c r="AX1256">
        <v>0</v>
      </c>
      <c r="AY1256">
        <v>0</v>
      </c>
      <c r="AZ1256">
        <v>0</v>
      </c>
      <c r="BA1256">
        <v>0</v>
      </c>
      <c r="BB1256">
        <v>0</v>
      </c>
      <c r="BC1256">
        <v>0</v>
      </c>
      <c r="BD1256">
        <v>0</v>
      </c>
      <c r="BE1256">
        <v>0</v>
      </c>
      <c r="BF1256">
        <v>0</v>
      </c>
      <c r="BG1256">
        <v>0</v>
      </c>
      <c r="BH1256">
        <v>1</v>
      </c>
      <c r="BI1256">
        <v>1</v>
      </c>
      <c r="BJ1256">
        <v>0.2</v>
      </c>
      <c r="BK1256">
        <v>1</v>
      </c>
      <c r="BL1256">
        <v>54.66</v>
      </c>
      <c r="BM1256">
        <v>8.1999999999999993</v>
      </c>
      <c r="BN1256">
        <v>62.86</v>
      </c>
      <c r="BO1256">
        <v>62.86</v>
      </c>
      <c r="BQ1256" t="s">
        <v>823</v>
      </c>
      <c r="BR1256" t="s">
        <v>84</v>
      </c>
      <c r="BS1256" s="3">
        <v>45791</v>
      </c>
      <c r="BT1256" s="4">
        <v>0.40138888888888891</v>
      </c>
      <c r="BU1256" t="s">
        <v>1532</v>
      </c>
      <c r="BV1256" t="s">
        <v>86</v>
      </c>
      <c r="BY1256">
        <v>1200</v>
      </c>
      <c r="CA1256" t="s">
        <v>1012</v>
      </c>
      <c r="CC1256" t="s">
        <v>76</v>
      </c>
      <c r="CD1256">
        <v>1614</v>
      </c>
      <c r="CE1256" t="s">
        <v>88</v>
      </c>
      <c r="CF1256" s="3">
        <v>45791</v>
      </c>
      <c r="CI1256">
        <v>1</v>
      </c>
      <c r="CJ1256">
        <v>1</v>
      </c>
      <c r="CK1256">
        <v>22</v>
      </c>
      <c r="CL1256" t="s">
        <v>89</v>
      </c>
    </row>
    <row r="1257" spans="1:90" x14ac:dyDescent="0.3">
      <c r="A1257" t="s">
        <v>72</v>
      </c>
      <c r="B1257" t="s">
        <v>73</v>
      </c>
      <c r="C1257" t="s">
        <v>74</v>
      </c>
      <c r="E1257" t="str">
        <f>"080065355688"</f>
        <v>080065355688</v>
      </c>
      <c r="F1257" s="3">
        <v>45790</v>
      </c>
      <c r="G1257">
        <v>202602</v>
      </c>
      <c r="H1257" t="s">
        <v>75</v>
      </c>
      <c r="I1257" t="s">
        <v>76</v>
      </c>
      <c r="J1257" t="s">
        <v>77</v>
      </c>
      <c r="K1257" t="s">
        <v>78</v>
      </c>
      <c r="L1257" t="s">
        <v>130</v>
      </c>
      <c r="M1257" t="s">
        <v>131</v>
      </c>
      <c r="N1257" t="s">
        <v>1066</v>
      </c>
      <c r="O1257" t="s">
        <v>82</v>
      </c>
      <c r="P1257" t="str">
        <f>"4170038196                    "</f>
        <v xml:space="preserve">4170038196                    </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0</v>
      </c>
      <c r="AL1257">
        <v>0</v>
      </c>
      <c r="AM1257">
        <v>0</v>
      </c>
      <c r="AN1257">
        <v>0</v>
      </c>
      <c r="AO1257">
        <v>0</v>
      </c>
      <c r="AP1257">
        <v>0</v>
      </c>
      <c r="AQ1257">
        <v>21.38</v>
      </c>
      <c r="AR1257">
        <v>0</v>
      </c>
      <c r="AS1257">
        <v>0</v>
      </c>
      <c r="AT1257">
        <v>0</v>
      </c>
      <c r="AU1257">
        <v>0</v>
      </c>
      <c r="AV1257">
        <v>0</v>
      </c>
      <c r="AW1257">
        <v>0</v>
      </c>
      <c r="AX1257">
        <v>0</v>
      </c>
      <c r="AY1257">
        <v>0</v>
      </c>
      <c r="AZ1257">
        <v>0</v>
      </c>
      <c r="BA1257">
        <v>0</v>
      </c>
      <c r="BB1257">
        <v>0</v>
      </c>
      <c r="BC1257">
        <v>0</v>
      </c>
      <c r="BD1257">
        <v>0</v>
      </c>
      <c r="BE1257">
        <v>0</v>
      </c>
      <c r="BF1257">
        <v>0</v>
      </c>
      <c r="BG1257">
        <v>0</v>
      </c>
      <c r="BH1257">
        <v>1</v>
      </c>
      <c r="BI1257">
        <v>1</v>
      </c>
      <c r="BJ1257">
        <v>0.2</v>
      </c>
      <c r="BK1257">
        <v>1</v>
      </c>
      <c r="BL1257">
        <v>69.98</v>
      </c>
      <c r="BM1257">
        <v>10.5</v>
      </c>
      <c r="BN1257">
        <v>80.48</v>
      </c>
      <c r="BO1257">
        <v>80.48</v>
      </c>
      <c r="BQ1257" t="s">
        <v>1067</v>
      </c>
      <c r="BR1257" t="s">
        <v>84</v>
      </c>
      <c r="BS1257" s="3">
        <v>45791</v>
      </c>
      <c r="BT1257" s="4">
        <v>0.38680555555555557</v>
      </c>
      <c r="BU1257" t="s">
        <v>1068</v>
      </c>
      <c r="BV1257" t="s">
        <v>86</v>
      </c>
      <c r="BY1257">
        <v>1200</v>
      </c>
      <c r="CA1257" t="s">
        <v>712</v>
      </c>
      <c r="CC1257" t="s">
        <v>131</v>
      </c>
      <c r="CD1257">
        <v>7561</v>
      </c>
      <c r="CE1257" t="s">
        <v>88</v>
      </c>
      <c r="CF1257" s="3">
        <v>45792</v>
      </c>
      <c r="CI1257">
        <v>1</v>
      </c>
      <c r="CJ1257">
        <v>1</v>
      </c>
      <c r="CK1257">
        <v>21</v>
      </c>
      <c r="CL1257" t="s">
        <v>89</v>
      </c>
    </row>
    <row r="1258" spans="1:90" x14ac:dyDescent="0.3">
      <c r="A1258" t="s">
        <v>72</v>
      </c>
      <c r="B1258" t="s">
        <v>73</v>
      </c>
      <c r="C1258" t="s">
        <v>74</v>
      </c>
      <c r="E1258" t="str">
        <f>"080065355700"</f>
        <v>080065355700</v>
      </c>
      <c r="F1258" s="3">
        <v>45790</v>
      </c>
      <c r="G1258">
        <v>202602</v>
      </c>
      <c r="H1258" t="s">
        <v>75</v>
      </c>
      <c r="I1258" t="s">
        <v>76</v>
      </c>
      <c r="J1258" t="s">
        <v>77</v>
      </c>
      <c r="K1258" t="s">
        <v>78</v>
      </c>
      <c r="L1258" t="s">
        <v>75</v>
      </c>
      <c r="M1258" t="s">
        <v>76</v>
      </c>
      <c r="N1258" t="s">
        <v>390</v>
      </c>
      <c r="O1258" t="s">
        <v>82</v>
      </c>
      <c r="P1258" t="str">
        <f>"4170038248                    "</f>
        <v xml:space="preserve">4170038248                    </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0</v>
      </c>
      <c r="AL1258">
        <v>0</v>
      </c>
      <c r="AM1258">
        <v>0</v>
      </c>
      <c r="AN1258">
        <v>0</v>
      </c>
      <c r="AO1258">
        <v>0</v>
      </c>
      <c r="AP1258">
        <v>0</v>
      </c>
      <c r="AQ1258">
        <v>16.7</v>
      </c>
      <c r="AR1258">
        <v>0</v>
      </c>
      <c r="AS1258">
        <v>0</v>
      </c>
      <c r="AT1258">
        <v>0</v>
      </c>
      <c r="AU1258">
        <v>0</v>
      </c>
      <c r="AV1258">
        <v>0</v>
      </c>
      <c r="AW1258">
        <v>0</v>
      </c>
      <c r="AX1258">
        <v>0</v>
      </c>
      <c r="AY1258">
        <v>0</v>
      </c>
      <c r="AZ1258">
        <v>0</v>
      </c>
      <c r="BA1258">
        <v>0</v>
      </c>
      <c r="BB1258">
        <v>0</v>
      </c>
      <c r="BC1258">
        <v>0</v>
      </c>
      <c r="BD1258">
        <v>0</v>
      </c>
      <c r="BE1258">
        <v>0</v>
      </c>
      <c r="BF1258">
        <v>0</v>
      </c>
      <c r="BG1258">
        <v>0</v>
      </c>
      <c r="BH1258">
        <v>1</v>
      </c>
      <c r="BI1258">
        <v>1</v>
      </c>
      <c r="BJ1258">
        <v>0.2</v>
      </c>
      <c r="BK1258">
        <v>1</v>
      </c>
      <c r="BL1258">
        <v>54.66</v>
      </c>
      <c r="BM1258">
        <v>8.1999999999999993</v>
      </c>
      <c r="BN1258">
        <v>62.86</v>
      </c>
      <c r="BO1258">
        <v>62.86</v>
      </c>
      <c r="BQ1258" t="s">
        <v>391</v>
      </c>
      <c r="BR1258" t="s">
        <v>84</v>
      </c>
      <c r="BS1258" s="3">
        <v>45791</v>
      </c>
      <c r="BT1258" s="4">
        <v>0.34722222222222221</v>
      </c>
      <c r="BU1258" t="s">
        <v>1660</v>
      </c>
      <c r="BV1258" t="s">
        <v>86</v>
      </c>
      <c r="BY1258">
        <v>1200</v>
      </c>
      <c r="CA1258" t="s">
        <v>115</v>
      </c>
      <c r="CC1258" t="s">
        <v>76</v>
      </c>
      <c r="CD1258">
        <v>1600</v>
      </c>
      <c r="CE1258" t="s">
        <v>88</v>
      </c>
      <c r="CF1258" s="3">
        <v>45792</v>
      </c>
      <c r="CI1258">
        <v>1</v>
      </c>
      <c r="CJ1258">
        <v>1</v>
      </c>
      <c r="CK1258">
        <v>22</v>
      </c>
      <c r="CL1258" t="s">
        <v>89</v>
      </c>
    </row>
    <row r="1259" spans="1:90" x14ac:dyDescent="0.3">
      <c r="A1259" t="s">
        <v>72</v>
      </c>
      <c r="B1259" t="s">
        <v>73</v>
      </c>
      <c r="C1259" t="s">
        <v>74</v>
      </c>
      <c r="E1259" t="str">
        <f>"080065355733"</f>
        <v>080065355733</v>
      </c>
      <c r="F1259" s="3">
        <v>45790</v>
      </c>
      <c r="G1259">
        <v>202602</v>
      </c>
      <c r="H1259" t="s">
        <v>75</v>
      </c>
      <c r="I1259" t="s">
        <v>76</v>
      </c>
      <c r="J1259" t="s">
        <v>77</v>
      </c>
      <c r="K1259" t="s">
        <v>78</v>
      </c>
      <c r="L1259" t="s">
        <v>75</v>
      </c>
      <c r="M1259" t="s">
        <v>76</v>
      </c>
      <c r="N1259" t="s">
        <v>346</v>
      </c>
      <c r="O1259" t="s">
        <v>82</v>
      </c>
      <c r="P1259" t="str">
        <f>"4170038247                    "</f>
        <v xml:space="preserve">4170038247                    </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16.7</v>
      </c>
      <c r="AR1259">
        <v>0</v>
      </c>
      <c r="AS1259">
        <v>0</v>
      </c>
      <c r="AT1259">
        <v>0</v>
      </c>
      <c r="AU1259">
        <v>0</v>
      </c>
      <c r="AV1259">
        <v>0</v>
      </c>
      <c r="AW1259">
        <v>0</v>
      </c>
      <c r="AX1259">
        <v>0</v>
      </c>
      <c r="AY1259">
        <v>0</v>
      </c>
      <c r="AZ1259">
        <v>0</v>
      </c>
      <c r="BA1259">
        <v>0</v>
      </c>
      <c r="BB1259">
        <v>0</v>
      </c>
      <c r="BC1259">
        <v>0</v>
      </c>
      <c r="BD1259">
        <v>0</v>
      </c>
      <c r="BE1259">
        <v>0</v>
      </c>
      <c r="BF1259">
        <v>0</v>
      </c>
      <c r="BG1259">
        <v>0</v>
      </c>
      <c r="BH1259">
        <v>1</v>
      </c>
      <c r="BI1259">
        <v>1</v>
      </c>
      <c r="BJ1259">
        <v>0.9</v>
      </c>
      <c r="BK1259">
        <v>1</v>
      </c>
      <c r="BL1259">
        <v>54.66</v>
      </c>
      <c r="BM1259">
        <v>8.1999999999999993</v>
      </c>
      <c r="BN1259">
        <v>62.86</v>
      </c>
      <c r="BO1259">
        <v>62.86</v>
      </c>
      <c r="BQ1259" t="s">
        <v>347</v>
      </c>
      <c r="BR1259" t="s">
        <v>84</v>
      </c>
      <c r="BS1259" s="3">
        <v>45791</v>
      </c>
      <c r="BT1259" s="4">
        <v>0.38333333333333336</v>
      </c>
      <c r="BU1259" t="s">
        <v>348</v>
      </c>
      <c r="BV1259" t="s">
        <v>86</v>
      </c>
      <c r="BY1259">
        <v>4680</v>
      </c>
      <c r="CA1259" t="s">
        <v>349</v>
      </c>
      <c r="CC1259" t="s">
        <v>76</v>
      </c>
      <c r="CD1259">
        <v>1619</v>
      </c>
      <c r="CE1259" t="s">
        <v>96</v>
      </c>
      <c r="CF1259" s="3">
        <v>45791</v>
      </c>
      <c r="CI1259">
        <v>1</v>
      </c>
      <c r="CJ1259">
        <v>1</v>
      </c>
      <c r="CK1259">
        <v>22</v>
      </c>
      <c r="CL1259" t="s">
        <v>89</v>
      </c>
    </row>
    <row r="1260" spans="1:90" x14ac:dyDescent="0.3">
      <c r="A1260" t="s">
        <v>72</v>
      </c>
      <c r="B1260" t="s">
        <v>73</v>
      </c>
      <c r="C1260" t="s">
        <v>74</v>
      </c>
      <c r="E1260" t="str">
        <f>"080065355793"</f>
        <v>080065355793</v>
      </c>
      <c r="F1260" s="3">
        <v>45790</v>
      </c>
      <c r="G1260">
        <v>202602</v>
      </c>
      <c r="H1260" t="s">
        <v>75</v>
      </c>
      <c r="I1260" t="s">
        <v>76</v>
      </c>
      <c r="J1260" t="s">
        <v>77</v>
      </c>
      <c r="K1260" t="s">
        <v>78</v>
      </c>
      <c r="L1260" t="s">
        <v>624</v>
      </c>
      <c r="M1260" t="s">
        <v>625</v>
      </c>
      <c r="N1260" t="s">
        <v>626</v>
      </c>
      <c r="O1260" t="s">
        <v>82</v>
      </c>
      <c r="P1260" t="str">
        <f>"4170038257                    "</f>
        <v xml:space="preserve">4170038257                    </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0</v>
      </c>
      <c r="AL1260">
        <v>0</v>
      </c>
      <c r="AM1260">
        <v>0</v>
      </c>
      <c r="AN1260">
        <v>0</v>
      </c>
      <c r="AO1260">
        <v>0</v>
      </c>
      <c r="AP1260">
        <v>0</v>
      </c>
      <c r="AQ1260">
        <v>41.43</v>
      </c>
      <c r="AR1260">
        <v>0</v>
      </c>
      <c r="AS1260">
        <v>0</v>
      </c>
      <c r="AT1260">
        <v>0</v>
      </c>
      <c r="AU1260">
        <v>0</v>
      </c>
      <c r="AV1260">
        <v>0</v>
      </c>
      <c r="AW1260">
        <v>0</v>
      </c>
      <c r="AX1260">
        <v>0</v>
      </c>
      <c r="AY1260">
        <v>0</v>
      </c>
      <c r="AZ1260">
        <v>0</v>
      </c>
      <c r="BA1260">
        <v>0</v>
      </c>
      <c r="BB1260">
        <v>0</v>
      </c>
      <c r="BC1260">
        <v>0</v>
      </c>
      <c r="BD1260">
        <v>0</v>
      </c>
      <c r="BE1260">
        <v>0</v>
      </c>
      <c r="BF1260">
        <v>0</v>
      </c>
      <c r="BG1260">
        <v>0</v>
      </c>
      <c r="BH1260">
        <v>1</v>
      </c>
      <c r="BI1260">
        <v>2</v>
      </c>
      <c r="BJ1260">
        <v>0.9</v>
      </c>
      <c r="BK1260">
        <v>2</v>
      </c>
      <c r="BL1260">
        <v>135.59</v>
      </c>
      <c r="BM1260">
        <v>20.34</v>
      </c>
      <c r="BN1260">
        <v>155.93</v>
      </c>
      <c r="BO1260">
        <v>155.93</v>
      </c>
      <c r="BQ1260" t="s">
        <v>627</v>
      </c>
      <c r="BR1260" t="s">
        <v>84</v>
      </c>
      <c r="BS1260" s="3">
        <v>45791</v>
      </c>
      <c r="BT1260" s="4">
        <v>0.33333333333333331</v>
      </c>
      <c r="BU1260" t="s">
        <v>1674</v>
      </c>
      <c r="BV1260" t="s">
        <v>86</v>
      </c>
      <c r="BY1260">
        <v>4275</v>
      </c>
      <c r="CC1260" t="s">
        <v>625</v>
      </c>
      <c r="CD1260">
        <v>1947</v>
      </c>
      <c r="CE1260" t="s">
        <v>96</v>
      </c>
      <c r="CF1260" s="3">
        <v>45791</v>
      </c>
      <c r="CI1260">
        <v>1</v>
      </c>
      <c r="CJ1260">
        <v>1</v>
      </c>
      <c r="CK1260">
        <v>23</v>
      </c>
      <c r="CL1260" t="s">
        <v>89</v>
      </c>
    </row>
    <row r="1261" spans="1:90" x14ac:dyDescent="0.3">
      <c r="A1261" t="s">
        <v>72</v>
      </c>
      <c r="B1261" t="s">
        <v>73</v>
      </c>
      <c r="C1261" t="s">
        <v>74</v>
      </c>
      <c r="E1261" t="str">
        <f>"080065355832"</f>
        <v>080065355832</v>
      </c>
      <c r="F1261" s="3">
        <v>45790</v>
      </c>
      <c r="G1261">
        <v>202602</v>
      </c>
      <c r="H1261" t="s">
        <v>75</v>
      </c>
      <c r="I1261" t="s">
        <v>76</v>
      </c>
      <c r="J1261" t="s">
        <v>77</v>
      </c>
      <c r="K1261" t="s">
        <v>78</v>
      </c>
      <c r="L1261" t="s">
        <v>672</v>
      </c>
      <c r="M1261" t="s">
        <v>673</v>
      </c>
      <c r="N1261" t="s">
        <v>674</v>
      </c>
      <c r="O1261" t="s">
        <v>82</v>
      </c>
      <c r="P1261" t="str">
        <f>"4170038262                    "</f>
        <v xml:space="preserve">4170038262                    </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0</v>
      </c>
      <c r="AL1261">
        <v>0</v>
      </c>
      <c r="AM1261">
        <v>0</v>
      </c>
      <c r="AN1261">
        <v>0</v>
      </c>
      <c r="AO1261">
        <v>0</v>
      </c>
      <c r="AP1261">
        <v>0</v>
      </c>
      <c r="AQ1261">
        <v>41.43</v>
      </c>
      <c r="AR1261">
        <v>0</v>
      </c>
      <c r="AS1261">
        <v>0</v>
      </c>
      <c r="AT1261">
        <v>0</v>
      </c>
      <c r="AU1261">
        <v>0</v>
      </c>
      <c r="AV1261">
        <v>0</v>
      </c>
      <c r="AW1261">
        <v>0</v>
      </c>
      <c r="AX1261">
        <v>0</v>
      </c>
      <c r="AY1261">
        <v>0</v>
      </c>
      <c r="AZ1261">
        <v>0</v>
      </c>
      <c r="BA1261">
        <v>0</v>
      </c>
      <c r="BB1261">
        <v>0</v>
      </c>
      <c r="BC1261">
        <v>0</v>
      </c>
      <c r="BD1261">
        <v>0</v>
      </c>
      <c r="BE1261">
        <v>0</v>
      </c>
      <c r="BF1261">
        <v>0</v>
      </c>
      <c r="BG1261">
        <v>0</v>
      </c>
      <c r="BH1261">
        <v>1</v>
      </c>
      <c r="BI1261">
        <v>2</v>
      </c>
      <c r="BJ1261">
        <v>0.9</v>
      </c>
      <c r="BK1261">
        <v>2</v>
      </c>
      <c r="BL1261">
        <v>135.59</v>
      </c>
      <c r="BM1261">
        <v>20.34</v>
      </c>
      <c r="BN1261">
        <v>155.93</v>
      </c>
      <c r="BO1261">
        <v>155.93</v>
      </c>
      <c r="BQ1261" t="s">
        <v>675</v>
      </c>
      <c r="BR1261" t="s">
        <v>84</v>
      </c>
      <c r="BS1261" s="3">
        <v>45791</v>
      </c>
      <c r="BT1261" s="4">
        <v>0.41458333333333336</v>
      </c>
      <c r="BU1261" t="s">
        <v>1059</v>
      </c>
      <c r="BV1261" t="s">
        <v>86</v>
      </c>
      <c r="BY1261">
        <v>4275</v>
      </c>
      <c r="CA1261" t="s">
        <v>1179</v>
      </c>
      <c r="CC1261" t="s">
        <v>673</v>
      </c>
      <c r="CD1261">
        <v>2531</v>
      </c>
      <c r="CE1261" t="s">
        <v>96</v>
      </c>
      <c r="CF1261" s="3">
        <v>45792</v>
      </c>
      <c r="CI1261">
        <v>1</v>
      </c>
      <c r="CJ1261">
        <v>1</v>
      </c>
      <c r="CK1261">
        <v>23</v>
      </c>
      <c r="CL1261" t="s">
        <v>89</v>
      </c>
    </row>
    <row r="1262" spans="1:90" x14ac:dyDescent="0.3">
      <c r="A1262" t="s">
        <v>72</v>
      </c>
      <c r="B1262" t="s">
        <v>73</v>
      </c>
      <c r="C1262" t="s">
        <v>74</v>
      </c>
      <c r="E1262" t="str">
        <f>"080065355881"</f>
        <v>080065355881</v>
      </c>
      <c r="F1262" s="3">
        <v>45790</v>
      </c>
      <c r="G1262">
        <v>202602</v>
      </c>
      <c r="H1262" t="s">
        <v>75</v>
      </c>
      <c r="I1262" t="s">
        <v>76</v>
      </c>
      <c r="J1262" t="s">
        <v>77</v>
      </c>
      <c r="K1262" t="s">
        <v>78</v>
      </c>
      <c r="L1262" t="s">
        <v>479</v>
      </c>
      <c r="M1262" t="s">
        <v>480</v>
      </c>
      <c r="N1262" t="s">
        <v>793</v>
      </c>
      <c r="O1262" t="s">
        <v>82</v>
      </c>
      <c r="P1262" t="str">
        <f>"4170038192                    "</f>
        <v xml:space="preserve">4170038192                    </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0</v>
      </c>
      <c r="AL1262">
        <v>0</v>
      </c>
      <c r="AM1262">
        <v>0</v>
      </c>
      <c r="AN1262">
        <v>0</v>
      </c>
      <c r="AO1262">
        <v>0</v>
      </c>
      <c r="AP1262">
        <v>0</v>
      </c>
      <c r="AQ1262">
        <v>16.7</v>
      </c>
      <c r="AR1262">
        <v>0</v>
      </c>
      <c r="AS1262">
        <v>0</v>
      </c>
      <c r="AT1262">
        <v>0</v>
      </c>
      <c r="AU1262">
        <v>0</v>
      </c>
      <c r="AV1262">
        <v>0</v>
      </c>
      <c r="AW1262">
        <v>0</v>
      </c>
      <c r="AX1262">
        <v>0</v>
      </c>
      <c r="AY1262">
        <v>0</v>
      </c>
      <c r="AZ1262">
        <v>0</v>
      </c>
      <c r="BA1262">
        <v>0</v>
      </c>
      <c r="BB1262">
        <v>0</v>
      </c>
      <c r="BC1262">
        <v>0</v>
      </c>
      <c r="BD1262">
        <v>0</v>
      </c>
      <c r="BE1262">
        <v>0</v>
      </c>
      <c r="BF1262">
        <v>0</v>
      </c>
      <c r="BG1262">
        <v>0</v>
      </c>
      <c r="BH1262">
        <v>1</v>
      </c>
      <c r="BI1262">
        <v>4</v>
      </c>
      <c r="BJ1262">
        <v>4.0999999999999996</v>
      </c>
      <c r="BK1262">
        <v>5</v>
      </c>
      <c r="BL1262">
        <v>54.66</v>
      </c>
      <c r="BM1262">
        <v>8.1999999999999993</v>
      </c>
      <c r="BN1262">
        <v>62.86</v>
      </c>
      <c r="BO1262">
        <v>62.86</v>
      </c>
      <c r="BQ1262" t="s">
        <v>794</v>
      </c>
      <c r="BR1262" t="s">
        <v>84</v>
      </c>
      <c r="BS1262" s="3">
        <v>45791</v>
      </c>
      <c r="BT1262" s="4">
        <v>0.4375</v>
      </c>
      <c r="BU1262" t="s">
        <v>1949</v>
      </c>
      <c r="BV1262" t="s">
        <v>86</v>
      </c>
      <c r="BY1262">
        <v>20358</v>
      </c>
      <c r="CA1262" t="s">
        <v>1443</v>
      </c>
      <c r="CC1262" t="s">
        <v>480</v>
      </c>
      <c r="CD1262">
        <v>2163</v>
      </c>
      <c r="CE1262" t="s">
        <v>176</v>
      </c>
      <c r="CF1262" s="3">
        <v>45792</v>
      </c>
      <c r="CI1262">
        <v>1</v>
      </c>
      <c r="CJ1262">
        <v>1</v>
      </c>
      <c r="CK1262">
        <v>22</v>
      </c>
      <c r="CL1262" t="s">
        <v>89</v>
      </c>
    </row>
    <row r="1263" spans="1:90" x14ac:dyDescent="0.3">
      <c r="A1263" t="s">
        <v>72</v>
      </c>
      <c r="B1263" t="s">
        <v>73</v>
      </c>
      <c r="C1263" t="s">
        <v>74</v>
      </c>
      <c r="E1263" t="str">
        <f>"080065355941"</f>
        <v>080065355941</v>
      </c>
      <c r="F1263" s="3">
        <v>45790</v>
      </c>
      <c r="G1263">
        <v>202602</v>
      </c>
      <c r="H1263" t="s">
        <v>75</v>
      </c>
      <c r="I1263" t="s">
        <v>76</v>
      </c>
      <c r="J1263" t="s">
        <v>77</v>
      </c>
      <c r="K1263" t="s">
        <v>78</v>
      </c>
      <c r="L1263" t="s">
        <v>136</v>
      </c>
      <c r="M1263" t="s">
        <v>137</v>
      </c>
      <c r="N1263" t="s">
        <v>441</v>
      </c>
      <c r="O1263" t="s">
        <v>300</v>
      </c>
      <c r="P1263" t="str">
        <f>"4170038111                    "</f>
        <v xml:space="preserve">4170038111                    </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0</v>
      </c>
      <c r="AL1263">
        <v>0</v>
      </c>
      <c r="AM1263">
        <v>0</v>
      </c>
      <c r="AN1263">
        <v>0</v>
      </c>
      <c r="AO1263">
        <v>0</v>
      </c>
      <c r="AP1263">
        <v>0</v>
      </c>
      <c r="AQ1263">
        <v>53.3</v>
      </c>
      <c r="AR1263">
        <v>0</v>
      </c>
      <c r="AS1263">
        <v>0</v>
      </c>
      <c r="AT1263">
        <v>0</v>
      </c>
      <c r="AU1263">
        <v>0</v>
      </c>
      <c r="AV1263">
        <v>0</v>
      </c>
      <c r="AW1263">
        <v>0</v>
      </c>
      <c r="AX1263">
        <v>0</v>
      </c>
      <c r="AY1263">
        <v>0</v>
      </c>
      <c r="AZ1263">
        <v>0</v>
      </c>
      <c r="BA1263">
        <v>0</v>
      </c>
      <c r="BB1263">
        <v>0</v>
      </c>
      <c r="BC1263">
        <v>0</v>
      </c>
      <c r="BD1263">
        <v>0</v>
      </c>
      <c r="BE1263">
        <v>0</v>
      </c>
      <c r="BF1263">
        <v>0</v>
      </c>
      <c r="BG1263">
        <v>0</v>
      </c>
      <c r="BH1263">
        <v>2</v>
      </c>
      <c r="BI1263">
        <v>22</v>
      </c>
      <c r="BJ1263">
        <v>10.9</v>
      </c>
      <c r="BK1263">
        <v>22</v>
      </c>
      <c r="BL1263">
        <v>180.01</v>
      </c>
      <c r="BM1263">
        <v>27</v>
      </c>
      <c r="BN1263">
        <v>207.01</v>
      </c>
      <c r="BO1263">
        <v>207.01</v>
      </c>
      <c r="BQ1263" t="s">
        <v>442</v>
      </c>
      <c r="BR1263" t="s">
        <v>84</v>
      </c>
      <c r="BS1263" s="3">
        <v>45791</v>
      </c>
      <c r="BT1263" s="4">
        <v>0.57986111111111116</v>
      </c>
      <c r="BU1263" t="s">
        <v>1940</v>
      </c>
      <c r="BV1263" t="s">
        <v>86</v>
      </c>
      <c r="BY1263">
        <v>27216</v>
      </c>
      <c r="CA1263" t="s">
        <v>575</v>
      </c>
      <c r="CC1263" t="s">
        <v>137</v>
      </c>
      <c r="CD1263" s="5" t="s">
        <v>444</v>
      </c>
      <c r="CE1263" t="s">
        <v>176</v>
      </c>
      <c r="CF1263" s="3">
        <v>45791</v>
      </c>
      <c r="CI1263">
        <v>1</v>
      </c>
      <c r="CJ1263">
        <v>1</v>
      </c>
      <c r="CK1263">
        <v>41</v>
      </c>
      <c r="CL1263" t="s">
        <v>89</v>
      </c>
    </row>
    <row r="1264" spans="1:90" x14ac:dyDescent="0.3">
      <c r="A1264" t="s">
        <v>72</v>
      </c>
      <c r="B1264" t="s">
        <v>73</v>
      </c>
      <c r="C1264" t="s">
        <v>74</v>
      </c>
      <c r="E1264" t="str">
        <f>"080065356193"</f>
        <v>080065356193</v>
      </c>
      <c r="F1264" s="3">
        <v>45790</v>
      </c>
      <c r="G1264">
        <v>202602</v>
      </c>
      <c r="H1264" t="s">
        <v>75</v>
      </c>
      <c r="I1264" t="s">
        <v>76</v>
      </c>
      <c r="J1264" t="s">
        <v>77</v>
      </c>
      <c r="K1264" t="s">
        <v>78</v>
      </c>
      <c r="L1264" t="s">
        <v>672</v>
      </c>
      <c r="M1264" t="s">
        <v>673</v>
      </c>
      <c r="N1264" t="s">
        <v>674</v>
      </c>
      <c r="O1264" t="s">
        <v>82</v>
      </c>
      <c r="P1264" t="str">
        <f>"4170038263                    "</f>
        <v xml:space="preserve">4170038263                    </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0</v>
      </c>
      <c r="AL1264">
        <v>0</v>
      </c>
      <c r="AM1264">
        <v>0</v>
      </c>
      <c r="AN1264">
        <v>0</v>
      </c>
      <c r="AO1264">
        <v>0</v>
      </c>
      <c r="AP1264">
        <v>0</v>
      </c>
      <c r="AQ1264">
        <v>41.43</v>
      </c>
      <c r="AR1264">
        <v>0</v>
      </c>
      <c r="AS1264">
        <v>0</v>
      </c>
      <c r="AT1264">
        <v>0</v>
      </c>
      <c r="AU1264">
        <v>0</v>
      </c>
      <c r="AV1264">
        <v>0</v>
      </c>
      <c r="AW1264">
        <v>0</v>
      </c>
      <c r="AX1264">
        <v>0</v>
      </c>
      <c r="AY1264">
        <v>0</v>
      </c>
      <c r="AZ1264">
        <v>0</v>
      </c>
      <c r="BA1264">
        <v>0</v>
      </c>
      <c r="BB1264">
        <v>0</v>
      </c>
      <c r="BC1264">
        <v>0</v>
      </c>
      <c r="BD1264">
        <v>0</v>
      </c>
      <c r="BE1264">
        <v>0</v>
      </c>
      <c r="BF1264">
        <v>0</v>
      </c>
      <c r="BG1264">
        <v>0</v>
      </c>
      <c r="BH1264">
        <v>1</v>
      </c>
      <c r="BI1264">
        <v>1</v>
      </c>
      <c r="BJ1264">
        <v>0.2</v>
      </c>
      <c r="BK1264">
        <v>1</v>
      </c>
      <c r="BL1264">
        <v>135.59</v>
      </c>
      <c r="BM1264">
        <v>20.34</v>
      </c>
      <c r="BN1264">
        <v>155.93</v>
      </c>
      <c r="BO1264">
        <v>155.93</v>
      </c>
      <c r="BQ1264" t="s">
        <v>675</v>
      </c>
      <c r="BR1264" t="s">
        <v>84</v>
      </c>
      <c r="BS1264" s="3">
        <v>45791</v>
      </c>
      <c r="BT1264" s="4">
        <v>0.41458333333333336</v>
      </c>
      <c r="BU1264" t="s">
        <v>1059</v>
      </c>
      <c r="BV1264" t="s">
        <v>86</v>
      </c>
      <c r="BY1264">
        <v>1200</v>
      </c>
      <c r="CA1264" t="s">
        <v>1179</v>
      </c>
      <c r="CC1264" t="s">
        <v>673</v>
      </c>
      <c r="CD1264">
        <v>2531</v>
      </c>
      <c r="CE1264" t="s">
        <v>88</v>
      </c>
      <c r="CF1264" s="3">
        <v>45792</v>
      </c>
      <c r="CI1264">
        <v>1</v>
      </c>
      <c r="CJ1264">
        <v>1</v>
      </c>
      <c r="CK1264">
        <v>23</v>
      </c>
      <c r="CL1264" t="s">
        <v>89</v>
      </c>
    </row>
    <row r="1265" spans="1:90" x14ac:dyDescent="0.3">
      <c r="A1265" t="s">
        <v>72</v>
      </c>
      <c r="B1265" t="s">
        <v>73</v>
      </c>
      <c r="C1265" t="s">
        <v>74</v>
      </c>
      <c r="E1265" t="str">
        <f>"080065356230"</f>
        <v>080065356230</v>
      </c>
      <c r="F1265" s="3">
        <v>45790</v>
      </c>
      <c r="G1265">
        <v>202602</v>
      </c>
      <c r="H1265" t="s">
        <v>75</v>
      </c>
      <c r="I1265" t="s">
        <v>76</v>
      </c>
      <c r="J1265" t="s">
        <v>77</v>
      </c>
      <c r="K1265" t="s">
        <v>78</v>
      </c>
      <c r="L1265" t="s">
        <v>117</v>
      </c>
      <c r="M1265" t="s">
        <v>118</v>
      </c>
      <c r="N1265" t="s">
        <v>1635</v>
      </c>
      <c r="O1265" t="s">
        <v>82</v>
      </c>
      <c r="P1265" t="str">
        <f>"4170038224                    "</f>
        <v xml:space="preserve">4170038224                    </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0</v>
      </c>
      <c r="AL1265">
        <v>0</v>
      </c>
      <c r="AM1265">
        <v>0</v>
      </c>
      <c r="AN1265">
        <v>0</v>
      </c>
      <c r="AO1265">
        <v>0</v>
      </c>
      <c r="AP1265">
        <v>0</v>
      </c>
      <c r="AQ1265">
        <v>16.7</v>
      </c>
      <c r="AR1265">
        <v>0</v>
      </c>
      <c r="AS1265">
        <v>0</v>
      </c>
      <c r="AT1265">
        <v>0</v>
      </c>
      <c r="AU1265">
        <v>0</v>
      </c>
      <c r="AV1265">
        <v>0</v>
      </c>
      <c r="AW1265">
        <v>0</v>
      </c>
      <c r="AX1265">
        <v>0</v>
      </c>
      <c r="AY1265">
        <v>0</v>
      </c>
      <c r="AZ1265">
        <v>0</v>
      </c>
      <c r="BA1265">
        <v>0</v>
      </c>
      <c r="BB1265">
        <v>0</v>
      </c>
      <c r="BC1265">
        <v>0</v>
      </c>
      <c r="BD1265">
        <v>0</v>
      </c>
      <c r="BE1265">
        <v>0</v>
      </c>
      <c r="BF1265">
        <v>0</v>
      </c>
      <c r="BG1265">
        <v>0</v>
      </c>
      <c r="BH1265">
        <v>1</v>
      </c>
      <c r="BI1265">
        <v>2</v>
      </c>
      <c r="BJ1265">
        <v>1.1000000000000001</v>
      </c>
      <c r="BK1265">
        <v>2</v>
      </c>
      <c r="BL1265">
        <v>54.66</v>
      </c>
      <c r="BM1265">
        <v>8.1999999999999993</v>
      </c>
      <c r="BN1265">
        <v>62.86</v>
      </c>
      <c r="BO1265">
        <v>62.86</v>
      </c>
      <c r="BQ1265" t="s">
        <v>1636</v>
      </c>
      <c r="BR1265" t="s">
        <v>84</v>
      </c>
      <c r="BS1265" s="3">
        <v>45791</v>
      </c>
      <c r="BT1265" s="4">
        <v>0.38263888888888886</v>
      </c>
      <c r="BU1265" t="s">
        <v>1858</v>
      </c>
      <c r="BV1265" t="s">
        <v>86</v>
      </c>
      <c r="BY1265">
        <v>5320</v>
      </c>
      <c r="CA1265" t="s">
        <v>535</v>
      </c>
      <c r="CC1265" t="s">
        <v>118</v>
      </c>
      <c r="CD1265">
        <v>2094</v>
      </c>
      <c r="CE1265" t="s">
        <v>96</v>
      </c>
      <c r="CF1265" s="3">
        <v>45791</v>
      </c>
      <c r="CI1265">
        <v>1</v>
      </c>
      <c r="CJ1265">
        <v>1</v>
      </c>
      <c r="CK1265">
        <v>22</v>
      </c>
      <c r="CL1265" t="s">
        <v>89</v>
      </c>
    </row>
    <row r="1266" spans="1:90" x14ac:dyDescent="0.3">
      <c r="A1266" t="s">
        <v>72</v>
      </c>
      <c r="B1266" t="s">
        <v>73</v>
      </c>
      <c r="C1266" t="s">
        <v>74</v>
      </c>
      <c r="E1266" t="str">
        <f>"080065356287"</f>
        <v>080065356287</v>
      </c>
      <c r="F1266" s="3">
        <v>45790</v>
      </c>
      <c r="G1266">
        <v>202602</v>
      </c>
      <c r="H1266" t="s">
        <v>75</v>
      </c>
      <c r="I1266" t="s">
        <v>76</v>
      </c>
      <c r="J1266" t="s">
        <v>77</v>
      </c>
      <c r="K1266" t="s">
        <v>78</v>
      </c>
      <c r="L1266" t="s">
        <v>90</v>
      </c>
      <c r="M1266" t="s">
        <v>91</v>
      </c>
      <c r="N1266" t="s">
        <v>543</v>
      </c>
      <c r="O1266" t="s">
        <v>82</v>
      </c>
      <c r="P1266" t="str">
        <f>"4170038166                    "</f>
        <v xml:space="preserve">4170038166                    </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0</v>
      </c>
      <c r="AL1266">
        <v>0</v>
      </c>
      <c r="AM1266">
        <v>0</v>
      </c>
      <c r="AN1266">
        <v>0</v>
      </c>
      <c r="AO1266">
        <v>0</v>
      </c>
      <c r="AP1266">
        <v>0</v>
      </c>
      <c r="AQ1266">
        <v>21.38</v>
      </c>
      <c r="AR1266">
        <v>0</v>
      </c>
      <c r="AS1266">
        <v>0</v>
      </c>
      <c r="AT1266">
        <v>0</v>
      </c>
      <c r="AU1266">
        <v>0</v>
      </c>
      <c r="AV1266">
        <v>0</v>
      </c>
      <c r="AW1266">
        <v>0</v>
      </c>
      <c r="AX1266">
        <v>0</v>
      </c>
      <c r="AY1266">
        <v>0</v>
      </c>
      <c r="AZ1266">
        <v>0</v>
      </c>
      <c r="BA1266">
        <v>0</v>
      </c>
      <c r="BB1266">
        <v>0</v>
      </c>
      <c r="BC1266">
        <v>0</v>
      </c>
      <c r="BD1266">
        <v>0</v>
      </c>
      <c r="BE1266">
        <v>0</v>
      </c>
      <c r="BF1266">
        <v>0</v>
      </c>
      <c r="BG1266">
        <v>0</v>
      </c>
      <c r="BH1266">
        <v>1</v>
      </c>
      <c r="BI1266">
        <v>1</v>
      </c>
      <c r="BJ1266">
        <v>0.2</v>
      </c>
      <c r="BK1266">
        <v>1</v>
      </c>
      <c r="BL1266">
        <v>69.98</v>
      </c>
      <c r="BM1266">
        <v>10.5</v>
      </c>
      <c r="BN1266">
        <v>80.48</v>
      </c>
      <c r="BO1266">
        <v>80.48</v>
      </c>
      <c r="BQ1266" t="s">
        <v>544</v>
      </c>
      <c r="BR1266" t="s">
        <v>84</v>
      </c>
      <c r="BS1266" s="3">
        <v>45791</v>
      </c>
      <c r="BT1266" s="4">
        <v>0.3659722222222222</v>
      </c>
      <c r="BU1266" t="s">
        <v>1931</v>
      </c>
      <c r="BV1266" t="s">
        <v>86</v>
      </c>
      <c r="BY1266">
        <v>1200</v>
      </c>
      <c r="CA1266" t="s">
        <v>283</v>
      </c>
      <c r="CC1266" t="s">
        <v>91</v>
      </c>
      <c r="CD1266">
        <v>6001</v>
      </c>
      <c r="CE1266" t="s">
        <v>88</v>
      </c>
      <c r="CF1266" s="3">
        <v>45791</v>
      </c>
      <c r="CI1266">
        <v>1</v>
      </c>
      <c r="CJ1266">
        <v>1</v>
      </c>
      <c r="CK1266">
        <v>21</v>
      </c>
      <c r="CL1266" t="s">
        <v>89</v>
      </c>
    </row>
    <row r="1267" spans="1:90" x14ac:dyDescent="0.3">
      <c r="A1267" t="s">
        <v>72</v>
      </c>
      <c r="B1267" t="s">
        <v>73</v>
      </c>
      <c r="C1267" t="s">
        <v>74</v>
      </c>
      <c r="E1267" t="str">
        <f>"080065356300"</f>
        <v>080065356300</v>
      </c>
      <c r="F1267" s="3">
        <v>45790</v>
      </c>
      <c r="G1267">
        <v>202602</v>
      </c>
      <c r="H1267" t="s">
        <v>75</v>
      </c>
      <c r="I1267" t="s">
        <v>76</v>
      </c>
      <c r="J1267" t="s">
        <v>77</v>
      </c>
      <c r="K1267" t="s">
        <v>78</v>
      </c>
      <c r="L1267" t="s">
        <v>130</v>
      </c>
      <c r="M1267" t="s">
        <v>131</v>
      </c>
      <c r="N1267" t="s">
        <v>327</v>
      </c>
      <c r="O1267" t="s">
        <v>82</v>
      </c>
      <c r="P1267" t="str">
        <f>"4170038140                    "</f>
        <v xml:space="preserve">4170038140                    </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0</v>
      </c>
      <c r="AL1267">
        <v>0</v>
      </c>
      <c r="AM1267">
        <v>0</v>
      </c>
      <c r="AN1267">
        <v>0</v>
      </c>
      <c r="AO1267">
        <v>0</v>
      </c>
      <c r="AP1267">
        <v>0</v>
      </c>
      <c r="AQ1267">
        <v>21.38</v>
      </c>
      <c r="AR1267">
        <v>0</v>
      </c>
      <c r="AS1267">
        <v>0</v>
      </c>
      <c r="AT1267">
        <v>0</v>
      </c>
      <c r="AU1267">
        <v>0</v>
      </c>
      <c r="AV1267">
        <v>0</v>
      </c>
      <c r="AW1267">
        <v>0</v>
      </c>
      <c r="AX1267">
        <v>0</v>
      </c>
      <c r="AY1267">
        <v>0</v>
      </c>
      <c r="AZ1267">
        <v>0</v>
      </c>
      <c r="BA1267">
        <v>0</v>
      </c>
      <c r="BB1267">
        <v>0</v>
      </c>
      <c r="BC1267">
        <v>0</v>
      </c>
      <c r="BD1267">
        <v>0</v>
      </c>
      <c r="BE1267">
        <v>0</v>
      </c>
      <c r="BF1267">
        <v>0</v>
      </c>
      <c r="BG1267">
        <v>0</v>
      </c>
      <c r="BH1267">
        <v>1</v>
      </c>
      <c r="BI1267">
        <v>2</v>
      </c>
      <c r="BJ1267">
        <v>1.9</v>
      </c>
      <c r="BK1267">
        <v>2</v>
      </c>
      <c r="BL1267">
        <v>69.98</v>
      </c>
      <c r="BM1267">
        <v>10.5</v>
      </c>
      <c r="BN1267">
        <v>80.48</v>
      </c>
      <c r="BO1267">
        <v>80.48</v>
      </c>
      <c r="BQ1267" t="s">
        <v>328</v>
      </c>
      <c r="BR1267" t="s">
        <v>84</v>
      </c>
      <c r="BS1267" s="3">
        <v>45791</v>
      </c>
      <c r="BT1267" s="4">
        <v>0.37708333333333333</v>
      </c>
      <c r="BU1267" t="s">
        <v>1950</v>
      </c>
      <c r="BV1267" t="s">
        <v>86</v>
      </c>
      <c r="BY1267">
        <v>9600</v>
      </c>
      <c r="CA1267" t="s">
        <v>330</v>
      </c>
      <c r="CC1267" t="s">
        <v>131</v>
      </c>
      <c r="CD1267">
        <v>7480</v>
      </c>
      <c r="CE1267" t="s">
        <v>96</v>
      </c>
      <c r="CF1267" s="3">
        <v>45792</v>
      </c>
      <c r="CI1267">
        <v>1</v>
      </c>
      <c r="CJ1267">
        <v>1</v>
      </c>
      <c r="CK1267">
        <v>21</v>
      </c>
      <c r="CL1267" t="s">
        <v>89</v>
      </c>
    </row>
    <row r="1268" spans="1:90" x14ac:dyDescent="0.3">
      <c r="A1268" t="s">
        <v>72</v>
      </c>
      <c r="B1268" t="s">
        <v>73</v>
      </c>
      <c r="C1268" t="s">
        <v>74</v>
      </c>
      <c r="E1268" t="str">
        <f>"080065356353"</f>
        <v>080065356353</v>
      </c>
      <c r="F1268" s="3">
        <v>45790</v>
      </c>
      <c r="G1268">
        <v>202602</v>
      </c>
      <c r="H1268" t="s">
        <v>75</v>
      </c>
      <c r="I1268" t="s">
        <v>76</v>
      </c>
      <c r="J1268" t="s">
        <v>77</v>
      </c>
      <c r="K1268" t="s">
        <v>78</v>
      </c>
      <c r="L1268" t="s">
        <v>90</v>
      </c>
      <c r="M1268" t="s">
        <v>91</v>
      </c>
      <c r="N1268" t="s">
        <v>515</v>
      </c>
      <c r="O1268" t="s">
        <v>82</v>
      </c>
      <c r="P1268" t="str">
        <f>"4170038136                    "</f>
        <v xml:space="preserve">4170038136                    </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0</v>
      </c>
      <c r="AL1268">
        <v>0</v>
      </c>
      <c r="AM1268">
        <v>0</v>
      </c>
      <c r="AN1268">
        <v>0</v>
      </c>
      <c r="AO1268">
        <v>0</v>
      </c>
      <c r="AP1268">
        <v>0</v>
      </c>
      <c r="AQ1268">
        <v>48.09</v>
      </c>
      <c r="AR1268">
        <v>0</v>
      </c>
      <c r="AS1268">
        <v>0</v>
      </c>
      <c r="AT1268">
        <v>0</v>
      </c>
      <c r="AU1268">
        <v>0</v>
      </c>
      <c r="AV1268">
        <v>0</v>
      </c>
      <c r="AW1268">
        <v>0</v>
      </c>
      <c r="AX1268">
        <v>0</v>
      </c>
      <c r="AY1268">
        <v>0</v>
      </c>
      <c r="AZ1268">
        <v>0</v>
      </c>
      <c r="BA1268">
        <v>0</v>
      </c>
      <c r="BB1268">
        <v>0</v>
      </c>
      <c r="BC1268">
        <v>0</v>
      </c>
      <c r="BD1268">
        <v>0</v>
      </c>
      <c r="BE1268">
        <v>0</v>
      </c>
      <c r="BF1268">
        <v>0</v>
      </c>
      <c r="BG1268">
        <v>0</v>
      </c>
      <c r="BH1268">
        <v>1</v>
      </c>
      <c r="BI1268">
        <v>3</v>
      </c>
      <c r="BJ1268">
        <v>4.3</v>
      </c>
      <c r="BK1268">
        <v>4.5</v>
      </c>
      <c r="BL1268">
        <v>157.38999999999999</v>
      </c>
      <c r="BM1268">
        <v>23.61</v>
      </c>
      <c r="BN1268">
        <v>181</v>
      </c>
      <c r="BO1268">
        <v>181</v>
      </c>
      <c r="BQ1268" t="s">
        <v>516</v>
      </c>
      <c r="BR1268" t="s">
        <v>84</v>
      </c>
      <c r="BS1268" s="3">
        <v>45791</v>
      </c>
      <c r="BT1268" s="4">
        <v>0.40763888888888888</v>
      </c>
      <c r="BU1268" t="s">
        <v>517</v>
      </c>
      <c r="BV1268" t="s">
        <v>86</v>
      </c>
      <c r="BY1268">
        <v>21489</v>
      </c>
      <c r="CA1268" t="s">
        <v>271</v>
      </c>
      <c r="CC1268" t="s">
        <v>91</v>
      </c>
      <c r="CD1268">
        <v>6001</v>
      </c>
      <c r="CE1268" t="s">
        <v>96</v>
      </c>
      <c r="CF1268" s="3">
        <v>45791</v>
      </c>
      <c r="CI1268">
        <v>1</v>
      </c>
      <c r="CJ1268">
        <v>1</v>
      </c>
      <c r="CK1268">
        <v>21</v>
      </c>
      <c r="CL1268" t="s">
        <v>89</v>
      </c>
    </row>
    <row r="1269" spans="1:90" x14ac:dyDescent="0.3">
      <c r="A1269" t="s">
        <v>72</v>
      </c>
      <c r="B1269" t="s">
        <v>73</v>
      </c>
      <c r="C1269" t="s">
        <v>74</v>
      </c>
      <c r="E1269" t="str">
        <f>"080065356373"</f>
        <v>080065356373</v>
      </c>
      <c r="F1269" s="3">
        <v>45790</v>
      </c>
      <c r="G1269">
        <v>202602</v>
      </c>
      <c r="H1269" t="s">
        <v>75</v>
      </c>
      <c r="I1269" t="s">
        <v>76</v>
      </c>
      <c r="J1269" t="s">
        <v>77</v>
      </c>
      <c r="K1269" t="s">
        <v>78</v>
      </c>
      <c r="L1269" t="s">
        <v>350</v>
      </c>
      <c r="M1269" t="s">
        <v>351</v>
      </c>
      <c r="N1269" t="s">
        <v>1951</v>
      </c>
      <c r="O1269" t="s">
        <v>82</v>
      </c>
      <c r="P1269" t="str">
        <f>"4170038179                    "</f>
        <v xml:space="preserve">4170038179                    </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0</v>
      </c>
      <c r="AL1269">
        <v>0</v>
      </c>
      <c r="AM1269">
        <v>0</v>
      </c>
      <c r="AN1269">
        <v>0</v>
      </c>
      <c r="AO1269">
        <v>0</v>
      </c>
      <c r="AP1269">
        <v>0</v>
      </c>
      <c r="AQ1269">
        <v>21.38</v>
      </c>
      <c r="AR1269">
        <v>0</v>
      </c>
      <c r="AS1269">
        <v>0</v>
      </c>
      <c r="AT1269">
        <v>0</v>
      </c>
      <c r="AU1269">
        <v>0</v>
      </c>
      <c r="AV1269">
        <v>0</v>
      </c>
      <c r="AW1269">
        <v>0</v>
      </c>
      <c r="AX1269">
        <v>0</v>
      </c>
      <c r="AY1269">
        <v>0</v>
      </c>
      <c r="AZ1269">
        <v>0</v>
      </c>
      <c r="BA1269">
        <v>0</v>
      </c>
      <c r="BB1269">
        <v>0</v>
      </c>
      <c r="BC1269">
        <v>0</v>
      </c>
      <c r="BD1269">
        <v>0</v>
      </c>
      <c r="BE1269">
        <v>0</v>
      </c>
      <c r="BF1269">
        <v>0</v>
      </c>
      <c r="BG1269">
        <v>0</v>
      </c>
      <c r="BH1269">
        <v>1</v>
      </c>
      <c r="BI1269">
        <v>1</v>
      </c>
      <c r="BJ1269">
        <v>0.2</v>
      </c>
      <c r="BK1269">
        <v>1</v>
      </c>
      <c r="BL1269">
        <v>69.98</v>
      </c>
      <c r="BM1269">
        <v>10.5</v>
      </c>
      <c r="BN1269">
        <v>80.48</v>
      </c>
      <c r="BO1269">
        <v>80.48</v>
      </c>
      <c r="BQ1269" t="s">
        <v>1952</v>
      </c>
      <c r="BR1269" t="s">
        <v>84</v>
      </c>
      <c r="BS1269" s="3">
        <v>45791</v>
      </c>
      <c r="BT1269" s="4">
        <v>0.38611111111111113</v>
      </c>
      <c r="BU1269" t="s">
        <v>433</v>
      </c>
      <c r="BV1269" t="s">
        <v>86</v>
      </c>
      <c r="BY1269">
        <v>1200</v>
      </c>
      <c r="CA1269" t="s">
        <v>436</v>
      </c>
      <c r="CC1269" t="s">
        <v>351</v>
      </c>
      <c r="CD1269">
        <v>4052</v>
      </c>
      <c r="CE1269" t="s">
        <v>88</v>
      </c>
      <c r="CF1269" s="3">
        <v>45792</v>
      </c>
      <c r="CI1269">
        <v>1</v>
      </c>
      <c r="CJ1269">
        <v>1</v>
      </c>
      <c r="CK1269">
        <v>21</v>
      </c>
      <c r="CL1269" t="s">
        <v>89</v>
      </c>
    </row>
    <row r="1270" spans="1:90" x14ac:dyDescent="0.3">
      <c r="A1270" t="s">
        <v>72</v>
      </c>
      <c r="B1270" t="s">
        <v>73</v>
      </c>
      <c r="C1270" t="s">
        <v>74</v>
      </c>
      <c r="E1270" t="str">
        <f>"080065356422"</f>
        <v>080065356422</v>
      </c>
      <c r="F1270" s="3">
        <v>45790</v>
      </c>
      <c r="G1270">
        <v>202602</v>
      </c>
      <c r="H1270" t="s">
        <v>75</v>
      </c>
      <c r="I1270" t="s">
        <v>76</v>
      </c>
      <c r="J1270" t="s">
        <v>77</v>
      </c>
      <c r="K1270" t="s">
        <v>78</v>
      </c>
      <c r="L1270" t="s">
        <v>123</v>
      </c>
      <c r="M1270" t="s">
        <v>123</v>
      </c>
      <c r="N1270" t="s">
        <v>766</v>
      </c>
      <c r="O1270" t="s">
        <v>82</v>
      </c>
      <c r="P1270" t="str">
        <f>"4170038241                    "</f>
        <v xml:space="preserve">4170038241                    </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0</v>
      </c>
      <c r="AL1270">
        <v>0</v>
      </c>
      <c r="AM1270">
        <v>0</v>
      </c>
      <c r="AN1270">
        <v>0</v>
      </c>
      <c r="AO1270">
        <v>0</v>
      </c>
      <c r="AP1270">
        <v>0</v>
      </c>
      <c r="AQ1270">
        <v>191.1</v>
      </c>
      <c r="AR1270">
        <v>0</v>
      </c>
      <c r="AS1270">
        <v>0</v>
      </c>
      <c r="AT1270">
        <v>0</v>
      </c>
      <c r="AU1270">
        <v>0</v>
      </c>
      <c r="AV1270">
        <v>0</v>
      </c>
      <c r="AW1270">
        <v>0</v>
      </c>
      <c r="AX1270">
        <v>0</v>
      </c>
      <c r="AY1270">
        <v>0</v>
      </c>
      <c r="AZ1270">
        <v>0</v>
      </c>
      <c r="BA1270">
        <v>0</v>
      </c>
      <c r="BB1270">
        <v>0</v>
      </c>
      <c r="BC1270">
        <v>0</v>
      </c>
      <c r="BD1270">
        <v>0</v>
      </c>
      <c r="BE1270">
        <v>0</v>
      </c>
      <c r="BF1270">
        <v>0</v>
      </c>
      <c r="BG1270">
        <v>0</v>
      </c>
      <c r="BH1270">
        <v>1</v>
      </c>
      <c r="BI1270">
        <v>10</v>
      </c>
      <c r="BJ1270">
        <v>8.9</v>
      </c>
      <c r="BK1270">
        <v>10</v>
      </c>
      <c r="BL1270">
        <v>625.41999999999996</v>
      </c>
      <c r="BM1270">
        <v>93.81</v>
      </c>
      <c r="BN1270">
        <v>719.23</v>
      </c>
      <c r="BO1270">
        <v>719.23</v>
      </c>
      <c r="BQ1270" t="s">
        <v>767</v>
      </c>
      <c r="BR1270" t="s">
        <v>84</v>
      </c>
      <c r="BS1270" s="3">
        <v>45791</v>
      </c>
      <c r="BT1270" s="4">
        <v>0.53263888888888888</v>
      </c>
      <c r="BU1270" t="s">
        <v>768</v>
      </c>
      <c r="BV1270" t="s">
        <v>86</v>
      </c>
      <c r="BY1270">
        <v>44460</v>
      </c>
      <c r="CA1270" t="s">
        <v>128</v>
      </c>
      <c r="CC1270" t="s">
        <v>123</v>
      </c>
      <c r="CD1270">
        <v>7646</v>
      </c>
      <c r="CE1270" t="s">
        <v>550</v>
      </c>
      <c r="CF1270" s="3">
        <v>45792</v>
      </c>
      <c r="CI1270">
        <v>1</v>
      </c>
      <c r="CJ1270">
        <v>1</v>
      </c>
      <c r="CK1270">
        <v>23</v>
      </c>
      <c r="CL1270" t="s">
        <v>89</v>
      </c>
    </row>
    <row r="1271" spans="1:90" x14ac:dyDescent="0.3">
      <c r="A1271" t="s">
        <v>72</v>
      </c>
      <c r="B1271" t="s">
        <v>73</v>
      </c>
      <c r="C1271" t="s">
        <v>74</v>
      </c>
      <c r="E1271" t="str">
        <f>"080065356423"</f>
        <v>080065356423</v>
      </c>
      <c r="F1271" s="3">
        <v>45790</v>
      </c>
      <c r="G1271">
        <v>202602</v>
      </c>
      <c r="H1271" t="s">
        <v>75</v>
      </c>
      <c r="I1271" t="s">
        <v>76</v>
      </c>
      <c r="J1271" t="s">
        <v>77</v>
      </c>
      <c r="K1271" t="s">
        <v>78</v>
      </c>
      <c r="L1271" t="s">
        <v>479</v>
      </c>
      <c r="M1271" t="s">
        <v>480</v>
      </c>
      <c r="N1271" t="s">
        <v>1953</v>
      </c>
      <c r="O1271" t="s">
        <v>82</v>
      </c>
      <c r="P1271" t="str">
        <f>"4170038187                    "</f>
        <v xml:space="preserve">4170038187                    </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0</v>
      </c>
      <c r="AL1271">
        <v>0</v>
      </c>
      <c r="AM1271">
        <v>0</v>
      </c>
      <c r="AN1271">
        <v>0</v>
      </c>
      <c r="AO1271">
        <v>0</v>
      </c>
      <c r="AP1271">
        <v>0</v>
      </c>
      <c r="AQ1271">
        <v>16.7</v>
      </c>
      <c r="AR1271">
        <v>0</v>
      </c>
      <c r="AS1271">
        <v>0</v>
      </c>
      <c r="AT1271">
        <v>0</v>
      </c>
      <c r="AU1271">
        <v>0</v>
      </c>
      <c r="AV1271">
        <v>0</v>
      </c>
      <c r="AW1271">
        <v>0</v>
      </c>
      <c r="AX1271">
        <v>0</v>
      </c>
      <c r="AY1271">
        <v>0</v>
      </c>
      <c r="AZ1271">
        <v>0</v>
      </c>
      <c r="BA1271">
        <v>0</v>
      </c>
      <c r="BB1271">
        <v>0</v>
      </c>
      <c r="BC1271">
        <v>0</v>
      </c>
      <c r="BD1271">
        <v>0</v>
      </c>
      <c r="BE1271">
        <v>0</v>
      </c>
      <c r="BF1271">
        <v>0</v>
      </c>
      <c r="BG1271">
        <v>0</v>
      </c>
      <c r="BH1271">
        <v>1</v>
      </c>
      <c r="BI1271">
        <v>1</v>
      </c>
      <c r="BJ1271">
        <v>0.2</v>
      </c>
      <c r="BK1271">
        <v>1</v>
      </c>
      <c r="BL1271">
        <v>54.66</v>
      </c>
      <c r="BM1271">
        <v>8.1999999999999993</v>
      </c>
      <c r="BN1271">
        <v>62.86</v>
      </c>
      <c r="BO1271">
        <v>62.86</v>
      </c>
      <c r="BQ1271" t="s">
        <v>1954</v>
      </c>
      <c r="BR1271" t="s">
        <v>84</v>
      </c>
      <c r="BS1271" s="3">
        <v>45791</v>
      </c>
      <c r="BT1271" s="4">
        <v>0.40069444444444446</v>
      </c>
      <c r="BU1271" t="s">
        <v>1912</v>
      </c>
      <c r="BV1271" t="s">
        <v>86</v>
      </c>
      <c r="BY1271">
        <v>1200</v>
      </c>
      <c r="CA1271" t="s">
        <v>1443</v>
      </c>
      <c r="CC1271" t="s">
        <v>480</v>
      </c>
      <c r="CD1271">
        <v>2163</v>
      </c>
      <c r="CE1271" t="s">
        <v>88</v>
      </c>
      <c r="CF1271" s="3">
        <v>45792</v>
      </c>
      <c r="CI1271">
        <v>1</v>
      </c>
      <c r="CJ1271">
        <v>1</v>
      </c>
      <c r="CK1271">
        <v>22</v>
      </c>
      <c r="CL1271" t="s">
        <v>89</v>
      </c>
    </row>
    <row r="1272" spans="1:90" x14ac:dyDescent="0.3">
      <c r="A1272" t="s">
        <v>72</v>
      </c>
      <c r="B1272" t="s">
        <v>73</v>
      </c>
      <c r="C1272" t="s">
        <v>74</v>
      </c>
      <c r="E1272" t="str">
        <f>"080065356441"</f>
        <v>080065356441</v>
      </c>
      <c r="F1272" s="3">
        <v>45790</v>
      </c>
      <c r="G1272">
        <v>202602</v>
      </c>
      <c r="H1272" t="s">
        <v>75</v>
      </c>
      <c r="I1272" t="s">
        <v>76</v>
      </c>
      <c r="J1272" t="s">
        <v>77</v>
      </c>
      <c r="K1272" t="s">
        <v>78</v>
      </c>
      <c r="L1272" t="s">
        <v>130</v>
      </c>
      <c r="M1272" t="s">
        <v>131</v>
      </c>
      <c r="N1272" t="s">
        <v>343</v>
      </c>
      <c r="O1272" t="s">
        <v>82</v>
      </c>
      <c r="P1272" t="str">
        <f>"4170038251                    "</f>
        <v xml:space="preserve">4170038251                    </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0</v>
      </c>
      <c r="AK1272">
        <v>0</v>
      </c>
      <c r="AL1272">
        <v>0</v>
      </c>
      <c r="AM1272">
        <v>0</v>
      </c>
      <c r="AN1272">
        <v>0</v>
      </c>
      <c r="AO1272">
        <v>0</v>
      </c>
      <c r="AP1272">
        <v>0</v>
      </c>
      <c r="AQ1272">
        <v>21.38</v>
      </c>
      <c r="AR1272">
        <v>0</v>
      </c>
      <c r="AS1272">
        <v>0</v>
      </c>
      <c r="AT1272">
        <v>0</v>
      </c>
      <c r="AU1272">
        <v>0</v>
      </c>
      <c r="AV1272">
        <v>0</v>
      </c>
      <c r="AW1272">
        <v>0</v>
      </c>
      <c r="AX1272">
        <v>0</v>
      </c>
      <c r="AY1272">
        <v>0</v>
      </c>
      <c r="AZ1272">
        <v>0</v>
      </c>
      <c r="BA1272">
        <v>0</v>
      </c>
      <c r="BB1272">
        <v>0</v>
      </c>
      <c r="BC1272">
        <v>0</v>
      </c>
      <c r="BD1272">
        <v>0</v>
      </c>
      <c r="BE1272">
        <v>0</v>
      </c>
      <c r="BF1272">
        <v>0</v>
      </c>
      <c r="BG1272">
        <v>0</v>
      </c>
      <c r="BH1272">
        <v>1</v>
      </c>
      <c r="BI1272">
        <v>1</v>
      </c>
      <c r="BJ1272">
        <v>0.2</v>
      </c>
      <c r="BK1272">
        <v>1</v>
      </c>
      <c r="BL1272">
        <v>69.98</v>
      </c>
      <c r="BM1272">
        <v>10.5</v>
      </c>
      <c r="BN1272">
        <v>80.48</v>
      </c>
      <c r="BO1272">
        <v>80.48</v>
      </c>
      <c r="BQ1272" t="s">
        <v>344</v>
      </c>
      <c r="BR1272" t="s">
        <v>84</v>
      </c>
      <c r="BS1272" s="3">
        <v>45791</v>
      </c>
      <c r="BT1272" s="4">
        <v>0.40972222222222221</v>
      </c>
      <c r="BU1272" t="s">
        <v>345</v>
      </c>
      <c r="BV1272" t="s">
        <v>86</v>
      </c>
      <c r="BY1272">
        <v>1200</v>
      </c>
      <c r="CA1272" t="s">
        <v>242</v>
      </c>
      <c r="CC1272" t="s">
        <v>131</v>
      </c>
      <c r="CD1272">
        <v>7441</v>
      </c>
      <c r="CE1272" t="s">
        <v>88</v>
      </c>
      <c r="CF1272" s="3">
        <v>45792</v>
      </c>
      <c r="CI1272">
        <v>1</v>
      </c>
      <c r="CJ1272">
        <v>1</v>
      </c>
      <c r="CK1272">
        <v>21</v>
      </c>
      <c r="CL1272" t="s">
        <v>89</v>
      </c>
    </row>
    <row r="1273" spans="1:90" x14ac:dyDescent="0.3">
      <c r="A1273" t="s">
        <v>72</v>
      </c>
      <c r="B1273" t="s">
        <v>73</v>
      </c>
      <c r="C1273" t="s">
        <v>74</v>
      </c>
      <c r="E1273" t="str">
        <f>"080065356449"</f>
        <v>080065356449</v>
      </c>
      <c r="F1273" s="3">
        <v>45790</v>
      </c>
      <c r="G1273">
        <v>202602</v>
      </c>
      <c r="H1273" t="s">
        <v>75</v>
      </c>
      <c r="I1273" t="s">
        <v>76</v>
      </c>
      <c r="J1273" t="s">
        <v>77</v>
      </c>
      <c r="K1273" t="s">
        <v>78</v>
      </c>
      <c r="L1273" t="s">
        <v>130</v>
      </c>
      <c r="M1273" t="s">
        <v>131</v>
      </c>
      <c r="N1273" t="s">
        <v>1066</v>
      </c>
      <c r="O1273" t="s">
        <v>82</v>
      </c>
      <c r="P1273" t="str">
        <f>"4170038222                    "</f>
        <v xml:space="preserve">4170038222                    </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0</v>
      </c>
      <c r="AL1273">
        <v>0</v>
      </c>
      <c r="AM1273">
        <v>0</v>
      </c>
      <c r="AN1273">
        <v>0</v>
      </c>
      <c r="AO1273">
        <v>0</v>
      </c>
      <c r="AP1273">
        <v>0</v>
      </c>
      <c r="AQ1273">
        <v>74.8</v>
      </c>
      <c r="AR1273">
        <v>0</v>
      </c>
      <c r="AS1273">
        <v>0</v>
      </c>
      <c r="AT1273">
        <v>0</v>
      </c>
      <c r="AU1273">
        <v>0</v>
      </c>
      <c r="AV1273">
        <v>0</v>
      </c>
      <c r="AW1273">
        <v>0</v>
      </c>
      <c r="AX1273">
        <v>0</v>
      </c>
      <c r="AY1273">
        <v>0</v>
      </c>
      <c r="AZ1273">
        <v>0</v>
      </c>
      <c r="BA1273">
        <v>0</v>
      </c>
      <c r="BB1273">
        <v>0</v>
      </c>
      <c r="BC1273">
        <v>0</v>
      </c>
      <c r="BD1273">
        <v>0</v>
      </c>
      <c r="BE1273">
        <v>0</v>
      </c>
      <c r="BF1273">
        <v>0</v>
      </c>
      <c r="BG1273">
        <v>0</v>
      </c>
      <c r="BH1273">
        <v>1</v>
      </c>
      <c r="BI1273">
        <v>3</v>
      </c>
      <c r="BJ1273">
        <v>6.8</v>
      </c>
      <c r="BK1273">
        <v>7</v>
      </c>
      <c r="BL1273">
        <v>244.8</v>
      </c>
      <c r="BM1273">
        <v>36.72</v>
      </c>
      <c r="BN1273">
        <v>281.52</v>
      </c>
      <c r="BO1273">
        <v>281.52</v>
      </c>
      <c r="BQ1273" t="s">
        <v>1067</v>
      </c>
      <c r="BR1273" t="s">
        <v>84</v>
      </c>
      <c r="BS1273" s="3">
        <v>45791</v>
      </c>
      <c r="BT1273" s="4">
        <v>0.38819444444444445</v>
      </c>
      <c r="BU1273" t="s">
        <v>1068</v>
      </c>
      <c r="BV1273" t="s">
        <v>86</v>
      </c>
      <c r="BY1273">
        <v>33880</v>
      </c>
      <c r="CA1273" t="s">
        <v>712</v>
      </c>
      <c r="CC1273" t="s">
        <v>131</v>
      </c>
      <c r="CD1273">
        <v>7561</v>
      </c>
      <c r="CE1273" t="s">
        <v>96</v>
      </c>
      <c r="CF1273" s="3">
        <v>45792</v>
      </c>
      <c r="CI1273">
        <v>1</v>
      </c>
      <c r="CJ1273">
        <v>1</v>
      </c>
      <c r="CK1273">
        <v>21</v>
      </c>
      <c r="CL1273" t="s">
        <v>89</v>
      </c>
    </row>
    <row r="1274" spans="1:90" x14ac:dyDescent="0.3">
      <c r="A1274" t="s">
        <v>72</v>
      </c>
      <c r="B1274" t="s">
        <v>73</v>
      </c>
      <c r="C1274" t="s">
        <v>74</v>
      </c>
      <c r="E1274" t="str">
        <f>"080065356462"</f>
        <v>080065356462</v>
      </c>
      <c r="F1274" s="3">
        <v>45790</v>
      </c>
      <c r="G1274">
        <v>202602</v>
      </c>
      <c r="H1274" t="s">
        <v>75</v>
      </c>
      <c r="I1274" t="s">
        <v>76</v>
      </c>
      <c r="J1274" t="s">
        <v>77</v>
      </c>
      <c r="K1274" t="s">
        <v>78</v>
      </c>
      <c r="L1274" t="s">
        <v>130</v>
      </c>
      <c r="M1274" t="s">
        <v>131</v>
      </c>
      <c r="N1274" t="s">
        <v>709</v>
      </c>
      <c r="O1274" t="s">
        <v>82</v>
      </c>
      <c r="P1274" t="str">
        <f>"4170038260                    "</f>
        <v xml:space="preserve">4170038260                    </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0</v>
      </c>
      <c r="AL1274">
        <v>0</v>
      </c>
      <c r="AM1274">
        <v>0</v>
      </c>
      <c r="AN1274">
        <v>0</v>
      </c>
      <c r="AO1274">
        <v>0</v>
      </c>
      <c r="AP1274">
        <v>0</v>
      </c>
      <c r="AQ1274">
        <v>21.38</v>
      </c>
      <c r="AR1274">
        <v>0</v>
      </c>
      <c r="AS1274">
        <v>0</v>
      </c>
      <c r="AT1274">
        <v>0</v>
      </c>
      <c r="AU1274">
        <v>0</v>
      </c>
      <c r="AV1274">
        <v>0</v>
      </c>
      <c r="AW1274">
        <v>0</v>
      </c>
      <c r="AX1274">
        <v>0</v>
      </c>
      <c r="AY1274">
        <v>0</v>
      </c>
      <c r="AZ1274">
        <v>0</v>
      </c>
      <c r="BA1274">
        <v>0</v>
      </c>
      <c r="BB1274">
        <v>0</v>
      </c>
      <c r="BC1274">
        <v>0</v>
      </c>
      <c r="BD1274">
        <v>0</v>
      </c>
      <c r="BE1274">
        <v>0</v>
      </c>
      <c r="BF1274">
        <v>0</v>
      </c>
      <c r="BG1274">
        <v>0</v>
      </c>
      <c r="BH1274">
        <v>1</v>
      </c>
      <c r="BI1274">
        <v>1</v>
      </c>
      <c r="BJ1274">
        <v>0.2</v>
      </c>
      <c r="BK1274">
        <v>1</v>
      </c>
      <c r="BL1274">
        <v>69.98</v>
      </c>
      <c r="BM1274">
        <v>10.5</v>
      </c>
      <c r="BN1274">
        <v>80.48</v>
      </c>
      <c r="BO1274">
        <v>80.48</v>
      </c>
      <c r="BQ1274" t="s">
        <v>710</v>
      </c>
      <c r="BR1274" t="s">
        <v>84</v>
      </c>
      <c r="BS1274" s="3">
        <v>45791</v>
      </c>
      <c r="BT1274" s="4">
        <v>0.34444444444444444</v>
      </c>
      <c r="BU1274" t="s">
        <v>1883</v>
      </c>
      <c r="BV1274" t="s">
        <v>86</v>
      </c>
      <c r="BY1274">
        <v>1200</v>
      </c>
      <c r="CA1274" t="s">
        <v>712</v>
      </c>
      <c r="CC1274" t="s">
        <v>131</v>
      </c>
      <c r="CD1274">
        <v>7530</v>
      </c>
      <c r="CE1274" t="s">
        <v>88</v>
      </c>
      <c r="CF1274" s="3">
        <v>45792</v>
      </c>
      <c r="CI1274">
        <v>1</v>
      </c>
      <c r="CJ1274">
        <v>1</v>
      </c>
      <c r="CK1274">
        <v>21</v>
      </c>
      <c r="CL1274" t="s">
        <v>89</v>
      </c>
    </row>
    <row r="1275" spans="1:90" x14ac:dyDescent="0.3">
      <c r="A1275" t="s">
        <v>72</v>
      </c>
      <c r="B1275" t="s">
        <v>73</v>
      </c>
      <c r="C1275" t="s">
        <v>74</v>
      </c>
      <c r="E1275" t="str">
        <f>"080065356482"</f>
        <v>080065356482</v>
      </c>
      <c r="F1275" s="3">
        <v>45790</v>
      </c>
      <c r="G1275">
        <v>202602</v>
      </c>
      <c r="H1275" t="s">
        <v>75</v>
      </c>
      <c r="I1275" t="s">
        <v>76</v>
      </c>
      <c r="J1275" t="s">
        <v>77</v>
      </c>
      <c r="K1275" t="s">
        <v>78</v>
      </c>
      <c r="L1275" t="s">
        <v>463</v>
      </c>
      <c r="M1275" t="s">
        <v>464</v>
      </c>
      <c r="N1275" t="s">
        <v>744</v>
      </c>
      <c r="O1275" t="s">
        <v>82</v>
      </c>
      <c r="P1275" t="str">
        <f>"4170038240                    "</f>
        <v xml:space="preserve">4170038240                    </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0</v>
      </c>
      <c r="AL1275">
        <v>0</v>
      </c>
      <c r="AM1275">
        <v>0</v>
      </c>
      <c r="AN1275">
        <v>0</v>
      </c>
      <c r="AO1275">
        <v>0</v>
      </c>
      <c r="AP1275">
        <v>0</v>
      </c>
      <c r="AQ1275">
        <v>21.38</v>
      </c>
      <c r="AR1275">
        <v>0</v>
      </c>
      <c r="AS1275">
        <v>0</v>
      </c>
      <c r="AT1275">
        <v>0</v>
      </c>
      <c r="AU1275">
        <v>0</v>
      </c>
      <c r="AV1275">
        <v>0</v>
      </c>
      <c r="AW1275">
        <v>0</v>
      </c>
      <c r="AX1275">
        <v>0</v>
      </c>
      <c r="AY1275">
        <v>0</v>
      </c>
      <c r="AZ1275">
        <v>0</v>
      </c>
      <c r="BA1275">
        <v>0</v>
      </c>
      <c r="BB1275">
        <v>0</v>
      </c>
      <c r="BC1275">
        <v>0</v>
      </c>
      <c r="BD1275">
        <v>0</v>
      </c>
      <c r="BE1275">
        <v>0</v>
      </c>
      <c r="BF1275">
        <v>0</v>
      </c>
      <c r="BG1275">
        <v>0</v>
      </c>
      <c r="BH1275">
        <v>1</v>
      </c>
      <c r="BI1275">
        <v>1</v>
      </c>
      <c r="BJ1275">
        <v>1.1000000000000001</v>
      </c>
      <c r="BK1275">
        <v>1.5</v>
      </c>
      <c r="BL1275">
        <v>69.98</v>
      </c>
      <c r="BM1275">
        <v>10.5</v>
      </c>
      <c r="BN1275">
        <v>80.48</v>
      </c>
      <c r="BO1275">
        <v>80.48</v>
      </c>
      <c r="BQ1275" t="s">
        <v>745</v>
      </c>
      <c r="BR1275" t="s">
        <v>84</v>
      </c>
      <c r="BS1275" s="3">
        <v>45791</v>
      </c>
      <c r="BT1275" s="4">
        <v>0.64583333333333337</v>
      </c>
      <c r="BU1275" t="s">
        <v>1775</v>
      </c>
      <c r="BV1275" t="s">
        <v>89</v>
      </c>
      <c r="BY1275">
        <v>5320</v>
      </c>
      <c r="CA1275" t="s">
        <v>1509</v>
      </c>
      <c r="CC1275" t="s">
        <v>464</v>
      </c>
      <c r="CD1275">
        <v>5201</v>
      </c>
      <c r="CE1275" t="s">
        <v>116</v>
      </c>
      <c r="CF1275" s="3">
        <v>45792</v>
      </c>
      <c r="CI1275">
        <v>1</v>
      </c>
      <c r="CJ1275">
        <v>1</v>
      </c>
      <c r="CK1275">
        <v>21</v>
      </c>
      <c r="CL1275" t="s">
        <v>89</v>
      </c>
    </row>
    <row r="1276" spans="1:90" x14ac:dyDescent="0.3">
      <c r="A1276" t="s">
        <v>72</v>
      </c>
      <c r="B1276" t="s">
        <v>73</v>
      </c>
      <c r="C1276" t="s">
        <v>74</v>
      </c>
      <c r="E1276" t="str">
        <f>"080065356525"</f>
        <v>080065356525</v>
      </c>
      <c r="F1276" s="3">
        <v>45790</v>
      </c>
      <c r="G1276">
        <v>202602</v>
      </c>
      <c r="H1276" t="s">
        <v>75</v>
      </c>
      <c r="I1276" t="s">
        <v>76</v>
      </c>
      <c r="J1276" t="s">
        <v>77</v>
      </c>
      <c r="K1276" t="s">
        <v>78</v>
      </c>
      <c r="L1276" t="s">
        <v>672</v>
      </c>
      <c r="M1276" t="s">
        <v>673</v>
      </c>
      <c r="N1276" t="s">
        <v>674</v>
      </c>
      <c r="O1276" t="s">
        <v>82</v>
      </c>
      <c r="P1276" t="str">
        <f>"4170038261                    "</f>
        <v xml:space="preserve">4170038261                    </v>
      </c>
      <c r="Q1276">
        <v>0</v>
      </c>
      <c r="R1276">
        <v>0</v>
      </c>
      <c r="S1276">
        <v>0</v>
      </c>
      <c r="T1276">
        <v>0</v>
      </c>
      <c r="U1276">
        <v>0</v>
      </c>
      <c r="V1276">
        <v>0</v>
      </c>
      <c r="W1276">
        <v>0</v>
      </c>
      <c r="X1276">
        <v>0</v>
      </c>
      <c r="Y1276">
        <v>0</v>
      </c>
      <c r="Z1276">
        <v>0</v>
      </c>
      <c r="AA1276">
        <v>0</v>
      </c>
      <c r="AB1276">
        <v>0</v>
      </c>
      <c r="AC1276">
        <v>0</v>
      </c>
      <c r="AD1276">
        <v>0</v>
      </c>
      <c r="AE1276">
        <v>0</v>
      </c>
      <c r="AF1276">
        <v>0</v>
      </c>
      <c r="AG1276">
        <v>0</v>
      </c>
      <c r="AH1276">
        <v>0</v>
      </c>
      <c r="AI1276">
        <v>0</v>
      </c>
      <c r="AJ1276">
        <v>0</v>
      </c>
      <c r="AK1276">
        <v>0</v>
      </c>
      <c r="AL1276">
        <v>0</v>
      </c>
      <c r="AM1276">
        <v>0</v>
      </c>
      <c r="AN1276">
        <v>0</v>
      </c>
      <c r="AO1276">
        <v>0</v>
      </c>
      <c r="AP1276">
        <v>0</v>
      </c>
      <c r="AQ1276">
        <v>60.14</v>
      </c>
      <c r="AR1276">
        <v>0</v>
      </c>
      <c r="AS1276">
        <v>0</v>
      </c>
      <c r="AT1276">
        <v>0</v>
      </c>
      <c r="AU1276">
        <v>0</v>
      </c>
      <c r="AV1276">
        <v>0</v>
      </c>
      <c r="AW1276">
        <v>0</v>
      </c>
      <c r="AX1276">
        <v>0</v>
      </c>
      <c r="AY1276">
        <v>0</v>
      </c>
      <c r="AZ1276">
        <v>0</v>
      </c>
      <c r="BA1276">
        <v>0</v>
      </c>
      <c r="BB1276">
        <v>0</v>
      </c>
      <c r="BC1276">
        <v>0</v>
      </c>
      <c r="BD1276">
        <v>0</v>
      </c>
      <c r="BE1276">
        <v>0</v>
      </c>
      <c r="BF1276">
        <v>0</v>
      </c>
      <c r="BG1276">
        <v>0</v>
      </c>
      <c r="BH1276">
        <v>1</v>
      </c>
      <c r="BI1276">
        <v>3</v>
      </c>
      <c r="BJ1276">
        <v>1.1000000000000001</v>
      </c>
      <c r="BK1276">
        <v>3</v>
      </c>
      <c r="BL1276">
        <v>196.82</v>
      </c>
      <c r="BM1276">
        <v>29.52</v>
      </c>
      <c r="BN1276">
        <v>226.34</v>
      </c>
      <c r="BO1276">
        <v>226.34</v>
      </c>
      <c r="BQ1276" t="s">
        <v>675</v>
      </c>
      <c r="BR1276" t="s">
        <v>84</v>
      </c>
      <c r="BS1276" s="3">
        <v>45791</v>
      </c>
      <c r="BT1276" s="4">
        <v>0.41458333333333336</v>
      </c>
      <c r="BU1276" t="s">
        <v>1059</v>
      </c>
      <c r="BV1276" t="s">
        <v>86</v>
      </c>
      <c r="BY1276">
        <v>5320</v>
      </c>
      <c r="CA1276" t="s">
        <v>1179</v>
      </c>
      <c r="CC1276" t="s">
        <v>673</v>
      </c>
      <c r="CD1276">
        <v>2531</v>
      </c>
      <c r="CE1276" t="s">
        <v>116</v>
      </c>
      <c r="CF1276" s="3">
        <v>45792</v>
      </c>
      <c r="CI1276">
        <v>1</v>
      </c>
      <c r="CJ1276">
        <v>1</v>
      </c>
      <c r="CK1276">
        <v>23</v>
      </c>
      <c r="CL1276" t="s">
        <v>89</v>
      </c>
    </row>
    <row r="1277" spans="1:90" x14ac:dyDescent="0.3">
      <c r="A1277" t="s">
        <v>72</v>
      </c>
      <c r="B1277" t="s">
        <v>73</v>
      </c>
      <c r="C1277" t="s">
        <v>74</v>
      </c>
      <c r="E1277" t="str">
        <f>"080065356531"</f>
        <v>080065356531</v>
      </c>
      <c r="F1277" s="3">
        <v>45790</v>
      </c>
      <c r="G1277">
        <v>202602</v>
      </c>
      <c r="H1277" t="s">
        <v>75</v>
      </c>
      <c r="I1277" t="s">
        <v>76</v>
      </c>
      <c r="J1277" t="s">
        <v>77</v>
      </c>
      <c r="K1277" t="s">
        <v>78</v>
      </c>
      <c r="L1277" t="s">
        <v>130</v>
      </c>
      <c r="M1277" t="s">
        <v>131</v>
      </c>
      <c r="N1277" t="s">
        <v>1066</v>
      </c>
      <c r="O1277" t="s">
        <v>82</v>
      </c>
      <c r="P1277" t="str">
        <f>"4170038197                    "</f>
        <v xml:space="preserve">4170038197                    </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0</v>
      </c>
      <c r="AL1277">
        <v>0</v>
      </c>
      <c r="AM1277">
        <v>0</v>
      </c>
      <c r="AN1277">
        <v>0</v>
      </c>
      <c r="AO1277">
        <v>0</v>
      </c>
      <c r="AP1277">
        <v>0</v>
      </c>
      <c r="AQ1277">
        <v>21.38</v>
      </c>
      <c r="AR1277">
        <v>0</v>
      </c>
      <c r="AS1277">
        <v>0</v>
      </c>
      <c r="AT1277">
        <v>0</v>
      </c>
      <c r="AU1277">
        <v>0</v>
      </c>
      <c r="AV1277">
        <v>0</v>
      </c>
      <c r="AW1277">
        <v>0</v>
      </c>
      <c r="AX1277">
        <v>0</v>
      </c>
      <c r="AY1277">
        <v>0</v>
      </c>
      <c r="AZ1277">
        <v>0</v>
      </c>
      <c r="BA1277">
        <v>0</v>
      </c>
      <c r="BB1277">
        <v>0</v>
      </c>
      <c r="BC1277">
        <v>0</v>
      </c>
      <c r="BD1277">
        <v>0</v>
      </c>
      <c r="BE1277">
        <v>0</v>
      </c>
      <c r="BF1277">
        <v>0</v>
      </c>
      <c r="BG1277">
        <v>0</v>
      </c>
      <c r="BH1277">
        <v>1</v>
      </c>
      <c r="BI1277">
        <v>1</v>
      </c>
      <c r="BJ1277">
        <v>0.2</v>
      </c>
      <c r="BK1277">
        <v>1</v>
      </c>
      <c r="BL1277">
        <v>69.98</v>
      </c>
      <c r="BM1277">
        <v>10.5</v>
      </c>
      <c r="BN1277">
        <v>80.48</v>
      </c>
      <c r="BO1277">
        <v>80.48</v>
      </c>
      <c r="BQ1277" t="s">
        <v>1067</v>
      </c>
      <c r="BR1277" t="s">
        <v>84</v>
      </c>
      <c r="BS1277" s="3">
        <v>45791</v>
      </c>
      <c r="BT1277" s="4">
        <v>0.39166666666666666</v>
      </c>
      <c r="BU1277" t="s">
        <v>1068</v>
      </c>
      <c r="BV1277" t="s">
        <v>86</v>
      </c>
      <c r="BY1277">
        <v>1200</v>
      </c>
      <c r="CA1277" t="s">
        <v>712</v>
      </c>
      <c r="CC1277" t="s">
        <v>131</v>
      </c>
      <c r="CD1277">
        <v>7561</v>
      </c>
      <c r="CE1277" t="s">
        <v>88</v>
      </c>
      <c r="CF1277" s="3">
        <v>45792</v>
      </c>
      <c r="CI1277">
        <v>1</v>
      </c>
      <c r="CJ1277">
        <v>1</v>
      </c>
      <c r="CK1277">
        <v>21</v>
      </c>
      <c r="CL1277" t="s">
        <v>89</v>
      </c>
    </row>
    <row r="1278" spans="1:90" x14ac:dyDescent="0.3">
      <c r="A1278" t="s">
        <v>72</v>
      </c>
      <c r="B1278" t="s">
        <v>73</v>
      </c>
      <c r="C1278" t="s">
        <v>74</v>
      </c>
      <c r="E1278" t="str">
        <f>"080065356563"</f>
        <v>080065356563</v>
      </c>
      <c r="F1278" s="3">
        <v>45790</v>
      </c>
      <c r="G1278">
        <v>202602</v>
      </c>
      <c r="H1278" t="s">
        <v>75</v>
      </c>
      <c r="I1278" t="s">
        <v>76</v>
      </c>
      <c r="J1278" t="s">
        <v>77</v>
      </c>
      <c r="K1278" t="s">
        <v>78</v>
      </c>
      <c r="L1278" t="s">
        <v>75</v>
      </c>
      <c r="M1278" t="s">
        <v>76</v>
      </c>
      <c r="N1278" t="s">
        <v>1955</v>
      </c>
      <c r="O1278" t="s">
        <v>82</v>
      </c>
      <c r="P1278" t="str">
        <f>"4170038250                    "</f>
        <v xml:space="preserve">4170038250                    </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0</v>
      </c>
      <c r="AL1278">
        <v>0</v>
      </c>
      <c r="AM1278">
        <v>0</v>
      </c>
      <c r="AN1278">
        <v>0</v>
      </c>
      <c r="AO1278">
        <v>0</v>
      </c>
      <c r="AP1278">
        <v>0</v>
      </c>
      <c r="AQ1278">
        <v>16.7</v>
      </c>
      <c r="AR1278">
        <v>0</v>
      </c>
      <c r="AS1278">
        <v>0</v>
      </c>
      <c r="AT1278">
        <v>0</v>
      </c>
      <c r="AU1278">
        <v>0</v>
      </c>
      <c r="AV1278">
        <v>0</v>
      </c>
      <c r="AW1278">
        <v>0</v>
      </c>
      <c r="AX1278">
        <v>0</v>
      </c>
      <c r="AY1278">
        <v>0</v>
      </c>
      <c r="AZ1278">
        <v>0</v>
      </c>
      <c r="BA1278">
        <v>0</v>
      </c>
      <c r="BB1278">
        <v>0</v>
      </c>
      <c r="BC1278">
        <v>0</v>
      </c>
      <c r="BD1278">
        <v>0</v>
      </c>
      <c r="BE1278">
        <v>0</v>
      </c>
      <c r="BF1278">
        <v>0</v>
      </c>
      <c r="BG1278">
        <v>0</v>
      </c>
      <c r="BH1278">
        <v>1</v>
      </c>
      <c r="BI1278">
        <v>1</v>
      </c>
      <c r="BJ1278">
        <v>0.2</v>
      </c>
      <c r="BK1278">
        <v>1</v>
      </c>
      <c r="BL1278">
        <v>54.66</v>
      </c>
      <c r="BM1278">
        <v>8.1999999999999993</v>
      </c>
      <c r="BN1278">
        <v>62.86</v>
      </c>
      <c r="BO1278">
        <v>62.86</v>
      </c>
      <c r="BQ1278" t="s">
        <v>1956</v>
      </c>
      <c r="BR1278" t="s">
        <v>84</v>
      </c>
      <c r="BS1278" s="3">
        <v>45791</v>
      </c>
      <c r="BT1278" s="4">
        <v>0.40902777777777777</v>
      </c>
      <c r="BU1278" t="s">
        <v>1957</v>
      </c>
      <c r="BV1278" t="s">
        <v>86</v>
      </c>
      <c r="BY1278">
        <v>1200</v>
      </c>
      <c r="CA1278" t="s">
        <v>1958</v>
      </c>
      <c r="CC1278" t="s">
        <v>76</v>
      </c>
      <c r="CD1278">
        <v>1665</v>
      </c>
      <c r="CE1278" t="s">
        <v>88</v>
      </c>
      <c r="CF1278" s="3">
        <v>45791</v>
      </c>
      <c r="CI1278">
        <v>1</v>
      </c>
      <c r="CJ1278">
        <v>1</v>
      </c>
      <c r="CK1278">
        <v>22</v>
      </c>
      <c r="CL1278" t="s">
        <v>89</v>
      </c>
    </row>
    <row r="1279" spans="1:90" x14ac:dyDescent="0.3">
      <c r="A1279" t="s">
        <v>72</v>
      </c>
      <c r="B1279" t="s">
        <v>73</v>
      </c>
      <c r="C1279" t="s">
        <v>74</v>
      </c>
      <c r="E1279" t="str">
        <f>"080065356571"</f>
        <v>080065356571</v>
      </c>
      <c r="F1279" s="3">
        <v>45790</v>
      </c>
      <c r="G1279">
        <v>202602</v>
      </c>
      <c r="H1279" t="s">
        <v>75</v>
      </c>
      <c r="I1279" t="s">
        <v>76</v>
      </c>
      <c r="J1279" t="s">
        <v>77</v>
      </c>
      <c r="K1279" t="s">
        <v>78</v>
      </c>
      <c r="L1279" t="s">
        <v>136</v>
      </c>
      <c r="M1279" t="s">
        <v>137</v>
      </c>
      <c r="N1279" t="s">
        <v>925</v>
      </c>
      <c r="O1279" t="s">
        <v>300</v>
      </c>
      <c r="P1279" t="str">
        <f>"4170038175                    "</f>
        <v xml:space="preserve">4170038175                    </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c r="AJ1279">
        <v>0</v>
      </c>
      <c r="AK1279">
        <v>0</v>
      </c>
      <c r="AL1279">
        <v>0</v>
      </c>
      <c r="AM1279">
        <v>0</v>
      </c>
      <c r="AN1279">
        <v>0</v>
      </c>
      <c r="AO1279">
        <v>0</v>
      </c>
      <c r="AP1279">
        <v>0</v>
      </c>
      <c r="AQ1279">
        <v>41.35</v>
      </c>
      <c r="AR1279">
        <v>0</v>
      </c>
      <c r="AS1279">
        <v>0</v>
      </c>
      <c r="AT1279">
        <v>0</v>
      </c>
      <c r="AU1279">
        <v>0</v>
      </c>
      <c r="AV1279">
        <v>0</v>
      </c>
      <c r="AW1279">
        <v>0</v>
      </c>
      <c r="AX1279">
        <v>0</v>
      </c>
      <c r="AY1279">
        <v>0</v>
      </c>
      <c r="AZ1279">
        <v>0</v>
      </c>
      <c r="BA1279">
        <v>0</v>
      </c>
      <c r="BB1279">
        <v>0</v>
      </c>
      <c r="BC1279">
        <v>0</v>
      </c>
      <c r="BD1279">
        <v>0</v>
      </c>
      <c r="BE1279">
        <v>0</v>
      </c>
      <c r="BF1279">
        <v>0</v>
      </c>
      <c r="BG1279">
        <v>0</v>
      </c>
      <c r="BH1279">
        <v>1</v>
      </c>
      <c r="BI1279">
        <v>6</v>
      </c>
      <c r="BJ1279">
        <v>8.9</v>
      </c>
      <c r="BK1279">
        <v>9</v>
      </c>
      <c r="BL1279">
        <v>140.9</v>
      </c>
      <c r="BM1279">
        <v>21.14</v>
      </c>
      <c r="BN1279">
        <v>162.04</v>
      </c>
      <c r="BO1279">
        <v>162.04</v>
      </c>
      <c r="BQ1279" t="s">
        <v>926</v>
      </c>
      <c r="BR1279" t="s">
        <v>84</v>
      </c>
      <c r="BS1279" s="3">
        <v>45791</v>
      </c>
      <c r="BT1279" s="4">
        <v>0.47916666666666669</v>
      </c>
      <c r="BU1279" t="s">
        <v>1959</v>
      </c>
      <c r="BV1279" t="s">
        <v>86</v>
      </c>
      <c r="BY1279">
        <v>44640</v>
      </c>
      <c r="CA1279" t="s">
        <v>141</v>
      </c>
      <c r="CC1279" t="s">
        <v>137</v>
      </c>
      <c r="CD1279" s="5" t="s">
        <v>142</v>
      </c>
      <c r="CE1279" t="s">
        <v>96</v>
      </c>
      <c r="CF1279" s="3">
        <v>45791</v>
      </c>
      <c r="CI1279">
        <v>1</v>
      </c>
      <c r="CJ1279">
        <v>1</v>
      </c>
      <c r="CK1279">
        <v>41</v>
      </c>
      <c r="CL1279" t="s">
        <v>89</v>
      </c>
    </row>
    <row r="1280" spans="1:90" x14ac:dyDescent="0.3">
      <c r="A1280" t="s">
        <v>72</v>
      </c>
      <c r="B1280" t="s">
        <v>73</v>
      </c>
      <c r="C1280" t="s">
        <v>74</v>
      </c>
      <c r="E1280" t="str">
        <f>"080065356592"</f>
        <v>080065356592</v>
      </c>
      <c r="F1280" s="3">
        <v>45790</v>
      </c>
      <c r="G1280">
        <v>202602</v>
      </c>
      <c r="H1280" t="s">
        <v>75</v>
      </c>
      <c r="I1280" t="s">
        <v>76</v>
      </c>
      <c r="J1280" t="s">
        <v>77</v>
      </c>
      <c r="K1280" t="s">
        <v>78</v>
      </c>
      <c r="L1280" t="s">
        <v>143</v>
      </c>
      <c r="M1280" t="s">
        <v>144</v>
      </c>
      <c r="N1280" t="s">
        <v>762</v>
      </c>
      <c r="O1280" t="s">
        <v>82</v>
      </c>
      <c r="P1280" t="str">
        <f>"4170038246                    "</f>
        <v xml:space="preserve">4170038246                    </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0</v>
      </c>
      <c r="AL1280">
        <v>0</v>
      </c>
      <c r="AM1280">
        <v>0</v>
      </c>
      <c r="AN1280">
        <v>0</v>
      </c>
      <c r="AO1280">
        <v>0</v>
      </c>
      <c r="AP1280">
        <v>0</v>
      </c>
      <c r="AQ1280">
        <v>16.7</v>
      </c>
      <c r="AR1280">
        <v>0</v>
      </c>
      <c r="AS1280">
        <v>0</v>
      </c>
      <c r="AT1280">
        <v>0</v>
      </c>
      <c r="AU1280">
        <v>0</v>
      </c>
      <c r="AV1280">
        <v>0</v>
      </c>
      <c r="AW1280">
        <v>0</v>
      </c>
      <c r="AX1280">
        <v>0</v>
      </c>
      <c r="AY1280">
        <v>0</v>
      </c>
      <c r="AZ1280">
        <v>0</v>
      </c>
      <c r="BA1280">
        <v>0</v>
      </c>
      <c r="BB1280">
        <v>0</v>
      </c>
      <c r="BC1280">
        <v>0</v>
      </c>
      <c r="BD1280">
        <v>0</v>
      </c>
      <c r="BE1280">
        <v>0</v>
      </c>
      <c r="BF1280">
        <v>0</v>
      </c>
      <c r="BG1280">
        <v>0</v>
      </c>
      <c r="BH1280">
        <v>1</v>
      </c>
      <c r="BI1280">
        <v>1</v>
      </c>
      <c r="BJ1280">
        <v>0.2</v>
      </c>
      <c r="BK1280">
        <v>1</v>
      </c>
      <c r="BL1280">
        <v>54.66</v>
      </c>
      <c r="BM1280">
        <v>8.1999999999999993</v>
      </c>
      <c r="BN1280">
        <v>62.86</v>
      </c>
      <c r="BO1280">
        <v>62.86</v>
      </c>
      <c r="BQ1280" t="s">
        <v>763</v>
      </c>
      <c r="BR1280" t="s">
        <v>84</v>
      </c>
      <c r="BS1280" s="3">
        <v>45791</v>
      </c>
      <c r="BT1280" s="4">
        <v>0.55555555555555558</v>
      </c>
      <c r="BU1280" t="s">
        <v>1800</v>
      </c>
      <c r="BV1280" t="s">
        <v>89</v>
      </c>
      <c r="BY1280">
        <v>1200</v>
      </c>
      <c r="CA1280" t="s">
        <v>1801</v>
      </c>
      <c r="CC1280" t="s">
        <v>144</v>
      </c>
      <c r="CD1280">
        <v>1428</v>
      </c>
      <c r="CE1280" t="s">
        <v>88</v>
      </c>
      <c r="CF1280" s="3">
        <v>45791</v>
      </c>
      <c r="CI1280">
        <v>1</v>
      </c>
      <c r="CJ1280">
        <v>1</v>
      </c>
      <c r="CK1280">
        <v>22</v>
      </c>
      <c r="CL1280" t="s">
        <v>89</v>
      </c>
    </row>
    <row r="1281" spans="1:90" x14ac:dyDescent="0.3">
      <c r="A1281" t="s">
        <v>72</v>
      </c>
      <c r="B1281" t="s">
        <v>73</v>
      </c>
      <c r="C1281" t="s">
        <v>74</v>
      </c>
      <c r="E1281" t="str">
        <f>"080065356597"</f>
        <v>080065356597</v>
      </c>
      <c r="F1281" s="3">
        <v>45790</v>
      </c>
      <c r="G1281">
        <v>202602</v>
      </c>
      <c r="H1281" t="s">
        <v>75</v>
      </c>
      <c r="I1281" t="s">
        <v>76</v>
      </c>
      <c r="J1281" t="s">
        <v>77</v>
      </c>
      <c r="K1281" t="s">
        <v>78</v>
      </c>
      <c r="L1281" t="s">
        <v>97</v>
      </c>
      <c r="M1281" t="s">
        <v>98</v>
      </c>
      <c r="N1281" t="s">
        <v>99</v>
      </c>
      <c r="O1281" t="s">
        <v>82</v>
      </c>
      <c r="P1281" t="str">
        <f>"4170038139                    "</f>
        <v xml:space="preserve">4170038139                    </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0</v>
      </c>
      <c r="AL1281">
        <v>0</v>
      </c>
      <c r="AM1281">
        <v>0</v>
      </c>
      <c r="AN1281">
        <v>0</v>
      </c>
      <c r="AO1281">
        <v>0</v>
      </c>
      <c r="AP1281">
        <v>0</v>
      </c>
      <c r="AQ1281">
        <v>16.7</v>
      </c>
      <c r="AR1281">
        <v>0</v>
      </c>
      <c r="AS1281">
        <v>0</v>
      </c>
      <c r="AT1281">
        <v>0</v>
      </c>
      <c r="AU1281">
        <v>0</v>
      </c>
      <c r="AV1281">
        <v>0</v>
      </c>
      <c r="AW1281">
        <v>0</v>
      </c>
      <c r="AX1281">
        <v>0</v>
      </c>
      <c r="AY1281">
        <v>0</v>
      </c>
      <c r="AZ1281">
        <v>0</v>
      </c>
      <c r="BA1281">
        <v>0</v>
      </c>
      <c r="BB1281">
        <v>0</v>
      </c>
      <c r="BC1281">
        <v>0</v>
      </c>
      <c r="BD1281">
        <v>0</v>
      </c>
      <c r="BE1281">
        <v>0</v>
      </c>
      <c r="BF1281">
        <v>0</v>
      </c>
      <c r="BG1281">
        <v>0</v>
      </c>
      <c r="BH1281">
        <v>1</v>
      </c>
      <c r="BI1281">
        <v>1</v>
      </c>
      <c r="BJ1281">
        <v>1.1000000000000001</v>
      </c>
      <c r="BK1281">
        <v>2</v>
      </c>
      <c r="BL1281">
        <v>54.66</v>
      </c>
      <c r="BM1281">
        <v>8.1999999999999993</v>
      </c>
      <c r="BN1281">
        <v>62.86</v>
      </c>
      <c r="BO1281">
        <v>62.86</v>
      </c>
      <c r="BQ1281" t="s">
        <v>100</v>
      </c>
      <c r="BR1281" t="s">
        <v>84</v>
      </c>
      <c r="BS1281" s="3">
        <v>45791</v>
      </c>
      <c r="BT1281" s="4">
        <v>0.34375</v>
      </c>
      <c r="BU1281" t="s">
        <v>286</v>
      </c>
      <c r="BV1281" t="s">
        <v>86</v>
      </c>
      <c r="BY1281">
        <v>5320</v>
      </c>
      <c r="CA1281" t="s">
        <v>279</v>
      </c>
      <c r="CC1281" t="s">
        <v>98</v>
      </c>
      <c r="CD1281">
        <v>1459</v>
      </c>
      <c r="CE1281" t="s">
        <v>116</v>
      </c>
      <c r="CF1281" s="3">
        <v>45792</v>
      </c>
      <c r="CI1281">
        <v>1</v>
      </c>
      <c r="CJ1281">
        <v>1</v>
      </c>
      <c r="CK1281">
        <v>22</v>
      </c>
      <c r="CL1281" t="s">
        <v>89</v>
      </c>
    </row>
    <row r="1282" spans="1:90" x14ac:dyDescent="0.3">
      <c r="A1282" t="s">
        <v>72</v>
      </c>
      <c r="B1282" t="s">
        <v>73</v>
      </c>
      <c r="C1282" t="s">
        <v>74</v>
      </c>
      <c r="E1282" t="str">
        <f>"080065356619"</f>
        <v>080065356619</v>
      </c>
      <c r="F1282" s="3">
        <v>45790</v>
      </c>
      <c r="G1282">
        <v>202602</v>
      </c>
      <c r="H1282" t="s">
        <v>75</v>
      </c>
      <c r="I1282" t="s">
        <v>76</v>
      </c>
      <c r="J1282" t="s">
        <v>77</v>
      </c>
      <c r="K1282" t="s">
        <v>78</v>
      </c>
      <c r="L1282" t="s">
        <v>672</v>
      </c>
      <c r="M1282" t="s">
        <v>673</v>
      </c>
      <c r="N1282" t="s">
        <v>674</v>
      </c>
      <c r="O1282" t="s">
        <v>82</v>
      </c>
      <c r="P1282" t="str">
        <f>"4170038253                    "</f>
        <v xml:space="preserve">4170038253                    </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c r="AJ1282">
        <v>0</v>
      </c>
      <c r="AK1282">
        <v>0</v>
      </c>
      <c r="AL1282">
        <v>0</v>
      </c>
      <c r="AM1282">
        <v>0</v>
      </c>
      <c r="AN1282">
        <v>0</v>
      </c>
      <c r="AO1282">
        <v>0</v>
      </c>
      <c r="AP1282">
        <v>0</v>
      </c>
      <c r="AQ1282">
        <v>41.43</v>
      </c>
      <c r="AR1282">
        <v>0</v>
      </c>
      <c r="AS1282">
        <v>0</v>
      </c>
      <c r="AT1282">
        <v>0</v>
      </c>
      <c r="AU1282">
        <v>0</v>
      </c>
      <c r="AV1282">
        <v>0</v>
      </c>
      <c r="AW1282">
        <v>0</v>
      </c>
      <c r="AX1282">
        <v>0</v>
      </c>
      <c r="AY1282">
        <v>0</v>
      </c>
      <c r="AZ1282">
        <v>0</v>
      </c>
      <c r="BA1282">
        <v>0</v>
      </c>
      <c r="BB1282">
        <v>0</v>
      </c>
      <c r="BC1282">
        <v>0</v>
      </c>
      <c r="BD1282">
        <v>0</v>
      </c>
      <c r="BE1282">
        <v>0</v>
      </c>
      <c r="BF1282">
        <v>0</v>
      </c>
      <c r="BG1282">
        <v>0</v>
      </c>
      <c r="BH1282">
        <v>1</v>
      </c>
      <c r="BI1282">
        <v>1</v>
      </c>
      <c r="BJ1282">
        <v>0.2</v>
      </c>
      <c r="BK1282">
        <v>1</v>
      </c>
      <c r="BL1282">
        <v>135.59</v>
      </c>
      <c r="BM1282">
        <v>20.34</v>
      </c>
      <c r="BN1282">
        <v>155.93</v>
      </c>
      <c r="BO1282">
        <v>155.93</v>
      </c>
      <c r="BQ1282" t="s">
        <v>675</v>
      </c>
      <c r="BR1282" t="s">
        <v>84</v>
      </c>
      <c r="BS1282" s="3">
        <v>45791</v>
      </c>
      <c r="BT1282" s="4">
        <v>0.41458333333333336</v>
      </c>
      <c r="BU1282" t="s">
        <v>1059</v>
      </c>
      <c r="BV1282" t="s">
        <v>86</v>
      </c>
      <c r="BY1282">
        <v>1200</v>
      </c>
      <c r="CA1282" t="s">
        <v>1179</v>
      </c>
      <c r="CC1282" t="s">
        <v>673</v>
      </c>
      <c r="CD1282">
        <v>2531</v>
      </c>
      <c r="CE1282" t="s">
        <v>88</v>
      </c>
      <c r="CF1282" s="3">
        <v>45792</v>
      </c>
      <c r="CI1282">
        <v>1</v>
      </c>
      <c r="CJ1282">
        <v>1</v>
      </c>
      <c r="CK1282">
        <v>23</v>
      </c>
      <c r="CL1282" t="s">
        <v>89</v>
      </c>
    </row>
    <row r="1283" spans="1:90" x14ac:dyDescent="0.3">
      <c r="A1283" t="s">
        <v>72</v>
      </c>
      <c r="B1283" t="s">
        <v>73</v>
      </c>
      <c r="C1283" t="s">
        <v>74</v>
      </c>
      <c r="E1283" t="str">
        <f>"080065356634"</f>
        <v>080065356634</v>
      </c>
      <c r="F1283" s="3">
        <v>45790</v>
      </c>
      <c r="G1283">
        <v>202602</v>
      </c>
      <c r="H1283" t="s">
        <v>75</v>
      </c>
      <c r="I1283" t="s">
        <v>76</v>
      </c>
      <c r="J1283" t="s">
        <v>77</v>
      </c>
      <c r="K1283" t="s">
        <v>78</v>
      </c>
      <c r="L1283" t="s">
        <v>90</v>
      </c>
      <c r="M1283" t="s">
        <v>91</v>
      </c>
      <c r="N1283" t="s">
        <v>109</v>
      </c>
      <c r="O1283" t="s">
        <v>82</v>
      </c>
      <c r="P1283" t="str">
        <f>"4170038273                    "</f>
        <v xml:space="preserve">4170038273                    </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0</v>
      </c>
      <c r="AL1283">
        <v>0</v>
      </c>
      <c r="AM1283">
        <v>0</v>
      </c>
      <c r="AN1283">
        <v>0</v>
      </c>
      <c r="AO1283">
        <v>0</v>
      </c>
      <c r="AP1283">
        <v>0</v>
      </c>
      <c r="AQ1283">
        <v>21.38</v>
      </c>
      <c r="AR1283">
        <v>0</v>
      </c>
      <c r="AS1283">
        <v>0</v>
      </c>
      <c r="AT1283">
        <v>0</v>
      </c>
      <c r="AU1283">
        <v>0</v>
      </c>
      <c r="AV1283">
        <v>0</v>
      </c>
      <c r="AW1283">
        <v>0</v>
      </c>
      <c r="AX1283">
        <v>0</v>
      </c>
      <c r="AY1283">
        <v>0</v>
      </c>
      <c r="AZ1283">
        <v>0</v>
      </c>
      <c r="BA1283">
        <v>0</v>
      </c>
      <c r="BB1283">
        <v>0</v>
      </c>
      <c r="BC1283">
        <v>0</v>
      </c>
      <c r="BD1283">
        <v>0</v>
      </c>
      <c r="BE1283">
        <v>0</v>
      </c>
      <c r="BF1283">
        <v>0</v>
      </c>
      <c r="BG1283">
        <v>0</v>
      </c>
      <c r="BH1283">
        <v>1</v>
      </c>
      <c r="BI1283">
        <v>1</v>
      </c>
      <c r="BJ1283">
        <v>1.4</v>
      </c>
      <c r="BK1283">
        <v>1.5</v>
      </c>
      <c r="BL1283">
        <v>69.98</v>
      </c>
      <c r="BM1283">
        <v>10.5</v>
      </c>
      <c r="BN1283">
        <v>80.48</v>
      </c>
      <c r="BO1283">
        <v>80.48</v>
      </c>
      <c r="BQ1283" t="s">
        <v>110</v>
      </c>
      <c r="BR1283" t="s">
        <v>84</v>
      </c>
      <c r="BS1283" s="3">
        <v>45791</v>
      </c>
      <c r="BT1283" s="4">
        <v>0.41111111111111109</v>
      </c>
      <c r="BU1283" t="s">
        <v>1960</v>
      </c>
      <c r="BV1283" t="s">
        <v>86</v>
      </c>
      <c r="BY1283">
        <v>7000</v>
      </c>
      <c r="CA1283" t="s">
        <v>95</v>
      </c>
      <c r="CC1283" t="s">
        <v>91</v>
      </c>
      <c r="CD1283">
        <v>6001</v>
      </c>
      <c r="CE1283" t="s">
        <v>96</v>
      </c>
      <c r="CF1283" s="3">
        <v>45791</v>
      </c>
      <c r="CI1283">
        <v>1</v>
      </c>
      <c r="CJ1283">
        <v>1</v>
      </c>
      <c r="CK1283">
        <v>21</v>
      </c>
      <c r="CL1283" t="s">
        <v>89</v>
      </c>
    </row>
    <row r="1284" spans="1:90" x14ac:dyDescent="0.3">
      <c r="A1284" t="s">
        <v>72</v>
      </c>
      <c r="B1284" t="s">
        <v>73</v>
      </c>
      <c r="C1284" t="s">
        <v>74</v>
      </c>
      <c r="E1284" t="str">
        <f>"080065356644"</f>
        <v>080065356644</v>
      </c>
      <c r="F1284" s="3">
        <v>45790</v>
      </c>
      <c r="G1284">
        <v>202602</v>
      </c>
      <c r="H1284" t="s">
        <v>75</v>
      </c>
      <c r="I1284" t="s">
        <v>76</v>
      </c>
      <c r="J1284" t="s">
        <v>77</v>
      </c>
      <c r="K1284" t="s">
        <v>78</v>
      </c>
      <c r="L1284" t="s">
        <v>130</v>
      </c>
      <c r="M1284" t="s">
        <v>131</v>
      </c>
      <c r="N1284" t="s">
        <v>327</v>
      </c>
      <c r="O1284" t="s">
        <v>82</v>
      </c>
      <c r="P1284" t="str">
        <f>"4170038268                    "</f>
        <v xml:space="preserve">4170038268                    </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21.38</v>
      </c>
      <c r="AR1284">
        <v>0</v>
      </c>
      <c r="AS1284">
        <v>0</v>
      </c>
      <c r="AT1284">
        <v>0</v>
      </c>
      <c r="AU1284">
        <v>0</v>
      </c>
      <c r="AV1284">
        <v>0</v>
      </c>
      <c r="AW1284">
        <v>0</v>
      </c>
      <c r="AX1284">
        <v>0</v>
      </c>
      <c r="AY1284">
        <v>0</v>
      </c>
      <c r="AZ1284">
        <v>0</v>
      </c>
      <c r="BA1284">
        <v>0</v>
      </c>
      <c r="BB1284">
        <v>0</v>
      </c>
      <c r="BC1284">
        <v>0</v>
      </c>
      <c r="BD1284">
        <v>0</v>
      </c>
      <c r="BE1284">
        <v>0</v>
      </c>
      <c r="BF1284">
        <v>0</v>
      </c>
      <c r="BG1284">
        <v>0</v>
      </c>
      <c r="BH1284">
        <v>1</v>
      </c>
      <c r="BI1284">
        <v>1</v>
      </c>
      <c r="BJ1284">
        <v>0.2</v>
      </c>
      <c r="BK1284">
        <v>1</v>
      </c>
      <c r="BL1284">
        <v>69.98</v>
      </c>
      <c r="BM1284">
        <v>10.5</v>
      </c>
      <c r="BN1284">
        <v>80.48</v>
      </c>
      <c r="BO1284">
        <v>80.48</v>
      </c>
      <c r="BQ1284" t="s">
        <v>328</v>
      </c>
      <c r="BR1284" t="s">
        <v>84</v>
      </c>
      <c r="BS1284" s="3">
        <v>45791</v>
      </c>
      <c r="BT1284" s="4">
        <v>0.37708333333333333</v>
      </c>
      <c r="BU1284" t="s">
        <v>1950</v>
      </c>
      <c r="BV1284" t="s">
        <v>86</v>
      </c>
      <c r="BY1284">
        <v>1200</v>
      </c>
      <c r="CA1284" t="s">
        <v>330</v>
      </c>
      <c r="CC1284" t="s">
        <v>131</v>
      </c>
      <c r="CD1284">
        <v>7480</v>
      </c>
      <c r="CE1284" t="s">
        <v>88</v>
      </c>
      <c r="CF1284" s="3">
        <v>45792</v>
      </c>
      <c r="CI1284">
        <v>1</v>
      </c>
      <c r="CJ1284">
        <v>1</v>
      </c>
      <c r="CK1284">
        <v>21</v>
      </c>
      <c r="CL1284" t="s">
        <v>89</v>
      </c>
    </row>
    <row r="1285" spans="1:90" x14ac:dyDescent="0.3">
      <c r="A1285" t="s">
        <v>72</v>
      </c>
      <c r="B1285" t="s">
        <v>73</v>
      </c>
      <c r="C1285" t="s">
        <v>74</v>
      </c>
      <c r="E1285" t="str">
        <f>"080065356675"</f>
        <v>080065356675</v>
      </c>
      <c r="F1285" s="3">
        <v>45790</v>
      </c>
      <c r="G1285">
        <v>202602</v>
      </c>
      <c r="H1285" t="s">
        <v>75</v>
      </c>
      <c r="I1285" t="s">
        <v>76</v>
      </c>
      <c r="J1285" t="s">
        <v>77</v>
      </c>
      <c r="K1285" t="s">
        <v>78</v>
      </c>
      <c r="L1285" t="s">
        <v>177</v>
      </c>
      <c r="M1285" t="s">
        <v>178</v>
      </c>
      <c r="N1285" t="s">
        <v>1961</v>
      </c>
      <c r="O1285" t="s">
        <v>82</v>
      </c>
      <c r="P1285" t="str">
        <f>"009943879260                  "</f>
        <v xml:space="preserve">009943879260                  </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0</v>
      </c>
      <c r="AL1285">
        <v>0</v>
      </c>
      <c r="AM1285">
        <v>0</v>
      </c>
      <c r="AN1285">
        <v>0</v>
      </c>
      <c r="AO1285">
        <v>0</v>
      </c>
      <c r="AP1285">
        <v>0</v>
      </c>
      <c r="AQ1285">
        <v>96.17</v>
      </c>
      <c r="AR1285">
        <v>0</v>
      </c>
      <c r="AS1285">
        <v>0</v>
      </c>
      <c r="AT1285">
        <v>0</v>
      </c>
      <c r="AU1285">
        <v>0</v>
      </c>
      <c r="AV1285">
        <v>0</v>
      </c>
      <c r="AW1285">
        <v>0</v>
      </c>
      <c r="AX1285">
        <v>0</v>
      </c>
      <c r="AY1285">
        <v>0</v>
      </c>
      <c r="AZ1285">
        <v>0</v>
      </c>
      <c r="BA1285">
        <v>0</v>
      </c>
      <c r="BB1285">
        <v>0</v>
      </c>
      <c r="BC1285">
        <v>0</v>
      </c>
      <c r="BD1285">
        <v>0</v>
      </c>
      <c r="BE1285">
        <v>0</v>
      </c>
      <c r="BF1285">
        <v>0</v>
      </c>
      <c r="BG1285">
        <v>0</v>
      </c>
      <c r="BH1285">
        <v>1</v>
      </c>
      <c r="BI1285">
        <v>5</v>
      </c>
      <c r="BJ1285">
        <v>8.9</v>
      </c>
      <c r="BK1285">
        <v>9</v>
      </c>
      <c r="BL1285">
        <v>314.73</v>
      </c>
      <c r="BM1285">
        <v>47.21</v>
      </c>
      <c r="BN1285">
        <v>361.94</v>
      </c>
      <c r="BO1285">
        <v>361.94</v>
      </c>
      <c r="BQ1285" t="s">
        <v>1962</v>
      </c>
      <c r="BR1285" t="s">
        <v>84</v>
      </c>
      <c r="BS1285" s="3">
        <v>45791</v>
      </c>
      <c r="BT1285" s="4">
        <v>0.40416666666666667</v>
      </c>
      <c r="BU1285" t="s">
        <v>1644</v>
      </c>
      <c r="BV1285" t="s">
        <v>86</v>
      </c>
      <c r="BY1285">
        <v>44640</v>
      </c>
      <c r="CA1285" t="s">
        <v>182</v>
      </c>
      <c r="CC1285" t="s">
        <v>178</v>
      </c>
      <c r="CD1285">
        <v>6230</v>
      </c>
      <c r="CE1285" t="s">
        <v>96</v>
      </c>
      <c r="CF1285" s="3">
        <v>45791</v>
      </c>
      <c r="CI1285">
        <v>1</v>
      </c>
      <c r="CJ1285">
        <v>1</v>
      </c>
      <c r="CK1285">
        <v>21</v>
      </c>
      <c r="CL1285" t="s">
        <v>89</v>
      </c>
    </row>
    <row r="1286" spans="1:90" x14ac:dyDescent="0.3">
      <c r="A1286" t="s">
        <v>72</v>
      </c>
      <c r="B1286" t="s">
        <v>73</v>
      </c>
      <c r="C1286" t="s">
        <v>74</v>
      </c>
      <c r="E1286" t="str">
        <f>"080065356676"</f>
        <v>080065356676</v>
      </c>
      <c r="F1286" s="3">
        <v>45790</v>
      </c>
      <c r="G1286">
        <v>202602</v>
      </c>
      <c r="H1286" t="s">
        <v>75</v>
      </c>
      <c r="I1286" t="s">
        <v>76</v>
      </c>
      <c r="J1286" t="s">
        <v>77</v>
      </c>
      <c r="K1286" t="s">
        <v>78</v>
      </c>
      <c r="L1286" t="s">
        <v>463</v>
      </c>
      <c r="M1286" t="s">
        <v>464</v>
      </c>
      <c r="N1286" t="s">
        <v>585</v>
      </c>
      <c r="O1286" t="s">
        <v>82</v>
      </c>
      <c r="P1286" t="str">
        <f>"4170038238                    "</f>
        <v xml:space="preserve">4170038238                    </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0</v>
      </c>
      <c r="AL1286">
        <v>0</v>
      </c>
      <c r="AM1286">
        <v>0</v>
      </c>
      <c r="AN1286">
        <v>0</v>
      </c>
      <c r="AO1286">
        <v>0</v>
      </c>
      <c r="AP1286">
        <v>0</v>
      </c>
      <c r="AQ1286">
        <v>21.38</v>
      </c>
      <c r="AR1286">
        <v>0</v>
      </c>
      <c r="AS1286">
        <v>0</v>
      </c>
      <c r="AT1286">
        <v>0</v>
      </c>
      <c r="AU1286">
        <v>0</v>
      </c>
      <c r="AV1286">
        <v>0</v>
      </c>
      <c r="AW1286">
        <v>0</v>
      </c>
      <c r="AX1286">
        <v>0</v>
      </c>
      <c r="AY1286">
        <v>0</v>
      </c>
      <c r="AZ1286">
        <v>0</v>
      </c>
      <c r="BA1286">
        <v>0</v>
      </c>
      <c r="BB1286">
        <v>0</v>
      </c>
      <c r="BC1286">
        <v>0</v>
      </c>
      <c r="BD1286">
        <v>0</v>
      </c>
      <c r="BE1286">
        <v>0</v>
      </c>
      <c r="BF1286">
        <v>0</v>
      </c>
      <c r="BG1286">
        <v>0</v>
      </c>
      <c r="BH1286">
        <v>1</v>
      </c>
      <c r="BI1286">
        <v>1</v>
      </c>
      <c r="BJ1286">
        <v>0.2</v>
      </c>
      <c r="BK1286">
        <v>1</v>
      </c>
      <c r="BL1286">
        <v>69.98</v>
      </c>
      <c r="BM1286">
        <v>10.5</v>
      </c>
      <c r="BN1286">
        <v>80.48</v>
      </c>
      <c r="BO1286">
        <v>80.48</v>
      </c>
      <c r="BQ1286" t="s">
        <v>586</v>
      </c>
      <c r="BR1286" t="s">
        <v>84</v>
      </c>
      <c r="BS1286" s="3">
        <v>45791</v>
      </c>
      <c r="BT1286" s="4">
        <v>0.4375</v>
      </c>
      <c r="BU1286" t="s">
        <v>1444</v>
      </c>
      <c r="BV1286" t="s">
        <v>86</v>
      </c>
      <c r="BY1286">
        <v>1200</v>
      </c>
      <c r="CA1286" t="s">
        <v>1509</v>
      </c>
      <c r="CC1286" t="s">
        <v>464</v>
      </c>
      <c r="CD1286">
        <v>5200</v>
      </c>
      <c r="CE1286" t="s">
        <v>88</v>
      </c>
      <c r="CF1286" s="3">
        <v>45792</v>
      </c>
      <c r="CI1286">
        <v>1</v>
      </c>
      <c r="CJ1286">
        <v>1</v>
      </c>
      <c r="CK1286">
        <v>21</v>
      </c>
      <c r="CL1286" t="s">
        <v>89</v>
      </c>
    </row>
    <row r="1287" spans="1:90" x14ac:dyDescent="0.3">
      <c r="A1287" t="s">
        <v>72</v>
      </c>
      <c r="B1287" t="s">
        <v>73</v>
      </c>
      <c r="C1287" t="s">
        <v>74</v>
      </c>
      <c r="E1287" t="str">
        <f>"080065356695"</f>
        <v>080065356695</v>
      </c>
      <c r="F1287" s="3">
        <v>45790</v>
      </c>
      <c r="G1287">
        <v>202602</v>
      </c>
      <c r="H1287" t="s">
        <v>75</v>
      </c>
      <c r="I1287" t="s">
        <v>76</v>
      </c>
      <c r="J1287" t="s">
        <v>77</v>
      </c>
      <c r="K1287" t="s">
        <v>78</v>
      </c>
      <c r="L1287" t="s">
        <v>75</v>
      </c>
      <c r="M1287" t="s">
        <v>76</v>
      </c>
      <c r="N1287" t="s">
        <v>1963</v>
      </c>
      <c r="O1287" t="s">
        <v>82</v>
      </c>
      <c r="P1287" t="str">
        <f>"4170038229                    "</f>
        <v xml:space="preserve">4170038229                    </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v>0</v>
      </c>
      <c r="AP1287">
        <v>0</v>
      </c>
      <c r="AQ1287">
        <v>16.7</v>
      </c>
      <c r="AR1287">
        <v>0</v>
      </c>
      <c r="AS1287">
        <v>0</v>
      </c>
      <c r="AT1287">
        <v>0</v>
      </c>
      <c r="AU1287">
        <v>0</v>
      </c>
      <c r="AV1287">
        <v>0</v>
      </c>
      <c r="AW1287">
        <v>0</v>
      </c>
      <c r="AX1287">
        <v>0</v>
      </c>
      <c r="AY1287">
        <v>0</v>
      </c>
      <c r="AZ1287">
        <v>0</v>
      </c>
      <c r="BA1287">
        <v>0</v>
      </c>
      <c r="BB1287">
        <v>0</v>
      </c>
      <c r="BC1287">
        <v>0</v>
      </c>
      <c r="BD1287">
        <v>0</v>
      </c>
      <c r="BE1287">
        <v>0</v>
      </c>
      <c r="BF1287">
        <v>0</v>
      </c>
      <c r="BG1287">
        <v>0</v>
      </c>
      <c r="BH1287">
        <v>1</v>
      </c>
      <c r="BI1287">
        <v>1</v>
      </c>
      <c r="BJ1287">
        <v>0.2</v>
      </c>
      <c r="BK1287">
        <v>1</v>
      </c>
      <c r="BL1287">
        <v>54.66</v>
      </c>
      <c r="BM1287">
        <v>8.1999999999999993</v>
      </c>
      <c r="BN1287">
        <v>62.86</v>
      </c>
      <c r="BO1287">
        <v>62.86</v>
      </c>
      <c r="BQ1287" t="s">
        <v>1964</v>
      </c>
      <c r="BR1287" t="s">
        <v>84</v>
      </c>
      <c r="BS1287" s="3">
        <v>45791</v>
      </c>
      <c r="BT1287" s="4">
        <v>0.40902777777777777</v>
      </c>
      <c r="BU1287" t="s">
        <v>1704</v>
      </c>
      <c r="BV1287" t="s">
        <v>86</v>
      </c>
      <c r="BY1287">
        <v>1200</v>
      </c>
      <c r="CA1287" t="s">
        <v>115</v>
      </c>
      <c r="CC1287" t="s">
        <v>76</v>
      </c>
      <c r="CD1287">
        <v>1625</v>
      </c>
      <c r="CE1287" t="s">
        <v>88</v>
      </c>
      <c r="CF1287" s="3">
        <v>45792</v>
      </c>
      <c r="CI1287">
        <v>1</v>
      </c>
      <c r="CJ1287">
        <v>1</v>
      </c>
      <c r="CK1287">
        <v>22</v>
      </c>
      <c r="CL1287" t="s">
        <v>89</v>
      </c>
    </row>
    <row r="1288" spans="1:90" x14ac:dyDescent="0.3">
      <c r="A1288" t="s">
        <v>72</v>
      </c>
      <c r="B1288" t="s">
        <v>73</v>
      </c>
      <c r="C1288" t="s">
        <v>74</v>
      </c>
      <c r="E1288" t="str">
        <f>"080065356712"</f>
        <v>080065356712</v>
      </c>
      <c r="F1288" s="3">
        <v>45790</v>
      </c>
      <c r="G1288">
        <v>202602</v>
      </c>
      <c r="H1288" t="s">
        <v>75</v>
      </c>
      <c r="I1288" t="s">
        <v>76</v>
      </c>
      <c r="J1288" t="s">
        <v>77</v>
      </c>
      <c r="K1288" t="s">
        <v>78</v>
      </c>
      <c r="L1288" t="s">
        <v>360</v>
      </c>
      <c r="M1288" t="s">
        <v>361</v>
      </c>
      <c r="N1288" t="s">
        <v>362</v>
      </c>
      <c r="O1288" t="s">
        <v>82</v>
      </c>
      <c r="P1288" t="str">
        <f>"4170038239                    "</f>
        <v xml:space="preserve">4170038239                    </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0</v>
      </c>
      <c r="AL1288">
        <v>0</v>
      </c>
      <c r="AM1288">
        <v>0</v>
      </c>
      <c r="AN1288">
        <v>0</v>
      </c>
      <c r="AO1288">
        <v>0</v>
      </c>
      <c r="AP1288">
        <v>0</v>
      </c>
      <c r="AQ1288">
        <v>41.43</v>
      </c>
      <c r="AR1288">
        <v>0</v>
      </c>
      <c r="AS1288">
        <v>0</v>
      </c>
      <c r="AT1288">
        <v>0</v>
      </c>
      <c r="AU1288">
        <v>0</v>
      </c>
      <c r="AV1288">
        <v>0</v>
      </c>
      <c r="AW1288">
        <v>0</v>
      </c>
      <c r="AX1288">
        <v>0</v>
      </c>
      <c r="AY1288">
        <v>0</v>
      </c>
      <c r="AZ1288">
        <v>0</v>
      </c>
      <c r="BA1288">
        <v>0</v>
      </c>
      <c r="BB1288">
        <v>0</v>
      </c>
      <c r="BC1288">
        <v>0</v>
      </c>
      <c r="BD1288">
        <v>0</v>
      </c>
      <c r="BE1288">
        <v>0</v>
      </c>
      <c r="BF1288">
        <v>0</v>
      </c>
      <c r="BG1288">
        <v>0</v>
      </c>
      <c r="BH1288">
        <v>1</v>
      </c>
      <c r="BI1288">
        <v>1</v>
      </c>
      <c r="BJ1288">
        <v>0.2</v>
      </c>
      <c r="BK1288">
        <v>1</v>
      </c>
      <c r="BL1288">
        <v>135.59</v>
      </c>
      <c r="BM1288">
        <v>20.34</v>
      </c>
      <c r="BN1288">
        <v>155.93</v>
      </c>
      <c r="BO1288">
        <v>155.93</v>
      </c>
      <c r="BQ1288" t="s">
        <v>363</v>
      </c>
      <c r="BR1288" t="s">
        <v>84</v>
      </c>
      <c r="BS1288" s="3">
        <v>45791</v>
      </c>
      <c r="BT1288" s="4">
        <v>0.65972222222222221</v>
      </c>
      <c r="BU1288" t="s">
        <v>1890</v>
      </c>
      <c r="BV1288" t="s">
        <v>86</v>
      </c>
      <c r="BY1288">
        <v>1200</v>
      </c>
      <c r="CA1288" t="s">
        <v>1891</v>
      </c>
      <c r="CC1288" t="s">
        <v>361</v>
      </c>
      <c r="CD1288">
        <v>7299</v>
      </c>
      <c r="CE1288" t="s">
        <v>88</v>
      </c>
      <c r="CF1288" s="3">
        <v>45792</v>
      </c>
      <c r="CI1288">
        <v>1</v>
      </c>
      <c r="CJ1288">
        <v>1</v>
      </c>
      <c r="CK1288">
        <v>23</v>
      </c>
      <c r="CL1288" t="s">
        <v>89</v>
      </c>
    </row>
    <row r="1289" spans="1:90" x14ac:dyDescent="0.3">
      <c r="A1289" t="s">
        <v>72</v>
      </c>
      <c r="B1289" t="s">
        <v>73</v>
      </c>
      <c r="C1289" t="s">
        <v>74</v>
      </c>
      <c r="E1289" t="str">
        <f>"080065356771"</f>
        <v>080065356771</v>
      </c>
      <c r="F1289" s="3">
        <v>45790</v>
      </c>
      <c r="G1289">
        <v>202602</v>
      </c>
      <c r="H1289" t="s">
        <v>75</v>
      </c>
      <c r="I1289" t="s">
        <v>76</v>
      </c>
      <c r="J1289" t="s">
        <v>77</v>
      </c>
      <c r="K1289" t="s">
        <v>78</v>
      </c>
      <c r="L1289" t="s">
        <v>360</v>
      </c>
      <c r="M1289" t="s">
        <v>361</v>
      </c>
      <c r="N1289" t="s">
        <v>362</v>
      </c>
      <c r="O1289" t="s">
        <v>82</v>
      </c>
      <c r="P1289" t="str">
        <f>"4170038254                    "</f>
        <v xml:space="preserve">4170038254                    </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0</v>
      </c>
      <c r="AL1289">
        <v>0</v>
      </c>
      <c r="AM1289">
        <v>0</v>
      </c>
      <c r="AN1289">
        <v>0</v>
      </c>
      <c r="AO1289">
        <v>0</v>
      </c>
      <c r="AP1289">
        <v>0</v>
      </c>
      <c r="AQ1289">
        <v>78.849999999999994</v>
      </c>
      <c r="AR1289">
        <v>0</v>
      </c>
      <c r="AS1289">
        <v>0</v>
      </c>
      <c r="AT1289">
        <v>0</v>
      </c>
      <c r="AU1289">
        <v>0</v>
      </c>
      <c r="AV1289">
        <v>0</v>
      </c>
      <c r="AW1289">
        <v>0</v>
      </c>
      <c r="AX1289">
        <v>0</v>
      </c>
      <c r="AY1289">
        <v>0</v>
      </c>
      <c r="AZ1289">
        <v>0</v>
      </c>
      <c r="BA1289">
        <v>0</v>
      </c>
      <c r="BB1289">
        <v>0</v>
      </c>
      <c r="BC1289">
        <v>0</v>
      </c>
      <c r="BD1289">
        <v>0</v>
      </c>
      <c r="BE1289">
        <v>0</v>
      </c>
      <c r="BF1289">
        <v>0</v>
      </c>
      <c r="BG1289">
        <v>0</v>
      </c>
      <c r="BH1289">
        <v>1</v>
      </c>
      <c r="BI1289">
        <v>4</v>
      </c>
      <c r="BJ1289">
        <v>1.4</v>
      </c>
      <c r="BK1289">
        <v>4</v>
      </c>
      <c r="BL1289">
        <v>258.05</v>
      </c>
      <c r="BM1289">
        <v>38.71</v>
      </c>
      <c r="BN1289">
        <v>296.76</v>
      </c>
      <c r="BO1289">
        <v>296.76</v>
      </c>
      <c r="BQ1289" t="s">
        <v>363</v>
      </c>
      <c r="BR1289" t="s">
        <v>84</v>
      </c>
      <c r="BS1289" s="3">
        <v>45791</v>
      </c>
      <c r="BT1289" s="4">
        <v>0.65972222222222221</v>
      </c>
      <c r="BU1289" t="s">
        <v>1890</v>
      </c>
      <c r="BV1289" t="s">
        <v>86</v>
      </c>
      <c r="BY1289">
        <v>7200</v>
      </c>
      <c r="CA1289" t="s">
        <v>1891</v>
      </c>
      <c r="CC1289" t="s">
        <v>361</v>
      </c>
      <c r="CD1289">
        <v>7299</v>
      </c>
      <c r="CE1289" t="s">
        <v>221</v>
      </c>
      <c r="CF1289" s="3">
        <v>45792</v>
      </c>
      <c r="CI1289">
        <v>1</v>
      </c>
      <c r="CJ1289">
        <v>1</v>
      </c>
      <c r="CK1289">
        <v>23</v>
      </c>
      <c r="CL1289" t="s">
        <v>89</v>
      </c>
    </row>
    <row r="1290" spans="1:90" x14ac:dyDescent="0.3">
      <c r="A1290" t="s">
        <v>72</v>
      </c>
      <c r="B1290" t="s">
        <v>73</v>
      </c>
      <c r="C1290" t="s">
        <v>74</v>
      </c>
      <c r="E1290" t="str">
        <f>"080065356803"</f>
        <v>080065356803</v>
      </c>
      <c r="F1290" s="3">
        <v>45790</v>
      </c>
      <c r="G1290">
        <v>202602</v>
      </c>
      <c r="H1290" t="s">
        <v>75</v>
      </c>
      <c r="I1290" t="s">
        <v>76</v>
      </c>
      <c r="J1290" t="s">
        <v>77</v>
      </c>
      <c r="K1290" t="s">
        <v>78</v>
      </c>
      <c r="L1290" t="s">
        <v>117</v>
      </c>
      <c r="M1290" t="s">
        <v>118</v>
      </c>
      <c r="N1290" t="s">
        <v>532</v>
      </c>
      <c r="O1290" t="s">
        <v>82</v>
      </c>
      <c r="P1290" t="str">
        <f>"4170038242                    "</f>
        <v xml:space="preserve">4170038242                    </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0</v>
      </c>
      <c r="AL1290">
        <v>0</v>
      </c>
      <c r="AM1290">
        <v>0</v>
      </c>
      <c r="AN1290">
        <v>0</v>
      </c>
      <c r="AO1290">
        <v>0</v>
      </c>
      <c r="AP1290">
        <v>0</v>
      </c>
      <c r="AQ1290">
        <v>16.7</v>
      </c>
      <c r="AR1290">
        <v>0</v>
      </c>
      <c r="AS1290">
        <v>0</v>
      </c>
      <c r="AT1290">
        <v>0</v>
      </c>
      <c r="AU1290">
        <v>0</v>
      </c>
      <c r="AV1290">
        <v>0</v>
      </c>
      <c r="AW1290">
        <v>0</v>
      </c>
      <c r="AX1290">
        <v>0</v>
      </c>
      <c r="AY1290">
        <v>0</v>
      </c>
      <c r="AZ1290">
        <v>0</v>
      </c>
      <c r="BA1290">
        <v>0</v>
      </c>
      <c r="BB1290">
        <v>0</v>
      </c>
      <c r="BC1290">
        <v>0</v>
      </c>
      <c r="BD1290">
        <v>0</v>
      </c>
      <c r="BE1290">
        <v>0</v>
      </c>
      <c r="BF1290">
        <v>0</v>
      </c>
      <c r="BG1290">
        <v>0</v>
      </c>
      <c r="BH1290">
        <v>1</v>
      </c>
      <c r="BI1290">
        <v>2</v>
      </c>
      <c r="BJ1290">
        <v>4.0999999999999996</v>
      </c>
      <c r="BK1290">
        <v>5</v>
      </c>
      <c r="BL1290">
        <v>54.66</v>
      </c>
      <c r="BM1290">
        <v>8.1999999999999993</v>
      </c>
      <c r="BN1290">
        <v>62.86</v>
      </c>
      <c r="BO1290">
        <v>62.86</v>
      </c>
      <c r="BQ1290" t="s">
        <v>533</v>
      </c>
      <c r="BR1290" t="s">
        <v>84</v>
      </c>
      <c r="BS1290" s="3">
        <v>45791</v>
      </c>
      <c r="BT1290" s="4">
        <v>0.4236111111111111</v>
      </c>
      <c r="BU1290" t="s">
        <v>1936</v>
      </c>
      <c r="BV1290" t="s">
        <v>86</v>
      </c>
      <c r="BY1290">
        <v>20358</v>
      </c>
      <c r="CA1290" t="s">
        <v>535</v>
      </c>
      <c r="CC1290" t="s">
        <v>118</v>
      </c>
      <c r="CD1290">
        <v>2094</v>
      </c>
      <c r="CE1290" t="s">
        <v>96</v>
      </c>
      <c r="CF1290" s="3">
        <v>45791</v>
      </c>
      <c r="CI1290">
        <v>1</v>
      </c>
      <c r="CJ1290">
        <v>1</v>
      </c>
      <c r="CK1290">
        <v>22</v>
      </c>
      <c r="CL1290" t="s">
        <v>89</v>
      </c>
    </row>
    <row r="1291" spans="1:90" x14ac:dyDescent="0.3">
      <c r="A1291" t="s">
        <v>72</v>
      </c>
      <c r="B1291" t="s">
        <v>73</v>
      </c>
      <c r="C1291" t="s">
        <v>74</v>
      </c>
      <c r="E1291" t="str">
        <f>"080065356785"</f>
        <v>080065356785</v>
      </c>
      <c r="F1291" s="3">
        <v>45790</v>
      </c>
      <c r="G1291">
        <v>202602</v>
      </c>
      <c r="H1291" t="s">
        <v>75</v>
      </c>
      <c r="I1291" t="s">
        <v>76</v>
      </c>
      <c r="J1291" t="s">
        <v>77</v>
      </c>
      <c r="K1291" t="s">
        <v>78</v>
      </c>
      <c r="L1291" t="s">
        <v>136</v>
      </c>
      <c r="M1291" t="s">
        <v>137</v>
      </c>
      <c r="N1291" t="s">
        <v>773</v>
      </c>
      <c r="O1291" t="s">
        <v>300</v>
      </c>
      <c r="P1291" t="str">
        <f>"4170038148                    "</f>
        <v xml:space="preserve">4170038148                    </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0</v>
      </c>
      <c r="AK1291">
        <v>0</v>
      </c>
      <c r="AL1291">
        <v>0</v>
      </c>
      <c r="AM1291">
        <v>0</v>
      </c>
      <c r="AN1291">
        <v>0</v>
      </c>
      <c r="AO1291">
        <v>0</v>
      </c>
      <c r="AP1291">
        <v>0</v>
      </c>
      <c r="AQ1291">
        <v>77.2</v>
      </c>
      <c r="AR1291">
        <v>0</v>
      </c>
      <c r="AS1291">
        <v>0</v>
      </c>
      <c r="AT1291">
        <v>0</v>
      </c>
      <c r="AU1291">
        <v>0</v>
      </c>
      <c r="AV1291">
        <v>0</v>
      </c>
      <c r="AW1291">
        <v>0</v>
      </c>
      <c r="AX1291">
        <v>0</v>
      </c>
      <c r="AY1291">
        <v>0</v>
      </c>
      <c r="AZ1291">
        <v>0</v>
      </c>
      <c r="BA1291">
        <v>0</v>
      </c>
      <c r="BB1291">
        <v>0</v>
      </c>
      <c r="BC1291">
        <v>0</v>
      </c>
      <c r="BD1291">
        <v>0</v>
      </c>
      <c r="BE1291">
        <v>0</v>
      </c>
      <c r="BF1291">
        <v>0</v>
      </c>
      <c r="BG1291">
        <v>0</v>
      </c>
      <c r="BH1291">
        <v>3</v>
      </c>
      <c r="BI1291">
        <v>36</v>
      </c>
      <c r="BJ1291">
        <v>21</v>
      </c>
      <c r="BK1291">
        <v>36</v>
      </c>
      <c r="BL1291">
        <v>258.23</v>
      </c>
      <c r="BM1291">
        <v>38.729999999999997</v>
      </c>
      <c r="BN1291">
        <v>296.95999999999998</v>
      </c>
      <c r="BO1291">
        <v>296.95999999999998</v>
      </c>
      <c r="BQ1291" t="s">
        <v>774</v>
      </c>
      <c r="BR1291" t="s">
        <v>84</v>
      </c>
      <c r="BS1291" s="3">
        <v>45791</v>
      </c>
      <c r="BT1291" s="4">
        <v>0.42777777777777776</v>
      </c>
      <c r="BU1291" t="s">
        <v>1754</v>
      </c>
      <c r="BV1291" t="s">
        <v>86</v>
      </c>
      <c r="BY1291">
        <v>34960</v>
      </c>
      <c r="CA1291" t="s">
        <v>141</v>
      </c>
      <c r="CC1291" t="s">
        <v>137</v>
      </c>
      <c r="CD1291" s="5" t="s">
        <v>142</v>
      </c>
      <c r="CE1291" t="s">
        <v>550</v>
      </c>
      <c r="CF1291" s="3">
        <v>45791</v>
      </c>
      <c r="CI1291">
        <v>1</v>
      </c>
      <c r="CJ1291">
        <v>1</v>
      </c>
      <c r="CK1291">
        <v>41</v>
      </c>
      <c r="CL1291" t="s">
        <v>89</v>
      </c>
    </row>
    <row r="1292" spans="1:90" x14ac:dyDescent="0.3">
      <c r="A1292" t="s">
        <v>72</v>
      </c>
      <c r="B1292" t="s">
        <v>73</v>
      </c>
      <c r="C1292" t="s">
        <v>74</v>
      </c>
      <c r="E1292" t="str">
        <f>"080065356839"</f>
        <v>080065356839</v>
      </c>
      <c r="F1292" s="3">
        <v>45790</v>
      </c>
      <c r="G1292">
        <v>202602</v>
      </c>
      <c r="H1292" t="s">
        <v>75</v>
      </c>
      <c r="I1292" t="s">
        <v>76</v>
      </c>
      <c r="J1292" t="s">
        <v>77</v>
      </c>
      <c r="K1292" t="s">
        <v>78</v>
      </c>
      <c r="L1292" t="s">
        <v>90</v>
      </c>
      <c r="M1292" t="s">
        <v>91</v>
      </c>
      <c r="N1292" t="s">
        <v>563</v>
      </c>
      <c r="O1292" t="s">
        <v>82</v>
      </c>
      <c r="P1292" t="str">
        <f>"4170038115                    "</f>
        <v xml:space="preserve">4170038115                    </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0</v>
      </c>
      <c r="AL1292">
        <v>0</v>
      </c>
      <c r="AM1292">
        <v>0</v>
      </c>
      <c r="AN1292">
        <v>0</v>
      </c>
      <c r="AO1292">
        <v>0</v>
      </c>
      <c r="AP1292">
        <v>0</v>
      </c>
      <c r="AQ1292">
        <v>21.38</v>
      </c>
      <c r="AR1292">
        <v>0</v>
      </c>
      <c r="AS1292">
        <v>0</v>
      </c>
      <c r="AT1292">
        <v>0</v>
      </c>
      <c r="AU1292">
        <v>0</v>
      </c>
      <c r="AV1292">
        <v>0</v>
      </c>
      <c r="AW1292">
        <v>0</v>
      </c>
      <c r="AX1292">
        <v>0</v>
      </c>
      <c r="AY1292">
        <v>0</v>
      </c>
      <c r="AZ1292">
        <v>0</v>
      </c>
      <c r="BA1292">
        <v>0</v>
      </c>
      <c r="BB1292">
        <v>0</v>
      </c>
      <c r="BC1292">
        <v>0</v>
      </c>
      <c r="BD1292">
        <v>0</v>
      </c>
      <c r="BE1292">
        <v>0</v>
      </c>
      <c r="BF1292">
        <v>0</v>
      </c>
      <c r="BG1292">
        <v>0</v>
      </c>
      <c r="BH1292">
        <v>1</v>
      </c>
      <c r="BI1292">
        <v>1</v>
      </c>
      <c r="BJ1292">
        <v>1.1000000000000001</v>
      </c>
      <c r="BK1292">
        <v>1.5</v>
      </c>
      <c r="BL1292">
        <v>69.98</v>
      </c>
      <c r="BM1292">
        <v>10.5</v>
      </c>
      <c r="BN1292">
        <v>80.48</v>
      </c>
      <c r="BO1292">
        <v>80.48</v>
      </c>
      <c r="BQ1292" t="s">
        <v>564</v>
      </c>
      <c r="BR1292" t="s">
        <v>84</v>
      </c>
      <c r="BS1292" s="3">
        <v>45791</v>
      </c>
      <c r="BT1292" s="4">
        <v>0.375</v>
      </c>
      <c r="BU1292" t="s">
        <v>780</v>
      </c>
      <c r="BV1292" t="s">
        <v>86</v>
      </c>
      <c r="BY1292">
        <v>5320</v>
      </c>
      <c r="CA1292" t="s">
        <v>566</v>
      </c>
      <c r="CC1292" t="s">
        <v>91</v>
      </c>
      <c r="CD1292">
        <v>6001</v>
      </c>
      <c r="CE1292" t="s">
        <v>96</v>
      </c>
      <c r="CF1292" s="3">
        <v>45791</v>
      </c>
      <c r="CI1292">
        <v>1</v>
      </c>
      <c r="CJ1292">
        <v>1</v>
      </c>
      <c r="CK1292">
        <v>21</v>
      </c>
      <c r="CL1292" t="s">
        <v>89</v>
      </c>
    </row>
    <row r="1293" spans="1:90" x14ac:dyDescent="0.3">
      <c r="A1293" t="s">
        <v>72</v>
      </c>
      <c r="B1293" t="s">
        <v>73</v>
      </c>
      <c r="C1293" t="s">
        <v>74</v>
      </c>
      <c r="E1293" t="str">
        <f>"080065356867"</f>
        <v>080065356867</v>
      </c>
      <c r="F1293" s="3">
        <v>45790</v>
      </c>
      <c r="G1293">
        <v>202602</v>
      </c>
      <c r="H1293" t="s">
        <v>75</v>
      </c>
      <c r="I1293" t="s">
        <v>76</v>
      </c>
      <c r="J1293" t="s">
        <v>77</v>
      </c>
      <c r="K1293" t="s">
        <v>78</v>
      </c>
      <c r="L1293" t="s">
        <v>143</v>
      </c>
      <c r="M1293" t="s">
        <v>144</v>
      </c>
      <c r="N1293" t="s">
        <v>1965</v>
      </c>
      <c r="O1293" t="s">
        <v>82</v>
      </c>
      <c r="P1293" t="str">
        <f>"4170038174                    "</f>
        <v xml:space="preserve">4170038174                    </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c r="AJ1293">
        <v>0</v>
      </c>
      <c r="AK1293">
        <v>0</v>
      </c>
      <c r="AL1293">
        <v>0</v>
      </c>
      <c r="AM1293">
        <v>0</v>
      </c>
      <c r="AN1293">
        <v>0</v>
      </c>
      <c r="AO1293">
        <v>0</v>
      </c>
      <c r="AP1293">
        <v>0</v>
      </c>
      <c r="AQ1293">
        <v>16.7</v>
      </c>
      <c r="AR1293">
        <v>0</v>
      </c>
      <c r="AS1293">
        <v>0</v>
      </c>
      <c r="AT1293">
        <v>0</v>
      </c>
      <c r="AU1293">
        <v>0</v>
      </c>
      <c r="AV1293">
        <v>0</v>
      </c>
      <c r="AW1293">
        <v>0</v>
      </c>
      <c r="AX1293">
        <v>0</v>
      </c>
      <c r="AY1293">
        <v>0</v>
      </c>
      <c r="AZ1293">
        <v>0</v>
      </c>
      <c r="BA1293">
        <v>0</v>
      </c>
      <c r="BB1293">
        <v>0</v>
      </c>
      <c r="BC1293">
        <v>0</v>
      </c>
      <c r="BD1293">
        <v>0</v>
      </c>
      <c r="BE1293">
        <v>0</v>
      </c>
      <c r="BF1293">
        <v>0</v>
      </c>
      <c r="BG1293">
        <v>0</v>
      </c>
      <c r="BH1293">
        <v>1</v>
      </c>
      <c r="BI1293">
        <v>3</v>
      </c>
      <c r="BJ1293">
        <v>1.5</v>
      </c>
      <c r="BK1293">
        <v>3</v>
      </c>
      <c r="BL1293">
        <v>54.66</v>
      </c>
      <c r="BM1293">
        <v>8.1999999999999993</v>
      </c>
      <c r="BN1293">
        <v>62.86</v>
      </c>
      <c r="BO1293">
        <v>62.86</v>
      </c>
      <c r="BQ1293" t="s">
        <v>1966</v>
      </c>
      <c r="BR1293" t="s">
        <v>84</v>
      </c>
      <c r="BS1293" s="3">
        <v>45791</v>
      </c>
      <c r="BT1293" s="4">
        <v>0.3923611111111111</v>
      </c>
      <c r="BU1293" t="s">
        <v>1361</v>
      </c>
      <c r="BV1293" t="s">
        <v>86</v>
      </c>
      <c r="BY1293">
        <v>7540</v>
      </c>
      <c r="CA1293" t="s">
        <v>1814</v>
      </c>
      <c r="CC1293" t="s">
        <v>144</v>
      </c>
      <c r="CD1293">
        <v>1401</v>
      </c>
      <c r="CE1293" t="s">
        <v>96</v>
      </c>
      <c r="CF1293" s="3">
        <v>45791</v>
      </c>
      <c r="CI1293">
        <v>1</v>
      </c>
      <c r="CJ1293">
        <v>1</v>
      </c>
      <c r="CK1293">
        <v>22</v>
      </c>
      <c r="CL1293" t="s">
        <v>89</v>
      </c>
    </row>
    <row r="1294" spans="1:90" x14ac:dyDescent="0.3">
      <c r="A1294" t="s">
        <v>72</v>
      </c>
      <c r="B1294" t="s">
        <v>73</v>
      </c>
      <c r="C1294" t="s">
        <v>74</v>
      </c>
      <c r="E1294" t="str">
        <f>"080065356871"</f>
        <v>080065356871</v>
      </c>
      <c r="F1294" s="3">
        <v>45790</v>
      </c>
      <c r="G1294">
        <v>202602</v>
      </c>
      <c r="H1294" t="s">
        <v>75</v>
      </c>
      <c r="I1294" t="s">
        <v>76</v>
      </c>
      <c r="J1294" t="s">
        <v>77</v>
      </c>
      <c r="K1294" t="s">
        <v>78</v>
      </c>
      <c r="L1294" t="s">
        <v>222</v>
      </c>
      <c r="M1294" t="s">
        <v>223</v>
      </c>
      <c r="N1294" t="s">
        <v>1967</v>
      </c>
      <c r="O1294" t="s">
        <v>82</v>
      </c>
      <c r="P1294" t="str">
        <f>"4170038217                    "</f>
        <v xml:space="preserve">4170038217                    </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30.07</v>
      </c>
      <c r="AR1294">
        <v>0</v>
      </c>
      <c r="AS1294">
        <v>0</v>
      </c>
      <c r="AT1294">
        <v>0</v>
      </c>
      <c r="AU1294">
        <v>0</v>
      </c>
      <c r="AV1294">
        <v>0</v>
      </c>
      <c r="AW1294">
        <v>0</v>
      </c>
      <c r="AX1294">
        <v>0</v>
      </c>
      <c r="AY1294">
        <v>0</v>
      </c>
      <c r="AZ1294">
        <v>0</v>
      </c>
      <c r="BA1294">
        <v>0</v>
      </c>
      <c r="BB1294">
        <v>0</v>
      </c>
      <c r="BC1294">
        <v>0</v>
      </c>
      <c r="BD1294">
        <v>0</v>
      </c>
      <c r="BE1294">
        <v>0</v>
      </c>
      <c r="BF1294">
        <v>0</v>
      </c>
      <c r="BG1294">
        <v>0</v>
      </c>
      <c r="BH1294">
        <v>1</v>
      </c>
      <c r="BI1294">
        <v>1</v>
      </c>
      <c r="BJ1294">
        <v>1.1000000000000001</v>
      </c>
      <c r="BK1294">
        <v>1.5</v>
      </c>
      <c r="BL1294">
        <v>98.42</v>
      </c>
      <c r="BM1294">
        <v>14.76</v>
      </c>
      <c r="BN1294">
        <v>113.18</v>
      </c>
      <c r="BO1294">
        <v>113.18</v>
      </c>
      <c r="BQ1294" t="s">
        <v>1968</v>
      </c>
      <c r="BR1294" t="s">
        <v>84</v>
      </c>
      <c r="BS1294" s="3">
        <v>45791</v>
      </c>
      <c r="BT1294" s="4">
        <v>0.49236111111111114</v>
      </c>
      <c r="BU1294" t="s">
        <v>1183</v>
      </c>
      <c r="BV1294" t="s">
        <v>86</v>
      </c>
      <c r="BY1294">
        <v>5320</v>
      </c>
      <c r="CA1294" t="s">
        <v>1015</v>
      </c>
      <c r="CC1294" t="s">
        <v>223</v>
      </c>
      <c r="CD1294">
        <v>1756</v>
      </c>
      <c r="CE1294" t="s">
        <v>96</v>
      </c>
      <c r="CF1294" s="3">
        <v>45792</v>
      </c>
      <c r="CI1294">
        <v>1</v>
      </c>
      <c r="CJ1294">
        <v>1</v>
      </c>
      <c r="CK1294">
        <v>24</v>
      </c>
      <c r="CL1294" t="s">
        <v>89</v>
      </c>
    </row>
    <row r="1295" spans="1:90" x14ac:dyDescent="0.3">
      <c r="A1295" t="s">
        <v>72</v>
      </c>
      <c r="B1295" t="s">
        <v>73</v>
      </c>
      <c r="C1295" t="s">
        <v>74</v>
      </c>
      <c r="E1295" t="str">
        <f>"080065356894"</f>
        <v>080065356894</v>
      </c>
      <c r="F1295" s="3">
        <v>45790</v>
      </c>
      <c r="G1295">
        <v>202602</v>
      </c>
      <c r="H1295" t="s">
        <v>75</v>
      </c>
      <c r="I1295" t="s">
        <v>76</v>
      </c>
      <c r="J1295" t="s">
        <v>77</v>
      </c>
      <c r="K1295" t="s">
        <v>78</v>
      </c>
      <c r="L1295" t="s">
        <v>75</v>
      </c>
      <c r="M1295" t="s">
        <v>76</v>
      </c>
      <c r="N1295" t="s">
        <v>390</v>
      </c>
      <c r="O1295" t="s">
        <v>82</v>
      </c>
      <c r="P1295" t="str">
        <f>"4170038270                    "</f>
        <v xml:space="preserve">4170038270                    </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0</v>
      </c>
      <c r="AL1295">
        <v>0</v>
      </c>
      <c r="AM1295">
        <v>0</v>
      </c>
      <c r="AN1295">
        <v>0</v>
      </c>
      <c r="AO1295">
        <v>0</v>
      </c>
      <c r="AP1295">
        <v>0</v>
      </c>
      <c r="AQ1295">
        <v>16.7</v>
      </c>
      <c r="AR1295">
        <v>0</v>
      </c>
      <c r="AS1295">
        <v>0</v>
      </c>
      <c r="AT1295">
        <v>0</v>
      </c>
      <c r="AU1295">
        <v>0</v>
      </c>
      <c r="AV1295">
        <v>0</v>
      </c>
      <c r="AW1295">
        <v>0</v>
      </c>
      <c r="AX1295">
        <v>0</v>
      </c>
      <c r="AY1295">
        <v>0</v>
      </c>
      <c r="AZ1295">
        <v>0</v>
      </c>
      <c r="BA1295">
        <v>0</v>
      </c>
      <c r="BB1295">
        <v>0</v>
      </c>
      <c r="BC1295">
        <v>0</v>
      </c>
      <c r="BD1295">
        <v>0</v>
      </c>
      <c r="BE1295">
        <v>0</v>
      </c>
      <c r="BF1295">
        <v>0</v>
      </c>
      <c r="BG1295">
        <v>0</v>
      </c>
      <c r="BH1295">
        <v>1</v>
      </c>
      <c r="BI1295">
        <v>7</v>
      </c>
      <c r="BJ1295">
        <v>2</v>
      </c>
      <c r="BK1295">
        <v>7</v>
      </c>
      <c r="BL1295">
        <v>54.66</v>
      </c>
      <c r="BM1295">
        <v>8.1999999999999993</v>
      </c>
      <c r="BN1295">
        <v>62.86</v>
      </c>
      <c r="BO1295">
        <v>62.86</v>
      </c>
      <c r="BQ1295" t="s">
        <v>391</v>
      </c>
      <c r="BR1295" t="s">
        <v>84</v>
      </c>
      <c r="BS1295" s="3">
        <v>45791</v>
      </c>
      <c r="BT1295" s="4">
        <v>0.34722222222222221</v>
      </c>
      <c r="BU1295" t="s">
        <v>1660</v>
      </c>
      <c r="BV1295" t="s">
        <v>86</v>
      </c>
      <c r="BY1295">
        <v>9918</v>
      </c>
      <c r="CA1295" t="s">
        <v>115</v>
      </c>
      <c r="CC1295" t="s">
        <v>76</v>
      </c>
      <c r="CD1295">
        <v>1600</v>
      </c>
      <c r="CE1295" t="s">
        <v>96</v>
      </c>
      <c r="CF1295" s="3">
        <v>45792</v>
      </c>
      <c r="CI1295">
        <v>1</v>
      </c>
      <c r="CJ1295">
        <v>1</v>
      </c>
      <c r="CK1295">
        <v>22</v>
      </c>
      <c r="CL1295" t="s">
        <v>89</v>
      </c>
    </row>
    <row r="1296" spans="1:90" x14ac:dyDescent="0.3">
      <c r="A1296" t="s">
        <v>72</v>
      </c>
      <c r="B1296" t="s">
        <v>73</v>
      </c>
      <c r="C1296" t="s">
        <v>74</v>
      </c>
      <c r="E1296" t="str">
        <f>"080065356915"</f>
        <v>080065356915</v>
      </c>
      <c r="F1296" s="3">
        <v>45790</v>
      </c>
      <c r="G1296">
        <v>202602</v>
      </c>
      <c r="H1296" t="s">
        <v>75</v>
      </c>
      <c r="I1296" t="s">
        <v>76</v>
      </c>
      <c r="J1296" t="s">
        <v>77</v>
      </c>
      <c r="K1296" t="s">
        <v>78</v>
      </c>
      <c r="L1296" t="s">
        <v>463</v>
      </c>
      <c r="M1296" t="s">
        <v>464</v>
      </c>
      <c r="N1296" t="s">
        <v>1529</v>
      </c>
      <c r="O1296" t="s">
        <v>82</v>
      </c>
      <c r="P1296" t="str">
        <f>"4170038061                    "</f>
        <v xml:space="preserve">4170038061                    </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c r="AJ1296">
        <v>0</v>
      </c>
      <c r="AK1296">
        <v>0</v>
      </c>
      <c r="AL1296">
        <v>0</v>
      </c>
      <c r="AM1296">
        <v>0</v>
      </c>
      <c r="AN1296">
        <v>0</v>
      </c>
      <c r="AO1296">
        <v>0</v>
      </c>
      <c r="AP1296">
        <v>0</v>
      </c>
      <c r="AQ1296">
        <v>37.409999999999997</v>
      </c>
      <c r="AR1296">
        <v>0</v>
      </c>
      <c r="AS1296">
        <v>0</v>
      </c>
      <c r="AT1296">
        <v>0</v>
      </c>
      <c r="AU1296">
        <v>0</v>
      </c>
      <c r="AV1296">
        <v>0</v>
      </c>
      <c r="AW1296">
        <v>0</v>
      </c>
      <c r="AX1296">
        <v>0</v>
      </c>
      <c r="AY1296">
        <v>0</v>
      </c>
      <c r="AZ1296">
        <v>0</v>
      </c>
      <c r="BA1296">
        <v>0</v>
      </c>
      <c r="BB1296">
        <v>0</v>
      </c>
      <c r="BC1296">
        <v>0</v>
      </c>
      <c r="BD1296">
        <v>0</v>
      </c>
      <c r="BE1296">
        <v>0</v>
      </c>
      <c r="BF1296">
        <v>0</v>
      </c>
      <c r="BG1296">
        <v>0</v>
      </c>
      <c r="BH1296">
        <v>1</v>
      </c>
      <c r="BI1296">
        <v>2</v>
      </c>
      <c r="BJ1296">
        <v>3.2</v>
      </c>
      <c r="BK1296">
        <v>3.5</v>
      </c>
      <c r="BL1296">
        <v>122.43</v>
      </c>
      <c r="BM1296">
        <v>18.36</v>
      </c>
      <c r="BN1296">
        <v>140.79</v>
      </c>
      <c r="BO1296">
        <v>140.79</v>
      </c>
      <c r="BQ1296" t="s">
        <v>1530</v>
      </c>
      <c r="BR1296" t="s">
        <v>84</v>
      </c>
      <c r="BS1296" s="3">
        <v>45791</v>
      </c>
      <c r="BT1296" s="4">
        <v>0.6743055555555556</v>
      </c>
      <c r="BU1296" t="s">
        <v>1464</v>
      </c>
      <c r="BV1296" t="s">
        <v>89</v>
      </c>
      <c r="BY1296">
        <v>16184</v>
      </c>
      <c r="CA1296" t="s">
        <v>468</v>
      </c>
      <c r="CC1296" t="s">
        <v>464</v>
      </c>
      <c r="CD1296">
        <v>5201</v>
      </c>
      <c r="CE1296" t="s">
        <v>221</v>
      </c>
      <c r="CF1296" s="3">
        <v>45792</v>
      </c>
      <c r="CI1296">
        <v>1</v>
      </c>
      <c r="CJ1296">
        <v>1</v>
      </c>
      <c r="CK1296">
        <v>21</v>
      </c>
      <c r="CL1296" t="s">
        <v>89</v>
      </c>
    </row>
    <row r="1297" spans="1:90" x14ac:dyDescent="0.3">
      <c r="A1297" t="s">
        <v>72</v>
      </c>
      <c r="B1297" t="s">
        <v>73</v>
      </c>
      <c r="C1297" t="s">
        <v>74</v>
      </c>
      <c r="E1297" t="str">
        <f>"080065356943"</f>
        <v>080065356943</v>
      </c>
      <c r="F1297" s="3">
        <v>45790</v>
      </c>
      <c r="G1297">
        <v>202602</v>
      </c>
      <c r="H1297" t="s">
        <v>75</v>
      </c>
      <c r="I1297" t="s">
        <v>76</v>
      </c>
      <c r="J1297" t="s">
        <v>77</v>
      </c>
      <c r="K1297" t="s">
        <v>78</v>
      </c>
      <c r="L1297" t="s">
        <v>117</v>
      </c>
      <c r="M1297" t="s">
        <v>118</v>
      </c>
      <c r="N1297" t="s">
        <v>1019</v>
      </c>
      <c r="O1297" t="s">
        <v>82</v>
      </c>
      <c r="P1297" t="str">
        <f>"4170038237                    "</f>
        <v xml:space="preserve">4170038237                    </v>
      </c>
      <c r="Q1297">
        <v>0</v>
      </c>
      <c r="R1297">
        <v>0</v>
      </c>
      <c r="S1297">
        <v>0</v>
      </c>
      <c r="T1297">
        <v>0</v>
      </c>
      <c r="U1297">
        <v>0</v>
      </c>
      <c r="V1297">
        <v>0</v>
      </c>
      <c r="W1297">
        <v>0</v>
      </c>
      <c r="X1297">
        <v>0</v>
      </c>
      <c r="Y1297">
        <v>0</v>
      </c>
      <c r="Z1297">
        <v>0</v>
      </c>
      <c r="AA1297">
        <v>0</v>
      </c>
      <c r="AB1297">
        <v>0</v>
      </c>
      <c r="AC1297">
        <v>0</v>
      </c>
      <c r="AD1297">
        <v>0</v>
      </c>
      <c r="AE1297">
        <v>0</v>
      </c>
      <c r="AF1297">
        <v>0</v>
      </c>
      <c r="AG1297">
        <v>0</v>
      </c>
      <c r="AH1297">
        <v>0</v>
      </c>
      <c r="AI1297">
        <v>0</v>
      </c>
      <c r="AJ1297">
        <v>0</v>
      </c>
      <c r="AK1297">
        <v>0</v>
      </c>
      <c r="AL1297">
        <v>0</v>
      </c>
      <c r="AM1297">
        <v>0</v>
      </c>
      <c r="AN1297">
        <v>0</v>
      </c>
      <c r="AO1297">
        <v>0</v>
      </c>
      <c r="AP1297">
        <v>0</v>
      </c>
      <c r="AQ1297">
        <v>16.7</v>
      </c>
      <c r="AR1297">
        <v>0</v>
      </c>
      <c r="AS1297">
        <v>0</v>
      </c>
      <c r="AT1297">
        <v>0</v>
      </c>
      <c r="AU1297">
        <v>0</v>
      </c>
      <c r="AV1297">
        <v>0</v>
      </c>
      <c r="AW1297">
        <v>0</v>
      </c>
      <c r="AX1297">
        <v>0</v>
      </c>
      <c r="AY1297">
        <v>0</v>
      </c>
      <c r="AZ1297">
        <v>0</v>
      </c>
      <c r="BA1297">
        <v>0</v>
      </c>
      <c r="BB1297">
        <v>0</v>
      </c>
      <c r="BC1297">
        <v>0</v>
      </c>
      <c r="BD1297">
        <v>0</v>
      </c>
      <c r="BE1297">
        <v>0</v>
      </c>
      <c r="BF1297">
        <v>0</v>
      </c>
      <c r="BG1297">
        <v>0</v>
      </c>
      <c r="BH1297">
        <v>1</v>
      </c>
      <c r="BI1297">
        <v>1</v>
      </c>
      <c r="BJ1297">
        <v>0.2</v>
      </c>
      <c r="BK1297">
        <v>1</v>
      </c>
      <c r="BL1297">
        <v>54.66</v>
      </c>
      <c r="BM1297">
        <v>8.1999999999999993</v>
      </c>
      <c r="BN1297">
        <v>62.86</v>
      </c>
      <c r="BO1297">
        <v>62.86</v>
      </c>
      <c r="BQ1297" t="s">
        <v>1020</v>
      </c>
      <c r="BR1297" t="s">
        <v>84</v>
      </c>
      <c r="BS1297" s="3">
        <v>45791</v>
      </c>
      <c r="BT1297" s="4">
        <v>0.3263888888888889</v>
      </c>
      <c r="BU1297" t="s">
        <v>1827</v>
      </c>
      <c r="BV1297" t="s">
        <v>86</v>
      </c>
      <c r="BY1297">
        <v>1200</v>
      </c>
      <c r="CA1297" t="s">
        <v>275</v>
      </c>
      <c r="CC1297" t="s">
        <v>118</v>
      </c>
      <c r="CD1297">
        <v>2013</v>
      </c>
      <c r="CE1297" t="s">
        <v>88</v>
      </c>
      <c r="CF1297" s="3">
        <v>45792</v>
      </c>
      <c r="CI1297">
        <v>1</v>
      </c>
      <c r="CJ1297">
        <v>1</v>
      </c>
      <c r="CK1297">
        <v>22</v>
      </c>
      <c r="CL1297" t="s">
        <v>89</v>
      </c>
    </row>
    <row r="1298" spans="1:90" x14ac:dyDescent="0.3">
      <c r="A1298" t="s">
        <v>72</v>
      </c>
      <c r="B1298" t="s">
        <v>73</v>
      </c>
      <c r="C1298" t="s">
        <v>74</v>
      </c>
      <c r="E1298" t="str">
        <f>"080065356954"</f>
        <v>080065356954</v>
      </c>
      <c r="F1298" s="3">
        <v>45790</v>
      </c>
      <c r="G1298">
        <v>202602</v>
      </c>
      <c r="H1298" t="s">
        <v>75</v>
      </c>
      <c r="I1298" t="s">
        <v>76</v>
      </c>
      <c r="J1298" t="s">
        <v>77</v>
      </c>
      <c r="K1298" t="s">
        <v>78</v>
      </c>
      <c r="L1298" t="s">
        <v>350</v>
      </c>
      <c r="M1298" t="s">
        <v>351</v>
      </c>
      <c r="N1298" t="s">
        <v>678</v>
      </c>
      <c r="O1298" t="s">
        <v>82</v>
      </c>
      <c r="P1298" t="str">
        <f>"4170038121                    "</f>
        <v xml:space="preserve">4170038121                    </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c r="AJ1298">
        <v>0</v>
      </c>
      <c r="AK1298">
        <v>0</v>
      </c>
      <c r="AL1298">
        <v>0</v>
      </c>
      <c r="AM1298">
        <v>0</v>
      </c>
      <c r="AN1298">
        <v>0</v>
      </c>
      <c r="AO1298">
        <v>0</v>
      </c>
      <c r="AP1298">
        <v>0</v>
      </c>
      <c r="AQ1298">
        <v>21.38</v>
      </c>
      <c r="AR1298">
        <v>0</v>
      </c>
      <c r="AS1298">
        <v>0</v>
      </c>
      <c r="AT1298">
        <v>0</v>
      </c>
      <c r="AU1298">
        <v>0</v>
      </c>
      <c r="AV1298">
        <v>0</v>
      </c>
      <c r="AW1298">
        <v>0</v>
      </c>
      <c r="AX1298">
        <v>0</v>
      </c>
      <c r="AY1298">
        <v>0</v>
      </c>
      <c r="AZ1298">
        <v>0</v>
      </c>
      <c r="BA1298">
        <v>0</v>
      </c>
      <c r="BB1298">
        <v>0</v>
      </c>
      <c r="BC1298">
        <v>0</v>
      </c>
      <c r="BD1298">
        <v>0</v>
      </c>
      <c r="BE1298">
        <v>0</v>
      </c>
      <c r="BF1298">
        <v>0</v>
      </c>
      <c r="BG1298">
        <v>0</v>
      </c>
      <c r="BH1298">
        <v>1</v>
      </c>
      <c r="BI1298">
        <v>1</v>
      </c>
      <c r="BJ1298">
        <v>0.2</v>
      </c>
      <c r="BK1298">
        <v>1</v>
      </c>
      <c r="BL1298">
        <v>69.98</v>
      </c>
      <c r="BM1298">
        <v>10.5</v>
      </c>
      <c r="BN1298">
        <v>80.48</v>
      </c>
      <c r="BO1298">
        <v>80.48</v>
      </c>
      <c r="BQ1298" t="s">
        <v>679</v>
      </c>
      <c r="BR1298" t="s">
        <v>84</v>
      </c>
      <c r="BS1298" s="3">
        <v>45791</v>
      </c>
      <c r="BT1298" s="4">
        <v>0.4513888888888889</v>
      </c>
      <c r="BU1298" t="s">
        <v>680</v>
      </c>
      <c r="BV1298" t="s">
        <v>89</v>
      </c>
      <c r="BY1298">
        <v>1200</v>
      </c>
      <c r="CA1298" t="s">
        <v>326</v>
      </c>
      <c r="CC1298" t="s">
        <v>351</v>
      </c>
      <c r="CD1298">
        <v>4052</v>
      </c>
      <c r="CE1298" t="s">
        <v>88</v>
      </c>
      <c r="CF1298" s="3">
        <v>45792</v>
      </c>
      <c r="CI1298">
        <v>1</v>
      </c>
      <c r="CJ1298">
        <v>1</v>
      </c>
      <c r="CK1298">
        <v>21</v>
      </c>
      <c r="CL1298" t="s">
        <v>89</v>
      </c>
    </row>
    <row r="1299" spans="1:90" x14ac:dyDescent="0.3">
      <c r="A1299" t="s">
        <v>72</v>
      </c>
      <c r="B1299" t="s">
        <v>73</v>
      </c>
      <c r="C1299" t="s">
        <v>74</v>
      </c>
      <c r="E1299" t="str">
        <f>"080065356972"</f>
        <v>080065356972</v>
      </c>
      <c r="F1299" s="3">
        <v>45790</v>
      </c>
      <c r="G1299">
        <v>202602</v>
      </c>
      <c r="H1299" t="s">
        <v>75</v>
      </c>
      <c r="I1299" t="s">
        <v>76</v>
      </c>
      <c r="J1299" t="s">
        <v>77</v>
      </c>
      <c r="K1299" t="s">
        <v>78</v>
      </c>
      <c r="L1299" t="s">
        <v>117</v>
      </c>
      <c r="M1299" t="s">
        <v>118</v>
      </c>
      <c r="N1299" t="s">
        <v>532</v>
      </c>
      <c r="O1299" t="s">
        <v>82</v>
      </c>
      <c r="P1299" t="str">
        <f>"4170038220                    "</f>
        <v xml:space="preserve">4170038220                    </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c r="AJ1299">
        <v>0</v>
      </c>
      <c r="AK1299">
        <v>0</v>
      </c>
      <c r="AL1299">
        <v>0</v>
      </c>
      <c r="AM1299">
        <v>0</v>
      </c>
      <c r="AN1299">
        <v>0</v>
      </c>
      <c r="AO1299">
        <v>0</v>
      </c>
      <c r="AP1299">
        <v>0</v>
      </c>
      <c r="AQ1299">
        <v>16.7</v>
      </c>
      <c r="AR1299">
        <v>0</v>
      </c>
      <c r="AS1299">
        <v>0</v>
      </c>
      <c r="AT1299">
        <v>0</v>
      </c>
      <c r="AU1299">
        <v>0</v>
      </c>
      <c r="AV1299">
        <v>0</v>
      </c>
      <c r="AW1299">
        <v>0</v>
      </c>
      <c r="AX1299">
        <v>0</v>
      </c>
      <c r="AY1299">
        <v>0</v>
      </c>
      <c r="AZ1299">
        <v>0</v>
      </c>
      <c r="BA1299">
        <v>0</v>
      </c>
      <c r="BB1299">
        <v>0</v>
      </c>
      <c r="BC1299">
        <v>0</v>
      </c>
      <c r="BD1299">
        <v>0</v>
      </c>
      <c r="BE1299">
        <v>0</v>
      </c>
      <c r="BF1299">
        <v>0</v>
      </c>
      <c r="BG1299">
        <v>0</v>
      </c>
      <c r="BH1299">
        <v>1</v>
      </c>
      <c r="BI1299">
        <v>1</v>
      </c>
      <c r="BJ1299">
        <v>0.2</v>
      </c>
      <c r="BK1299">
        <v>1</v>
      </c>
      <c r="BL1299">
        <v>54.66</v>
      </c>
      <c r="BM1299">
        <v>8.1999999999999993</v>
      </c>
      <c r="BN1299">
        <v>62.86</v>
      </c>
      <c r="BO1299">
        <v>62.86</v>
      </c>
      <c r="BQ1299" t="s">
        <v>533</v>
      </c>
      <c r="BR1299" t="s">
        <v>84</v>
      </c>
      <c r="BS1299" s="3">
        <v>45791</v>
      </c>
      <c r="BT1299" s="4">
        <v>0.4236111111111111</v>
      </c>
      <c r="BU1299" t="s">
        <v>1936</v>
      </c>
      <c r="BV1299" t="s">
        <v>86</v>
      </c>
      <c r="BY1299">
        <v>1200</v>
      </c>
      <c r="CA1299" t="s">
        <v>535</v>
      </c>
      <c r="CC1299" t="s">
        <v>118</v>
      </c>
      <c r="CD1299">
        <v>2094</v>
      </c>
      <c r="CE1299" t="s">
        <v>88</v>
      </c>
      <c r="CF1299" s="3">
        <v>45791</v>
      </c>
      <c r="CI1299">
        <v>1</v>
      </c>
      <c r="CJ1299">
        <v>1</v>
      </c>
      <c r="CK1299">
        <v>22</v>
      </c>
      <c r="CL1299" t="s">
        <v>89</v>
      </c>
    </row>
    <row r="1300" spans="1:90" x14ac:dyDescent="0.3">
      <c r="A1300" t="s">
        <v>72</v>
      </c>
      <c r="B1300" t="s">
        <v>73</v>
      </c>
      <c r="C1300" t="s">
        <v>74</v>
      </c>
      <c r="E1300" t="str">
        <f>"080065129709"</f>
        <v>080065129709</v>
      </c>
      <c r="F1300" s="3">
        <v>45779</v>
      </c>
      <c r="G1300">
        <v>202602</v>
      </c>
      <c r="H1300" t="s">
        <v>75</v>
      </c>
      <c r="I1300" t="s">
        <v>76</v>
      </c>
      <c r="J1300" t="s">
        <v>1791</v>
      </c>
      <c r="K1300" t="s">
        <v>78</v>
      </c>
      <c r="L1300" t="s">
        <v>136</v>
      </c>
      <c r="M1300" t="s">
        <v>137</v>
      </c>
      <c r="N1300" t="s">
        <v>299</v>
      </c>
      <c r="O1300" t="s">
        <v>300</v>
      </c>
      <c r="P1300" t="str">
        <f>"4170031560                    "</f>
        <v xml:space="preserve">4170031560                    </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c r="AJ1300">
        <v>0</v>
      </c>
      <c r="AK1300">
        <v>0</v>
      </c>
      <c r="AL1300">
        <v>0</v>
      </c>
      <c r="AM1300">
        <v>0</v>
      </c>
      <c r="AN1300">
        <v>0</v>
      </c>
      <c r="AO1300">
        <v>0</v>
      </c>
      <c r="AP1300">
        <v>0</v>
      </c>
      <c r="AQ1300">
        <v>42.76</v>
      </c>
      <c r="AR1300">
        <v>0</v>
      </c>
      <c r="AS1300">
        <v>0</v>
      </c>
      <c r="AT1300">
        <v>0</v>
      </c>
      <c r="AU1300">
        <v>0</v>
      </c>
      <c r="AV1300">
        <v>0</v>
      </c>
      <c r="AW1300">
        <v>0</v>
      </c>
      <c r="AX1300">
        <v>0</v>
      </c>
      <c r="AY1300">
        <v>0</v>
      </c>
      <c r="AZ1300">
        <v>0</v>
      </c>
      <c r="BA1300">
        <v>0</v>
      </c>
      <c r="BB1300">
        <v>0</v>
      </c>
      <c r="BC1300">
        <v>0</v>
      </c>
      <c r="BD1300">
        <v>0</v>
      </c>
      <c r="BE1300">
        <v>0</v>
      </c>
      <c r="BF1300">
        <v>0</v>
      </c>
      <c r="BG1300">
        <v>0</v>
      </c>
      <c r="BH1300">
        <v>1</v>
      </c>
      <c r="BI1300">
        <v>5</v>
      </c>
      <c r="BJ1300">
        <v>1.9</v>
      </c>
      <c r="BK1300">
        <v>5</v>
      </c>
      <c r="BL1300">
        <v>142.31</v>
      </c>
      <c r="BM1300">
        <v>21.35</v>
      </c>
      <c r="BN1300">
        <v>163.66</v>
      </c>
      <c r="BO1300">
        <v>163.66</v>
      </c>
      <c r="BQ1300" t="s">
        <v>301</v>
      </c>
      <c r="BR1300" t="s">
        <v>1793</v>
      </c>
      <c r="BS1300" s="3">
        <v>45782</v>
      </c>
      <c r="BT1300" s="4">
        <v>0.42083333333333334</v>
      </c>
      <c r="BU1300" t="s">
        <v>302</v>
      </c>
      <c r="BV1300" t="s">
        <v>86</v>
      </c>
      <c r="BY1300">
        <v>9360</v>
      </c>
      <c r="BZ1300" t="s">
        <v>1795</v>
      </c>
      <c r="CA1300" t="s">
        <v>253</v>
      </c>
      <c r="CC1300" t="s">
        <v>137</v>
      </c>
      <c r="CD1300" s="5" t="s">
        <v>254</v>
      </c>
      <c r="CE1300" t="s">
        <v>176</v>
      </c>
      <c r="CF1300" s="3">
        <v>45782</v>
      </c>
      <c r="CI1300">
        <v>1</v>
      </c>
      <c r="CJ1300">
        <v>1</v>
      </c>
      <c r="CK1300">
        <v>41</v>
      </c>
      <c r="CL1300" t="s">
        <v>89</v>
      </c>
    </row>
    <row r="1301" spans="1:90" x14ac:dyDescent="0.3">
      <c r="A1301" t="s">
        <v>72</v>
      </c>
      <c r="B1301" t="s">
        <v>73</v>
      </c>
      <c r="C1301" t="s">
        <v>74</v>
      </c>
      <c r="E1301" t="str">
        <f>"080065135913"</f>
        <v>080065135913</v>
      </c>
      <c r="F1301" s="3">
        <v>45779</v>
      </c>
      <c r="G1301">
        <v>202602</v>
      </c>
      <c r="H1301" t="s">
        <v>75</v>
      </c>
      <c r="I1301" t="s">
        <v>76</v>
      </c>
      <c r="J1301" t="s">
        <v>1791</v>
      </c>
      <c r="K1301" t="s">
        <v>78</v>
      </c>
      <c r="L1301" t="s">
        <v>151</v>
      </c>
      <c r="M1301" t="s">
        <v>152</v>
      </c>
      <c r="N1301" t="s">
        <v>1969</v>
      </c>
      <c r="O1301" t="s">
        <v>300</v>
      </c>
      <c r="P1301" t="str">
        <f>"4170036776                    "</f>
        <v xml:space="preserve">4170036776                    </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0</v>
      </c>
      <c r="AL1301">
        <v>0</v>
      </c>
      <c r="AM1301">
        <v>0</v>
      </c>
      <c r="AN1301">
        <v>0</v>
      </c>
      <c r="AO1301">
        <v>0</v>
      </c>
      <c r="AP1301">
        <v>0</v>
      </c>
      <c r="AQ1301">
        <v>60.31</v>
      </c>
      <c r="AR1301">
        <v>0</v>
      </c>
      <c r="AS1301">
        <v>0</v>
      </c>
      <c r="AT1301">
        <v>0</v>
      </c>
      <c r="AU1301">
        <v>0</v>
      </c>
      <c r="AV1301">
        <v>0</v>
      </c>
      <c r="AW1301">
        <v>0</v>
      </c>
      <c r="AX1301">
        <v>0</v>
      </c>
      <c r="AY1301">
        <v>0</v>
      </c>
      <c r="AZ1301">
        <v>0</v>
      </c>
      <c r="BA1301">
        <v>0</v>
      </c>
      <c r="BB1301">
        <v>0</v>
      </c>
      <c r="BC1301">
        <v>0</v>
      </c>
      <c r="BD1301">
        <v>0</v>
      </c>
      <c r="BE1301">
        <v>0</v>
      </c>
      <c r="BF1301">
        <v>0</v>
      </c>
      <c r="BG1301">
        <v>0</v>
      </c>
      <c r="BH1301">
        <v>1</v>
      </c>
      <c r="BI1301">
        <v>5</v>
      </c>
      <c r="BJ1301">
        <v>1.4</v>
      </c>
      <c r="BK1301">
        <v>5</v>
      </c>
      <c r="BL1301">
        <v>198.43</v>
      </c>
      <c r="BM1301">
        <v>29.76</v>
      </c>
      <c r="BN1301">
        <v>228.19</v>
      </c>
      <c r="BO1301">
        <v>228.19</v>
      </c>
      <c r="BQ1301" t="s">
        <v>1970</v>
      </c>
      <c r="BR1301" t="s">
        <v>1793</v>
      </c>
      <c r="BS1301" s="3">
        <v>45782</v>
      </c>
      <c r="BT1301" s="4">
        <v>0.4375</v>
      </c>
      <c r="BU1301" t="s">
        <v>1971</v>
      </c>
      <c r="BV1301" t="s">
        <v>86</v>
      </c>
      <c r="BY1301">
        <v>7128</v>
      </c>
      <c r="BZ1301" t="s">
        <v>1795</v>
      </c>
      <c r="CC1301" t="s">
        <v>152</v>
      </c>
      <c r="CD1301">
        <v>1939</v>
      </c>
      <c r="CE1301" t="s">
        <v>176</v>
      </c>
      <c r="CF1301" s="3">
        <v>45782</v>
      </c>
      <c r="CI1301">
        <v>1</v>
      </c>
      <c r="CJ1301">
        <v>1</v>
      </c>
      <c r="CK1301">
        <v>43</v>
      </c>
      <c r="CL1301" t="s">
        <v>89</v>
      </c>
    </row>
    <row r="1302" spans="1:90" x14ac:dyDescent="0.3">
      <c r="A1302" t="s">
        <v>72</v>
      </c>
      <c r="B1302" t="s">
        <v>73</v>
      </c>
      <c r="C1302" t="s">
        <v>74</v>
      </c>
      <c r="E1302" t="str">
        <f>"080065136277"</f>
        <v>080065136277</v>
      </c>
      <c r="F1302" s="3">
        <v>45779</v>
      </c>
      <c r="G1302">
        <v>202602</v>
      </c>
      <c r="H1302" t="s">
        <v>75</v>
      </c>
      <c r="I1302" t="s">
        <v>76</v>
      </c>
      <c r="J1302" t="s">
        <v>1791</v>
      </c>
      <c r="K1302" t="s">
        <v>78</v>
      </c>
      <c r="L1302" t="s">
        <v>75</v>
      </c>
      <c r="M1302" t="s">
        <v>76</v>
      </c>
      <c r="N1302" t="s">
        <v>112</v>
      </c>
      <c r="O1302" t="s">
        <v>300</v>
      </c>
      <c r="P1302" t="str">
        <f>"4170036765                    "</f>
        <v xml:space="preserve">4170036765                    </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0</v>
      </c>
      <c r="AK1302">
        <v>0</v>
      </c>
      <c r="AL1302">
        <v>0</v>
      </c>
      <c r="AM1302">
        <v>0</v>
      </c>
      <c r="AN1302">
        <v>0</v>
      </c>
      <c r="AO1302">
        <v>0</v>
      </c>
      <c r="AP1302">
        <v>0</v>
      </c>
      <c r="AQ1302">
        <v>33</v>
      </c>
      <c r="AR1302">
        <v>0</v>
      </c>
      <c r="AS1302">
        <v>0</v>
      </c>
      <c r="AT1302">
        <v>0</v>
      </c>
      <c r="AU1302">
        <v>0</v>
      </c>
      <c r="AV1302">
        <v>0</v>
      </c>
      <c r="AW1302">
        <v>0</v>
      </c>
      <c r="AX1302">
        <v>0</v>
      </c>
      <c r="AY1302">
        <v>0</v>
      </c>
      <c r="AZ1302">
        <v>0</v>
      </c>
      <c r="BA1302">
        <v>0</v>
      </c>
      <c r="BB1302">
        <v>0</v>
      </c>
      <c r="BC1302">
        <v>0</v>
      </c>
      <c r="BD1302">
        <v>0</v>
      </c>
      <c r="BE1302">
        <v>0</v>
      </c>
      <c r="BF1302">
        <v>0</v>
      </c>
      <c r="BG1302">
        <v>0</v>
      </c>
      <c r="BH1302">
        <v>1</v>
      </c>
      <c r="BI1302">
        <v>3</v>
      </c>
      <c r="BJ1302">
        <v>8.9</v>
      </c>
      <c r="BK1302">
        <v>9</v>
      </c>
      <c r="BL1302">
        <v>111.09</v>
      </c>
      <c r="BM1302">
        <v>16.66</v>
      </c>
      <c r="BN1302">
        <v>127.75</v>
      </c>
      <c r="BO1302">
        <v>127.75</v>
      </c>
      <c r="BQ1302" t="s">
        <v>1972</v>
      </c>
      <c r="BR1302" t="s">
        <v>1793</v>
      </c>
      <c r="BS1302" s="3">
        <v>45782</v>
      </c>
      <c r="BT1302" s="4">
        <v>0.40486111111111112</v>
      </c>
      <c r="BU1302" t="s">
        <v>114</v>
      </c>
      <c r="BV1302" t="s">
        <v>86</v>
      </c>
      <c r="BY1302">
        <v>44640</v>
      </c>
      <c r="BZ1302" t="s">
        <v>1795</v>
      </c>
      <c r="CA1302" t="s">
        <v>115</v>
      </c>
      <c r="CC1302" t="s">
        <v>76</v>
      </c>
      <c r="CD1302">
        <v>1624</v>
      </c>
      <c r="CE1302" t="s">
        <v>419</v>
      </c>
      <c r="CF1302" s="3">
        <v>45783</v>
      </c>
      <c r="CI1302">
        <v>1</v>
      </c>
      <c r="CJ1302">
        <v>1</v>
      </c>
      <c r="CK1302">
        <v>42</v>
      </c>
      <c r="CL1302" t="s">
        <v>89</v>
      </c>
    </row>
    <row r="1303" spans="1:90" x14ac:dyDescent="0.3">
      <c r="A1303" t="s">
        <v>72</v>
      </c>
      <c r="B1303" t="s">
        <v>73</v>
      </c>
      <c r="C1303" t="s">
        <v>74</v>
      </c>
      <c r="E1303" t="str">
        <f>"RR080065039918"</f>
        <v>RR080065039918</v>
      </c>
      <c r="F1303" s="3">
        <v>45779</v>
      </c>
      <c r="G1303">
        <v>202602</v>
      </c>
      <c r="H1303" t="s">
        <v>75</v>
      </c>
      <c r="I1303" t="s">
        <v>76</v>
      </c>
      <c r="J1303" t="s">
        <v>1973</v>
      </c>
      <c r="K1303" t="s">
        <v>78</v>
      </c>
      <c r="L1303" t="s">
        <v>117</v>
      </c>
      <c r="M1303" t="s">
        <v>118</v>
      </c>
      <c r="N1303" t="s">
        <v>1974</v>
      </c>
      <c r="O1303" t="s">
        <v>82</v>
      </c>
      <c r="P1303" t="str">
        <f>"4170036255                    "</f>
        <v xml:space="preserve">4170036255                    </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c r="AJ1303">
        <v>0</v>
      </c>
      <c r="AK1303">
        <v>0</v>
      </c>
      <c r="AL1303">
        <v>0</v>
      </c>
      <c r="AM1303">
        <v>0</v>
      </c>
      <c r="AN1303">
        <v>0</v>
      </c>
      <c r="AO1303">
        <v>0</v>
      </c>
      <c r="AP1303">
        <v>0</v>
      </c>
      <c r="AQ1303">
        <v>17.27</v>
      </c>
      <c r="AR1303">
        <v>0</v>
      </c>
      <c r="AS1303">
        <v>0</v>
      </c>
      <c r="AT1303">
        <v>0</v>
      </c>
      <c r="AU1303">
        <v>0</v>
      </c>
      <c r="AV1303">
        <v>0</v>
      </c>
      <c r="AW1303">
        <v>0</v>
      </c>
      <c r="AX1303">
        <v>0</v>
      </c>
      <c r="AY1303">
        <v>0</v>
      </c>
      <c r="AZ1303">
        <v>0</v>
      </c>
      <c r="BA1303">
        <v>0</v>
      </c>
      <c r="BB1303">
        <v>0</v>
      </c>
      <c r="BC1303">
        <v>0</v>
      </c>
      <c r="BD1303">
        <v>0</v>
      </c>
      <c r="BE1303">
        <v>0</v>
      </c>
      <c r="BF1303">
        <v>0</v>
      </c>
      <c r="BG1303">
        <v>0</v>
      </c>
      <c r="BH1303">
        <v>1</v>
      </c>
      <c r="BI1303">
        <v>7</v>
      </c>
      <c r="BJ1303">
        <v>6.5</v>
      </c>
      <c r="BK1303">
        <v>7</v>
      </c>
      <c r="BL1303">
        <v>55.23</v>
      </c>
      <c r="BM1303">
        <v>8.2799999999999994</v>
      </c>
      <c r="BN1303">
        <v>63.51</v>
      </c>
      <c r="BO1303">
        <v>63.51</v>
      </c>
      <c r="BQ1303" t="s">
        <v>1975</v>
      </c>
      <c r="BR1303">
        <v>27871311311</v>
      </c>
      <c r="BS1303" s="3">
        <v>45782</v>
      </c>
      <c r="BT1303" s="4">
        <v>0.74652777777777779</v>
      </c>
      <c r="BU1303" t="s">
        <v>1976</v>
      </c>
      <c r="BV1303" t="s">
        <v>89</v>
      </c>
      <c r="BY1303">
        <v>32490</v>
      </c>
      <c r="BZ1303" t="s">
        <v>1795</v>
      </c>
      <c r="CA1303" t="s">
        <v>1977</v>
      </c>
      <c r="CC1303" t="s">
        <v>118</v>
      </c>
      <c r="CD1303">
        <v>2053</v>
      </c>
      <c r="CE1303" t="s">
        <v>176</v>
      </c>
      <c r="CF1303" s="3">
        <v>45784</v>
      </c>
      <c r="CI1303">
        <v>1</v>
      </c>
      <c r="CJ1303">
        <v>1</v>
      </c>
      <c r="CK1303">
        <v>22</v>
      </c>
      <c r="CL1303" t="s">
        <v>89</v>
      </c>
    </row>
    <row r="1304" spans="1:90" x14ac:dyDescent="0.3">
      <c r="A1304" t="s">
        <v>72</v>
      </c>
      <c r="B1304" t="s">
        <v>73</v>
      </c>
      <c r="C1304" t="s">
        <v>74</v>
      </c>
      <c r="E1304" t="str">
        <f>"080065169153"</f>
        <v>080065169153</v>
      </c>
      <c r="F1304" s="3">
        <v>45782</v>
      </c>
      <c r="G1304">
        <v>202602</v>
      </c>
      <c r="H1304" t="s">
        <v>75</v>
      </c>
      <c r="I1304" t="s">
        <v>76</v>
      </c>
      <c r="J1304" t="s">
        <v>1791</v>
      </c>
      <c r="K1304" t="s">
        <v>78</v>
      </c>
      <c r="L1304" t="s">
        <v>97</v>
      </c>
      <c r="M1304" t="s">
        <v>98</v>
      </c>
      <c r="N1304" t="s">
        <v>99</v>
      </c>
      <c r="O1304" t="s">
        <v>300</v>
      </c>
      <c r="P1304" t="str">
        <f>"4170036819                    "</f>
        <v xml:space="preserve">4170036819                    </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33</v>
      </c>
      <c r="AR1304">
        <v>0</v>
      </c>
      <c r="AS1304">
        <v>0</v>
      </c>
      <c r="AT1304">
        <v>0</v>
      </c>
      <c r="AU1304">
        <v>0</v>
      </c>
      <c r="AV1304">
        <v>0</v>
      </c>
      <c r="AW1304">
        <v>0</v>
      </c>
      <c r="AX1304">
        <v>0</v>
      </c>
      <c r="AY1304">
        <v>0</v>
      </c>
      <c r="AZ1304">
        <v>0</v>
      </c>
      <c r="BA1304">
        <v>0</v>
      </c>
      <c r="BB1304">
        <v>0</v>
      </c>
      <c r="BC1304">
        <v>0</v>
      </c>
      <c r="BD1304">
        <v>0</v>
      </c>
      <c r="BE1304">
        <v>0</v>
      </c>
      <c r="BF1304">
        <v>0</v>
      </c>
      <c r="BG1304">
        <v>0</v>
      </c>
      <c r="BH1304">
        <v>1</v>
      </c>
      <c r="BI1304">
        <v>4</v>
      </c>
      <c r="BJ1304">
        <v>8.9</v>
      </c>
      <c r="BK1304">
        <v>9</v>
      </c>
      <c r="BL1304">
        <v>111.09</v>
      </c>
      <c r="BM1304">
        <v>16.66</v>
      </c>
      <c r="BN1304">
        <v>127.75</v>
      </c>
      <c r="BO1304">
        <v>127.75</v>
      </c>
      <c r="BQ1304" t="s">
        <v>100</v>
      </c>
      <c r="BR1304" t="s">
        <v>1793</v>
      </c>
      <c r="BS1304" s="3">
        <v>45783</v>
      </c>
      <c r="BT1304" s="4">
        <v>0.34236111111111112</v>
      </c>
      <c r="BU1304" t="s">
        <v>551</v>
      </c>
      <c r="BV1304" t="s">
        <v>86</v>
      </c>
      <c r="BY1304">
        <v>44640</v>
      </c>
      <c r="BZ1304" t="s">
        <v>1795</v>
      </c>
      <c r="CA1304" t="s">
        <v>279</v>
      </c>
      <c r="CC1304" t="s">
        <v>98</v>
      </c>
      <c r="CD1304">
        <v>1459</v>
      </c>
      <c r="CE1304" t="s">
        <v>419</v>
      </c>
      <c r="CF1304" s="3">
        <v>45783</v>
      </c>
      <c r="CI1304">
        <v>1</v>
      </c>
      <c r="CJ1304">
        <v>1</v>
      </c>
      <c r="CK1304">
        <v>42</v>
      </c>
      <c r="CL1304" t="s">
        <v>89</v>
      </c>
    </row>
    <row r="1305" spans="1:90" x14ac:dyDescent="0.3">
      <c r="A1305" t="s">
        <v>72</v>
      </c>
      <c r="B1305" t="s">
        <v>73</v>
      </c>
      <c r="C1305" t="s">
        <v>74</v>
      </c>
      <c r="E1305" t="str">
        <f>"080065173794"</f>
        <v>080065173794</v>
      </c>
      <c r="F1305" s="3">
        <v>45782</v>
      </c>
      <c r="G1305">
        <v>202602</v>
      </c>
      <c r="H1305" t="s">
        <v>75</v>
      </c>
      <c r="I1305" t="s">
        <v>76</v>
      </c>
      <c r="J1305" t="s">
        <v>1791</v>
      </c>
      <c r="K1305" t="s">
        <v>78</v>
      </c>
      <c r="L1305" t="s">
        <v>136</v>
      </c>
      <c r="M1305" t="s">
        <v>137</v>
      </c>
      <c r="N1305" t="s">
        <v>441</v>
      </c>
      <c r="O1305" t="s">
        <v>300</v>
      </c>
      <c r="P1305" t="str">
        <f>"4170036892                    "</f>
        <v xml:space="preserve">4170036892                    </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0</v>
      </c>
      <c r="AL1305">
        <v>0</v>
      </c>
      <c r="AM1305">
        <v>0</v>
      </c>
      <c r="AN1305">
        <v>0</v>
      </c>
      <c r="AO1305">
        <v>0</v>
      </c>
      <c r="AP1305">
        <v>0</v>
      </c>
      <c r="AQ1305">
        <v>42.76</v>
      </c>
      <c r="AR1305">
        <v>0</v>
      </c>
      <c r="AS1305">
        <v>0</v>
      </c>
      <c r="AT1305">
        <v>0</v>
      </c>
      <c r="AU1305">
        <v>0</v>
      </c>
      <c r="AV1305">
        <v>0</v>
      </c>
      <c r="AW1305">
        <v>0</v>
      </c>
      <c r="AX1305">
        <v>0</v>
      </c>
      <c r="AY1305">
        <v>0</v>
      </c>
      <c r="AZ1305">
        <v>0</v>
      </c>
      <c r="BA1305">
        <v>0</v>
      </c>
      <c r="BB1305">
        <v>0</v>
      </c>
      <c r="BC1305">
        <v>0</v>
      </c>
      <c r="BD1305">
        <v>0</v>
      </c>
      <c r="BE1305">
        <v>0</v>
      </c>
      <c r="BF1305">
        <v>0</v>
      </c>
      <c r="BG1305">
        <v>0</v>
      </c>
      <c r="BH1305">
        <v>1</v>
      </c>
      <c r="BI1305">
        <v>6</v>
      </c>
      <c r="BJ1305">
        <v>3.4</v>
      </c>
      <c r="BK1305">
        <v>6</v>
      </c>
      <c r="BL1305">
        <v>142.31</v>
      </c>
      <c r="BM1305">
        <v>21.35</v>
      </c>
      <c r="BN1305">
        <v>163.66</v>
      </c>
      <c r="BO1305">
        <v>163.66</v>
      </c>
      <c r="BQ1305" t="s">
        <v>1978</v>
      </c>
      <c r="BR1305" t="s">
        <v>1793</v>
      </c>
      <c r="BS1305" s="3">
        <v>45783</v>
      </c>
      <c r="BT1305" s="4">
        <v>0.53194444444444444</v>
      </c>
      <c r="BU1305" t="s">
        <v>514</v>
      </c>
      <c r="BV1305" t="s">
        <v>86</v>
      </c>
      <c r="BY1305">
        <v>16965</v>
      </c>
      <c r="BZ1305" t="s">
        <v>1795</v>
      </c>
      <c r="CA1305" t="s">
        <v>199</v>
      </c>
      <c r="CC1305" t="s">
        <v>137</v>
      </c>
      <c r="CD1305" s="5" t="s">
        <v>444</v>
      </c>
      <c r="CE1305" t="s">
        <v>419</v>
      </c>
      <c r="CF1305" s="3">
        <v>45783</v>
      </c>
      <c r="CI1305">
        <v>1</v>
      </c>
      <c r="CJ1305">
        <v>1</v>
      </c>
      <c r="CK1305">
        <v>41</v>
      </c>
      <c r="CL1305" t="s">
        <v>89</v>
      </c>
    </row>
    <row r="1306" spans="1:90" x14ac:dyDescent="0.3">
      <c r="A1306" t="s">
        <v>72</v>
      </c>
      <c r="B1306" t="s">
        <v>73</v>
      </c>
      <c r="C1306" t="s">
        <v>74</v>
      </c>
      <c r="E1306" t="str">
        <f>"080065174941"</f>
        <v>080065174941</v>
      </c>
      <c r="F1306" s="3">
        <v>45782</v>
      </c>
      <c r="G1306">
        <v>202602</v>
      </c>
      <c r="H1306" t="s">
        <v>75</v>
      </c>
      <c r="I1306" t="s">
        <v>76</v>
      </c>
      <c r="J1306" t="s">
        <v>1791</v>
      </c>
      <c r="K1306" t="s">
        <v>78</v>
      </c>
      <c r="L1306" t="s">
        <v>967</v>
      </c>
      <c r="M1306" t="s">
        <v>967</v>
      </c>
      <c r="N1306" t="s">
        <v>1979</v>
      </c>
      <c r="O1306" t="s">
        <v>300</v>
      </c>
      <c r="P1306" t="str">
        <f>"4170036966                    "</f>
        <v xml:space="preserve">4170036966                    </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0</v>
      </c>
      <c r="AL1306">
        <v>0</v>
      </c>
      <c r="AM1306">
        <v>0</v>
      </c>
      <c r="AN1306">
        <v>0</v>
      </c>
      <c r="AO1306">
        <v>0</v>
      </c>
      <c r="AP1306">
        <v>0</v>
      </c>
      <c r="AQ1306">
        <v>47.22</v>
      </c>
      <c r="AR1306">
        <v>0</v>
      </c>
      <c r="AS1306">
        <v>0</v>
      </c>
      <c r="AT1306">
        <v>0</v>
      </c>
      <c r="AU1306">
        <v>0</v>
      </c>
      <c r="AV1306">
        <v>0</v>
      </c>
      <c r="AW1306">
        <v>0</v>
      </c>
      <c r="AX1306">
        <v>0</v>
      </c>
      <c r="AY1306">
        <v>0</v>
      </c>
      <c r="AZ1306">
        <v>0</v>
      </c>
      <c r="BA1306">
        <v>0</v>
      </c>
      <c r="BB1306">
        <v>0</v>
      </c>
      <c r="BC1306">
        <v>0</v>
      </c>
      <c r="BD1306">
        <v>0</v>
      </c>
      <c r="BE1306">
        <v>0</v>
      </c>
      <c r="BF1306">
        <v>0</v>
      </c>
      <c r="BG1306">
        <v>0</v>
      </c>
      <c r="BH1306">
        <v>1</v>
      </c>
      <c r="BI1306">
        <v>7</v>
      </c>
      <c r="BJ1306">
        <v>7.4</v>
      </c>
      <c r="BK1306">
        <v>8</v>
      </c>
      <c r="BL1306">
        <v>156.58000000000001</v>
      </c>
      <c r="BM1306">
        <v>23.49</v>
      </c>
      <c r="BN1306">
        <v>180.07</v>
      </c>
      <c r="BO1306">
        <v>180.07</v>
      </c>
      <c r="BQ1306" t="s">
        <v>1980</v>
      </c>
      <c r="BR1306" t="s">
        <v>1793</v>
      </c>
      <c r="BS1306" s="3">
        <v>45783</v>
      </c>
      <c r="BT1306" s="4">
        <v>0.4375</v>
      </c>
      <c r="BU1306" t="s">
        <v>1981</v>
      </c>
      <c r="BV1306" t="s">
        <v>86</v>
      </c>
      <c r="BY1306">
        <v>36963</v>
      </c>
      <c r="BZ1306" t="s">
        <v>1795</v>
      </c>
      <c r="CA1306" t="s">
        <v>971</v>
      </c>
      <c r="CC1306" t="s">
        <v>967</v>
      </c>
      <c r="CD1306">
        <v>1491</v>
      </c>
      <c r="CE1306" t="s">
        <v>1982</v>
      </c>
      <c r="CF1306" s="3">
        <v>45784</v>
      </c>
      <c r="CI1306">
        <v>1</v>
      </c>
      <c r="CJ1306">
        <v>1</v>
      </c>
      <c r="CK1306">
        <v>44</v>
      </c>
      <c r="CL1306" t="s">
        <v>89</v>
      </c>
    </row>
    <row r="1307" spans="1:90" x14ac:dyDescent="0.3">
      <c r="A1307" t="s">
        <v>72</v>
      </c>
      <c r="B1307" t="s">
        <v>73</v>
      </c>
      <c r="C1307" t="s">
        <v>74</v>
      </c>
      <c r="E1307" t="str">
        <f>"080065189454"</f>
        <v>080065189454</v>
      </c>
      <c r="F1307" s="3">
        <v>45783</v>
      </c>
      <c r="G1307">
        <v>202602</v>
      </c>
      <c r="H1307" t="s">
        <v>75</v>
      </c>
      <c r="I1307" t="s">
        <v>76</v>
      </c>
      <c r="J1307" t="s">
        <v>1791</v>
      </c>
      <c r="K1307" t="s">
        <v>78</v>
      </c>
      <c r="L1307" t="s">
        <v>366</v>
      </c>
      <c r="M1307" t="s">
        <v>367</v>
      </c>
      <c r="N1307" t="s">
        <v>1983</v>
      </c>
      <c r="O1307" t="s">
        <v>300</v>
      </c>
      <c r="P1307" t="str">
        <f>"4170036985                    "</f>
        <v xml:space="preserve">4170036985                    </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0</v>
      </c>
      <c r="AL1307">
        <v>0</v>
      </c>
      <c r="AM1307">
        <v>0</v>
      </c>
      <c r="AN1307">
        <v>0</v>
      </c>
      <c r="AO1307">
        <v>0</v>
      </c>
      <c r="AP1307">
        <v>0</v>
      </c>
      <c r="AQ1307">
        <v>47.22</v>
      </c>
      <c r="AR1307">
        <v>0</v>
      </c>
      <c r="AS1307">
        <v>0</v>
      </c>
      <c r="AT1307">
        <v>0</v>
      </c>
      <c r="AU1307">
        <v>0</v>
      </c>
      <c r="AV1307">
        <v>0</v>
      </c>
      <c r="AW1307">
        <v>0</v>
      </c>
      <c r="AX1307">
        <v>0</v>
      </c>
      <c r="AY1307">
        <v>0</v>
      </c>
      <c r="AZ1307">
        <v>0</v>
      </c>
      <c r="BA1307">
        <v>0</v>
      </c>
      <c r="BB1307">
        <v>0</v>
      </c>
      <c r="BC1307">
        <v>0</v>
      </c>
      <c r="BD1307">
        <v>0</v>
      </c>
      <c r="BE1307">
        <v>0</v>
      </c>
      <c r="BF1307">
        <v>0</v>
      </c>
      <c r="BG1307">
        <v>0</v>
      </c>
      <c r="BH1307">
        <v>1</v>
      </c>
      <c r="BI1307">
        <v>8</v>
      </c>
      <c r="BJ1307">
        <v>3.1</v>
      </c>
      <c r="BK1307">
        <v>8</v>
      </c>
      <c r="BL1307">
        <v>156.58000000000001</v>
      </c>
      <c r="BM1307">
        <v>23.49</v>
      </c>
      <c r="BN1307">
        <v>180.07</v>
      </c>
      <c r="BO1307">
        <v>180.07</v>
      </c>
      <c r="BQ1307" t="s">
        <v>1984</v>
      </c>
      <c r="BR1307" t="s">
        <v>1793</v>
      </c>
      <c r="BS1307" s="3">
        <v>45784</v>
      </c>
      <c r="BT1307" s="4">
        <v>0.53819444444444442</v>
      </c>
      <c r="BU1307" t="s">
        <v>1985</v>
      </c>
      <c r="BV1307" t="s">
        <v>86</v>
      </c>
      <c r="BY1307">
        <v>15360</v>
      </c>
      <c r="BZ1307" t="s">
        <v>1795</v>
      </c>
      <c r="CA1307" t="s">
        <v>971</v>
      </c>
      <c r="CC1307" t="s">
        <v>367</v>
      </c>
      <c r="CD1307">
        <v>1438</v>
      </c>
      <c r="CE1307" t="s">
        <v>419</v>
      </c>
      <c r="CF1307" s="3">
        <v>45784</v>
      </c>
      <c r="CI1307">
        <v>1</v>
      </c>
      <c r="CJ1307">
        <v>1</v>
      </c>
      <c r="CK1307">
        <v>44</v>
      </c>
      <c r="CL1307" t="s">
        <v>89</v>
      </c>
    </row>
    <row r="1308" spans="1:90" x14ac:dyDescent="0.3">
      <c r="A1308" t="s">
        <v>72</v>
      </c>
      <c r="B1308" t="s">
        <v>73</v>
      </c>
      <c r="C1308" t="s">
        <v>74</v>
      </c>
      <c r="E1308" t="str">
        <f>"080065189612"</f>
        <v>080065189612</v>
      </c>
      <c r="F1308" s="3">
        <v>45783</v>
      </c>
      <c r="G1308">
        <v>202602</v>
      </c>
      <c r="H1308" t="s">
        <v>75</v>
      </c>
      <c r="I1308" t="s">
        <v>76</v>
      </c>
      <c r="J1308" t="s">
        <v>1791</v>
      </c>
      <c r="K1308" t="s">
        <v>78</v>
      </c>
      <c r="L1308" t="s">
        <v>136</v>
      </c>
      <c r="M1308" t="s">
        <v>137</v>
      </c>
      <c r="N1308" t="s">
        <v>1514</v>
      </c>
      <c r="O1308" t="s">
        <v>300</v>
      </c>
      <c r="P1308" t="str">
        <f>"4170036998                    "</f>
        <v xml:space="preserve">4170036998                    </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42.76</v>
      </c>
      <c r="AR1308">
        <v>0</v>
      </c>
      <c r="AS1308">
        <v>0</v>
      </c>
      <c r="AT1308">
        <v>0</v>
      </c>
      <c r="AU1308">
        <v>0</v>
      </c>
      <c r="AV1308">
        <v>0</v>
      </c>
      <c r="AW1308">
        <v>0</v>
      </c>
      <c r="AX1308">
        <v>0</v>
      </c>
      <c r="AY1308">
        <v>0</v>
      </c>
      <c r="AZ1308">
        <v>0</v>
      </c>
      <c r="BA1308">
        <v>0</v>
      </c>
      <c r="BB1308">
        <v>0</v>
      </c>
      <c r="BC1308">
        <v>0</v>
      </c>
      <c r="BD1308">
        <v>0</v>
      </c>
      <c r="BE1308">
        <v>0</v>
      </c>
      <c r="BF1308">
        <v>0</v>
      </c>
      <c r="BG1308">
        <v>0</v>
      </c>
      <c r="BH1308">
        <v>2</v>
      </c>
      <c r="BI1308">
        <v>2</v>
      </c>
      <c r="BJ1308">
        <v>4.3</v>
      </c>
      <c r="BK1308">
        <v>5</v>
      </c>
      <c r="BL1308">
        <v>142.31</v>
      </c>
      <c r="BM1308">
        <v>21.35</v>
      </c>
      <c r="BN1308">
        <v>163.66</v>
      </c>
      <c r="BO1308">
        <v>163.66</v>
      </c>
      <c r="BQ1308" t="s">
        <v>1986</v>
      </c>
      <c r="BR1308" t="s">
        <v>1793</v>
      </c>
      <c r="BS1308" s="3">
        <v>45784</v>
      </c>
      <c r="BT1308" s="4">
        <v>0.41388888888888886</v>
      </c>
      <c r="BU1308" t="s">
        <v>1987</v>
      </c>
      <c r="BV1308" t="s">
        <v>86</v>
      </c>
      <c r="BY1308">
        <v>21744</v>
      </c>
      <c r="BZ1308" t="s">
        <v>1795</v>
      </c>
      <c r="CA1308" t="s">
        <v>141</v>
      </c>
      <c r="CC1308" t="s">
        <v>137</v>
      </c>
      <c r="CD1308" s="5" t="s">
        <v>142</v>
      </c>
      <c r="CE1308" t="s">
        <v>419</v>
      </c>
      <c r="CF1308" s="3">
        <v>45784</v>
      </c>
      <c r="CI1308">
        <v>1</v>
      </c>
      <c r="CJ1308">
        <v>1</v>
      </c>
      <c r="CK1308">
        <v>41</v>
      </c>
      <c r="CL1308" t="s">
        <v>89</v>
      </c>
    </row>
    <row r="1309" spans="1:90" x14ac:dyDescent="0.3">
      <c r="A1309" t="s">
        <v>72</v>
      </c>
      <c r="B1309" t="s">
        <v>73</v>
      </c>
      <c r="C1309" t="s">
        <v>74</v>
      </c>
      <c r="E1309" t="str">
        <f>"080065193846"</f>
        <v>080065193846</v>
      </c>
      <c r="F1309" s="3">
        <v>45783</v>
      </c>
      <c r="G1309">
        <v>202602</v>
      </c>
      <c r="H1309" t="s">
        <v>75</v>
      </c>
      <c r="I1309" t="s">
        <v>76</v>
      </c>
      <c r="J1309" t="s">
        <v>1791</v>
      </c>
      <c r="K1309" t="s">
        <v>78</v>
      </c>
      <c r="L1309" t="s">
        <v>567</v>
      </c>
      <c r="M1309" t="s">
        <v>568</v>
      </c>
      <c r="N1309" t="s">
        <v>1907</v>
      </c>
      <c r="O1309" t="s">
        <v>300</v>
      </c>
      <c r="P1309" t="str">
        <f>"4170037003                    "</f>
        <v xml:space="preserve">4170037003                    </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0</v>
      </c>
      <c r="AL1309">
        <v>0</v>
      </c>
      <c r="AM1309">
        <v>0</v>
      </c>
      <c r="AN1309">
        <v>0</v>
      </c>
      <c r="AO1309">
        <v>0</v>
      </c>
      <c r="AP1309">
        <v>0</v>
      </c>
      <c r="AQ1309">
        <v>60.31</v>
      </c>
      <c r="AR1309">
        <v>0</v>
      </c>
      <c r="AS1309">
        <v>0</v>
      </c>
      <c r="AT1309">
        <v>0</v>
      </c>
      <c r="AU1309">
        <v>0</v>
      </c>
      <c r="AV1309">
        <v>0</v>
      </c>
      <c r="AW1309">
        <v>0</v>
      </c>
      <c r="AX1309">
        <v>0</v>
      </c>
      <c r="AY1309">
        <v>0</v>
      </c>
      <c r="AZ1309">
        <v>0</v>
      </c>
      <c r="BA1309">
        <v>0</v>
      </c>
      <c r="BB1309">
        <v>0</v>
      </c>
      <c r="BC1309">
        <v>0</v>
      </c>
      <c r="BD1309">
        <v>0</v>
      </c>
      <c r="BE1309">
        <v>0</v>
      </c>
      <c r="BF1309">
        <v>0</v>
      </c>
      <c r="BG1309">
        <v>0</v>
      </c>
      <c r="BH1309">
        <v>1</v>
      </c>
      <c r="BI1309">
        <v>10</v>
      </c>
      <c r="BJ1309">
        <v>8.9</v>
      </c>
      <c r="BK1309">
        <v>10</v>
      </c>
      <c r="BL1309">
        <v>198.43</v>
      </c>
      <c r="BM1309">
        <v>29.76</v>
      </c>
      <c r="BN1309">
        <v>228.19</v>
      </c>
      <c r="BO1309">
        <v>228.19</v>
      </c>
      <c r="BQ1309" t="s">
        <v>1908</v>
      </c>
      <c r="BR1309" t="s">
        <v>1793</v>
      </c>
      <c r="BS1309" s="3">
        <v>45784</v>
      </c>
      <c r="BT1309" s="4">
        <v>0.42569444444444443</v>
      </c>
      <c r="BU1309" t="s">
        <v>274</v>
      </c>
      <c r="BV1309" t="s">
        <v>86</v>
      </c>
      <c r="BY1309">
        <v>44640</v>
      </c>
      <c r="BZ1309" t="s">
        <v>1795</v>
      </c>
      <c r="CA1309" t="s">
        <v>572</v>
      </c>
      <c r="CC1309" t="s">
        <v>568</v>
      </c>
      <c r="CD1309" s="5" t="s">
        <v>573</v>
      </c>
      <c r="CE1309" t="s">
        <v>419</v>
      </c>
      <c r="CF1309" s="3">
        <v>45785</v>
      </c>
      <c r="CI1309">
        <v>1</v>
      </c>
      <c r="CJ1309">
        <v>1</v>
      </c>
      <c r="CK1309">
        <v>43</v>
      </c>
      <c r="CL1309" t="s">
        <v>89</v>
      </c>
    </row>
    <row r="1310" spans="1:90" x14ac:dyDescent="0.3">
      <c r="A1310" t="s">
        <v>72</v>
      </c>
      <c r="B1310" t="s">
        <v>73</v>
      </c>
      <c r="C1310" t="s">
        <v>74</v>
      </c>
      <c r="E1310" t="str">
        <f>"080065193953"</f>
        <v>080065193953</v>
      </c>
      <c r="F1310" s="3">
        <v>45783</v>
      </c>
      <c r="G1310">
        <v>202602</v>
      </c>
      <c r="H1310" t="s">
        <v>75</v>
      </c>
      <c r="I1310" t="s">
        <v>76</v>
      </c>
      <c r="J1310" t="s">
        <v>1791</v>
      </c>
      <c r="K1310" t="s">
        <v>78</v>
      </c>
      <c r="L1310" t="s">
        <v>222</v>
      </c>
      <c r="M1310" t="s">
        <v>223</v>
      </c>
      <c r="N1310" t="s">
        <v>589</v>
      </c>
      <c r="O1310" t="s">
        <v>300</v>
      </c>
      <c r="P1310" t="str">
        <f>"4170037055                    "</f>
        <v xml:space="preserve">4170037055                    </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c r="AJ1310">
        <v>0</v>
      </c>
      <c r="AK1310">
        <v>0</v>
      </c>
      <c r="AL1310">
        <v>0</v>
      </c>
      <c r="AM1310">
        <v>0</v>
      </c>
      <c r="AN1310">
        <v>0</v>
      </c>
      <c r="AO1310">
        <v>0</v>
      </c>
      <c r="AP1310">
        <v>0</v>
      </c>
      <c r="AQ1310">
        <v>47.22</v>
      </c>
      <c r="AR1310">
        <v>0</v>
      </c>
      <c r="AS1310">
        <v>0</v>
      </c>
      <c r="AT1310">
        <v>0</v>
      </c>
      <c r="AU1310">
        <v>0</v>
      </c>
      <c r="AV1310">
        <v>0</v>
      </c>
      <c r="AW1310">
        <v>0</v>
      </c>
      <c r="AX1310">
        <v>0</v>
      </c>
      <c r="AY1310">
        <v>0</v>
      </c>
      <c r="AZ1310">
        <v>0</v>
      </c>
      <c r="BA1310">
        <v>0</v>
      </c>
      <c r="BB1310">
        <v>0</v>
      </c>
      <c r="BC1310">
        <v>0</v>
      </c>
      <c r="BD1310">
        <v>0</v>
      </c>
      <c r="BE1310">
        <v>0</v>
      </c>
      <c r="BF1310">
        <v>0</v>
      </c>
      <c r="BG1310">
        <v>0</v>
      </c>
      <c r="BH1310">
        <v>1</v>
      </c>
      <c r="BI1310">
        <v>6</v>
      </c>
      <c r="BJ1310">
        <v>7.7</v>
      </c>
      <c r="BK1310">
        <v>8</v>
      </c>
      <c r="BL1310">
        <v>156.58000000000001</v>
      </c>
      <c r="BM1310">
        <v>23.49</v>
      </c>
      <c r="BN1310">
        <v>180.07</v>
      </c>
      <c r="BO1310">
        <v>180.07</v>
      </c>
      <c r="BQ1310" t="s">
        <v>1988</v>
      </c>
      <c r="BR1310" t="s">
        <v>1793</v>
      </c>
      <c r="BS1310" s="3">
        <v>45784</v>
      </c>
      <c r="BT1310" s="4">
        <v>0.36666666666666664</v>
      </c>
      <c r="BU1310" t="s">
        <v>591</v>
      </c>
      <c r="BV1310" t="s">
        <v>86</v>
      </c>
      <c r="BY1310">
        <v>38454</v>
      </c>
      <c r="BZ1310" t="s">
        <v>1795</v>
      </c>
      <c r="CA1310" t="s">
        <v>592</v>
      </c>
      <c r="CC1310" t="s">
        <v>223</v>
      </c>
      <c r="CD1310">
        <v>1748</v>
      </c>
      <c r="CE1310" t="s">
        <v>419</v>
      </c>
      <c r="CF1310" s="3">
        <v>45784</v>
      </c>
      <c r="CI1310">
        <v>1</v>
      </c>
      <c r="CJ1310">
        <v>1</v>
      </c>
      <c r="CK1310">
        <v>44</v>
      </c>
      <c r="CL1310" t="s">
        <v>89</v>
      </c>
    </row>
    <row r="1311" spans="1:90" x14ac:dyDescent="0.3">
      <c r="A1311" t="s">
        <v>72</v>
      </c>
      <c r="B1311" t="s">
        <v>73</v>
      </c>
      <c r="C1311" t="s">
        <v>74</v>
      </c>
      <c r="E1311" t="str">
        <f>"080065195595"</f>
        <v>080065195595</v>
      </c>
      <c r="F1311" s="3">
        <v>45783</v>
      </c>
      <c r="G1311">
        <v>202602</v>
      </c>
      <c r="H1311" t="s">
        <v>75</v>
      </c>
      <c r="I1311" t="s">
        <v>76</v>
      </c>
      <c r="J1311" t="s">
        <v>1791</v>
      </c>
      <c r="K1311" t="s">
        <v>78</v>
      </c>
      <c r="L1311" t="s">
        <v>136</v>
      </c>
      <c r="M1311" t="s">
        <v>137</v>
      </c>
      <c r="N1311" t="s">
        <v>499</v>
      </c>
      <c r="O1311" t="s">
        <v>300</v>
      </c>
      <c r="P1311" t="str">
        <f>"4170037102                    "</f>
        <v xml:space="preserve">4170037102                    </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0</v>
      </c>
      <c r="AL1311">
        <v>0</v>
      </c>
      <c r="AM1311">
        <v>0</v>
      </c>
      <c r="AN1311">
        <v>0</v>
      </c>
      <c r="AO1311">
        <v>0</v>
      </c>
      <c r="AP1311">
        <v>0</v>
      </c>
      <c r="AQ1311">
        <v>42.76</v>
      </c>
      <c r="AR1311">
        <v>0</v>
      </c>
      <c r="AS1311">
        <v>0</v>
      </c>
      <c r="AT1311">
        <v>0</v>
      </c>
      <c r="AU1311">
        <v>0</v>
      </c>
      <c r="AV1311">
        <v>0</v>
      </c>
      <c r="AW1311">
        <v>0</v>
      </c>
      <c r="AX1311">
        <v>0</v>
      </c>
      <c r="AY1311">
        <v>0</v>
      </c>
      <c r="AZ1311">
        <v>0</v>
      </c>
      <c r="BA1311">
        <v>0</v>
      </c>
      <c r="BB1311">
        <v>0</v>
      </c>
      <c r="BC1311">
        <v>0</v>
      </c>
      <c r="BD1311">
        <v>0</v>
      </c>
      <c r="BE1311">
        <v>0</v>
      </c>
      <c r="BF1311">
        <v>0</v>
      </c>
      <c r="BG1311">
        <v>0</v>
      </c>
      <c r="BH1311">
        <v>1</v>
      </c>
      <c r="BI1311">
        <v>3</v>
      </c>
      <c r="BJ1311">
        <v>5.5</v>
      </c>
      <c r="BK1311">
        <v>6</v>
      </c>
      <c r="BL1311">
        <v>142.31</v>
      </c>
      <c r="BM1311">
        <v>21.35</v>
      </c>
      <c r="BN1311">
        <v>163.66</v>
      </c>
      <c r="BO1311">
        <v>163.66</v>
      </c>
      <c r="BQ1311" t="s">
        <v>1989</v>
      </c>
      <c r="BR1311" t="s">
        <v>1793</v>
      </c>
      <c r="BS1311" s="3">
        <v>45784</v>
      </c>
      <c r="BT1311" s="4">
        <v>0.43333333333333335</v>
      </c>
      <c r="BU1311" t="s">
        <v>501</v>
      </c>
      <c r="BV1311" t="s">
        <v>86</v>
      </c>
      <c r="BY1311">
        <v>27744</v>
      </c>
      <c r="BZ1311" t="s">
        <v>1795</v>
      </c>
      <c r="CA1311" t="s">
        <v>141</v>
      </c>
      <c r="CC1311" t="s">
        <v>137</v>
      </c>
      <c r="CD1311" s="5" t="s">
        <v>142</v>
      </c>
      <c r="CE1311" t="s">
        <v>176</v>
      </c>
      <c r="CF1311" s="3">
        <v>45784</v>
      </c>
      <c r="CI1311">
        <v>1</v>
      </c>
      <c r="CJ1311">
        <v>1</v>
      </c>
      <c r="CK1311">
        <v>41</v>
      </c>
      <c r="CL1311" t="s">
        <v>89</v>
      </c>
    </row>
    <row r="1312" spans="1:90" x14ac:dyDescent="0.3">
      <c r="A1312" t="s">
        <v>72</v>
      </c>
      <c r="B1312" t="s">
        <v>73</v>
      </c>
      <c r="C1312" t="s">
        <v>74</v>
      </c>
      <c r="E1312" t="str">
        <f>"080065197328"</f>
        <v>080065197328</v>
      </c>
      <c r="F1312" s="3">
        <v>45783</v>
      </c>
      <c r="G1312">
        <v>202602</v>
      </c>
      <c r="H1312" t="s">
        <v>75</v>
      </c>
      <c r="I1312" t="s">
        <v>76</v>
      </c>
      <c r="J1312" t="s">
        <v>1791</v>
      </c>
      <c r="K1312" t="s">
        <v>78</v>
      </c>
      <c r="L1312" t="s">
        <v>136</v>
      </c>
      <c r="M1312" t="s">
        <v>137</v>
      </c>
      <c r="N1312" t="s">
        <v>1656</v>
      </c>
      <c r="O1312" t="s">
        <v>300</v>
      </c>
      <c r="P1312" t="str">
        <f>"4170037046                    "</f>
        <v xml:space="preserve">4170037046                    </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0</v>
      </c>
      <c r="AL1312">
        <v>0</v>
      </c>
      <c r="AM1312">
        <v>0</v>
      </c>
      <c r="AN1312">
        <v>0</v>
      </c>
      <c r="AO1312">
        <v>0</v>
      </c>
      <c r="AP1312">
        <v>0</v>
      </c>
      <c r="AQ1312">
        <v>42.76</v>
      </c>
      <c r="AR1312">
        <v>0</v>
      </c>
      <c r="AS1312">
        <v>0</v>
      </c>
      <c r="AT1312">
        <v>0</v>
      </c>
      <c r="AU1312">
        <v>0</v>
      </c>
      <c r="AV1312">
        <v>0</v>
      </c>
      <c r="AW1312">
        <v>0</v>
      </c>
      <c r="AX1312">
        <v>0</v>
      </c>
      <c r="AY1312">
        <v>0</v>
      </c>
      <c r="AZ1312">
        <v>0</v>
      </c>
      <c r="BA1312">
        <v>0</v>
      </c>
      <c r="BB1312">
        <v>0</v>
      </c>
      <c r="BC1312">
        <v>0</v>
      </c>
      <c r="BD1312">
        <v>0</v>
      </c>
      <c r="BE1312">
        <v>0</v>
      </c>
      <c r="BF1312">
        <v>0</v>
      </c>
      <c r="BG1312">
        <v>0</v>
      </c>
      <c r="BH1312">
        <v>1</v>
      </c>
      <c r="BI1312">
        <v>5</v>
      </c>
      <c r="BJ1312">
        <v>5.2</v>
      </c>
      <c r="BK1312">
        <v>6</v>
      </c>
      <c r="BL1312">
        <v>142.31</v>
      </c>
      <c r="BM1312">
        <v>21.35</v>
      </c>
      <c r="BN1312">
        <v>163.66</v>
      </c>
      <c r="BO1312">
        <v>163.66</v>
      </c>
      <c r="BQ1312" t="s">
        <v>1657</v>
      </c>
      <c r="BR1312" t="s">
        <v>1793</v>
      </c>
      <c r="BS1312" s="3">
        <v>45784</v>
      </c>
      <c r="BT1312" s="4">
        <v>0.40833333333333333</v>
      </c>
      <c r="BU1312" t="s">
        <v>1658</v>
      </c>
      <c r="BV1312" t="s">
        <v>86</v>
      </c>
      <c r="BY1312">
        <v>26013</v>
      </c>
      <c r="BZ1312" t="s">
        <v>1795</v>
      </c>
      <c r="CA1312" t="s">
        <v>141</v>
      </c>
      <c r="CC1312" t="s">
        <v>137</v>
      </c>
      <c r="CD1312" s="5" t="s">
        <v>142</v>
      </c>
      <c r="CE1312" t="s">
        <v>419</v>
      </c>
      <c r="CF1312" s="3">
        <v>45784</v>
      </c>
      <c r="CI1312">
        <v>1</v>
      </c>
      <c r="CJ1312">
        <v>1</v>
      </c>
      <c r="CK1312">
        <v>41</v>
      </c>
      <c r="CL1312" t="s">
        <v>89</v>
      </c>
    </row>
    <row r="1313" spans="1:90" x14ac:dyDescent="0.3">
      <c r="A1313" t="s">
        <v>72</v>
      </c>
      <c r="B1313" t="s">
        <v>73</v>
      </c>
      <c r="C1313" t="s">
        <v>74</v>
      </c>
      <c r="E1313" t="str">
        <f>"080065202098"</f>
        <v>080065202098</v>
      </c>
      <c r="F1313" s="3">
        <v>45783</v>
      </c>
      <c r="G1313">
        <v>202602</v>
      </c>
      <c r="H1313" t="s">
        <v>75</v>
      </c>
      <c r="I1313" t="s">
        <v>76</v>
      </c>
      <c r="J1313" t="s">
        <v>1791</v>
      </c>
      <c r="K1313" t="s">
        <v>78</v>
      </c>
      <c r="L1313" t="s">
        <v>567</v>
      </c>
      <c r="M1313" t="s">
        <v>568</v>
      </c>
      <c r="N1313" t="s">
        <v>1990</v>
      </c>
      <c r="O1313" t="s">
        <v>300</v>
      </c>
      <c r="P1313" t="str">
        <f>"4170037142                    "</f>
        <v xml:space="preserve">4170037142                    </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0</v>
      </c>
      <c r="AL1313">
        <v>0</v>
      </c>
      <c r="AM1313">
        <v>0</v>
      </c>
      <c r="AN1313">
        <v>0</v>
      </c>
      <c r="AO1313">
        <v>0</v>
      </c>
      <c r="AP1313">
        <v>0</v>
      </c>
      <c r="AQ1313">
        <v>66.47</v>
      </c>
      <c r="AR1313">
        <v>0</v>
      </c>
      <c r="AS1313">
        <v>0</v>
      </c>
      <c r="AT1313">
        <v>0</v>
      </c>
      <c r="AU1313">
        <v>0</v>
      </c>
      <c r="AV1313">
        <v>0</v>
      </c>
      <c r="AW1313">
        <v>0</v>
      </c>
      <c r="AX1313">
        <v>0</v>
      </c>
      <c r="AY1313">
        <v>0</v>
      </c>
      <c r="AZ1313">
        <v>0</v>
      </c>
      <c r="BA1313">
        <v>0</v>
      </c>
      <c r="BB1313">
        <v>0</v>
      </c>
      <c r="BC1313">
        <v>0</v>
      </c>
      <c r="BD1313">
        <v>0</v>
      </c>
      <c r="BE1313">
        <v>0</v>
      </c>
      <c r="BF1313">
        <v>0</v>
      </c>
      <c r="BG1313">
        <v>0</v>
      </c>
      <c r="BH1313">
        <v>1</v>
      </c>
      <c r="BI1313">
        <v>17</v>
      </c>
      <c r="BJ1313">
        <v>8.1999999999999993</v>
      </c>
      <c r="BK1313">
        <v>17</v>
      </c>
      <c r="BL1313">
        <v>218.13</v>
      </c>
      <c r="BM1313">
        <v>32.72</v>
      </c>
      <c r="BN1313">
        <v>250.85</v>
      </c>
      <c r="BO1313">
        <v>250.85</v>
      </c>
      <c r="BQ1313" t="s">
        <v>1991</v>
      </c>
      <c r="BR1313" t="s">
        <v>1793</v>
      </c>
      <c r="BS1313" s="3">
        <v>45784</v>
      </c>
      <c r="BT1313" s="4">
        <v>0.43125000000000002</v>
      </c>
      <c r="BU1313" t="s">
        <v>1992</v>
      </c>
      <c r="BV1313" t="s">
        <v>86</v>
      </c>
      <c r="BY1313">
        <v>41116.03</v>
      </c>
      <c r="BZ1313" t="s">
        <v>1795</v>
      </c>
      <c r="CA1313" t="s">
        <v>572</v>
      </c>
      <c r="CC1313" t="s">
        <v>568</v>
      </c>
      <c r="CD1313" s="5" t="s">
        <v>573</v>
      </c>
      <c r="CE1313" t="s">
        <v>176</v>
      </c>
      <c r="CF1313" s="3">
        <v>45785</v>
      </c>
      <c r="CI1313">
        <v>1</v>
      </c>
      <c r="CJ1313">
        <v>1</v>
      </c>
      <c r="CK1313">
        <v>43</v>
      </c>
      <c r="CL1313" t="s">
        <v>89</v>
      </c>
    </row>
    <row r="1314" spans="1:90" x14ac:dyDescent="0.3">
      <c r="A1314" t="s">
        <v>72</v>
      </c>
      <c r="B1314" t="s">
        <v>73</v>
      </c>
      <c r="C1314" t="s">
        <v>74</v>
      </c>
      <c r="E1314" t="str">
        <f>"080065214702"</f>
        <v>080065214702</v>
      </c>
      <c r="F1314" s="3">
        <v>45784</v>
      </c>
      <c r="G1314">
        <v>202602</v>
      </c>
      <c r="H1314" t="s">
        <v>75</v>
      </c>
      <c r="I1314" t="s">
        <v>76</v>
      </c>
      <c r="J1314" t="s">
        <v>1791</v>
      </c>
      <c r="K1314" t="s">
        <v>78</v>
      </c>
      <c r="L1314" t="s">
        <v>1241</v>
      </c>
      <c r="M1314" t="s">
        <v>1242</v>
      </c>
      <c r="N1314" t="s">
        <v>1243</v>
      </c>
      <c r="O1314" t="s">
        <v>300</v>
      </c>
      <c r="P1314" t="str">
        <f>"4170037188                    "</f>
        <v xml:space="preserve">4170037188                    </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0</v>
      </c>
      <c r="AL1314">
        <v>0</v>
      </c>
      <c r="AM1314">
        <v>0</v>
      </c>
      <c r="AN1314">
        <v>0</v>
      </c>
      <c r="AO1314">
        <v>0</v>
      </c>
      <c r="AP1314">
        <v>0</v>
      </c>
      <c r="AQ1314">
        <v>58.32</v>
      </c>
      <c r="AR1314">
        <v>0</v>
      </c>
      <c r="AS1314">
        <v>0</v>
      </c>
      <c r="AT1314">
        <v>0</v>
      </c>
      <c r="AU1314">
        <v>0</v>
      </c>
      <c r="AV1314">
        <v>0</v>
      </c>
      <c r="AW1314">
        <v>0</v>
      </c>
      <c r="AX1314">
        <v>0</v>
      </c>
      <c r="AY1314">
        <v>0</v>
      </c>
      <c r="AZ1314">
        <v>0</v>
      </c>
      <c r="BA1314">
        <v>0</v>
      </c>
      <c r="BB1314">
        <v>0</v>
      </c>
      <c r="BC1314">
        <v>0</v>
      </c>
      <c r="BD1314">
        <v>0</v>
      </c>
      <c r="BE1314">
        <v>0</v>
      </c>
      <c r="BF1314">
        <v>0</v>
      </c>
      <c r="BG1314">
        <v>0</v>
      </c>
      <c r="BH1314">
        <v>1</v>
      </c>
      <c r="BI1314">
        <v>1</v>
      </c>
      <c r="BJ1314">
        <v>3.4</v>
      </c>
      <c r="BK1314">
        <v>4</v>
      </c>
      <c r="BL1314">
        <v>196.44</v>
      </c>
      <c r="BM1314">
        <v>29.47</v>
      </c>
      <c r="BN1314">
        <v>225.91</v>
      </c>
      <c r="BO1314">
        <v>225.91</v>
      </c>
      <c r="BQ1314" t="s">
        <v>1993</v>
      </c>
      <c r="BR1314" t="s">
        <v>1793</v>
      </c>
      <c r="BS1314" s="3">
        <v>45785</v>
      </c>
      <c r="BT1314" s="4">
        <v>0.42708333333333331</v>
      </c>
      <c r="BU1314" t="s">
        <v>1994</v>
      </c>
      <c r="BV1314" t="s">
        <v>86</v>
      </c>
      <c r="BY1314">
        <v>16965</v>
      </c>
      <c r="BZ1314" t="s">
        <v>1795</v>
      </c>
      <c r="CC1314" t="s">
        <v>1242</v>
      </c>
      <c r="CD1314">
        <v>1871</v>
      </c>
      <c r="CE1314" t="s">
        <v>419</v>
      </c>
      <c r="CF1314" s="3">
        <v>45785</v>
      </c>
      <c r="CI1314">
        <v>1</v>
      </c>
      <c r="CJ1314">
        <v>1</v>
      </c>
      <c r="CK1314">
        <v>43</v>
      </c>
      <c r="CL1314" t="s">
        <v>89</v>
      </c>
    </row>
    <row r="1315" spans="1:90" x14ac:dyDescent="0.3">
      <c r="A1315" t="s">
        <v>72</v>
      </c>
      <c r="B1315" t="s">
        <v>73</v>
      </c>
      <c r="C1315" t="s">
        <v>74</v>
      </c>
      <c r="E1315" t="str">
        <f>"080065222820"</f>
        <v>080065222820</v>
      </c>
      <c r="F1315" s="3">
        <v>45784</v>
      </c>
      <c r="G1315">
        <v>202602</v>
      </c>
      <c r="H1315" t="s">
        <v>75</v>
      </c>
      <c r="I1315" t="s">
        <v>76</v>
      </c>
      <c r="J1315" t="s">
        <v>1791</v>
      </c>
      <c r="K1315" t="s">
        <v>78</v>
      </c>
      <c r="L1315" t="s">
        <v>624</v>
      </c>
      <c r="M1315" t="s">
        <v>625</v>
      </c>
      <c r="N1315" t="s">
        <v>626</v>
      </c>
      <c r="O1315" t="s">
        <v>300</v>
      </c>
      <c r="P1315" t="str">
        <f>"4170037239                    "</f>
        <v xml:space="preserve">4170037239                    </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0</v>
      </c>
      <c r="AL1315">
        <v>0</v>
      </c>
      <c r="AM1315">
        <v>0</v>
      </c>
      <c r="AN1315">
        <v>0</v>
      </c>
      <c r="AO1315">
        <v>0</v>
      </c>
      <c r="AP1315">
        <v>0</v>
      </c>
      <c r="AQ1315">
        <v>58.32</v>
      </c>
      <c r="AR1315">
        <v>0</v>
      </c>
      <c r="AS1315">
        <v>0</v>
      </c>
      <c r="AT1315">
        <v>0</v>
      </c>
      <c r="AU1315">
        <v>0</v>
      </c>
      <c r="AV1315">
        <v>0</v>
      </c>
      <c r="AW1315">
        <v>0</v>
      </c>
      <c r="AX1315">
        <v>0</v>
      </c>
      <c r="AY1315">
        <v>0</v>
      </c>
      <c r="AZ1315">
        <v>0</v>
      </c>
      <c r="BA1315">
        <v>0</v>
      </c>
      <c r="BB1315">
        <v>0</v>
      </c>
      <c r="BC1315">
        <v>0</v>
      </c>
      <c r="BD1315">
        <v>0</v>
      </c>
      <c r="BE1315">
        <v>0</v>
      </c>
      <c r="BF1315">
        <v>0</v>
      </c>
      <c r="BG1315">
        <v>0</v>
      </c>
      <c r="BH1315">
        <v>1</v>
      </c>
      <c r="BI1315">
        <v>6</v>
      </c>
      <c r="BJ1315">
        <v>1.9</v>
      </c>
      <c r="BK1315">
        <v>6</v>
      </c>
      <c r="BL1315">
        <v>196.44</v>
      </c>
      <c r="BM1315">
        <v>29.47</v>
      </c>
      <c r="BN1315">
        <v>225.91</v>
      </c>
      <c r="BO1315">
        <v>225.91</v>
      </c>
      <c r="BQ1315" t="s">
        <v>1995</v>
      </c>
      <c r="BR1315" t="s">
        <v>1793</v>
      </c>
      <c r="BS1315" s="3">
        <v>45785</v>
      </c>
      <c r="BT1315" s="4">
        <v>0.37430555555555556</v>
      </c>
      <c r="BU1315" t="s">
        <v>1107</v>
      </c>
      <c r="BV1315" t="s">
        <v>86</v>
      </c>
      <c r="BY1315">
        <v>9600</v>
      </c>
      <c r="BZ1315" t="s">
        <v>1795</v>
      </c>
      <c r="CA1315" t="s">
        <v>629</v>
      </c>
      <c r="CC1315" t="s">
        <v>625</v>
      </c>
      <c r="CD1315">
        <v>1947</v>
      </c>
      <c r="CE1315" t="s">
        <v>176</v>
      </c>
      <c r="CF1315" s="3">
        <v>45785</v>
      </c>
      <c r="CI1315">
        <v>1</v>
      </c>
      <c r="CJ1315">
        <v>1</v>
      </c>
      <c r="CK1315">
        <v>43</v>
      </c>
      <c r="CL1315" t="s">
        <v>89</v>
      </c>
    </row>
    <row r="1316" spans="1:90" x14ac:dyDescent="0.3">
      <c r="A1316" t="s">
        <v>72</v>
      </c>
      <c r="B1316" t="s">
        <v>73</v>
      </c>
      <c r="C1316" t="s">
        <v>74</v>
      </c>
      <c r="E1316" t="str">
        <f>"080065246043"</f>
        <v>080065246043</v>
      </c>
      <c r="F1316" s="3">
        <v>45785</v>
      </c>
      <c r="G1316">
        <v>202602</v>
      </c>
      <c r="H1316" t="s">
        <v>75</v>
      </c>
      <c r="I1316" t="s">
        <v>76</v>
      </c>
      <c r="J1316" t="s">
        <v>1791</v>
      </c>
      <c r="K1316" t="s">
        <v>78</v>
      </c>
      <c r="L1316" t="s">
        <v>567</v>
      </c>
      <c r="M1316" t="s">
        <v>568</v>
      </c>
      <c r="N1316" t="s">
        <v>1996</v>
      </c>
      <c r="O1316" t="s">
        <v>300</v>
      </c>
      <c r="P1316" t="str">
        <f>"4170037317                    "</f>
        <v xml:space="preserve">4170037317                    </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0</v>
      </c>
      <c r="AL1316">
        <v>0</v>
      </c>
      <c r="AM1316">
        <v>0</v>
      </c>
      <c r="AN1316">
        <v>0</v>
      </c>
      <c r="AO1316">
        <v>0</v>
      </c>
      <c r="AP1316">
        <v>0</v>
      </c>
      <c r="AQ1316">
        <v>58.32</v>
      </c>
      <c r="AR1316">
        <v>0</v>
      </c>
      <c r="AS1316">
        <v>0</v>
      </c>
      <c r="AT1316">
        <v>0</v>
      </c>
      <c r="AU1316">
        <v>0</v>
      </c>
      <c r="AV1316">
        <v>0</v>
      </c>
      <c r="AW1316">
        <v>0</v>
      </c>
      <c r="AX1316">
        <v>0</v>
      </c>
      <c r="AY1316">
        <v>0</v>
      </c>
      <c r="AZ1316">
        <v>0</v>
      </c>
      <c r="BA1316">
        <v>0</v>
      </c>
      <c r="BB1316">
        <v>0</v>
      </c>
      <c r="BC1316">
        <v>0</v>
      </c>
      <c r="BD1316">
        <v>0</v>
      </c>
      <c r="BE1316">
        <v>0</v>
      </c>
      <c r="BF1316">
        <v>0</v>
      </c>
      <c r="BG1316">
        <v>0</v>
      </c>
      <c r="BH1316">
        <v>1</v>
      </c>
      <c r="BI1316">
        <v>5</v>
      </c>
      <c r="BJ1316">
        <v>1.9</v>
      </c>
      <c r="BK1316">
        <v>5</v>
      </c>
      <c r="BL1316">
        <v>196.44</v>
      </c>
      <c r="BM1316">
        <v>29.47</v>
      </c>
      <c r="BN1316">
        <v>225.91</v>
      </c>
      <c r="BO1316">
        <v>225.91</v>
      </c>
      <c r="BQ1316" t="s">
        <v>1997</v>
      </c>
      <c r="BR1316" t="s">
        <v>1793</v>
      </c>
      <c r="BS1316" s="3">
        <v>45789</v>
      </c>
      <c r="BT1316" s="4">
        <v>0.5</v>
      </c>
      <c r="BU1316" t="s">
        <v>1998</v>
      </c>
      <c r="BV1316" t="s">
        <v>89</v>
      </c>
      <c r="BW1316" t="s">
        <v>148</v>
      </c>
      <c r="BX1316" t="s">
        <v>1290</v>
      </c>
      <c r="BY1316">
        <v>9600</v>
      </c>
      <c r="BZ1316" t="s">
        <v>1795</v>
      </c>
      <c r="CC1316" t="s">
        <v>568</v>
      </c>
      <c r="CD1316" s="5" t="s">
        <v>1999</v>
      </c>
      <c r="CE1316" t="s">
        <v>408</v>
      </c>
      <c r="CF1316" s="3">
        <v>45790</v>
      </c>
      <c r="CI1316">
        <v>1</v>
      </c>
      <c r="CJ1316">
        <v>2</v>
      </c>
      <c r="CK1316">
        <v>43</v>
      </c>
      <c r="CL1316" t="s">
        <v>89</v>
      </c>
    </row>
    <row r="1317" spans="1:90" x14ac:dyDescent="0.3">
      <c r="A1317" t="s">
        <v>72</v>
      </c>
      <c r="B1317" t="s">
        <v>73</v>
      </c>
      <c r="C1317" t="s">
        <v>74</v>
      </c>
      <c r="E1317" t="str">
        <f>"080065253488"</f>
        <v>080065253488</v>
      </c>
      <c r="F1317" s="3">
        <v>45785</v>
      </c>
      <c r="G1317">
        <v>202602</v>
      </c>
      <c r="H1317" t="s">
        <v>75</v>
      </c>
      <c r="I1317" t="s">
        <v>76</v>
      </c>
      <c r="J1317" t="s">
        <v>1791</v>
      </c>
      <c r="K1317" t="s">
        <v>78</v>
      </c>
      <c r="L1317" t="s">
        <v>871</v>
      </c>
      <c r="M1317" t="s">
        <v>872</v>
      </c>
      <c r="N1317" t="s">
        <v>2000</v>
      </c>
      <c r="O1317" t="s">
        <v>300</v>
      </c>
      <c r="P1317" t="str">
        <f>"4170037405                    "</f>
        <v xml:space="preserve">4170037405                    </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c r="AJ1317">
        <v>0</v>
      </c>
      <c r="AK1317">
        <v>0</v>
      </c>
      <c r="AL1317">
        <v>0</v>
      </c>
      <c r="AM1317">
        <v>0</v>
      </c>
      <c r="AN1317">
        <v>0</v>
      </c>
      <c r="AO1317">
        <v>0</v>
      </c>
      <c r="AP1317">
        <v>0</v>
      </c>
      <c r="AQ1317">
        <v>58.32</v>
      </c>
      <c r="AR1317">
        <v>0</v>
      </c>
      <c r="AS1317">
        <v>0</v>
      </c>
      <c r="AT1317">
        <v>0</v>
      </c>
      <c r="AU1317">
        <v>0</v>
      </c>
      <c r="AV1317">
        <v>0</v>
      </c>
      <c r="AW1317">
        <v>0</v>
      </c>
      <c r="AX1317">
        <v>0</v>
      </c>
      <c r="AY1317">
        <v>0</v>
      </c>
      <c r="AZ1317">
        <v>0</v>
      </c>
      <c r="BA1317">
        <v>0</v>
      </c>
      <c r="BB1317">
        <v>0</v>
      </c>
      <c r="BC1317">
        <v>0</v>
      </c>
      <c r="BD1317">
        <v>0</v>
      </c>
      <c r="BE1317">
        <v>0</v>
      </c>
      <c r="BF1317">
        <v>0</v>
      </c>
      <c r="BG1317">
        <v>0</v>
      </c>
      <c r="BH1317">
        <v>1</v>
      </c>
      <c r="BI1317">
        <v>3</v>
      </c>
      <c r="BJ1317">
        <v>5.2</v>
      </c>
      <c r="BK1317">
        <v>6</v>
      </c>
      <c r="BL1317">
        <v>196.44</v>
      </c>
      <c r="BM1317">
        <v>29.47</v>
      </c>
      <c r="BN1317">
        <v>225.91</v>
      </c>
      <c r="BO1317">
        <v>225.91</v>
      </c>
      <c r="BQ1317" t="s">
        <v>2001</v>
      </c>
      <c r="BR1317" t="s">
        <v>1793</v>
      </c>
      <c r="BS1317" s="3">
        <v>45786</v>
      </c>
      <c r="BT1317" s="4">
        <v>0.37430555555555556</v>
      </c>
      <c r="BU1317" t="s">
        <v>2002</v>
      </c>
      <c r="BV1317" t="s">
        <v>86</v>
      </c>
      <c r="BY1317">
        <v>26220</v>
      </c>
      <c r="BZ1317" t="s">
        <v>1795</v>
      </c>
      <c r="CA1317" t="s">
        <v>2003</v>
      </c>
      <c r="CC1317" t="s">
        <v>872</v>
      </c>
      <c r="CD1317">
        <v>2302</v>
      </c>
      <c r="CE1317" t="s">
        <v>176</v>
      </c>
      <c r="CF1317" s="3">
        <v>45786</v>
      </c>
      <c r="CI1317">
        <v>1</v>
      </c>
      <c r="CJ1317">
        <v>1</v>
      </c>
      <c r="CK1317">
        <v>43</v>
      </c>
      <c r="CL1317" t="s">
        <v>89</v>
      </c>
    </row>
    <row r="1318" spans="1:90" x14ac:dyDescent="0.3">
      <c r="A1318" t="s">
        <v>72</v>
      </c>
      <c r="B1318" t="s">
        <v>73</v>
      </c>
      <c r="C1318" t="s">
        <v>74</v>
      </c>
      <c r="E1318" t="str">
        <f>"080065254630"</f>
        <v>080065254630</v>
      </c>
      <c r="F1318" s="3">
        <v>45785</v>
      </c>
      <c r="G1318">
        <v>202602</v>
      </c>
      <c r="H1318" t="s">
        <v>75</v>
      </c>
      <c r="I1318" t="s">
        <v>76</v>
      </c>
      <c r="J1318" t="s">
        <v>1791</v>
      </c>
      <c r="K1318" t="s">
        <v>78</v>
      </c>
      <c r="L1318" t="s">
        <v>567</v>
      </c>
      <c r="M1318" t="s">
        <v>568</v>
      </c>
      <c r="N1318" t="s">
        <v>1590</v>
      </c>
      <c r="O1318" t="s">
        <v>300</v>
      </c>
      <c r="P1318" t="str">
        <f>"4170037435                    "</f>
        <v xml:space="preserve">4170037435                    </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0</v>
      </c>
      <c r="AL1318">
        <v>0</v>
      </c>
      <c r="AM1318">
        <v>0</v>
      </c>
      <c r="AN1318">
        <v>0</v>
      </c>
      <c r="AO1318">
        <v>0</v>
      </c>
      <c r="AP1318">
        <v>0</v>
      </c>
      <c r="AQ1318">
        <v>58.32</v>
      </c>
      <c r="AR1318">
        <v>0</v>
      </c>
      <c r="AS1318">
        <v>0</v>
      </c>
      <c r="AT1318">
        <v>0</v>
      </c>
      <c r="AU1318">
        <v>0</v>
      </c>
      <c r="AV1318">
        <v>0</v>
      </c>
      <c r="AW1318">
        <v>0</v>
      </c>
      <c r="AX1318">
        <v>0</v>
      </c>
      <c r="AY1318">
        <v>0</v>
      </c>
      <c r="AZ1318">
        <v>0</v>
      </c>
      <c r="BA1318">
        <v>0</v>
      </c>
      <c r="BB1318">
        <v>0</v>
      </c>
      <c r="BC1318">
        <v>0</v>
      </c>
      <c r="BD1318">
        <v>0</v>
      </c>
      <c r="BE1318">
        <v>0</v>
      </c>
      <c r="BF1318">
        <v>0</v>
      </c>
      <c r="BG1318">
        <v>0</v>
      </c>
      <c r="BH1318">
        <v>1</v>
      </c>
      <c r="BI1318">
        <v>2</v>
      </c>
      <c r="BJ1318">
        <v>3.1</v>
      </c>
      <c r="BK1318">
        <v>4</v>
      </c>
      <c r="BL1318">
        <v>196.44</v>
      </c>
      <c r="BM1318">
        <v>29.47</v>
      </c>
      <c r="BN1318">
        <v>225.91</v>
      </c>
      <c r="BO1318">
        <v>225.91</v>
      </c>
      <c r="BQ1318" t="s">
        <v>1591</v>
      </c>
      <c r="BR1318" t="s">
        <v>1793</v>
      </c>
      <c r="BS1318" s="3">
        <v>45786</v>
      </c>
      <c r="BT1318" s="4">
        <v>0.43611111111111112</v>
      </c>
      <c r="BU1318" t="s">
        <v>2004</v>
      </c>
      <c r="BV1318" t="s">
        <v>86</v>
      </c>
      <c r="BY1318">
        <v>15360</v>
      </c>
      <c r="BZ1318" t="s">
        <v>1795</v>
      </c>
      <c r="CA1318" t="s">
        <v>572</v>
      </c>
      <c r="CC1318" t="s">
        <v>568</v>
      </c>
      <c r="CD1318" s="5" t="s">
        <v>573</v>
      </c>
      <c r="CE1318" t="s">
        <v>419</v>
      </c>
      <c r="CF1318" s="3">
        <v>45789</v>
      </c>
      <c r="CI1318">
        <v>1</v>
      </c>
      <c r="CJ1318">
        <v>1</v>
      </c>
      <c r="CK1318">
        <v>43</v>
      </c>
      <c r="CL1318" t="s">
        <v>89</v>
      </c>
    </row>
    <row r="1319" spans="1:90" x14ac:dyDescent="0.3">
      <c r="A1319" t="s">
        <v>72</v>
      </c>
      <c r="B1319" t="s">
        <v>73</v>
      </c>
      <c r="C1319" t="s">
        <v>74</v>
      </c>
      <c r="E1319" t="str">
        <f>"080065254831"</f>
        <v>080065254831</v>
      </c>
      <c r="F1319" s="3">
        <v>45785</v>
      </c>
      <c r="G1319">
        <v>202602</v>
      </c>
      <c r="H1319" t="s">
        <v>75</v>
      </c>
      <c r="I1319" t="s">
        <v>76</v>
      </c>
      <c r="J1319" t="s">
        <v>1791</v>
      </c>
      <c r="K1319" t="s">
        <v>78</v>
      </c>
      <c r="L1319" t="s">
        <v>579</v>
      </c>
      <c r="M1319" t="s">
        <v>580</v>
      </c>
      <c r="N1319" t="s">
        <v>988</v>
      </c>
      <c r="O1319" t="s">
        <v>300</v>
      </c>
      <c r="P1319" t="str">
        <f>"4170037414                    "</f>
        <v xml:space="preserve">4170037414                    </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c r="AJ1319">
        <v>0</v>
      </c>
      <c r="AK1319">
        <v>0</v>
      </c>
      <c r="AL1319">
        <v>0</v>
      </c>
      <c r="AM1319">
        <v>0</v>
      </c>
      <c r="AN1319">
        <v>0</v>
      </c>
      <c r="AO1319">
        <v>0</v>
      </c>
      <c r="AP1319">
        <v>0</v>
      </c>
      <c r="AQ1319">
        <v>58.32</v>
      </c>
      <c r="AR1319">
        <v>0</v>
      </c>
      <c r="AS1319">
        <v>0</v>
      </c>
      <c r="AT1319">
        <v>0</v>
      </c>
      <c r="AU1319">
        <v>0</v>
      </c>
      <c r="AV1319">
        <v>0</v>
      </c>
      <c r="AW1319">
        <v>0</v>
      </c>
      <c r="AX1319">
        <v>0</v>
      </c>
      <c r="AY1319">
        <v>0</v>
      </c>
      <c r="AZ1319">
        <v>0</v>
      </c>
      <c r="BA1319">
        <v>0</v>
      </c>
      <c r="BB1319">
        <v>0</v>
      </c>
      <c r="BC1319">
        <v>0</v>
      </c>
      <c r="BD1319">
        <v>0</v>
      </c>
      <c r="BE1319">
        <v>0</v>
      </c>
      <c r="BF1319">
        <v>0</v>
      </c>
      <c r="BG1319">
        <v>0</v>
      </c>
      <c r="BH1319">
        <v>1</v>
      </c>
      <c r="BI1319">
        <v>6</v>
      </c>
      <c r="BJ1319">
        <v>5</v>
      </c>
      <c r="BK1319">
        <v>6</v>
      </c>
      <c r="BL1319">
        <v>196.44</v>
      </c>
      <c r="BM1319">
        <v>29.47</v>
      </c>
      <c r="BN1319">
        <v>225.91</v>
      </c>
      <c r="BO1319">
        <v>225.91</v>
      </c>
      <c r="BQ1319" t="s">
        <v>989</v>
      </c>
      <c r="BR1319" t="s">
        <v>1793</v>
      </c>
      <c r="BS1319" s="3">
        <v>45786</v>
      </c>
      <c r="BT1319" s="4">
        <v>0.39444444444444443</v>
      </c>
      <c r="BU1319" t="s">
        <v>2005</v>
      </c>
      <c r="BV1319" t="s">
        <v>86</v>
      </c>
      <c r="BY1319">
        <v>24882</v>
      </c>
      <c r="BZ1319" t="s">
        <v>1795</v>
      </c>
      <c r="CA1319" t="s">
        <v>991</v>
      </c>
      <c r="CC1319" t="s">
        <v>580</v>
      </c>
      <c r="CD1319">
        <v>1035</v>
      </c>
      <c r="CE1319" t="s">
        <v>419</v>
      </c>
      <c r="CF1319" s="3">
        <v>45786</v>
      </c>
      <c r="CI1319">
        <v>1</v>
      </c>
      <c r="CJ1319">
        <v>1</v>
      </c>
      <c r="CK1319">
        <v>43</v>
      </c>
      <c r="CL1319" t="s">
        <v>89</v>
      </c>
    </row>
    <row r="1320" spans="1:90" x14ac:dyDescent="0.3">
      <c r="A1320" t="s">
        <v>72</v>
      </c>
      <c r="B1320" t="s">
        <v>73</v>
      </c>
      <c r="C1320" t="s">
        <v>74</v>
      </c>
      <c r="E1320" t="str">
        <f>"080065276758"</f>
        <v>080065276758</v>
      </c>
      <c r="F1320" s="3">
        <v>45786</v>
      </c>
      <c r="G1320">
        <v>202602</v>
      </c>
      <c r="H1320" t="s">
        <v>75</v>
      </c>
      <c r="I1320" t="s">
        <v>76</v>
      </c>
      <c r="J1320" t="s">
        <v>1791</v>
      </c>
      <c r="K1320" t="s">
        <v>78</v>
      </c>
      <c r="L1320" t="s">
        <v>567</v>
      </c>
      <c r="M1320" t="s">
        <v>568</v>
      </c>
      <c r="N1320" t="s">
        <v>1590</v>
      </c>
      <c r="O1320" t="s">
        <v>300</v>
      </c>
      <c r="P1320" t="str">
        <f>"4170037460                    "</f>
        <v xml:space="preserve">4170037460                    </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0</v>
      </c>
      <c r="AL1320">
        <v>0</v>
      </c>
      <c r="AM1320">
        <v>0</v>
      </c>
      <c r="AN1320">
        <v>0</v>
      </c>
      <c r="AO1320">
        <v>0</v>
      </c>
      <c r="AP1320">
        <v>0</v>
      </c>
      <c r="AQ1320">
        <v>58.32</v>
      </c>
      <c r="AR1320">
        <v>0</v>
      </c>
      <c r="AS1320">
        <v>0</v>
      </c>
      <c r="AT1320">
        <v>0</v>
      </c>
      <c r="AU1320">
        <v>0</v>
      </c>
      <c r="AV1320">
        <v>0</v>
      </c>
      <c r="AW1320">
        <v>0</v>
      </c>
      <c r="AX1320">
        <v>0</v>
      </c>
      <c r="AY1320">
        <v>0</v>
      </c>
      <c r="AZ1320">
        <v>0</v>
      </c>
      <c r="BA1320">
        <v>0</v>
      </c>
      <c r="BB1320">
        <v>0</v>
      </c>
      <c r="BC1320">
        <v>0</v>
      </c>
      <c r="BD1320">
        <v>0</v>
      </c>
      <c r="BE1320">
        <v>0</v>
      </c>
      <c r="BF1320">
        <v>0</v>
      </c>
      <c r="BG1320">
        <v>0</v>
      </c>
      <c r="BH1320">
        <v>1</v>
      </c>
      <c r="BI1320">
        <v>6</v>
      </c>
      <c r="BJ1320">
        <v>3.1</v>
      </c>
      <c r="BK1320">
        <v>6</v>
      </c>
      <c r="BL1320">
        <v>196.44</v>
      </c>
      <c r="BM1320">
        <v>29.47</v>
      </c>
      <c r="BN1320">
        <v>225.91</v>
      </c>
      <c r="BO1320">
        <v>225.91</v>
      </c>
      <c r="BQ1320" t="s">
        <v>1591</v>
      </c>
      <c r="BR1320" t="s">
        <v>1793</v>
      </c>
      <c r="BS1320" s="3">
        <v>45789</v>
      </c>
      <c r="BT1320" s="4">
        <v>0.45902777777777776</v>
      </c>
      <c r="BU1320" t="s">
        <v>2004</v>
      </c>
      <c r="BV1320" t="s">
        <v>86</v>
      </c>
      <c r="BY1320">
        <v>15360</v>
      </c>
      <c r="BZ1320" t="s">
        <v>1795</v>
      </c>
      <c r="CA1320" t="s">
        <v>572</v>
      </c>
      <c r="CC1320" t="s">
        <v>568</v>
      </c>
      <c r="CD1320" s="5" t="s">
        <v>573</v>
      </c>
      <c r="CE1320" t="s">
        <v>176</v>
      </c>
      <c r="CF1320" s="3">
        <v>45790</v>
      </c>
      <c r="CI1320">
        <v>1</v>
      </c>
      <c r="CJ1320">
        <v>1</v>
      </c>
      <c r="CK1320">
        <v>43</v>
      </c>
      <c r="CL1320" t="s">
        <v>89</v>
      </c>
    </row>
    <row r="1321" spans="1:90" x14ac:dyDescent="0.3">
      <c r="A1321" t="s">
        <v>72</v>
      </c>
      <c r="B1321" t="s">
        <v>73</v>
      </c>
      <c r="C1321" t="s">
        <v>74</v>
      </c>
      <c r="E1321" t="str">
        <f>"080065276792"</f>
        <v>080065276792</v>
      </c>
      <c r="F1321" s="3">
        <v>45786</v>
      </c>
      <c r="G1321">
        <v>202602</v>
      </c>
      <c r="H1321" t="s">
        <v>75</v>
      </c>
      <c r="I1321" t="s">
        <v>76</v>
      </c>
      <c r="J1321" t="s">
        <v>1791</v>
      </c>
      <c r="K1321" t="s">
        <v>78</v>
      </c>
      <c r="L1321" t="s">
        <v>967</v>
      </c>
      <c r="M1321" t="s">
        <v>967</v>
      </c>
      <c r="N1321" t="s">
        <v>192</v>
      </c>
      <c r="O1321" t="s">
        <v>300</v>
      </c>
      <c r="P1321" t="str">
        <f>"4170037481                    "</f>
        <v xml:space="preserve">4170037481                    </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0</v>
      </c>
      <c r="AL1321">
        <v>0</v>
      </c>
      <c r="AM1321">
        <v>0</v>
      </c>
      <c r="AN1321">
        <v>0</v>
      </c>
      <c r="AO1321">
        <v>0</v>
      </c>
      <c r="AP1321">
        <v>0</v>
      </c>
      <c r="AQ1321">
        <v>45.67</v>
      </c>
      <c r="AR1321">
        <v>0</v>
      </c>
      <c r="AS1321">
        <v>0</v>
      </c>
      <c r="AT1321">
        <v>0</v>
      </c>
      <c r="AU1321">
        <v>0</v>
      </c>
      <c r="AV1321">
        <v>0</v>
      </c>
      <c r="AW1321">
        <v>0</v>
      </c>
      <c r="AX1321">
        <v>0</v>
      </c>
      <c r="AY1321">
        <v>0</v>
      </c>
      <c r="AZ1321">
        <v>0</v>
      </c>
      <c r="BA1321">
        <v>0</v>
      </c>
      <c r="BB1321">
        <v>0</v>
      </c>
      <c r="BC1321">
        <v>0</v>
      </c>
      <c r="BD1321">
        <v>0</v>
      </c>
      <c r="BE1321">
        <v>0</v>
      </c>
      <c r="BF1321">
        <v>0</v>
      </c>
      <c r="BG1321">
        <v>0</v>
      </c>
      <c r="BH1321">
        <v>1</v>
      </c>
      <c r="BI1321">
        <v>3</v>
      </c>
      <c r="BJ1321">
        <v>3.6</v>
      </c>
      <c r="BK1321">
        <v>4</v>
      </c>
      <c r="BL1321">
        <v>155.03</v>
      </c>
      <c r="BM1321">
        <v>23.25</v>
      </c>
      <c r="BN1321">
        <v>178.28</v>
      </c>
      <c r="BO1321">
        <v>178.28</v>
      </c>
      <c r="BQ1321" t="s">
        <v>2006</v>
      </c>
      <c r="BR1321" t="s">
        <v>1793</v>
      </c>
      <c r="BS1321" s="3">
        <v>45789</v>
      </c>
      <c r="BT1321" s="4">
        <v>0.39444444444444443</v>
      </c>
      <c r="BU1321" t="s">
        <v>2007</v>
      </c>
      <c r="BV1321" t="s">
        <v>86</v>
      </c>
      <c r="BY1321">
        <v>18216</v>
      </c>
      <c r="BZ1321" t="s">
        <v>1795</v>
      </c>
      <c r="CA1321" t="s">
        <v>971</v>
      </c>
      <c r="CC1321" t="s">
        <v>967</v>
      </c>
      <c r="CD1321">
        <v>1491</v>
      </c>
      <c r="CE1321" t="s">
        <v>419</v>
      </c>
      <c r="CF1321" s="3">
        <v>45789</v>
      </c>
      <c r="CI1321">
        <v>1</v>
      </c>
      <c r="CJ1321">
        <v>1</v>
      </c>
      <c r="CK1321">
        <v>44</v>
      </c>
      <c r="CL1321" t="s">
        <v>89</v>
      </c>
    </row>
    <row r="1322" spans="1:90" x14ac:dyDescent="0.3">
      <c r="A1322" t="s">
        <v>72</v>
      </c>
      <c r="B1322" t="s">
        <v>73</v>
      </c>
      <c r="C1322" t="s">
        <v>74</v>
      </c>
      <c r="E1322" t="str">
        <f>"080065279521"</f>
        <v>080065279521</v>
      </c>
      <c r="F1322" s="3">
        <v>45786</v>
      </c>
      <c r="G1322">
        <v>202602</v>
      </c>
      <c r="H1322" t="s">
        <v>75</v>
      </c>
      <c r="I1322" t="s">
        <v>76</v>
      </c>
      <c r="J1322" t="s">
        <v>1791</v>
      </c>
      <c r="K1322" t="s">
        <v>78</v>
      </c>
      <c r="L1322" t="s">
        <v>624</v>
      </c>
      <c r="M1322" t="s">
        <v>625</v>
      </c>
      <c r="N1322" t="s">
        <v>481</v>
      </c>
      <c r="O1322" t="s">
        <v>300</v>
      </c>
      <c r="P1322" t="str">
        <f>"4170037484                    "</f>
        <v xml:space="preserve">4170037484                    </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0</v>
      </c>
      <c r="AL1322">
        <v>0</v>
      </c>
      <c r="AM1322">
        <v>0</v>
      </c>
      <c r="AN1322">
        <v>0</v>
      </c>
      <c r="AO1322">
        <v>0</v>
      </c>
      <c r="AP1322">
        <v>0</v>
      </c>
      <c r="AQ1322">
        <v>58.32</v>
      </c>
      <c r="AR1322">
        <v>0</v>
      </c>
      <c r="AS1322">
        <v>0</v>
      </c>
      <c r="AT1322">
        <v>0</v>
      </c>
      <c r="AU1322">
        <v>0</v>
      </c>
      <c r="AV1322">
        <v>0</v>
      </c>
      <c r="AW1322">
        <v>0</v>
      </c>
      <c r="AX1322">
        <v>0</v>
      </c>
      <c r="AY1322">
        <v>0</v>
      </c>
      <c r="AZ1322">
        <v>0</v>
      </c>
      <c r="BA1322">
        <v>0</v>
      </c>
      <c r="BB1322">
        <v>0</v>
      </c>
      <c r="BC1322">
        <v>0</v>
      </c>
      <c r="BD1322">
        <v>0</v>
      </c>
      <c r="BE1322">
        <v>0</v>
      </c>
      <c r="BF1322">
        <v>0</v>
      </c>
      <c r="BG1322">
        <v>0</v>
      </c>
      <c r="BH1322">
        <v>1</v>
      </c>
      <c r="BI1322">
        <v>7</v>
      </c>
      <c r="BJ1322">
        <v>3.1</v>
      </c>
      <c r="BK1322">
        <v>7</v>
      </c>
      <c r="BL1322">
        <v>196.44</v>
      </c>
      <c r="BM1322">
        <v>29.47</v>
      </c>
      <c r="BN1322">
        <v>225.91</v>
      </c>
      <c r="BO1322">
        <v>225.91</v>
      </c>
      <c r="BQ1322" t="s">
        <v>1025</v>
      </c>
      <c r="BR1322" t="s">
        <v>1793</v>
      </c>
      <c r="BS1322" s="3">
        <v>45790</v>
      </c>
      <c r="BT1322" s="4">
        <v>0.42499999999999999</v>
      </c>
      <c r="BU1322" t="s">
        <v>1245</v>
      </c>
      <c r="BV1322" t="s">
        <v>89</v>
      </c>
      <c r="BY1322">
        <v>15360</v>
      </c>
      <c r="BZ1322" t="s">
        <v>1795</v>
      </c>
      <c r="CC1322" t="s">
        <v>625</v>
      </c>
      <c r="CD1322">
        <v>1947</v>
      </c>
      <c r="CE1322" t="s">
        <v>419</v>
      </c>
      <c r="CF1322" s="3">
        <v>45791</v>
      </c>
      <c r="CI1322">
        <v>1</v>
      </c>
      <c r="CJ1322">
        <v>2</v>
      </c>
      <c r="CK1322">
        <v>43</v>
      </c>
      <c r="CL1322" t="s">
        <v>89</v>
      </c>
    </row>
    <row r="1323" spans="1:90" x14ac:dyDescent="0.3">
      <c r="A1323" t="s">
        <v>72</v>
      </c>
      <c r="B1323" t="s">
        <v>73</v>
      </c>
      <c r="C1323" t="s">
        <v>74</v>
      </c>
      <c r="E1323" t="str">
        <f>"080065281293"</f>
        <v>080065281293</v>
      </c>
      <c r="F1323" s="3">
        <v>45786</v>
      </c>
      <c r="G1323">
        <v>202602</v>
      </c>
      <c r="H1323" t="s">
        <v>75</v>
      </c>
      <c r="I1323" t="s">
        <v>76</v>
      </c>
      <c r="J1323" t="s">
        <v>1791</v>
      </c>
      <c r="K1323" t="s">
        <v>78</v>
      </c>
      <c r="L1323" t="s">
        <v>567</v>
      </c>
      <c r="M1323" t="s">
        <v>568</v>
      </c>
      <c r="N1323" t="s">
        <v>1907</v>
      </c>
      <c r="O1323" t="s">
        <v>300</v>
      </c>
      <c r="P1323" t="str">
        <f>"4170037497                    "</f>
        <v xml:space="preserve">4170037497                    </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0</v>
      </c>
      <c r="AL1323">
        <v>0</v>
      </c>
      <c r="AM1323">
        <v>0</v>
      </c>
      <c r="AN1323">
        <v>0</v>
      </c>
      <c r="AO1323">
        <v>0</v>
      </c>
      <c r="AP1323">
        <v>0</v>
      </c>
      <c r="AQ1323">
        <v>58.32</v>
      </c>
      <c r="AR1323">
        <v>0</v>
      </c>
      <c r="AS1323">
        <v>0</v>
      </c>
      <c r="AT1323">
        <v>0</v>
      </c>
      <c r="AU1323">
        <v>0</v>
      </c>
      <c r="AV1323">
        <v>0</v>
      </c>
      <c r="AW1323">
        <v>0</v>
      </c>
      <c r="AX1323">
        <v>0</v>
      </c>
      <c r="AY1323">
        <v>0</v>
      </c>
      <c r="AZ1323">
        <v>0</v>
      </c>
      <c r="BA1323">
        <v>0</v>
      </c>
      <c r="BB1323">
        <v>0</v>
      </c>
      <c r="BC1323">
        <v>0</v>
      </c>
      <c r="BD1323">
        <v>0</v>
      </c>
      <c r="BE1323">
        <v>0</v>
      </c>
      <c r="BF1323">
        <v>0</v>
      </c>
      <c r="BG1323">
        <v>0</v>
      </c>
      <c r="BH1323">
        <v>1</v>
      </c>
      <c r="BI1323">
        <v>3</v>
      </c>
      <c r="BJ1323">
        <v>4.5</v>
      </c>
      <c r="BK1323">
        <v>5</v>
      </c>
      <c r="BL1323">
        <v>196.44</v>
      </c>
      <c r="BM1323">
        <v>29.47</v>
      </c>
      <c r="BN1323">
        <v>225.91</v>
      </c>
      <c r="BO1323">
        <v>225.91</v>
      </c>
      <c r="BQ1323" t="s">
        <v>1908</v>
      </c>
      <c r="BR1323" t="s">
        <v>1793</v>
      </c>
      <c r="BS1323" s="3">
        <v>45789</v>
      </c>
      <c r="BT1323" s="4">
        <v>0.41319444444444442</v>
      </c>
      <c r="BU1323" t="s">
        <v>2008</v>
      </c>
      <c r="BV1323" t="s">
        <v>86</v>
      </c>
      <c r="BY1323">
        <v>22253</v>
      </c>
      <c r="BZ1323" t="s">
        <v>1795</v>
      </c>
      <c r="CA1323" t="s">
        <v>572</v>
      </c>
      <c r="CC1323" t="s">
        <v>568</v>
      </c>
      <c r="CD1323" s="5" t="s">
        <v>573</v>
      </c>
      <c r="CE1323" t="s">
        <v>176</v>
      </c>
      <c r="CF1323" s="3">
        <v>45790</v>
      </c>
      <c r="CI1323">
        <v>1</v>
      </c>
      <c r="CJ1323">
        <v>1</v>
      </c>
      <c r="CK1323">
        <v>43</v>
      </c>
      <c r="CL1323" t="s">
        <v>89</v>
      </c>
    </row>
    <row r="1324" spans="1:90" x14ac:dyDescent="0.3">
      <c r="A1324" t="s">
        <v>72</v>
      </c>
      <c r="B1324" t="s">
        <v>73</v>
      </c>
      <c r="C1324" t="s">
        <v>74</v>
      </c>
      <c r="E1324" t="str">
        <f>"080065367933"</f>
        <v>080065367933</v>
      </c>
      <c r="F1324" s="3">
        <v>45791</v>
      </c>
      <c r="G1324">
        <v>202602</v>
      </c>
      <c r="H1324" t="s">
        <v>75</v>
      </c>
      <c r="I1324" t="s">
        <v>76</v>
      </c>
      <c r="J1324" t="s">
        <v>77</v>
      </c>
      <c r="K1324" t="s">
        <v>78</v>
      </c>
      <c r="L1324" t="s">
        <v>136</v>
      </c>
      <c r="M1324" t="s">
        <v>137</v>
      </c>
      <c r="N1324" t="s">
        <v>499</v>
      </c>
      <c r="O1324" t="s">
        <v>82</v>
      </c>
      <c r="P1324" t="str">
        <f>"4170038502                    "</f>
        <v xml:space="preserve">4170038502                    </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0</v>
      </c>
      <c r="AK1324">
        <v>0</v>
      </c>
      <c r="AL1324">
        <v>0</v>
      </c>
      <c r="AM1324">
        <v>0</v>
      </c>
      <c r="AN1324">
        <v>0</v>
      </c>
      <c r="AO1324">
        <v>0</v>
      </c>
      <c r="AP1324">
        <v>0</v>
      </c>
      <c r="AQ1324">
        <v>21.38</v>
      </c>
      <c r="AR1324">
        <v>0</v>
      </c>
      <c r="AS1324">
        <v>0</v>
      </c>
      <c r="AT1324">
        <v>0</v>
      </c>
      <c r="AU1324">
        <v>0</v>
      </c>
      <c r="AV1324">
        <v>0</v>
      </c>
      <c r="AW1324">
        <v>0</v>
      </c>
      <c r="AX1324">
        <v>0</v>
      </c>
      <c r="AY1324">
        <v>0</v>
      </c>
      <c r="AZ1324">
        <v>0</v>
      </c>
      <c r="BA1324">
        <v>0</v>
      </c>
      <c r="BB1324">
        <v>0</v>
      </c>
      <c r="BC1324">
        <v>0</v>
      </c>
      <c r="BD1324">
        <v>0</v>
      </c>
      <c r="BE1324">
        <v>0</v>
      </c>
      <c r="BF1324">
        <v>0</v>
      </c>
      <c r="BG1324">
        <v>0</v>
      </c>
      <c r="BH1324">
        <v>1</v>
      </c>
      <c r="BI1324">
        <v>1</v>
      </c>
      <c r="BJ1324">
        <v>0.2</v>
      </c>
      <c r="BK1324">
        <v>1</v>
      </c>
      <c r="BL1324">
        <v>69.98</v>
      </c>
      <c r="BM1324">
        <v>10.5</v>
      </c>
      <c r="BN1324">
        <v>80.48</v>
      </c>
      <c r="BO1324">
        <v>80.48</v>
      </c>
      <c r="BQ1324" t="s">
        <v>500</v>
      </c>
      <c r="BR1324" t="s">
        <v>84</v>
      </c>
      <c r="BS1324" s="3">
        <v>45792</v>
      </c>
      <c r="BT1324" s="4">
        <v>0.43680555555555556</v>
      </c>
      <c r="BU1324" t="s">
        <v>1733</v>
      </c>
      <c r="BV1324" t="s">
        <v>86</v>
      </c>
      <c r="BY1324">
        <v>1200</v>
      </c>
      <c r="CA1324" t="s">
        <v>141</v>
      </c>
      <c r="CC1324" t="s">
        <v>137</v>
      </c>
      <c r="CD1324" s="5" t="s">
        <v>142</v>
      </c>
      <c r="CE1324" t="s">
        <v>88</v>
      </c>
      <c r="CF1324" s="3">
        <v>45792</v>
      </c>
      <c r="CI1324">
        <v>1</v>
      </c>
      <c r="CJ1324">
        <v>1</v>
      </c>
      <c r="CK1324">
        <v>21</v>
      </c>
      <c r="CL1324" t="s">
        <v>89</v>
      </c>
    </row>
    <row r="1325" spans="1:90" x14ac:dyDescent="0.3">
      <c r="A1325" t="s">
        <v>72</v>
      </c>
      <c r="B1325" t="s">
        <v>73</v>
      </c>
      <c r="C1325" t="s">
        <v>74</v>
      </c>
      <c r="E1325" t="str">
        <f>"080065367962"</f>
        <v>080065367962</v>
      </c>
      <c r="F1325" s="3">
        <v>45791</v>
      </c>
      <c r="G1325">
        <v>202602</v>
      </c>
      <c r="H1325" t="s">
        <v>75</v>
      </c>
      <c r="I1325" t="s">
        <v>76</v>
      </c>
      <c r="J1325" t="s">
        <v>77</v>
      </c>
      <c r="K1325" t="s">
        <v>78</v>
      </c>
      <c r="L1325" t="s">
        <v>177</v>
      </c>
      <c r="M1325" t="s">
        <v>178</v>
      </c>
      <c r="N1325" t="s">
        <v>179</v>
      </c>
      <c r="O1325" t="s">
        <v>82</v>
      </c>
      <c r="P1325" t="str">
        <f>"4170038128                    "</f>
        <v xml:space="preserve">4170038128                    </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0</v>
      </c>
      <c r="AL1325">
        <v>0</v>
      </c>
      <c r="AM1325">
        <v>0</v>
      </c>
      <c r="AN1325">
        <v>0</v>
      </c>
      <c r="AO1325">
        <v>0</v>
      </c>
      <c r="AP1325">
        <v>0</v>
      </c>
      <c r="AQ1325">
        <v>69.459999999999994</v>
      </c>
      <c r="AR1325">
        <v>0</v>
      </c>
      <c r="AS1325">
        <v>0</v>
      </c>
      <c r="AT1325">
        <v>0</v>
      </c>
      <c r="AU1325">
        <v>0</v>
      </c>
      <c r="AV1325">
        <v>0</v>
      </c>
      <c r="AW1325">
        <v>0</v>
      </c>
      <c r="AX1325">
        <v>0</v>
      </c>
      <c r="AY1325">
        <v>0</v>
      </c>
      <c r="AZ1325">
        <v>0</v>
      </c>
      <c r="BA1325">
        <v>0</v>
      </c>
      <c r="BB1325">
        <v>0</v>
      </c>
      <c r="BC1325">
        <v>0</v>
      </c>
      <c r="BD1325">
        <v>0</v>
      </c>
      <c r="BE1325">
        <v>0</v>
      </c>
      <c r="BF1325">
        <v>0</v>
      </c>
      <c r="BG1325">
        <v>0</v>
      </c>
      <c r="BH1325">
        <v>1</v>
      </c>
      <c r="BI1325">
        <v>4</v>
      </c>
      <c r="BJ1325">
        <v>6.4</v>
      </c>
      <c r="BK1325">
        <v>6.5</v>
      </c>
      <c r="BL1325">
        <v>227.32</v>
      </c>
      <c r="BM1325">
        <v>34.1</v>
      </c>
      <c r="BN1325">
        <v>261.42</v>
      </c>
      <c r="BO1325">
        <v>261.42</v>
      </c>
      <c r="BQ1325" t="s">
        <v>180</v>
      </c>
      <c r="BR1325" t="s">
        <v>84</v>
      </c>
      <c r="BS1325" s="3">
        <v>45792</v>
      </c>
      <c r="BT1325" s="4">
        <v>0.41041666666666665</v>
      </c>
      <c r="BU1325" t="s">
        <v>181</v>
      </c>
      <c r="BV1325" t="s">
        <v>86</v>
      </c>
      <c r="BY1325">
        <v>32200</v>
      </c>
      <c r="CA1325" t="s">
        <v>182</v>
      </c>
      <c r="CC1325" t="s">
        <v>178</v>
      </c>
      <c r="CD1325">
        <v>6229</v>
      </c>
      <c r="CE1325" t="s">
        <v>96</v>
      </c>
      <c r="CF1325" s="3">
        <v>45792</v>
      </c>
      <c r="CI1325">
        <v>1</v>
      </c>
      <c r="CJ1325">
        <v>1</v>
      </c>
      <c r="CK1325">
        <v>21</v>
      </c>
      <c r="CL1325" t="s">
        <v>89</v>
      </c>
    </row>
    <row r="1326" spans="1:90" x14ac:dyDescent="0.3">
      <c r="A1326" t="s">
        <v>72</v>
      </c>
      <c r="B1326" t="s">
        <v>73</v>
      </c>
      <c r="C1326" t="s">
        <v>74</v>
      </c>
      <c r="E1326" t="str">
        <f>"080065367985"</f>
        <v>080065367985</v>
      </c>
      <c r="F1326" s="3">
        <v>45791</v>
      </c>
      <c r="G1326">
        <v>202602</v>
      </c>
      <c r="H1326" t="s">
        <v>75</v>
      </c>
      <c r="I1326" t="s">
        <v>76</v>
      </c>
      <c r="J1326" t="s">
        <v>77</v>
      </c>
      <c r="K1326" t="s">
        <v>78</v>
      </c>
      <c r="L1326" t="s">
        <v>117</v>
      </c>
      <c r="M1326" t="s">
        <v>118</v>
      </c>
      <c r="N1326" t="s">
        <v>984</v>
      </c>
      <c r="O1326" t="s">
        <v>82</v>
      </c>
      <c r="P1326" t="str">
        <f>"4170038329                    "</f>
        <v xml:space="preserve">4170038329                    </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0</v>
      </c>
      <c r="AK1326">
        <v>0</v>
      </c>
      <c r="AL1326">
        <v>0</v>
      </c>
      <c r="AM1326">
        <v>0</v>
      </c>
      <c r="AN1326">
        <v>0</v>
      </c>
      <c r="AO1326">
        <v>0</v>
      </c>
      <c r="AP1326">
        <v>0</v>
      </c>
      <c r="AQ1326">
        <v>16.7</v>
      </c>
      <c r="AR1326">
        <v>0</v>
      </c>
      <c r="AS1326">
        <v>0</v>
      </c>
      <c r="AT1326">
        <v>0</v>
      </c>
      <c r="AU1326">
        <v>0</v>
      </c>
      <c r="AV1326">
        <v>0</v>
      </c>
      <c r="AW1326">
        <v>0</v>
      </c>
      <c r="AX1326">
        <v>0</v>
      </c>
      <c r="AY1326">
        <v>0</v>
      </c>
      <c r="AZ1326">
        <v>0</v>
      </c>
      <c r="BA1326">
        <v>0</v>
      </c>
      <c r="BB1326">
        <v>0</v>
      </c>
      <c r="BC1326">
        <v>0</v>
      </c>
      <c r="BD1326">
        <v>0</v>
      </c>
      <c r="BE1326">
        <v>0</v>
      </c>
      <c r="BF1326">
        <v>0</v>
      </c>
      <c r="BG1326">
        <v>0</v>
      </c>
      <c r="BH1326">
        <v>1</v>
      </c>
      <c r="BI1326">
        <v>1</v>
      </c>
      <c r="BJ1326">
        <v>0.2</v>
      </c>
      <c r="BK1326">
        <v>1</v>
      </c>
      <c r="BL1326">
        <v>54.66</v>
      </c>
      <c r="BM1326">
        <v>8.1999999999999993</v>
      </c>
      <c r="BN1326">
        <v>62.86</v>
      </c>
      <c r="BO1326">
        <v>62.86</v>
      </c>
      <c r="BQ1326" t="s">
        <v>985</v>
      </c>
      <c r="BR1326" t="s">
        <v>84</v>
      </c>
      <c r="BS1326" s="3">
        <v>45792</v>
      </c>
      <c r="BT1326" s="4">
        <v>0.3263888888888889</v>
      </c>
      <c r="BU1326" t="s">
        <v>348</v>
      </c>
      <c r="BV1326" t="s">
        <v>86</v>
      </c>
      <c r="BY1326">
        <v>1200</v>
      </c>
      <c r="CA1326" t="s">
        <v>275</v>
      </c>
      <c r="CC1326" t="s">
        <v>118</v>
      </c>
      <c r="CD1326">
        <v>2013</v>
      </c>
      <c r="CE1326" t="s">
        <v>88</v>
      </c>
      <c r="CF1326" s="3">
        <v>45793</v>
      </c>
      <c r="CI1326">
        <v>1</v>
      </c>
      <c r="CJ1326">
        <v>1</v>
      </c>
      <c r="CK1326">
        <v>22</v>
      </c>
      <c r="CL1326" t="s">
        <v>89</v>
      </c>
    </row>
    <row r="1327" spans="1:90" x14ac:dyDescent="0.3">
      <c r="A1327" t="s">
        <v>72</v>
      </c>
      <c r="B1327" t="s">
        <v>73</v>
      </c>
      <c r="C1327" t="s">
        <v>74</v>
      </c>
      <c r="E1327" t="str">
        <f>"080065368022"</f>
        <v>080065368022</v>
      </c>
      <c r="F1327" s="3">
        <v>45791</v>
      </c>
      <c r="G1327">
        <v>202602</v>
      </c>
      <c r="H1327" t="s">
        <v>75</v>
      </c>
      <c r="I1327" t="s">
        <v>76</v>
      </c>
      <c r="J1327" t="s">
        <v>77</v>
      </c>
      <c r="K1327" t="s">
        <v>78</v>
      </c>
      <c r="L1327" t="s">
        <v>75</v>
      </c>
      <c r="M1327" t="s">
        <v>76</v>
      </c>
      <c r="N1327" t="s">
        <v>601</v>
      </c>
      <c r="O1327" t="s">
        <v>82</v>
      </c>
      <c r="P1327" t="str">
        <f>"4170038326                    "</f>
        <v xml:space="preserve">4170038326                    </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0</v>
      </c>
      <c r="AL1327">
        <v>0</v>
      </c>
      <c r="AM1327">
        <v>0</v>
      </c>
      <c r="AN1327">
        <v>0</v>
      </c>
      <c r="AO1327">
        <v>0</v>
      </c>
      <c r="AP1327">
        <v>0</v>
      </c>
      <c r="AQ1327">
        <v>16.7</v>
      </c>
      <c r="AR1327">
        <v>0</v>
      </c>
      <c r="AS1327">
        <v>0</v>
      </c>
      <c r="AT1327">
        <v>0</v>
      </c>
      <c r="AU1327">
        <v>0</v>
      </c>
      <c r="AV1327">
        <v>0</v>
      </c>
      <c r="AW1327">
        <v>0</v>
      </c>
      <c r="AX1327">
        <v>0</v>
      </c>
      <c r="AY1327">
        <v>0</v>
      </c>
      <c r="AZ1327">
        <v>0</v>
      </c>
      <c r="BA1327">
        <v>0</v>
      </c>
      <c r="BB1327">
        <v>0</v>
      </c>
      <c r="BC1327">
        <v>0</v>
      </c>
      <c r="BD1327">
        <v>0</v>
      </c>
      <c r="BE1327">
        <v>0</v>
      </c>
      <c r="BF1327">
        <v>0</v>
      </c>
      <c r="BG1327">
        <v>0</v>
      </c>
      <c r="BH1327">
        <v>1</v>
      </c>
      <c r="BI1327">
        <v>1</v>
      </c>
      <c r="BJ1327">
        <v>0.2</v>
      </c>
      <c r="BK1327">
        <v>1</v>
      </c>
      <c r="BL1327">
        <v>54.66</v>
      </c>
      <c r="BM1327">
        <v>8.1999999999999993</v>
      </c>
      <c r="BN1327">
        <v>62.86</v>
      </c>
      <c r="BO1327">
        <v>62.86</v>
      </c>
      <c r="BQ1327" t="s">
        <v>603</v>
      </c>
      <c r="BR1327" t="s">
        <v>84</v>
      </c>
      <c r="BS1327" s="3">
        <v>45792</v>
      </c>
      <c r="BT1327" s="4">
        <v>0.33333333333333331</v>
      </c>
      <c r="BU1327" t="s">
        <v>604</v>
      </c>
      <c r="BV1327" t="s">
        <v>86</v>
      </c>
      <c r="BY1327">
        <v>1200</v>
      </c>
      <c r="CA1327" t="s">
        <v>605</v>
      </c>
      <c r="CC1327" t="s">
        <v>76</v>
      </c>
      <c r="CD1327">
        <v>1645</v>
      </c>
      <c r="CE1327" t="s">
        <v>88</v>
      </c>
      <c r="CF1327" s="3">
        <v>45792</v>
      </c>
      <c r="CI1327">
        <v>1</v>
      </c>
      <c r="CJ1327">
        <v>1</v>
      </c>
      <c r="CK1327">
        <v>22</v>
      </c>
      <c r="CL1327" t="s">
        <v>89</v>
      </c>
    </row>
    <row r="1328" spans="1:90" x14ac:dyDescent="0.3">
      <c r="A1328" t="s">
        <v>72</v>
      </c>
      <c r="B1328" t="s">
        <v>73</v>
      </c>
      <c r="C1328" t="s">
        <v>74</v>
      </c>
      <c r="E1328" t="str">
        <f>"080065368125"</f>
        <v>080065368125</v>
      </c>
      <c r="F1328" s="3">
        <v>45791</v>
      </c>
      <c r="G1328">
        <v>202602</v>
      </c>
      <c r="H1328" t="s">
        <v>75</v>
      </c>
      <c r="I1328" t="s">
        <v>76</v>
      </c>
      <c r="J1328" t="s">
        <v>77</v>
      </c>
      <c r="K1328" t="s">
        <v>78</v>
      </c>
      <c r="L1328" t="s">
        <v>479</v>
      </c>
      <c r="M1328" t="s">
        <v>480</v>
      </c>
      <c r="N1328" t="s">
        <v>793</v>
      </c>
      <c r="O1328" t="s">
        <v>82</v>
      </c>
      <c r="P1328" t="str">
        <f>"4170038358                    "</f>
        <v xml:space="preserve">4170038358                    </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0</v>
      </c>
      <c r="AL1328">
        <v>0</v>
      </c>
      <c r="AM1328">
        <v>0</v>
      </c>
      <c r="AN1328">
        <v>0</v>
      </c>
      <c r="AO1328">
        <v>0</v>
      </c>
      <c r="AP1328">
        <v>0</v>
      </c>
      <c r="AQ1328">
        <v>16.7</v>
      </c>
      <c r="AR1328">
        <v>0</v>
      </c>
      <c r="AS1328">
        <v>0</v>
      </c>
      <c r="AT1328">
        <v>0</v>
      </c>
      <c r="AU1328">
        <v>0</v>
      </c>
      <c r="AV1328">
        <v>0</v>
      </c>
      <c r="AW1328">
        <v>0</v>
      </c>
      <c r="AX1328">
        <v>0</v>
      </c>
      <c r="AY1328">
        <v>0</v>
      </c>
      <c r="AZ1328">
        <v>0</v>
      </c>
      <c r="BA1328">
        <v>0</v>
      </c>
      <c r="BB1328">
        <v>0</v>
      </c>
      <c r="BC1328">
        <v>0</v>
      </c>
      <c r="BD1328">
        <v>0</v>
      </c>
      <c r="BE1328">
        <v>0</v>
      </c>
      <c r="BF1328">
        <v>0</v>
      </c>
      <c r="BG1328">
        <v>0</v>
      </c>
      <c r="BH1328">
        <v>1</v>
      </c>
      <c r="BI1328">
        <v>1</v>
      </c>
      <c r="BJ1328">
        <v>0.2</v>
      </c>
      <c r="BK1328">
        <v>1</v>
      </c>
      <c r="BL1328">
        <v>54.66</v>
      </c>
      <c r="BM1328">
        <v>8.1999999999999993</v>
      </c>
      <c r="BN1328">
        <v>62.86</v>
      </c>
      <c r="BO1328">
        <v>62.86</v>
      </c>
      <c r="BQ1328" t="s">
        <v>794</v>
      </c>
      <c r="BR1328" t="s">
        <v>84</v>
      </c>
      <c r="BS1328" s="3">
        <v>45792</v>
      </c>
      <c r="BT1328" s="4">
        <v>0.4375</v>
      </c>
      <c r="BU1328" t="s">
        <v>1884</v>
      </c>
      <c r="BV1328" t="s">
        <v>86</v>
      </c>
      <c r="BY1328">
        <v>1200</v>
      </c>
      <c r="CA1328" t="s">
        <v>1443</v>
      </c>
      <c r="CC1328" t="s">
        <v>480</v>
      </c>
      <c r="CD1328">
        <v>2163</v>
      </c>
      <c r="CE1328" t="s">
        <v>88</v>
      </c>
      <c r="CF1328" s="3">
        <v>45793</v>
      </c>
      <c r="CI1328">
        <v>1</v>
      </c>
      <c r="CJ1328">
        <v>1</v>
      </c>
      <c r="CK1328">
        <v>22</v>
      </c>
      <c r="CL1328" t="s">
        <v>89</v>
      </c>
    </row>
    <row r="1329" spans="1:90" x14ac:dyDescent="0.3">
      <c r="A1329" t="s">
        <v>72</v>
      </c>
      <c r="B1329" t="s">
        <v>73</v>
      </c>
      <c r="C1329" t="s">
        <v>74</v>
      </c>
      <c r="E1329" t="str">
        <f>"080065368085"</f>
        <v>080065368085</v>
      </c>
      <c r="F1329" s="3">
        <v>45791</v>
      </c>
      <c r="G1329">
        <v>202602</v>
      </c>
      <c r="H1329" t="s">
        <v>75</v>
      </c>
      <c r="I1329" t="s">
        <v>76</v>
      </c>
      <c r="J1329" t="s">
        <v>77</v>
      </c>
      <c r="K1329" t="s">
        <v>78</v>
      </c>
      <c r="L1329" t="s">
        <v>463</v>
      </c>
      <c r="M1329" t="s">
        <v>464</v>
      </c>
      <c r="N1329" t="s">
        <v>465</v>
      </c>
      <c r="O1329" t="s">
        <v>82</v>
      </c>
      <c r="P1329" t="str">
        <f>"4170038208                    "</f>
        <v xml:space="preserve">4170038208                    </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0</v>
      </c>
      <c r="AL1329">
        <v>0</v>
      </c>
      <c r="AM1329">
        <v>0</v>
      </c>
      <c r="AN1329">
        <v>0</v>
      </c>
      <c r="AO1329">
        <v>0</v>
      </c>
      <c r="AP1329">
        <v>0</v>
      </c>
      <c r="AQ1329">
        <v>21.38</v>
      </c>
      <c r="AR1329">
        <v>0</v>
      </c>
      <c r="AS1329">
        <v>0</v>
      </c>
      <c r="AT1329">
        <v>0</v>
      </c>
      <c r="AU1329">
        <v>0</v>
      </c>
      <c r="AV1329">
        <v>0</v>
      </c>
      <c r="AW1329">
        <v>0</v>
      </c>
      <c r="AX1329">
        <v>0</v>
      </c>
      <c r="AY1329">
        <v>0</v>
      </c>
      <c r="AZ1329">
        <v>0</v>
      </c>
      <c r="BA1329">
        <v>0</v>
      </c>
      <c r="BB1329">
        <v>0</v>
      </c>
      <c r="BC1329">
        <v>0</v>
      </c>
      <c r="BD1329">
        <v>0</v>
      </c>
      <c r="BE1329">
        <v>0</v>
      </c>
      <c r="BF1329">
        <v>0</v>
      </c>
      <c r="BG1329">
        <v>0</v>
      </c>
      <c r="BH1329">
        <v>1</v>
      </c>
      <c r="BI1329">
        <v>1</v>
      </c>
      <c r="BJ1329">
        <v>0.2</v>
      </c>
      <c r="BK1329">
        <v>1</v>
      </c>
      <c r="BL1329">
        <v>69.98</v>
      </c>
      <c r="BM1329">
        <v>10.5</v>
      </c>
      <c r="BN1329">
        <v>80.48</v>
      </c>
      <c r="BO1329">
        <v>80.48</v>
      </c>
      <c r="BQ1329" t="s">
        <v>466</v>
      </c>
      <c r="BR1329" t="s">
        <v>84</v>
      </c>
      <c r="BS1329" s="3">
        <v>45792</v>
      </c>
      <c r="BT1329" s="4">
        <v>0.5083333333333333</v>
      </c>
      <c r="BU1329" t="s">
        <v>1918</v>
      </c>
      <c r="BV1329" t="s">
        <v>86</v>
      </c>
      <c r="BY1329">
        <v>1200</v>
      </c>
      <c r="CA1329" t="s">
        <v>468</v>
      </c>
      <c r="CC1329" t="s">
        <v>464</v>
      </c>
      <c r="CD1329">
        <v>5201</v>
      </c>
      <c r="CE1329" t="s">
        <v>88</v>
      </c>
      <c r="CF1329" s="3">
        <v>45792</v>
      </c>
      <c r="CI1329">
        <v>5</v>
      </c>
      <c r="CJ1329">
        <v>1</v>
      </c>
      <c r="CK1329">
        <v>21</v>
      </c>
      <c r="CL1329" t="s">
        <v>89</v>
      </c>
    </row>
    <row r="1330" spans="1:90" x14ac:dyDescent="0.3">
      <c r="A1330" t="s">
        <v>72</v>
      </c>
      <c r="B1330" t="s">
        <v>73</v>
      </c>
      <c r="C1330" t="s">
        <v>74</v>
      </c>
      <c r="E1330" t="str">
        <f>"080065368440"</f>
        <v>080065368440</v>
      </c>
      <c r="F1330" s="3">
        <v>45791</v>
      </c>
      <c r="G1330">
        <v>202602</v>
      </c>
      <c r="H1330" t="s">
        <v>75</v>
      </c>
      <c r="I1330" t="s">
        <v>76</v>
      </c>
      <c r="J1330" t="s">
        <v>77</v>
      </c>
      <c r="K1330" t="s">
        <v>78</v>
      </c>
      <c r="L1330" t="s">
        <v>445</v>
      </c>
      <c r="M1330" t="s">
        <v>446</v>
      </c>
      <c r="N1330" t="s">
        <v>508</v>
      </c>
      <c r="O1330" t="s">
        <v>300</v>
      </c>
      <c r="P1330" t="str">
        <f>"4170038146                    "</f>
        <v xml:space="preserve">4170038146                    </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0</v>
      </c>
      <c r="AL1330">
        <v>0</v>
      </c>
      <c r="AM1330">
        <v>0</v>
      </c>
      <c r="AN1330">
        <v>0</v>
      </c>
      <c r="AO1330">
        <v>0</v>
      </c>
      <c r="AP1330">
        <v>0</v>
      </c>
      <c r="AQ1330">
        <v>198.33</v>
      </c>
      <c r="AR1330">
        <v>0</v>
      </c>
      <c r="AS1330">
        <v>0</v>
      </c>
      <c r="AT1330">
        <v>0</v>
      </c>
      <c r="AU1330">
        <v>0</v>
      </c>
      <c r="AV1330">
        <v>0</v>
      </c>
      <c r="AW1330">
        <v>0</v>
      </c>
      <c r="AX1330">
        <v>0</v>
      </c>
      <c r="AY1330">
        <v>0</v>
      </c>
      <c r="AZ1330">
        <v>0</v>
      </c>
      <c r="BA1330">
        <v>0</v>
      </c>
      <c r="BB1330">
        <v>0</v>
      </c>
      <c r="BC1330">
        <v>0</v>
      </c>
      <c r="BD1330">
        <v>0</v>
      </c>
      <c r="BE1330">
        <v>0</v>
      </c>
      <c r="BF1330">
        <v>0</v>
      </c>
      <c r="BG1330">
        <v>0</v>
      </c>
      <c r="BH1330">
        <v>1</v>
      </c>
      <c r="BI1330">
        <v>62</v>
      </c>
      <c r="BJ1330">
        <v>33.6</v>
      </c>
      <c r="BK1330">
        <v>62</v>
      </c>
      <c r="BL1330">
        <v>654.64</v>
      </c>
      <c r="BM1330">
        <v>98.2</v>
      </c>
      <c r="BN1330">
        <v>752.84</v>
      </c>
      <c r="BO1330">
        <v>752.84</v>
      </c>
      <c r="BQ1330" t="s">
        <v>509</v>
      </c>
      <c r="BR1330" t="s">
        <v>84</v>
      </c>
      <c r="BS1330" s="3">
        <v>45796</v>
      </c>
      <c r="BT1330" s="4">
        <v>0.5</v>
      </c>
      <c r="BU1330" t="s">
        <v>1245</v>
      </c>
      <c r="BV1330" t="s">
        <v>89</v>
      </c>
      <c r="BW1330" t="s">
        <v>296</v>
      </c>
      <c r="BX1330" t="s">
        <v>1365</v>
      </c>
      <c r="BY1330">
        <v>168000</v>
      </c>
      <c r="CC1330" t="s">
        <v>446</v>
      </c>
      <c r="CD1330">
        <v>4400</v>
      </c>
      <c r="CE1330" t="s">
        <v>1434</v>
      </c>
      <c r="CF1330" s="3">
        <v>45797</v>
      </c>
      <c r="CI1330">
        <v>1</v>
      </c>
      <c r="CJ1330">
        <v>3</v>
      </c>
      <c r="CK1330">
        <v>43</v>
      </c>
      <c r="CL1330" t="s">
        <v>89</v>
      </c>
    </row>
    <row r="1331" spans="1:90" x14ac:dyDescent="0.3">
      <c r="A1331" t="s">
        <v>72</v>
      </c>
      <c r="B1331" t="s">
        <v>73</v>
      </c>
      <c r="C1331" t="s">
        <v>74</v>
      </c>
      <c r="E1331" t="str">
        <f>"080065368518"</f>
        <v>080065368518</v>
      </c>
      <c r="F1331" s="3">
        <v>45791</v>
      </c>
      <c r="G1331">
        <v>202602</v>
      </c>
      <c r="H1331" t="s">
        <v>75</v>
      </c>
      <c r="I1331" t="s">
        <v>76</v>
      </c>
      <c r="J1331" t="s">
        <v>77</v>
      </c>
      <c r="K1331" t="s">
        <v>78</v>
      </c>
      <c r="L1331" t="s">
        <v>2009</v>
      </c>
      <c r="M1331" t="s">
        <v>2010</v>
      </c>
      <c r="N1331" t="s">
        <v>2011</v>
      </c>
      <c r="O1331" t="s">
        <v>300</v>
      </c>
      <c r="P1331" t="str">
        <f>"4170038149                    "</f>
        <v xml:space="preserve">4170038149                    </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0</v>
      </c>
      <c r="AL1331">
        <v>0</v>
      </c>
      <c r="AM1331">
        <v>0</v>
      </c>
      <c r="AN1331">
        <v>0</v>
      </c>
      <c r="AO1331">
        <v>0</v>
      </c>
      <c r="AP1331">
        <v>0</v>
      </c>
      <c r="AQ1331">
        <v>168.54</v>
      </c>
      <c r="AR1331">
        <v>0</v>
      </c>
      <c r="AS1331">
        <v>0</v>
      </c>
      <c r="AT1331">
        <v>0</v>
      </c>
      <c r="AU1331">
        <v>0</v>
      </c>
      <c r="AV1331">
        <v>0</v>
      </c>
      <c r="AW1331">
        <v>0</v>
      </c>
      <c r="AX1331">
        <v>0</v>
      </c>
      <c r="AY1331">
        <v>0</v>
      </c>
      <c r="AZ1331">
        <v>0</v>
      </c>
      <c r="BA1331">
        <v>0</v>
      </c>
      <c r="BB1331">
        <v>0</v>
      </c>
      <c r="BC1331">
        <v>0</v>
      </c>
      <c r="BD1331">
        <v>0</v>
      </c>
      <c r="BE1331">
        <v>0</v>
      </c>
      <c r="BF1331">
        <v>0</v>
      </c>
      <c r="BG1331">
        <v>0</v>
      </c>
      <c r="BH1331">
        <v>1</v>
      </c>
      <c r="BI1331">
        <v>34</v>
      </c>
      <c r="BJ1331">
        <v>51.8</v>
      </c>
      <c r="BK1331">
        <v>52</v>
      </c>
      <c r="BL1331">
        <v>557.15</v>
      </c>
      <c r="BM1331">
        <v>83.57</v>
      </c>
      <c r="BN1331">
        <v>640.72</v>
      </c>
      <c r="BO1331">
        <v>640.72</v>
      </c>
      <c r="BQ1331" t="s">
        <v>2012</v>
      </c>
      <c r="BR1331" t="s">
        <v>84</v>
      </c>
      <c r="BS1331" s="3">
        <v>45793</v>
      </c>
      <c r="BT1331" s="4">
        <v>0.5</v>
      </c>
      <c r="BU1331" t="s">
        <v>2013</v>
      </c>
      <c r="BV1331" t="s">
        <v>86</v>
      </c>
      <c r="BY1331">
        <v>259200</v>
      </c>
      <c r="BZ1331" t="s">
        <v>35</v>
      </c>
      <c r="CC1331" t="s">
        <v>2010</v>
      </c>
      <c r="CD1331">
        <v>1133</v>
      </c>
      <c r="CE1331" t="s">
        <v>1434</v>
      </c>
      <c r="CF1331" s="3">
        <v>45796</v>
      </c>
      <c r="CI1331">
        <v>2</v>
      </c>
      <c r="CJ1331">
        <v>2</v>
      </c>
      <c r="CK1331">
        <v>43</v>
      </c>
      <c r="CL1331" t="s">
        <v>89</v>
      </c>
    </row>
    <row r="1332" spans="1:90" x14ac:dyDescent="0.3">
      <c r="A1332" t="s">
        <v>72</v>
      </c>
      <c r="B1332" t="s">
        <v>73</v>
      </c>
      <c r="C1332" t="s">
        <v>74</v>
      </c>
      <c r="E1332" t="str">
        <f>"080065368867"</f>
        <v>080065368867</v>
      </c>
      <c r="F1332" s="3">
        <v>45791</v>
      </c>
      <c r="G1332">
        <v>202602</v>
      </c>
      <c r="H1332" t="s">
        <v>75</v>
      </c>
      <c r="I1332" t="s">
        <v>76</v>
      </c>
      <c r="J1332" t="s">
        <v>77</v>
      </c>
      <c r="K1332" t="s">
        <v>78</v>
      </c>
      <c r="L1332" t="s">
        <v>90</v>
      </c>
      <c r="M1332" t="s">
        <v>91</v>
      </c>
      <c r="N1332" t="s">
        <v>1411</v>
      </c>
      <c r="O1332" t="s">
        <v>300</v>
      </c>
      <c r="P1332" t="str">
        <f>"4170038221                    "</f>
        <v xml:space="preserve">4170038221                    </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v>0</v>
      </c>
      <c r="AM1332">
        <v>0</v>
      </c>
      <c r="AN1332">
        <v>0</v>
      </c>
      <c r="AO1332">
        <v>0</v>
      </c>
      <c r="AP1332">
        <v>0</v>
      </c>
      <c r="AQ1332">
        <v>48.18</v>
      </c>
      <c r="AR1332">
        <v>0</v>
      </c>
      <c r="AS1332">
        <v>0</v>
      </c>
      <c r="AT1332">
        <v>0</v>
      </c>
      <c r="AU1332">
        <v>0</v>
      </c>
      <c r="AV1332">
        <v>0</v>
      </c>
      <c r="AW1332">
        <v>0</v>
      </c>
      <c r="AX1332">
        <v>0</v>
      </c>
      <c r="AY1332">
        <v>0</v>
      </c>
      <c r="AZ1332">
        <v>0</v>
      </c>
      <c r="BA1332">
        <v>0</v>
      </c>
      <c r="BB1332">
        <v>0</v>
      </c>
      <c r="BC1332">
        <v>0</v>
      </c>
      <c r="BD1332">
        <v>0</v>
      </c>
      <c r="BE1332">
        <v>0</v>
      </c>
      <c r="BF1332">
        <v>0</v>
      </c>
      <c r="BG1332">
        <v>0</v>
      </c>
      <c r="BH1332">
        <v>1</v>
      </c>
      <c r="BI1332">
        <v>16</v>
      </c>
      <c r="BJ1332">
        <v>18.8</v>
      </c>
      <c r="BK1332">
        <v>19</v>
      </c>
      <c r="BL1332">
        <v>163.25</v>
      </c>
      <c r="BM1332">
        <v>24.49</v>
      </c>
      <c r="BN1332">
        <v>187.74</v>
      </c>
      <c r="BO1332">
        <v>187.74</v>
      </c>
      <c r="BQ1332" t="s">
        <v>1412</v>
      </c>
      <c r="BR1332" t="s">
        <v>84</v>
      </c>
      <c r="BS1332" s="3">
        <v>45793</v>
      </c>
      <c r="BT1332" s="4">
        <v>0.35486111111111113</v>
      </c>
      <c r="BU1332" t="s">
        <v>1822</v>
      </c>
      <c r="BV1332" t="s">
        <v>86</v>
      </c>
      <c r="BY1332">
        <v>93840</v>
      </c>
      <c r="CA1332" t="s">
        <v>271</v>
      </c>
      <c r="CC1332" t="s">
        <v>91</v>
      </c>
      <c r="CD1332">
        <v>6001</v>
      </c>
      <c r="CE1332" t="s">
        <v>96</v>
      </c>
      <c r="CF1332" s="3">
        <v>45793</v>
      </c>
      <c r="CI1332">
        <v>3</v>
      </c>
      <c r="CJ1332">
        <v>2</v>
      </c>
      <c r="CK1332">
        <v>41</v>
      </c>
      <c r="CL1332" t="s">
        <v>89</v>
      </c>
    </row>
    <row r="1333" spans="1:90" x14ac:dyDescent="0.3">
      <c r="A1333" t="s">
        <v>72</v>
      </c>
      <c r="B1333" t="s">
        <v>73</v>
      </c>
      <c r="C1333" t="s">
        <v>74</v>
      </c>
      <c r="E1333" t="str">
        <f>"080065368919"</f>
        <v>080065368919</v>
      </c>
      <c r="F1333" s="3">
        <v>45791</v>
      </c>
      <c r="G1333">
        <v>202602</v>
      </c>
      <c r="H1333" t="s">
        <v>75</v>
      </c>
      <c r="I1333" t="s">
        <v>76</v>
      </c>
      <c r="J1333" t="s">
        <v>77</v>
      </c>
      <c r="K1333" t="s">
        <v>78</v>
      </c>
      <c r="L1333" t="s">
        <v>130</v>
      </c>
      <c r="M1333" t="s">
        <v>131</v>
      </c>
      <c r="N1333" t="s">
        <v>337</v>
      </c>
      <c r="O1333" t="s">
        <v>82</v>
      </c>
      <c r="P1333" t="str">
        <f>"4170038073                    "</f>
        <v xml:space="preserve">4170038073                    </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0</v>
      </c>
      <c r="AK1333">
        <v>0</v>
      </c>
      <c r="AL1333">
        <v>0</v>
      </c>
      <c r="AM1333">
        <v>0</v>
      </c>
      <c r="AN1333">
        <v>0</v>
      </c>
      <c r="AO1333">
        <v>0</v>
      </c>
      <c r="AP1333">
        <v>0</v>
      </c>
      <c r="AQ1333">
        <v>21.38</v>
      </c>
      <c r="AR1333">
        <v>0</v>
      </c>
      <c r="AS1333">
        <v>0</v>
      </c>
      <c r="AT1333">
        <v>0</v>
      </c>
      <c r="AU1333">
        <v>0</v>
      </c>
      <c r="AV1333">
        <v>0</v>
      </c>
      <c r="AW1333">
        <v>0</v>
      </c>
      <c r="AX1333">
        <v>0</v>
      </c>
      <c r="AY1333">
        <v>0</v>
      </c>
      <c r="AZ1333">
        <v>0</v>
      </c>
      <c r="BA1333">
        <v>0</v>
      </c>
      <c r="BB1333">
        <v>0</v>
      </c>
      <c r="BC1333">
        <v>0</v>
      </c>
      <c r="BD1333">
        <v>0</v>
      </c>
      <c r="BE1333">
        <v>0</v>
      </c>
      <c r="BF1333">
        <v>0</v>
      </c>
      <c r="BG1333">
        <v>0</v>
      </c>
      <c r="BH1333">
        <v>1</v>
      </c>
      <c r="BI1333">
        <v>1</v>
      </c>
      <c r="BJ1333">
        <v>1.9</v>
      </c>
      <c r="BK1333">
        <v>2</v>
      </c>
      <c r="BL1333">
        <v>69.98</v>
      </c>
      <c r="BM1333">
        <v>10.5</v>
      </c>
      <c r="BN1333">
        <v>80.48</v>
      </c>
      <c r="BO1333">
        <v>80.48</v>
      </c>
      <c r="BQ1333" t="s">
        <v>338</v>
      </c>
      <c r="BR1333" t="s">
        <v>84</v>
      </c>
      <c r="BS1333" s="3">
        <v>45792</v>
      </c>
      <c r="BT1333" s="4">
        <v>0.52500000000000002</v>
      </c>
      <c r="BU1333" t="s">
        <v>339</v>
      </c>
      <c r="BV1333" t="s">
        <v>89</v>
      </c>
      <c r="BW1333" t="s">
        <v>340</v>
      </c>
      <c r="BX1333" t="s">
        <v>578</v>
      </c>
      <c r="BY1333">
        <v>9600</v>
      </c>
      <c r="CC1333" t="s">
        <v>131</v>
      </c>
      <c r="CD1333">
        <v>7800</v>
      </c>
      <c r="CE1333" t="s">
        <v>96</v>
      </c>
      <c r="CF1333" s="3">
        <v>45793</v>
      </c>
      <c r="CI1333">
        <v>1</v>
      </c>
      <c r="CJ1333">
        <v>1</v>
      </c>
      <c r="CK1333">
        <v>21</v>
      </c>
      <c r="CL1333" t="s">
        <v>89</v>
      </c>
    </row>
    <row r="1334" spans="1:90" x14ac:dyDescent="0.3">
      <c r="A1334" t="s">
        <v>72</v>
      </c>
      <c r="B1334" t="s">
        <v>73</v>
      </c>
      <c r="C1334" t="s">
        <v>74</v>
      </c>
      <c r="E1334" t="str">
        <f>"080065368962"</f>
        <v>080065368962</v>
      </c>
      <c r="F1334" s="3">
        <v>45791</v>
      </c>
      <c r="G1334">
        <v>202602</v>
      </c>
      <c r="H1334" t="s">
        <v>75</v>
      </c>
      <c r="I1334" t="s">
        <v>76</v>
      </c>
      <c r="J1334" t="s">
        <v>77</v>
      </c>
      <c r="K1334" t="s">
        <v>78</v>
      </c>
      <c r="L1334" t="s">
        <v>206</v>
      </c>
      <c r="M1334" t="s">
        <v>207</v>
      </c>
      <c r="N1334" t="s">
        <v>208</v>
      </c>
      <c r="O1334" t="s">
        <v>82</v>
      </c>
      <c r="P1334" t="str">
        <f>"4170038051                    "</f>
        <v xml:space="preserve">4170038051                    </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c r="AJ1334">
        <v>0</v>
      </c>
      <c r="AK1334">
        <v>0</v>
      </c>
      <c r="AL1334">
        <v>0</v>
      </c>
      <c r="AM1334">
        <v>0</v>
      </c>
      <c r="AN1334">
        <v>0</v>
      </c>
      <c r="AO1334">
        <v>0</v>
      </c>
      <c r="AP1334">
        <v>0</v>
      </c>
      <c r="AQ1334">
        <v>41.43</v>
      </c>
      <c r="AR1334">
        <v>0</v>
      </c>
      <c r="AS1334">
        <v>0</v>
      </c>
      <c r="AT1334">
        <v>0</v>
      </c>
      <c r="AU1334">
        <v>0</v>
      </c>
      <c r="AV1334">
        <v>0</v>
      </c>
      <c r="AW1334">
        <v>0</v>
      </c>
      <c r="AX1334">
        <v>0</v>
      </c>
      <c r="AY1334">
        <v>0</v>
      </c>
      <c r="AZ1334">
        <v>0</v>
      </c>
      <c r="BA1334">
        <v>0</v>
      </c>
      <c r="BB1334">
        <v>0</v>
      </c>
      <c r="BC1334">
        <v>0</v>
      </c>
      <c r="BD1334">
        <v>0</v>
      </c>
      <c r="BE1334">
        <v>0</v>
      </c>
      <c r="BF1334">
        <v>0</v>
      </c>
      <c r="BG1334">
        <v>0</v>
      </c>
      <c r="BH1334">
        <v>1</v>
      </c>
      <c r="BI1334">
        <v>1</v>
      </c>
      <c r="BJ1334">
        <v>1.1000000000000001</v>
      </c>
      <c r="BK1334">
        <v>1.5</v>
      </c>
      <c r="BL1334">
        <v>135.59</v>
      </c>
      <c r="BM1334">
        <v>20.34</v>
      </c>
      <c r="BN1334">
        <v>155.93</v>
      </c>
      <c r="BO1334">
        <v>155.93</v>
      </c>
      <c r="BQ1334" t="s">
        <v>209</v>
      </c>
      <c r="BR1334" t="s">
        <v>84</v>
      </c>
      <c r="BS1334" s="3">
        <v>45792</v>
      </c>
      <c r="BT1334" s="4">
        <v>0.51527777777777772</v>
      </c>
      <c r="BU1334" t="s">
        <v>1640</v>
      </c>
      <c r="BV1334" t="s">
        <v>86</v>
      </c>
      <c r="BY1334">
        <v>5320</v>
      </c>
      <c r="CA1334" t="s">
        <v>1295</v>
      </c>
      <c r="CC1334" t="s">
        <v>207</v>
      </c>
      <c r="CD1334">
        <v>1389</v>
      </c>
      <c r="CE1334" t="s">
        <v>116</v>
      </c>
      <c r="CF1334" s="3">
        <v>45793</v>
      </c>
      <c r="CI1334">
        <v>1</v>
      </c>
      <c r="CJ1334">
        <v>1</v>
      </c>
      <c r="CK1334">
        <v>23</v>
      </c>
      <c r="CL1334" t="s">
        <v>89</v>
      </c>
    </row>
    <row r="1335" spans="1:90" x14ac:dyDescent="0.3">
      <c r="A1335" t="s">
        <v>72</v>
      </c>
      <c r="B1335" t="s">
        <v>73</v>
      </c>
      <c r="C1335" t="s">
        <v>74</v>
      </c>
      <c r="E1335" t="str">
        <f>"080065369012"</f>
        <v>080065369012</v>
      </c>
      <c r="F1335" s="3">
        <v>45791</v>
      </c>
      <c r="G1335">
        <v>202602</v>
      </c>
      <c r="H1335" t="s">
        <v>75</v>
      </c>
      <c r="I1335" t="s">
        <v>76</v>
      </c>
      <c r="J1335" t="s">
        <v>77</v>
      </c>
      <c r="K1335" t="s">
        <v>78</v>
      </c>
      <c r="L1335" t="s">
        <v>130</v>
      </c>
      <c r="M1335" t="s">
        <v>131</v>
      </c>
      <c r="N1335" t="s">
        <v>343</v>
      </c>
      <c r="O1335" t="s">
        <v>82</v>
      </c>
      <c r="P1335" t="str">
        <f>"4170038088                    "</f>
        <v xml:space="preserve">4170038088                    </v>
      </c>
      <c r="Q1335">
        <v>0</v>
      </c>
      <c r="R1335">
        <v>0</v>
      </c>
      <c r="S1335">
        <v>0</v>
      </c>
      <c r="T1335">
        <v>0</v>
      </c>
      <c r="U1335">
        <v>0</v>
      </c>
      <c r="V1335">
        <v>0</v>
      </c>
      <c r="W1335">
        <v>0</v>
      </c>
      <c r="X1335">
        <v>0</v>
      </c>
      <c r="Y1335">
        <v>0</v>
      </c>
      <c r="Z1335">
        <v>0</v>
      </c>
      <c r="AA1335">
        <v>0</v>
      </c>
      <c r="AB1335">
        <v>0</v>
      </c>
      <c r="AC1335">
        <v>0</v>
      </c>
      <c r="AD1335">
        <v>0</v>
      </c>
      <c r="AE1335">
        <v>0</v>
      </c>
      <c r="AF1335">
        <v>0</v>
      </c>
      <c r="AG1335">
        <v>0</v>
      </c>
      <c r="AH1335">
        <v>0</v>
      </c>
      <c r="AI1335">
        <v>0</v>
      </c>
      <c r="AJ1335">
        <v>0</v>
      </c>
      <c r="AK1335">
        <v>0</v>
      </c>
      <c r="AL1335">
        <v>0</v>
      </c>
      <c r="AM1335">
        <v>0</v>
      </c>
      <c r="AN1335">
        <v>0</v>
      </c>
      <c r="AO1335">
        <v>0</v>
      </c>
      <c r="AP1335">
        <v>0</v>
      </c>
      <c r="AQ1335">
        <v>21.38</v>
      </c>
      <c r="AR1335">
        <v>0</v>
      </c>
      <c r="AS1335">
        <v>0</v>
      </c>
      <c r="AT1335">
        <v>0</v>
      </c>
      <c r="AU1335">
        <v>0</v>
      </c>
      <c r="AV1335">
        <v>0</v>
      </c>
      <c r="AW1335">
        <v>0</v>
      </c>
      <c r="AX1335">
        <v>0</v>
      </c>
      <c r="AY1335">
        <v>0</v>
      </c>
      <c r="AZ1335">
        <v>0</v>
      </c>
      <c r="BA1335">
        <v>0</v>
      </c>
      <c r="BB1335">
        <v>0</v>
      </c>
      <c r="BC1335">
        <v>0</v>
      </c>
      <c r="BD1335">
        <v>0</v>
      </c>
      <c r="BE1335">
        <v>0</v>
      </c>
      <c r="BF1335">
        <v>0</v>
      </c>
      <c r="BG1335">
        <v>0</v>
      </c>
      <c r="BH1335">
        <v>1</v>
      </c>
      <c r="BI1335">
        <v>2</v>
      </c>
      <c r="BJ1335">
        <v>1.1000000000000001</v>
      </c>
      <c r="BK1335">
        <v>2</v>
      </c>
      <c r="BL1335">
        <v>69.98</v>
      </c>
      <c r="BM1335">
        <v>10.5</v>
      </c>
      <c r="BN1335">
        <v>80.48</v>
      </c>
      <c r="BO1335">
        <v>80.48</v>
      </c>
      <c r="BQ1335" t="s">
        <v>344</v>
      </c>
      <c r="BR1335" t="s">
        <v>84</v>
      </c>
      <c r="BS1335" s="3">
        <v>45792</v>
      </c>
      <c r="BT1335" s="4">
        <v>0.3923611111111111</v>
      </c>
      <c r="BU1335" t="s">
        <v>345</v>
      </c>
      <c r="BV1335" t="s">
        <v>86</v>
      </c>
      <c r="BY1335">
        <v>5320</v>
      </c>
      <c r="CA1335" t="s">
        <v>242</v>
      </c>
      <c r="CC1335" t="s">
        <v>131</v>
      </c>
      <c r="CD1335">
        <v>7441</v>
      </c>
      <c r="CE1335" t="s">
        <v>116</v>
      </c>
      <c r="CF1335" s="3">
        <v>45793</v>
      </c>
      <c r="CI1335">
        <v>1</v>
      </c>
      <c r="CJ1335">
        <v>1</v>
      </c>
      <c r="CK1335">
        <v>21</v>
      </c>
      <c r="CL1335" t="s">
        <v>89</v>
      </c>
    </row>
    <row r="1336" spans="1:90" x14ac:dyDescent="0.3">
      <c r="A1336" t="s">
        <v>72</v>
      </c>
      <c r="B1336" t="s">
        <v>73</v>
      </c>
      <c r="C1336" t="s">
        <v>74</v>
      </c>
      <c r="E1336" t="str">
        <f>"080065369293"</f>
        <v>080065369293</v>
      </c>
      <c r="F1336" s="3">
        <v>45791</v>
      </c>
      <c r="G1336">
        <v>202602</v>
      </c>
      <c r="H1336" t="s">
        <v>75</v>
      </c>
      <c r="I1336" t="s">
        <v>76</v>
      </c>
      <c r="J1336" t="s">
        <v>77</v>
      </c>
      <c r="K1336" t="s">
        <v>78</v>
      </c>
      <c r="L1336" t="s">
        <v>567</v>
      </c>
      <c r="M1336" t="s">
        <v>568</v>
      </c>
      <c r="N1336" t="s">
        <v>1590</v>
      </c>
      <c r="O1336" t="s">
        <v>300</v>
      </c>
      <c r="P1336" t="str">
        <f>"4170038300                    "</f>
        <v xml:space="preserve">4170038300                    </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0</v>
      </c>
      <c r="AL1336">
        <v>0</v>
      </c>
      <c r="AM1336">
        <v>0</v>
      </c>
      <c r="AN1336">
        <v>0</v>
      </c>
      <c r="AO1336">
        <v>0</v>
      </c>
      <c r="AP1336">
        <v>0</v>
      </c>
      <c r="AQ1336">
        <v>97.05</v>
      </c>
      <c r="AR1336">
        <v>0</v>
      </c>
      <c r="AS1336">
        <v>0</v>
      </c>
      <c r="AT1336">
        <v>0</v>
      </c>
      <c r="AU1336">
        <v>0</v>
      </c>
      <c r="AV1336">
        <v>0</v>
      </c>
      <c r="AW1336">
        <v>0</v>
      </c>
      <c r="AX1336">
        <v>0</v>
      </c>
      <c r="AY1336">
        <v>0</v>
      </c>
      <c r="AZ1336">
        <v>0</v>
      </c>
      <c r="BA1336">
        <v>0</v>
      </c>
      <c r="BB1336">
        <v>0</v>
      </c>
      <c r="BC1336">
        <v>0</v>
      </c>
      <c r="BD1336">
        <v>0</v>
      </c>
      <c r="BE1336">
        <v>0</v>
      </c>
      <c r="BF1336">
        <v>0</v>
      </c>
      <c r="BG1336">
        <v>0</v>
      </c>
      <c r="BH1336">
        <v>1</v>
      </c>
      <c r="BI1336">
        <v>28</v>
      </c>
      <c r="BJ1336">
        <v>12.3</v>
      </c>
      <c r="BK1336">
        <v>28</v>
      </c>
      <c r="BL1336">
        <v>323.18</v>
      </c>
      <c r="BM1336">
        <v>48.48</v>
      </c>
      <c r="BN1336">
        <v>371.66</v>
      </c>
      <c r="BO1336">
        <v>371.66</v>
      </c>
      <c r="BQ1336" t="s">
        <v>1591</v>
      </c>
      <c r="BR1336" t="s">
        <v>84</v>
      </c>
      <c r="BS1336" s="3">
        <v>45792</v>
      </c>
      <c r="BT1336" s="4">
        <v>0.7006944444444444</v>
      </c>
      <c r="BU1336" t="s">
        <v>2014</v>
      </c>
      <c r="BV1336" t="s">
        <v>86</v>
      </c>
      <c r="BY1336">
        <v>61370</v>
      </c>
      <c r="CA1336" t="s">
        <v>2015</v>
      </c>
      <c r="CC1336" t="s">
        <v>568</v>
      </c>
      <c r="CD1336" s="5" t="s">
        <v>573</v>
      </c>
      <c r="CE1336" t="s">
        <v>176</v>
      </c>
      <c r="CF1336" s="3">
        <v>45793</v>
      </c>
      <c r="CI1336">
        <v>1</v>
      </c>
      <c r="CJ1336">
        <v>1</v>
      </c>
      <c r="CK1336">
        <v>43</v>
      </c>
      <c r="CL1336" t="s">
        <v>89</v>
      </c>
    </row>
    <row r="1337" spans="1:90" x14ac:dyDescent="0.3">
      <c r="A1337" t="s">
        <v>72</v>
      </c>
      <c r="B1337" t="s">
        <v>73</v>
      </c>
      <c r="C1337" t="s">
        <v>74</v>
      </c>
      <c r="E1337" t="str">
        <f>"080065369321"</f>
        <v>080065369321</v>
      </c>
      <c r="F1337" s="3">
        <v>45791</v>
      </c>
      <c r="G1337">
        <v>202602</v>
      </c>
      <c r="H1337" t="s">
        <v>75</v>
      </c>
      <c r="I1337" t="s">
        <v>76</v>
      </c>
      <c r="J1337" t="s">
        <v>77</v>
      </c>
      <c r="K1337" t="s">
        <v>78</v>
      </c>
      <c r="L1337" t="s">
        <v>75</v>
      </c>
      <c r="M1337" t="s">
        <v>76</v>
      </c>
      <c r="N1337" t="s">
        <v>2016</v>
      </c>
      <c r="O1337" t="s">
        <v>82</v>
      </c>
      <c r="P1337" t="str">
        <f>"4170038503                    "</f>
        <v xml:space="preserve">4170038503                    </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0</v>
      </c>
      <c r="AL1337">
        <v>0</v>
      </c>
      <c r="AM1337">
        <v>0</v>
      </c>
      <c r="AN1337">
        <v>0</v>
      </c>
      <c r="AO1337">
        <v>0</v>
      </c>
      <c r="AP1337">
        <v>0</v>
      </c>
      <c r="AQ1337">
        <v>16.7</v>
      </c>
      <c r="AR1337">
        <v>0</v>
      </c>
      <c r="AS1337">
        <v>0</v>
      </c>
      <c r="AT1337">
        <v>0</v>
      </c>
      <c r="AU1337">
        <v>0</v>
      </c>
      <c r="AV1337">
        <v>0</v>
      </c>
      <c r="AW1337">
        <v>0</v>
      </c>
      <c r="AX1337">
        <v>0</v>
      </c>
      <c r="AY1337">
        <v>0</v>
      </c>
      <c r="AZ1337">
        <v>0</v>
      </c>
      <c r="BA1337">
        <v>0</v>
      </c>
      <c r="BB1337">
        <v>0</v>
      </c>
      <c r="BC1337">
        <v>0</v>
      </c>
      <c r="BD1337">
        <v>0</v>
      </c>
      <c r="BE1337">
        <v>0</v>
      </c>
      <c r="BF1337">
        <v>0</v>
      </c>
      <c r="BG1337">
        <v>0</v>
      </c>
      <c r="BH1337">
        <v>1</v>
      </c>
      <c r="BI1337">
        <v>1</v>
      </c>
      <c r="BJ1337">
        <v>0.2</v>
      </c>
      <c r="BK1337">
        <v>1</v>
      </c>
      <c r="BL1337">
        <v>54.66</v>
      </c>
      <c r="BM1337">
        <v>8.1999999999999993</v>
      </c>
      <c r="BN1337">
        <v>62.86</v>
      </c>
      <c r="BO1337">
        <v>62.86</v>
      </c>
      <c r="BQ1337" t="s">
        <v>2017</v>
      </c>
      <c r="BR1337" t="s">
        <v>84</v>
      </c>
      <c r="BS1337" s="3">
        <v>45792</v>
      </c>
      <c r="BT1337" s="4">
        <v>0.40625</v>
      </c>
      <c r="BU1337" t="s">
        <v>2018</v>
      </c>
      <c r="BV1337" t="s">
        <v>86</v>
      </c>
      <c r="BY1337">
        <v>1230</v>
      </c>
      <c r="CA1337" t="s">
        <v>115</v>
      </c>
      <c r="CC1337" t="s">
        <v>76</v>
      </c>
      <c r="CD1337">
        <v>1619</v>
      </c>
      <c r="CE1337" t="s">
        <v>176</v>
      </c>
      <c r="CF1337" s="3">
        <v>45793</v>
      </c>
      <c r="CI1337">
        <v>1</v>
      </c>
      <c r="CJ1337">
        <v>1</v>
      </c>
      <c r="CK1337">
        <v>22</v>
      </c>
      <c r="CL1337" t="s">
        <v>89</v>
      </c>
    </row>
    <row r="1338" spans="1:90" x14ac:dyDescent="0.3">
      <c r="A1338" t="s">
        <v>72</v>
      </c>
      <c r="B1338" t="s">
        <v>73</v>
      </c>
      <c r="C1338" t="s">
        <v>74</v>
      </c>
      <c r="E1338" t="str">
        <f>"080065369348"</f>
        <v>080065369348</v>
      </c>
      <c r="F1338" s="3">
        <v>45791</v>
      </c>
      <c r="G1338">
        <v>202602</v>
      </c>
      <c r="H1338" t="s">
        <v>75</v>
      </c>
      <c r="I1338" t="s">
        <v>76</v>
      </c>
      <c r="J1338" t="s">
        <v>77</v>
      </c>
      <c r="K1338" t="s">
        <v>78</v>
      </c>
      <c r="L1338" t="s">
        <v>90</v>
      </c>
      <c r="M1338" t="s">
        <v>91</v>
      </c>
      <c r="N1338" t="s">
        <v>476</v>
      </c>
      <c r="O1338" t="s">
        <v>82</v>
      </c>
      <c r="P1338" t="str">
        <f>"4170038274                    "</f>
        <v xml:space="preserve">4170038274                    </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0</v>
      </c>
      <c r="AL1338">
        <v>0</v>
      </c>
      <c r="AM1338">
        <v>0</v>
      </c>
      <c r="AN1338">
        <v>0</v>
      </c>
      <c r="AO1338">
        <v>0</v>
      </c>
      <c r="AP1338">
        <v>0</v>
      </c>
      <c r="AQ1338">
        <v>21.38</v>
      </c>
      <c r="AR1338">
        <v>0</v>
      </c>
      <c r="AS1338">
        <v>0</v>
      </c>
      <c r="AT1338">
        <v>0</v>
      </c>
      <c r="AU1338">
        <v>0</v>
      </c>
      <c r="AV1338">
        <v>0</v>
      </c>
      <c r="AW1338">
        <v>0</v>
      </c>
      <c r="AX1338">
        <v>0</v>
      </c>
      <c r="AY1338">
        <v>0</v>
      </c>
      <c r="AZ1338">
        <v>0</v>
      </c>
      <c r="BA1338">
        <v>0</v>
      </c>
      <c r="BB1338">
        <v>0</v>
      </c>
      <c r="BC1338">
        <v>0</v>
      </c>
      <c r="BD1338">
        <v>0</v>
      </c>
      <c r="BE1338">
        <v>0</v>
      </c>
      <c r="BF1338">
        <v>0</v>
      </c>
      <c r="BG1338">
        <v>0</v>
      </c>
      <c r="BH1338">
        <v>1</v>
      </c>
      <c r="BI1338">
        <v>1</v>
      </c>
      <c r="BJ1338">
        <v>0.2</v>
      </c>
      <c r="BK1338">
        <v>1</v>
      </c>
      <c r="BL1338">
        <v>69.98</v>
      </c>
      <c r="BM1338">
        <v>10.5</v>
      </c>
      <c r="BN1338">
        <v>80.48</v>
      </c>
      <c r="BO1338">
        <v>80.48</v>
      </c>
      <c r="BQ1338" t="s">
        <v>477</v>
      </c>
      <c r="BR1338" t="s">
        <v>84</v>
      </c>
      <c r="BS1338" s="3">
        <v>45792</v>
      </c>
      <c r="BT1338" s="4">
        <v>0.43402777777777779</v>
      </c>
      <c r="BU1338" t="s">
        <v>2019</v>
      </c>
      <c r="BV1338" t="s">
        <v>86</v>
      </c>
      <c r="BY1338">
        <v>1200</v>
      </c>
      <c r="CA1338" t="s">
        <v>1648</v>
      </c>
      <c r="CC1338" t="s">
        <v>91</v>
      </c>
      <c r="CD1338">
        <v>6001</v>
      </c>
      <c r="CE1338" t="s">
        <v>176</v>
      </c>
      <c r="CF1338" s="3">
        <v>45792</v>
      </c>
      <c r="CI1338">
        <v>1</v>
      </c>
      <c r="CJ1338">
        <v>1</v>
      </c>
      <c r="CK1338">
        <v>21</v>
      </c>
      <c r="CL1338" t="s">
        <v>89</v>
      </c>
    </row>
    <row r="1339" spans="1:90" x14ac:dyDescent="0.3">
      <c r="A1339" t="s">
        <v>72</v>
      </c>
      <c r="B1339" t="s">
        <v>73</v>
      </c>
      <c r="C1339" t="s">
        <v>74</v>
      </c>
      <c r="E1339" t="str">
        <f>"080065369381"</f>
        <v>080065369381</v>
      </c>
      <c r="F1339" s="3">
        <v>45791</v>
      </c>
      <c r="G1339">
        <v>202602</v>
      </c>
      <c r="H1339" t="s">
        <v>75</v>
      </c>
      <c r="I1339" t="s">
        <v>76</v>
      </c>
      <c r="J1339" t="s">
        <v>77</v>
      </c>
      <c r="K1339" t="s">
        <v>78</v>
      </c>
      <c r="L1339" t="s">
        <v>90</v>
      </c>
      <c r="M1339" t="s">
        <v>91</v>
      </c>
      <c r="N1339" t="s">
        <v>841</v>
      </c>
      <c r="O1339" t="s">
        <v>82</v>
      </c>
      <c r="P1339" t="str">
        <f>"4170038338                    "</f>
        <v xml:space="preserve">4170038338                    </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0</v>
      </c>
      <c r="AL1339">
        <v>0</v>
      </c>
      <c r="AM1339">
        <v>0</v>
      </c>
      <c r="AN1339">
        <v>0</v>
      </c>
      <c r="AO1339">
        <v>0</v>
      </c>
      <c r="AP1339">
        <v>0</v>
      </c>
      <c r="AQ1339">
        <v>21.38</v>
      </c>
      <c r="AR1339">
        <v>0</v>
      </c>
      <c r="AS1339">
        <v>0</v>
      </c>
      <c r="AT1339">
        <v>0</v>
      </c>
      <c r="AU1339">
        <v>0</v>
      </c>
      <c r="AV1339">
        <v>0</v>
      </c>
      <c r="AW1339">
        <v>0</v>
      </c>
      <c r="AX1339">
        <v>0</v>
      </c>
      <c r="AY1339">
        <v>0</v>
      </c>
      <c r="AZ1339">
        <v>0</v>
      </c>
      <c r="BA1339">
        <v>0</v>
      </c>
      <c r="BB1339">
        <v>0</v>
      </c>
      <c r="BC1339">
        <v>0</v>
      </c>
      <c r="BD1339">
        <v>0</v>
      </c>
      <c r="BE1339">
        <v>0</v>
      </c>
      <c r="BF1339">
        <v>0</v>
      </c>
      <c r="BG1339">
        <v>0</v>
      </c>
      <c r="BH1339">
        <v>1</v>
      </c>
      <c r="BI1339">
        <v>1</v>
      </c>
      <c r="BJ1339">
        <v>0.2</v>
      </c>
      <c r="BK1339">
        <v>1</v>
      </c>
      <c r="BL1339">
        <v>69.98</v>
      </c>
      <c r="BM1339">
        <v>10.5</v>
      </c>
      <c r="BN1339">
        <v>80.48</v>
      </c>
      <c r="BO1339">
        <v>80.48</v>
      </c>
      <c r="BQ1339" t="s">
        <v>842</v>
      </c>
      <c r="BR1339" t="s">
        <v>84</v>
      </c>
      <c r="BS1339" s="3">
        <v>45792</v>
      </c>
      <c r="BT1339" s="4">
        <v>0.42708333333333331</v>
      </c>
      <c r="BU1339" t="s">
        <v>1231</v>
      </c>
      <c r="BV1339" t="s">
        <v>86</v>
      </c>
      <c r="BY1339">
        <v>1200</v>
      </c>
      <c r="CA1339" t="s">
        <v>298</v>
      </c>
      <c r="CC1339" t="s">
        <v>91</v>
      </c>
      <c r="CD1339">
        <v>6001</v>
      </c>
      <c r="CE1339" t="s">
        <v>176</v>
      </c>
      <c r="CF1339" s="3">
        <v>45792</v>
      </c>
      <c r="CI1339">
        <v>1</v>
      </c>
      <c r="CJ1339">
        <v>1</v>
      </c>
      <c r="CK1339">
        <v>21</v>
      </c>
      <c r="CL1339" t="s">
        <v>89</v>
      </c>
    </row>
    <row r="1340" spans="1:90" x14ac:dyDescent="0.3">
      <c r="A1340" t="s">
        <v>72</v>
      </c>
      <c r="B1340" t="s">
        <v>73</v>
      </c>
      <c r="C1340" t="s">
        <v>74</v>
      </c>
      <c r="E1340" t="str">
        <f>"080065369411"</f>
        <v>080065369411</v>
      </c>
      <c r="F1340" s="3">
        <v>45791</v>
      </c>
      <c r="G1340">
        <v>202602</v>
      </c>
      <c r="H1340" t="s">
        <v>75</v>
      </c>
      <c r="I1340" t="s">
        <v>76</v>
      </c>
      <c r="J1340" t="s">
        <v>77</v>
      </c>
      <c r="K1340" t="s">
        <v>78</v>
      </c>
      <c r="L1340" t="s">
        <v>624</v>
      </c>
      <c r="M1340" t="s">
        <v>625</v>
      </c>
      <c r="N1340" t="s">
        <v>626</v>
      </c>
      <c r="O1340" t="s">
        <v>82</v>
      </c>
      <c r="P1340" t="str">
        <f>"4170038303                    "</f>
        <v xml:space="preserve">4170038303                    </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c r="AJ1340">
        <v>0</v>
      </c>
      <c r="AK1340">
        <v>0</v>
      </c>
      <c r="AL1340">
        <v>0</v>
      </c>
      <c r="AM1340">
        <v>0</v>
      </c>
      <c r="AN1340">
        <v>0</v>
      </c>
      <c r="AO1340">
        <v>0</v>
      </c>
      <c r="AP1340">
        <v>0</v>
      </c>
      <c r="AQ1340">
        <v>41.43</v>
      </c>
      <c r="AR1340">
        <v>0</v>
      </c>
      <c r="AS1340">
        <v>0</v>
      </c>
      <c r="AT1340">
        <v>0</v>
      </c>
      <c r="AU1340">
        <v>0</v>
      </c>
      <c r="AV1340">
        <v>0</v>
      </c>
      <c r="AW1340">
        <v>0</v>
      </c>
      <c r="AX1340">
        <v>0</v>
      </c>
      <c r="AY1340">
        <v>0</v>
      </c>
      <c r="AZ1340">
        <v>0</v>
      </c>
      <c r="BA1340">
        <v>0</v>
      </c>
      <c r="BB1340">
        <v>0</v>
      </c>
      <c r="BC1340">
        <v>0</v>
      </c>
      <c r="BD1340">
        <v>0</v>
      </c>
      <c r="BE1340">
        <v>0</v>
      </c>
      <c r="BF1340">
        <v>0</v>
      </c>
      <c r="BG1340">
        <v>0</v>
      </c>
      <c r="BH1340">
        <v>1</v>
      </c>
      <c r="BI1340">
        <v>2</v>
      </c>
      <c r="BJ1340">
        <v>2</v>
      </c>
      <c r="BK1340">
        <v>2</v>
      </c>
      <c r="BL1340">
        <v>135.59</v>
      </c>
      <c r="BM1340">
        <v>20.34</v>
      </c>
      <c r="BN1340">
        <v>155.93</v>
      </c>
      <c r="BO1340">
        <v>155.93</v>
      </c>
      <c r="BQ1340" t="s">
        <v>627</v>
      </c>
      <c r="BR1340" t="s">
        <v>84</v>
      </c>
      <c r="BS1340" s="3">
        <v>45792</v>
      </c>
      <c r="BT1340" s="4">
        <v>0.48958333333333331</v>
      </c>
      <c r="BU1340" t="s">
        <v>1674</v>
      </c>
      <c r="BV1340" t="s">
        <v>89</v>
      </c>
      <c r="BW1340" t="s">
        <v>656</v>
      </c>
      <c r="BX1340" t="s">
        <v>2020</v>
      </c>
      <c r="BY1340">
        <v>10080</v>
      </c>
      <c r="CC1340" t="s">
        <v>625</v>
      </c>
      <c r="CD1340">
        <v>1947</v>
      </c>
      <c r="CE1340" t="s">
        <v>176</v>
      </c>
      <c r="CF1340" s="3">
        <v>45793</v>
      </c>
      <c r="CI1340">
        <v>1</v>
      </c>
      <c r="CJ1340">
        <v>1</v>
      </c>
      <c r="CK1340">
        <v>23</v>
      </c>
      <c r="CL1340" t="s">
        <v>89</v>
      </c>
    </row>
    <row r="1341" spans="1:90" x14ac:dyDescent="0.3">
      <c r="A1341" t="s">
        <v>72</v>
      </c>
      <c r="B1341" t="s">
        <v>73</v>
      </c>
      <c r="C1341" t="s">
        <v>74</v>
      </c>
      <c r="E1341" t="str">
        <f>"080065369461"</f>
        <v>080065369461</v>
      </c>
      <c r="F1341" s="3">
        <v>45791</v>
      </c>
      <c r="G1341">
        <v>202602</v>
      </c>
      <c r="H1341" t="s">
        <v>75</v>
      </c>
      <c r="I1341" t="s">
        <v>76</v>
      </c>
      <c r="J1341" t="s">
        <v>77</v>
      </c>
      <c r="K1341" t="s">
        <v>78</v>
      </c>
      <c r="L1341" t="s">
        <v>489</v>
      </c>
      <c r="M1341" t="s">
        <v>490</v>
      </c>
      <c r="N1341" t="s">
        <v>491</v>
      </c>
      <c r="O1341" t="s">
        <v>300</v>
      </c>
      <c r="P1341" t="str">
        <f>"4170038382                    "</f>
        <v xml:space="preserve">4170038382                    </v>
      </c>
      <c r="Q1341">
        <v>0</v>
      </c>
      <c r="R1341">
        <v>0</v>
      </c>
      <c r="S1341">
        <v>0</v>
      </c>
      <c r="T1341">
        <v>0</v>
      </c>
      <c r="U1341">
        <v>0</v>
      </c>
      <c r="V1341">
        <v>0</v>
      </c>
      <c r="W1341">
        <v>0</v>
      </c>
      <c r="X1341">
        <v>0</v>
      </c>
      <c r="Y1341">
        <v>0</v>
      </c>
      <c r="Z1341">
        <v>0</v>
      </c>
      <c r="AA1341">
        <v>0</v>
      </c>
      <c r="AB1341">
        <v>0</v>
      </c>
      <c r="AC1341">
        <v>0</v>
      </c>
      <c r="AD1341">
        <v>0</v>
      </c>
      <c r="AE1341">
        <v>0</v>
      </c>
      <c r="AF1341">
        <v>0</v>
      </c>
      <c r="AG1341">
        <v>0</v>
      </c>
      <c r="AH1341">
        <v>0</v>
      </c>
      <c r="AI1341">
        <v>0</v>
      </c>
      <c r="AJ1341">
        <v>0</v>
      </c>
      <c r="AK1341">
        <v>0</v>
      </c>
      <c r="AL1341">
        <v>0</v>
      </c>
      <c r="AM1341">
        <v>0</v>
      </c>
      <c r="AN1341">
        <v>0</v>
      </c>
      <c r="AO1341">
        <v>0</v>
      </c>
      <c r="AP1341">
        <v>0</v>
      </c>
      <c r="AQ1341">
        <v>58.32</v>
      </c>
      <c r="AR1341">
        <v>0</v>
      </c>
      <c r="AS1341">
        <v>0</v>
      </c>
      <c r="AT1341">
        <v>0</v>
      </c>
      <c r="AU1341">
        <v>0</v>
      </c>
      <c r="AV1341">
        <v>0</v>
      </c>
      <c r="AW1341">
        <v>0</v>
      </c>
      <c r="AX1341">
        <v>0</v>
      </c>
      <c r="AY1341">
        <v>0</v>
      </c>
      <c r="AZ1341">
        <v>0</v>
      </c>
      <c r="BA1341">
        <v>0</v>
      </c>
      <c r="BB1341">
        <v>0</v>
      </c>
      <c r="BC1341">
        <v>0</v>
      </c>
      <c r="BD1341">
        <v>0</v>
      </c>
      <c r="BE1341">
        <v>0</v>
      </c>
      <c r="BF1341">
        <v>0</v>
      </c>
      <c r="BG1341">
        <v>0</v>
      </c>
      <c r="BH1341">
        <v>1</v>
      </c>
      <c r="BI1341">
        <v>5</v>
      </c>
      <c r="BJ1341">
        <v>2.6</v>
      </c>
      <c r="BK1341">
        <v>5</v>
      </c>
      <c r="BL1341">
        <v>196.44</v>
      </c>
      <c r="BM1341">
        <v>29.47</v>
      </c>
      <c r="BN1341">
        <v>225.91</v>
      </c>
      <c r="BO1341">
        <v>225.91</v>
      </c>
      <c r="BQ1341" t="s">
        <v>492</v>
      </c>
      <c r="BR1341" t="s">
        <v>84</v>
      </c>
      <c r="BS1341" s="3">
        <v>45792</v>
      </c>
      <c r="BT1341" s="4">
        <v>0.39583333333333331</v>
      </c>
      <c r="BU1341" t="s">
        <v>493</v>
      </c>
      <c r="BV1341" t="s">
        <v>86</v>
      </c>
      <c r="BY1341">
        <v>12768</v>
      </c>
      <c r="CC1341" t="s">
        <v>490</v>
      </c>
      <c r="CD1341">
        <v>2740</v>
      </c>
      <c r="CE1341" t="s">
        <v>1047</v>
      </c>
      <c r="CF1341" s="3">
        <v>45793</v>
      </c>
      <c r="CI1341">
        <v>1</v>
      </c>
      <c r="CJ1341">
        <v>1</v>
      </c>
      <c r="CK1341">
        <v>43</v>
      </c>
      <c r="CL1341" t="s">
        <v>89</v>
      </c>
    </row>
    <row r="1342" spans="1:90" x14ac:dyDescent="0.3">
      <c r="A1342" t="s">
        <v>72</v>
      </c>
      <c r="B1342" t="s">
        <v>73</v>
      </c>
      <c r="C1342" t="s">
        <v>74</v>
      </c>
      <c r="E1342" t="str">
        <f>"080065369484"</f>
        <v>080065369484</v>
      </c>
      <c r="F1342" s="3">
        <v>45791</v>
      </c>
      <c r="G1342">
        <v>202602</v>
      </c>
      <c r="H1342" t="s">
        <v>75</v>
      </c>
      <c r="I1342" t="s">
        <v>76</v>
      </c>
      <c r="J1342" t="s">
        <v>77</v>
      </c>
      <c r="K1342" t="s">
        <v>78</v>
      </c>
      <c r="L1342" t="s">
        <v>117</v>
      </c>
      <c r="M1342" t="s">
        <v>118</v>
      </c>
      <c r="N1342" t="s">
        <v>1160</v>
      </c>
      <c r="O1342" t="s">
        <v>82</v>
      </c>
      <c r="P1342" t="str">
        <f>"4170038397                    "</f>
        <v xml:space="preserve">4170038397                    </v>
      </c>
      <c r="Q1342">
        <v>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c r="AJ1342">
        <v>0</v>
      </c>
      <c r="AK1342">
        <v>0</v>
      </c>
      <c r="AL1342">
        <v>0</v>
      </c>
      <c r="AM1342">
        <v>0</v>
      </c>
      <c r="AN1342">
        <v>0</v>
      </c>
      <c r="AO1342">
        <v>0</v>
      </c>
      <c r="AP1342">
        <v>0</v>
      </c>
      <c r="AQ1342">
        <v>16.7</v>
      </c>
      <c r="AR1342">
        <v>0</v>
      </c>
      <c r="AS1342">
        <v>0</v>
      </c>
      <c r="AT1342">
        <v>0</v>
      </c>
      <c r="AU1342">
        <v>0</v>
      </c>
      <c r="AV1342">
        <v>0</v>
      </c>
      <c r="AW1342">
        <v>0</v>
      </c>
      <c r="AX1342">
        <v>0</v>
      </c>
      <c r="AY1342">
        <v>0</v>
      </c>
      <c r="AZ1342">
        <v>0</v>
      </c>
      <c r="BA1342">
        <v>0</v>
      </c>
      <c r="BB1342">
        <v>0</v>
      </c>
      <c r="BC1342">
        <v>0</v>
      </c>
      <c r="BD1342">
        <v>0</v>
      </c>
      <c r="BE1342">
        <v>0</v>
      </c>
      <c r="BF1342">
        <v>0</v>
      </c>
      <c r="BG1342">
        <v>0</v>
      </c>
      <c r="BH1342">
        <v>1</v>
      </c>
      <c r="BI1342">
        <v>2</v>
      </c>
      <c r="BJ1342">
        <v>1.7</v>
      </c>
      <c r="BK1342">
        <v>2</v>
      </c>
      <c r="BL1342">
        <v>54.66</v>
      </c>
      <c r="BM1342">
        <v>8.1999999999999993</v>
      </c>
      <c r="BN1342">
        <v>62.86</v>
      </c>
      <c r="BO1342">
        <v>62.86</v>
      </c>
      <c r="BQ1342" t="s">
        <v>1161</v>
      </c>
      <c r="BR1342" t="s">
        <v>84</v>
      </c>
      <c r="BS1342" s="3">
        <v>45792</v>
      </c>
      <c r="BT1342" s="4">
        <v>0.36944444444444446</v>
      </c>
      <c r="BU1342" t="s">
        <v>1162</v>
      </c>
      <c r="BV1342" t="s">
        <v>86</v>
      </c>
      <c r="BY1342">
        <v>8550</v>
      </c>
      <c r="CA1342" t="s">
        <v>535</v>
      </c>
      <c r="CC1342" t="s">
        <v>118</v>
      </c>
      <c r="CD1342">
        <v>2094</v>
      </c>
      <c r="CE1342" t="s">
        <v>116</v>
      </c>
      <c r="CF1342" s="3">
        <v>45792</v>
      </c>
      <c r="CI1342">
        <v>1</v>
      </c>
      <c r="CJ1342">
        <v>1</v>
      </c>
      <c r="CK1342">
        <v>22</v>
      </c>
      <c r="CL1342" t="s">
        <v>89</v>
      </c>
    </row>
    <row r="1343" spans="1:90" x14ac:dyDescent="0.3">
      <c r="A1343" t="s">
        <v>72</v>
      </c>
      <c r="B1343" t="s">
        <v>73</v>
      </c>
      <c r="C1343" t="s">
        <v>74</v>
      </c>
      <c r="E1343" t="str">
        <f>"080065369495"</f>
        <v>080065369495</v>
      </c>
      <c r="F1343" s="3">
        <v>45791</v>
      </c>
      <c r="G1343">
        <v>202602</v>
      </c>
      <c r="H1343" t="s">
        <v>75</v>
      </c>
      <c r="I1343" t="s">
        <v>76</v>
      </c>
      <c r="J1343" t="s">
        <v>77</v>
      </c>
      <c r="K1343" t="s">
        <v>78</v>
      </c>
      <c r="L1343" t="s">
        <v>103</v>
      </c>
      <c r="M1343" t="s">
        <v>104</v>
      </c>
      <c r="N1343" t="s">
        <v>105</v>
      </c>
      <c r="O1343" t="s">
        <v>82</v>
      </c>
      <c r="P1343" t="str">
        <f>"4170038235                    "</f>
        <v xml:space="preserve">4170038235                    </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0</v>
      </c>
      <c r="AL1343">
        <v>0</v>
      </c>
      <c r="AM1343">
        <v>0</v>
      </c>
      <c r="AN1343">
        <v>0</v>
      </c>
      <c r="AO1343">
        <v>0</v>
      </c>
      <c r="AP1343">
        <v>0</v>
      </c>
      <c r="AQ1343">
        <v>37.409999999999997</v>
      </c>
      <c r="AR1343">
        <v>0</v>
      </c>
      <c r="AS1343">
        <v>0</v>
      </c>
      <c r="AT1343">
        <v>0</v>
      </c>
      <c r="AU1343">
        <v>0</v>
      </c>
      <c r="AV1343">
        <v>0</v>
      </c>
      <c r="AW1343">
        <v>0</v>
      </c>
      <c r="AX1343">
        <v>0</v>
      </c>
      <c r="AY1343">
        <v>0</v>
      </c>
      <c r="AZ1343">
        <v>0</v>
      </c>
      <c r="BA1343">
        <v>0</v>
      </c>
      <c r="BB1343">
        <v>0</v>
      </c>
      <c r="BC1343">
        <v>0</v>
      </c>
      <c r="BD1343">
        <v>0</v>
      </c>
      <c r="BE1343">
        <v>0</v>
      </c>
      <c r="BF1343">
        <v>0</v>
      </c>
      <c r="BG1343">
        <v>0</v>
      </c>
      <c r="BH1343">
        <v>1</v>
      </c>
      <c r="BI1343">
        <v>3</v>
      </c>
      <c r="BJ1343">
        <v>3.4</v>
      </c>
      <c r="BK1343">
        <v>3.5</v>
      </c>
      <c r="BL1343">
        <v>122.43</v>
      </c>
      <c r="BM1343">
        <v>18.36</v>
      </c>
      <c r="BN1343">
        <v>140.79</v>
      </c>
      <c r="BO1343">
        <v>140.79</v>
      </c>
      <c r="BQ1343" t="s">
        <v>106</v>
      </c>
      <c r="BR1343" t="s">
        <v>84</v>
      </c>
      <c r="BS1343" s="3">
        <v>45792</v>
      </c>
      <c r="BT1343" s="4">
        <v>0.41666666666666669</v>
      </c>
      <c r="BU1343" t="s">
        <v>107</v>
      </c>
      <c r="BV1343" t="s">
        <v>86</v>
      </c>
      <c r="BY1343">
        <v>16965</v>
      </c>
      <c r="CA1343" t="s">
        <v>108</v>
      </c>
      <c r="CC1343" t="s">
        <v>104</v>
      </c>
      <c r="CD1343">
        <v>3201</v>
      </c>
      <c r="CE1343" t="s">
        <v>96</v>
      </c>
      <c r="CF1343" s="3">
        <v>45793</v>
      </c>
      <c r="CI1343">
        <v>1</v>
      </c>
      <c r="CJ1343">
        <v>1</v>
      </c>
      <c r="CK1343">
        <v>21</v>
      </c>
      <c r="CL1343" t="s">
        <v>89</v>
      </c>
    </row>
    <row r="1344" spans="1:90" x14ac:dyDescent="0.3">
      <c r="A1344" t="s">
        <v>72</v>
      </c>
      <c r="B1344" t="s">
        <v>73</v>
      </c>
      <c r="C1344" t="s">
        <v>74</v>
      </c>
      <c r="E1344" t="str">
        <f>"080065369628"</f>
        <v>080065369628</v>
      </c>
      <c r="F1344" s="3">
        <v>45791</v>
      </c>
      <c r="G1344">
        <v>202602</v>
      </c>
      <c r="H1344" t="s">
        <v>75</v>
      </c>
      <c r="I1344" t="s">
        <v>76</v>
      </c>
      <c r="J1344" t="s">
        <v>77</v>
      </c>
      <c r="K1344" t="s">
        <v>78</v>
      </c>
      <c r="L1344" t="s">
        <v>320</v>
      </c>
      <c r="M1344" t="s">
        <v>321</v>
      </c>
      <c r="N1344" t="s">
        <v>322</v>
      </c>
      <c r="O1344" t="s">
        <v>82</v>
      </c>
      <c r="P1344" t="str">
        <f>"4170038279                    "</f>
        <v xml:space="preserve">4170038279                    </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c r="AJ1344">
        <v>0</v>
      </c>
      <c r="AK1344">
        <v>0</v>
      </c>
      <c r="AL1344">
        <v>0</v>
      </c>
      <c r="AM1344">
        <v>0</v>
      </c>
      <c r="AN1344">
        <v>0</v>
      </c>
      <c r="AO1344">
        <v>0</v>
      </c>
      <c r="AP1344">
        <v>0</v>
      </c>
      <c r="AQ1344">
        <v>21.38</v>
      </c>
      <c r="AR1344">
        <v>0</v>
      </c>
      <c r="AS1344">
        <v>0</v>
      </c>
      <c r="AT1344">
        <v>0</v>
      </c>
      <c r="AU1344">
        <v>0</v>
      </c>
      <c r="AV1344">
        <v>0</v>
      </c>
      <c r="AW1344">
        <v>0</v>
      </c>
      <c r="AX1344">
        <v>0</v>
      </c>
      <c r="AY1344">
        <v>0</v>
      </c>
      <c r="AZ1344">
        <v>0</v>
      </c>
      <c r="BA1344">
        <v>0</v>
      </c>
      <c r="BB1344">
        <v>0</v>
      </c>
      <c r="BC1344">
        <v>0</v>
      </c>
      <c r="BD1344">
        <v>0</v>
      </c>
      <c r="BE1344">
        <v>0</v>
      </c>
      <c r="BF1344">
        <v>0</v>
      </c>
      <c r="BG1344">
        <v>0</v>
      </c>
      <c r="BH1344">
        <v>1</v>
      </c>
      <c r="BI1344">
        <v>1</v>
      </c>
      <c r="BJ1344">
        <v>0.2</v>
      </c>
      <c r="BK1344">
        <v>1</v>
      </c>
      <c r="BL1344">
        <v>69.98</v>
      </c>
      <c r="BM1344">
        <v>10.5</v>
      </c>
      <c r="BN1344">
        <v>80.48</v>
      </c>
      <c r="BO1344">
        <v>80.48</v>
      </c>
      <c r="BQ1344" t="s">
        <v>323</v>
      </c>
      <c r="BR1344" t="s">
        <v>84</v>
      </c>
      <c r="BS1344" s="3">
        <v>45792</v>
      </c>
      <c r="BT1344" s="4">
        <v>0.54166666666666663</v>
      </c>
      <c r="BU1344" t="s">
        <v>2021</v>
      </c>
      <c r="BV1344" t="s">
        <v>89</v>
      </c>
      <c r="BW1344" t="s">
        <v>434</v>
      </c>
      <c r="BX1344" t="s">
        <v>1829</v>
      </c>
      <c r="BY1344">
        <v>1200</v>
      </c>
      <c r="CA1344" t="s">
        <v>326</v>
      </c>
      <c r="CC1344" t="s">
        <v>321</v>
      </c>
      <c r="CD1344">
        <v>4113</v>
      </c>
      <c r="CE1344" t="s">
        <v>88</v>
      </c>
      <c r="CF1344" s="3">
        <v>45793</v>
      </c>
      <c r="CI1344">
        <v>1</v>
      </c>
      <c r="CJ1344">
        <v>1</v>
      </c>
      <c r="CK1344">
        <v>21</v>
      </c>
      <c r="CL1344" t="s">
        <v>89</v>
      </c>
    </row>
    <row r="1345" spans="1:90" x14ac:dyDescent="0.3">
      <c r="A1345" t="s">
        <v>72</v>
      </c>
      <c r="B1345" t="s">
        <v>73</v>
      </c>
      <c r="C1345" t="s">
        <v>74</v>
      </c>
      <c r="E1345" t="str">
        <f>"080065369705"</f>
        <v>080065369705</v>
      </c>
      <c r="F1345" s="3">
        <v>45791</v>
      </c>
      <c r="G1345">
        <v>202602</v>
      </c>
      <c r="H1345" t="s">
        <v>75</v>
      </c>
      <c r="I1345" t="s">
        <v>76</v>
      </c>
      <c r="J1345" t="s">
        <v>77</v>
      </c>
      <c r="K1345" t="s">
        <v>78</v>
      </c>
      <c r="L1345" t="s">
        <v>90</v>
      </c>
      <c r="M1345" t="s">
        <v>91</v>
      </c>
      <c r="N1345" t="s">
        <v>515</v>
      </c>
      <c r="O1345" t="s">
        <v>82</v>
      </c>
      <c r="P1345" t="str">
        <f>"4170038339                    "</f>
        <v xml:space="preserve">4170038339                    </v>
      </c>
      <c r="Q1345">
        <v>0</v>
      </c>
      <c r="R1345">
        <v>0</v>
      </c>
      <c r="S1345">
        <v>0</v>
      </c>
      <c r="T1345">
        <v>0</v>
      </c>
      <c r="U1345">
        <v>0</v>
      </c>
      <c r="V1345">
        <v>0</v>
      </c>
      <c r="W1345">
        <v>0</v>
      </c>
      <c r="X1345">
        <v>0</v>
      </c>
      <c r="Y1345">
        <v>0</v>
      </c>
      <c r="Z1345">
        <v>0</v>
      </c>
      <c r="AA1345">
        <v>0</v>
      </c>
      <c r="AB1345">
        <v>0</v>
      </c>
      <c r="AC1345">
        <v>0</v>
      </c>
      <c r="AD1345">
        <v>0</v>
      </c>
      <c r="AE1345">
        <v>0</v>
      </c>
      <c r="AF1345">
        <v>0</v>
      </c>
      <c r="AG1345">
        <v>0</v>
      </c>
      <c r="AH1345">
        <v>0</v>
      </c>
      <c r="AI1345">
        <v>0</v>
      </c>
      <c r="AJ1345">
        <v>0</v>
      </c>
      <c r="AK1345">
        <v>0</v>
      </c>
      <c r="AL1345">
        <v>0</v>
      </c>
      <c r="AM1345">
        <v>0</v>
      </c>
      <c r="AN1345">
        <v>0</v>
      </c>
      <c r="AO1345">
        <v>0</v>
      </c>
      <c r="AP1345">
        <v>0</v>
      </c>
      <c r="AQ1345">
        <v>21.38</v>
      </c>
      <c r="AR1345">
        <v>0</v>
      </c>
      <c r="AS1345">
        <v>0</v>
      </c>
      <c r="AT1345">
        <v>0</v>
      </c>
      <c r="AU1345">
        <v>0</v>
      </c>
      <c r="AV1345">
        <v>0</v>
      </c>
      <c r="AW1345">
        <v>0</v>
      </c>
      <c r="AX1345">
        <v>0</v>
      </c>
      <c r="AY1345">
        <v>0</v>
      </c>
      <c r="AZ1345">
        <v>0</v>
      </c>
      <c r="BA1345">
        <v>0</v>
      </c>
      <c r="BB1345">
        <v>0</v>
      </c>
      <c r="BC1345">
        <v>0</v>
      </c>
      <c r="BD1345">
        <v>0</v>
      </c>
      <c r="BE1345">
        <v>0</v>
      </c>
      <c r="BF1345">
        <v>0</v>
      </c>
      <c r="BG1345">
        <v>0</v>
      </c>
      <c r="BH1345">
        <v>1</v>
      </c>
      <c r="BI1345">
        <v>1</v>
      </c>
      <c r="BJ1345">
        <v>0.2</v>
      </c>
      <c r="BK1345">
        <v>1</v>
      </c>
      <c r="BL1345">
        <v>69.98</v>
      </c>
      <c r="BM1345">
        <v>10.5</v>
      </c>
      <c r="BN1345">
        <v>80.48</v>
      </c>
      <c r="BO1345">
        <v>80.48</v>
      </c>
      <c r="BQ1345" t="s">
        <v>516</v>
      </c>
      <c r="BR1345" t="s">
        <v>84</v>
      </c>
      <c r="BS1345" s="3">
        <v>45792</v>
      </c>
      <c r="BT1345" s="4">
        <v>0.41180555555555554</v>
      </c>
      <c r="BU1345" t="s">
        <v>2022</v>
      </c>
      <c r="BV1345" t="s">
        <v>86</v>
      </c>
      <c r="BY1345">
        <v>1200</v>
      </c>
      <c r="CA1345" t="s">
        <v>271</v>
      </c>
      <c r="CC1345" t="s">
        <v>91</v>
      </c>
      <c r="CD1345">
        <v>6001</v>
      </c>
      <c r="CE1345" t="s">
        <v>88</v>
      </c>
      <c r="CF1345" s="3">
        <v>45792</v>
      </c>
      <c r="CI1345">
        <v>1</v>
      </c>
      <c r="CJ1345">
        <v>1</v>
      </c>
      <c r="CK1345">
        <v>21</v>
      </c>
      <c r="CL1345" t="s">
        <v>89</v>
      </c>
    </row>
    <row r="1346" spans="1:90" x14ac:dyDescent="0.3">
      <c r="A1346" t="s">
        <v>72</v>
      </c>
      <c r="B1346" t="s">
        <v>73</v>
      </c>
      <c r="C1346" t="s">
        <v>74</v>
      </c>
      <c r="E1346" t="str">
        <f>"080065369685"</f>
        <v>080065369685</v>
      </c>
      <c r="F1346" s="3">
        <v>45791</v>
      </c>
      <c r="G1346">
        <v>202602</v>
      </c>
      <c r="H1346" t="s">
        <v>75</v>
      </c>
      <c r="I1346" t="s">
        <v>76</v>
      </c>
      <c r="J1346" t="s">
        <v>77</v>
      </c>
      <c r="K1346" t="s">
        <v>78</v>
      </c>
      <c r="L1346" t="s">
        <v>136</v>
      </c>
      <c r="M1346" t="s">
        <v>137</v>
      </c>
      <c r="N1346" t="s">
        <v>773</v>
      </c>
      <c r="O1346" t="s">
        <v>82</v>
      </c>
      <c r="P1346" t="str">
        <f>"4170038321                    "</f>
        <v xml:space="preserve">4170038321                    </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0</v>
      </c>
      <c r="AK1346">
        <v>0</v>
      </c>
      <c r="AL1346">
        <v>0</v>
      </c>
      <c r="AM1346">
        <v>0</v>
      </c>
      <c r="AN1346">
        <v>0</v>
      </c>
      <c r="AO1346">
        <v>0</v>
      </c>
      <c r="AP1346">
        <v>0</v>
      </c>
      <c r="AQ1346">
        <v>21.38</v>
      </c>
      <c r="AR1346">
        <v>0</v>
      </c>
      <c r="AS1346">
        <v>0</v>
      </c>
      <c r="AT1346">
        <v>0</v>
      </c>
      <c r="AU1346">
        <v>0</v>
      </c>
      <c r="AV1346">
        <v>0</v>
      </c>
      <c r="AW1346">
        <v>0</v>
      </c>
      <c r="AX1346">
        <v>0</v>
      </c>
      <c r="AY1346">
        <v>0</v>
      </c>
      <c r="AZ1346">
        <v>0</v>
      </c>
      <c r="BA1346">
        <v>0</v>
      </c>
      <c r="BB1346">
        <v>0</v>
      </c>
      <c r="BC1346">
        <v>0</v>
      </c>
      <c r="BD1346">
        <v>0</v>
      </c>
      <c r="BE1346">
        <v>0</v>
      </c>
      <c r="BF1346">
        <v>0</v>
      </c>
      <c r="BG1346">
        <v>0</v>
      </c>
      <c r="BH1346">
        <v>1</v>
      </c>
      <c r="BI1346">
        <v>1</v>
      </c>
      <c r="BJ1346">
        <v>0.2</v>
      </c>
      <c r="BK1346">
        <v>1</v>
      </c>
      <c r="BL1346">
        <v>69.98</v>
      </c>
      <c r="BM1346">
        <v>10.5</v>
      </c>
      <c r="BN1346">
        <v>80.48</v>
      </c>
      <c r="BO1346">
        <v>80.48</v>
      </c>
      <c r="BQ1346" t="s">
        <v>774</v>
      </c>
      <c r="BR1346" t="s">
        <v>84</v>
      </c>
      <c r="BS1346" s="3">
        <v>45792</v>
      </c>
      <c r="BT1346" s="4">
        <v>0.40972222222222221</v>
      </c>
      <c r="BU1346" t="s">
        <v>1939</v>
      </c>
      <c r="BV1346" t="s">
        <v>86</v>
      </c>
      <c r="BY1346">
        <v>1200</v>
      </c>
      <c r="CA1346" t="s">
        <v>141</v>
      </c>
      <c r="CC1346" t="s">
        <v>137</v>
      </c>
      <c r="CD1346" s="5" t="s">
        <v>142</v>
      </c>
      <c r="CE1346" t="s">
        <v>88</v>
      </c>
      <c r="CF1346" s="3">
        <v>45792</v>
      </c>
      <c r="CI1346">
        <v>1</v>
      </c>
      <c r="CJ1346">
        <v>1</v>
      </c>
      <c r="CK1346">
        <v>21</v>
      </c>
      <c r="CL1346" t="s">
        <v>89</v>
      </c>
    </row>
    <row r="1347" spans="1:90" x14ac:dyDescent="0.3">
      <c r="A1347" t="s">
        <v>72</v>
      </c>
      <c r="B1347" t="s">
        <v>73</v>
      </c>
      <c r="C1347" t="s">
        <v>74</v>
      </c>
      <c r="E1347" t="str">
        <f>"080065369733"</f>
        <v>080065369733</v>
      </c>
      <c r="F1347" s="3">
        <v>45791</v>
      </c>
      <c r="G1347">
        <v>202602</v>
      </c>
      <c r="H1347" t="s">
        <v>75</v>
      </c>
      <c r="I1347" t="s">
        <v>76</v>
      </c>
      <c r="J1347" t="s">
        <v>77</v>
      </c>
      <c r="K1347" t="s">
        <v>78</v>
      </c>
      <c r="L1347" t="s">
        <v>136</v>
      </c>
      <c r="M1347" t="s">
        <v>137</v>
      </c>
      <c r="N1347" t="s">
        <v>776</v>
      </c>
      <c r="O1347" t="s">
        <v>82</v>
      </c>
      <c r="P1347" t="str">
        <f>"4170038324                    "</f>
        <v xml:space="preserve">4170038324                    </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v>0</v>
      </c>
      <c r="AL1347">
        <v>0</v>
      </c>
      <c r="AM1347">
        <v>0</v>
      </c>
      <c r="AN1347">
        <v>0</v>
      </c>
      <c r="AO1347">
        <v>0</v>
      </c>
      <c r="AP1347">
        <v>0</v>
      </c>
      <c r="AQ1347">
        <v>21.38</v>
      </c>
      <c r="AR1347">
        <v>0</v>
      </c>
      <c r="AS1347">
        <v>0</v>
      </c>
      <c r="AT1347">
        <v>0</v>
      </c>
      <c r="AU1347">
        <v>0</v>
      </c>
      <c r="AV1347">
        <v>0</v>
      </c>
      <c r="AW1347">
        <v>0</v>
      </c>
      <c r="AX1347">
        <v>0</v>
      </c>
      <c r="AY1347">
        <v>0</v>
      </c>
      <c r="AZ1347">
        <v>0</v>
      </c>
      <c r="BA1347">
        <v>0</v>
      </c>
      <c r="BB1347">
        <v>0</v>
      </c>
      <c r="BC1347">
        <v>0</v>
      </c>
      <c r="BD1347">
        <v>0</v>
      </c>
      <c r="BE1347">
        <v>0</v>
      </c>
      <c r="BF1347">
        <v>0</v>
      </c>
      <c r="BG1347">
        <v>0</v>
      </c>
      <c r="BH1347">
        <v>1</v>
      </c>
      <c r="BI1347">
        <v>1</v>
      </c>
      <c r="BJ1347">
        <v>0.2</v>
      </c>
      <c r="BK1347">
        <v>1</v>
      </c>
      <c r="BL1347">
        <v>69.98</v>
      </c>
      <c r="BM1347">
        <v>10.5</v>
      </c>
      <c r="BN1347">
        <v>80.48</v>
      </c>
      <c r="BO1347">
        <v>80.48</v>
      </c>
      <c r="BQ1347" t="s">
        <v>777</v>
      </c>
      <c r="BR1347" t="s">
        <v>84</v>
      </c>
      <c r="BS1347" s="3">
        <v>45792</v>
      </c>
      <c r="BT1347" s="4">
        <v>0.36527777777777776</v>
      </c>
      <c r="BU1347" t="s">
        <v>778</v>
      </c>
      <c r="BV1347" t="s">
        <v>86</v>
      </c>
      <c r="BY1347">
        <v>1200</v>
      </c>
      <c r="CA1347" t="s">
        <v>907</v>
      </c>
      <c r="CC1347" t="s">
        <v>137</v>
      </c>
      <c r="CD1347" s="5" t="s">
        <v>738</v>
      </c>
      <c r="CE1347" t="s">
        <v>88</v>
      </c>
      <c r="CF1347" s="3">
        <v>45792</v>
      </c>
      <c r="CI1347">
        <v>1</v>
      </c>
      <c r="CJ1347">
        <v>1</v>
      </c>
      <c r="CK1347">
        <v>21</v>
      </c>
      <c r="CL1347" t="s">
        <v>89</v>
      </c>
    </row>
    <row r="1348" spans="1:90" x14ac:dyDescent="0.3">
      <c r="A1348" t="s">
        <v>72</v>
      </c>
      <c r="B1348" t="s">
        <v>73</v>
      </c>
      <c r="C1348" t="s">
        <v>74</v>
      </c>
      <c r="E1348" t="str">
        <f>"080065369745"</f>
        <v>080065369745</v>
      </c>
      <c r="F1348" s="3">
        <v>45791</v>
      </c>
      <c r="G1348">
        <v>202602</v>
      </c>
      <c r="H1348" t="s">
        <v>75</v>
      </c>
      <c r="I1348" t="s">
        <v>76</v>
      </c>
      <c r="J1348" t="s">
        <v>77</v>
      </c>
      <c r="K1348" t="s">
        <v>78</v>
      </c>
      <c r="L1348" t="s">
        <v>90</v>
      </c>
      <c r="M1348" t="s">
        <v>91</v>
      </c>
      <c r="N1348" t="s">
        <v>1211</v>
      </c>
      <c r="O1348" t="s">
        <v>82</v>
      </c>
      <c r="P1348" t="str">
        <f>"4170038360                    "</f>
        <v xml:space="preserve">4170038360                    </v>
      </c>
      <c r="Q1348">
        <v>0</v>
      </c>
      <c r="R1348">
        <v>0</v>
      </c>
      <c r="S1348">
        <v>0</v>
      </c>
      <c r="T1348">
        <v>0</v>
      </c>
      <c r="U1348">
        <v>0</v>
      </c>
      <c r="V1348">
        <v>0</v>
      </c>
      <c r="W1348">
        <v>0</v>
      </c>
      <c r="X1348">
        <v>0</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21.38</v>
      </c>
      <c r="AR1348">
        <v>0</v>
      </c>
      <c r="AS1348">
        <v>0</v>
      </c>
      <c r="AT1348">
        <v>0</v>
      </c>
      <c r="AU1348">
        <v>0</v>
      </c>
      <c r="AV1348">
        <v>0</v>
      </c>
      <c r="AW1348">
        <v>0</v>
      </c>
      <c r="AX1348">
        <v>0</v>
      </c>
      <c r="AY1348">
        <v>0</v>
      </c>
      <c r="AZ1348">
        <v>0</v>
      </c>
      <c r="BA1348">
        <v>0</v>
      </c>
      <c r="BB1348">
        <v>0</v>
      </c>
      <c r="BC1348">
        <v>0</v>
      </c>
      <c r="BD1348">
        <v>0</v>
      </c>
      <c r="BE1348">
        <v>0</v>
      </c>
      <c r="BF1348">
        <v>0</v>
      </c>
      <c r="BG1348">
        <v>0</v>
      </c>
      <c r="BH1348">
        <v>1</v>
      </c>
      <c r="BI1348">
        <v>1</v>
      </c>
      <c r="BJ1348">
        <v>0.2</v>
      </c>
      <c r="BK1348">
        <v>1</v>
      </c>
      <c r="BL1348">
        <v>69.98</v>
      </c>
      <c r="BM1348">
        <v>10.5</v>
      </c>
      <c r="BN1348">
        <v>80.48</v>
      </c>
      <c r="BO1348">
        <v>80.48</v>
      </c>
      <c r="BQ1348" t="s">
        <v>1212</v>
      </c>
      <c r="BR1348" t="s">
        <v>84</v>
      </c>
      <c r="BS1348" s="3">
        <v>45792</v>
      </c>
      <c r="BT1348" s="4">
        <v>0.41041666666666665</v>
      </c>
      <c r="BU1348" t="s">
        <v>2023</v>
      </c>
      <c r="BV1348" t="s">
        <v>86</v>
      </c>
      <c r="BY1348">
        <v>1200</v>
      </c>
      <c r="CA1348" t="s">
        <v>283</v>
      </c>
      <c r="CC1348" t="s">
        <v>91</v>
      </c>
      <c r="CD1348">
        <v>6012</v>
      </c>
      <c r="CE1348" t="s">
        <v>88</v>
      </c>
      <c r="CF1348" s="3">
        <v>45792</v>
      </c>
      <c r="CI1348">
        <v>1</v>
      </c>
      <c r="CJ1348">
        <v>1</v>
      </c>
      <c r="CK1348">
        <v>21</v>
      </c>
      <c r="CL1348" t="s">
        <v>89</v>
      </c>
    </row>
    <row r="1349" spans="1:90" x14ac:dyDescent="0.3">
      <c r="A1349" t="s">
        <v>72</v>
      </c>
      <c r="B1349" t="s">
        <v>73</v>
      </c>
      <c r="C1349" t="s">
        <v>74</v>
      </c>
      <c r="E1349" t="str">
        <f>"080065369746"</f>
        <v>080065369746</v>
      </c>
      <c r="F1349" s="3">
        <v>45791</v>
      </c>
      <c r="G1349">
        <v>202602</v>
      </c>
      <c r="H1349" t="s">
        <v>75</v>
      </c>
      <c r="I1349" t="s">
        <v>76</v>
      </c>
      <c r="J1349" t="s">
        <v>77</v>
      </c>
      <c r="K1349" t="s">
        <v>78</v>
      </c>
      <c r="L1349" t="s">
        <v>75</v>
      </c>
      <c r="M1349" t="s">
        <v>76</v>
      </c>
      <c r="N1349" t="s">
        <v>183</v>
      </c>
      <c r="O1349" t="s">
        <v>82</v>
      </c>
      <c r="P1349" t="str">
        <f>"4170038395                    "</f>
        <v xml:space="preserve">4170038395                    </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v>0</v>
      </c>
      <c r="AL1349">
        <v>0</v>
      </c>
      <c r="AM1349">
        <v>0</v>
      </c>
      <c r="AN1349">
        <v>0</v>
      </c>
      <c r="AO1349">
        <v>0</v>
      </c>
      <c r="AP1349">
        <v>0</v>
      </c>
      <c r="AQ1349">
        <v>16.7</v>
      </c>
      <c r="AR1349">
        <v>0</v>
      </c>
      <c r="AS1349">
        <v>0</v>
      </c>
      <c r="AT1349">
        <v>0</v>
      </c>
      <c r="AU1349">
        <v>0</v>
      </c>
      <c r="AV1349">
        <v>0</v>
      </c>
      <c r="AW1349">
        <v>0</v>
      </c>
      <c r="AX1349">
        <v>0</v>
      </c>
      <c r="AY1349">
        <v>0</v>
      </c>
      <c r="AZ1349">
        <v>0</v>
      </c>
      <c r="BA1349">
        <v>0</v>
      </c>
      <c r="BB1349">
        <v>0</v>
      </c>
      <c r="BC1349">
        <v>0</v>
      </c>
      <c r="BD1349">
        <v>0</v>
      </c>
      <c r="BE1349">
        <v>0</v>
      </c>
      <c r="BF1349">
        <v>0</v>
      </c>
      <c r="BG1349">
        <v>0</v>
      </c>
      <c r="BH1349">
        <v>1</v>
      </c>
      <c r="BI1349">
        <v>1</v>
      </c>
      <c r="BJ1349">
        <v>0.2</v>
      </c>
      <c r="BK1349">
        <v>1</v>
      </c>
      <c r="BL1349">
        <v>54.66</v>
      </c>
      <c r="BM1349">
        <v>8.1999999999999993</v>
      </c>
      <c r="BN1349">
        <v>62.86</v>
      </c>
      <c r="BO1349">
        <v>62.86</v>
      </c>
      <c r="BQ1349" t="s">
        <v>184</v>
      </c>
      <c r="BR1349" t="s">
        <v>84</v>
      </c>
      <c r="BS1349" s="3">
        <v>45792</v>
      </c>
      <c r="BT1349" s="4">
        <v>0.2951388888888889</v>
      </c>
      <c r="BU1349" t="s">
        <v>185</v>
      </c>
      <c r="BV1349" t="s">
        <v>86</v>
      </c>
      <c r="BY1349">
        <v>1200</v>
      </c>
      <c r="CA1349" t="s">
        <v>115</v>
      </c>
      <c r="CC1349" t="s">
        <v>76</v>
      </c>
      <c r="CD1349">
        <v>1600</v>
      </c>
      <c r="CE1349" t="s">
        <v>88</v>
      </c>
      <c r="CF1349" s="3">
        <v>45793</v>
      </c>
      <c r="CI1349">
        <v>1</v>
      </c>
      <c r="CJ1349">
        <v>1</v>
      </c>
      <c r="CK1349">
        <v>22</v>
      </c>
      <c r="CL1349" t="s">
        <v>89</v>
      </c>
    </row>
    <row r="1350" spans="1:90" x14ac:dyDescent="0.3">
      <c r="A1350" t="s">
        <v>72</v>
      </c>
      <c r="B1350" t="s">
        <v>73</v>
      </c>
      <c r="C1350" t="s">
        <v>74</v>
      </c>
      <c r="E1350" t="str">
        <f>"080065369764"</f>
        <v>080065369764</v>
      </c>
      <c r="F1350" s="3">
        <v>45791</v>
      </c>
      <c r="G1350">
        <v>202602</v>
      </c>
      <c r="H1350" t="s">
        <v>75</v>
      </c>
      <c r="I1350" t="s">
        <v>76</v>
      </c>
      <c r="J1350" t="s">
        <v>77</v>
      </c>
      <c r="K1350" t="s">
        <v>78</v>
      </c>
      <c r="L1350" t="s">
        <v>130</v>
      </c>
      <c r="M1350" t="s">
        <v>131</v>
      </c>
      <c r="N1350" t="s">
        <v>909</v>
      </c>
      <c r="O1350" t="s">
        <v>82</v>
      </c>
      <c r="P1350" t="str">
        <f>"4170038259                    "</f>
        <v xml:space="preserve">4170038259                    </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c r="AJ1350">
        <v>0</v>
      </c>
      <c r="AK1350">
        <v>0</v>
      </c>
      <c r="AL1350">
        <v>0</v>
      </c>
      <c r="AM1350">
        <v>0</v>
      </c>
      <c r="AN1350">
        <v>0</v>
      </c>
      <c r="AO1350">
        <v>0</v>
      </c>
      <c r="AP1350">
        <v>0</v>
      </c>
      <c r="AQ1350">
        <v>21.38</v>
      </c>
      <c r="AR1350">
        <v>0</v>
      </c>
      <c r="AS1350">
        <v>0</v>
      </c>
      <c r="AT1350">
        <v>0</v>
      </c>
      <c r="AU1350">
        <v>0</v>
      </c>
      <c r="AV1350">
        <v>0</v>
      </c>
      <c r="AW1350">
        <v>0</v>
      </c>
      <c r="AX1350">
        <v>0</v>
      </c>
      <c r="AY1350">
        <v>0</v>
      </c>
      <c r="AZ1350">
        <v>0</v>
      </c>
      <c r="BA1350">
        <v>0</v>
      </c>
      <c r="BB1350">
        <v>0</v>
      </c>
      <c r="BC1350">
        <v>0</v>
      </c>
      <c r="BD1350">
        <v>0</v>
      </c>
      <c r="BE1350">
        <v>0</v>
      </c>
      <c r="BF1350">
        <v>0</v>
      </c>
      <c r="BG1350">
        <v>0</v>
      </c>
      <c r="BH1350">
        <v>1</v>
      </c>
      <c r="BI1350">
        <v>1</v>
      </c>
      <c r="BJ1350">
        <v>0.2</v>
      </c>
      <c r="BK1350">
        <v>1</v>
      </c>
      <c r="BL1350">
        <v>69.98</v>
      </c>
      <c r="BM1350">
        <v>10.5</v>
      </c>
      <c r="BN1350">
        <v>80.48</v>
      </c>
      <c r="BO1350">
        <v>80.48</v>
      </c>
      <c r="BQ1350" t="s">
        <v>910</v>
      </c>
      <c r="BR1350" t="s">
        <v>84</v>
      </c>
      <c r="BS1350" s="3">
        <v>45792</v>
      </c>
      <c r="BT1350" s="4">
        <v>0.34027777777777779</v>
      </c>
      <c r="BU1350" t="s">
        <v>2024</v>
      </c>
      <c r="BV1350" t="s">
        <v>86</v>
      </c>
      <c r="BY1350">
        <v>1200</v>
      </c>
      <c r="CA1350" t="s">
        <v>712</v>
      </c>
      <c r="CC1350" t="s">
        <v>131</v>
      </c>
      <c r="CD1350">
        <v>7530</v>
      </c>
      <c r="CE1350" t="s">
        <v>88</v>
      </c>
      <c r="CF1350" s="3">
        <v>45793</v>
      </c>
      <c r="CI1350">
        <v>1</v>
      </c>
      <c r="CJ1350">
        <v>1</v>
      </c>
      <c r="CK1350">
        <v>21</v>
      </c>
      <c r="CL1350" t="s">
        <v>89</v>
      </c>
    </row>
    <row r="1351" spans="1:90" x14ac:dyDescent="0.3">
      <c r="A1351" t="s">
        <v>72</v>
      </c>
      <c r="B1351" t="s">
        <v>73</v>
      </c>
      <c r="C1351" t="s">
        <v>74</v>
      </c>
      <c r="E1351" t="str">
        <f>"080065369786"</f>
        <v>080065369786</v>
      </c>
      <c r="F1351" s="3">
        <v>45791</v>
      </c>
      <c r="G1351">
        <v>202602</v>
      </c>
      <c r="H1351" t="s">
        <v>75</v>
      </c>
      <c r="I1351" t="s">
        <v>76</v>
      </c>
      <c r="J1351" t="s">
        <v>77</v>
      </c>
      <c r="K1351" t="s">
        <v>78</v>
      </c>
      <c r="L1351" t="s">
        <v>79</v>
      </c>
      <c r="M1351" t="s">
        <v>80</v>
      </c>
      <c r="N1351" t="s">
        <v>81</v>
      </c>
      <c r="O1351" t="s">
        <v>82</v>
      </c>
      <c r="P1351" t="str">
        <f>"4170038320                    "</f>
        <v xml:space="preserve">4170038320                    </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v>0</v>
      </c>
      <c r="AL1351">
        <v>0</v>
      </c>
      <c r="AM1351">
        <v>0</v>
      </c>
      <c r="AN1351">
        <v>0</v>
      </c>
      <c r="AO1351">
        <v>0</v>
      </c>
      <c r="AP1351">
        <v>0</v>
      </c>
      <c r="AQ1351">
        <v>21.38</v>
      </c>
      <c r="AR1351">
        <v>0</v>
      </c>
      <c r="AS1351">
        <v>0</v>
      </c>
      <c r="AT1351">
        <v>0</v>
      </c>
      <c r="AU1351">
        <v>0</v>
      </c>
      <c r="AV1351">
        <v>0</v>
      </c>
      <c r="AW1351">
        <v>0</v>
      </c>
      <c r="AX1351">
        <v>0</v>
      </c>
      <c r="AY1351">
        <v>0</v>
      </c>
      <c r="AZ1351">
        <v>0</v>
      </c>
      <c r="BA1351">
        <v>0</v>
      </c>
      <c r="BB1351">
        <v>0</v>
      </c>
      <c r="BC1351">
        <v>0</v>
      </c>
      <c r="BD1351">
        <v>0</v>
      </c>
      <c r="BE1351">
        <v>0</v>
      </c>
      <c r="BF1351">
        <v>0</v>
      </c>
      <c r="BG1351">
        <v>0</v>
      </c>
      <c r="BH1351">
        <v>1</v>
      </c>
      <c r="BI1351">
        <v>1</v>
      </c>
      <c r="BJ1351">
        <v>0.2</v>
      </c>
      <c r="BK1351">
        <v>1</v>
      </c>
      <c r="BL1351">
        <v>69.98</v>
      </c>
      <c r="BM1351">
        <v>10.5</v>
      </c>
      <c r="BN1351">
        <v>80.48</v>
      </c>
      <c r="BO1351">
        <v>80.48</v>
      </c>
      <c r="BQ1351" t="s">
        <v>83</v>
      </c>
      <c r="BR1351" t="s">
        <v>84</v>
      </c>
      <c r="BS1351" s="3">
        <v>45792</v>
      </c>
      <c r="BT1351" s="4">
        <v>0.51249999999999996</v>
      </c>
      <c r="BU1351" t="s">
        <v>2025</v>
      </c>
      <c r="BV1351" t="s">
        <v>86</v>
      </c>
      <c r="BY1351">
        <v>1200</v>
      </c>
      <c r="CA1351" t="s">
        <v>87</v>
      </c>
      <c r="CC1351" t="s">
        <v>80</v>
      </c>
      <c r="CD1351">
        <v>3610</v>
      </c>
      <c r="CE1351" t="s">
        <v>88</v>
      </c>
      <c r="CF1351" s="3">
        <v>45793</v>
      </c>
      <c r="CI1351">
        <v>1</v>
      </c>
      <c r="CJ1351">
        <v>1</v>
      </c>
      <c r="CK1351">
        <v>21</v>
      </c>
      <c r="CL1351" t="s">
        <v>89</v>
      </c>
    </row>
    <row r="1352" spans="1:90" x14ac:dyDescent="0.3">
      <c r="A1352" t="s">
        <v>72</v>
      </c>
      <c r="B1352" t="s">
        <v>73</v>
      </c>
      <c r="C1352" t="s">
        <v>74</v>
      </c>
      <c r="E1352" t="str">
        <f>"080065369787"</f>
        <v>080065369787</v>
      </c>
      <c r="F1352" s="3">
        <v>45791</v>
      </c>
      <c r="G1352">
        <v>202602</v>
      </c>
      <c r="H1352" t="s">
        <v>75</v>
      </c>
      <c r="I1352" t="s">
        <v>76</v>
      </c>
      <c r="J1352" t="s">
        <v>77</v>
      </c>
      <c r="K1352" t="s">
        <v>78</v>
      </c>
      <c r="L1352" t="s">
        <v>972</v>
      </c>
      <c r="M1352" t="s">
        <v>973</v>
      </c>
      <c r="N1352" t="s">
        <v>2026</v>
      </c>
      <c r="O1352" t="s">
        <v>602</v>
      </c>
      <c r="P1352" t="str">
        <f>"4170038385                    "</f>
        <v xml:space="preserve">4170038385                    </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0</v>
      </c>
      <c r="AJ1352">
        <v>0</v>
      </c>
      <c r="AK1352">
        <v>0</v>
      </c>
      <c r="AL1352">
        <v>0</v>
      </c>
      <c r="AM1352">
        <v>0</v>
      </c>
      <c r="AN1352">
        <v>0</v>
      </c>
      <c r="AO1352">
        <v>0</v>
      </c>
      <c r="AP1352">
        <v>0</v>
      </c>
      <c r="AQ1352">
        <v>18.579999999999998</v>
      </c>
      <c r="AR1352">
        <v>0</v>
      </c>
      <c r="AS1352">
        <v>0</v>
      </c>
      <c r="AT1352">
        <v>0</v>
      </c>
      <c r="AU1352">
        <v>0</v>
      </c>
      <c r="AV1352">
        <v>0</v>
      </c>
      <c r="AW1352">
        <v>0</v>
      </c>
      <c r="AX1352">
        <v>0</v>
      </c>
      <c r="AY1352">
        <v>0</v>
      </c>
      <c r="AZ1352">
        <v>0</v>
      </c>
      <c r="BA1352">
        <v>0</v>
      </c>
      <c r="BB1352">
        <v>0</v>
      </c>
      <c r="BC1352">
        <v>0</v>
      </c>
      <c r="BD1352">
        <v>0</v>
      </c>
      <c r="BE1352">
        <v>0</v>
      </c>
      <c r="BF1352">
        <v>0</v>
      </c>
      <c r="BG1352">
        <v>0</v>
      </c>
      <c r="BH1352">
        <v>1</v>
      </c>
      <c r="BI1352">
        <v>9</v>
      </c>
      <c r="BJ1352">
        <v>2</v>
      </c>
      <c r="BK1352">
        <v>9</v>
      </c>
      <c r="BL1352">
        <v>60.81</v>
      </c>
      <c r="BM1352">
        <v>9.1199999999999992</v>
      </c>
      <c r="BN1352">
        <v>69.930000000000007</v>
      </c>
      <c r="BO1352">
        <v>69.930000000000007</v>
      </c>
      <c r="BQ1352" t="s">
        <v>2027</v>
      </c>
      <c r="BR1352" t="s">
        <v>84</v>
      </c>
      <c r="BS1352" s="3">
        <v>45792</v>
      </c>
      <c r="BT1352" s="4">
        <v>0.36805555555555558</v>
      </c>
      <c r="BU1352" t="s">
        <v>2028</v>
      </c>
      <c r="BV1352" t="s">
        <v>86</v>
      </c>
      <c r="BY1352">
        <v>9918</v>
      </c>
      <c r="CA1352" t="s">
        <v>2029</v>
      </c>
      <c r="CC1352" t="s">
        <v>973</v>
      </c>
      <c r="CD1352">
        <v>1724</v>
      </c>
      <c r="CE1352" t="s">
        <v>96</v>
      </c>
      <c r="CF1352" s="3">
        <v>45792</v>
      </c>
      <c r="CI1352">
        <v>1</v>
      </c>
      <c r="CJ1352">
        <v>1</v>
      </c>
      <c r="CK1352">
        <v>32</v>
      </c>
      <c r="CL1352" t="s">
        <v>89</v>
      </c>
    </row>
    <row r="1353" spans="1:90" x14ac:dyDescent="0.3">
      <c r="A1353" t="s">
        <v>72</v>
      </c>
      <c r="B1353" t="s">
        <v>73</v>
      </c>
      <c r="C1353" t="s">
        <v>74</v>
      </c>
      <c r="E1353" t="str">
        <f>"080065369807"</f>
        <v>080065369807</v>
      </c>
      <c r="F1353" s="3">
        <v>45791</v>
      </c>
      <c r="G1353">
        <v>202602</v>
      </c>
      <c r="H1353" t="s">
        <v>75</v>
      </c>
      <c r="I1353" t="s">
        <v>76</v>
      </c>
      <c r="J1353" t="s">
        <v>77</v>
      </c>
      <c r="K1353" t="s">
        <v>78</v>
      </c>
      <c r="L1353" t="s">
        <v>1241</v>
      </c>
      <c r="M1353" t="s">
        <v>1242</v>
      </c>
      <c r="N1353" t="s">
        <v>2030</v>
      </c>
      <c r="O1353" t="s">
        <v>82</v>
      </c>
      <c r="P1353" t="str">
        <f>"4170038301                    "</f>
        <v xml:space="preserve">4170038301                    </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0</v>
      </c>
      <c r="AK1353">
        <v>0</v>
      </c>
      <c r="AL1353">
        <v>0</v>
      </c>
      <c r="AM1353">
        <v>0</v>
      </c>
      <c r="AN1353">
        <v>0</v>
      </c>
      <c r="AO1353">
        <v>0</v>
      </c>
      <c r="AP1353">
        <v>0</v>
      </c>
      <c r="AQ1353">
        <v>41.43</v>
      </c>
      <c r="AR1353">
        <v>0</v>
      </c>
      <c r="AS1353">
        <v>0</v>
      </c>
      <c r="AT1353">
        <v>0</v>
      </c>
      <c r="AU1353">
        <v>0</v>
      </c>
      <c r="AV1353">
        <v>0</v>
      </c>
      <c r="AW1353">
        <v>0</v>
      </c>
      <c r="AX1353">
        <v>0</v>
      </c>
      <c r="AY1353">
        <v>0</v>
      </c>
      <c r="AZ1353">
        <v>0</v>
      </c>
      <c r="BA1353">
        <v>0</v>
      </c>
      <c r="BB1353">
        <v>0</v>
      </c>
      <c r="BC1353">
        <v>0</v>
      </c>
      <c r="BD1353">
        <v>0</v>
      </c>
      <c r="BE1353">
        <v>0</v>
      </c>
      <c r="BF1353">
        <v>0</v>
      </c>
      <c r="BG1353">
        <v>0</v>
      </c>
      <c r="BH1353">
        <v>1</v>
      </c>
      <c r="BI1353">
        <v>1</v>
      </c>
      <c r="BJ1353">
        <v>0.2</v>
      </c>
      <c r="BK1353">
        <v>1</v>
      </c>
      <c r="BL1353">
        <v>135.59</v>
      </c>
      <c r="BM1353">
        <v>20.34</v>
      </c>
      <c r="BN1353">
        <v>155.93</v>
      </c>
      <c r="BO1353">
        <v>155.93</v>
      </c>
      <c r="BQ1353" t="s">
        <v>2031</v>
      </c>
      <c r="BR1353" t="s">
        <v>84</v>
      </c>
      <c r="BS1353" s="3">
        <v>45792</v>
      </c>
      <c r="BT1353" s="4">
        <v>0.4375</v>
      </c>
      <c r="BU1353" t="s">
        <v>2032</v>
      </c>
      <c r="BV1353" t="s">
        <v>86</v>
      </c>
      <c r="BY1353">
        <v>1200</v>
      </c>
      <c r="CC1353" t="s">
        <v>1242</v>
      </c>
      <c r="CD1353">
        <v>1871</v>
      </c>
      <c r="CE1353" t="s">
        <v>88</v>
      </c>
      <c r="CF1353" s="3">
        <v>45793</v>
      </c>
      <c r="CI1353">
        <v>1</v>
      </c>
      <c r="CJ1353">
        <v>1</v>
      </c>
      <c r="CK1353">
        <v>23</v>
      </c>
      <c r="CL1353" t="s">
        <v>89</v>
      </c>
    </row>
    <row r="1354" spans="1:90" x14ac:dyDescent="0.3">
      <c r="A1354" t="s">
        <v>72</v>
      </c>
      <c r="B1354" t="s">
        <v>73</v>
      </c>
      <c r="C1354" t="s">
        <v>74</v>
      </c>
      <c r="E1354" t="str">
        <f>"080065369831"</f>
        <v>080065369831</v>
      </c>
      <c r="F1354" s="3">
        <v>45791</v>
      </c>
      <c r="G1354">
        <v>202602</v>
      </c>
      <c r="H1354" t="s">
        <v>75</v>
      </c>
      <c r="I1354" t="s">
        <v>76</v>
      </c>
      <c r="J1354" t="s">
        <v>77</v>
      </c>
      <c r="K1354" t="s">
        <v>78</v>
      </c>
      <c r="L1354" t="s">
        <v>90</v>
      </c>
      <c r="M1354" t="s">
        <v>91</v>
      </c>
      <c r="N1354" t="s">
        <v>92</v>
      </c>
      <c r="O1354" t="s">
        <v>82</v>
      </c>
      <c r="P1354" t="str">
        <f>"4170038223                    "</f>
        <v xml:space="preserve">4170038223                    </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v>0</v>
      </c>
      <c r="AL1354">
        <v>0</v>
      </c>
      <c r="AM1354">
        <v>0</v>
      </c>
      <c r="AN1354">
        <v>0</v>
      </c>
      <c r="AO1354">
        <v>0</v>
      </c>
      <c r="AP1354">
        <v>0</v>
      </c>
      <c r="AQ1354">
        <v>21.38</v>
      </c>
      <c r="AR1354">
        <v>0</v>
      </c>
      <c r="AS1354">
        <v>0</v>
      </c>
      <c r="AT1354">
        <v>0</v>
      </c>
      <c r="AU1354">
        <v>0</v>
      </c>
      <c r="AV1354">
        <v>0</v>
      </c>
      <c r="AW1354">
        <v>0</v>
      </c>
      <c r="AX1354">
        <v>0</v>
      </c>
      <c r="AY1354">
        <v>0</v>
      </c>
      <c r="AZ1354">
        <v>0</v>
      </c>
      <c r="BA1354">
        <v>0</v>
      </c>
      <c r="BB1354">
        <v>0</v>
      </c>
      <c r="BC1354">
        <v>0</v>
      </c>
      <c r="BD1354">
        <v>0</v>
      </c>
      <c r="BE1354">
        <v>0</v>
      </c>
      <c r="BF1354">
        <v>0</v>
      </c>
      <c r="BG1354">
        <v>0</v>
      </c>
      <c r="BH1354">
        <v>1</v>
      </c>
      <c r="BI1354">
        <v>2</v>
      </c>
      <c r="BJ1354">
        <v>1.1000000000000001</v>
      </c>
      <c r="BK1354">
        <v>2</v>
      </c>
      <c r="BL1354">
        <v>69.98</v>
      </c>
      <c r="BM1354">
        <v>10.5</v>
      </c>
      <c r="BN1354">
        <v>80.48</v>
      </c>
      <c r="BO1354">
        <v>80.48</v>
      </c>
      <c r="BQ1354" t="s">
        <v>93</v>
      </c>
      <c r="BR1354" t="s">
        <v>84</v>
      </c>
      <c r="BS1354" s="3">
        <v>45792</v>
      </c>
      <c r="BT1354" s="4">
        <v>0.39305555555555555</v>
      </c>
      <c r="BU1354" t="s">
        <v>2033</v>
      </c>
      <c r="BV1354" t="s">
        <v>86</v>
      </c>
      <c r="BY1354">
        <v>5320</v>
      </c>
      <c r="CA1354" t="s">
        <v>95</v>
      </c>
      <c r="CC1354" t="s">
        <v>91</v>
      </c>
      <c r="CD1354">
        <v>6001</v>
      </c>
      <c r="CE1354" t="s">
        <v>96</v>
      </c>
      <c r="CF1354" s="3">
        <v>45792</v>
      </c>
      <c r="CI1354">
        <v>1</v>
      </c>
      <c r="CJ1354">
        <v>1</v>
      </c>
      <c r="CK1354">
        <v>21</v>
      </c>
      <c r="CL1354" t="s">
        <v>89</v>
      </c>
    </row>
    <row r="1355" spans="1:90" x14ac:dyDescent="0.3">
      <c r="A1355" t="s">
        <v>72</v>
      </c>
      <c r="B1355" t="s">
        <v>73</v>
      </c>
      <c r="C1355" t="s">
        <v>74</v>
      </c>
      <c r="E1355" t="str">
        <f>"080065369842"</f>
        <v>080065369842</v>
      </c>
      <c r="F1355" s="3">
        <v>45791</v>
      </c>
      <c r="G1355">
        <v>202602</v>
      </c>
      <c r="H1355" t="s">
        <v>75</v>
      </c>
      <c r="I1355" t="s">
        <v>76</v>
      </c>
      <c r="J1355" t="s">
        <v>77</v>
      </c>
      <c r="K1355" t="s">
        <v>78</v>
      </c>
      <c r="L1355" t="s">
        <v>350</v>
      </c>
      <c r="M1355" t="s">
        <v>351</v>
      </c>
      <c r="N1355" t="s">
        <v>459</v>
      </c>
      <c r="O1355" t="s">
        <v>82</v>
      </c>
      <c r="P1355" t="str">
        <f>"4170038298                    "</f>
        <v xml:space="preserve">4170038298                    </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0</v>
      </c>
      <c r="AL1355">
        <v>0</v>
      </c>
      <c r="AM1355">
        <v>0</v>
      </c>
      <c r="AN1355">
        <v>0</v>
      </c>
      <c r="AO1355">
        <v>0</v>
      </c>
      <c r="AP1355">
        <v>0</v>
      </c>
      <c r="AQ1355">
        <v>21.38</v>
      </c>
      <c r="AR1355">
        <v>0</v>
      </c>
      <c r="AS1355">
        <v>0</v>
      </c>
      <c r="AT1355">
        <v>0</v>
      </c>
      <c r="AU1355">
        <v>0</v>
      </c>
      <c r="AV1355">
        <v>0</v>
      </c>
      <c r="AW1355">
        <v>0</v>
      </c>
      <c r="AX1355">
        <v>0</v>
      </c>
      <c r="AY1355">
        <v>0</v>
      </c>
      <c r="AZ1355">
        <v>0</v>
      </c>
      <c r="BA1355">
        <v>0</v>
      </c>
      <c r="BB1355">
        <v>0</v>
      </c>
      <c r="BC1355">
        <v>0</v>
      </c>
      <c r="BD1355">
        <v>0</v>
      </c>
      <c r="BE1355">
        <v>0</v>
      </c>
      <c r="BF1355">
        <v>0</v>
      </c>
      <c r="BG1355">
        <v>0</v>
      </c>
      <c r="BH1355">
        <v>1</v>
      </c>
      <c r="BI1355">
        <v>1</v>
      </c>
      <c r="BJ1355">
        <v>0.2</v>
      </c>
      <c r="BK1355">
        <v>1</v>
      </c>
      <c r="BL1355">
        <v>69.98</v>
      </c>
      <c r="BM1355">
        <v>10.5</v>
      </c>
      <c r="BN1355">
        <v>80.48</v>
      </c>
      <c r="BO1355">
        <v>80.48</v>
      </c>
      <c r="BQ1355" t="s">
        <v>460</v>
      </c>
      <c r="BR1355" t="s">
        <v>84</v>
      </c>
      <c r="BS1355" s="3">
        <v>45792</v>
      </c>
      <c r="BT1355" s="4">
        <v>0.34513888888888888</v>
      </c>
      <c r="BU1355" t="s">
        <v>1121</v>
      </c>
      <c r="BV1355" t="s">
        <v>86</v>
      </c>
      <c r="BY1355">
        <v>1200</v>
      </c>
      <c r="CA1355" t="s">
        <v>462</v>
      </c>
      <c r="CC1355" t="s">
        <v>351</v>
      </c>
      <c r="CD1355">
        <v>4051</v>
      </c>
      <c r="CE1355" t="s">
        <v>88</v>
      </c>
      <c r="CF1355" s="3">
        <v>45793</v>
      </c>
      <c r="CI1355">
        <v>1</v>
      </c>
      <c r="CJ1355">
        <v>1</v>
      </c>
      <c r="CK1355">
        <v>21</v>
      </c>
      <c r="CL1355" t="s">
        <v>89</v>
      </c>
    </row>
    <row r="1356" spans="1:90" x14ac:dyDescent="0.3">
      <c r="A1356" t="s">
        <v>72</v>
      </c>
      <c r="B1356" t="s">
        <v>73</v>
      </c>
      <c r="C1356" t="s">
        <v>74</v>
      </c>
      <c r="E1356" t="str">
        <f>"080065369857"</f>
        <v>080065369857</v>
      </c>
      <c r="F1356" s="3">
        <v>45791</v>
      </c>
      <c r="G1356">
        <v>202602</v>
      </c>
      <c r="H1356" t="s">
        <v>75</v>
      </c>
      <c r="I1356" t="s">
        <v>76</v>
      </c>
      <c r="J1356" t="s">
        <v>77</v>
      </c>
      <c r="K1356" t="s">
        <v>78</v>
      </c>
      <c r="L1356" t="s">
        <v>130</v>
      </c>
      <c r="M1356" t="s">
        <v>131</v>
      </c>
      <c r="N1356" t="s">
        <v>699</v>
      </c>
      <c r="O1356" t="s">
        <v>82</v>
      </c>
      <c r="P1356" t="str">
        <f>"4170038469                    "</f>
        <v xml:space="preserve">4170038469                    </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0</v>
      </c>
      <c r="AL1356">
        <v>0</v>
      </c>
      <c r="AM1356">
        <v>0</v>
      </c>
      <c r="AN1356">
        <v>0</v>
      </c>
      <c r="AO1356">
        <v>0</v>
      </c>
      <c r="AP1356">
        <v>0</v>
      </c>
      <c r="AQ1356">
        <v>21.38</v>
      </c>
      <c r="AR1356">
        <v>0</v>
      </c>
      <c r="AS1356">
        <v>0</v>
      </c>
      <c r="AT1356">
        <v>0</v>
      </c>
      <c r="AU1356">
        <v>0</v>
      </c>
      <c r="AV1356">
        <v>0</v>
      </c>
      <c r="AW1356">
        <v>0</v>
      </c>
      <c r="AX1356">
        <v>0</v>
      </c>
      <c r="AY1356">
        <v>0</v>
      </c>
      <c r="AZ1356">
        <v>0</v>
      </c>
      <c r="BA1356">
        <v>0</v>
      </c>
      <c r="BB1356">
        <v>0</v>
      </c>
      <c r="BC1356">
        <v>0</v>
      </c>
      <c r="BD1356">
        <v>0</v>
      </c>
      <c r="BE1356">
        <v>0</v>
      </c>
      <c r="BF1356">
        <v>0</v>
      </c>
      <c r="BG1356">
        <v>0</v>
      </c>
      <c r="BH1356">
        <v>1</v>
      </c>
      <c r="BI1356">
        <v>1</v>
      </c>
      <c r="BJ1356">
        <v>0.2</v>
      </c>
      <c r="BK1356">
        <v>1</v>
      </c>
      <c r="BL1356">
        <v>69.98</v>
      </c>
      <c r="BM1356">
        <v>10.5</v>
      </c>
      <c r="BN1356">
        <v>80.48</v>
      </c>
      <c r="BO1356">
        <v>80.48</v>
      </c>
      <c r="BQ1356" t="s">
        <v>700</v>
      </c>
      <c r="BR1356" t="s">
        <v>84</v>
      </c>
      <c r="BS1356" s="3">
        <v>45792</v>
      </c>
      <c r="BT1356" s="4">
        <v>0.42916666666666664</v>
      </c>
      <c r="BU1356" t="s">
        <v>701</v>
      </c>
      <c r="BV1356" t="s">
        <v>86</v>
      </c>
      <c r="BY1356">
        <v>1200</v>
      </c>
      <c r="CA1356" t="s">
        <v>330</v>
      </c>
      <c r="CC1356" t="s">
        <v>131</v>
      </c>
      <c r="CD1356">
        <v>7480</v>
      </c>
      <c r="CE1356" t="s">
        <v>88</v>
      </c>
      <c r="CF1356" s="3">
        <v>45793</v>
      </c>
      <c r="CI1356">
        <v>1</v>
      </c>
      <c r="CJ1356">
        <v>1</v>
      </c>
      <c r="CK1356">
        <v>21</v>
      </c>
      <c r="CL1356" t="s">
        <v>89</v>
      </c>
    </row>
    <row r="1357" spans="1:90" x14ac:dyDescent="0.3">
      <c r="A1357" t="s">
        <v>72</v>
      </c>
      <c r="B1357" t="s">
        <v>73</v>
      </c>
      <c r="C1357" t="s">
        <v>74</v>
      </c>
      <c r="E1357" t="str">
        <f>"080065369863"</f>
        <v>080065369863</v>
      </c>
      <c r="F1357" s="3">
        <v>45791</v>
      </c>
      <c r="G1357">
        <v>202602</v>
      </c>
      <c r="H1357" t="s">
        <v>75</v>
      </c>
      <c r="I1357" t="s">
        <v>76</v>
      </c>
      <c r="J1357" t="s">
        <v>77</v>
      </c>
      <c r="K1357" t="s">
        <v>78</v>
      </c>
      <c r="L1357" t="s">
        <v>463</v>
      </c>
      <c r="M1357" t="s">
        <v>464</v>
      </c>
      <c r="N1357" t="s">
        <v>744</v>
      </c>
      <c r="O1357" t="s">
        <v>300</v>
      </c>
      <c r="P1357" t="str">
        <f>"4170038266                    "</f>
        <v xml:space="preserve">4170038266                    </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0</v>
      </c>
      <c r="AL1357">
        <v>0</v>
      </c>
      <c r="AM1357">
        <v>0</v>
      </c>
      <c r="AN1357">
        <v>0</v>
      </c>
      <c r="AO1357">
        <v>0</v>
      </c>
      <c r="AP1357">
        <v>0</v>
      </c>
      <c r="AQ1357">
        <v>41.35</v>
      </c>
      <c r="AR1357">
        <v>0</v>
      </c>
      <c r="AS1357">
        <v>0</v>
      </c>
      <c r="AT1357">
        <v>0</v>
      </c>
      <c r="AU1357">
        <v>0</v>
      </c>
      <c r="AV1357">
        <v>0</v>
      </c>
      <c r="AW1357">
        <v>0</v>
      </c>
      <c r="AX1357">
        <v>0</v>
      </c>
      <c r="AY1357">
        <v>0</v>
      </c>
      <c r="AZ1357">
        <v>0</v>
      </c>
      <c r="BA1357">
        <v>0</v>
      </c>
      <c r="BB1357">
        <v>0</v>
      </c>
      <c r="BC1357">
        <v>0</v>
      </c>
      <c r="BD1357">
        <v>0</v>
      </c>
      <c r="BE1357">
        <v>0</v>
      </c>
      <c r="BF1357">
        <v>0</v>
      </c>
      <c r="BG1357">
        <v>0</v>
      </c>
      <c r="BH1357">
        <v>1</v>
      </c>
      <c r="BI1357">
        <v>13</v>
      </c>
      <c r="BJ1357">
        <v>5.2</v>
      </c>
      <c r="BK1357">
        <v>13</v>
      </c>
      <c r="BL1357">
        <v>140.9</v>
      </c>
      <c r="BM1357">
        <v>21.14</v>
      </c>
      <c r="BN1357">
        <v>162.04</v>
      </c>
      <c r="BO1357">
        <v>162.04</v>
      </c>
      <c r="BQ1357" t="s">
        <v>745</v>
      </c>
      <c r="BR1357" t="s">
        <v>84</v>
      </c>
      <c r="BS1357" s="3">
        <v>45793</v>
      </c>
      <c r="BT1357" s="4">
        <v>0.4861111111111111</v>
      </c>
      <c r="BU1357" t="s">
        <v>746</v>
      </c>
      <c r="BV1357" t="s">
        <v>86</v>
      </c>
      <c r="BY1357">
        <v>26013</v>
      </c>
      <c r="CA1357" t="s">
        <v>588</v>
      </c>
      <c r="CC1357" t="s">
        <v>464</v>
      </c>
      <c r="CD1357">
        <v>5201</v>
      </c>
      <c r="CE1357" t="s">
        <v>1676</v>
      </c>
      <c r="CF1357" s="3">
        <v>45795</v>
      </c>
      <c r="CI1357">
        <v>3</v>
      </c>
      <c r="CJ1357">
        <v>2</v>
      </c>
      <c r="CK1357">
        <v>41</v>
      </c>
      <c r="CL1357" t="s">
        <v>89</v>
      </c>
    </row>
    <row r="1358" spans="1:90" x14ac:dyDescent="0.3">
      <c r="A1358" t="s">
        <v>72</v>
      </c>
      <c r="B1358" t="s">
        <v>73</v>
      </c>
      <c r="C1358" t="s">
        <v>74</v>
      </c>
      <c r="E1358" t="str">
        <f>"080065369880"</f>
        <v>080065369880</v>
      </c>
      <c r="F1358" s="3">
        <v>45791</v>
      </c>
      <c r="G1358">
        <v>202602</v>
      </c>
      <c r="H1358" t="s">
        <v>75</v>
      </c>
      <c r="I1358" t="s">
        <v>76</v>
      </c>
      <c r="J1358" t="s">
        <v>77</v>
      </c>
      <c r="K1358" t="s">
        <v>78</v>
      </c>
      <c r="L1358" t="s">
        <v>143</v>
      </c>
      <c r="M1358" t="s">
        <v>144</v>
      </c>
      <c r="N1358" t="s">
        <v>1009</v>
      </c>
      <c r="O1358" t="s">
        <v>82</v>
      </c>
      <c r="P1358" t="str">
        <f>"4170038355                    "</f>
        <v xml:space="preserve">4170038355                    </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16.7</v>
      </c>
      <c r="AR1358">
        <v>0</v>
      </c>
      <c r="AS1358">
        <v>0</v>
      </c>
      <c r="AT1358">
        <v>0</v>
      </c>
      <c r="AU1358">
        <v>0</v>
      </c>
      <c r="AV1358">
        <v>0</v>
      </c>
      <c r="AW1358">
        <v>0</v>
      </c>
      <c r="AX1358">
        <v>0</v>
      </c>
      <c r="AY1358">
        <v>0</v>
      </c>
      <c r="AZ1358">
        <v>0</v>
      </c>
      <c r="BA1358">
        <v>0</v>
      </c>
      <c r="BB1358">
        <v>0</v>
      </c>
      <c r="BC1358">
        <v>0</v>
      </c>
      <c r="BD1358">
        <v>0</v>
      </c>
      <c r="BE1358">
        <v>0</v>
      </c>
      <c r="BF1358">
        <v>0</v>
      </c>
      <c r="BG1358">
        <v>0</v>
      </c>
      <c r="BH1358">
        <v>1</v>
      </c>
      <c r="BI1358">
        <v>1</v>
      </c>
      <c r="BJ1358">
        <v>0.2</v>
      </c>
      <c r="BK1358">
        <v>1</v>
      </c>
      <c r="BL1358">
        <v>54.66</v>
      </c>
      <c r="BM1358">
        <v>8.1999999999999993</v>
      </c>
      <c r="BN1358">
        <v>62.86</v>
      </c>
      <c r="BO1358">
        <v>62.86</v>
      </c>
      <c r="BQ1358" t="s">
        <v>1010</v>
      </c>
      <c r="BR1358" t="s">
        <v>84</v>
      </c>
      <c r="BS1358" s="3">
        <v>45792</v>
      </c>
      <c r="BT1358" s="4">
        <v>0.37708333333333333</v>
      </c>
      <c r="BU1358" t="s">
        <v>2034</v>
      </c>
      <c r="BV1358" t="s">
        <v>86</v>
      </c>
      <c r="BY1358">
        <v>1200</v>
      </c>
      <c r="CA1358" t="s">
        <v>150</v>
      </c>
      <c r="CC1358" t="s">
        <v>144</v>
      </c>
      <c r="CD1358">
        <v>1406</v>
      </c>
      <c r="CE1358" t="s">
        <v>88</v>
      </c>
      <c r="CF1358" s="3">
        <v>45792</v>
      </c>
      <c r="CI1358">
        <v>1</v>
      </c>
      <c r="CJ1358">
        <v>1</v>
      </c>
      <c r="CK1358">
        <v>22</v>
      </c>
      <c r="CL1358" t="s">
        <v>89</v>
      </c>
    </row>
    <row r="1359" spans="1:90" x14ac:dyDescent="0.3">
      <c r="A1359" t="s">
        <v>72</v>
      </c>
      <c r="B1359" t="s">
        <v>73</v>
      </c>
      <c r="C1359" t="s">
        <v>74</v>
      </c>
      <c r="E1359" t="str">
        <f>"080065369914"</f>
        <v>080065369914</v>
      </c>
      <c r="F1359" s="3">
        <v>45791</v>
      </c>
      <c r="G1359">
        <v>202602</v>
      </c>
      <c r="H1359" t="s">
        <v>75</v>
      </c>
      <c r="I1359" t="s">
        <v>76</v>
      </c>
      <c r="J1359" t="s">
        <v>77</v>
      </c>
      <c r="K1359" t="s">
        <v>78</v>
      </c>
      <c r="L1359" t="s">
        <v>103</v>
      </c>
      <c r="M1359" t="s">
        <v>104</v>
      </c>
      <c r="N1359" t="s">
        <v>105</v>
      </c>
      <c r="O1359" t="s">
        <v>82</v>
      </c>
      <c r="P1359" t="str">
        <f>"4170038336                    "</f>
        <v xml:space="preserve">4170038336                    </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0</v>
      </c>
      <c r="AL1359">
        <v>0</v>
      </c>
      <c r="AM1359">
        <v>0</v>
      </c>
      <c r="AN1359">
        <v>0</v>
      </c>
      <c r="AO1359">
        <v>0</v>
      </c>
      <c r="AP1359">
        <v>0</v>
      </c>
      <c r="AQ1359">
        <v>21.38</v>
      </c>
      <c r="AR1359">
        <v>0</v>
      </c>
      <c r="AS1359">
        <v>0</v>
      </c>
      <c r="AT1359">
        <v>0</v>
      </c>
      <c r="AU1359">
        <v>0</v>
      </c>
      <c r="AV1359">
        <v>0</v>
      </c>
      <c r="AW1359">
        <v>0</v>
      </c>
      <c r="AX1359">
        <v>0</v>
      </c>
      <c r="AY1359">
        <v>0</v>
      </c>
      <c r="AZ1359">
        <v>0</v>
      </c>
      <c r="BA1359">
        <v>0</v>
      </c>
      <c r="BB1359">
        <v>0</v>
      </c>
      <c r="BC1359">
        <v>0</v>
      </c>
      <c r="BD1359">
        <v>0</v>
      </c>
      <c r="BE1359">
        <v>0</v>
      </c>
      <c r="BF1359">
        <v>0</v>
      </c>
      <c r="BG1359">
        <v>0</v>
      </c>
      <c r="BH1359">
        <v>1</v>
      </c>
      <c r="BI1359">
        <v>1</v>
      </c>
      <c r="BJ1359">
        <v>0.2</v>
      </c>
      <c r="BK1359">
        <v>1</v>
      </c>
      <c r="BL1359">
        <v>69.98</v>
      </c>
      <c r="BM1359">
        <v>10.5</v>
      </c>
      <c r="BN1359">
        <v>80.48</v>
      </c>
      <c r="BO1359">
        <v>80.48</v>
      </c>
      <c r="BQ1359" t="s">
        <v>106</v>
      </c>
      <c r="BR1359" t="s">
        <v>84</v>
      </c>
      <c r="BS1359" s="3">
        <v>45792</v>
      </c>
      <c r="BT1359" s="4">
        <v>0.41666666666666669</v>
      </c>
      <c r="BU1359" t="s">
        <v>107</v>
      </c>
      <c r="BV1359" t="s">
        <v>86</v>
      </c>
      <c r="BY1359">
        <v>1200</v>
      </c>
      <c r="CA1359" t="s">
        <v>108</v>
      </c>
      <c r="CC1359" t="s">
        <v>104</v>
      </c>
      <c r="CD1359">
        <v>3201</v>
      </c>
      <c r="CE1359" t="s">
        <v>88</v>
      </c>
      <c r="CF1359" s="3">
        <v>45793</v>
      </c>
      <c r="CI1359">
        <v>1</v>
      </c>
      <c r="CJ1359">
        <v>1</v>
      </c>
      <c r="CK1359">
        <v>21</v>
      </c>
      <c r="CL1359" t="s">
        <v>89</v>
      </c>
    </row>
    <row r="1360" spans="1:90" x14ac:dyDescent="0.3">
      <c r="A1360" t="s">
        <v>72</v>
      </c>
      <c r="B1360" t="s">
        <v>73</v>
      </c>
      <c r="C1360" t="s">
        <v>74</v>
      </c>
      <c r="E1360" t="str">
        <f>"080065369935"</f>
        <v>080065369935</v>
      </c>
      <c r="F1360" s="3">
        <v>45791</v>
      </c>
      <c r="G1360">
        <v>202602</v>
      </c>
      <c r="H1360" t="s">
        <v>75</v>
      </c>
      <c r="I1360" t="s">
        <v>76</v>
      </c>
      <c r="J1360" t="s">
        <v>77</v>
      </c>
      <c r="K1360" t="s">
        <v>78</v>
      </c>
      <c r="L1360" t="s">
        <v>117</v>
      </c>
      <c r="M1360" t="s">
        <v>118</v>
      </c>
      <c r="N1360" t="s">
        <v>1635</v>
      </c>
      <c r="O1360" t="s">
        <v>82</v>
      </c>
      <c r="P1360" t="str">
        <f>"4170038380                    "</f>
        <v xml:space="preserve">4170038380                    </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v>0</v>
      </c>
      <c r="AL1360">
        <v>0</v>
      </c>
      <c r="AM1360">
        <v>0</v>
      </c>
      <c r="AN1360">
        <v>0</v>
      </c>
      <c r="AO1360">
        <v>0</v>
      </c>
      <c r="AP1360">
        <v>0</v>
      </c>
      <c r="AQ1360">
        <v>16.7</v>
      </c>
      <c r="AR1360">
        <v>0</v>
      </c>
      <c r="AS1360">
        <v>0</v>
      </c>
      <c r="AT1360">
        <v>0</v>
      </c>
      <c r="AU1360">
        <v>0</v>
      </c>
      <c r="AV1360">
        <v>0</v>
      </c>
      <c r="AW1360">
        <v>0</v>
      </c>
      <c r="AX1360">
        <v>0</v>
      </c>
      <c r="AY1360">
        <v>0</v>
      </c>
      <c r="AZ1360">
        <v>0</v>
      </c>
      <c r="BA1360">
        <v>0</v>
      </c>
      <c r="BB1360">
        <v>0</v>
      </c>
      <c r="BC1360">
        <v>0</v>
      </c>
      <c r="BD1360">
        <v>0</v>
      </c>
      <c r="BE1360">
        <v>0</v>
      </c>
      <c r="BF1360">
        <v>0</v>
      </c>
      <c r="BG1360">
        <v>0</v>
      </c>
      <c r="BH1360">
        <v>1</v>
      </c>
      <c r="BI1360">
        <v>1</v>
      </c>
      <c r="BJ1360">
        <v>0.2</v>
      </c>
      <c r="BK1360">
        <v>1</v>
      </c>
      <c r="BL1360">
        <v>54.66</v>
      </c>
      <c r="BM1360">
        <v>8.1999999999999993</v>
      </c>
      <c r="BN1360">
        <v>62.86</v>
      </c>
      <c r="BO1360">
        <v>62.86</v>
      </c>
      <c r="BQ1360" t="s">
        <v>1636</v>
      </c>
      <c r="BR1360" t="s">
        <v>84</v>
      </c>
      <c r="BS1360" s="3">
        <v>45792</v>
      </c>
      <c r="BT1360" s="4">
        <v>0.38194444444444442</v>
      </c>
      <c r="BU1360" t="s">
        <v>1858</v>
      </c>
      <c r="BV1360" t="s">
        <v>86</v>
      </c>
      <c r="BY1360">
        <v>1200</v>
      </c>
      <c r="CA1360" t="s">
        <v>535</v>
      </c>
      <c r="CC1360" t="s">
        <v>118</v>
      </c>
      <c r="CD1360">
        <v>2094</v>
      </c>
      <c r="CE1360" t="s">
        <v>88</v>
      </c>
      <c r="CF1360" s="3">
        <v>45792</v>
      </c>
      <c r="CI1360">
        <v>1</v>
      </c>
      <c r="CJ1360">
        <v>1</v>
      </c>
      <c r="CK1360">
        <v>22</v>
      </c>
      <c r="CL1360" t="s">
        <v>89</v>
      </c>
    </row>
    <row r="1361" spans="1:90" x14ac:dyDescent="0.3">
      <c r="A1361" t="s">
        <v>72</v>
      </c>
      <c r="B1361" t="s">
        <v>73</v>
      </c>
      <c r="C1361" t="s">
        <v>74</v>
      </c>
      <c r="E1361" t="str">
        <f>"080065369950"</f>
        <v>080065369950</v>
      </c>
      <c r="F1361" s="3">
        <v>45791</v>
      </c>
      <c r="G1361">
        <v>202602</v>
      </c>
      <c r="H1361" t="s">
        <v>75</v>
      </c>
      <c r="I1361" t="s">
        <v>76</v>
      </c>
      <c r="J1361" t="s">
        <v>77</v>
      </c>
      <c r="K1361" t="s">
        <v>78</v>
      </c>
      <c r="L1361" t="s">
        <v>90</v>
      </c>
      <c r="M1361" t="s">
        <v>91</v>
      </c>
      <c r="N1361" t="s">
        <v>841</v>
      </c>
      <c r="O1361" t="s">
        <v>82</v>
      </c>
      <c r="P1361" t="str">
        <f>"4170038258                    "</f>
        <v xml:space="preserve">4170038258                    </v>
      </c>
      <c r="Q1361">
        <v>0</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c r="AJ1361">
        <v>0</v>
      </c>
      <c r="AK1361">
        <v>0</v>
      </c>
      <c r="AL1361">
        <v>0</v>
      </c>
      <c r="AM1361">
        <v>0</v>
      </c>
      <c r="AN1361">
        <v>0</v>
      </c>
      <c r="AO1361">
        <v>0</v>
      </c>
      <c r="AP1361">
        <v>0</v>
      </c>
      <c r="AQ1361">
        <v>21.38</v>
      </c>
      <c r="AR1361">
        <v>0</v>
      </c>
      <c r="AS1361">
        <v>0</v>
      </c>
      <c r="AT1361">
        <v>0</v>
      </c>
      <c r="AU1361">
        <v>0</v>
      </c>
      <c r="AV1361">
        <v>0</v>
      </c>
      <c r="AW1361">
        <v>0</v>
      </c>
      <c r="AX1361">
        <v>0</v>
      </c>
      <c r="AY1361">
        <v>0</v>
      </c>
      <c r="AZ1361">
        <v>0</v>
      </c>
      <c r="BA1361">
        <v>0</v>
      </c>
      <c r="BB1361">
        <v>0</v>
      </c>
      <c r="BC1361">
        <v>0</v>
      </c>
      <c r="BD1361">
        <v>0</v>
      </c>
      <c r="BE1361">
        <v>0</v>
      </c>
      <c r="BF1361">
        <v>0</v>
      </c>
      <c r="BG1361">
        <v>0</v>
      </c>
      <c r="BH1361">
        <v>1</v>
      </c>
      <c r="BI1361">
        <v>1</v>
      </c>
      <c r="BJ1361">
        <v>0.2</v>
      </c>
      <c r="BK1361">
        <v>1</v>
      </c>
      <c r="BL1361">
        <v>69.98</v>
      </c>
      <c r="BM1361">
        <v>10.5</v>
      </c>
      <c r="BN1361">
        <v>80.48</v>
      </c>
      <c r="BO1361">
        <v>80.48</v>
      </c>
      <c r="BQ1361" t="s">
        <v>842</v>
      </c>
      <c r="BR1361" t="s">
        <v>84</v>
      </c>
      <c r="BS1361" s="3">
        <v>45792</v>
      </c>
      <c r="BT1361" s="4">
        <v>0.42708333333333331</v>
      </c>
      <c r="BU1361" t="s">
        <v>1231</v>
      </c>
      <c r="BV1361" t="s">
        <v>86</v>
      </c>
      <c r="BY1361">
        <v>1200</v>
      </c>
      <c r="CA1361" t="s">
        <v>298</v>
      </c>
      <c r="CC1361" t="s">
        <v>91</v>
      </c>
      <c r="CD1361">
        <v>6001</v>
      </c>
      <c r="CE1361" t="s">
        <v>1193</v>
      </c>
      <c r="CF1361" s="3">
        <v>45792</v>
      </c>
      <c r="CI1361">
        <v>1</v>
      </c>
      <c r="CJ1361">
        <v>1</v>
      </c>
      <c r="CK1361">
        <v>21</v>
      </c>
      <c r="CL1361" t="s">
        <v>89</v>
      </c>
    </row>
    <row r="1362" spans="1:90" x14ac:dyDescent="0.3">
      <c r="A1362" t="s">
        <v>72</v>
      </c>
      <c r="B1362" t="s">
        <v>73</v>
      </c>
      <c r="C1362" t="s">
        <v>74</v>
      </c>
      <c r="E1362" t="str">
        <f>"080065369967"</f>
        <v>080065369967</v>
      </c>
      <c r="F1362" s="3">
        <v>45791</v>
      </c>
      <c r="G1362">
        <v>202602</v>
      </c>
      <c r="H1362" t="s">
        <v>75</v>
      </c>
      <c r="I1362" t="s">
        <v>76</v>
      </c>
      <c r="J1362" t="s">
        <v>77</v>
      </c>
      <c r="K1362" t="s">
        <v>78</v>
      </c>
      <c r="L1362" t="s">
        <v>90</v>
      </c>
      <c r="M1362" t="s">
        <v>91</v>
      </c>
      <c r="N1362" t="s">
        <v>92</v>
      </c>
      <c r="O1362" t="s">
        <v>82</v>
      </c>
      <c r="P1362" t="str">
        <f>"4170038317                    "</f>
        <v xml:space="preserve">4170038317                    </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0</v>
      </c>
      <c r="AL1362">
        <v>0</v>
      </c>
      <c r="AM1362">
        <v>0</v>
      </c>
      <c r="AN1362">
        <v>0</v>
      </c>
      <c r="AO1362">
        <v>0</v>
      </c>
      <c r="AP1362">
        <v>0</v>
      </c>
      <c r="AQ1362">
        <v>21.38</v>
      </c>
      <c r="AR1362">
        <v>0</v>
      </c>
      <c r="AS1362">
        <v>0</v>
      </c>
      <c r="AT1362">
        <v>0</v>
      </c>
      <c r="AU1362">
        <v>0</v>
      </c>
      <c r="AV1362">
        <v>0</v>
      </c>
      <c r="AW1362">
        <v>0</v>
      </c>
      <c r="AX1362">
        <v>0</v>
      </c>
      <c r="AY1362">
        <v>0</v>
      </c>
      <c r="AZ1362">
        <v>0</v>
      </c>
      <c r="BA1362">
        <v>0</v>
      </c>
      <c r="BB1362">
        <v>0</v>
      </c>
      <c r="BC1362">
        <v>0</v>
      </c>
      <c r="BD1362">
        <v>0</v>
      </c>
      <c r="BE1362">
        <v>0</v>
      </c>
      <c r="BF1362">
        <v>0</v>
      </c>
      <c r="BG1362">
        <v>0</v>
      </c>
      <c r="BH1362">
        <v>1</v>
      </c>
      <c r="BI1362">
        <v>1</v>
      </c>
      <c r="BJ1362">
        <v>0.2</v>
      </c>
      <c r="BK1362">
        <v>1</v>
      </c>
      <c r="BL1362">
        <v>69.98</v>
      </c>
      <c r="BM1362">
        <v>10.5</v>
      </c>
      <c r="BN1362">
        <v>80.48</v>
      </c>
      <c r="BO1362">
        <v>80.48</v>
      </c>
      <c r="BQ1362" t="s">
        <v>93</v>
      </c>
      <c r="BR1362" t="s">
        <v>84</v>
      </c>
      <c r="BS1362" s="3">
        <v>45792</v>
      </c>
      <c r="BT1362" s="4">
        <v>0.39305555555555555</v>
      </c>
      <c r="BU1362" t="s">
        <v>2033</v>
      </c>
      <c r="BV1362" t="s">
        <v>86</v>
      </c>
      <c r="BY1362">
        <v>1200</v>
      </c>
      <c r="CA1362" t="s">
        <v>95</v>
      </c>
      <c r="CC1362" t="s">
        <v>91</v>
      </c>
      <c r="CD1362">
        <v>6001</v>
      </c>
      <c r="CE1362" t="s">
        <v>2035</v>
      </c>
      <c r="CF1362" s="3">
        <v>45792</v>
      </c>
      <c r="CI1362">
        <v>1</v>
      </c>
      <c r="CJ1362">
        <v>1</v>
      </c>
      <c r="CK1362">
        <v>21</v>
      </c>
      <c r="CL1362" t="s">
        <v>89</v>
      </c>
    </row>
    <row r="1363" spans="1:90" x14ac:dyDescent="0.3">
      <c r="A1363" t="s">
        <v>72</v>
      </c>
      <c r="B1363" t="s">
        <v>73</v>
      </c>
      <c r="C1363" t="s">
        <v>74</v>
      </c>
      <c r="E1363" t="str">
        <f>"080065369999"</f>
        <v>080065369999</v>
      </c>
      <c r="F1363" s="3">
        <v>45791</v>
      </c>
      <c r="G1363">
        <v>202602</v>
      </c>
      <c r="H1363" t="s">
        <v>75</v>
      </c>
      <c r="I1363" t="s">
        <v>76</v>
      </c>
      <c r="J1363" t="s">
        <v>77</v>
      </c>
      <c r="K1363" t="s">
        <v>78</v>
      </c>
      <c r="L1363" t="s">
        <v>311</v>
      </c>
      <c r="M1363" t="s">
        <v>312</v>
      </c>
      <c r="N1363" t="s">
        <v>2036</v>
      </c>
      <c r="O1363" t="s">
        <v>602</v>
      </c>
      <c r="P1363" t="str">
        <f>"4170038234                    "</f>
        <v xml:space="preserve">4170038234                    </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0</v>
      </c>
      <c r="AK1363">
        <v>0</v>
      </c>
      <c r="AL1363">
        <v>0</v>
      </c>
      <c r="AM1363">
        <v>0</v>
      </c>
      <c r="AN1363">
        <v>0</v>
      </c>
      <c r="AO1363">
        <v>0</v>
      </c>
      <c r="AP1363">
        <v>0</v>
      </c>
      <c r="AQ1363">
        <v>31.7</v>
      </c>
      <c r="AR1363">
        <v>0</v>
      </c>
      <c r="AS1363">
        <v>0</v>
      </c>
      <c r="AT1363">
        <v>0</v>
      </c>
      <c r="AU1363">
        <v>0</v>
      </c>
      <c r="AV1363">
        <v>0</v>
      </c>
      <c r="AW1363">
        <v>0</v>
      </c>
      <c r="AX1363">
        <v>0</v>
      </c>
      <c r="AY1363">
        <v>0</v>
      </c>
      <c r="AZ1363">
        <v>0</v>
      </c>
      <c r="BA1363">
        <v>0</v>
      </c>
      <c r="BB1363">
        <v>0</v>
      </c>
      <c r="BC1363">
        <v>0</v>
      </c>
      <c r="BD1363">
        <v>0</v>
      </c>
      <c r="BE1363">
        <v>0</v>
      </c>
      <c r="BF1363">
        <v>0</v>
      </c>
      <c r="BG1363">
        <v>0</v>
      </c>
      <c r="BH1363">
        <v>2</v>
      </c>
      <c r="BI1363">
        <v>11</v>
      </c>
      <c r="BJ1363">
        <v>15.7</v>
      </c>
      <c r="BK1363">
        <v>16</v>
      </c>
      <c r="BL1363">
        <v>103.75</v>
      </c>
      <c r="BM1363">
        <v>15.56</v>
      </c>
      <c r="BN1363">
        <v>119.31</v>
      </c>
      <c r="BO1363">
        <v>119.31</v>
      </c>
      <c r="BQ1363" t="s">
        <v>2037</v>
      </c>
      <c r="BR1363" t="s">
        <v>84</v>
      </c>
      <c r="BS1363" s="3">
        <v>45792</v>
      </c>
      <c r="BT1363" s="4">
        <v>0.36875000000000002</v>
      </c>
      <c r="BU1363" t="s">
        <v>514</v>
      </c>
      <c r="BV1363" t="s">
        <v>86</v>
      </c>
      <c r="BY1363">
        <v>78304</v>
      </c>
      <c r="CA1363" t="s">
        <v>2038</v>
      </c>
      <c r="CC1363" t="s">
        <v>312</v>
      </c>
      <c r="CD1363">
        <v>1501</v>
      </c>
      <c r="CE1363" t="s">
        <v>96</v>
      </c>
      <c r="CF1363" s="3">
        <v>45792</v>
      </c>
      <c r="CI1363">
        <v>1</v>
      </c>
      <c r="CJ1363">
        <v>1</v>
      </c>
      <c r="CK1363">
        <v>32</v>
      </c>
      <c r="CL1363" t="s">
        <v>89</v>
      </c>
    </row>
    <row r="1364" spans="1:90" x14ac:dyDescent="0.3">
      <c r="A1364" t="s">
        <v>72</v>
      </c>
      <c r="B1364" t="s">
        <v>73</v>
      </c>
      <c r="C1364" t="s">
        <v>74</v>
      </c>
      <c r="E1364" t="str">
        <f>"080065370035"</f>
        <v>080065370035</v>
      </c>
      <c r="F1364" s="3">
        <v>45791</v>
      </c>
      <c r="G1364">
        <v>202602</v>
      </c>
      <c r="H1364" t="s">
        <v>75</v>
      </c>
      <c r="I1364" t="s">
        <v>76</v>
      </c>
      <c r="J1364" t="s">
        <v>77</v>
      </c>
      <c r="K1364" t="s">
        <v>78</v>
      </c>
      <c r="L1364" t="s">
        <v>350</v>
      </c>
      <c r="M1364" t="s">
        <v>351</v>
      </c>
      <c r="N1364" t="s">
        <v>459</v>
      </c>
      <c r="O1364" t="s">
        <v>82</v>
      </c>
      <c r="P1364" t="str">
        <f>"4170038256                    "</f>
        <v xml:space="preserve">4170038256                    </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0</v>
      </c>
      <c r="AL1364">
        <v>0</v>
      </c>
      <c r="AM1364">
        <v>0</v>
      </c>
      <c r="AN1364">
        <v>0</v>
      </c>
      <c r="AO1364">
        <v>0</v>
      </c>
      <c r="AP1364">
        <v>0</v>
      </c>
      <c r="AQ1364">
        <v>37.409999999999997</v>
      </c>
      <c r="AR1364">
        <v>0</v>
      </c>
      <c r="AS1364">
        <v>0</v>
      </c>
      <c r="AT1364">
        <v>0</v>
      </c>
      <c r="AU1364">
        <v>0</v>
      </c>
      <c r="AV1364">
        <v>0</v>
      </c>
      <c r="AW1364">
        <v>0</v>
      </c>
      <c r="AX1364">
        <v>0</v>
      </c>
      <c r="AY1364">
        <v>0</v>
      </c>
      <c r="AZ1364">
        <v>0</v>
      </c>
      <c r="BA1364">
        <v>0</v>
      </c>
      <c r="BB1364">
        <v>0</v>
      </c>
      <c r="BC1364">
        <v>0</v>
      </c>
      <c r="BD1364">
        <v>0</v>
      </c>
      <c r="BE1364">
        <v>0</v>
      </c>
      <c r="BF1364">
        <v>0</v>
      </c>
      <c r="BG1364">
        <v>0</v>
      </c>
      <c r="BH1364">
        <v>1</v>
      </c>
      <c r="BI1364">
        <v>1</v>
      </c>
      <c r="BJ1364">
        <v>3.4</v>
      </c>
      <c r="BK1364">
        <v>3.5</v>
      </c>
      <c r="BL1364">
        <v>122.43</v>
      </c>
      <c r="BM1364">
        <v>18.36</v>
      </c>
      <c r="BN1364">
        <v>140.79</v>
      </c>
      <c r="BO1364">
        <v>140.79</v>
      </c>
      <c r="BQ1364" t="s">
        <v>460</v>
      </c>
      <c r="BR1364" t="s">
        <v>84</v>
      </c>
      <c r="BS1364" s="3">
        <v>45792</v>
      </c>
      <c r="BT1364" s="4">
        <v>0.34513888888888888</v>
      </c>
      <c r="BU1364" t="s">
        <v>1121</v>
      </c>
      <c r="BV1364" t="s">
        <v>86</v>
      </c>
      <c r="BY1364">
        <v>16965</v>
      </c>
      <c r="CA1364" t="s">
        <v>462</v>
      </c>
      <c r="CC1364" t="s">
        <v>351</v>
      </c>
      <c r="CD1364">
        <v>4051</v>
      </c>
      <c r="CE1364" t="s">
        <v>96</v>
      </c>
      <c r="CF1364" s="3">
        <v>45793</v>
      </c>
      <c r="CI1364">
        <v>1</v>
      </c>
      <c r="CJ1364">
        <v>1</v>
      </c>
      <c r="CK1364">
        <v>21</v>
      </c>
      <c r="CL1364" t="s">
        <v>89</v>
      </c>
    </row>
    <row r="1365" spans="1:90" x14ac:dyDescent="0.3">
      <c r="A1365" t="s">
        <v>72</v>
      </c>
      <c r="B1365" t="s">
        <v>73</v>
      </c>
      <c r="C1365" t="s">
        <v>74</v>
      </c>
      <c r="E1365" t="str">
        <f>"080065370059"</f>
        <v>080065370059</v>
      </c>
      <c r="F1365" s="3">
        <v>45791</v>
      </c>
      <c r="G1365">
        <v>202602</v>
      </c>
      <c r="H1365" t="s">
        <v>75</v>
      </c>
      <c r="I1365" t="s">
        <v>76</v>
      </c>
      <c r="J1365" t="s">
        <v>77</v>
      </c>
      <c r="K1365" t="s">
        <v>78</v>
      </c>
      <c r="L1365" t="s">
        <v>97</v>
      </c>
      <c r="M1365" t="s">
        <v>98</v>
      </c>
      <c r="N1365" t="s">
        <v>1599</v>
      </c>
      <c r="O1365" t="s">
        <v>82</v>
      </c>
      <c r="P1365" t="str">
        <f>"4170038267                    "</f>
        <v xml:space="preserve">4170038267                    </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16.7</v>
      </c>
      <c r="AR1365">
        <v>0</v>
      </c>
      <c r="AS1365">
        <v>0</v>
      </c>
      <c r="AT1365">
        <v>0</v>
      </c>
      <c r="AU1365">
        <v>0</v>
      </c>
      <c r="AV1365">
        <v>0</v>
      </c>
      <c r="AW1365">
        <v>0</v>
      </c>
      <c r="AX1365">
        <v>0</v>
      </c>
      <c r="AY1365">
        <v>0</v>
      </c>
      <c r="AZ1365">
        <v>0</v>
      </c>
      <c r="BA1365">
        <v>0</v>
      </c>
      <c r="BB1365">
        <v>0</v>
      </c>
      <c r="BC1365">
        <v>0</v>
      </c>
      <c r="BD1365">
        <v>0</v>
      </c>
      <c r="BE1365">
        <v>0</v>
      </c>
      <c r="BF1365">
        <v>0</v>
      </c>
      <c r="BG1365">
        <v>0</v>
      </c>
      <c r="BH1365">
        <v>1</v>
      </c>
      <c r="BI1365">
        <v>2</v>
      </c>
      <c r="BJ1365">
        <v>1.9</v>
      </c>
      <c r="BK1365">
        <v>2</v>
      </c>
      <c r="BL1365">
        <v>54.66</v>
      </c>
      <c r="BM1365">
        <v>8.1999999999999993</v>
      </c>
      <c r="BN1365">
        <v>62.86</v>
      </c>
      <c r="BO1365">
        <v>62.86</v>
      </c>
      <c r="BQ1365" t="s">
        <v>1600</v>
      </c>
      <c r="BR1365" t="s">
        <v>84</v>
      </c>
      <c r="BS1365" s="3">
        <v>45792</v>
      </c>
      <c r="BT1365" s="4">
        <v>0.34305555555555556</v>
      </c>
      <c r="BU1365" t="s">
        <v>2039</v>
      </c>
      <c r="BV1365" t="s">
        <v>86</v>
      </c>
      <c r="BY1365">
        <v>9600</v>
      </c>
      <c r="CA1365" t="s">
        <v>175</v>
      </c>
      <c r="CC1365" t="s">
        <v>98</v>
      </c>
      <c r="CD1365">
        <v>1460</v>
      </c>
      <c r="CE1365" t="s">
        <v>96</v>
      </c>
      <c r="CF1365" s="3">
        <v>45793</v>
      </c>
      <c r="CI1365">
        <v>1</v>
      </c>
      <c r="CJ1365">
        <v>1</v>
      </c>
      <c r="CK1365">
        <v>22</v>
      </c>
      <c r="CL1365" t="s">
        <v>89</v>
      </c>
    </row>
    <row r="1366" spans="1:90" x14ac:dyDescent="0.3">
      <c r="A1366" t="s">
        <v>72</v>
      </c>
      <c r="B1366" t="s">
        <v>73</v>
      </c>
      <c r="C1366" t="s">
        <v>74</v>
      </c>
      <c r="E1366" t="str">
        <f>"080065370267"</f>
        <v>080065370267</v>
      </c>
      <c r="F1366" s="3">
        <v>45791</v>
      </c>
      <c r="G1366">
        <v>202602</v>
      </c>
      <c r="H1366" t="s">
        <v>75</v>
      </c>
      <c r="I1366" t="s">
        <v>76</v>
      </c>
      <c r="J1366" t="s">
        <v>77</v>
      </c>
      <c r="K1366" t="s">
        <v>78</v>
      </c>
      <c r="L1366" t="s">
        <v>136</v>
      </c>
      <c r="M1366" t="s">
        <v>137</v>
      </c>
      <c r="N1366" t="s">
        <v>1090</v>
      </c>
      <c r="O1366" t="s">
        <v>300</v>
      </c>
      <c r="P1366" t="str">
        <f>"4170038315                    "</f>
        <v xml:space="preserve">4170038315                    </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0</v>
      </c>
      <c r="AL1366">
        <v>0</v>
      </c>
      <c r="AM1366">
        <v>0</v>
      </c>
      <c r="AN1366">
        <v>0</v>
      </c>
      <c r="AO1366">
        <v>0</v>
      </c>
      <c r="AP1366">
        <v>0</v>
      </c>
      <c r="AQ1366">
        <v>41.35</v>
      </c>
      <c r="AR1366">
        <v>0</v>
      </c>
      <c r="AS1366">
        <v>0</v>
      </c>
      <c r="AT1366">
        <v>0</v>
      </c>
      <c r="AU1366">
        <v>0</v>
      </c>
      <c r="AV1366">
        <v>0</v>
      </c>
      <c r="AW1366">
        <v>0</v>
      </c>
      <c r="AX1366">
        <v>0</v>
      </c>
      <c r="AY1366">
        <v>0</v>
      </c>
      <c r="AZ1366">
        <v>0</v>
      </c>
      <c r="BA1366">
        <v>0</v>
      </c>
      <c r="BB1366">
        <v>0</v>
      </c>
      <c r="BC1366">
        <v>0</v>
      </c>
      <c r="BD1366">
        <v>0</v>
      </c>
      <c r="BE1366">
        <v>0</v>
      </c>
      <c r="BF1366">
        <v>0</v>
      </c>
      <c r="BG1366">
        <v>0</v>
      </c>
      <c r="BH1366">
        <v>1</v>
      </c>
      <c r="BI1366">
        <v>8</v>
      </c>
      <c r="BJ1366">
        <v>3.4</v>
      </c>
      <c r="BK1366">
        <v>8</v>
      </c>
      <c r="BL1366">
        <v>140.9</v>
      </c>
      <c r="BM1366">
        <v>21.14</v>
      </c>
      <c r="BN1366">
        <v>162.04</v>
      </c>
      <c r="BO1366">
        <v>162.04</v>
      </c>
      <c r="BQ1366" t="s">
        <v>1091</v>
      </c>
      <c r="BR1366" t="s">
        <v>84</v>
      </c>
      <c r="BS1366" s="3">
        <v>45792</v>
      </c>
      <c r="BT1366" s="4">
        <v>0.42638888888888887</v>
      </c>
      <c r="BU1366" t="s">
        <v>1092</v>
      </c>
      <c r="BV1366" t="s">
        <v>86</v>
      </c>
      <c r="BY1366">
        <v>16965</v>
      </c>
      <c r="CA1366" t="s">
        <v>1093</v>
      </c>
      <c r="CC1366" t="s">
        <v>137</v>
      </c>
      <c r="CD1366" s="5" t="s">
        <v>738</v>
      </c>
      <c r="CE1366" t="s">
        <v>96</v>
      </c>
      <c r="CF1366" s="3">
        <v>45792</v>
      </c>
      <c r="CI1366">
        <v>1</v>
      </c>
      <c r="CJ1366">
        <v>1</v>
      </c>
      <c r="CK1366">
        <v>41</v>
      </c>
      <c r="CL1366" t="s">
        <v>89</v>
      </c>
    </row>
    <row r="1367" spans="1:90" x14ac:dyDescent="0.3">
      <c r="A1367" t="s">
        <v>72</v>
      </c>
      <c r="B1367" t="s">
        <v>73</v>
      </c>
      <c r="C1367" t="s">
        <v>74</v>
      </c>
      <c r="E1367" t="str">
        <f>"080065370280"</f>
        <v>080065370280</v>
      </c>
      <c r="F1367" s="3">
        <v>45791</v>
      </c>
      <c r="G1367">
        <v>202602</v>
      </c>
      <c r="H1367" t="s">
        <v>75</v>
      </c>
      <c r="I1367" t="s">
        <v>76</v>
      </c>
      <c r="J1367" t="s">
        <v>77</v>
      </c>
      <c r="K1367" t="s">
        <v>78</v>
      </c>
      <c r="L1367" t="s">
        <v>103</v>
      </c>
      <c r="M1367" t="s">
        <v>104</v>
      </c>
      <c r="N1367" t="s">
        <v>105</v>
      </c>
      <c r="O1367" t="s">
        <v>82</v>
      </c>
      <c r="P1367" t="str">
        <f>"4170038316                    "</f>
        <v xml:space="preserve">4170038316                    </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0</v>
      </c>
      <c r="AL1367">
        <v>0</v>
      </c>
      <c r="AM1367">
        <v>0</v>
      </c>
      <c r="AN1367">
        <v>0</v>
      </c>
      <c r="AO1367">
        <v>0</v>
      </c>
      <c r="AP1367">
        <v>0</v>
      </c>
      <c r="AQ1367">
        <v>21.38</v>
      </c>
      <c r="AR1367">
        <v>0</v>
      </c>
      <c r="AS1367">
        <v>0</v>
      </c>
      <c r="AT1367">
        <v>0</v>
      </c>
      <c r="AU1367">
        <v>0</v>
      </c>
      <c r="AV1367">
        <v>0</v>
      </c>
      <c r="AW1367">
        <v>0</v>
      </c>
      <c r="AX1367">
        <v>0</v>
      </c>
      <c r="AY1367">
        <v>0</v>
      </c>
      <c r="AZ1367">
        <v>0</v>
      </c>
      <c r="BA1367">
        <v>0</v>
      </c>
      <c r="BB1367">
        <v>0</v>
      </c>
      <c r="BC1367">
        <v>0</v>
      </c>
      <c r="BD1367">
        <v>0</v>
      </c>
      <c r="BE1367">
        <v>0</v>
      </c>
      <c r="BF1367">
        <v>0</v>
      </c>
      <c r="BG1367">
        <v>0</v>
      </c>
      <c r="BH1367">
        <v>1</v>
      </c>
      <c r="BI1367">
        <v>1</v>
      </c>
      <c r="BJ1367">
        <v>0.2</v>
      </c>
      <c r="BK1367">
        <v>1</v>
      </c>
      <c r="BL1367">
        <v>69.98</v>
      </c>
      <c r="BM1367">
        <v>10.5</v>
      </c>
      <c r="BN1367">
        <v>80.48</v>
      </c>
      <c r="BO1367">
        <v>80.48</v>
      </c>
      <c r="BQ1367" t="s">
        <v>106</v>
      </c>
      <c r="BR1367" t="s">
        <v>84</v>
      </c>
      <c r="BS1367" s="3">
        <v>45792</v>
      </c>
      <c r="BT1367" s="4">
        <v>0.41666666666666669</v>
      </c>
      <c r="BU1367" t="s">
        <v>107</v>
      </c>
      <c r="BV1367" t="s">
        <v>86</v>
      </c>
      <c r="BY1367">
        <v>1200</v>
      </c>
      <c r="CA1367" t="s">
        <v>108</v>
      </c>
      <c r="CC1367" t="s">
        <v>104</v>
      </c>
      <c r="CD1367">
        <v>3201</v>
      </c>
      <c r="CE1367" t="s">
        <v>88</v>
      </c>
      <c r="CF1367" s="3">
        <v>45793</v>
      </c>
      <c r="CI1367">
        <v>1</v>
      </c>
      <c r="CJ1367">
        <v>1</v>
      </c>
      <c r="CK1367">
        <v>21</v>
      </c>
      <c r="CL1367" t="s">
        <v>89</v>
      </c>
    </row>
    <row r="1368" spans="1:90" x14ac:dyDescent="0.3">
      <c r="A1368" t="s">
        <v>72</v>
      </c>
      <c r="B1368" t="s">
        <v>73</v>
      </c>
      <c r="C1368" t="s">
        <v>74</v>
      </c>
      <c r="E1368" t="str">
        <f>"080065370374"</f>
        <v>080065370374</v>
      </c>
      <c r="F1368" s="3">
        <v>45791</v>
      </c>
      <c r="G1368">
        <v>202602</v>
      </c>
      <c r="H1368" t="s">
        <v>75</v>
      </c>
      <c r="I1368" t="s">
        <v>76</v>
      </c>
      <c r="J1368" t="s">
        <v>77</v>
      </c>
      <c r="K1368" t="s">
        <v>78</v>
      </c>
      <c r="L1368" t="s">
        <v>117</v>
      </c>
      <c r="M1368" t="s">
        <v>118</v>
      </c>
      <c r="N1368" t="s">
        <v>1445</v>
      </c>
      <c r="O1368" t="s">
        <v>82</v>
      </c>
      <c r="P1368" t="str">
        <f>"4170038285                    "</f>
        <v xml:space="preserve">4170038285                    </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c r="AJ1368">
        <v>0</v>
      </c>
      <c r="AK1368">
        <v>0</v>
      </c>
      <c r="AL1368">
        <v>0</v>
      </c>
      <c r="AM1368">
        <v>0</v>
      </c>
      <c r="AN1368">
        <v>0</v>
      </c>
      <c r="AO1368">
        <v>0</v>
      </c>
      <c r="AP1368">
        <v>0</v>
      </c>
      <c r="AQ1368">
        <v>21.38</v>
      </c>
      <c r="AR1368">
        <v>0</v>
      </c>
      <c r="AS1368">
        <v>0</v>
      </c>
      <c r="AT1368">
        <v>0</v>
      </c>
      <c r="AU1368">
        <v>0</v>
      </c>
      <c r="AV1368">
        <v>0</v>
      </c>
      <c r="AW1368">
        <v>16.739999999999998</v>
      </c>
      <c r="AX1368">
        <v>0</v>
      </c>
      <c r="AY1368">
        <v>0</v>
      </c>
      <c r="AZ1368">
        <v>0</v>
      </c>
      <c r="BA1368">
        <v>0</v>
      </c>
      <c r="BB1368">
        <v>0</v>
      </c>
      <c r="BC1368">
        <v>0</v>
      </c>
      <c r="BD1368">
        <v>0</v>
      </c>
      <c r="BE1368">
        <v>0</v>
      </c>
      <c r="BF1368">
        <v>0</v>
      </c>
      <c r="BG1368">
        <v>0</v>
      </c>
      <c r="BH1368">
        <v>1</v>
      </c>
      <c r="BI1368">
        <v>1</v>
      </c>
      <c r="BJ1368">
        <v>0.2</v>
      </c>
      <c r="BK1368">
        <v>1</v>
      </c>
      <c r="BL1368">
        <v>86.72</v>
      </c>
      <c r="BM1368">
        <v>13.01</v>
      </c>
      <c r="BN1368">
        <v>99.73</v>
      </c>
      <c r="BO1368">
        <v>99.73</v>
      </c>
      <c r="BQ1368" t="s">
        <v>1446</v>
      </c>
      <c r="BR1368" t="s">
        <v>84</v>
      </c>
      <c r="BS1368" s="3">
        <v>45792</v>
      </c>
      <c r="BT1368" s="4">
        <v>0.63263888888888886</v>
      </c>
      <c r="BU1368" t="s">
        <v>2040</v>
      </c>
      <c r="BV1368" t="s">
        <v>86</v>
      </c>
      <c r="BY1368">
        <v>1200</v>
      </c>
      <c r="BZ1368" t="s">
        <v>30</v>
      </c>
      <c r="CA1368" t="s">
        <v>2041</v>
      </c>
      <c r="CC1368" t="s">
        <v>118</v>
      </c>
      <c r="CD1368">
        <v>1811</v>
      </c>
      <c r="CE1368" t="s">
        <v>88</v>
      </c>
      <c r="CF1368" s="3">
        <v>45793</v>
      </c>
      <c r="CI1368">
        <v>0</v>
      </c>
      <c r="CJ1368">
        <v>0</v>
      </c>
      <c r="CK1368">
        <v>21</v>
      </c>
      <c r="CL1368" t="s">
        <v>89</v>
      </c>
    </row>
    <row r="1369" spans="1:90" x14ac:dyDescent="0.3">
      <c r="A1369" t="s">
        <v>72</v>
      </c>
      <c r="B1369" t="s">
        <v>73</v>
      </c>
      <c r="C1369" t="s">
        <v>74</v>
      </c>
      <c r="E1369" t="str">
        <f>"080065370397"</f>
        <v>080065370397</v>
      </c>
      <c r="F1369" s="3">
        <v>45791</v>
      </c>
      <c r="G1369">
        <v>202602</v>
      </c>
      <c r="H1369" t="s">
        <v>75</v>
      </c>
      <c r="I1369" t="s">
        <v>76</v>
      </c>
      <c r="J1369" t="s">
        <v>77</v>
      </c>
      <c r="K1369" t="s">
        <v>78</v>
      </c>
      <c r="L1369" t="s">
        <v>90</v>
      </c>
      <c r="M1369" t="s">
        <v>91</v>
      </c>
      <c r="N1369" t="s">
        <v>1835</v>
      </c>
      <c r="O1369" t="s">
        <v>82</v>
      </c>
      <c r="P1369" t="str">
        <f>"4170038292                    "</f>
        <v xml:space="preserve">4170038292                    </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21.38</v>
      </c>
      <c r="AR1369">
        <v>0</v>
      </c>
      <c r="AS1369">
        <v>0</v>
      </c>
      <c r="AT1369">
        <v>0</v>
      </c>
      <c r="AU1369">
        <v>0</v>
      </c>
      <c r="AV1369">
        <v>0</v>
      </c>
      <c r="AW1369">
        <v>0</v>
      </c>
      <c r="AX1369">
        <v>0</v>
      </c>
      <c r="AY1369">
        <v>0</v>
      </c>
      <c r="AZ1369">
        <v>0</v>
      </c>
      <c r="BA1369">
        <v>0</v>
      </c>
      <c r="BB1369">
        <v>0</v>
      </c>
      <c r="BC1369">
        <v>0</v>
      </c>
      <c r="BD1369">
        <v>0</v>
      </c>
      <c r="BE1369">
        <v>0</v>
      </c>
      <c r="BF1369">
        <v>0</v>
      </c>
      <c r="BG1369">
        <v>0</v>
      </c>
      <c r="BH1369">
        <v>1</v>
      </c>
      <c r="BI1369">
        <v>1</v>
      </c>
      <c r="BJ1369">
        <v>0.2</v>
      </c>
      <c r="BK1369">
        <v>1</v>
      </c>
      <c r="BL1369">
        <v>69.98</v>
      </c>
      <c r="BM1369">
        <v>10.5</v>
      </c>
      <c r="BN1369">
        <v>80.48</v>
      </c>
      <c r="BO1369">
        <v>80.48</v>
      </c>
      <c r="BQ1369" t="s">
        <v>1836</v>
      </c>
      <c r="BR1369" t="s">
        <v>84</v>
      </c>
      <c r="BS1369" s="3">
        <v>45792</v>
      </c>
      <c r="BT1369" s="4">
        <v>0.43541666666666667</v>
      </c>
      <c r="BU1369" t="s">
        <v>970</v>
      </c>
      <c r="BV1369" t="s">
        <v>86</v>
      </c>
      <c r="BY1369">
        <v>1200</v>
      </c>
      <c r="CA1369" t="s">
        <v>298</v>
      </c>
      <c r="CC1369" t="s">
        <v>91</v>
      </c>
      <c r="CD1369">
        <v>6001</v>
      </c>
      <c r="CE1369" t="s">
        <v>88</v>
      </c>
      <c r="CF1369" s="3">
        <v>45792</v>
      </c>
      <c r="CI1369">
        <v>1</v>
      </c>
      <c r="CJ1369">
        <v>1</v>
      </c>
      <c r="CK1369">
        <v>21</v>
      </c>
      <c r="CL1369" t="s">
        <v>89</v>
      </c>
    </row>
    <row r="1370" spans="1:90" x14ac:dyDescent="0.3">
      <c r="A1370" t="s">
        <v>72</v>
      </c>
      <c r="B1370" t="s">
        <v>73</v>
      </c>
      <c r="C1370" t="s">
        <v>74</v>
      </c>
      <c r="E1370" t="str">
        <f>"080065370409"</f>
        <v>080065370409</v>
      </c>
      <c r="F1370" s="3">
        <v>45791</v>
      </c>
      <c r="G1370">
        <v>202602</v>
      </c>
      <c r="H1370" t="s">
        <v>75</v>
      </c>
      <c r="I1370" t="s">
        <v>76</v>
      </c>
      <c r="J1370" t="s">
        <v>77</v>
      </c>
      <c r="K1370" t="s">
        <v>78</v>
      </c>
      <c r="L1370" t="s">
        <v>79</v>
      </c>
      <c r="M1370" t="s">
        <v>80</v>
      </c>
      <c r="N1370" t="s">
        <v>157</v>
      </c>
      <c r="O1370" t="s">
        <v>82</v>
      </c>
      <c r="P1370" t="str">
        <f>"4170038429                    "</f>
        <v xml:space="preserve">4170038429                    </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0</v>
      </c>
      <c r="AL1370">
        <v>0</v>
      </c>
      <c r="AM1370">
        <v>0</v>
      </c>
      <c r="AN1370">
        <v>0</v>
      </c>
      <c r="AO1370">
        <v>0</v>
      </c>
      <c r="AP1370">
        <v>0</v>
      </c>
      <c r="AQ1370">
        <v>21.38</v>
      </c>
      <c r="AR1370">
        <v>0</v>
      </c>
      <c r="AS1370">
        <v>0</v>
      </c>
      <c r="AT1370">
        <v>0</v>
      </c>
      <c r="AU1370">
        <v>0</v>
      </c>
      <c r="AV1370">
        <v>0</v>
      </c>
      <c r="AW1370">
        <v>0</v>
      </c>
      <c r="AX1370">
        <v>0</v>
      </c>
      <c r="AY1370">
        <v>0</v>
      </c>
      <c r="AZ1370">
        <v>0</v>
      </c>
      <c r="BA1370">
        <v>0</v>
      </c>
      <c r="BB1370">
        <v>0</v>
      </c>
      <c r="BC1370">
        <v>0</v>
      </c>
      <c r="BD1370">
        <v>0</v>
      </c>
      <c r="BE1370">
        <v>0</v>
      </c>
      <c r="BF1370">
        <v>0</v>
      </c>
      <c r="BG1370">
        <v>0</v>
      </c>
      <c r="BH1370">
        <v>1</v>
      </c>
      <c r="BI1370">
        <v>1</v>
      </c>
      <c r="BJ1370">
        <v>0.2</v>
      </c>
      <c r="BK1370">
        <v>1</v>
      </c>
      <c r="BL1370">
        <v>69.98</v>
      </c>
      <c r="BM1370">
        <v>10.5</v>
      </c>
      <c r="BN1370">
        <v>80.48</v>
      </c>
      <c r="BO1370">
        <v>80.48</v>
      </c>
      <c r="BQ1370" t="s">
        <v>158</v>
      </c>
      <c r="BR1370" t="s">
        <v>84</v>
      </c>
      <c r="BS1370" s="3">
        <v>45792</v>
      </c>
      <c r="BT1370" s="4">
        <v>0.46180555555555558</v>
      </c>
      <c r="BU1370" t="s">
        <v>159</v>
      </c>
      <c r="BV1370" t="s">
        <v>86</v>
      </c>
      <c r="BY1370">
        <v>1200</v>
      </c>
      <c r="CA1370" t="s">
        <v>160</v>
      </c>
      <c r="CC1370" t="s">
        <v>80</v>
      </c>
      <c r="CD1370">
        <v>3610</v>
      </c>
      <c r="CE1370" t="s">
        <v>88</v>
      </c>
      <c r="CF1370" s="3">
        <v>45793</v>
      </c>
      <c r="CI1370">
        <v>1</v>
      </c>
      <c r="CJ1370">
        <v>1</v>
      </c>
      <c r="CK1370">
        <v>21</v>
      </c>
      <c r="CL1370" t="s">
        <v>89</v>
      </c>
    </row>
    <row r="1371" spans="1:90" x14ac:dyDescent="0.3">
      <c r="A1371" t="s">
        <v>72</v>
      </c>
      <c r="B1371" t="s">
        <v>73</v>
      </c>
      <c r="C1371" t="s">
        <v>74</v>
      </c>
      <c r="E1371" t="str">
        <f>"080065370416"</f>
        <v>080065370416</v>
      </c>
      <c r="F1371" s="3">
        <v>45791</v>
      </c>
      <c r="G1371">
        <v>202602</v>
      </c>
      <c r="H1371" t="s">
        <v>75</v>
      </c>
      <c r="I1371" t="s">
        <v>76</v>
      </c>
      <c r="J1371" t="s">
        <v>77</v>
      </c>
      <c r="K1371" t="s">
        <v>78</v>
      </c>
      <c r="L1371" t="s">
        <v>75</v>
      </c>
      <c r="M1371" t="s">
        <v>76</v>
      </c>
      <c r="N1371" t="s">
        <v>601</v>
      </c>
      <c r="O1371" t="s">
        <v>82</v>
      </c>
      <c r="P1371" t="str">
        <f>"4170038345                    "</f>
        <v xml:space="preserve">4170038345                    </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0</v>
      </c>
      <c r="AK1371">
        <v>0</v>
      </c>
      <c r="AL1371">
        <v>0</v>
      </c>
      <c r="AM1371">
        <v>0</v>
      </c>
      <c r="AN1371">
        <v>0</v>
      </c>
      <c r="AO1371">
        <v>0</v>
      </c>
      <c r="AP1371">
        <v>0</v>
      </c>
      <c r="AQ1371">
        <v>16.7</v>
      </c>
      <c r="AR1371">
        <v>0</v>
      </c>
      <c r="AS1371">
        <v>0</v>
      </c>
      <c r="AT1371">
        <v>0</v>
      </c>
      <c r="AU1371">
        <v>0</v>
      </c>
      <c r="AV1371">
        <v>0</v>
      </c>
      <c r="AW1371">
        <v>0</v>
      </c>
      <c r="AX1371">
        <v>0</v>
      </c>
      <c r="AY1371">
        <v>0</v>
      </c>
      <c r="AZ1371">
        <v>0</v>
      </c>
      <c r="BA1371">
        <v>0</v>
      </c>
      <c r="BB1371">
        <v>0</v>
      </c>
      <c r="BC1371">
        <v>0</v>
      </c>
      <c r="BD1371">
        <v>0</v>
      </c>
      <c r="BE1371">
        <v>0</v>
      </c>
      <c r="BF1371">
        <v>0</v>
      </c>
      <c r="BG1371">
        <v>0</v>
      </c>
      <c r="BH1371">
        <v>1</v>
      </c>
      <c r="BI1371">
        <v>1</v>
      </c>
      <c r="BJ1371">
        <v>0.2</v>
      </c>
      <c r="BK1371">
        <v>1</v>
      </c>
      <c r="BL1371">
        <v>54.66</v>
      </c>
      <c r="BM1371">
        <v>8.1999999999999993</v>
      </c>
      <c r="BN1371">
        <v>62.86</v>
      </c>
      <c r="BO1371">
        <v>62.86</v>
      </c>
      <c r="BQ1371" t="s">
        <v>603</v>
      </c>
      <c r="BR1371" t="s">
        <v>84</v>
      </c>
      <c r="BS1371" s="3">
        <v>45792</v>
      </c>
      <c r="BT1371" s="4">
        <v>0.33333333333333331</v>
      </c>
      <c r="BU1371" t="s">
        <v>604</v>
      </c>
      <c r="BV1371" t="s">
        <v>86</v>
      </c>
      <c r="BY1371">
        <v>1200</v>
      </c>
      <c r="CA1371" t="s">
        <v>605</v>
      </c>
      <c r="CC1371" t="s">
        <v>76</v>
      </c>
      <c r="CD1371">
        <v>1645</v>
      </c>
      <c r="CE1371" t="s">
        <v>88</v>
      </c>
      <c r="CF1371" s="3">
        <v>45792</v>
      </c>
      <c r="CI1371">
        <v>1</v>
      </c>
      <c r="CJ1371">
        <v>1</v>
      </c>
      <c r="CK1371">
        <v>22</v>
      </c>
      <c r="CL1371" t="s">
        <v>89</v>
      </c>
    </row>
    <row r="1372" spans="1:90" x14ac:dyDescent="0.3">
      <c r="A1372" t="s">
        <v>72</v>
      </c>
      <c r="B1372" t="s">
        <v>73</v>
      </c>
      <c r="C1372" t="s">
        <v>74</v>
      </c>
      <c r="E1372" t="str">
        <f>"080065370422"</f>
        <v>080065370422</v>
      </c>
      <c r="F1372" s="3">
        <v>45791</v>
      </c>
      <c r="G1372">
        <v>202602</v>
      </c>
      <c r="H1372" t="s">
        <v>75</v>
      </c>
      <c r="I1372" t="s">
        <v>76</v>
      </c>
      <c r="J1372" t="s">
        <v>77</v>
      </c>
      <c r="K1372" t="s">
        <v>78</v>
      </c>
      <c r="L1372" t="s">
        <v>186</v>
      </c>
      <c r="M1372" t="s">
        <v>187</v>
      </c>
      <c r="N1372" t="s">
        <v>188</v>
      </c>
      <c r="O1372" t="s">
        <v>82</v>
      </c>
      <c r="P1372" t="str">
        <f>"4170038296                    "</f>
        <v xml:space="preserve">4170038296                    </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0</v>
      </c>
      <c r="AL1372">
        <v>0</v>
      </c>
      <c r="AM1372">
        <v>0</v>
      </c>
      <c r="AN1372">
        <v>0</v>
      </c>
      <c r="AO1372">
        <v>0</v>
      </c>
      <c r="AP1372">
        <v>0</v>
      </c>
      <c r="AQ1372">
        <v>21.38</v>
      </c>
      <c r="AR1372">
        <v>0</v>
      </c>
      <c r="AS1372">
        <v>0</v>
      </c>
      <c r="AT1372">
        <v>0</v>
      </c>
      <c r="AU1372">
        <v>0</v>
      </c>
      <c r="AV1372">
        <v>0</v>
      </c>
      <c r="AW1372">
        <v>0</v>
      </c>
      <c r="AX1372">
        <v>0</v>
      </c>
      <c r="AY1372">
        <v>0</v>
      </c>
      <c r="AZ1372">
        <v>0</v>
      </c>
      <c r="BA1372">
        <v>0</v>
      </c>
      <c r="BB1372">
        <v>0</v>
      </c>
      <c r="BC1372">
        <v>0</v>
      </c>
      <c r="BD1372">
        <v>0</v>
      </c>
      <c r="BE1372">
        <v>0</v>
      </c>
      <c r="BF1372">
        <v>0</v>
      </c>
      <c r="BG1372">
        <v>0</v>
      </c>
      <c r="BH1372">
        <v>1</v>
      </c>
      <c r="BI1372">
        <v>1</v>
      </c>
      <c r="BJ1372">
        <v>0.2</v>
      </c>
      <c r="BK1372">
        <v>1</v>
      </c>
      <c r="BL1372">
        <v>69.98</v>
      </c>
      <c r="BM1372">
        <v>10.5</v>
      </c>
      <c r="BN1372">
        <v>80.48</v>
      </c>
      <c r="BO1372">
        <v>80.48</v>
      </c>
      <c r="BQ1372" t="s">
        <v>189</v>
      </c>
      <c r="BR1372" t="s">
        <v>84</v>
      </c>
      <c r="BS1372" s="3">
        <v>45792</v>
      </c>
      <c r="BT1372" s="4">
        <v>0.42430555555555555</v>
      </c>
      <c r="BU1372" t="s">
        <v>1661</v>
      </c>
      <c r="BV1372" t="s">
        <v>86</v>
      </c>
      <c r="BY1372">
        <v>1200</v>
      </c>
      <c r="CA1372" t="s">
        <v>191</v>
      </c>
      <c r="CC1372" t="s">
        <v>187</v>
      </c>
      <c r="CD1372">
        <v>4126</v>
      </c>
      <c r="CE1372" t="s">
        <v>88</v>
      </c>
      <c r="CF1372" s="3">
        <v>45793</v>
      </c>
      <c r="CI1372">
        <v>1</v>
      </c>
      <c r="CJ1372">
        <v>1</v>
      </c>
      <c r="CK1372">
        <v>21</v>
      </c>
      <c r="CL1372" t="s">
        <v>89</v>
      </c>
    </row>
    <row r="1373" spans="1:90" x14ac:dyDescent="0.3">
      <c r="A1373" t="s">
        <v>72</v>
      </c>
      <c r="B1373" t="s">
        <v>73</v>
      </c>
      <c r="C1373" t="s">
        <v>74</v>
      </c>
      <c r="E1373" t="str">
        <f>"080065370438"</f>
        <v>080065370438</v>
      </c>
      <c r="F1373" s="3">
        <v>45791</v>
      </c>
      <c r="G1373">
        <v>202602</v>
      </c>
      <c r="H1373" t="s">
        <v>75</v>
      </c>
      <c r="I1373" t="s">
        <v>76</v>
      </c>
      <c r="J1373" t="s">
        <v>77</v>
      </c>
      <c r="K1373" t="s">
        <v>78</v>
      </c>
      <c r="L1373" t="s">
        <v>672</v>
      </c>
      <c r="M1373" t="s">
        <v>673</v>
      </c>
      <c r="N1373" t="s">
        <v>674</v>
      </c>
      <c r="O1373" t="s">
        <v>82</v>
      </c>
      <c r="P1373" t="str">
        <f>"4170038284                    "</f>
        <v xml:space="preserve">4170038284                    </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v>0</v>
      </c>
      <c r="AL1373">
        <v>0</v>
      </c>
      <c r="AM1373">
        <v>0</v>
      </c>
      <c r="AN1373">
        <v>0</v>
      </c>
      <c r="AO1373">
        <v>0</v>
      </c>
      <c r="AP1373">
        <v>0</v>
      </c>
      <c r="AQ1373">
        <v>41.43</v>
      </c>
      <c r="AR1373">
        <v>0</v>
      </c>
      <c r="AS1373">
        <v>0</v>
      </c>
      <c r="AT1373">
        <v>0</v>
      </c>
      <c r="AU1373">
        <v>0</v>
      </c>
      <c r="AV1373">
        <v>0</v>
      </c>
      <c r="AW1373">
        <v>0</v>
      </c>
      <c r="AX1373">
        <v>0</v>
      </c>
      <c r="AY1373">
        <v>0</v>
      </c>
      <c r="AZ1373">
        <v>0</v>
      </c>
      <c r="BA1373">
        <v>0</v>
      </c>
      <c r="BB1373">
        <v>0</v>
      </c>
      <c r="BC1373">
        <v>0</v>
      </c>
      <c r="BD1373">
        <v>0</v>
      </c>
      <c r="BE1373">
        <v>0</v>
      </c>
      <c r="BF1373">
        <v>0</v>
      </c>
      <c r="BG1373">
        <v>0</v>
      </c>
      <c r="BH1373">
        <v>1</v>
      </c>
      <c r="BI1373">
        <v>1</v>
      </c>
      <c r="BJ1373">
        <v>0.2</v>
      </c>
      <c r="BK1373">
        <v>1</v>
      </c>
      <c r="BL1373">
        <v>135.59</v>
      </c>
      <c r="BM1373">
        <v>20.34</v>
      </c>
      <c r="BN1373">
        <v>155.93</v>
      </c>
      <c r="BO1373">
        <v>155.93</v>
      </c>
      <c r="BQ1373" t="s">
        <v>675</v>
      </c>
      <c r="BR1373" t="s">
        <v>84</v>
      </c>
      <c r="BS1373" s="3">
        <v>45792</v>
      </c>
      <c r="BT1373" s="4">
        <v>0.40416666666666667</v>
      </c>
      <c r="BU1373" t="s">
        <v>1059</v>
      </c>
      <c r="BV1373" t="s">
        <v>86</v>
      </c>
      <c r="BY1373">
        <v>1200</v>
      </c>
      <c r="CA1373" t="s">
        <v>1179</v>
      </c>
      <c r="CC1373" t="s">
        <v>673</v>
      </c>
      <c r="CD1373">
        <v>2531</v>
      </c>
      <c r="CE1373" t="s">
        <v>88</v>
      </c>
      <c r="CF1373" s="3">
        <v>45793</v>
      </c>
      <c r="CI1373">
        <v>1</v>
      </c>
      <c r="CJ1373">
        <v>1</v>
      </c>
      <c r="CK1373">
        <v>23</v>
      </c>
      <c r="CL1373" t="s">
        <v>89</v>
      </c>
    </row>
    <row r="1374" spans="1:90" x14ac:dyDescent="0.3">
      <c r="A1374" t="s">
        <v>72</v>
      </c>
      <c r="B1374" t="s">
        <v>73</v>
      </c>
      <c r="C1374" t="s">
        <v>74</v>
      </c>
      <c r="E1374" t="str">
        <f>"080065370447"</f>
        <v>080065370447</v>
      </c>
      <c r="F1374" s="3">
        <v>45791</v>
      </c>
      <c r="G1374">
        <v>202602</v>
      </c>
      <c r="H1374" t="s">
        <v>75</v>
      </c>
      <c r="I1374" t="s">
        <v>76</v>
      </c>
      <c r="J1374" t="s">
        <v>77</v>
      </c>
      <c r="K1374" t="s">
        <v>78</v>
      </c>
      <c r="L1374" t="s">
        <v>567</v>
      </c>
      <c r="M1374" t="s">
        <v>568</v>
      </c>
      <c r="N1374" t="s">
        <v>963</v>
      </c>
      <c r="O1374" t="s">
        <v>82</v>
      </c>
      <c r="P1374" t="str">
        <f>"4170038290                    "</f>
        <v xml:space="preserve">4170038290                    </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0</v>
      </c>
      <c r="AQ1374">
        <v>41.43</v>
      </c>
      <c r="AR1374">
        <v>0</v>
      </c>
      <c r="AS1374">
        <v>0</v>
      </c>
      <c r="AT1374">
        <v>0</v>
      </c>
      <c r="AU1374">
        <v>0</v>
      </c>
      <c r="AV1374">
        <v>0</v>
      </c>
      <c r="AW1374">
        <v>0</v>
      </c>
      <c r="AX1374">
        <v>0</v>
      </c>
      <c r="AY1374">
        <v>0</v>
      </c>
      <c r="AZ1374">
        <v>0</v>
      </c>
      <c r="BA1374">
        <v>0</v>
      </c>
      <c r="BB1374">
        <v>0</v>
      </c>
      <c r="BC1374">
        <v>0</v>
      </c>
      <c r="BD1374">
        <v>0</v>
      </c>
      <c r="BE1374">
        <v>0</v>
      </c>
      <c r="BF1374">
        <v>0</v>
      </c>
      <c r="BG1374">
        <v>0</v>
      </c>
      <c r="BH1374">
        <v>1</v>
      </c>
      <c r="BI1374">
        <v>1</v>
      </c>
      <c r="BJ1374">
        <v>0.2</v>
      </c>
      <c r="BK1374">
        <v>1</v>
      </c>
      <c r="BL1374">
        <v>135.59</v>
      </c>
      <c r="BM1374">
        <v>20.34</v>
      </c>
      <c r="BN1374">
        <v>155.93</v>
      </c>
      <c r="BO1374">
        <v>155.93</v>
      </c>
      <c r="BQ1374" t="s">
        <v>2042</v>
      </c>
      <c r="BR1374" t="s">
        <v>84</v>
      </c>
      <c r="BS1374" s="3">
        <v>45793</v>
      </c>
      <c r="BT1374" s="4">
        <v>0.43055555555555558</v>
      </c>
      <c r="BU1374" t="s">
        <v>2043</v>
      </c>
      <c r="BV1374" t="s">
        <v>89</v>
      </c>
      <c r="BW1374" t="s">
        <v>148</v>
      </c>
      <c r="BX1374" t="s">
        <v>1290</v>
      </c>
      <c r="BY1374">
        <v>1200</v>
      </c>
      <c r="CA1374" t="s">
        <v>966</v>
      </c>
      <c r="CC1374" t="s">
        <v>568</v>
      </c>
      <c r="CD1374" s="5" t="s">
        <v>573</v>
      </c>
      <c r="CE1374" t="s">
        <v>88</v>
      </c>
      <c r="CF1374" s="3">
        <v>45796</v>
      </c>
      <c r="CI1374">
        <v>1</v>
      </c>
      <c r="CJ1374">
        <v>2</v>
      </c>
      <c r="CK1374">
        <v>23</v>
      </c>
      <c r="CL1374" t="s">
        <v>89</v>
      </c>
    </row>
    <row r="1375" spans="1:90" x14ac:dyDescent="0.3">
      <c r="A1375" t="s">
        <v>72</v>
      </c>
      <c r="B1375" t="s">
        <v>73</v>
      </c>
      <c r="C1375" t="s">
        <v>74</v>
      </c>
      <c r="E1375" t="str">
        <f>"080065370476"</f>
        <v>080065370476</v>
      </c>
      <c r="F1375" s="3">
        <v>45791</v>
      </c>
      <c r="G1375">
        <v>202602</v>
      </c>
      <c r="H1375" t="s">
        <v>75</v>
      </c>
      <c r="I1375" t="s">
        <v>76</v>
      </c>
      <c r="J1375" t="s">
        <v>77</v>
      </c>
      <c r="K1375" t="s">
        <v>78</v>
      </c>
      <c r="L1375" t="s">
        <v>123</v>
      </c>
      <c r="M1375" t="s">
        <v>123</v>
      </c>
      <c r="N1375" t="s">
        <v>1700</v>
      </c>
      <c r="O1375" t="s">
        <v>82</v>
      </c>
      <c r="P1375" t="str">
        <f>"4170038455                    "</f>
        <v xml:space="preserve">4170038455                    </v>
      </c>
      <c r="Q1375">
        <v>0</v>
      </c>
      <c r="R1375">
        <v>0</v>
      </c>
      <c r="S1375">
        <v>0</v>
      </c>
      <c r="T1375">
        <v>0</v>
      </c>
      <c r="U1375">
        <v>0</v>
      </c>
      <c r="V1375">
        <v>0</v>
      </c>
      <c r="W1375">
        <v>0</v>
      </c>
      <c r="X1375">
        <v>0</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41.43</v>
      </c>
      <c r="AR1375">
        <v>0</v>
      </c>
      <c r="AS1375">
        <v>0</v>
      </c>
      <c r="AT1375">
        <v>0</v>
      </c>
      <c r="AU1375">
        <v>0</v>
      </c>
      <c r="AV1375">
        <v>0</v>
      </c>
      <c r="AW1375">
        <v>0</v>
      </c>
      <c r="AX1375">
        <v>0</v>
      </c>
      <c r="AY1375">
        <v>0</v>
      </c>
      <c r="AZ1375">
        <v>0</v>
      </c>
      <c r="BA1375">
        <v>0</v>
      </c>
      <c r="BB1375">
        <v>0</v>
      </c>
      <c r="BC1375">
        <v>0</v>
      </c>
      <c r="BD1375">
        <v>0</v>
      </c>
      <c r="BE1375">
        <v>0</v>
      </c>
      <c r="BF1375">
        <v>0</v>
      </c>
      <c r="BG1375">
        <v>0</v>
      </c>
      <c r="BH1375">
        <v>1</v>
      </c>
      <c r="BI1375">
        <v>1</v>
      </c>
      <c r="BJ1375">
        <v>0.2</v>
      </c>
      <c r="BK1375">
        <v>1</v>
      </c>
      <c r="BL1375">
        <v>135.59</v>
      </c>
      <c r="BM1375">
        <v>20.34</v>
      </c>
      <c r="BN1375">
        <v>155.93</v>
      </c>
      <c r="BO1375">
        <v>155.93</v>
      </c>
      <c r="BQ1375" t="s">
        <v>1701</v>
      </c>
      <c r="BR1375" t="s">
        <v>84</v>
      </c>
      <c r="BS1375" s="3">
        <v>45792</v>
      </c>
      <c r="BT1375" s="4">
        <v>0.41666666666666669</v>
      </c>
      <c r="BU1375" t="s">
        <v>768</v>
      </c>
      <c r="BV1375" t="s">
        <v>86</v>
      </c>
      <c r="BY1375">
        <v>1200</v>
      </c>
      <c r="CA1375" t="s">
        <v>2044</v>
      </c>
      <c r="CC1375" t="s">
        <v>123</v>
      </c>
      <c r="CD1375">
        <v>7646</v>
      </c>
      <c r="CE1375" t="s">
        <v>88</v>
      </c>
      <c r="CF1375" s="3">
        <v>45793</v>
      </c>
      <c r="CI1375">
        <v>1</v>
      </c>
      <c r="CJ1375">
        <v>1</v>
      </c>
      <c r="CK1375">
        <v>23</v>
      </c>
      <c r="CL1375" t="s">
        <v>89</v>
      </c>
    </row>
    <row r="1376" spans="1:90" x14ac:dyDescent="0.3">
      <c r="A1376" t="s">
        <v>72</v>
      </c>
      <c r="B1376" t="s">
        <v>73</v>
      </c>
      <c r="C1376" t="s">
        <v>74</v>
      </c>
      <c r="E1376" t="str">
        <f>"080065370502"</f>
        <v>080065370502</v>
      </c>
      <c r="F1376" s="3">
        <v>45791</v>
      </c>
      <c r="G1376">
        <v>202602</v>
      </c>
      <c r="H1376" t="s">
        <v>75</v>
      </c>
      <c r="I1376" t="s">
        <v>76</v>
      </c>
      <c r="J1376" t="s">
        <v>77</v>
      </c>
      <c r="K1376" t="s">
        <v>78</v>
      </c>
      <c r="L1376" t="s">
        <v>75</v>
      </c>
      <c r="M1376" t="s">
        <v>76</v>
      </c>
      <c r="N1376" t="s">
        <v>601</v>
      </c>
      <c r="O1376" t="s">
        <v>82</v>
      </c>
      <c r="P1376" t="str">
        <f>"4170038346                    "</f>
        <v xml:space="preserve">4170038346                    </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16.7</v>
      </c>
      <c r="AR1376">
        <v>0</v>
      </c>
      <c r="AS1376">
        <v>0</v>
      </c>
      <c r="AT1376">
        <v>0</v>
      </c>
      <c r="AU1376">
        <v>0</v>
      </c>
      <c r="AV1376">
        <v>0</v>
      </c>
      <c r="AW1376">
        <v>0</v>
      </c>
      <c r="AX1376">
        <v>0</v>
      </c>
      <c r="AY1376">
        <v>0</v>
      </c>
      <c r="AZ1376">
        <v>0</v>
      </c>
      <c r="BA1376">
        <v>0</v>
      </c>
      <c r="BB1376">
        <v>0</v>
      </c>
      <c r="BC1376">
        <v>0</v>
      </c>
      <c r="BD1376">
        <v>0</v>
      </c>
      <c r="BE1376">
        <v>0</v>
      </c>
      <c r="BF1376">
        <v>0</v>
      </c>
      <c r="BG1376">
        <v>0</v>
      </c>
      <c r="BH1376">
        <v>1</v>
      </c>
      <c r="BI1376">
        <v>1</v>
      </c>
      <c r="BJ1376">
        <v>0.2</v>
      </c>
      <c r="BK1376">
        <v>1</v>
      </c>
      <c r="BL1376">
        <v>54.66</v>
      </c>
      <c r="BM1376">
        <v>8.1999999999999993</v>
      </c>
      <c r="BN1376">
        <v>62.86</v>
      </c>
      <c r="BO1376">
        <v>62.86</v>
      </c>
      <c r="BQ1376" t="s">
        <v>603</v>
      </c>
      <c r="BR1376" t="s">
        <v>84</v>
      </c>
      <c r="BS1376" s="3">
        <v>45792</v>
      </c>
      <c r="BT1376" s="4">
        <v>0.33333333333333331</v>
      </c>
      <c r="BU1376" t="s">
        <v>2045</v>
      </c>
      <c r="BV1376" t="s">
        <v>86</v>
      </c>
      <c r="BY1376">
        <v>1200</v>
      </c>
      <c r="CA1376" t="s">
        <v>605</v>
      </c>
      <c r="CC1376" t="s">
        <v>76</v>
      </c>
      <c r="CD1376">
        <v>1645</v>
      </c>
      <c r="CE1376" t="s">
        <v>88</v>
      </c>
      <c r="CF1376" s="3">
        <v>45792</v>
      </c>
      <c r="CI1376">
        <v>1</v>
      </c>
      <c r="CJ1376">
        <v>1</v>
      </c>
      <c r="CK1376">
        <v>22</v>
      </c>
      <c r="CL1376" t="s">
        <v>89</v>
      </c>
    </row>
    <row r="1377" spans="1:90" x14ac:dyDescent="0.3">
      <c r="A1377" t="s">
        <v>72</v>
      </c>
      <c r="B1377" t="s">
        <v>73</v>
      </c>
      <c r="C1377" t="s">
        <v>74</v>
      </c>
      <c r="E1377" t="str">
        <f>"080065370536"</f>
        <v>080065370536</v>
      </c>
      <c r="F1377" s="3">
        <v>45791</v>
      </c>
      <c r="G1377">
        <v>202602</v>
      </c>
      <c r="H1377" t="s">
        <v>75</v>
      </c>
      <c r="I1377" t="s">
        <v>76</v>
      </c>
      <c r="J1377" t="s">
        <v>77</v>
      </c>
      <c r="K1377" t="s">
        <v>78</v>
      </c>
      <c r="L1377" t="s">
        <v>463</v>
      </c>
      <c r="M1377" t="s">
        <v>464</v>
      </c>
      <c r="N1377" t="s">
        <v>744</v>
      </c>
      <c r="O1377" t="s">
        <v>82</v>
      </c>
      <c r="P1377" t="str">
        <f>"4170038354                    "</f>
        <v xml:space="preserve">4170038354                    </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0</v>
      </c>
      <c r="AL1377">
        <v>0</v>
      </c>
      <c r="AM1377">
        <v>0</v>
      </c>
      <c r="AN1377">
        <v>0</v>
      </c>
      <c r="AO1377">
        <v>0</v>
      </c>
      <c r="AP1377">
        <v>0</v>
      </c>
      <c r="AQ1377">
        <v>21.38</v>
      </c>
      <c r="AR1377">
        <v>0</v>
      </c>
      <c r="AS1377">
        <v>0</v>
      </c>
      <c r="AT1377">
        <v>0</v>
      </c>
      <c r="AU1377">
        <v>0</v>
      </c>
      <c r="AV1377">
        <v>0</v>
      </c>
      <c r="AW1377">
        <v>0</v>
      </c>
      <c r="AX1377">
        <v>0</v>
      </c>
      <c r="AY1377">
        <v>0</v>
      </c>
      <c r="AZ1377">
        <v>0</v>
      </c>
      <c r="BA1377">
        <v>0</v>
      </c>
      <c r="BB1377">
        <v>0</v>
      </c>
      <c r="BC1377">
        <v>0</v>
      </c>
      <c r="BD1377">
        <v>0</v>
      </c>
      <c r="BE1377">
        <v>0</v>
      </c>
      <c r="BF1377">
        <v>0</v>
      </c>
      <c r="BG1377">
        <v>0</v>
      </c>
      <c r="BH1377">
        <v>1</v>
      </c>
      <c r="BI1377">
        <v>1</v>
      </c>
      <c r="BJ1377">
        <v>0.2</v>
      </c>
      <c r="BK1377">
        <v>1</v>
      </c>
      <c r="BL1377">
        <v>69.98</v>
      </c>
      <c r="BM1377">
        <v>10.5</v>
      </c>
      <c r="BN1377">
        <v>80.48</v>
      </c>
      <c r="BO1377">
        <v>80.48</v>
      </c>
      <c r="BQ1377" t="s">
        <v>745</v>
      </c>
      <c r="BR1377" t="s">
        <v>84</v>
      </c>
      <c r="BS1377" s="3">
        <v>45792</v>
      </c>
      <c r="BT1377" s="4">
        <v>0.48958333333333331</v>
      </c>
      <c r="BU1377" t="s">
        <v>1775</v>
      </c>
      <c r="BV1377" t="s">
        <v>89</v>
      </c>
      <c r="BY1377">
        <v>1200</v>
      </c>
      <c r="CA1377" t="s">
        <v>1509</v>
      </c>
      <c r="CC1377" t="s">
        <v>464</v>
      </c>
      <c r="CD1377">
        <v>5201</v>
      </c>
      <c r="CE1377" t="s">
        <v>88</v>
      </c>
      <c r="CF1377" s="3">
        <v>45792</v>
      </c>
      <c r="CI1377">
        <v>1</v>
      </c>
      <c r="CJ1377">
        <v>1</v>
      </c>
      <c r="CK1377">
        <v>21</v>
      </c>
      <c r="CL1377" t="s">
        <v>89</v>
      </c>
    </row>
    <row r="1378" spans="1:90" x14ac:dyDescent="0.3">
      <c r="A1378" t="s">
        <v>72</v>
      </c>
      <c r="B1378" t="s">
        <v>73</v>
      </c>
      <c r="C1378" t="s">
        <v>74</v>
      </c>
      <c r="E1378" t="str">
        <f>"080065370558"</f>
        <v>080065370558</v>
      </c>
      <c r="F1378" s="3">
        <v>45791</v>
      </c>
      <c r="G1378">
        <v>202602</v>
      </c>
      <c r="H1378" t="s">
        <v>75</v>
      </c>
      <c r="I1378" t="s">
        <v>76</v>
      </c>
      <c r="J1378" t="s">
        <v>77</v>
      </c>
      <c r="K1378" t="s">
        <v>78</v>
      </c>
      <c r="L1378" t="s">
        <v>844</v>
      </c>
      <c r="M1378" t="s">
        <v>845</v>
      </c>
      <c r="N1378" t="s">
        <v>762</v>
      </c>
      <c r="O1378" t="s">
        <v>82</v>
      </c>
      <c r="P1378" t="str">
        <f>"4170038286                    "</f>
        <v xml:space="preserve">4170038286                    </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0</v>
      </c>
      <c r="AL1378">
        <v>0</v>
      </c>
      <c r="AM1378">
        <v>0</v>
      </c>
      <c r="AN1378">
        <v>0</v>
      </c>
      <c r="AO1378">
        <v>0</v>
      </c>
      <c r="AP1378">
        <v>0</v>
      </c>
      <c r="AQ1378">
        <v>21.38</v>
      </c>
      <c r="AR1378">
        <v>0</v>
      </c>
      <c r="AS1378">
        <v>0</v>
      </c>
      <c r="AT1378">
        <v>0</v>
      </c>
      <c r="AU1378">
        <v>0</v>
      </c>
      <c r="AV1378">
        <v>0</v>
      </c>
      <c r="AW1378">
        <v>0</v>
      </c>
      <c r="AX1378">
        <v>0</v>
      </c>
      <c r="AY1378">
        <v>0</v>
      </c>
      <c r="AZ1378">
        <v>0</v>
      </c>
      <c r="BA1378">
        <v>0</v>
      </c>
      <c r="BB1378">
        <v>0</v>
      </c>
      <c r="BC1378">
        <v>0</v>
      </c>
      <c r="BD1378">
        <v>0</v>
      </c>
      <c r="BE1378">
        <v>0</v>
      </c>
      <c r="BF1378">
        <v>0</v>
      </c>
      <c r="BG1378">
        <v>0</v>
      </c>
      <c r="BH1378">
        <v>1</v>
      </c>
      <c r="BI1378">
        <v>1</v>
      </c>
      <c r="BJ1378">
        <v>0.2</v>
      </c>
      <c r="BK1378">
        <v>1</v>
      </c>
      <c r="BL1378">
        <v>69.98</v>
      </c>
      <c r="BM1378">
        <v>10.5</v>
      </c>
      <c r="BN1378">
        <v>80.48</v>
      </c>
      <c r="BO1378">
        <v>80.48</v>
      </c>
      <c r="BQ1378" t="s">
        <v>763</v>
      </c>
      <c r="BR1378" t="s">
        <v>84</v>
      </c>
      <c r="BS1378" s="3">
        <v>45792</v>
      </c>
      <c r="BT1378" s="4">
        <v>0.41666666666666669</v>
      </c>
      <c r="BU1378" t="s">
        <v>1058</v>
      </c>
      <c r="BV1378" t="s">
        <v>86</v>
      </c>
      <c r="BY1378">
        <v>1200</v>
      </c>
      <c r="CC1378" t="s">
        <v>845</v>
      </c>
      <c r="CD1378">
        <v>7600</v>
      </c>
      <c r="CE1378" t="s">
        <v>88</v>
      </c>
      <c r="CF1378" s="3">
        <v>45793</v>
      </c>
      <c r="CI1378">
        <v>1</v>
      </c>
      <c r="CJ1378">
        <v>1</v>
      </c>
      <c r="CK1378">
        <v>21</v>
      </c>
      <c r="CL1378" t="s">
        <v>89</v>
      </c>
    </row>
    <row r="1379" spans="1:90" x14ac:dyDescent="0.3">
      <c r="A1379" t="s">
        <v>72</v>
      </c>
      <c r="B1379" t="s">
        <v>73</v>
      </c>
      <c r="C1379" t="s">
        <v>74</v>
      </c>
      <c r="E1379" t="str">
        <f>"080065370610"</f>
        <v>080065370610</v>
      </c>
      <c r="F1379" s="3">
        <v>45791</v>
      </c>
      <c r="G1379">
        <v>202602</v>
      </c>
      <c r="H1379" t="s">
        <v>75</v>
      </c>
      <c r="I1379" t="s">
        <v>76</v>
      </c>
      <c r="J1379" t="s">
        <v>77</v>
      </c>
      <c r="K1379" t="s">
        <v>78</v>
      </c>
      <c r="L1379" t="s">
        <v>130</v>
      </c>
      <c r="M1379" t="s">
        <v>131</v>
      </c>
      <c r="N1379" t="s">
        <v>699</v>
      </c>
      <c r="O1379" t="s">
        <v>82</v>
      </c>
      <c r="P1379" t="str">
        <f>"4170038304                    "</f>
        <v xml:space="preserve">4170038304                    </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0</v>
      </c>
      <c r="AK1379">
        <v>0</v>
      </c>
      <c r="AL1379">
        <v>0</v>
      </c>
      <c r="AM1379">
        <v>0</v>
      </c>
      <c r="AN1379">
        <v>0</v>
      </c>
      <c r="AO1379">
        <v>0</v>
      </c>
      <c r="AP1379">
        <v>0</v>
      </c>
      <c r="AQ1379">
        <v>21.38</v>
      </c>
      <c r="AR1379">
        <v>0</v>
      </c>
      <c r="AS1379">
        <v>0</v>
      </c>
      <c r="AT1379">
        <v>0</v>
      </c>
      <c r="AU1379">
        <v>0</v>
      </c>
      <c r="AV1379">
        <v>0</v>
      </c>
      <c r="AW1379">
        <v>0</v>
      </c>
      <c r="AX1379">
        <v>0</v>
      </c>
      <c r="AY1379">
        <v>0</v>
      </c>
      <c r="AZ1379">
        <v>0</v>
      </c>
      <c r="BA1379">
        <v>0</v>
      </c>
      <c r="BB1379">
        <v>0</v>
      </c>
      <c r="BC1379">
        <v>0</v>
      </c>
      <c r="BD1379">
        <v>0</v>
      </c>
      <c r="BE1379">
        <v>0</v>
      </c>
      <c r="BF1379">
        <v>0</v>
      </c>
      <c r="BG1379">
        <v>0</v>
      </c>
      <c r="BH1379">
        <v>1</v>
      </c>
      <c r="BI1379">
        <v>1</v>
      </c>
      <c r="BJ1379">
        <v>0.2</v>
      </c>
      <c r="BK1379">
        <v>1</v>
      </c>
      <c r="BL1379">
        <v>69.98</v>
      </c>
      <c r="BM1379">
        <v>10.5</v>
      </c>
      <c r="BN1379">
        <v>80.48</v>
      </c>
      <c r="BO1379">
        <v>80.48</v>
      </c>
      <c r="BQ1379" t="s">
        <v>700</v>
      </c>
      <c r="BR1379" t="s">
        <v>84</v>
      </c>
      <c r="BS1379" s="3">
        <v>45792</v>
      </c>
      <c r="BT1379" s="4">
        <v>0.42916666666666664</v>
      </c>
      <c r="BU1379" t="s">
        <v>701</v>
      </c>
      <c r="BV1379" t="s">
        <v>86</v>
      </c>
      <c r="BY1379">
        <v>1200</v>
      </c>
      <c r="CA1379" t="s">
        <v>330</v>
      </c>
      <c r="CC1379" t="s">
        <v>131</v>
      </c>
      <c r="CD1379">
        <v>7480</v>
      </c>
      <c r="CE1379" t="s">
        <v>88</v>
      </c>
      <c r="CF1379" s="3">
        <v>45793</v>
      </c>
      <c r="CI1379">
        <v>1</v>
      </c>
      <c r="CJ1379">
        <v>1</v>
      </c>
      <c r="CK1379">
        <v>21</v>
      </c>
      <c r="CL1379" t="s">
        <v>89</v>
      </c>
    </row>
    <row r="1380" spans="1:90" x14ac:dyDescent="0.3">
      <c r="A1380" t="s">
        <v>72</v>
      </c>
      <c r="B1380" t="s">
        <v>73</v>
      </c>
      <c r="C1380" t="s">
        <v>74</v>
      </c>
      <c r="E1380" t="str">
        <f>"080065370658"</f>
        <v>080065370658</v>
      </c>
      <c r="F1380" s="3">
        <v>45791</v>
      </c>
      <c r="G1380">
        <v>202602</v>
      </c>
      <c r="H1380" t="s">
        <v>75</v>
      </c>
      <c r="I1380" t="s">
        <v>76</v>
      </c>
      <c r="J1380" t="s">
        <v>77</v>
      </c>
      <c r="K1380" t="s">
        <v>78</v>
      </c>
      <c r="L1380" t="s">
        <v>489</v>
      </c>
      <c r="M1380" t="s">
        <v>490</v>
      </c>
      <c r="N1380" t="s">
        <v>491</v>
      </c>
      <c r="O1380" t="s">
        <v>82</v>
      </c>
      <c r="P1380" t="str">
        <f>"4170038384                    "</f>
        <v xml:space="preserve">4170038384                    </v>
      </c>
      <c r="Q1380">
        <v>0</v>
      </c>
      <c r="R1380">
        <v>0</v>
      </c>
      <c r="S1380">
        <v>0</v>
      </c>
      <c r="T1380">
        <v>0</v>
      </c>
      <c r="U1380">
        <v>0</v>
      </c>
      <c r="V1380">
        <v>0</v>
      </c>
      <c r="W1380">
        <v>0</v>
      </c>
      <c r="X1380">
        <v>0</v>
      </c>
      <c r="Y1380">
        <v>0</v>
      </c>
      <c r="Z1380">
        <v>0</v>
      </c>
      <c r="AA1380">
        <v>0</v>
      </c>
      <c r="AB1380">
        <v>0</v>
      </c>
      <c r="AC1380">
        <v>0</v>
      </c>
      <c r="AD1380">
        <v>0</v>
      </c>
      <c r="AE1380">
        <v>0</v>
      </c>
      <c r="AF1380">
        <v>0</v>
      </c>
      <c r="AG1380">
        <v>0</v>
      </c>
      <c r="AH1380">
        <v>0</v>
      </c>
      <c r="AI1380">
        <v>0</v>
      </c>
      <c r="AJ1380">
        <v>0</v>
      </c>
      <c r="AK1380">
        <v>0</v>
      </c>
      <c r="AL1380">
        <v>0</v>
      </c>
      <c r="AM1380">
        <v>0</v>
      </c>
      <c r="AN1380">
        <v>0</v>
      </c>
      <c r="AO1380">
        <v>0</v>
      </c>
      <c r="AP1380">
        <v>0</v>
      </c>
      <c r="AQ1380">
        <v>60.14</v>
      </c>
      <c r="AR1380">
        <v>0</v>
      </c>
      <c r="AS1380">
        <v>0</v>
      </c>
      <c r="AT1380">
        <v>0</v>
      </c>
      <c r="AU1380">
        <v>0</v>
      </c>
      <c r="AV1380">
        <v>0</v>
      </c>
      <c r="AW1380">
        <v>0</v>
      </c>
      <c r="AX1380">
        <v>0</v>
      </c>
      <c r="AY1380">
        <v>0</v>
      </c>
      <c r="AZ1380">
        <v>0</v>
      </c>
      <c r="BA1380">
        <v>0</v>
      </c>
      <c r="BB1380">
        <v>0</v>
      </c>
      <c r="BC1380">
        <v>0</v>
      </c>
      <c r="BD1380">
        <v>0</v>
      </c>
      <c r="BE1380">
        <v>0</v>
      </c>
      <c r="BF1380">
        <v>0</v>
      </c>
      <c r="BG1380">
        <v>0</v>
      </c>
      <c r="BH1380">
        <v>1</v>
      </c>
      <c r="BI1380">
        <v>3</v>
      </c>
      <c r="BJ1380">
        <v>1.1000000000000001</v>
      </c>
      <c r="BK1380">
        <v>3</v>
      </c>
      <c r="BL1380">
        <v>196.82</v>
      </c>
      <c r="BM1380">
        <v>29.52</v>
      </c>
      <c r="BN1380">
        <v>226.34</v>
      </c>
      <c r="BO1380">
        <v>226.34</v>
      </c>
      <c r="BQ1380" t="s">
        <v>492</v>
      </c>
      <c r="BR1380" t="s">
        <v>84</v>
      </c>
      <c r="BS1380" s="3">
        <v>45792</v>
      </c>
      <c r="BT1380" s="4">
        <v>0.40972222222222221</v>
      </c>
      <c r="BU1380" t="s">
        <v>493</v>
      </c>
      <c r="BV1380" t="s">
        <v>86</v>
      </c>
      <c r="BY1380">
        <v>5320</v>
      </c>
      <c r="CC1380" t="s">
        <v>490</v>
      </c>
      <c r="CD1380">
        <v>2740</v>
      </c>
      <c r="CE1380" t="s">
        <v>116</v>
      </c>
      <c r="CF1380" s="3">
        <v>45793</v>
      </c>
      <c r="CI1380">
        <v>1</v>
      </c>
      <c r="CJ1380">
        <v>1</v>
      </c>
      <c r="CK1380">
        <v>23</v>
      </c>
      <c r="CL1380" t="s">
        <v>89</v>
      </c>
    </row>
    <row r="1381" spans="1:90" x14ac:dyDescent="0.3">
      <c r="A1381" t="s">
        <v>72</v>
      </c>
      <c r="B1381" t="s">
        <v>73</v>
      </c>
      <c r="C1381" t="s">
        <v>74</v>
      </c>
      <c r="E1381" t="str">
        <f>"080065370659"</f>
        <v>080065370659</v>
      </c>
      <c r="F1381" s="3">
        <v>45791</v>
      </c>
      <c r="G1381">
        <v>202602</v>
      </c>
      <c r="H1381" t="s">
        <v>75</v>
      </c>
      <c r="I1381" t="s">
        <v>76</v>
      </c>
      <c r="J1381" t="s">
        <v>77</v>
      </c>
      <c r="K1381" t="s">
        <v>78</v>
      </c>
      <c r="L1381" t="s">
        <v>117</v>
      </c>
      <c r="M1381" t="s">
        <v>118</v>
      </c>
      <c r="N1381" t="s">
        <v>2046</v>
      </c>
      <c r="O1381" t="s">
        <v>82</v>
      </c>
      <c r="P1381" t="str">
        <f>"4170038282                    "</f>
        <v xml:space="preserve">4170038282                    </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c r="AJ1381">
        <v>0</v>
      </c>
      <c r="AK1381">
        <v>0</v>
      </c>
      <c r="AL1381">
        <v>0</v>
      </c>
      <c r="AM1381">
        <v>0</v>
      </c>
      <c r="AN1381">
        <v>0</v>
      </c>
      <c r="AO1381">
        <v>0</v>
      </c>
      <c r="AP1381">
        <v>0</v>
      </c>
      <c r="AQ1381">
        <v>16.7</v>
      </c>
      <c r="AR1381">
        <v>0</v>
      </c>
      <c r="AS1381">
        <v>0</v>
      </c>
      <c r="AT1381">
        <v>0</v>
      </c>
      <c r="AU1381">
        <v>0</v>
      </c>
      <c r="AV1381">
        <v>0</v>
      </c>
      <c r="AW1381">
        <v>0</v>
      </c>
      <c r="AX1381">
        <v>0</v>
      </c>
      <c r="AY1381">
        <v>0</v>
      </c>
      <c r="AZ1381">
        <v>0</v>
      </c>
      <c r="BA1381">
        <v>0</v>
      </c>
      <c r="BB1381">
        <v>0</v>
      </c>
      <c r="BC1381">
        <v>0</v>
      </c>
      <c r="BD1381">
        <v>0</v>
      </c>
      <c r="BE1381">
        <v>0</v>
      </c>
      <c r="BF1381">
        <v>0</v>
      </c>
      <c r="BG1381">
        <v>0</v>
      </c>
      <c r="BH1381">
        <v>1</v>
      </c>
      <c r="BI1381">
        <v>1</v>
      </c>
      <c r="BJ1381">
        <v>0.2</v>
      </c>
      <c r="BK1381">
        <v>1</v>
      </c>
      <c r="BL1381">
        <v>54.66</v>
      </c>
      <c r="BM1381">
        <v>8.1999999999999993</v>
      </c>
      <c r="BN1381">
        <v>62.86</v>
      </c>
      <c r="BO1381">
        <v>62.86</v>
      </c>
      <c r="BQ1381" t="s">
        <v>2047</v>
      </c>
      <c r="BR1381" t="s">
        <v>84</v>
      </c>
      <c r="BS1381" s="3">
        <v>45793</v>
      </c>
      <c r="BT1381" s="4">
        <v>0.55138888888888893</v>
      </c>
      <c r="BU1381" t="s">
        <v>1642</v>
      </c>
      <c r="BV1381" t="s">
        <v>89</v>
      </c>
      <c r="BY1381">
        <v>1200</v>
      </c>
      <c r="CA1381" t="s">
        <v>1643</v>
      </c>
      <c r="CC1381" t="s">
        <v>118</v>
      </c>
      <c r="CD1381">
        <v>2001</v>
      </c>
      <c r="CE1381" t="s">
        <v>88</v>
      </c>
      <c r="CI1381">
        <v>1</v>
      </c>
      <c r="CJ1381">
        <v>2</v>
      </c>
      <c r="CK1381">
        <v>22</v>
      </c>
      <c r="CL1381" t="s">
        <v>89</v>
      </c>
    </row>
    <row r="1382" spans="1:90" x14ac:dyDescent="0.3">
      <c r="A1382" t="s">
        <v>72</v>
      </c>
      <c r="B1382" t="s">
        <v>73</v>
      </c>
      <c r="C1382" t="s">
        <v>74</v>
      </c>
      <c r="E1382" t="str">
        <f>"080065370733"</f>
        <v>080065370733</v>
      </c>
      <c r="F1382" s="3">
        <v>45791</v>
      </c>
      <c r="G1382">
        <v>202602</v>
      </c>
      <c r="H1382" t="s">
        <v>75</v>
      </c>
      <c r="I1382" t="s">
        <v>76</v>
      </c>
      <c r="J1382" t="s">
        <v>77</v>
      </c>
      <c r="K1382" t="s">
        <v>78</v>
      </c>
      <c r="L1382" t="s">
        <v>2048</v>
      </c>
      <c r="M1382" t="s">
        <v>2049</v>
      </c>
      <c r="N1382" t="s">
        <v>2050</v>
      </c>
      <c r="O1382" t="s">
        <v>82</v>
      </c>
      <c r="P1382" t="str">
        <f>"4170038365                    "</f>
        <v xml:space="preserve">4170038365                    </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41.43</v>
      </c>
      <c r="AR1382">
        <v>0</v>
      </c>
      <c r="AS1382">
        <v>0</v>
      </c>
      <c r="AT1382">
        <v>0</v>
      </c>
      <c r="AU1382">
        <v>0</v>
      </c>
      <c r="AV1382">
        <v>0</v>
      </c>
      <c r="AW1382">
        <v>0</v>
      </c>
      <c r="AX1382">
        <v>0</v>
      </c>
      <c r="AY1382">
        <v>0</v>
      </c>
      <c r="AZ1382">
        <v>0</v>
      </c>
      <c r="BA1382">
        <v>0</v>
      </c>
      <c r="BB1382">
        <v>0</v>
      </c>
      <c r="BC1382">
        <v>0</v>
      </c>
      <c r="BD1382">
        <v>0</v>
      </c>
      <c r="BE1382">
        <v>0</v>
      </c>
      <c r="BF1382">
        <v>0</v>
      </c>
      <c r="BG1382">
        <v>0</v>
      </c>
      <c r="BH1382">
        <v>1</v>
      </c>
      <c r="BI1382">
        <v>1</v>
      </c>
      <c r="BJ1382">
        <v>0.2</v>
      </c>
      <c r="BK1382">
        <v>1</v>
      </c>
      <c r="BL1382">
        <v>135.59</v>
      </c>
      <c r="BM1382">
        <v>20.34</v>
      </c>
      <c r="BN1382">
        <v>155.93</v>
      </c>
      <c r="BO1382">
        <v>155.93</v>
      </c>
      <c r="BQ1382" t="s">
        <v>2051</v>
      </c>
      <c r="BR1382" t="s">
        <v>84</v>
      </c>
      <c r="BS1382" s="3">
        <v>45793</v>
      </c>
      <c r="BT1382" s="4">
        <v>0.44097222222222221</v>
      </c>
      <c r="BU1382" t="s">
        <v>2052</v>
      </c>
      <c r="BV1382" t="s">
        <v>86</v>
      </c>
      <c r="BY1382">
        <v>1200</v>
      </c>
      <c r="CC1382" t="s">
        <v>2049</v>
      </c>
      <c r="CD1382">
        <v>5850</v>
      </c>
      <c r="CE1382" t="s">
        <v>88</v>
      </c>
      <c r="CF1382" s="3">
        <v>45796</v>
      </c>
      <c r="CI1382">
        <v>2</v>
      </c>
      <c r="CJ1382">
        <v>2</v>
      </c>
      <c r="CK1382">
        <v>23</v>
      </c>
      <c r="CL1382" t="s">
        <v>89</v>
      </c>
    </row>
    <row r="1383" spans="1:90" x14ac:dyDescent="0.3">
      <c r="A1383" t="s">
        <v>72</v>
      </c>
      <c r="B1383" t="s">
        <v>73</v>
      </c>
      <c r="C1383" t="s">
        <v>74</v>
      </c>
      <c r="E1383" t="str">
        <f>"080065370742"</f>
        <v>080065370742</v>
      </c>
      <c r="F1383" s="3">
        <v>45791</v>
      </c>
      <c r="G1383">
        <v>202602</v>
      </c>
      <c r="H1383" t="s">
        <v>75</v>
      </c>
      <c r="I1383" t="s">
        <v>76</v>
      </c>
      <c r="J1383" t="s">
        <v>77</v>
      </c>
      <c r="K1383" t="s">
        <v>78</v>
      </c>
      <c r="L1383" t="s">
        <v>117</v>
      </c>
      <c r="M1383" t="s">
        <v>118</v>
      </c>
      <c r="N1383" t="s">
        <v>1533</v>
      </c>
      <c r="O1383" t="s">
        <v>82</v>
      </c>
      <c r="P1383" t="str">
        <f>"4170038359                    "</f>
        <v xml:space="preserve">4170038359                    </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16.7</v>
      </c>
      <c r="AR1383">
        <v>0</v>
      </c>
      <c r="AS1383">
        <v>0</v>
      </c>
      <c r="AT1383">
        <v>0</v>
      </c>
      <c r="AU1383">
        <v>0</v>
      </c>
      <c r="AV1383">
        <v>0</v>
      </c>
      <c r="AW1383">
        <v>0</v>
      </c>
      <c r="AX1383">
        <v>0</v>
      </c>
      <c r="AY1383">
        <v>0</v>
      </c>
      <c r="AZ1383">
        <v>0</v>
      </c>
      <c r="BA1383">
        <v>0</v>
      </c>
      <c r="BB1383">
        <v>0</v>
      </c>
      <c r="BC1383">
        <v>0</v>
      </c>
      <c r="BD1383">
        <v>0</v>
      </c>
      <c r="BE1383">
        <v>0</v>
      </c>
      <c r="BF1383">
        <v>0</v>
      </c>
      <c r="BG1383">
        <v>0</v>
      </c>
      <c r="BH1383">
        <v>1</v>
      </c>
      <c r="BI1383">
        <v>2</v>
      </c>
      <c r="BJ1383">
        <v>1.4</v>
      </c>
      <c r="BK1383">
        <v>2</v>
      </c>
      <c r="BL1383">
        <v>54.66</v>
      </c>
      <c r="BM1383">
        <v>8.1999999999999993</v>
      </c>
      <c r="BN1383">
        <v>62.86</v>
      </c>
      <c r="BO1383">
        <v>62.86</v>
      </c>
      <c r="BQ1383" t="s">
        <v>1534</v>
      </c>
      <c r="BR1383" t="s">
        <v>84</v>
      </c>
      <c r="BS1383" s="3">
        <v>45792</v>
      </c>
      <c r="BT1383" s="4">
        <v>0.40555555555555556</v>
      </c>
      <c r="BU1383" t="s">
        <v>1535</v>
      </c>
      <c r="BV1383" t="s">
        <v>86</v>
      </c>
      <c r="BY1383">
        <v>7000</v>
      </c>
      <c r="CA1383" t="s">
        <v>275</v>
      </c>
      <c r="CC1383" t="s">
        <v>118</v>
      </c>
      <c r="CD1383">
        <v>2091</v>
      </c>
      <c r="CE1383" t="s">
        <v>116</v>
      </c>
      <c r="CF1383" s="3">
        <v>45793</v>
      </c>
      <c r="CI1383">
        <v>1</v>
      </c>
      <c r="CJ1383">
        <v>1</v>
      </c>
      <c r="CK1383">
        <v>22</v>
      </c>
      <c r="CL1383" t="s">
        <v>89</v>
      </c>
    </row>
    <row r="1384" spans="1:90" x14ac:dyDescent="0.3">
      <c r="A1384" t="s">
        <v>72</v>
      </c>
      <c r="B1384" t="s">
        <v>73</v>
      </c>
      <c r="C1384" t="s">
        <v>74</v>
      </c>
      <c r="E1384" t="str">
        <f>"080065370903"</f>
        <v>080065370903</v>
      </c>
      <c r="F1384" s="3">
        <v>45791</v>
      </c>
      <c r="G1384">
        <v>202602</v>
      </c>
      <c r="H1384" t="s">
        <v>75</v>
      </c>
      <c r="I1384" t="s">
        <v>76</v>
      </c>
      <c r="J1384" t="s">
        <v>77</v>
      </c>
      <c r="K1384" t="s">
        <v>78</v>
      </c>
      <c r="L1384" t="s">
        <v>90</v>
      </c>
      <c r="M1384" t="s">
        <v>91</v>
      </c>
      <c r="N1384" t="s">
        <v>92</v>
      </c>
      <c r="O1384" t="s">
        <v>82</v>
      </c>
      <c r="P1384" t="str">
        <f>"4170038392                    "</f>
        <v xml:space="preserve">4170038392                    </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0</v>
      </c>
      <c r="AL1384">
        <v>0</v>
      </c>
      <c r="AM1384">
        <v>0</v>
      </c>
      <c r="AN1384">
        <v>0</v>
      </c>
      <c r="AO1384">
        <v>0</v>
      </c>
      <c r="AP1384">
        <v>0</v>
      </c>
      <c r="AQ1384">
        <v>21.38</v>
      </c>
      <c r="AR1384">
        <v>0</v>
      </c>
      <c r="AS1384">
        <v>0</v>
      </c>
      <c r="AT1384">
        <v>0</v>
      </c>
      <c r="AU1384">
        <v>0</v>
      </c>
      <c r="AV1384">
        <v>0</v>
      </c>
      <c r="AW1384">
        <v>0</v>
      </c>
      <c r="AX1384">
        <v>0</v>
      </c>
      <c r="AY1384">
        <v>0</v>
      </c>
      <c r="AZ1384">
        <v>0</v>
      </c>
      <c r="BA1384">
        <v>0</v>
      </c>
      <c r="BB1384">
        <v>0</v>
      </c>
      <c r="BC1384">
        <v>0</v>
      </c>
      <c r="BD1384">
        <v>0</v>
      </c>
      <c r="BE1384">
        <v>0</v>
      </c>
      <c r="BF1384">
        <v>0</v>
      </c>
      <c r="BG1384">
        <v>0</v>
      </c>
      <c r="BH1384">
        <v>1</v>
      </c>
      <c r="BI1384">
        <v>1</v>
      </c>
      <c r="BJ1384">
        <v>0.2</v>
      </c>
      <c r="BK1384">
        <v>1</v>
      </c>
      <c r="BL1384">
        <v>69.98</v>
      </c>
      <c r="BM1384">
        <v>10.5</v>
      </c>
      <c r="BN1384">
        <v>80.48</v>
      </c>
      <c r="BO1384">
        <v>80.48</v>
      </c>
      <c r="BQ1384" t="s">
        <v>93</v>
      </c>
      <c r="BR1384" t="s">
        <v>84</v>
      </c>
      <c r="BS1384" s="3">
        <v>45792</v>
      </c>
      <c r="BT1384" s="4">
        <v>0.39305555555555555</v>
      </c>
      <c r="BU1384" t="s">
        <v>2033</v>
      </c>
      <c r="BV1384" t="s">
        <v>86</v>
      </c>
      <c r="BY1384">
        <v>1200</v>
      </c>
      <c r="CA1384" t="s">
        <v>95</v>
      </c>
      <c r="CC1384" t="s">
        <v>91</v>
      </c>
      <c r="CD1384">
        <v>6001</v>
      </c>
      <c r="CE1384" t="s">
        <v>88</v>
      </c>
      <c r="CF1384" s="3">
        <v>45792</v>
      </c>
      <c r="CI1384">
        <v>1</v>
      </c>
      <c r="CJ1384">
        <v>1</v>
      </c>
      <c r="CK1384">
        <v>21</v>
      </c>
      <c r="CL1384" t="s">
        <v>89</v>
      </c>
    </row>
    <row r="1385" spans="1:90" x14ac:dyDescent="0.3">
      <c r="A1385" t="s">
        <v>72</v>
      </c>
      <c r="B1385" t="s">
        <v>73</v>
      </c>
      <c r="C1385" t="s">
        <v>74</v>
      </c>
      <c r="E1385" t="str">
        <f>"080065370924"</f>
        <v>080065370924</v>
      </c>
      <c r="F1385" s="3">
        <v>45791</v>
      </c>
      <c r="G1385">
        <v>202602</v>
      </c>
      <c r="H1385" t="s">
        <v>75</v>
      </c>
      <c r="I1385" t="s">
        <v>76</v>
      </c>
      <c r="J1385" t="s">
        <v>77</v>
      </c>
      <c r="K1385" t="s">
        <v>78</v>
      </c>
      <c r="L1385" t="s">
        <v>90</v>
      </c>
      <c r="M1385" t="s">
        <v>91</v>
      </c>
      <c r="N1385" t="s">
        <v>543</v>
      </c>
      <c r="O1385" t="s">
        <v>82</v>
      </c>
      <c r="P1385" t="str">
        <f>"4170038396                    "</f>
        <v xml:space="preserve">4170038396                    </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0</v>
      </c>
      <c r="AL1385">
        <v>0</v>
      </c>
      <c r="AM1385">
        <v>0</v>
      </c>
      <c r="AN1385">
        <v>0</v>
      </c>
      <c r="AO1385">
        <v>0</v>
      </c>
      <c r="AP1385">
        <v>0</v>
      </c>
      <c r="AQ1385">
        <v>21.38</v>
      </c>
      <c r="AR1385">
        <v>0</v>
      </c>
      <c r="AS1385">
        <v>0</v>
      </c>
      <c r="AT1385">
        <v>0</v>
      </c>
      <c r="AU1385">
        <v>0</v>
      </c>
      <c r="AV1385">
        <v>0</v>
      </c>
      <c r="AW1385">
        <v>0</v>
      </c>
      <c r="AX1385">
        <v>0</v>
      </c>
      <c r="AY1385">
        <v>0</v>
      </c>
      <c r="AZ1385">
        <v>0</v>
      </c>
      <c r="BA1385">
        <v>0</v>
      </c>
      <c r="BB1385">
        <v>0</v>
      </c>
      <c r="BC1385">
        <v>0</v>
      </c>
      <c r="BD1385">
        <v>0</v>
      </c>
      <c r="BE1385">
        <v>0</v>
      </c>
      <c r="BF1385">
        <v>0</v>
      </c>
      <c r="BG1385">
        <v>0</v>
      </c>
      <c r="BH1385">
        <v>1</v>
      </c>
      <c r="BI1385">
        <v>1</v>
      </c>
      <c r="BJ1385">
        <v>0.2</v>
      </c>
      <c r="BK1385">
        <v>1</v>
      </c>
      <c r="BL1385">
        <v>69.98</v>
      </c>
      <c r="BM1385">
        <v>10.5</v>
      </c>
      <c r="BN1385">
        <v>80.48</v>
      </c>
      <c r="BO1385">
        <v>80.48</v>
      </c>
      <c r="BQ1385" t="s">
        <v>544</v>
      </c>
      <c r="BR1385" t="s">
        <v>84</v>
      </c>
      <c r="BS1385" s="3">
        <v>45792</v>
      </c>
      <c r="BT1385" s="4">
        <v>0.37013888888888891</v>
      </c>
      <c r="BU1385" t="s">
        <v>2053</v>
      </c>
      <c r="BV1385" t="s">
        <v>86</v>
      </c>
      <c r="BY1385">
        <v>1200</v>
      </c>
      <c r="CA1385" t="s">
        <v>283</v>
      </c>
      <c r="CC1385" t="s">
        <v>91</v>
      </c>
      <c r="CD1385">
        <v>6001</v>
      </c>
      <c r="CE1385" t="s">
        <v>88</v>
      </c>
      <c r="CF1385" s="3">
        <v>45792</v>
      </c>
      <c r="CI1385">
        <v>1</v>
      </c>
      <c r="CJ1385">
        <v>1</v>
      </c>
      <c r="CK1385">
        <v>21</v>
      </c>
      <c r="CL1385" t="s">
        <v>89</v>
      </c>
    </row>
    <row r="1386" spans="1:90" x14ac:dyDescent="0.3">
      <c r="A1386" t="s">
        <v>72</v>
      </c>
      <c r="B1386" t="s">
        <v>73</v>
      </c>
      <c r="C1386" t="s">
        <v>74</v>
      </c>
      <c r="E1386" t="str">
        <f>"080065370938"</f>
        <v>080065370938</v>
      </c>
      <c r="F1386" s="3">
        <v>45791</v>
      </c>
      <c r="G1386">
        <v>202602</v>
      </c>
      <c r="H1386" t="s">
        <v>75</v>
      </c>
      <c r="I1386" t="s">
        <v>76</v>
      </c>
      <c r="J1386" t="s">
        <v>77</v>
      </c>
      <c r="K1386" t="s">
        <v>78</v>
      </c>
      <c r="L1386" t="s">
        <v>75</v>
      </c>
      <c r="M1386" t="s">
        <v>76</v>
      </c>
      <c r="N1386" t="s">
        <v>183</v>
      </c>
      <c r="O1386" t="s">
        <v>82</v>
      </c>
      <c r="P1386" t="str">
        <f>"4170038394                    "</f>
        <v xml:space="preserve">4170038394                    </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16.7</v>
      </c>
      <c r="AR1386">
        <v>0</v>
      </c>
      <c r="AS1386">
        <v>0</v>
      </c>
      <c r="AT1386">
        <v>0</v>
      </c>
      <c r="AU1386">
        <v>0</v>
      </c>
      <c r="AV1386">
        <v>0</v>
      </c>
      <c r="AW1386">
        <v>0</v>
      </c>
      <c r="AX1386">
        <v>0</v>
      </c>
      <c r="AY1386">
        <v>0</v>
      </c>
      <c r="AZ1386">
        <v>0</v>
      </c>
      <c r="BA1386">
        <v>0</v>
      </c>
      <c r="BB1386">
        <v>0</v>
      </c>
      <c r="BC1386">
        <v>0</v>
      </c>
      <c r="BD1386">
        <v>0</v>
      </c>
      <c r="BE1386">
        <v>0</v>
      </c>
      <c r="BF1386">
        <v>0</v>
      </c>
      <c r="BG1386">
        <v>0</v>
      </c>
      <c r="BH1386">
        <v>1</v>
      </c>
      <c r="BI1386">
        <v>1</v>
      </c>
      <c r="BJ1386">
        <v>0.2</v>
      </c>
      <c r="BK1386">
        <v>1</v>
      </c>
      <c r="BL1386">
        <v>54.66</v>
      </c>
      <c r="BM1386">
        <v>8.1999999999999993</v>
      </c>
      <c r="BN1386">
        <v>62.86</v>
      </c>
      <c r="BO1386">
        <v>62.86</v>
      </c>
      <c r="BQ1386" t="s">
        <v>184</v>
      </c>
      <c r="BR1386" t="s">
        <v>84</v>
      </c>
      <c r="BS1386" s="3">
        <v>45792</v>
      </c>
      <c r="BT1386" s="4">
        <v>0.2951388888888889</v>
      </c>
      <c r="BU1386" t="s">
        <v>185</v>
      </c>
      <c r="BV1386" t="s">
        <v>86</v>
      </c>
      <c r="BY1386">
        <v>1200</v>
      </c>
      <c r="CA1386" t="s">
        <v>115</v>
      </c>
      <c r="CC1386" t="s">
        <v>76</v>
      </c>
      <c r="CD1386">
        <v>1600</v>
      </c>
      <c r="CE1386" t="s">
        <v>88</v>
      </c>
      <c r="CF1386" s="3">
        <v>45793</v>
      </c>
      <c r="CI1386">
        <v>1</v>
      </c>
      <c r="CJ1386">
        <v>1</v>
      </c>
      <c r="CK1386">
        <v>22</v>
      </c>
      <c r="CL1386" t="s">
        <v>89</v>
      </c>
    </row>
    <row r="1387" spans="1:90" x14ac:dyDescent="0.3">
      <c r="A1387" t="s">
        <v>72</v>
      </c>
      <c r="B1387" t="s">
        <v>73</v>
      </c>
      <c r="C1387" t="s">
        <v>74</v>
      </c>
      <c r="E1387" t="str">
        <f>"080065370947"</f>
        <v>080065370947</v>
      </c>
      <c r="F1387" s="3">
        <v>45791</v>
      </c>
      <c r="G1387">
        <v>202602</v>
      </c>
      <c r="H1387" t="s">
        <v>75</v>
      </c>
      <c r="I1387" t="s">
        <v>76</v>
      </c>
      <c r="J1387" t="s">
        <v>77</v>
      </c>
      <c r="K1387" t="s">
        <v>78</v>
      </c>
      <c r="L1387" t="s">
        <v>79</v>
      </c>
      <c r="M1387" t="s">
        <v>80</v>
      </c>
      <c r="N1387" t="s">
        <v>81</v>
      </c>
      <c r="O1387" t="s">
        <v>82</v>
      </c>
      <c r="P1387" t="str">
        <f>"4170038489                    "</f>
        <v xml:space="preserve">4170038489                    </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c r="AJ1387">
        <v>0</v>
      </c>
      <c r="AK1387">
        <v>0</v>
      </c>
      <c r="AL1387">
        <v>0</v>
      </c>
      <c r="AM1387">
        <v>0</v>
      </c>
      <c r="AN1387">
        <v>0</v>
      </c>
      <c r="AO1387">
        <v>0</v>
      </c>
      <c r="AP1387">
        <v>0</v>
      </c>
      <c r="AQ1387">
        <v>21.38</v>
      </c>
      <c r="AR1387">
        <v>0</v>
      </c>
      <c r="AS1387">
        <v>0</v>
      </c>
      <c r="AT1387">
        <v>0</v>
      </c>
      <c r="AU1387">
        <v>0</v>
      </c>
      <c r="AV1387">
        <v>0</v>
      </c>
      <c r="AW1387">
        <v>0</v>
      </c>
      <c r="AX1387">
        <v>0</v>
      </c>
      <c r="AY1387">
        <v>0</v>
      </c>
      <c r="AZ1387">
        <v>0</v>
      </c>
      <c r="BA1387">
        <v>0</v>
      </c>
      <c r="BB1387">
        <v>0</v>
      </c>
      <c r="BC1387">
        <v>0</v>
      </c>
      <c r="BD1387">
        <v>0</v>
      </c>
      <c r="BE1387">
        <v>0</v>
      </c>
      <c r="BF1387">
        <v>0</v>
      </c>
      <c r="BG1387">
        <v>0</v>
      </c>
      <c r="BH1387">
        <v>1</v>
      </c>
      <c r="BI1387">
        <v>1</v>
      </c>
      <c r="BJ1387">
        <v>0.2</v>
      </c>
      <c r="BK1387">
        <v>1</v>
      </c>
      <c r="BL1387">
        <v>69.98</v>
      </c>
      <c r="BM1387">
        <v>10.5</v>
      </c>
      <c r="BN1387">
        <v>80.48</v>
      </c>
      <c r="BO1387">
        <v>80.48</v>
      </c>
      <c r="BQ1387" t="s">
        <v>83</v>
      </c>
      <c r="BR1387" t="s">
        <v>84</v>
      </c>
      <c r="BS1387" s="3">
        <v>45792</v>
      </c>
      <c r="BT1387" s="4">
        <v>0.51388888888888884</v>
      </c>
      <c r="BU1387" t="s">
        <v>85</v>
      </c>
      <c r="BV1387" t="s">
        <v>86</v>
      </c>
      <c r="BY1387">
        <v>1200</v>
      </c>
      <c r="CA1387" t="s">
        <v>87</v>
      </c>
      <c r="CC1387" t="s">
        <v>80</v>
      </c>
      <c r="CD1387">
        <v>3610</v>
      </c>
      <c r="CE1387" t="s">
        <v>88</v>
      </c>
      <c r="CF1387" s="3">
        <v>45793</v>
      </c>
      <c r="CI1387">
        <v>1</v>
      </c>
      <c r="CJ1387">
        <v>1</v>
      </c>
      <c r="CK1387">
        <v>21</v>
      </c>
      <c r="CL1387" t="s">
        <v>89</v>
      </c>
    </row>
    <row r="1388" spans="1:90" x14ac:dyDescent="0.3">
      <c r="A1388" t="s">
        <v>72</v>
      </c>
      <c r="B1388" t="s">
        <v>73</v>
      </c>
      <c r="C1388" t="s">
        <v>74</v>
      </c>
      <c r="E1388" t="str">
        <f>"080065370960"</f>
        <v>080065370960</v>
      </c>
      <c r="F1388" s="3">
        <v>45791</v>
      </c>
      <c r="G1388">
        <v>202602</v>
      </c>
      <c r="H1388" t="s">
        <v>75</v>
      </c>
      <c r="I1388" t="s">
        <v>76</v>
      </c>
      <c r="J1388" t="s">
        <v>77</v>
      </c>
      <c r="K1388" t="s">
        <v>78</v>
      </c>
      <c r="L1388" t="s">
        <v>186</v>
      </c>
      <c r="M1388" t="s">
        <v>187</v>
      </c>
      <c r="N1388" t="s">
        <v>1325</v>
      </c>
      <c r="O1388" t="s">
        <v>82</v>
      </c>
      <c r="P1388" t="str">
        <f>"4170038352                    "</f>
        <v xml:space="preserve">4170038352                    </v>
      </c>
      <c r="Q1388">
        <v>0</v>
      </c>
      <c r="R1388">
        <v>0</v>
      </c>
      <c r="S1388">
        <v>0</v>
      </c>
      <c r="T1388">
        <v>0</v>
      </c>
      <c r="U1388">
        <v>0</v>
      </c>
      <c r="V1388">
        <v>0</v>
      </c>
      <c r="W1388">
        <v>0</v>
      </c>
      <c r="X1388">
        <v>0</v>
      </c>
      <c r="Y1388">
        <v>0</v>
      </c>
      <c r="Z1388">
        <v>0</v>
      </c>
      <c r="AA1388">
        <v>0</v>
      </c>
      <c r="AB1388">
        <v>0</v>
      </c>
      <c r="AC1388">
        <v>0</v>
      </c>
      <c r="AD1388">
        <v>0</v>
      </c>
      <c r="AE1388">
        <v>0</v>
      </c>
      <c r="AF1388">
        <v>0</v>
      </c>
      <c r="AG1388">
        <v>0</v>
      </c>
      <c r="AH1388">
        <v>0</v>
      </c>
      <c r="AI1388">
        <v>0</v>
      </c>
      <c r="AJ1388">
        <v>0</v>
      </c>
      <c r="AK1388">
        <v>0</v>
      </c>
      <c r="AL1388">
        <v>0</v>
      </c>
      <c r="AM1388">
        <v>0</v>
      </c>
      <c r="AN1388">
        <v>0</v>
      </c>
      <c r="AO1388">
        <v>0</v>
      </c>
      <c r="AP1388">
        <v>0</v>
      </c>
      <c r="AQ1388">
        <v>21.38</v>
      </c>
      <c r="AR1388">
        <v>0</v>
      </c>
      <c r="AS1388">
        <v>0</v>
      </c>
      <c r="AT1388">
        <v>0</v>
      </c>
      <c r="AU1388">
        <v>0</v>
      </c>
      <c r="AV1388">
        <v>0</v>
      </c>
      <c r="AW1388">
        <v>0</v>
      </c>
      <c r="AX1388">
        <v>0</v>
      </c>
      <c r="AY1388">
        <v>0</v>
      </c>
      <c r="AZ1388">
        <v>0</v>
      </c>
      <c r="BA1388">
        <v>0</v>
      </c>
      <c r="BB1388">
        <v>0</v>
      </c>
      <c r="BC1388">
        <v>0</v>
      </c>
      <c r="BD1388">
        <v>0</v>
      </c>
      <c r="BE1388">
        <v>0</v>
      </c>
      <c r="BF1388">
        <v>0</v>
      </c>
      <c r="BG1388">
        <v>0</v>
      </c>
      <c r="BH1388">
        <v>1</v>
      </c>
      <c r="BI1388">
        <v>1</v>
      </c>
      <c r="BJ1388">
        <v>0.2</v>
      </c>
      <c r="BK1388">
        <v>1</v>
      </c>
      <c r="BL1388">
        <v>69.98</v>
      </c>
      <c r="BM1388">
        <v>10.5</v>
      </c>
      <c r="BN1388">
        <v>80.48</v>
      </c>
      <c r="BO1388">
        <v>80.48</v>
      </c>
      <c r="BQ1388" t="s">
        <v>1326</v>
      </c>
      <c r="BR1388" t="s">
        <v>84</v>
      </c>
      <c r="BS1388" s="3">
        <v>45792</v>
      </c>
      <c r="BT1388" s="4">
        <v>0.4236111111111111</v>
      </c>
      <c r="BU1388" t="s">
        <v>1753</v>
      </c>
      <c r="BV1388" t="s">
        <v>86</v>
      </c>
      <c r="BY1388">
        <v>1200</v>
      </c>
      <c r="CA1388" t="s">
        <v>191</v>
      </c>
      <c r="CC1388" t="s">
        <v>187</v>
      </c>
      <c r="CD1388">
        <v>4126</v>
      </c>
      <c r="CE1388" t="s">
        <v>88</v>
      </c>
      <c r="CF1388" s="3">
        <v>45793</v>
      </c>
      <c r="CI1388">
        <v>1</v>
      </c>
      <c r="CJ1388">
        <v>1</v>
      </c>
      <c r="CK1388">
        <v>21</v>
      </c>
      <c r="CL1388" t="s">
        <v>89</v>
      </c>
    </row>
    <row r="1389" spans="1:90" x14ac:dyDescent="0.3">
      <c r="A1389" t="s">
        <v>72</v>
      </c>
      <c r="B1389" t="s">
        <v>73</v>
      </c>
      <c r="C1389" t="s">
        <v>74</v>
      </c>
      <c r="E1389" t="str">
        <f>"080065370975"</f>
        <v>080065370975</v>
      </c>
      <c r="F1389" s="3">
        <v>45791</v>
      </c>
      <c r="G1389">
        <v>202602</v>
      </c>
      <c r="H1389" t="s">
        <v>75</v>
      </c>
      <c r="I1389" t="s">
        <v>76</v>
      </c>
      <c r="J1389" t="s">
        <v>77</v>
      </c>
      <c r="K1389" t="s">
        <v>78</v>
      </c>
      <c r="L1389" t="s">
        <v>374</v>
      </c>
      <c r="M1389" t="s">
        <v>375</v>
      </c>
      <c r="N1389" t="s">
        <v>376</v>
      </c>
      <c r="O1389" t="s">
        <v>82</v>
      </c>
      <c r="P1389" t="str">
        <f>"4170038350                    "</f>
        <v xml:space="preserve">4170038350                    </v>
      </c>
      <c r="Q1389">
        <v>0</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c r="AJ1389">
        <v>0</v>
      </c>
      <c r="AK1389">
        <v>0</v>
      </c>
      <c r="AL1389">
        <v>0</v>
      </c>
      <c r="AM1389">
        <v>0</v>
      </c>
      <c r="AN1389">
        <v>0</v>
      </c>
      <c r="AO1389">
        <v>0</v>
      </c>
      <c r="AP1389">
        <v>0</v>
      </c>
      <c r="AQ1389">
        <v>41.43</v>
      </c>
      <c r="AR1389">
        <v>0</v>
      </c>
      <c r="AS1389">
        <v>0</v>
      </c>
      <c r="AT1389">
        <v>0</v>
      </c>
      <c r="AU1389">
        <v>0</v>
      </c>
      <c r="AV1389">
        <v>0</v>
      </c>
      <c r="AW1389">
        <v>0</v>
      </c>
      <c r="AX1389">
        <v>0</v>
      </c>
      <c r="AY1389">
        <v>0</v>
      </c>
      <c r="AZ1389">
        <v>0</v>
      </c>
      <c r="BA1389">
        <v>0</v>
      </c>
      <c r="BB1389">
        <v>0</v>
      </c>
      <c r="BC1389">
        <v>0</v>
      </c>
      <c r="BD1389">
        <v>0</v>
      </c>
      <c r="BE1389">
        <v>0</v>
      </c>
      <c r="BF1389">
        <v>0</v>
      </c>
      <c r="BG1389">
        <v>0</v>
      </c>
      <c r="BH1389">
        <v>1</v>
      </c>
      <c r="BI1389">
        <v>1</v>
      </c>
      <c r="BJ1389">
        <v>0.2</v>
      </c>
      <c r="BK1389">
        <v>1</v>
      </c>
      <c r="BL1389">
        <v>135.59</v>
      </c>
      <c r="BM1389">
        <v>20.34</v>
      </c>
      <c r="BN1389">
        <v>155.93</v>
      </c>
      <c r="BO1389">
        <v>155.93</v>
      </c>
      <c r="BQ1389" t="s">
        <v>377</v>
      </c>
      <c r="BR1389" t="s">
        <v>84</v>
      </c>
      <c r="BS1389" s="3">
        <v>45792</v>
      </c>
      <c r="BT1389" s="4">
        <v>0.4</v>
      </c>
      <c r="BU1389" t="s">
        <v>378</v>
      </c>
      <c r="BV1389" t="s">
        <v>86</v>
      </c>
      <c r="BY1389">
        <v>1200</v>
      </c>
      <c r="CA1389" t="s">
        <v>379</v>
      </c>
      <c r="CC1389" t="s">
        <v>375</v>
      </c>
      <c r="CD1389">
        <v>7130</v>
      </c>
      <c r="CE1389" t="s">
        <v>88</v>
      </c>
      <c r="CF1389" s="3">
        <v>45793</v>
      </c>
      <c r="CI1389">
        <v>1</v>
      </c>
      <c r="CJ1389">
        <v>1</v>
      </c>
      <c r="CK1389">
        <v>23</v>
      </c>
      <c r="CL1389" t="s">
        <v>89</v>
      </c>
    </row>
    <row r="1390" spans="1:90" x14ac:dyDescent="0.3">
      <c r="A1390" t="s">
        <v>72</v>
      </c>
      <c r="B1390" t="s">
        <v>73</v>
      </c>
      <c r="C1390" t="s">
        <v>74</v>
      </c>
      <c r="E1390" t="str">
        <f>"080065371420"</f>
        <v>080065371420</v>
      </c>
      <c r="F1390" s="3">
        <v>45791</v>
      </c>
      <c r="G1390">
        <v>202602</v>
      </c>
      <c r="H1390" t="s">
        <v>75</v>
      </c>
      <c r="I1390" t="s">
        <v>76</v>
      </c>
      <c r="J1390" t="s">
        <v>77</v>
      </c>
      <c r="K1390" t="s">
        <v>78</v>
      </c>
      <c r="L1390" t="s">
        <v>90</v>
      </c>
      <c r="M1390" t="s">
        <v>91</v>
      </c>
      <c r="N1390" t="s">
        <v>841</v>
      </c>
      <c r="O1390" t="s">
        <v>82</v>
      </c>
      <c r="P1390" t="str">
        <f>"4170038287                    "</f>
        <v xml:space="preserve">4170038287                    </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c r="AJ1390">
        <v>0</v>
      </c>
      <c r="AK1390">
        <v>0</v>
      </c>
      <c r="AL1390">
        <v>0</v>
      </c>
      <c r="AM1390">
        <v>0</v>
      </c>
      <c r="AN1390">
        <v>0</v>
      </c>
      <c r="AO1390">
        <v>0</v>
      </c>
      <c r="AP1390">
        <v>0</v>
      </c>
      <c r="AQ1390">
        <v>21.38</v>
      </c>
      <c r="AR1390">
        <v>0</v>
      </c>
      <c r="AS1390">
        <v>0</v>
      </c>
      <c r="AT1390">
        <v>0</v>
      </c>
      <c r="AU1390">
        <v>0</v>
      </c>
      <c r="AV1390">
        <v>0</v>
      </c>
      <c r="AW1390">
        <v>0</v>
      </c>
      <c r="AX1390">
        <v>0</v>
      </c>
      <c r="AY1390">
        <v>0</v>
      </c>
      <c r="AZ1390">
        <v>0</v>
      </c>
      <c r="BA1390">
        <v>0</v>
      </c>
      <c r="BB1390">
        <v>0</v>
      </c>
      <c r="BC1390">
        <v>0</v>
      </c>
      <c r="BD1390">
        <v>0</v>
      </c>
      <c r="BE1390">
        <v>0</v>
      </c>
      <c r="BF1390">
        <v>0</v>
      </c>
      <c r="BG1390">
        <v>0</v>
      </c>
      <c r="BH1390">
        <v>1</v>
      </c>
      <c r="BI1390">
        <v>1</v>
      </c>
      <c r="BJ1390">
        <v>0.2</v>
      </c>
      <c r="BK1390">
        <v>1</v>
      </c>
      <c r="BL1390">
        <v>69.98</v>
      </c>
      <c r="BM1390">
        <v>10.5</v>
      </c>
      <c r="BN1390">
        <v>80.48</v>
      </c>
      <c r="BO1390">
        <v>80.48</v>
      </c>
      <c r="BQ1390" t="s">
        <v>842</v>
      </c>
      <c r="BR1390" t="s">
        <v>84</v>
      </c>
      <c r="BS1390" s="3">
        <v>45792</v>
      </c>
      <c r="BT1390" s="4">
        <v>0.42708333333333331</v>
      </c>
      <c r="BU1390" t="s">
        <v>1231</v>
      </c>
      <c r="BV1390" t="s">
        <v>86</v>
      </c>
      <c r="BY1390">
        <v>1200</v>
      </c>
      <c r="CA1390" t="s">
        <v>298</v>
      </c>
      <c r="CC1390" t="s">
        <v>91</v>
      </c>
      <c r="CD1390">
        <v>6001</v>
      </c>
      <c r="CE1390" t="s">
        <v>88</v>
      </c>
      <c r="CF1390" s="3">
        <v>45792</v>
      </c>
      <c r="CI1390">
        <v>1</v>
      </c>
      <c r="CJ1390">
        <v>1</v>
      </c>
      <c r="CK1390">
        <v>21</v>
      </c>
      <c r="CL1390" t="s">
        <v>89</v>
      </c>
    </row>
    <row r="1391" spans="1:90" x14ac:dyDescent="0.3">
      <c r="A1391" t="s">
        <v>72</v>
      </c>
      <c r="B1391" t="s">
        <v>73</v>
      </c>
      <c r="C1391" t="s">
        <v>74</v>
      </c>
      <c r="E1391" t="str">
        <f>"080065371421"</f>
        <v>080065371421</v>
      </c>
      <c r="F1391" s="3">
        <v>45791</v>
      </c>
      <c r="G1391">
        <v>202602</v>
      </c>
      <c r="H1391" t="s">
        <v>75</v>
      </c>
      <c r="I1391" t="s">
        <v>76</v>
      </c>
      <c r="J1391" t="s">
        <v>77</v>
      </c>
      <c r="K1391" t="s">
        <v>78</v>
      </c>
      <c r="L1391" t="s">
        <v>648</v>
      </c>
      <c r="M1391" t="s">
        <v>649</v>
      </c>
      <c r="N1391" t="s">
        <v>1549</v>
      </c>
      <c r="O1391" t="s">
        <v>82</v>
      </c>
      <c r="P1391" t="str">
        <f>"4170038299                    "</f>
        <v xml:space="preserve">4170038299                    </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c r="AJ1391">
        <v>0</v>
      </c>
      <c r="AK1391">
        <v>0</v>
      </c>
      <c r="AL1391">
        <v>0</v>
      </c>
      <c r="AM1391">
        <v>0</v>
      </c>
      <c r="AN1391">
        <v>0</v>
      </c>
      <c r="AO1391">
        <v>0</v>
      </c>
      <c r="AP1391">
        <v>0</v>
      </c>
      <c r="AQ1391">
        <v>16.7</v>
      </c>
      <c r="AR1391">
        <v>0</v>
      </c>
      <c r="AS1391">
        <v>0</v>
      </c>
      <c r="AT1391">
        <v>0</v>
      </c>
      <c r="AU1391">
        <v>0</v>
      </c>
      <c r="AV1391">
        <v>0</v>
      </c>
      <c r="AW1391">
        <v>0</v>
      </c>
      <c r="AX1391">
        <v>0</v>
      </c>
      <c r="AY1391">
        <v>0</v>
      </c>
      <c r="AZ1391">
        <v>0</v>
      </c>
      <c r="BA1391">
        <v>0</v>
      </c>
      <c r="BB1391">
        <v>0</v>
      </c>
      <c r="BC1391">
        <v>0</v>
      </c>
      <c r="BD1391">
        <v>0</v>
      </c>
      <c r="BE1391">
        <v>0</v>
      </c>
      <c r="BF1391">
        <v>0</v>
      </c>
      <c r="BG1391">
        <v>0</v>
      </c>
      <c r="BH1391">
        <v>1</v>
      </c>
      <c r="BI1391">
        <v>3</v>
      </c>
      <c r="BJ1391">
        <v>1.1000000000000001</v>
      </c>
      <c r="BK1391">
        <v>3</v>
      </c>
      <c r="BL1391">
        <v>54.66</v>
      </c>
      <c r="BM1391">
        <v>8.1999999999999993</v>
      </c>
      <c r="BN1391">
        <v>62.86</v>
      </c>
      <c r="BO1391">
        <v>62.86</v>
      </c>
      <c r="BQ1391" t="s">
        <v>1550</v>
      </c>
      <c r="BR1391" t="s">
        <v>84</v>
      </c>
      <c r="BS1391" s="3">
        <v>45792</v>
      </c>
      <c r="BT1391" s="4">
        <v>0.33888888888888891</v>
      </c>
      <c r="BU1391" t="s">
        <v>2054</v>
      </c>
      <c r="BV1391" t="s">
        <v>86</v>
      </c>
      <c r="BY1391">
        <v>5320</v>
      </c>
      <c r="CA1391" t="s">
        <v>2055</v>
      </c>
      <c r="CC1391" t="s">
        <v>649</v>
      </c>
      <c r="CD1391">
        <v>1559</v>
      </c>
      <c r="CE1391" t="s">
        <v>116</v>
      </c>
      <c r="CF1391" s="3">
        <v>45792</v>
      </c>
      <c r="CI1391">
        <v>1</v>
      </c>
      <c r="CJ1391">
        <v>1</v>
      </c>
      <c r="CK1391">
        <v>22</v>
      </c>
      <c r="CL1391" t="s">
        <v>89</v>
      </c>
    </row>
    <row r="1392" spans="1:90" x14ac:dyDescent="0.3">
      <c r="A1392" t="s">
        <v>72</v>
      </c>
      <c r="B1392" t="s">
        <v>73</v>
      </c>
      <c r="C1392" t="s">
        <v>74</v>
      </c>
      <c r="E1392" t="str">
        <f>"080065371450"</f>
        <v>080065371450</v>
      </c>
      <c r="F1392" s="3">
        <v>45791</v>
      </c>
      <c r="G1392">
        <v>202602</v>
      </c>
      <c r="H1392" t="s">
        <v>75</v>
      </c>
      <c r="I1392" t="s">
        <v>76</v>
      </c>
      <c r="J1392" t="s">
        <v>77</v>
      </c>
      <c r="K1392" t="s">
        <v>78</v>
      </c>
      <c r="L1392" t="s">
        <v>123</v>
      </c>
      <c r="M1392" t="s">
        <v>123</v>
      </c>
      <c r="N1392" t="s">
        <v>1700</v>
      </c>
      <c r="O1392" t="s">
        <v>82</v>
      </c>
      <c r="P1392" t="str">
        <f>"4170038278                    "</f>
        <v xml:space="preserve">4170038278                    </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0</v>
      </c>
      <c r="AL1392">
        <v>0</v>
      </c>
      <c r="AM1392">
        <v>0</v>
      </c>
      <c r="AN1392">
        <v>0</v>
      </c>
      <c r="AO1392">
        <v>0</v>
      </c>
      <c r="AP1392">
        <v>0</v>
      </c>
      <c r="AQ1392">
        <v>41.43</v>
      </c>
      <c r="AR1392">
        <v>0</v>
      </c>
      <c r="AS1392">
        <v>0</v>
      </c>
      <c r="AT1392">
        <v>0</v>
      </c>
      <c r="AU1392">
        <v>0</v>
      </c>
      <c r="AV1392">
        <v>0</v>
      </c>
      <c r="AW1392">
        <v>0</v>
      </c>
      <c r="AX1392">
        <v>0</v>
      </c>
      <c r="AY1392">
        <v>0</v>
      </c>
      <c r="AZ1392">
        <v>0</v>
      </c>
      <c r="BA1392">
        <v>0</v>
      </c>
      <c r="BB1392">
        <v>0</v>
      </c>
      <c r="BC1392">
        <v>0</v>
      </c>
      <c r="BD1392">
        <v>0</v>
      </c>
      <c r="BE1392">
        <v>0</v>
      </c>
      <c r="BF1392">
        <v>0</v>
      </c>
      <c r="BG1392">
        <v>0</v>
      </c>
      <c r="BH1392">
        <v>1</v>
      </c>
      <c r="BI1392">
        <v>1</v>
      </c>
      <c r="BJ1392">
        <v>0.2</v>
      </c>
      <c r="BK1392">
        <v>1</v>
      </c>
      <c r="BL1392">
        <v>135.59</v>
      </c>
      <c r="BM1392">
        <v>20.34</v>
      </c>
      <c r="BN1392">
        <v>155.93</v>
      </c>
      <c r="BO1392">
        <v>155.93</v>
      </c>
      <c r="BQ1392" t="s">
        <v>1701</v>
      </c>
      <c r="BR1392" t="s">
        <v>84</v>
      </c>
      <c r="BS1392" s="3">
        <v>45792</v>
      </c>
      <c r="BT1392" s="4">
        <v>0.41666666666666669</v>
      </c>
      <c r="BU1392" t="s">
        <v>768</v>
      </c>
      <c r="BV1392" t="s">
        <v>86</v>
      </c>
      <c r="BY1392">
        <v>1200</v>
      </c>
      <c r="CA1392" t="s">
        <v>2044</v>
      </c>
      <c r="CC1392" t="s">
        <v>123</v>
      </c>
      <c r="CD1392">
        <v>7646</v>
      </c>
      <c r="CE1392" t="s">
        <v>88</v>
      </c>
      <c r="CF1392" s="3">
        <v>45793</v>
      </c>
      <c r="CI1392">
        <v>1</v>
      </c>
      <c r="CJ1392">
        <v>1</v>
      </c>
      <c r="CK1392">
        <v>23</v>
      </c>
      <c r="CL1392" t="s">
        <v>89</v>
      </c>
    </row>
    <row r="1393" spans="1:90" x14ac:dyDescent="0.3">
      <c r="A1393" t="s">
        <v>72</v>
      </c>
      <c r="B1393" t="s">
        <v>73</v>
      </c>
      <c r="C1393" t="s">
        <v>74</v>
      </c>
      <c r="E1393" t="str">
        <f>"080065371454"</f>
        <v>080065371454</v>
      </c>
      <c r="F1393" s="3">
        <v>45791</v>
      </c>
      <c r="G1393">
        <v>202602</v>
      </c>
      <c r="H1393" t="s">
        <v>75</v>
      </c>
      <c r="I1393" t="s">
        <v>76</v>
      </c>
      <c r="J1393" t="s">
        <v>77</v>
      </c>
      <c r="K1393" t="s">
        <v>78</v>
      </c>
      <c r="L1393" t="s">
        <v>90</v>
      </c>
      <c r="M1393" t="s">
        <v>91</v>
      </c>
      <c r="N1393" t="s">
        <v>543</v>
      </c>
      <c r="O1393" t="s">
        <v>82</v>
      </c>
      <c r="P1393" t="str">
        <f>"4170038264                    "</f>
        <v xml:space="preserve">4170038264                    </v>
      </c>
      <c r="Q1393">
        <v>0</v>
      </c>
      <c r="R1393">
        <v>0</v>
      </c>
      <c r="S1393">
        <v>0</v>
      </c>
      <c r="T1393">
        <v>0</v>
      </c>
      <c r="U1393">
        <v>0</v>
      </c>
      <c r="V1393">
        <v>0</v>
      </c>
      <c r="W1393">
        <v>0</v>
      </c>
      <c r="X1393">
        <v>0</v>
      </c>
      <c r="Y1393">
        <v>0</v>
      </c>
      <c r="Z1393">
        <v>0</v>
      </c>
      <c r="AA1393">
        <v>0</v>
      </c>
      <c r="AB1393">
        <v>0</v>
      </c>
      <c r="AC1393">
        <v>0</v>
      </c>
      <c r="AD1393">
        <v>0</v>
      </c>
      <c r="AE1393">
        <v>0</v>
      </c>
      <c r="AF1393">
        <v>0</v>
      </c>
      <c r="AG1393">
        <v>0</v>
      </c>
      <c r="AH1393">
        <v>0</v>
      </c>
      <c r="AI1393">
        <v>0</v>
      </c>
      <c r="AJ1393">
        <v>0</v>
      </c>
      <c r="AK1393">
        <v>0</v>
      </c>
      <c r="AL1393">
        <v>0</v>
      </c>
      <c r="AM1393">
        <v>0</v>
      </c>
      <c r="AN1393">
        <v>0</v>
      </c>
      <c r="AO1393">
        <v>0</v>
      </c>
      <c r="AP1393">
        <v>0</v>
      </c>
      <c r="AQ1393">
        <v>21.38</v>
      </c>
      <c r="AR1393">
        <v>0</v>
      </c>
      <c r="AS1393">
        <v>0</v>
      </c>
      <c r="AT1393">
        <v>0</v>
      </c>
      <c r="AU1393">
        <v>0</v>
      </c>
      <c r="AV1393">
        <v>0</v>
      </c>
      <c r="AW1393">
        <v>0</v>
      </c>
      <c r="AX1393">
        <v>0</v>
      </c>
      <c r="AY1393">
        <v>0</v>
      </c>
      <c r="AZ1393">
        <v>0</v>
      </c>
      <c r="BA1393">
        <v>0</v>
      </c>
      <c r="BB1393">
        <v>0</v>
      </c>
      <c r="BC1393">
        <v>0</v>
      </c>
      <c r="BD1393">
        <v>0</v>
      </c>
      <c r="BE1393">
        <v>0</v>
      </c>
      <c r="BF1393">
        <v>0</v>
      </c>
      <c r="BG1393">
        <v>0</v>
      </c>
      <c r="BH1393">
        <v>1</v>
      </c>
      <c r="BI1393">
        <v>1</v>
      </c>
      <c r="BJ1393">
        <v>1.1000000000000001</v>
      </c>
      <c r="BK1393">
        <v>1.5</v>
      </c>
      <c r="BL1393">
        <v>69.98</v>
      </c>
      <c r="BM1393">
        <v>10.5</v>
      </c>
      <c r="BN1393">
        <v>80.48</v>
      </c>
      <c r="BO1393">
        <v>80.48</v>
      </c>
      <c r="BQ1393" t="s">
        <v>544</v>
      </c>
      <c r="BR1393" t="s">
        <v>84</v>
      </c>
      <c r="BS1393" s="3">
        <v>45792</v>
      </c>
      <c r="BT1393" s="4">
        <v>0.37152777777777779</v>
      </c>
      <c r="BU1393" t="s">
        <v>2053</v>
      </c>
      <c r="BV1393" t="s">
        <v>86</v>
      </c>
      <c r="BY1393">
        <v>5320</v>
      </c>
      <c r="CA1393" t="s">
        <v>283</v>
      </c>
      <c r="CC1393" t="s">
        <v>91</v>
      </c>
      <c r="CD1393">
        <v>6001</v>
      </c>
      <c r="CE1393" t="s">
        <v>116</v>
      </c>
      <c r="CF1393" s="3">
        <v>45792</v>
      </c>
      <c r="CI1393">
        <v>1</v>
      </c>
      <c r="CJ1393">
        <v>1</v>
      </c>
      <c r="CK1393">
        <v>21</v>
      </c>
      <c r="CL1393" t="s">
        <v>89</v>
      </c>
    </row>
    <row r="1394" spans="1:90" x14ac:dyDescent="0.3">
      <c r="A1394" t="s">
        <v>72</v>
      </c>
      <c r="B1394" t="s">
        <v>73</v>
      </c>
      <c r="C1394" t="s">
        <v>74</v>
      </c>
      <c r="E1394" t="str">
        <f>"080065371461"</f>
        <v>080065371461</v>
      </c>
      <c r="F1394" s="3">
        <v>45791</v>
      </c>
      <c r="G1394">
        <v>202602</v>
      </c>
      <c r="H1394" t="s">
        <v>75</v>
      </c>
      <c r="I1394" t="s">
        <v>76</v>
      </c>
      <c r="J1394" t="s">
        <v>77</v>
      </c>
      <c r="K1394" t="s">
        <v>78</v>
      </c>
      <c r="L1394" t="s">
        <v>97</v>
      </c>
      <c r="M1394" t="s">
        <v>98</v>
      </c>
      <c r="N1394" t="s">
        <v>2056</v>
      </c>
      <c r="O1394" t="s">
        <v>82</v>
      </c>
      <c r="P1394" t="str">
        <f>"4170038306                    "</f>
        <v xml:space="preserve">4170038306                    </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v>0</v>
      </c>
      <c r="AM1394">
        <v>0</v>
      </c>
      <c r="AN1394">
        <v>0</v>
      </c>
      <c r="AO1394">
        <v>0</v>
      </c>
      <c r="AP1394">
        <v>0</v>
      </c>
      <c r="AQ1394">
        <v>16.7</v>
      </c>
      <c r="AR1394">
        <v>0</v>
      </c>
      <c r="AS1394">
        <v>0</v>
      </c>
      <c r="AT1394">
        <v>0</v>
      </c>
      <c r="AU1394">
        <v>0</v>
      </c>
      <c r="AV1394">
        <v>0</v>
      </c>
      <c r="AW1394">
        <v>0</v>
      </c>
      <c r="AX1394">
        <v>0</v>
      </c>
      <c r="AY1394">
        <v>0</v>
      </c>
      <c r="AZ1394">
        <v>0</v>
      </c>
      <c r="BA1394">
        <v>0</v>
      </c>
      <c r="BB1394">
        <v>0</v>
      </c>
      <c r="BC1394">
        <v>0</v>
      </c>
      <c r="BD1394">
        <v>0</v>
      </c>
      <c r="BE1394">
        <v>0</v>
      </c>
      <c r="BF1394">
        <v>0</v>
      </c>
      <c r="BG1394">
        <v>0</v>
      </c>
      <c r="BH1394">
        <v>1</v>
      </c>
      <c r="BI1394">
        <v>1</v>
      </c>
      <c r="BJ1394">
        <v>0.2</v>
      </c>
      <c r="BK1394">
        <v>1</v>
      </c>
      <c r="BL1394">
        <v>54.66</v>
      </c>
      <c r="BM1394">
        <v>8.1999999999999993</v>
      </c>
      <c r="BN1394">
        <v>62.86</v>
      </c>
      <c r="BO1394">
        <v>62.86</v>
      </c>
      <c r="BQ1394" t="s">
        <v>2057</v>
      </c>
      <c r="BR1394" t="s">
        <v>84</v>
      </c>
      <c r="BS1394" s="3">
        <v>45792</v>
      </c>
      <c r="BT1394" s="4">
        <v>0.31111111111111112</v>
      </c>
      <c r="BU1394" t="s">
        <v>2058</v>
      </c>
      <c r="BV1394" t="s">
        <v>86</v>
      </c>
      <c r="BY1394">
        <v>1200</v>
      </c>
      <c r="CA1394" t="s">
        <v>279</v>
      </c>
      <c r="CC1394" t="s">
        <v>98</v>
      </c>
      <c r="CD1394">
        <v>1460</v>
      </c>
      <c r="CE1394" t="s">
        <v>88</v>
      </c>
      <c r="CF1394" s="3">
        <v>45792</v>
      </c>
      <c r="CI1394">
        <v>1</v>
      </c>
      <c r="CJ1394">
        <v>1</v>
      </c>
      <c r="CK1394">
        <v>22</v>
      </c>
      <c r="CL1394" t="s">
        <v>89</v>
      </c>
    </row>
    <row r="1395" spans="1:90" x14ac:dyDescent="0.3">
      <c r="A1395" t="s">
        <v>72</v>
      </c>
      <c r="B1395" t="s">
        <v>73</v>
      </c>
      <c r="C1395" t="s">
        <v>74</v>
      </c>
      <c r="E1395" t="str">
        <f>"080065371463"</f>
        <v>080065371463</v>
      </c>
      <c r="F1395" s="3">
        <v>45791</v>
      </c>
      <c r="G1395">
        <v>202602</v>
      </c>
      <c r="H1395" t="s">
        <v>75</v>
      </c>
      <c r="I1395" t="s">
        <v>76</v>
      </c>
      <c r="J1395" t="s">
        <v>77</v>
      </c>
      <c r="K1395" t="s">
        <v>78</v>
      </c>
      <c r="L1395" t="s">
        <v>90</v>
      </c>
      <c r="M1395" t="s">
        <v>91</v>
      </c>
      <c r="N1395" t="s">
        <v>1586</v>
      </c>
      <c r="O1395" t="s">
        <v>82</v>
      </c>
      <c r="P1395" t="str">
        <f>"4170038311                    "</f>
        <v xml:space="preserve">4170038311                    </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c r="AJ1395">
        <v>0</v>
      </c>
      <c r="AK1395">
        <v>0</v>
      </c>
      <c r="AL1395">
        <v>0</v>
      </c>
      <c r="AM1395">
        <v>0</v>
      </c>
      <c r="AN1395">
        <v>0</v>
      </c>
      <c r="AO1395">
        <v>0</v>
      </c>
      <c r="AP1395">
        <v>0</v>
      </c>
      <c r="AQ1395">
        <v>21.38</v>
      </c>
      <c r="AR1395">
        <v>0</v>
      </c>
      <c r="AS1395">
        <v>0</v>
      </c>
      <c r="AT1395">
        <v>0</v>
      </c>
      <c r="AU1395">
        <v>0</v>
      </c>
      <c r="AV1395">
        <v>0</v>
      </c>
      <c r="AW1395">
        <v>0</v>
      </c>
      <c r="AX1395">
        <v>0</v>
      </c>
      <c r="AY1395">
        <v>0</v>
      </c>
      <c r="AZ1395">
        <v>0</v>
      </c>
      <c r="BA1395">
        <v>0</v>
      </c>
      <c r="BB1395">
        <v>0</v>
      </c>
      <c r="BC1395">
        <v>0</v>
      </c>
      <c r="BD1395">
        <v>0</v>
      </c>
      <c r="BE1395">
        <v>0</v>
      </c>
      <c r="BF1395">
        <v>0</v>
      </c>
      <c r="BG1395">
        <v>0</v>
      </c>
      <c r="BH1395">
        <v>1</v>
      </c>
      <c r="BI1395">
        <v>1</v>
      </c>
      <c r="BJ1395">
        <v>1.1000000000000001</v>
      </c>
      <c r="BK1395">
        <v>1.5</v>
      </c>
      <c r="BL1395">
        <v>69.98</v>
      </c>
      <c r="BM1395">
        <v>10.5</v>
      </c>
      <c r="BN1395">
        <v>80.48</v>
      </c>
      <c r="BO1395">
        <v>80.48</v>
      </c>
      <c r="BQ1395" t="s">
        <v>1587</v>
      </c>
      <c r="BR1395" t="s">
        <v>84</v>
      </c>
      <c r="BS1395" s="3">
        <v>45793</v>
      </c>
      <c r="BT1395" s="4">
        <v>0.3888888888888889</v>
      </c>
      <c r="BU1395" t="s">
        <v>1528</v>
      </c>
      <c r="BV1395" t="s">
        <v>89</v>
      </c>
      <c r="BW1395" t="s">
        <v>296</v>
      </c>
      <c r="BX1395" t="s">
        <v>2059</v>
      </c>
      <c r="BY1395">
        <v>5320</v>
      </c>
      <c r="CA1395" t="s">
        <v>824</v>
      </c>
      <c r="CC1395" t="s">
        <v>91</v>
      </c>
      <c r="CD1395">
        <v>6001</v>
      </c>
      <c r="CE1395" t="s">
        <v>116</v>
      </c>
      <c r="CF1395" s="3">
        <v>45793</v>
      </c>
      <c r="CI1395">
        <v>1</v>
      </c>
      <c r="CJ1395">
        <v>2</v>
      </c>
      <c r="CK1395">
        <v>21</v>
      </c>
      <c r="CL1395" t="s">
        <v>89</v>
      </c>
    </row>
    <row r="1396" spans="1:90" x14ac:dyDescent="0.3">
      <c r="A1396" t="s">
        <v>72</v>
      </c>
      <c r="B1396" t="s">
        <v>73</v>
      </c>
      <c r="C1396" t="s">
        <v>74</v>
      </c>
      <c r="E1396" t="str">
        <f>"080065371471"</f>
        <v>080065371471</v>
      </c>
      <c r="F1396" s="3">
        <v>45791</v>
      </c>
      <c r="G1396">
        <v>202602</v>
      </c>
      <c r="H1396" t="s">
        <v>75</v>
      </c>
      <c r="I1396" t="s">
        <v>76</v>
      </c>
      <c r="J1396" t="s">
        <v>77</v>
      </c>
      <c r="K1396" t="s">
        <v>78</v>
      </c>
      <c r="L1396" t="s">
        <v>130</v>
      </c>
      <c r="M1396" t="s">
        <v>131</v>
      </c>
      <c r="N1396" t="s">
        <v>327</v>
      </c>
      <c r="O1396" t="s">
        <v>82</v>
      </c>
      <c r="P1396" t="str">
        <f>"4170038276                    "</f>
        <v xml:space="preserve">4170038276                    </v>
      </c>
      <c r="Q1396">
        <v>0</v>
      </c>
      <c r="R1396">
        <v>0</v>
      </c>
      <c r="S1396">
        <v>0</v>
      </c>
      <c r="T1396">
        <v>0</v>
      </c>
      <c r="U1396">
        <v>0</v>
      </c>
      <c r="V1396">
        <v>0</v>
      </c>
      <c r="W1396">
        <v>0</v>
      </c>
      <c r="X1396">
        <v>0</v>
      </c>
      <c r="Y1396">
        <v>0</v>
      </c>
      <c r="Z1396">
        <v>0</v>
      </c>
      <c r="AA1396">
        <v>0</v>
      </c>
      <c r="AB1396">
        <v>0</v>
      </c>
      <c r="AC1396">
        <v>0</v>
      </c>
      <c r="AD1396">
        <v>0</v>
      </c>
      <c r="AE1396">
        <v>0</v>
      </c>
      <c r="AF1396">
        <v>0</v>
      </c>
      <c r="AG1396">
        <v>0</v>
      </c>
      <c r="AH1396">
        <v>0</v>
      </c>
      <c r="AI1396">
        <v>0</v>
      </c>
      <c r="AJ1396">
        <v>0</v>
      </c>
      <c r="AK1396">
        <v>0</v>
      </c>
      <c r="AL1396">
        <v>0</v>
      </c>
      <c r="AM1396">
        <v>0</v>
      </c>
      <c r="AN1396">
        <v>0</v>
      </c>
      <c r="AO1396">
        <v>0</v>
      </c>
      <c r="AP1396">
        <v>0</v>
      </c>
      <c r="AQ1396">
        <v>21.38</v>
      </c>
      <c r="AR1396">
        <v>0</v>
      </c>
      <c r="AS1396">
        <v>0</v>
      </c>
      <c r="AT1396">
        <v>0</v>
      </c>
      <c r="AU1396">
        <v>0</v>
      </c>
      <c r="AV1396">
        <v>0</v>
      </c>
      <c r="AW1396">
        <v>0</v>
      </c>
      <c r="AX1396">
        <v>0</v>
      </c>
      <c r="AY1396">
        <v>0</v>
      </c>
      <c r="AZ1396">
        <v>0</v>
      </c>
      <c r="BA1396">
        <v>0</v>
      </c>
      <c r="BB1396">
        <v>0</v>
      </c>
      <c r="BC1396">
        <v>0</v>
      </c>
      <c r="BD1396">
        <v>0</v>
      </c>
      <c r="BE1396">
        <v>0</v>
      </c>
      <c r="BF1396">
        <v>0</v>
      </c>
      <c r="BG1396">
        <v>0</v>
      </c>
      <c r="BH1396">
        <v>1</v>
      </c>
      <c r="BI1396">
        <v>1</v>
      </c>
      <c r="BJ1396">
        <v>0.2</v>
      </c>
      <c r="BK1396">
        <v>1</v>
      </c>
      <c r="BL1396">
        <v>69.98</v>
      </c>
      <c r="BM1396">
        <v>10.5</v>
      </c>
      <c r="BN1396">
        <v>80.48</v>
      </c>
      <c r="BO1396">
        <v>80.48</v>
      </c>
      <c r="BQ1396" t="s">
        <v>328</v>
      </c>
      <c r="BR1396" t="s">
        <v>84</v>
      </c>
      <c r="BS1396" s="3">
        <v>45792</v>
      </c>
      <c r="BT1396" s="4">
        <v>0.36041666666666666</v>
      </c>
      <c r="BU1396" t="s">
        <v>2060</v>
      </c>
      <c r="BV1396" t="s">
        <v>86</v>
      </c>
      <c r="BY1396">
        <v>1200</v>
      </c>
      <c r="CA1396" t="s">
        <v>330</v>
      </c>
      <c r="CC1396" t="s">
        <v>131</v>
      </c>
      <c r="CD1396">
        <v>7480</v>
      </c>
      <c r="CE1396" t="s">
        <v>88</v>
      </c>
      <c r="CF1396" s="3">
        <v>45793</v>
      </c>
      <c r="CI1396">
        <v>1</v>
      </c>
      <c r="CJ1396">
        <v>1</v>
      </c>
      <c r="CK1396">
        <v>21</v>
      </c>
      <c r="CL1396" t="s">
        <v>89</v>
      </c>
    </row>
    <row r="1397" spans="1:90" x14ac:dyDescent="0.3">
      <c r="A1397" t="s">
        <v>72</v>
      </c>
      <c r="B1397" t="s">
        <v>73</v>
      </c>
      <c r="C1397" t="s">
        <v>74</v>
      </c>
      <c r="E1397" t="str">
        <f>"080065371474"</f>
        <v>080065371474</v>
      </c>
      <c r="F1397" s="3">
        <v>45791</v>
      </c>
      <c r="G1397">
        <v>202602</v>
      </c>
      <c r="H1397" t="s">
        <v>75</v>
      </c>
      <c r="I1397" t="s">
        <v>76</v>
      </c>
      <c r="J1397" t="s">
        <v>77</v>
      </c>
      <c r="K1397" t="s">
        <v>78</v>
      </c>
      <c r="L1397" t="s">
        <v>97</v>
      </c>
      <c r="M1397" t="s">
        <v>98</v>
      </c>
      <c r="N1397" t="s">
        <v>1061</v>
      </c>
      <c r="O1397" t="s">
        <v>82</v>
      </c>
      <c r="P1397" t="str">
        <f>"4170038342                    "</f>
        <v xml:space="preserve">4170038342                    </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c r="AJ1397">
        <v>0</v>
      </c>
      <c r="AK1397">
        <v>0</v>
      </c>
      <c r="AL1397">
        <v>0</v>
      </c>
      <c r="AM1397">
        <v>0</v>
      </c>
      <c r="AN1397">
        <v>0</v>
      </c>
      <c r="AO1397">
        <v>0</v>
      </c>
      <c r="AP1397">
        <v>0</v>
      </c>
      <c r="AQ1397">
        <v>16.7</v>
      </c>
      <c r="AR1397">
        <v>0</v>
      </c>
      <c r="AS1397">
        <v>0</v>
      </c>
      <c r="AT1397">
        <v>0</v>
      </c>
      <c r="AU1397">
        <v>0</v>
      </c>
      <c r="AV1397">
        <v>0</v>
      </c>
      <c r="AW1397">
        <v>0</v>
      </c>
      <c r="AX1397">
        <v>0</v>
      </c>
      <c r="AY1397">
        <v>0</v>
      </c>
      <c r="AZ1397">
        <v>0</v>
      </c>
      <c r="BA1397">
        <v>0</v>
      </c>
      <c r="BB1397">
        <v>0</v>
      </c>
      <c r="BC1397">
        <v>0</v>
      </c>
      <c r="BD1397">
        <v>0</v>
      </c>
      <c r="BE1397">
        <v>0</v>
      </c>
      <c r="BF1397">
        <v>0</v>
      </c>
      <c r="BG1397">
        <v>0</v>
      </c>
      <c r="BH1397">
        <v>1</v>
      </c>
      <c r="BI1397">
        <v>6</v>
      </c>
      <c r="BJ1397">
        <v>1.9</v>
      </c>
      <c r="BK1397">
        <v>6</v>
      </c>
      <c r="BL1397">
        <v>54.66</v>
      </c>
      <c r="BM1397">
        <v>8.1999999999999993</v>
      </c>
      <c r="BN1397">
        <v>62.86</v>
      </c>
      <c r="BO1397">
        <v>62.86</v>
      </c>
      <c r="BQ1397" t="s">
        <v>1062</v>
      </c>
      <c r="BR1397" t="s">
        <v>84</v>
      </c>
      <c r="BS1397" s="3">
        <v>45792</v>
      </c>
      <c r="BT1397" s="4">
        <v>0.37013888888888891</v>
      </c>
      <c r="BU1397" t="s">
        <v>2061</v>
      </c>
      <c r="BV1397" t="s">
        <v>86</v>
      </c>
      <c r="BY1397">
        <v>9600</v>
      </c>
      <c r="CA1397" t="s">
        <v>2062</v>
      </c>
      <c r="CC1397" t="s">
        <v>98</v>
      </c>
      <c r="CD1397">
        <v>1459</v>
      </c>
      <c r="CE1397" t="s">
        <v>116</v>
      </c>
      <c r="CF1397" s="3">
        <v>45792</v>
      </c>
      <c r="CI1397">
        <v>1</v>
      </c>
      <c r="CJ1397">
        <v>1</v>
      </c>
      <c r="CK1397">
        <v>22</v>
      </c>
      <c r="CL1397" t="s">
        <v>89</v>
      </c>
    </row>
    <row r="1398" spans="1:90" x14ac:dyDescent="0.3">
      <c r="A1398" t="s">
        <v>72</v>
      </c>
      <c r="B1398" t="s">
        <v>73</v>
      </c>
      <c r="C1398" t="s">
        <v>74</v>
      </c>
      <c r="E1398" t="str">
        <f>"080065371493"</f>
        <v>080065371493</v>
      </c>
      <c r="F1398" s="3">
        <v>45791</v>
      </c>
      <c r="G1398">
        <v>202602</v>
      </c>
      <c r="H1398" t="s">
        <v>75</v>
      </c>
      <c r="I1398" t="s">
        <v>76</v>
      </c>
      <c r="J1398" t="s">
        <v>77</v>
      </c>
      <c r="K1398" t="s">
        <v>78</v>
      </c>
      <c r="L1398" t="s">
        <v>103</v>
      </c>
      <c r="M1398" t="s">
        <v>104</v>
      </c>
      <c r="N1398" t="s">
        <v>686</v>
      </c>
      <c r="O1398" t="s">
        <v>82</v>
      </c>
      <c r="P1398" t="str">
        <f>"4170038280                    "</f>
        <v xml:space="preserve">4170038280                    </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c r="AJ1398">
        <v>0</v>
      </c>
      <c r="AK1398">
        <v>0</v>
      </c>
      <c r="AL1398">
        <v>0</v>
      </c>
      <c r="AM1398">
        <v>0</v>
      </c>
      <c r="AN1398">
        <v>0</v>
      </c>
      <c r="AO1398">
        <v>0</v>
      </c>
      <c r="AP1398">
        <v>0</v>
      </c>
      <c r="AQ1398">
        <v>21.38</v>
      </c>
      <c r="AR1398">
        <v>0</v>
      </c>
      <c r="AS1398">
        <v>0</v>
      </c>
      <c r="AT1398">
        <v>0</v>
      </c>
      <c r="AU1398">
        <v>0</v>
      </c>
      <c r="AV1398">
        <v>0</v>
      </c>
      <c r="AW1398">
        <v>0</v>
      </c>
      <c r="AX1398">
        <v>0</v>
      </c>
      <c r="AY1398">
        <v>0</v>
      </c>
      <c r="AZ1398">
        <v>0</v>
      </c>
      <c r="BA1398">
        <v>0</v>
      </c>
      <c r="BB1398">
        <v>0</v>
      </c>
      <c r="BC1398">
        <v>0</v>
      </c>
      <c r="BD1398">
        <v>0</v>
      </c>
      <c r="BE1398">
        <v>0</v>
      </c>
      <c r="BF1398">
        <v>0</v>
      </c>
      <c r="BG1398">
        <v>0</v>
      </c>
      <c r="BH1398">
        <v>1</v>
      </c>
      <c r="BI1398">
        <v>2</v>
      </c>
      <c r="BJ1398">
        <v>0.9</v>
      </c>
      <c r="BK1398">
        <v>2</v>
      </c>
      <c r="BL1398">
        <v>69.98</v>
      </c>
      <c r="BM1398">
        <v>10.5</v>
      </c>
      <c r="BN1398">
        <v>80.48</v>
      </c>
      <c r="BO1398">
        <v>80.48</v>
      </c>
      <c r="BQ1398" t="s">
        <v>687</v>
      </c>
      <c r="BR1398" t="s">
        <v>84</v>
      </c>
      <c r="BS1398" s="3">
        <v>45792</v>
      </c>
      <c r="BT1398" s="4">
        <v>0.41666666666666669</v>
      </c>
      <c r="BU1398" t="s">
        <v>1168</v>
      </c>
      <c r="BV1398" t="s">
        <v>86</v>
      </c>
      <c r="BY1398">
        <v>4560</v>
      </c>
      <c r="CA1398" t="s">
        <v>1169</v>
      </c>
      <c r="CC1398" t="s">
        <v>104</v>
      </c>
      <c r="CD1398">
        <v>3201</v>
      </c>
      <c r="CE1398" t="s">
        <v>116</v>
      </c>
      <c r="CF1398" s="3">
        <v>45792</v>
      </c>
      <c r="CI1398">
        <v>1</v>
      </c>
      <c r="CJ1398">
        <v>1</v>
      </c>
      <c r="CK1398">
        <v>21</v>
      </c>
      <c r="CL1398" t="s">
        <v>89</v>
      </c>
    </row>
    <row r="1399" spans="1:90" x14ac:dyDescent="0.3">
      <c r="A1399" t="s">
        <v>72</v>
      </c>
      <c r="B1399" t="s">
        <v>73</v>
      </c>
      <c r="C1399" t="s">
        <v>74</v>
      </c>
      <c r="E1399" t="str">
        <f>"080065371495"</f>
        <v>080065371495</v>
      </c>
      <c r="F1399" s="3">
        <v>45791</v>
      </c>
      <c r="G1399">
        <v>202602</v>
      </c>
      <c r="H1399" t="s">
        <v>75</v>
      </c>
      <c r="I1399" t="s">
        <v>76</v>
      </c>
      <c r="J1399" t="s">
        <v>77</v>
      </c>
      <c r="K1399" t="s">
        <v>78</v>
      </c>
      <c r="L1399" t="s">
        <v>97</v>
      </c>
      <c r="M1399" t="s">
        <v>98</v>
      </c>
      <c r="N1399" t="s">
        <v>2056</v>
      </c>
      <c r="O1399" t="s">
        <v>82</v>
      </c>
      <c r="P1399" t="str">
        <f>"4170038307                    "</f>
        <v xml:space="preserve">4170038307                    </v>
      </c>
      <c r="Q1399">
        <v>0</v>
      </c>
      <c r="R1399">
        <v>0</v>
      </c>
      <c r="S1399">
        <v>0</v>
      </c>
      <c r="T1399">
        <v>0</v>
      </c>
      <c r="U1399">
        <v>0</v>
      </c>
      <c r="V1399">
        <v>0</v>
      </c>
      <c r="W1399">
        <v>0</v>
      </c>
      <c r="X1399">
        <v>0</v>
      </c>
      <c r="Y1399">
        <v>0</v>
      </c>
      <c r="Z1399">
        <v>0</v>
      </c>
      <c r="AA1399">
        <v>0</v>
      </c>
      <c r="AB1399">
        <v>0</v>
      </c>
      <c r="AC1399">
        <v>0</v>
      </c>
      <c r="AD1399">
        <v>0</v>
      </c>
      <c r="AE1399">
        <v>0</v>
      </c>
      <c r="AF1399">
        <v>0</v>
      </c>
      <c r="AG1399">
        <v>0</v>
      </c>
      <c r="AH1399">
        <v>0</v>
      </c>
      <c r="AI1399">
        <v>0</v>
      </c>
      <c r="AJ1399">
        <v>0</v>
      </c>
      <c r="AK1399">
        <v>0</v>
      </c>
      <c r="AL1399">
        <v>0</v>
      </c>
      <c r="AM1399">
        <v>0</v>
      </c>
      <c r="AN1399">
        <v>0</v>
      </c>
      <c r="AO1399">
        <v>0</v>
      </c>
      <c r="AP1399">
        <v>0</v>
      </c>
      <c r="AQ1399">
        <v>16.7</v>
      </c>
      <c r="AR1399">
        <v>0</v>
      </c>
      <c r="AS1399">
        <v>0</v>
      </c>
      <c r="AT1399">
        <v>0</v>
      </c>
      <c r="AU1399">
        <v>0</v>
      </c>
      <c r="AV1399">
        <v>0</v>
      </c>
      <c r="AW1399">
        <v>0</v>
      </c>
      <c r="AX1399">
        <v>0</v>
      </c>
      <c r="AY1399">
        <v>0</v>
      </c>
      <c r="AZ1399">
        <v>0</v>
      </c>
      <c r="BA1399">
        <v>0</v>
      </c>
      <c r="BB1399">
        <v>0</v>
      </c>
      <c r="BC1399">
        <v>0</v>
      </c>
      <c r="BD1399">
        <v>0</v>
      </c>
      <c r="BE1399">
        <v>0</v>
      </c>
      <c r="BF1399">
        <v>0</v>
      </c>
      <c r="BG1399">
        <v>0</v>
      </c>
      <c r="BH1399">
        <v>1</v>
      </c>
      <c r="BI1399">
        <v>1</v>
      </c>
      <c r="BJ1399">
        <v>0.2</v>
      </c>
      <c r="BK1399">
        <v>1</v>
      </c>
      <c r="BL1399">
        <v>54.66</v>
      </c>
      <c r="BM1399">
        <v>8.1999999999999993</v>
      </c>
      <c r="BN1399">
        <v>62.86</v>
      </c>
      <c r="BO1399">
        <v>62.86</v>
      </c>
      <c r="BQ1399" t="s">
        <v>2057</v>
      </c>
      <c r="BR1399" t="s">
        <v>84</v>
      </c>
      <c r="BS1399" s="3">
        <v>45792</v>
      </c>
      <c r="BT1399" s="4">
        <v>0.3125</v>
      </c>
      <c r="BU1399" t="s">
        <v>2058</v>
      </c>
      <c r="BV1399" t="s">
        <v>86</v>
      </c>
      <c r="BY1399">
        <v>1200</v>
      </c>
      <c r="CA1399" t="s">
        <v>279</v>
      </c>
      <c r="CC1399" t="s">
        <v>98</v>
      </c>
      <c r="CD1399">
        <v>1460</v>
      </c>
      <c r="CE1399" t="s">
        <v>88</v>
      </c>
      <c r="CF1399" s="3">
        <v>45792</v>
      </c>
      <c r="CI1399">
        <v>1</v>
      </c>
      <c r="CJ1399">
        <v>1</v>
      </c>
      <c r="CK1399">
        <v>22</v>
      </c>
      <c r="CL1399" t="s">
        <v>89</v>
      </c>
    </row>
    <row r="1400" spans="1:90" x14ac:dyDescent="0.3">
      <c r="A1400" t="s">
        <v>72</v>
      </c>
      <c r="B1400" t="s">
        <v>73</v>
      </c>
      <c r="C1400" t="s">
        <v>74</v>
      </c>
      <c r="E1400" t="str">
        <f>"080065371506"</f>
        <v>080065371506</v>
      </c>
      <c r="F1400" s="3">
        <v>45791</v>
      </c>
      <c r="G1400">
        <v>202602</v>
      </c>
      <c r="H1400" t="s">
        <v>75</v>
      </c>
      <c r="I1400" t="s">
        <v>76</v>
      </c>
      <c r="J1400" t="s">
        <v>77</v>
      </c>
      <c r="K1400" t="s">
        <v>78</v>
      </c>
      <c r="L1400" t="s">
        <v>331</v>
      </c>
      <c r="M1400" t="s">
        <v>332</v>
      </c>
      <c r="N1400" t="s">
        <v>499</v>
      </c>
      <c r="O1400" t="s">
        <v>82</v>
      </c>
      <c r="P1400" t="str">
        <f>"4170038361                    "</f>
        <v xml:space="preserve">4170038361                    </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0</v>
      </c>
      <c r="AK1400">
        <v>0</v>
      </c>
      <c r="AL1400">
        <v>0</v>
      </c>
      <c r="AM1400">
        <v>0</v>
      </c>
      <c r="AN1400">
        <v>0</v>
      </c>
      <c r="AO1400">
        <v>0</v>
      </c>
      <c r="AP1400">
        <v>0</v>
      </c>
      <c r="AQ1400">
        <v>16.7</v>
      </c>
      <c r="AR1400">
        <v>0</v>
      </c>
      <c r="AS1400">
        <v>0</v>
      </c>
      <c r="AT1400">
        <v>0</v>
      </c>
      <c r="AU1400">
        <v>0</v>
      </c>
      <c r="AV1400">
        <v>0</v>
      </c>
      <c r="AW1400">
        <v>0</v>
      </c>
      <c r="AX1400">
        <v>0</v>
      </c>
      <c r="AY1400">
        <v>0</v>
      </c>
      <c r="AZ1400">
        <v>0</v>
      </c>
      <c r="BA1400">
        <v>0</v>
      </c>
      <c r="BB1400">
        <v>0</v>
      </c>
      <c r="BC1400">
        <v>0</v>
      </c>
      <c r="BD1400">
        <v>0</v>
      </c>
      <c r="BE1400">
        <v>0</v>
      </c>
      <c r="BF1400">
        <v>0</v>
      </c>
      <c r="BG1400">
        <v>0</v>
      </c>
      <c r="BH1400">
        <v>1</v>
      </c>
      <c r="BI1400">
        <v>1</v>
      </c>
      <c r="BJ1400">
        <v>0.2</v>
      </c>
      <c r="BK1400">
        <v>1</v>
      </c>
      <c r="BL1400">
        <v>54.66</v>
      </c>
      <c r="BM1400">
        <v>8.1999999999999993</v>
      </c>
      <c r="BN1400">
        <v>62.86</v>
      </c>
      <c r="BO1400">
        <v>62.86</v>
      </c>
      <c r="BQ1400" t="s">
        <v>500</v>
      </c>
      <c r="BR1400" t="s">
        <v>84</v>
      </c>
      <c r="BS1400" s="3">
        <v>45792</v>
      </c>
      <c r="BT1400" s="4">
        <v>0.375</v>
      </c>
      <c r="BU1400" t="s">
        <v>2063</v>
      </c>
      <c r="BV1400" t="s">
        <v>86</v>
      </c>
      <c r="BY1400">
        <v>1200</v>
      </c>
      <c r="CA1400" t="s">
        <v>336</v>
      </c>
      <c r="CC1400" t="s">
        <v>332</v>
      </c>
      <c r="CD1400">
        <v>1451</v>
      </c>
      <c r="CE1400" t="s">
        <v>88</v>
      </c>
      <c r="CF1400" s="3">
        <v>45792</v>
      </c>
      <c r="CI1400">
        <v>1</v>
      </c>
      <c r="CJ1400">
        <v>1</v>
      </c>
      <c r="CK1400">
        <v>22</v>
      </c>
      <c r="CL1400" t="s">
        <v>89</v>
      </c>
    </row>
    <row r="1401" spans="1:90" x14ac:dyDescent="0.3">
      <c r="A1401" t="s">
        <v>72</v>
      </c>
      <c r="B1401" t="s">
        <v>73</v>
      </c>
      <c r="C1401" t="s">
        <v>74</v>
      </c>
      <c r="E1401" t="str">
        <f>"080065371524"</f>
        <v>080065371524</v>
      </c>
      <c r="F1401" s="3">
        <v>45791</v>
      </c>
      <c r="G1401">
        <v>202602</v>
      </c>
      <c r="H1401" t="s">
        <v>75</v>
      </c>
      <c r="I1401" t="s">
        <v>76</v>
      </c>
      <c r="J1401" t="s">
        <v>77</v>
      </c>
      <c r="K1401" t="s">
        <v>78</v>
      </c>
      <c r="L1401" t="s">
        <v>463</v>
      </c>
      <c r="M1401" t="s">
        <v>464</v>
      </c>
      <c r="N1401" t="s">
        <v>2064</v>
      </c>
      <c r="O1401" t="s">
        <v>82</v>
      </c>
      <c r="P1401" t="str">
        <f>"4170038318                    "</f>
        <v xml:space="preserve">4170038318                    </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0</v>
      </c>
      <c r="AL1401">
        <v>0</v>
      </c>
      <c r="AM1401">
        <v>0</v>
      </c>
      <c r="AN1401">
        <v>0</v>
      </c>
      <c r="AO1401">
        <v>0</v>
      </c>
      <c r="AP1401">
        <v>0</v>
      </c>
      <c r="AQ1401">
        <v>21.38</v>
      </c>
      <c r="AR1401">
        <v>0</v>
      </c>
      <c r="AS1401">
        <v>0</v>
      </c>
      <c r="AT1401">
        <v>0</v>
      </c>
      <c r="AU1401">
        <v>0</v>
      </c>
      <c r="AV1401">
        <v>0</v>
      </c>
      <c r="AW1401">
        <v>0</v>
      </c>
      <c r="AX1401">
        <v>0</v>
      </c>
      <c r="AY1401">
        <v>0</v>
      </c>
      <c r="AZ1401">
        <v>0</v>
      </c>
      <c r="BA1401">
        <v>0</v>
      </c>
      <c r="BB1401">
        <v>0</v>
      </c>
      <c r="BC1401">
        <v>0</v>
      </c>
      <c r="BD1401">
        <v>0</v>
      </c>
      <c r="BE1401">
        <v>0</v>
      </c>
      <c r="BF1401">
        <v>0</v>
      </c>
      <c r="BG1401">
        <v>0</v>
      </c>
      <c r="BH1401">
        <v>1</v>
      </c>
      <c r="BI1401">
        <v>1</v>
      </c>
      <c r="BJ1401">
        <v>0.2</v>
      </c>
      <c r="BK1401">
        <v>1</v>
      </c>
      <c r="BL1401">
        <v>69.98</v>
      </c>
      <c r="BM1401">
        <v>10.5</v>
      </c>
      <c r="BN1401">
        <v>80.48</v>
      </c>
      <c r="BO1401">
        <v>80.48</v>
      </c>
      <c r="BQ1401" t="s">
        <v>2065</v>
      </c>
      <c r="BR1401" t="s">
        <v>84</v>
      </c>
      <c r="BS1401" s="3">
        <v>45792</v>
      </c>
      <c r="BT1401" s="4">
        <v>0.41041666666666665</v>
      </c>
      <c r="BU1401" t="s">
        <v>2066</v>
      </c>
      <c r="BV1401" t="s">
        <v>86</v>
      </c>
      <c r="BY1401">
        <v>1200</v>
      </c>
      <c r="CA1401" t="s">
        <v>468</v>
      </c>
      <c r="CC1401" t="s">
        <v>464</v>
      </c>
      <c r="CD1401">
        <v>5201</v>
      </c>
      <c r="CE1401" t="s">
        <v>88</v>
      </c>
      <c r="CF1401" s="3">
        <v>45792</v>
      </c>
      <c r="CI1401">
        <v>1</v>
      </c>
      <c r="CJ1401">
        <v>1</v>
      </c>
      <c r="CK1401">
        <v>21</v>
      </c>
      <c r="CL1401" t="s">
        <v>89</v>
      </c>
    </row>
    <row r="1402" spans="1:90" x14ac:dyDescent="0.3">
      <c r="A1402" t="s">
        <v>72</v>
      </c>
      <c r="B1402" t="s">
        <v>73</v>
      </c>
      <c r="C1402" t="s">
        <v>74</v>
      </c>
      <c r="E1402" t="str">
        <f>"080065371527"</f>
        <v>080065371527</v>
      </c>
      <c r="F1402" s="3">
        <v>45791</v>
      </c>
      <c r="G1402">
        <v>202602</v>
      </c>
      <c r="H1402" t="s">
        <v>75</v>
      </c>
      <c r="I1402" t="s">
        <v>76</v>
      </c>
      <c r="J1402" t="s">
        <v>77</v>
      </c>
      <c r="K1402" t="s">
        <v>78</v>
      </c>
      <c r="L1402" t="s">
        <v>136</v>
      </c>
      <c r="M1402" t="s">
        <v>137</v>
      </c>
      <c r="N1402" t="s">
        <v>735</v>
      </c>
      <c r="O1402" t="s">
        <v>82</v>
      </c>
      <c r="P1402" t="str">
        <f>"4170038275                    "</f>
        <v xml:space="preserve">4170038275                    </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c r="AJ1402">
        <v>0</v>
      </c>
      <c r="AK1402">
        <v>0</v>
      </c>
      <c r="AL1402">
        <v>0</v>
      </c>
      <c r="AM1402">
        <v>0</v>
      </c>
      <c r="AN1402">
        <v>0</v>
      </c>
      <c r="AO1402">
        <v>0</v>
      </c>
      <c r="AP1402">
        <v>0</v>
      </c>
      <c r="AQ1402">
        <v>21.38</v>
      </c>
      <c r="AR1402">
        <v>0</v>
      </c>
      <c r="AS1402">
        <v>0</v>
      </c>
      <c r="AT1402">
        <v>0</v>
      </c>
      <c r="AU1402">
        <v>0</v>
      </c>
      <c r="AV1402">
        <v>0</v>
      </c>
      <c r="AW1402">
        <v>0</v>
      </c>
      <c r="AX1402">
        <v>0</v>
      </c>
      <c r="AY1402">
        <v>0</v>
      </c>
      <c r="AZ1402">
        <v>0</v>
      </c>
      <c r="BA1402">
        <v>0</v>
      </c>
      <c r="BB1402">
        <v>0</v>
      </c>
      <c r="BC1402">
        <v>0</v>
      </c>
      <c r="BD1402">
        <v>0</v>
      </c>
      <c r="BE1402">
        <v>0</v>
      </c>
      <c r="BF1402">
        <v>0</v>
      </c>
      <c r="BG1402">
        <v>0</v>
      </c>
      <c r="BH1402">
        <v>1</v>
      </c>
      <c r="BI1402">
        <v>1</v>
      </c>
      <c r="BJ1402">
        <v>0.2</v>
      </c>
      <c r="BK1402">
        <v>1</v>
      </c>
      <c r="BL1402">
        <v>69.98</v>
      </c>
      <c r="BM1402">
        <v>10.5</v>
      </c>
      <c r="BN1402">
        <v>80.48</v>
      </c>
      <c r="BO1402">
        <v>80.48</v>
      </c>
      <c r="BQ1402" t="s">
        <v>736</v>
      </c>
      <c r="BR1402" t="s">
        <v>84</v>
      </c>
      <c r="BS1402" s="3">
        <v>45792</v>
      </c>
      <c r="BT1402" s="4">
        <v>0.37916666666666665</v>
      </c>
      <c r="BU1402" t="s">
        <v>1699</v>
      </c>
      <c r="BV1402" t="s">
        <v>86</v>
      </c>
      <c r="BY1402">
        <v>1200</v>
      </c>
      <c r="CA1402" t="s">
        <v>258</v>
      </c>
      <c r="CC1402" t="s">
        <v>137</v>
      </c>
      <c r="CD1402" s="5" t="s">
        <v>738</v>
      </c>
      <c r="CE1402" t="s">
        <v>88</v>
      </c>
      <c r="CF1402" s="3">
        <v>45792</v>
      </c>
      <c r="CI1402">
        <v>1</v>
      </c>
      <c r="CJ1402">
        <v>1</v>
      </c>
      <c r="CK1402">
        <v>21</v>
      </c>
      <c r="CL1402" t="s">
        <v>89</v>
      </c>
    </row>
    <row r="1403" spans="1:90" x14ac:dyDescent="0.3">
      <c r="A1403" t="s">
        <v>72</v>
      </c>
      <c r="B1403" t="s">
        <v>73</v>
      </c>
      <c r="C1403" t="s">
        <v>74</v>
      </c>
      <c r="E1403" t="str">
        <f>"080065371534"</f>
        <v>080065371534</v>
      </c>
      <c r="F1403" s="3">
        <v>45791</v>
      </c>
      <c r="G1403">
        <v>202602</v>
      </c>
      <c r="H1403" t="s">
        <v>75</v>
      </c>
      <c r="I1403" t="s">
        <v>76</v>
      </c>
      <c r="J1403" t="s">
        <v>77</v>
      </c>
      <c r="K1403" t="s">
        <v>78</v>
      </c>
      <c r="L1403" t="s">
        <v>130</v>
      </c>
      <c r="M1403" t="s">
        <v>131</v>
      </c>
      <c r="N1403" t="s">
        <v>343</v>
      </c>
      <c r="O1403" t="s">
        <v>82</v>
      </c>
      <c r="P1403" t="str">
        <f>"4170038368                    "</f>
        <v xml:space="preserve">4170038368                    </v>
      </c>
      <c r="Q1403">
        <v>0</v>
      </c>
      <c r="R1403">
        <v>0</v>
      </c>
      <c r="S1403">
        <v>0</v>
      </c>
      <c r="T1403">
        <v>0</v>
      </c>
      <c r="U1403">
        <v>0</v>
      </c>
      <c r="V1403">
        <v>0</v>
      </c>
      <c r="W1403">
        <v>0</v>
      </c>
      <c r="X1403">
        <v>0</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v>0</v>
      </c>
      <c r="AQ1403">
        <v>21.38</v>
      </c>
      <c r="AR1403">
        <v>0</v>
      </c>
      <c r="AS1403">
        <v>0</v>
      </c>
      <c r="AT1403">
        <v>0</v>
      </c>
      <c r="AU1403">
        <v>0</v>
      </c>
      <c r="AV1403">
        <v>0</v>
      </c>
      <c r="AW1403">
        <v>0</v>
      </c>
      <c r="AX1403">
        <v>0</v>
      </c>
      <c r="AY1403">
        <v>0</v>
      </c>
      <c r="AZ1403">
        <v>0</v>
      </c>
      <c r="BA1403">
        <v>0</v>
      </c>
      <c r="BB1403">
        <v>0</v>
      </c>
      <c r="BC1403">
        <v>0</v>
      </c>
      <c r="BD1403">
        <v>0</v>
      </c>
      <c r="BE1403">
        <v>0</v>
      </c>
      <c r="BF1403">
        <v>0</v>
      </c>
      <c r="BG1403">
        <v>0</v>
      </c>
      <c r="BH1403">
        <v>1</v>
      </c>
      <c r="BI1403">
        <v>1</v>
      </c>
      <c r="BJ1403">
        <v>0.2</v>
      </c>
      <c r="BK1403">
        <v>1</v>
      </c>
      <c r="BL1403">
        <v>69.98</v>
      </c>
      <c r="BM1403">
        <v>10.5</v>
      </c>
      <c r="BN1403">
        <v>80.48</v>
      </c>
      <c r="BO1403">
        <v>80.48</v>
      </c>
      <c r="BQ1403" t="s">
        <v>344</v>
      </c>
      <c r="BR1403" t="s">
        <v>84</v>
      </c>
      <c r="BS1403" s="3">
        <v>45792</v>
      </c>
      <c r="BT1403" s="4">
        <v>0.3923611111111111</v>
      </c>
      <c r="BU1403" t="s">
        <v>345</v>
      </c>
      <c r="BV1403" t="s">
        <v>86</v>
      </c>
      <c r="BY1403">
        <v>1200</v>
      </c>
      <c r="CA1403" t="s">
        <v>242</v>
      </c>
      <c r="CC1403" t="s">
        <v>131</v>
      </c>
      <c r="CD1403">
        <v>7441</v>
      </c>
      <c r="CE1403" t="s">
        <v>88</v>
      </c>
      <c r="CF1403" s="3">
        <v>45793</v>
      </c>
      <c r="CI1403">
        <v>1</v>
      </c>
      <c r="CJ1403">
        <v>1</v>
      </c>
      <c r="CK1403">
        <v>21</v>
      </c>
      <c r="CL1403" t="s">
        <v>89</v>
      </c>
    </row>
    <row r="1404" spans="1:90" x14ac:dyDescent="0.3">
      <c r="A1404" t="s">
        <v>72</v>
      </c>
      <c r="B1404" t="s">
        <v>73</v>
      </c>
      <c r="C1404" t="s">
        <v>74</v>
      </c>
      <c r="E1404" t="str">
        <f>"080065371543"</f>
        <v>080065371543</v>
      </c>
      <c r="F1404" s="3">
        <v>45791</v>
      </c>
      <c r="G1404">
        <v>202602</v>
      </c>
      <c r="H1404" t="s">
        <v>75</v>
      </c>
      <c r="I1404" t="s">
        <v>76</v>
      </c>
      <c r="J1404" t="s">
        <v>77</v>
      </c>
      <c r="K1404" t="s">
        <v>78</v>
      </c>
      <c r="L1404" t="s">
        <v>103</v>
      </c>
      <c r="M1404" t="s">
        <v>104</v>
      </c>
      <c r="N1404" t="s">
        <v>686</v>
      </c>
      <c r="O1404" t="s">
        <v>82</v>
      </c>
      <c r="P1404" t="str">
        <f>"4170038364                    "</f>
        <v xml:space="preserve">4170038364                    </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0</v>
      </c>
      <c r="AL1404">
        <v>0</v>
      </c>
      <c r="AM1404">
        <v>0</v>
      </c>
      <c r="AN1404">
        <v>0</v>
      </c>
      <c r="AO1404">
        <v>0</v>
      </c>
      <c r="AP1404">
        <v>0</v>
      </c>
      <c r="AQ1404">
        <v>21.38</v>
      </c>
      <c r="AR1404">
        <v>0</v>
      </c>
      <c r="AS1404">
        <v>0</v>
      </c>
      <c r="AT1404">
        <v>0</v>
      </c>
      <c r="AU1404">
        <v>0</v>
      </c>
      <c r="AV1404">
        <v>0</v>
      </c>
      <c r="AW1404">
        <v>0</v>
      </c>
      <c r="AX1404">
        <v>0</v>
      </c>
      <c r="AY1404">
        <v>0</v>
      </c>
      <c r="AZ1404">
        <v>0</v>
      </c>
      <c r="BA1404">
        <v>0</v>
      </c>
      <c r="BB1404">
        <v>0</v>
      </c>
      <c r="BC1404">
        <v>0</v>
      </c>
      <c r="BD1404">
        <v>0</v>
      </c>
      <c r="BE1404">
        <v>0</v>
      </c>
      <c r="BF1404">
        <v>0</v>
      </c>
      <c r="BG1404">
        <v>0</v>
      </c>
      <c r="BH1404">
        <v>1</v>
      </c>
      <c r="BI1404">
        <v>1</v>
      </c>
      <c r="BJ1404">
        <v>0.2</v>
      </c>
      <c r="BK1404">
        <v>1</v>
      </c>
      <c r="BL1404">
        <v>69.98</v>
      </c>
      <c r="BM1404">
        <v>10.5</v>
      </c>
      <c r="BN1404">
        <v>80.48</v>
      </c>
      <c r="BO1404">
        <v>80.48</v>
      </c>
      <c r="BQ1404" t="s">
        <v>687</v>
      </c>
      <c r="BR1404" t="s">
        <v>84</v>
      </c>
      <c r="BS1404" s="3">
        <v>45792</v>
      </c>
      <c r="BT1404" s="4">
        <v>0.41666666666666669</v>
      </c>
      <c r="BU1404" t="s">
        <v>1168</v>
      </c>
      <c r="BV1404" t="s">
        <v>86</v>
      </c>
      <c r="BY1404">
        <v>1200</v>
      </c>
      <c r="CA1404" t="s">
        <v>1169</v>
      </c>
      <c r="CC1404" t="s">
        <v>104</v>
      </c>
      <c r="CD1404">
        <v>3201</v>
      </c>
      <c r="CE1404" t="s">
        <v>88</v>
      </c>
      <c r="CF1404" s="3">
        <v>45792</v>
      </c>
      <c r="CI1404">
        <v>1</v>
      </c>
      <c r="CJ1404">
        <v>1</v>
      </c>
      <c r="CK1404">
        <v>21</v>
      </c>
      <c r="CL1404" t="s">
        <v>89</v>
      </c>
    </row>
    <row r="1405" spans="1:90" x14ac:dyDescent="0.3">
      <c r="A1405" t="s">
        <v>72</v>
      </c>
      <c r="B1405" t="s">
        <v>73</v>
      </c>
      <c r="C1405" t="s">
        <v>74</v>
      </c>
      <c r="E1405" t="str">
        <f>"080065371549"</f>
        <v>080065371549</v>
      </c>
      <c r="F1405" s="3">
        <v>45791</v>
      </c>
      <c r="G1405">
        <v>202602</v>
      </c>
      <c r="H1405" t="s">
        <v>75</v>
      </c>
      <c r="I1405" t="s">
        <v>76</v>
      </c>
      <c r="J1405" t="s">
        <v>77</v>
      </c>
      <c r="K1405" t="s">
        <v>78</v>
      </c>
      <c r="L1405" t="s">
        <v>103</v>
      </c>
      <c r="M1405" t="s">
        <v>104</v>
      </c>
      <c r="N1405" t="s">
        <v>2067</v>
      </c>
      <c r="O1405" t="s">
        <v>82</v>
      </c>
      <c r="P1405" t="str">
        <f>"4170038367                    "</f>
        <v xml:space="preserve">4170038367                    </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J1405">
        <v>0</v>
      </c>
      <c r="AK1405">
        <v>0</v>
      </c>
      <c r="AL1405">
        <v>0</v>
      </c>
      <c r="AM1405">
        <v>0</v>
      </c>
      <c r="AN1405">
        <v>0</v>
      </c>
      <c r="AO1405">
        <v>0</v>
      </c>
      <c r="AP1405">
        <v>0</v>
      </c>
      <c r="AQ1405">
        <v>21.38</v>
      </c>
      <c r="AR1405">
        <v>0</v>
      </c>
      <c r="AS1405">
        <v>0</v>
      </c>
      <c r="AT1405">
        <v>0</v>
      </c>
      <c r="AU1405">
        <v>0</v>
      </c>
      <c r="AV1405">
        <v>0</v>
      </c>
      <c r="AW1405">
        <v>0</v>
      </c>
      <c r="AX1405">
        <v>0</v>
      </c>
      <c r="AY1405">
        <v>0</v>
      </c>
      <c r="AZ1405">
        <v>0</v>
      </c>
      <c r="BA1405">
        <v>0</v>
      </c>
      <c r="BB1405">
        <v>0</v>
      </c>
      <c r="BC1405">
        <v>0</v>
      </c>
      <c r="BD1405">
        <v>0</v>
      </c>
      <c r="BE1405">
        <v>0</v>
      </c>
      <c r="BF1405">
        <v>0</v>
      </c>
      <c r="BG1405">
        <v>0</v>
      </c>
      <c r="BH1405">
        <v>1</v>
      </c>
      <c r="BI1405">
        <v>1</v>
      </c>
      <c r="BJ1405">
        <v>0.2</v>
      </c>
      <c r="BK1405">
        <v>1</v>
      </c>
      <c r="BL1405">
        <v>69.98</v>
      </c>
      <c r="BM1405">
        <v>10.5</v>
      </c>
      <c r="BN1405">
        <v>80.48</v>
      </c>
      <c r="BO1405">
        <v>80.48</v>
      </c>
      <c r="BQ1405" t="s">
        <v>2068</v>
      </c>
      <c r="BR1405" t="s">
        <v>84</v>
      </c>
      <c r="BS1405" s="3">
        <v>45792</v>
      </c>
      <c r="BT1405" s="4">
        <v>0.4236111111111111</v>
      </c>
      <c r="BU1405" t="s">
        <v>424</v>
      </c>
      <c r="BV1405" t="s">
        <v>86</v>
      </c>
      <c r="BY1405">
        <v>1200</v>
      </c>
      <c r="CA1405" t="s">
        <v>1375</v>
      </c>
      <c r="CC1405" t="s">
        <v>104</v>
      </c>
      <c r="CD1405">
        <v>3201</v>
      </c>
      <c r="CE1405" t="s">
        <v>88</v>
      </c>
      <c r="CF1405" s="3">
        <v>45792</v>
      </c>
      <c r="CI1405">
        <v>1</v>
      </c>
      <c r="CJ1405">
        <v>1</v>
      </c>
      <c r="CK1405">
        <v>21</v>
      </c>
      <c r="CL1405" t="s">
        <v>89</v>
      </c>
    </row>
    <row r="1406" spans="1:90" x14ac:dyDescent="0.3">
      <c r="A1406" t="s">
        <v>72</v>
      </c>
      <c r="B1406" t="s">
        <v>73</v>
      </c>
      <c r="C1406" t="s">
        <v>74</v>
      </c>
      <c r="E1406" t="str">
        <f>"080065371562"</f>
        <v>080065371562</v>
      </c>
      <c r="F1406" s="3">
        <v>45791</v>
      </c>
      <c r="G1406">
        <v>202602</v>
      </c>
      <c r="H1406" t="s">
        <v>75</v>
      </c>
      <c r="I1406" t="s">
        <v>76</v>
      </c>
      <c r="J1406" t="s">
        <v>77</v>
      </c>
      <c r="K1406" t="s">
        <v>78</v>
      </c>
      <c r="L1406" t="s">
        <v>350</v>
      </c>
      <c r="M1406" t="s">
        <v>351</v>
      </c>
      <c r="N1406" t="s">
        <v>678</v>
      </c>
      <c r="O1406" t="s">
        <v>82</v>
      </c>
      <c r="P1406" t="str">
        <f>"4170038347                    "</f>
        <v xml:space="preserve">4170038347                    </v>
      </c>
      <c r="Q1406">
        <v>0</v>
      </c>
      <c r="R1406">
        <v>0</v>
      </c>
      <c r="S1406">
        <v>0</v>
      </c>
      <c r="T1406">
        <v>0</v>
      </c>
      <c r="U1406">
        <v>0</v>
      </c>
      <c r="V1406">
        <v>0</v>
      </c>
      <c r="W1406">
        <v>0</v>
      </c>
      <c r="X1406">
        <v>0</v>
      </c>
      <c r="Y1406">
        <v>0</v>
      </c>
      <c r="Z1406">
        <v>0</v>
      </c>
      <c r="AA1406">
        <v>0</v>
      </c>
      <c r="AB1406">
        <v>0</v>
      </c>
      <c r="AC1406">
        <v>0</v>
      </c>
      <c r="AD1406">
        <v>0</v>
      </c>
      <c r="AE1406">
        <v>0</v>
      </c>
      <c r="AF1406">
        <v>0</v>
      </c>
      <c r="AG1406">
        <v>0</v>
      </c>
      <c r="AH1406">
        <v>0</v>
      </c>
      <c r="AI1406">
        <v>0</v>
      </c>
      <c r="AJ1406">
        <v>0</v>
      </c>
      <c r="AK1406">
        <v>0</v>
      </c>
      <c r="AL1406">
        <v>0</v>
      </c>
      <c r="AM1406">
        <v>0</v>
      </c>
      <c r="AN1406">
        <v>0</v>
      </c>
      <c r="AO1406">
        <v>0</v>
      </c>
      <c r="AP1406">
        <v>0</v>
      </c>
      <c r="AQ1406">
        <v>21.38</v>
      </c>
      <c r="AR1406">
        <v>0</v>
      </c>
      <c r="AS1406">
        <v>0</v>
      </c>
      <c r="AT1406">
        <v>0</v>
      </c>
      <c r="AU1406">
        <v>0</v>
      </c>
      <c r="AV1406">
        <v>0</v>
      </c>
      <c r="AW1406">
        <v>0</v>
      </c>
      <c r="AX1406">
        <v>0</v>
      </c>
      <c r="AY1406">
        <v>0</v>
      </c>
      <c r="AZ1406">
        <v>0</v>
      </c>
      <c r="BA1406">
        <v>0</v>
      </c>
      <c r="BB1406">
        <v>0</v>
      </c>
      <c r="BC1406">
        <v>0</v>
      </c>
      <c r="BD1406">
        <v>0</v>
      </c>
      <c r="BE1406">
        <v>0</v>
      </c>
      <c r="BF1406">
        <v>0</v>
      </c>
      <c r="BG1406">
        <v>0</v>
      </c>
      <c r="BH1406">
        <v>1</v>
      </c>
      <c r="BI1406">
        <v>1</v>
      </c>
      <c r="BJ1406">
        <v>0.2</v>
      </c>
      <c r="BK1406">
        <v>1</v>
      </c>
      <c r="BL1406">
        <v>69.98</v>
      </c>
      <c r="BM1406">
        <v>10.5</v>
      </c>
      <c r="BN1406">
        <v>80.48</v>
      </c>
      <c r="BO1406">
        <v>80.48</v>
      </c>
      <c r="BQ1406" t="s">
        <v>679</v>
      </c>
      <c r="BR1406" t="s">
        <v>84</v>
      </c>
      <c r="BS1406" s="3">
        <v>45792</v>
      </c>
      <c r="BT1406" s="4">
        <v>0.52222222222222225</v>
      </c>
      <c r="BU1406" t="s">
        <v>1828</v>
      </c>
      <c r="BV1406" t="s">
        <v>89</v>
      </c>
      <c r="BW1406" t="s">
        <v>434</v>
      </c>
      <c r="BX1406" t="s">
        <v>1829</v>
      </c>
      <c r="BY1406">
        <v>1200</v>
      </c>
      <c r="CA1406" t="s">
        <v>326</v>
      </c>
      <c r="CC1406" t="s">
        <v>351</v>
      </c>
      <c r="CD1406">
        <v>4052</v>
      </c>
      <c r="CE1406" t="s">
        <v>88</v>
      </c>
      <c r="CF1406" s="3">
        <v>45793</v>
      </c>
      <c r="CI1406">
        <v>1</v>
      </c>
      <c r="CJ1406">
        <v>1</v>
      </c>
      <c r="CK1406">
        <v>21</v>
      </c>
      <c r="CL1406" t="s">
        <v>89</v>
      </c>
    </row>
    <row r="1407" spans="1:90" x14ac:dyDescent="0.3">
      <c r="A1407" t="s">
        <v>72</v>
      </c>
      <c r="B1407" t="s">
        <v>73</v>
      </c>
      <c r="C1407" t="s">
        <v>74</v>
      </c>
      <c r="E1407" t="str">
        <f>"080065371566"</f>
        <v>080065371566</v>
      </c>
      <c r="F1407" s="3">
        <v>45791</v>
      </c>
      <c r="G1407">
        <v>202602</v>
      </c>
      <c r="H1407" t="s">
        <v>75</v>
      </c>
      <c r="I1407" t="s">
        <v>76</v>
      </c>
      <c r="J1407" t="s">
        <v>77</v>
      </c>
      <c r="K1407" t="s">
        <v>78</v>
      </c>
      <c r="L1407" t="s">
        <v>177</v>
      </c>
      <c r="M1407" t="s">
        <v>178</v>
      </c>
      <c r="N1407" t="s">
        <v>212</v>
      </c>
      <c r="O1407" t="s">
        <v>82</v>
      </c>
      <c r="P1407" t="str">
        <f>"4170038348                    "</f>
        <v xml:space="preserve">4170038348                    </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c r="AJ1407">
        <v>0</v>
      </c>
      <c r="AK1407">
        <v>0</v>
      </c>
      <c r="AL1407">
        <v>0</v>
      </c>
      <c r="AM1407">
        <v>0</v>
      </c>
      <c r="AN1407">
        <v>0</v>
      </c>
      <c r="AO1407">
        <v>0</v>
      </c>
      <c r="AP1407">
        <v>0</v>
      </c>
      <c r="AQ1407">
        <v>21.38</v>
      </c>
      <c r="AR1407">
        <v>0</v>
      </c>
      <c r="AS1407">
        <v>0</v>
      </c>
      <c r="AT1407">
        <v>0</v>
      </c>
      <c r="AU1407">
        <v>0</v>
      </c>
      <c r="AV1407">
        <v>0</v>
      </c>
      <c r="AW1407">
        <v>0</v>
      </c>
      <c r="AX1407">
        <v>0</v>
      </c>
      <c r="AY1407">
        <v>0</v>
      </c>
      <c r="AZ1407">
        <v>0</v>
      </c>
      <c r="BA1407">
        <v>0</v>
      </c>
      <c r="BB1407">
        <v>0</v>
      </c>
      <c r="BC1407">
        <v>0</v>
      </c>
      <c r="BD1407">
        <v>0</v>
      </c>
      <c r="BE1407">
        <v>0</v>
      </c>
      <c r="BF1407">
        <v>0</v>
      </c>
      <c r="BG1407">
        <v>0</v>
      </c>
      <c r="BH1407">
        <v>1</v>
      </c>
      <c r="BI1407">
        <v>1</v>
      </c>
      <c r="BJ1407">
        <v>0.2</v>
      </c>
      <c r="BK1407">
        <v>1</v>
      </c>
      <c r="BL1407">
        <v>69.98</v>
      </c>
      <c r="BM1407">
        <v>10.5</v>
      </c>
      <c r="BN1407">
        <v>80.48</v>
      </c>
      <c r="BO1407">
        <v>80.48</v>
      </c>
      <c r="BQ1407" t="s">
        <v>213</v>
      </c>
      <c r="BR1407" t="s">
        <v>84</v>
      </c>
      <c r="BS1407" s="3">
        <v>45792</v>
      </c>
      <c r="BT1407" s="4">
        <v>0.42291666666666666</v>
      </c>
      <c r="BU1407" t="s">
        <v>2069</v>
      </c>
      <c r="BV1407" t="s">
        <v>86</v>
      </c>
      <c r="BY1407">
        <v>1200</v>
      </c>
      <c r="CA1407" t="s">
        <v>182</v>
      </c>
      <c r="CC1407" t="s">
        <v>178</v>
      </c>
      <c r="CD1407">
        <v>6021</v>
      </c>
      <c r="CE1407" t="s">
        <v>88</v>
      </c>
      <c r="CF1407" s="3">
        <v>45792</v>
      </c>
      <c r="CI1407">
        <v>1</v>
      </c>
      <c r="CJ1407">
        <v>1</v>
      </c>
      <c r="CK1407">
        <v>21</v>
      </c>
      <c r="CL1407" t="s">
        <v>89</v>
      </c>
    </row>
    <row r="1408" spans="1:90" x14ac:dyDescent="0.3">
      <c r="A1408" t="s">
        <v>72</v>
      </c>
      <c r="B1408" t="s">
        <v>73</v>
      </c>
      <c r="C1408" t="s">
        <v>74</v>
      </c>
      <c r="E1408" t="str">
        <f>"080065371579"</f>
        <v>080065371579</v>
      </c>
      <c r="F1408" s="3">
        <v>45791</v>
      </c>
      <c r="G1408">
        <v>202602</v>
      </c>
      <c r="H1408" t="s">
        <v>75</v>
      </c>
      <c r="I1408" t="s">
        <v>76</v>
      </c>
      <c r="J1408" t="s">
        <v>77</v>
      </c>
      <c r="K1408" t="s">
        <v>78</v>
      </c>
      <c r="L1408" t="s">
        <v>103</v>
      </c>
      <c r="M1408" t="s">
        <v>104</v>
      </c>
      <c r="N1408" t="s">
        <v>633</v>
      </c>
      <c r="O1408" t="s">
        <v>82</v>
      </c>
      <c r="P1408" t="str">
        <f>"4170038434                    "</f>
        <v xml:space="preserve">4170038434                    </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c r="AI1408">
        <v>0</v>
      </c>
      <c r="AJ1408">
        <v>0</v>
      </c>
      <c r="AK1408">
        <v>0</v>
      </c>
      <c r="AL1408">
        <v>0</v>
      </c>
      <c r="AM1408">
        <v>0</v>
      </c>
      <c r="AN1408">
        <v>0</v>
      </c>
      <c r="AO1408">
        <v>0</v>
      </c>
      <c r="AP1408">
        <v>0</v>
      </c>
      <c r="AQ1408">
        <v>21.38</v>
      </c>
      <c r="AR1408">
        <v>0</v>
      </c>
      <c r="AS1408">
        <v>0</v>
      </c>
      <c r="AT1408">
        <v>0</v>
      </c>
      <c r="AU1408">
        <v>0</v>
      </c>
      <c r="AV1408">
        <v>0</v>
      </c>
      <c r="AW1408">
        <v>0</v>
      </c>
      <c r="AX1408">
        <v>0</v>
      </c>
      <c r="AY1408">
        <v>0</v>
      </c>
      <c r="AZ1408">
        <v>0</v>
      </c>
      <c r="BA1408">
        <v>0</v>
      </c>
      <c r="BB1408">
        <v>0</v>
      </c>
      <c r="BC1408">
        <v>0</v>
      </c>
      <c r="BD1408">
        <v>0</v>
      </c>
      <c r="BE1408">
        <v>0</v>
      </c>
      <c r="BF1408">
        <v>0</v>
      </c>
      <c r="BG1408">
        <v>0</v>
      </c>
      <c r="BH1408">
        <v>1</v>
      </c>
      <c r="BI1408">
        <v>1</v>
      </c>
      <c r="BJ1408">
        <v>0.2</v>
      </c>
      <c r="BK1408">
        <v>1</v>
      </c>
      <c r="BL1408">
        <v>69.98</v>
      </c>
      <c r="BM1408">
        <v>10.5</v>
      </c>
      <c r="BN1408">
        <v>80.48</v>
      </c>
      <c r="BO1408">
        <v>80.48</v>
      </c>
      <c r="BQ1408" t="s">
        <v>634</v>
      </c>
      <c r="BR1408" t="s">
        <v>84</v>
      </c>
      <c r="BS1408" s="3">
        <v>45792</v>
      </c>
      <c r="BT1408" s="4">
        <v>0.5</v>
      </c>
      <c r="BU1408" t="s">
        <v>635</v>
      </c>
      <c r="BV1408" t="s">
        <v>86</v>
      </c>
      <c r="BY1408">
        <v>1200</v>
      </c>
      <c r="CA1408" t="s">
        <v>440</v>
      </c>
      <c r="CC1408" t="s">
        <v>104</v>
      </c>
      <c r="CD1408">
        <v>3212</v>
      </c>
      <c r="CE1408" t="s">
        <v>88</v>
      </c>
      <c r="CF1408" s="3">
        <v>45792</v>
      </c>
      <c r="CI1408">
        <v>2</v>
      </c>
      <c r="CJ1408">
        <v>1</v>
      </c>
      <c r="CK1408">
        <v>21</v>
      </c>
      <c r="CL1408" t="s">
        <v>89</v>
      </c>
    </row>
    <row r="1409" spans="1:90" x14ac:dyDescent="0.3">
      <c r="A1409" t="s">
        <v>72</v>
      </c>
      <c r="B1409" t="s">
        <v>73</v>
      </c>
      <c r="C1409" t="s">
        <v>74</v>
      </c>
      <c r="E1409" t="str">
        <f>"080065371581"</f>
        <v>080065371581</v>
      </c>
      <c r="F1409" s="3">
        <v>45791</v>
      </c>
      <c r="G1409">
        <v>202602</v>
      </c>
      <c r="H1409" t="s">
        <v>75</v>
      </c>
      <c r="I1409" t="s">
        <v>76</v>
      </c>
      <c r="J1409" t="s">
        <v>77</v>
      </c>
      <c r="K1409" t="s">
        <v>78</v>
      </c>
      <c r="L1409" t="s">
        <v>206</v>
      </c>
      <c r="M1409" t="s">
        <v>207</v>
      </c>
      <c r="N1409" t="s">
        <v>1292</v>
      </c>
      <c r="O1409" t="s">
        <v>82</v>
      </c>
      <c r="P1409" t="str">
        <f>"4170038340                    "</f>
        <v xml:space="preserve">4170038340                    </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c r="AJ1409">
        <v>0</v>
      </c>
      <c r="AK1409">
        <v>0</v>
      </c>
      <c r="AL1409">
        <v>0</v>
      </c>
      <c r="AM1409">
        <v>0</v>
      </c>
      <c r="AN1409">
        <v>0</v>
      </c>
      <c r="AO1409">
        <v>0</v>
      </c>
      <c r="AP1409">
        <v>0</v>
      </c>
      <c r="AQ1409">
        <v>41.43</v>
      </c>
      <c r="AR1409">
        <v>0</v>
      </c>
      <c r="AS1409">
        <v>0</v>
      </c>
      <c r="AT1409">
        <v>0</v>
      </c>
      <c r="AU1409">
        <v>0</v>
      </c>
      <c r="AV1409">
        <v>0</v>
      </c>
      <c r="AW1409">
        <v>0</v>
      </c>
      <c r="AX1409">
        <v>0</v>
      </c>
      <c r="AY1409">
        <v>0</v>
      </c>
      <c r="AZ1409">
        <v>0</v>
      </c>
      <c r="BA1409">
        <v>0</v>
      </c>
      <c r="BB1409">
        <v>0</v>
      </c>
      <c r="BC1409">
        <v>0</v>
      </c>
      <c r="BD1409">
        <v>0</v>
      </c>
      <c r="BE1409">
        <v>0</v>
      </c>
      <c r="BF1409">
        <v>0</v>
      </c>
      <c r="BG1409">
        <v>0</v>
      </c>
      <c r="BH1409">
        <v>1</v>
      </c>
      <c r="BI1409">
        <v>1</v>
      </c>
      <c r="BJ1409">
        <v>0.2</v>
      </c>
      <c r="BK1409">
        <v>1</v>
      </c>
      <c r="BL1409">
        <v>135.59</v>
      </c>
      <c r="BM1409">
        <v>20.34</v>
      </c>
      <c r="BN1409">
        <v>155.93</v>
      </c>
      <c r="BO1409">
        <v>155.93</v>
      </c>
      <c r="BQ1409" t="s">
        <v>1293</v>
      </c>
      <c r="BR1409" t="s">
        <v>84</v>
      </c>
      <c r="BS1409" s="3">
        <v>45792</v>
      </c>
      <c r="BT1409" s="4">
        <v>0.51527777777777772</v>
      </c>
      <c r="BU1409" t="s">
        <v>2070</v>
      </c>
      <c r="BV1409" t="s">
        <v>86</v>
      </c>
      <c r="BY1409">
        <v>1200</v>
      </c>
      <c r="CA1409" t="s">
        <v>1295</v>
      </c>
      <c r="CC1409" t="s">
        <v>207</v>
      </c>
      <c r="CD1409">
        <v>1390</v>
      </c>
      <c r="CE1409" t="s">
        <v>88</v>
      </c>
      <c r="CF1409" s="3">
        <v>45793</v>
      </c>
      <c r="CI1409">
        <v>1</v>
      </c>
      <c r="CJ1409">
        <v>1</v>
      </c>
      <c r="CK1409">
        <v>23</v>
      </c>
      <c r="CL1409" t="s">
        <v>89</v>
      </c>
    </row>
    <row r="1410" spans="1:90" x14ac:dyDescent="0.3">
      <c r="A1410" t="s">
        <v>72</v>
      </c>
      <c r="B1410" t="s">
        <v>73</v>
      </c>
      <c r="C1410" t="s">
        <v>74</v>
      </c>
      <c r="E1410" t="str">
        <f>"080065371597"</f>
        <v>080065371597</v>
      </c>
      <c r="F1410" s="3">
        <v>45791</v>
      </c>
      <c r="G1410">
        <v>202602</v>
      </c>
      <c r="H1410" t="s">
        <v>75</v>
      </c>
      <c r="I1410" t="s">
        <v>76</v>
      </c>
      <c r="J1410" t="s">
        <v>77</v>
      </c>
      <c r="K1410" t="s">
        <v>78</v>
      </c>
      <c r="L1410" t="s">
        <v>232</v>
      </c>
      <c r="M1410" t="s">
        <v>233</v>
      </c>
      <c r="N1410" t="s">
        <v>1108</v>
      </c>
      <c r="O1410" t="s">
        <v>82</v>
      </c>
      <c r="P1410" t="str">
        <f>"4170038295                    "</f>
        <v xml:space="preserve">4170038295                    </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0</v>
      </c>
      <c r="AJ1410">
        <v>0</v>
      </c>
      <c r="AK1410">
        <v>0</v>
      </c>
      <c r="AL1410">
        <v>0</v>
      </c>
      <c r="AM1410">
        <v>0</v>
      </c>
      <c r="AN1410">
        <v>0</v>
      </c>
      <c r="AO1410">
        <v>0</v>
      </c>
      <c r="AP1410">
        <v>0</v>
      </c>
      <c r="AQ1410">
        <v>21.38</v>
      </c>
      <c r="AR1410">
        <v>0</v>
      </c>
      <c r="AS1410">
        <v>0</v>
      </c>
      <c r="AT1410">
        <v>0</v>
      </c>
      <c r="AU1410">
        <v>0</v>
      </c>
      <c r="AV1410">
        <v>0</v>
      </c>
      <c r="AW1410">
        <v>0</v>
      </c>
      <c r="AX1410">
        <v>0</v>
      </c>
      <c r="AY1410">
        <v>0</v>
      </c>
      <c r="AZ1410">
        <v>0</v>
      </c>
      <c r="BA1410">
        <v>0</v>
      </c>
      <c r="BB1410">
        <v>0</v>
      </c>
      <c r="BC1410">
        <v>0</v>
      </c>
      <c r="BD1410">
        <v>0</v>
      </c>
      <c r="BE1410">
        <v>0</v>
      </c>
      <c r="BF1410">
        <v>0</v>
      </c>
      <c r="BG1410">
        <v>0</v>
      </c>
      <c r="BH1410">
        <v>1</v>
      </c>
      <c r="BI1410">
        <v>1</v>
      </c>
      <c r="BJ1410">
        <v>0.2</v>
      </c>
      <c r="BK1410">
        <v>1</v>
      </c>
      <c r="BL1410">
        <v>69.98</v>
      </c>
      <c r="BM1410">
        <v>10.5</v>
      </c>
      <c r="BN1410">
        <v>80.48</v>
      </c>
      <c r="BO1410">
        <v>80.48</v>
      </c>
      <c r="BQ1410" t="s">
        <v>1109</v>
      </c>
      <c r="BR1410" t="s">
        <v>84</v>
      </c>
      <c r="BS1410" s="3">
        <v>45792</v>
      </c>
      <c r="BT1410" s="4">
        <v>0.39861111111111114</v>
      </c>
      <c r="BU1410" t="s">
        <v>1068</v>
      </c>
      <c r="BV1410" t="s">
        <v>86</v>
      </c>
      <c r="BY1410">
        <v>1200</v>
      </c>
      <c r="CA1410" t="s">
        <v>237</v>
      </c>
      <c r="CC1410" t="s">
        <v>233</v>
      </c>
      <c r="CD1410" s="5" t="s">
        <v>238</v>
      </c>
      <c r="CE1410" t="s">
        <v>88</v>
      </c>
      <c r="CF1410" s="3">
        <v>45792</v>
      </c>
      <c r="CI1410">
        <v>1</v>
      </c>
      <c r="CJ1410">
        <v>1</v>
      </c>
      <c r="CK1410">
        <v>21</v>
      </c>
      <c r="CL1410" t="s">
        <v>89</v>
      </c>
    </row>
    <row r="1411" spans="1:90" x14ac:dyDescent="0.3">
      <c r="A1411" t="s">
        <v>72</v>
      </c>
      <c r="B1411" t="s">
        <v>73</v>
      </c>
      <c r="C1411" t="s">
        <v>74</v>
      </c>
      <c r="E1411" t="str">
        <f>"080065371616"</f>
        <v>080065371616</v>
      </c>
      <c r="F1411" s="3">
        <v>45791</v>
      </c>
      <c r="G1411">
        <v>202602</v>
      </c>
      <c r="H1411" t="s">
        <v>75</v>
      </c>
      <c r="I1411" t="s">
        <v>76</v>
      </c>
      <c r="J1411" t="s">
        <v>77</v>
      </c>
      <c r="K1411" t="s">
        <v>78</v>
      </c>
      <c r="L1411" t="s">
        <v>463</v>
      </c>
      <c r="M1411" t="s">
        <v>464</v>
      </c>
      <c r="N1411" t="s">
        <v>744</v>
      </c>
      <c r="O1411" t="s">
        <v>82</v>
      </c>
      <c r="P1411" t="str">
        <f>"4170038372                    "</f>
        <v xml:space="preserve">4170038372                    </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90.82</v>
      </c>
      <c r="AR1411">
        <v>0</v>
      </c>
      <c r="AS1411">
        <v>0</v>
      </c>
      <c r="AT1411">
        <v>0</v>
      </c>
      <c r="AU1411">
        <v>0</v>
      </c>
      <c r="AV1411">
        <v>0</v>
      </c>
      <c r="AW1411">
        <v>0</v>
      </c>
      <c r="AX1411">
        <v>0</v>
      </c>
      <c r="AY1411">
        <v>0</v>
      </c>
      <c r="AZ1411">
        <v>0</v>
      </c>
      <c r="BA1411">
        <v>0</v>
      </c>
      <c r="BB1411">
        <v>0</v>
      </c>
      <c r="BC1411">
        <v>0</v>
      </c>
      <c r="BD1411">
        <v>0</v>
      </c>
      <c r="BE1411">
        <v>0</v>
      </c>
      <c r="BF1411">
        <v>0</v>
      </c>
      <c r="BG1411">
        <v>0</v>
      </c>
      <c r="BH1411">
        <v>1</v>
      </c>
      <c r="BI1411">
        <v>5</v>
      </c>
      <c r="BJ1411">
        <v>8.3000000000000007</v>
      </c>
      <c r="BK1411">
        <v>8.5</v>
      </c>
      <c r="BL1411">
        <v>297.24</v>
      </c>
      <c r="BM1411">
        <v>44.59</v>
      </c>
      <c r="BN1411">
        <v>341.83</v>
      </c>
      <c r="BO1411">
        <v>341.83</v>
      </c>
      <c r="BQ1411" t="s">
        <v>745</v>
      </c>
      <c r="BR1411" t="s">
        <v>84</v>
      </c>
      <c r="BS1411" s="3">
        <v>45792</v>
      </c>
      <c r="BT1411" s="4">
        <v>0.48958333333333331</v>
      </c>
      <c r="BU1411" t="s">
        <v>1775</v>
      </c>
      <c r="BV1411" t="s">
        <v>89</v>
      </c>
      <c r="BY1411">
        <v>41472</v>
      </c>
      <c r="CA1411" t="s">
        <v>1509</v>
      </c>
      <c r="CC1411" t="s">
        <v>464</v>
      </c>
      <c r="CD1411">
        <v>5201</v>
      </c>
      <c r="CE1411" t="s">
        <v>221</v>
      </c>
      <c r="CF1411" s="3">
        <v>45792</v>
      </c>
      <c r="CI1411">
        <v>1</v>
      </c>
      <c r="CJ1411">
        <v>1</v>
      </c>
      <c r="CK1411">
        <v>21</v>
      </c>
      <c r="CL1411" t="s">
        <v>89</v>
      </c>
    </row>
    <row r="1412" spans="1:90" x14ac:dyDescent="0.3">
      <c r="A1412" t="s">
        <v>72</v>
      </c>
      <c r="B1412" t="s">
        <v>73</v>
      </c>
      <c r="C1412" t="s">
        <v>74</v>
      </c>
      <c r="E1412" t="str">
        <f>"080065371628"</f>
        <v>080065371628</v>
      </c>
      <c r="F1412" s="3">
        <v>45791</v>
      </c>
      <c r="G1412">
        <v>202602</v>
      </c>
      <c r="H1412" t="s">
        <v>75</v>
      </c>
      <c r="I1412" t="s">
        <v>76</v>
      </c>
      <c r="J1412" t="s">
        <v>77</v>
      </c>
      <c r="K1412" t="s">
        <v>78</v>
      </c>
      <c r="L1412" t="s">
        <v>103</v>
      </c>
      <c r="M1412" t="s">
        <v>104</v>
      </c>
      <c r="N1412" t="s">
        <v>437</v>
      </c>
      <c r="O1412" t="s">
        <v>82</v>
      </c>
      <c r="P1412" t="str">
        <f>"4170038479                    "</f>
        <v xml:space="preserve">4170038479                    </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21.38</v>
      </c>
      <c r="AR1412">
        <v>0</v>
      </c>
      <c r="AS1412">
        <v>0</v>
      </c>
      <c r="AT1412">
        <v>0</v>
      </c>
      <c r="AU1412">
        <v>0</v>
      </c>
      <c r="AV1412">
        <v>0</v>
      </c>
      <c r="AW1412">
        <v>0</v>
      </c>
      <c r="AX1412">
        <v>0</v>
      </c>
      <c r="AY1412">
        <v>0</v>
      </c>
      <c r="AZ1412">
        <v>0</v>
      </c>
      <c r="BA1412">
        <v>0</v>
      </c>
      <c r="BB1412">
        <v>0</v>
      </c>
      <c r="BC1412">
        <v>0</v>
      </c>
      <c r="BD1412">
        <v>0</v>
      </c>
      <c r="BE1412">
        <v>0</v>
      </c>
      <c r="BF1412">
        <v>0</v>
      </c>
      <c r="BG1412">
        <v>0</v>
      </c>
      <c r="BH1412">
        <v>1</v>
      </c>
      <c r="BI1412">
        <v>2</v>
      </c>
      <c r="BJ1412">
        <v>1.1000000000000001</v>
      </c>
      <c r="BK1412">
        <v>2</v>
      </c>
      <c r="BL1412">
        <v>69.98</v>
      </c>
      <c r="BM1412">
        <v>10.5</v>
      </c>
      <c r="BN1412">
        <v>80.48</v>
      </c>
      <c r="BO1412">
        <v>80.48</v>
      </c>
      <c r="BQ1412" t="s">
        <v>438</v>
      </c>
      <c r="BR1412" t="s">
        <v>84</v>
      </c>
      <c r="BS1412" s="3">
        <v>45792</v>
      </c>
      <c r="BT1412" s="4">
        <v>0.5</v>
      </c>
      <c r="BU1412" t="s">
        <v>2071</v>
      </c>
      <c r="BV1412" t="s">
        <v>86</v>
      </c>
      <c r="BY1412">
        <v>5472</v>
      </c>
      <c r="CA1412" t="s">
        <v>440</v>
      </c>
      <c r="CC1412" t="s">
        <v>104</v>
      </c>
      <c r="CD1412">
        <v>3212</v>
      </c>
      <c r="CE1412" t="s">
        <v>221</v>
      </c>
      <c r="CF1412" s="3">
        <v>45792</v>
      </c>
      <c r="CI1412">
        <v>2</v>
      </c>
      <c r="CJ1412">
        <v>1</v>
      </c>
      <c r="CK1412">
        <v>21</v>
      </c>
      <c r="CL1412" t="s">
        <v>89</v>
      </c>
    </row>
    <row r="1413" spans="1:90" x14ac:dyDescent="0.3">
      <c r="A1413" t="s">
        <v>72</v>
      </c>
      <c r="B1413" t="s">
        <v>73</v>
      </c>
      <c r="C1413" t="s">
        <v>74</v>
      </c>
      <c r="E1413" t="str">
        <f>"080065371720"</f>
        <v>080065371720</v>
      </c>
      <c r="F1413" s="3">
        <v>45791</v>
      </c>
      <c r="G1413">
        <v>202602</v>
      </c>
      <c r="H1413" t="s">
        <v>75</v>
      </c>
      <c r="I1413" t="s">
        <v>76</v>
      </c>
      <c r="J1413" t="s">
        <v>77</v>
      </c>
      <c r="K1413" t="s">
        <v>78</v>
      </c>
      <c r="L1413" t="s">
        <v>123</v>
      </c>
      <c r="M1413" t="s">
        <v>123</v>
      </c>
      <c r="N1413" t="s">
        <v>1700</v>
      </c>
      <c r="O1413" t="s">
        <v>82</v>
      </c>
      <c r="P1413" t="str">
        <f>"4170038363                    "</f>
        <v xml:space="preserve">4170038363                    </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41.43</v>
      </c>
      <c r="AR1413">
        <v>0</v>
      </c>
      <c r="AS1413">
        <v>0</v>
      </c>
      <c r="AT1413">
        <v>0</v>
      </c>
      <c r="AU1413">
        <v>0</v>
      </c>
      <c r="AV1413">
        <v>0</v>
      </c>
      <c r="AW1413">
        <v>0</v>
      </c>
      <c r="AX1413">
        <v>0</v>
      </c>
      <c r="AY1413">
        <v>0</v>
      </c>
      <c r="AZ1413">
        <v>0</v>
      </c>
      <c r="BA1413">
        <v>0</v>
      </c>
      <c r="BB1413">
        <v>0</v>
      </c>
      <c r="BC1413">
        <v>0</v>
      </c>
      <c r="BD1413">
        <v>0</v>
      </c>
      <c r="BE1413">
        <v>0</v>
      </c>
      <c r="BF1413">
        <v>0</v>
      </c>
      <c r="BG1413">
        <v>0</v>
      </c>
      <c r="BH1413">
        <v>1</v>
      </c>
      <c r="BI1413">
        <v>1</v>
      </c>
      <c r="BJ1413">
        <v>0.2</v>
      </c>
      <c r="BK1413">
        <v>1</v>
      </c>
      <c r="BL1413">
        <v>135.59</v>
      </c>
      <c r="BM1413">
        <v>20.34</v>
      </c>
      <c r="BN1413">
        <v>155.93</v>
      </c>
      <c r="BO1413">
        <v>155.93</v>
      </c>
      <c r="BQ1413" t="s">
        <v>1701</v>
      </c>
      <c r="BR1413" t="s">
        <v>84</v>
      </c>
      <c r="BS1413" s="3">
        <v>45792</v>
      </c>
      <c r="BT1413" s="4">
        <v>0.41666666666666669</v>
      </c>
      <c r="BU1413" t="s">
        <v>768</v>
      </c>
      <c r="BV1413" t="s">
        <v>86</v>
      </c>
      <c r="BY1413">
        <v>1200</v>
      </c>
      <c r="CA1413" t="s">
        <v>2044</v>
      </c>
      <c r="CC1413" t="s">
        <v>123</v>
      </c>
      <c r="CD1413">
        <v>7646</v>
      </c>
      <c r="CE1413" t="s">
        <v>88</v>
      </c>
      <c r="CF1413" s="3">
        <v>45793</v>
      </c>
      <c r="CI1413">
        <v>1</v>
      </c>
      <c r="CJ1413">
        <v>1</v>
      </c>
      <c r="CK1413">
        <v>23</v>
      </c>
      <c r="CL1413" t="s">
        <v>89</v>
      </c>
    </row>
    <row r="1414" spans="1:90" x14ac:dyDescent="0.3">
      <c r="A1414" t="s">
        <v>72</v>
      </c>
      <c r="B1414" t="s">
        <v>73</v>
      </c>
      <c r="C1414" t="s">
        <v>74</v>
      </c>
      <c r="E1414" t="str">
        <f>"080065371755"</f>
        <v>080065371755</v>
      </c>
      <c r="F1414" s="3">
        <v>45791</v>
      </c>
      <c r="G1414">
        <v>202602</v>
      </c>
      <c r="H1414" t="s">
        <v>75</v>
      </c>
      <c r="I1414" t="s">
        <v>76</v>
      </c>
      <c r="J1414" t="s">
        <v>77</v>
      </c>
      <c r="K1414" t="s">
        <v>78</v>
      </c>
      <c r="L1414" t="s">
        <v>143</v>
      </c>
      <c r="M1414" t="s">
        <v>144</v>
      </c>
      <c r="N1414" t="s">
        <v>762</v>
      </c>
      <c r="O1414" t="s">
        <v>82</v>
      </c>
      <c r="P1414" t="str">
        <f>"4170038402                    "</f>
        <v xml:space="preserve">4170038402                    </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0</v>
      </c>
      <c r="AK1414">
        <v>0</v>
      </c>
      <c r="AL1414">
        <v>0</v>
      </c>
      <c r="AM1414">
        <v>0</v>
      </c>
      <c r="AN1414">
        <v>0</v>
      </c>
      <c r="AO1414">
        <v>0</v>
      </c>
      <c r="AP1414">
        <v>0</v>
      </c>
      <c r="AQ1414">
        <v>16.7</v>
      </c>
      <c r="AR1414">
        <v>0</v>
      </c>
      <c r="AS1414">
        <v>0</v>
      </c>
      <c r="AT1414">
        <v>0</v>
      </c>
      <c r="AU1414">
        <v>0</v>
      </c>
      <c r="AV1414">
        <v>0</v>
      </c>
      <c r="AW1414">
        <v>0</v>
      </c>
      <c r="AX1414">
        <v>0</v>
      </c>
      <c r="AY1414">
        <v>0</v>
      </c>
      <c r="AZ1414">
        <v>0</v>
      </c>
      <c r="BA1414">
        <v>0</v>
      </c>
      <c r="BB1414">
        <v>0</v>
      </c>
      <c r="BC1414">
        <v>0</v>
      </c>
      <c r="BD1414">
        <v>0</v>
      </c>
      <c r="BE1414">
        <v>0</v>
      </c>
      <c r="BF1414">
        <v>0</v>
      </c>
      <c r="BG1414">
        <v>0</v>
      </c>
      <c r="BH1414">
        <v>1</v>
      </c>
      <c r="BI1414">
        <v>2</v>
      </c>
      <c r="BJ1414">
        <v>1.4</v>
      </c>
      <c r="BK1414">
        <v>2</v>
      </c>
      <c r="BL1414">
        <v>54.66</v>
      </c>
      <c r="BM1414">
        <v>8.1999999999999993</v>
      </c>
      <c r="BN1414">
        <v>62.86</v>
      </c>
      <c r="BO1414">
        <v>62.86</v>
      </c>
      <c r="BQ1414" t="s">
        <v>763</v>
      </c>
      <c r="BR1414" t="s">
        <v>84</v>
      </c>
      <c r="BS1414" s="3">
        <v>45792</v>
      </c>
      <c r="BT1414" s="4">
        <v>0.41666666666666669</v>
      </c>
      <c r="BU1414" t="s">
        <v>359</v>
      </c>
      <c r="BV1414" t="s">
        <v>86</v>
      </c>
      <c r="BY1414">
        <v>7000</v>
      </c>
      <c r="CA1414" t="s">
        <v>765</v>
      </c>
      <c r="CC1414" t="s">
        <v>144</v>
      </c>
      <c r="CD1414">
        <v>1428</v>
      </c>
      <c r="CE1414" t="s">
        <v>116</v>
      </c>
      <c r="CF1414" s="3">
        <v>45793</v>
      </c>
      <c r="CI1414">
        <v>1</v>
      </c>
      <c r="CJ1414">
        <v>1</v>
      </c>
      <c r="CK1414">
        <v>22</v>
      </c>
      <c r="CL1414" t="s">
        <v>89</v>
      </c>
    </row>
    <row r="1415" spans="1:90" x14ac:dyDescent="0.3">
      <c r="A1415" t="s">
        <v>72</v>
      </c>
      <c r="B1415" t="s">
        <v>73</v>
      </c>
      <c r="C1415" t="s">
        <v>74</v>
      </c>
      <c r="E1415" t="str">
        <f>"080065371771"</f>
        <v>080065371771</v>
      </c>
      <c r="F1415" s="3">
        <v>45791</v>
      </c>
      <c r="G1415">
        <v>202602</v>
      </c>
      <c r="H1415" t="s">
        <v>75</v>
      </c>
      <c r="I1415" t="s">
        <v>76</v>
      </c>
      <c r="J1415" t="s">
        <v>77</v>
      </c>
      <c r="K1415" t="s">
        <v>78</v>
      </c>
      <c r="L1415" t="s">
        <v>350</v>
      </c>
      <c r="M1415" t="s">
        <v>351</v>
      </c>
      <c r="N1415" t="s">
        <v>1951</v>
      </c>
      <c r="O1415" t="s">
        <v>82</v>
      </c>
      <c r="P1415" t="str">
        <f>"4170038343                    "</f>
        <v xml:space="preserve">4170038343                    </v>
      </c>
      <c r="Q1415">
        <v>0</v>
      </c>
      <c r="R1415">
        <v>0</v>
      </c>
      <c r="S1415">
        <v>0</v>
      </c>
      <c r="T1415">
        <v>0</v>
      </c>
      <c r="U1415">
        <v>0</v>
      </c>
      <c r="V1415">
        <v>0</v>
      </c>
      <c r="W1415">
        <v>0</v>
      </c>
      <c r="X1415">
        <v>0</v>
      </c>
      <c r="Y1415">
        <v>0</v>
      </c>
      <c r="Z1415">
        <v>0</v>
      </c>
      <c r="AA1415">
        <v>0</v>
      </c>
      <c r="AB1415">
        <v>0</v>
      </c>
      <c r="AC1415">
        <v>0</v>
      </c>
      <c r="AD1415">
        <v>0</v>
      </c>
      <c r="AE1415">
        <v>0</v>
      </c>
      <c r="AF1415">
        <v>0</v>
      </c>
      <c r="AG1415">
        <v>0</v>
      </c>
      <c r="AH1415">
        <v>0</v>
      </c>
      <c r="AI1415">
        <v>0</v>
      </c>
      <c r="AJ1415">
        <v>0</v>
      </c>
      <c r="AK1415">
        <v>0</v>
      </c>
      <c r="AL1415">
        <v>0</v>
      </c>
      <c r="AM1415">
        <v>0</v>
      </c>
      <c r="AN1415">
        <v>0</v>
      </c>
      <c r="AO1415">
        <v>0</v>
      </c>
      <c r="AP1415">
        <v>0</v>
      </c>
      <c r="AQ1415">
        <v>21.38</v>
      </c>
      <c r="AR1415">
        <v>0</v>
      </c>
      <c r="AS1415">
        <v>0</v>
      </c>
      <c r="AT1415">
        <v>0</v>
      </c>
      <c r="AU1415">
        <v>0</v>
      </c>
      <c r="AV1415">
        <v>0</v>
      </c>
      <c r="AW1415">
        <v>0</v>
      </c>
      <c r="AX1415">
        <v>0</v>
      </c>
      <c r="AY1415">
        <v>0</v>
      </c>
      <c r="AZ1415">
        <v>0</v>
      </c>
      <c r="BA1415">
        <v>0</v>
      </c>
      <c r="BB1415">
        <v>0</v>
      </c>
      <c r="BC1415">
        <v>0</v>
      </c>
      <c r="BD1415">
        <v>0</v>
      </c>
      <c r="BE1415">
        <v>0</v>
      </c>
      <c r="BF1415">
        <v>0</v>
      </c>
      <c r="BG1415">
        <v>0</v>
      </c>
      <c r="BH1415">
        <v>1</v>
      </c>
      <c r="BI1415">
        <v>1</v>
      </c>
      <c r="BJ1415">
        <v>0.2</v>
      </c>
      <c r="BK1415">
        <v>1</v>
      </c>
      <c r="BL1415">
        <v>69.98</v>
      </c>
      <c r="BM1415">
        <v>10.5</v>
      </c>
      <c r="BN1415">
        <v>80.48</v>
      </c>
      <c r="BO1415">
        <v>80.48</v>
      </c>
      <c r="BQ1415" t="s">
        <v>1952</v>
      </c>
      <c r="BR1415" t="s">
        <v>84</v>
      </c>
      <c r="BS1415" s="3">
        <v>45792</v>
      </c>
      <c r="BT1415" s="4">
        <v>0.36458333333333331</v>
      </c>
      <c r="BU1415" t="s">
        <v>433</v>
      </c>
      <c r="BV1415" t="s">
        <v>86</v>
      </c>
      <c r="BY1415">
        <v>1200</v>
      </c>
      <c r="CA1415" t="s">
        <v>436</v>
      </c>
      <c r="CC1415" t="s">
        <v>351</v>
      </c>
      <c r="CD1415">
        <v>4052</v>
      </c>
      <c r="CE1415" t="s">
        <v>88</v>
      </c>
      <c r="CF1415" s="3">
        <v>45793</v>
      </c>
      <c r="CI1415">
        <v>1</v>
      </c>
      <c r="CJ1415">
        <v>1</v>
      </c>
      <c r="CK1415">
        <v>21</v>
      </c>
      <c r="CL1415" t="s">
        <v>89</v>
      </c>
    </row>
    <row r="1416" spans="1:90" x14ac:dyDescent="0.3">
      <c r="A1416" t="s">
        <v>72</v>
      </c>
      <c r="B1416" t="s">
        <v>73</v>
      </c>
      <c r="C1416" t="s">
        <v>74</v>
      </c>
      <c r="E1416" t="str">
        <f>"080065371786"</f>
        <v>080065371786</v>
      </c>
      <c r="F1416" s="3">
        <v>45791</v>
      </c>
      <c r="G1416">
        <v>202602</v>
      </c>
      <c r="H1416" t="s">
        <v>75</v>
      </c>
      <c r="I1416" t="s">
        <v>76</v>
      </c>
      <c r="J1416" t="s">
        <v>77</v>
      </c>
      <c r="K1416" t="s">
        <v>78</v>
      </c>
      <c r="L1416" t="s">
        <v>648</v>
      </c>
      <c r="M1416" t="s">
        <v>649</v>
      </c>
      <c r="N1416" t="s">
        <v>762</v>
      </c>
      <c r="O1416" t="s">
        <v>82</v>
      </c>
      <c r="P1416" t="str">
        <f>"4170038289                    "</f>
        <v xml:space="preserve">4170038289                    </v>
      </c>
      <c r="Q1416">
        <v>0</v>
      </c>
      <c r="R1416">
        <v>0</v>
      </c>
      <c r="S1416">
        <v>0</v>
      </c>
      <c r="T1416">
        <v>0</v>
      </c>
      <c r="U1416">
        <v>0</v>
      </c>
      <c r="V1416">
        <v>0</v>
      </c>
      <c r="W1416">
        <v>0</v>
      </c>
      <c r="X1416">
        <v>0</v>
      </c>
      <c r="Y1416">
        <v>0</v>
      </c>
      <c r="Z1416">
        <v>0</v>
      </c>
      <c r="AA1416">
        <v>0</v>
      </c>
      <c r="AB1416">
        <v>0</v>
      </c>
      <c r="AC1416">
        <v>0</v>
      </c>
      <c r="AD1416">
        <v>0</v>
      </c>
      <c r="AE1416">
        <v>0</v>
      </c>
      <c r="AF1416">
        <v>0</v>
      </c>
      <c r="AG1416">
        <v>0</v>
      </c>
      <c r="AH1416">
        <v>0</v>
      </c>
      <c r="AI1416">
        <v>0</v>
      </c>
      <c r="AJ1416">
        <v>0</v>
      </c>
      <c r="AK1416">
        <v>0</v>
      </c>
      <c r="AL1416">
        <v>0</v>
      </c>
      <c r="AM1416">
        <v>0</v>
      </c>
      <c r="AN1416">
        <v>0</v>
      </c>
      <c r="AO1416">
        <v>0</v>
      </c>
      <c r="AP1416">
        <v>0</v>
      </c>
      <c r="AQ1416">
        <v>16.7</v>
      </c>
      <c r="AR1416">
        <v>0</v>
      </c>
      <c r="AS1416">
        <v>0</v>
      </c>
      <c r="AT1416">
        <v>0</v>
      </c>
      <c r="AU1416">
        <v>0</v>
      </c>
      <c r="AV1416">
        <v>0</v>
      </c>
      <c r="AW1416">
        <v>0</v>
      </c>
      <c r="AX1416">
        <v>0</v>
      </c>
      <c r="AY1416">
        <v>0</v>
      </c>
      <c r="AZ1416">
        <v>0</v>
      </c>
      <c r="BA1416">
        <v>0</v>
      </c>
      <c r="BB1416">
        <v>0</v>
      </c>
      <c r="BC1416">
        <v>0</v>
      </c>
      <c r="BD1416">
        <v>0</v>
      </c>
      <c r="BE1416">
        <v>0</v>
      </c>
      <c r="BF1416">
        <v>0</v>
      </c>
      <c r="BG1416">
        <v>0</v>
      </c>
      <c r="BH1416">
        <v>1</v>
      </c>
      <c r="BI1416">
        <v>2</v>
      </c>
      <c r="BJ1416">
        <v>0.9</v>
      </c>
      <c r="BK1416">
        <v>2</v>
      </c>
      <c r="BL1416">
        <v>54.66</v>
      </c>
      <c r="BM1416">
        <v>8.1999999999999993</v>
      </c>
      <c r="BN1416">
        <v>62.86</v>
      </c>
      <c r="BO1416">
        <v>62.86</v>
      </c>
      <c r="BQ1416" t="s">
        <v>763</v>
      </c>
      <c r="BR1416" t="s">
        <v>84</v>
      </c>
      <c r="BS1416" s="3">
        <v>45792</v>
      </c>
      <c r="BT1416" s="4">
        <v>0.42986111111111114</v>
      </c>
      <c r="BU1416" t="s">
        <v>2072</v>
      </c>
      <c r="BV1416" t="s">
        <v>86</v>
      </c>
      <c r="BY1416">
        <v>4560</v>
      </c>
      <c r="CA1416" t="s">
        <v>698</v>
      </c>
      <c r="CC1416" t="s">
        <v>649</v>
      </c>
      <c r="CD1416">
        <v>1559</v>
      </c>
      <c r="CE1416" t="s">
        <v>116</v>
      </c>
      <c r="CF1416" s="3">
        <v>45792</v>
      </c>
      <c r="CI1416">
        <v>1</v>
      </c>
      <c r="CJ1416">
        <v>1</v>
      </c>
      <c r="CK1416">
        <v>22</v>
      </c>
      <c r="CL1416" t="s">
        <v>89</v>
      </c>
    </row>
    <row r="1417" spans="1:90" x14ac:dyDescent="0.3">
      <c r="A1417" t="s">
        <v>72</v>
      </c>
      <c r="B1417" t="s">
        <v>73</v>
      </c>
      <c r="C1417" t="s">
        <v>74</v>
      </c>
      <c r="E1417" t="str">
        <f>"080065371796"</f>
        <v>080065371796</v>
      </c>
      <c r="F1417" s="3">
        <v>45791</v>
      </c>
      <c r="G1417">
        <v>202602</v>
      </c>
      <c r="H1417" t="s">
        <v>75</v>
      </c>
      <c r="I1417" t="s">
        <v>76</v>
      </c>
      <c r="J1417" t="s">
        <v>77</v>
      </c>
      <c r="K1417" t="s">
        <v>78</v>
      </c>
      <c r="L1417" t="s">
        <v>143</v>
      </c>
      <c r="M1417" t="s">
        <v>144</v>
      </c>
      <c r="N1417" t="s">
        <v>1312</v>
      </c>
      <c r="O1417" t="s">
        <v>82</v>
      </c>
      <c r="P1417" t="str">
        <f>"4170038332                    "</f>
        <v xml:space="preserve">4170038332                    </v>
      </c>
      <c r="Q1417">
        <v>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c r="AJ1417">
        <v>0</v>
      </c>
      <c r="AK1417">
        <v>0</v>
      </c>
      <c r="AL1417">
        <v>0</v>
      </c>
      <c r="AM1417">
        <v>0</v>
      </c>
      <c r="AN1417">
        <v>0</v>
      </c>
      <c r="AO1417">
        <v>0</v>
      </c>
      <c r="AP1417">
        <v>0</v>
      </c>
      <c r="AQ1417">
        <v>16.7</v>
      </c>
      <c r="AR1417">
        <v>0</v>
      </c>
      <c r="AS1417">
        <v>0</v>
      </c>
      <c r="AT1417">
        <v>0</v>
      </c>
      <c r="AU1417">
        <v>0</v>
      </c>
      <c r="AV1417">
        <v>0</v>
      </c>
      <c r="AW1417">
        <v>0</v>
      </c>
      <c r="AX1417">
        <v>0</v>
      </c>
      <c r="AY1417">
        <v>0</v>
      </c>
      <c r="AZ1417">
        <v>0</v>
      </c>
      <c r="BA1417">
        <v>0</v>
      </c>
      <c r="BB1417">
        <v>0</v>
      </c>
      <c r="BC1417">
        <v>0</v>
      </c>
      <c r="BD1417">
        <v>0</v>
      </c>
      <c r="BE1417">
        <v>0</v>
      </c>
      <c r="BF1417">
        <v>0</v>
      </c>
      <c r="BG1417">
        <v>0</v>
      </c>
      <c r="BH1417">
        <v>1</v>
      </c>
      <c r="BI1417">
        <v>1</v>
      </c>
      <c r="BJ1417">
        <v>0.2</v>
      </c>
      <c r="BK1417">
        <v>1</v>
      </c>
      <c r="BL1417">
        <v>54.66</v>
      </c>
      <c r="BM1417">
        <v>8.1999999999999993</v>
      </c>
      <c r="BN1417">
        <v>62.86</v>
      </c>
      <c r="BO1417">
        <v>62.86</v>
      </c>
      <c r="BQ1417" t="s">
        <v>1313</v>
      </c>
      <c r="BR1417" t="s">
        <v>84</v>
      </c>
      <c r="BS1417" s="3">
        <v>45792</v>
      </c>
      <c r="BT1417" s="4">
        <v>0.36736111111111114</v>
      </c>
      <c r="BU1417" t="s">
        <v>2073</v>
      </c>
      <c r="BV1417" t="s">
        <v>86</v>
      </c>
      <c r="BY1417">
        <v>1200</v>
      </c>
      <c r="CA1417" t="s">
        <v>150</v>
      </c>
      <c r="CC1417" t="s">
        <v>144</v>
      </c>
      <c r="CD1417">
        <v>1429</v>
      </c>
      <c r="CE1417" t="s">
        <v>88</v>
      </c>
      <c r="CF1417" s="3">
        <v>45792</v>
      </c>
      <c r="CI1417">
        <v>1</v>
      </c>
      <c r="CJ1417">
        <v>1</v>
      </c>
      <c r="CK1417">
        <v>22</v>
      </c>
      <c r="CL1417" t="s">
        <v>89</v>
      </c>
    </row>
    <row r="1418" spans="1:90" x14ac:dyDescent="0.3">
      <c r="A1418" t="s">
        <v>72</v>
      </c>
      <c r="B1418" t="s">
        <v>73</v>
      </c>
      <c r="C1418" t="s">
        <v>74</v>
      </c>
      <c r="E1418" t="str">
        <f>"080065371817"</f>
        <v>080065371817</v>
      </c>
      <c r="F1418" s="3">
        <v>45791</v>
      </c>
      <c r="G1418">
        <v>202602</v>
      </c>
      <c r="H1418" t="s">
        <v>75</v>
      </c>
      <c r="I1418" t="s">
        <v>76</v>
      </c>
      <c r="J1418" t="s">
        <v>77</v>
      </c>
      <c r="K1418" t="s">
        <v>78</v>
      </c>
      <c r="L1418" t="s">
        <v>350</v>
      </c>
      <c r="M1418" t="s">
        <v>351</v>
      </c>
      <c r="N1418" t="s">
        <v>678</v>
      </c>
      <c r="O1418" t="s">
        <v>82</v>
      </c>
      <c r="P1418" t="str">
        <f>"4170038302                    "</f>
        <v xml:space="preserve">4170038302                    </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0</v>
      </c>
      <c r="AK1418">
        <v>0</v>
      </c>
      <c r="AL1418">
        <v>0</v>
      </c>
      <c r="AM1418">
        <v>0</v>
      </c>
      <c r="AN1418">
        <v>0</v>
      </c>
      <c r="AO1418">
        <v>0</v>
      </c>
      <c r="AP1418">
        <v>0</v>
      </c>
      <c r="AQ1418">
        <v>21.38</v>
      </c>
      <c r="AR1418">
        <v>0</v>
      </c>
      <c r="AS1418">
        <v>0</v>
      </c>
      <c r="AT1418">
        <v>0</v>
      </c>
      <c r="AU1418">
        <v>0</v>
      </c>
      <c r="AV1418">
        <v>0</v>
      </c>
      <c r="AW1418">
        <v>0</v>
      </c>
      <c r="AX1418">
        <v>0</v>
      </c>
      <c r="AY1418">
        <v>0</v>
      </c>
      <c r="AZ1418">
        <v>0</v>
      </c>
      <c r="BA1418">
        <v>0</v>
      </c>
      <c r="BB1418">
        <v>0</v>
      </c>
      <c r="BC1418">
        <v>0</v>
      </c>
      <c r="BD1418">
        <v>0</v>
      </c>
      <c r="BE1418">
        <v>0</v>
      </c>
      <c r="BF1418">
        <v>0</v>
      </c>
      <c r="BG1418">
        <v>0</v>
      </c>
      <c r="BH1418">
        <v>1</v>
      </c>
      <c r="BI1418">
        <v>2</v>
      </c>
      <c r="BJ1418">
        <v>1.7</v>
      </c>
      <c r="BK1418">
        <v>2</v>
      </c>
      <c r="BL1418">
        <v>69.98</v>
      </c>
      <c r="BM1418">
        <v>10.5</v>
      </c>
      <c r="BN1418">
        <v>80.48</v>
      </c>
      <c r="BO1418">
        <v>80.48</v>
      </c>
      <c r="BQ1418" t="s">
        <v>679</v>
      </c>
      <c r="BR1418" t="s">
        <v>84</v>
      </c>
      <c r="BS1418" s="3">
        <v>45792</v>
      </c>
      <c r="BT1418" s="4">
        <v>0.52222222222222225</v>
      </c>
      <c r="BU1418" t="s">
        <v>1828</v>
      </c>
      <c r="BV1418" t="s">
        <v>89</v>
      </c>
      <c r="BW1418" t="s">
        <v>434</v>
      </c>
      <c r="BX1418" t="s">
        <v>1829</v>
      </c>
      <c r="BY1418">
        <v>8512</v>
      </c>
      <c r="CA1418" t="s">
        <v>326</v>
      </c>
      <c r="CC1418" t="s">
        <v>351</v>
      </c>
      <c r="CD1418">
        <v>4052</v>
      </c>
      <c r="CE1418" t="s">
        <v>116</v>
      </c>
      <c r="CF1418" s="3">
        <v>45793</v>
      </c>
      <c r="CI1418">
        <v>1</v>
      </c>
      <c r="CJ1418">
        <v>1</v>
      </c>
      <c r="CK1418">
        <v>21</v>
      </c>
      <c r="CL1418" t="s">
        <v>89</v>
      </c>
    </row>
    <row r="1419" spans="1:90" x14ac:dyDescent="0.3">
      <c r="A1419" t="s">
        <v>72</v>
      </c>
      <c r="B1419" t="s">
        <v>73</v>
      </c>
      <c r="C1419" t="s">
        <v>74</v>
      </c>
      <c r="E1419" t="str">
        <f>"080065371819"</f>
        <v>080065371819</v>
      </c>
      <c r="F1419" s="3">
        <v>45791</v>
      </c>
      <c r="G1419">
        <v>202602</v>
      </c>
      <c r="H1419" t="s">
        <v>75</v>
      </c>
      <c r="I1419" t="s">
        <v>76</v>
      </c>
      <c r="J1419" t="s">
        <v>77</v>
      </c>
      <c r="K1419" t="s">
        <v>78</v>
      </c>
      <c r="L1419" t="s">
        <v>350</v>
      </c>
      <c r="M1419" t="s">
        <v>351</v>
      </c>
      <c r="N1419" t="s">
        <v>459</v>
      </c>
      <c r="O1419" t="s">
        <v>82</v>
      </c>
      <c r="P1419" t="str">
        <f>"4170038331                    "</f>
        <v xml:space="preserve">4170038331                    </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0</v>
      </c>
      <c r="AL1419">
        <v>0</v>
      </c>
      <c r="AM1419">
        <v>0</v>
      </c>
      <c r="AN1419">
        <v>0</v>
      </c>
      <c r="AO1419">
        <v>0</v>
      </c>
      <c r="AP1419">
        <v>0</v>
      </c>
      <c r="AQ1419">
        <v>21.38</v>
      </c>
      <c r="AR1419">
        <v>0</v>
      </c>
      <c r="AS1419">
        <v>0</v>
      </c>
      <c r="AT1419">
        <v>0</v>
      </c>
      <c r="AU1419">
        <v>0</v>
      </c>
      <c r="AV1419">
        <v>0</v>
      </c>
      <c r="AW1419">
        <v>0</v>
      </c>
      <c r="AX1419">
        <v>0</v>
      </c>
      <c r="AY1419">
        <v>0</v>
      </c>
      <c r="AZ1419">
        <v>0</v>
      </c>
      <c r="BA1419">
        <v>0</v>
      </c>
      <c r="BB1419">
        <v>0</v>
      </c>
      <c r="BC1419">
        <v>0</v>
      </c>
      <c r="BD1419">
        <v>0</v>
      </c>
      <c r="BE1419">
        <v>0</v>
      </c>
      <c r="BF1419">
        <v>0</v>
      </c>
      <c r="BG1419">
        <v>0</v>
      </c>
      <c r="BH1419">
        <v>1</v>
      </c>
      <c r="BI1419">
        <v>1</v>
      </c>
      <c r="BJ1419">
        <v>0.2</v>
      </c>
      <c r="BK1419">
        <v>1</v>
      </c>
      <c r="BL1419">
        <v>69.98</v>
      </c>
      <c r="BM1419">
        <v>10.5</v>
      </c>
      <c r="BN1419">
        <v>80.48</v>
      </c>
      <c r="BO1419">
        <v>80.48</v>
      </c>
      <c r="BQ1419" t="s">
        <v>460</v>
      </c>
      <c r="BR1419" t="s">
        <v>84</v>
      </c>
      <c r="BS1419" s="3">
        <v>45792</v>
      </c>
      <c r="BT1419" s="4">
        <v>0.34513888888888888</v>
      </c>
      <c r="BU1419" t="s">
        <v>1121</v>
      </c>
      <c r="BV1419" t="s">
        <v>86</v>
      </c>
      <c r="BY1419">
        <v>1200</v>
      </c>
      <c r="CA1419" t="s">
        <v>462</v>
      </c>
      <c r="CC1419" t="s">
        <v>351</v>
      </c>
      <c r="CD1419">
        <v>4000</v>
      </c>
      <c r="CE1419" t="s">
        <v>88</v>
      </c>
      <c r="CF1419" s="3">
        <v>45793</v>
      </c>
      <c r="CI1419">
        <v>1</v>
      </c>
      <c r="CJ1419">
        <v>1</v>
      </c>
      <c r="CK1419">
        <v>21</v>
      </c>
      <c r="CL1419" t="s">
        <v>89</v>
      </c>
    </row>
    <row r="1420" spans="1:90" x14ac:dyDescent="0.3">
      <c r="A1420" t="s">
        <v>72</v>
      </c>
      <c r="B1420" t="s">
        <v>73</v>
      </c>
      <c r="C1420" t="s">
        <v>74</v>
      </c>
      <c r="E1420" t="str">
        <f>"080065371831"</f>
        <v>080065371831</v>
      </c>
      <c r="F1420" s="3">
        <v>45791</v>
      </c>
      <c r="G1420">
        <v>202602</v>
      </c>
      <c r="H1420" t="s">
        <v>75</v>
      </c>
      <c r="I1420" t="s">
        <v>76</v>
      </c>
      <c r="J1420" t="s">
        <v>77</v>
      </c>
      <c r="K1420" t="s">
        <v>78</v>
      </c>
      <c r="L1420" t="s">
        <v>130</v>
      </c>
      <c r="M1420" t="s">
        <v>131</v>
      </c>
      <c r="N1420" t="s">
        <v>239</v>
      </c>
      <c r="O1420" t="s">
        <v>82</v>
      </c>
      <c r="P1420" t="str">
        <f>"4170038255                    "</f>
        <v xml:space="preserve">4170038255                    </v>
      </c>
      <c r="Q1420">
        <v>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c r="AJ1420">
        <v>0</v>
      </c>
      <c r="AK1420">
        <v>0</v>
      </c>
      <c r="AL1420">
        <v>0</v>
      </c>
      <c r="AM1420">
        <v>0</v>
      </c>
      <c r="AN1420">
        <v>0</v>
      </c>
      <c r="AO1420">
        <v>0</v>
      </c>
      <c r="AP1420">
        <v>0</v>
      </c>
      <c r="AQ1420">
        <v>21.38</v>
      </c>
      <c r="AR1420">
        <v>0</v>
      </c>
      <c r="AS1420">
        <v>0</v>
      </c>
      <c r="AT1420">
        <v>0</v>
      </c>
      <c r="AU1420">
        <v>0</v>
      </c>
      <c r="AV1420">
        <v>0</v>
      </c>
      <c r="AW1420">
        <v>0</v>
      </c>
      <c r="AX1420">
        <v>0</v>
      </c>
      <c r="AY1420">
        <v>0</v>
      </c>
      <c r="AZ1420">
        <v>0</v>
      </c>
      <c r="BA1420">
        <v>0</v>
      </c>
      <c r="BB1420">
        <v>0</v>
      </c>
      <c r="BC1420">
        <v>0</v>
      </c>
      <c r="BD1420">
        <v>0</v>
      </c>
      <c r="BE1420">
        <v>0</v>
      </c>
      <c r="BF1420">
        <v>0</v>
      </c>
      <c r="BG1420">
        <v>0</v>
      </c>
      <c r="BH1420">
        <v>1</v>
      </c>
      <c r="BI1420">
        <v>1</v>
      </c>
      <c r="BJ1420">
        <v>0.2</v>
      </c>
      <c r="BK1420">
        <v>1</v>
      </c>
      <c r="BL1420">
        <v>69.98</v>
      </c>
      <c r="BM1420">
        <v>10.5</v>
      </c>
      <c r="BN1420">
        <v>80.48</v>
      </c>
      <c r="BO1420">
        <v>80.48</v>
      </c>
      <c r="BQ1420" t="s">
        <v>240</v>
      </c>
      <c r="BR1420" t="s">
        <v>84</v>
      </c>
      <c r="BS1420" s="3">
        <v>45792</v>
      </c>
      <c r="BT1420" s="4">
        <v>0.41249999999999998</v>
      </c>
      <c r="BU1420" t="s">
        <v>241</v>
      </c>
      <c r="BV1420" t="s">
        <v>86</v>
      </c>
      <c r="BY1420">
        <v>1200</v>
      </c>
      <c r="CA1420" t="s">
        <v>242</v>
      </c>
      <c r="CC1420" t="s">
        <v>131</v>
      </c>
      <c r="CD1420">
        <v>7441</v>
      </c>
      <c r="CE1420" t="s">
        <v>88</v>
      </c>
      <c r="CF1420" s="3">
        <v>45793</v>
      </c>
      <c r="CI1420">
        <v>1</v>
      </c>
      <c r="CJ1420">
        <v>1</v>
      </c>
      <c r="CK1420">
        <v>21</v>
      </c>
      <c r="CL1420" t="s">
        <v>89</v>
      </c>
    </row>
    <row r="1421" spans="1:90" x14ac:dyDescent="0.3">
      <c r="A1421" t="s">
        <v>72</v>
      </c>
      <c r="B1421" t="s">
        <v>73</v>
      </c>
      <c r="C1421" t="s">
        <v>74</v>
      </c>
      <c r="E1421" t="str">
        <f>"080065371854"</f>
        <v>080065371854</v>
      </c>
      <c r="F1421" s="3">
        <v>45791</v>
      </c>
      <c r="G1421">
        <v>202602</v>
      </c>
      <c r="H1421" t="s">
        <v>75</v>
      </c>
      <c r="I1421" t="s">
        <v>76</v>
      </c>
      <c r="J1421" t="s">
        <v>77</v>
      </c>
      <c r="K1421" t="s">
        <v>78</v>
      </c>
      <c r="L1421" t="s">
        <v>320</v>
      </c>
      <c r="M1421" t="s">
        <v>321</v>
      </c>
      <c r="N1421" t="s">
        <v>499</v>
      </c>
      <c r="O1421" t="s">
        <v>82</v>
      </c>
      <c r="P1421" t="str">
        <f>"4170038337                    "</f>
        <v xml:space="preserve">4170038337                    </v>
      </c>
      <c r="Q1421">
        <v>0</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c r="AJ1421">
        <v>0</v>
      </c>
      <c r="AK1421">
        <v>0</v>
      </c>
      <c r="AL1421">
        <v>0</v>
      </c>
      <c r="AM1421">
        <v>0</v>
      </c>
      <c r="AN1421">
        <v>0</v>
      </c>
      <c r="AO1421">
        <v>0</v>
      </c>
      <c r="AP1421">
        <v>0</v>
      </c>
      <c r="AQ1421">
        <v>21.38</v>
      </c>
      <c r="AR1421">
        <v>0</v>
      </c>
      <c r="AS1421">
        <v>0</v>
      </c>
      <c r="AT1421">
        <v>0</v>
      </c>
      <c r="AU1421">
        <v>0</v>
      </c>
      <c r="AV1421">
        <v>0</v>
      </c>
      <c r="AW1421">
        <v>0</v>
      </c>
      <c r="AX1421">
        <v>0</v>
      </c>
      <c r="AY1421">
        <v>0</v>
      </c>
      <c r="AZ1421">
        <v>0</v>
      </c>
      <c r="BA1421">
        <v>0</v>
      </c>
      <c r="BB1421">
        <v>0</v>
      </c>
      <c r="BC1421">
        <v>0</v>
      </c>
      <c r="BD1421">
        <v>0</v>
      </c>
      <c r="BE1421">
        <v>0</v>
      </c>
      <c r="BF1421">
        <v>0</v>
      </c>
      <c r="BG1421">
        <v>0</v>
      </c>
      <c r="BH1421">
        <v>1</v>
      </c>
      <c r="BI1421">
        <v>1</v>
      </c>
      <c r="BJ1421">
        <v>0.2</v>
      </c>
      <c r="BK1421">
        <v>1</v>
      </c>
      <c r="BL1421">
        <v>69.98</v>
      </c>
      <c r="BM1421">
        <v>10.5</v>
      </c>
      <c r="BN1421">
        <v>80.48</v>
      </c>
      <c r="BO1421">
        <v>80.48</v>
      </c>
      <c r="BQ1421" t="s">
        <v>500</v>
      </c>
      <c r="BR1421" t="s">
        <v>84</v>
      </c>
      <c r="BS1421" s="3">
        <v>45792</v>
      </c>
      <c r="BT1421" s="4">
        <v>0.74097222222222225</v>
      </c>
      <c r="BU1421" t="s">
        <v>623</v>
      </c>
      <c r="BV1421" t="s">
        <v>89</v>
      </c>
      <c r="BW1421" t="s">
        <v>434</v>
      </c>
      <c r="BX1421" t="s">
        <v>1829</v>
      </c>
      <c r="BY1421">
        <v>1200</v>
      </c>
      <c r="BZ1421" t="s">
        <v>127</v>
      </c>
      <c r="CA1421" t="s">
        <v>326</v>
      </c>
      <c r="CC1421" t="s">
        <v>321</v>
      </c>
      <c r="CD1421">
        <v>4133</v>
      </c>
      <c r="CE1421" t="s">
        <v>129</v>
      </c>
      <c r="CF1421" s="3">
        <v>45793</v>
      </c>
      <c r="CI1421">
        <v>1</v>
      </c>
      <c r="CJ1421">
        <v>1</v>
      </c>
      <c r="CK1421">
        <v>21</v>
      </c>
      <c r="CL1421" t="s">
        <v>89</v>
      </c>
    </row>
    <row r="1422" spans="1:90" x14ac:dyDescent="0.3">
      <c r="A1422" t="s">
        <v>72</v>
      </c>
      <c r="B1422" t="s">
        <v>73</v>
      </c>
      <c r="C1422" t="s">
        <v>74</v>
      </c>
      <c r="E1422" t="str">
        <f>"080065371861"</f>
        <v>080065371861</v>
      </c>
      <c r="F1422" s="3">
        <v>45791</v>
      </c>
      <c r="G1422">
        <v>202602</v>
      </c>
      <c r="H1422" t="s">
        <v>75</v>
      </c>
      <c r="I1422" t="s">
        <v>76</v>
      </c>
      <c r="J1422" t="s">
        <v>77</v>
      </c>
      <c r="K1422" t="s">
        <v>78</v>
      </c>
      <c r="L1422" t="s">
        <v>672</v>
      </c>
      <c r="M1422" t="s">
        <v>673</v>
      </c>
      <c r="N1422" t="s">
        <v>674</v>
      </c>
      <c r="O1422" t="s">
        <v>82</v>
      </c>
      <c r="P1422" t="str">
        <f>"4170038459                    "</f>
        <v xml:space="preserve">4170038459                    </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0</v>
      </c>
      <c r="AL1422">
        <v>0</v>
      </c>
      <c r="AM1422">
        <v>0</v>
      </c>
      <c r="AN1422">
        <v>0</v>
      </c>
      <c r="AO1422">
        <v>0</v>
      </c>
      <c r="AP1422">
        <v>0</v>
      </c>
      <c r="AQ1422">
        <v>97.56</v>
      </c>
      <c r="AR1422">
        <v>0</v>
      </c>
      <c r="AS1422">
        <v>0</v>
      </c>
      <c r="AT1422">
        <v>0</v>
      </c>
      <c r="AU1422">
        <v>0</v>
      </c>
      <c r="AV1422">
        <v>0</v>
      </c>
      <c r="AW1422">
        <v>0</v>
      </c>
      <c r="AX1422">
        <v>0</v>
      </c>
      <c r="AY1422">
        <v>0</v>
      </c>
      <c r="AZ1422">
        <v>0</v>
      </c>
      <c r="BA1422">
        <v>0</v>
      </c>
      <c r="BB1422">
        <v>0</v>
      </c>
      <c r="BC1422">
        <v>0</v>
      </c>
      <c r="BD1422">
        <v>0</v>
      </c>
      <c r="BE1422">
        <v>0</v>
      </c>
      <c r="BF1422">
        <v>0</v>
      </c>
      <c r="BG1422">
        <v>0</v>
      </c>
      <c r="BH1422">
        <v>1</v>
      </c>
      <c r="BI1422">
        <v>5</v>
      </c>
      <c r="BJ1422">
        <v>2.2000000000000002</v>
      </c>
      <c r="BK1422">
        <v>5</v>
      </c>
      <c r="BL1422">
        <v>319.27999999999997</v>
      </c>
      <c r="BM1422">
        <v>47.89</v>
      </c>
      <c r="BN1422">
        <v>367.17</v>
      </c>
      <c r="BO1422">
        <v>367.17</v>
      </c>
      <c r="BQ1422" t="s">
        <v>675</v>
      </c>
      <c r="BR1422" t="s">
        <v>84</v>
      </c>
      <c r="BS1422" s="3">
        <v>45792</v>
      </c>
      <c r="BT1422" s="4">
        <v>0.40416666666666667</v>
      </c>
      <c r="BU1422" t="s">
        <v>1059</v>
      </c>
      <c r="BV1422" t="s">
        <v>86</v>
      </c>
      <c r="BY1422">
        <v>11016</v>
      </c>
      <c r="BZ1422" t="s">
        <v>127</v>
      </c>
      <c r="CA1422" t="s">
        <v>1179</v>
      </c>
      <c r="CC1422" t="s">
        <v>673</v>
      </c>
      <c r="CD1422">
        <v>2531</v>
      </c>
      <c r="CE1422" t="s">
        <v>221</v>
      </c>
      <c r="CF1422" s="3">
        <v>45793</v>
      </c>
      <c r="CI1422">
        <v>1</v>
      </c>
      <c r="CJ1422">
        <v>1</v>
      </c>
      <c r="CK1422">
        <v>23</v>
      </c>
      <c r="CL1422" t="s">
        <v>89</v>
      </c>
    </row>
    <row r="1423" spans="1:90" x14ac:dyDescent="0.3">
      <c r="A1423" t="s">
        <v>72</v>
      </c>
      <c r="B1423" t="s">
        <v>73</v>
      </c>
      <c r="C1423" t="s">
        <v>74</v>
      </c>
      <c r="E1423" t="str">
        <f>"080065371871"</f>
        <v>080065371871</v>
      </c>
      <c r="F1423" s="3">
        <v>45791</v>
      </c>
      <c r="G1423">
        <v>202602</v>
      </c>
      <c r="H1423" t="s">
        <v>75</v>
      </c>
      <c r="I1423" t="s">
        <v>76</v>
      </c>
      <c r="J1423" t="s">
        <v>77</v>
      </c>
      <c r="K1423" t="s">
        <v>78</v>
      </c>
      <c r="L1423" t="s">
        <v>117</v>
      </c>
      <c r="M1423" t="s">
        <v>118</v>
      </c>
      <c r="N1423" t="s">
        <v>2074</v>
      </c>
      <c r="O1423" t="s">
        <v>82</v>
      </c>
      <c r="P1423" t="str">
        <f>"4170038288                    "</f>
        <v xml:space="preserve">4170038288                    </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0</v>
      </c>
      <c r="AL1423">
        <v>0</v>
      </c>
      <c r="AM1423">
        <v>0</v>
      </c>
      <c r="AN1423">
        <v>0</v>
      </c>
      <c r="AO1423">
        <v>0</v>
      </c>
      <c r="AP1423">
        <v>0</v>
      </c>
      <c r="AQ1423">
        <v>16.7</v>
      </c>
      <c r="AR1423">
        <v>0</v>
      </c>
      <c r="AS1423">
        <v>0</v>
      </c>
      <c r="AT1423">
        <v>0</v>
      </c>
      <c r="AU1423">
        <v>0</v>
      </c>
      <c r="AV1423">
        <v>0</v>
      </c>
      <c r="AW1423">
        <v>0</v>
      </c>
      <c r="AX1423">
        <v>0</v>
      </c>
      <c r="AY1423">
        <v>0</v>
      </c>
      <c r="AZ1423">
        <v>0</v>
      </c>
      <c r="BA1423">
        <v>0</v>
      </c>
      <c r="BB1423">
        <v>0</v>
      </c>
      <c r="BC1423">
        <v>0</v>
      </c>
      <c r="BD1423">
        <v>0</v>
      </c>
      <c r="BE1423">
        <v>0</v>
      </c>
      <c r="BF1423">
        <v>0</v>
      </c>
      <c r="BG1423">
        <v>0</v>
      </c>
      <c r="BH1423">
        <v>1</v>
      </c>
      <c r="BI1423">
        <v>1</v>
      </c>
      <c r="BJ1423">
        <v>0.2</v>
      </c>
      <c r="BK1423">
        <v>1</v>
      </c>
      <c r="BL1423">
        <v>54.66</v>
      </c>
      <c r="BM1423">
        <v>8.1999999999999993</v>
      </c>
      <c r="BN1423">
        <v>62.86</v>
      </c>
      <c r="BO1423">
        <v>62.86</v>
      </c>
      <c r="BQ1423" t="s">
        <v>2075</v>
      </c>
      <c r="BR1423" t="s">
        <v>84</v>
      </c>
      <c r="BS1423" s="3">
        <v>45792</v>
      </c>
      <c r="BT1423" s="4">
        <v>0.37013888888888891</v>
      </c>
      <c r="BU1423" t="s">
        <v>2076</v>
      </c>
      <c r="BV1423" t="s">
        <v>86</v>
      </c>
      <c r="BY1423">
        <v>1200</v>
      </c>
      <c r="BZ1423" t="s">
        <v>127</v>
      </c>
      <c r="CA1423" t="s">
        <v>1596</v>
      </c>
      <c r="CC1423" t="s">
        <v>118</v>
      </c>
      <c r="CD1423">
        <v>2042</v>
      </c>
      <c r="CE1423" t="s">
        <v>129</v>
      </c>
      <c r="CF1423" s="3">
        <v>45793</v>
      </c>
      <c r="CI1423">
        <v>1</v>
      </c>
      <c r="CJ1423">
        <v>1</v>
      </c>
      <c r="CK1423">
        <v>22</v>
      </c>
      <c r="CL1423" t="s">
        <v>89</v>
      </c>
    </row>
    <row r="1424" spans="1:90" x14ac:dyDescent="0.3">
      <c r="A1424" t="s">
        <v>72</v>
      </c>
      <c r="B1424" t="s">
        <v>73</v>
      </c>
      <c r="C1424" t="s">
        <v>74</v>
      </c>
      <c r="E1424" t="str">
        <f>"080065371884"</f>
        <v>080065371884</v>
      </c>
      <c r="F1424" s="3">
        <v>45791</v>
      </c>
      <c r="G1424">
        <v>202602</v>
      </c>
      <c r="H1424" t="s">
        <v>75</v>
      </c>
      <c r="I1424" t="s">
        <v>76</v>
      </c>
      <c r="J1424" t="s">
        <v>77</v>
      </c>
      <c r="K1424" t="s">
        <v>78</v>
      </c>
      <c r="L1424" t="s">
        <v>130</v>
      </c>
      <c r="M1424" t="s">
        <v>131</v>
      </c>
      <c r="N1424" t="s">
        <v>709</v>
      </c>
      <c r="O1424" t="s">
        <v>82</v>
      </c>
      <c r="P1424" t="str">
        <f>"4170038460                    "</f>
        <v xml:space="preserve">4170038460                    </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0</v>
      </c>
      <c r="AL1424">
        <v>0</v>
      </c>
      <c r="AM1424">
        <v>0</v>
      </c>
      <c r="AN1424">
        <v>0</v>
      </c>
      <c r="AO1424">
        <v>0</v>
      </c>
      <c r="AP1424">
        <v>0</v>
      </c>
      <c r="AQ1424">
        <v>53.43</v>
      </c>
      <c r="AR1424">
        <v>0</v>
      </c>
      <c r="AS1424">
        <v>0</v>
      </c>
      <c r="AT1424">
        <v>0</v>
      </c>
      <c r="AU1424">
        <v>0</v>
      </c>
      <c r="AV1424">
        <v>0</v>
      </c>
      <c r="AW1424">
        <v>0</v>
      </c>
      <c r="AX1424">
        <v>0</v>
      </c>
      <c r="AY1424">
        <v>0</v>
      </c>
      <c r="AZ1424">
        <v>0</v>
      </c>
      <c r="BA1424">
        <v>0</v>
      </c>
      <c r="BB1424">
        <v>0</v>
      </c>
      <c r="BC1424">
        <v>0</v>
      </c>
      <c r="BD1424">
        <v>0</v>
      </c>
      <c r="BE1424">
        <v>0</v>
      </c>
      <c r="BF1424">
        <v>0</v>
      </c>
      <c r="BG1424">
        <v>0</v>
      </c>
      <c r="BH1424">
        <v>1</v>
      </c>
      <c r="BI1424">
        <v>5</v>
      </c>
      <c r="BJ1424">
        <v>2.2000000000000002</v>
      </c>
      <c r="BK1424">
        <v>5</v>
      </c>
      <c r="BL1424">
        <v>174.87</v>
      </c>
      <c r="BM1424">
        <v>26.23</v>
      </c>
      <c r="BN1424">
        <v>201.1</v>
      </c>
      <c r="BO1424">
        <v>201.1</v>
      </c>
      <c r="BQ1424" t="s">
        <v>710</v>
      </c>
      <c r="BR1424" t="s">
        <v>84</v>
      </c>
      <c r="BS1424" s="3">
        <v>45792</v>
      </c>
      <c r="BT1424" s="4">
        <v>0.33402777777777776</v>
      </c>
      <c r="BU1424" t="s">
        <v>2077</v>
      </c>
      <c r="BV1424" t="s">
        <v>86</v>
      </c>
      <c r="BY1424">
        <v>10976</v>
      </c>
      <c r="BZ1424" t="s">
        <v>127</v>
      </c>
      <c r="CA1424" t="s">
        <v>712</v>
      </c>
      <c r="CC1424" t="s">
        <v>131</v>
      </c>
      <c r="CD1424">
        <v>7530</v>
      </c>
      <c r="CE1424" t="s">
        <v>221</v>
      </c>
      <c r="CF1424" s="3">
        <v>45793</v>
      </c>
      <c r="CI1424">
        <v>1</v>
      </c>
      <c r="CJ1424">
        <v>1</v>
      </c>
      <c r="CK1424">
        <v>21</v>
      </c>
      <c r="CL1424" t="s">
        <v>89</v>
      </c>
    </row>
    <row r="1425" spans="1:90" x14ac:dyDescent="0.3">
      <c r="A1425" t="s">
        <v>72</v>
      </c>
      <c r="B1425" t="s">
        <v>73</v>
      </c>
      <c r="C1425" t="s">
        <v>74</v>
      </c>
      <c r="E1425" t="str">
        <f>"080065371887"</f>
        <v>080065371887</v>
      </c>
      <c r="F1425" s="3">
        <v>45791</v>
      </c>
      <c r="G1425">
        <v>202602</v>
      </c>
      <c r="H1425" t="s">
        <v>75</v>
      </c>
      <c r="I1425" t="s">
        <v>76</v>
      </c>
      <c r="J1425" t="s">
        <v>77</v>
      </c>
      <c r="K1425" t="s">
        <v>78</v>
      </c>
      <c r="L1425" t="s">
        <v>222</v>
      </c>
      <c r="M1425" t="s">
        <v>223</v>
      </c>
      <c r="N1425" t="s">
        <v>1369</v>
      </c>
      <c r="O1425" t="s">
        <v>82</v>
      </c>
      <c r="P1425" t="str">
        <f>"4170038308                    "</f>
        <v xml:space="preserve">4170038308                    </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0</v>
      </c>
      <c r="AL1425">
        <v>0</v>
      </c>
      <c r="AM1425">
        <v>0</v>
      </c>
      <c r="AN1425">
        <v>0</v>
      </c>
      <c r="AO1425">
        <v>0</v>
      </c>
      <c r="AP1425">
        <v>0</v>
      </c>
      <c r="AQ1425">
        <v>30.07</v>
      </c>
      <c r="AR1425">
        <v>0</v>
      </c>
      <c r="AS1425">
        <v>0</v>
      </c>
      <c r="AT1425">
        <v>0</v>
      </c>
      <c r="AU1425">
        <v>0</v>
      </c>
      <c r="AV1425">
        <v>0</v>
      </c>
      <c r="AW1425">
        <v>0</v>
      </c>
      <c r="AX1425">
        <v>0</v>
      </c>
      <c r="AY1425">
        <v>0</v>
      </c>
      <c r="AZ1425">
        <v>0</v>
      </c>
      <c r="BA1425">
        <v>0</v>
      </c>
      <c r="BB1425">
        <v>0</v>
      </c>
      <c r="BC1425">
        <v>0</v>
      </c>
      <c r="BD1425">
        <v>0</v>
      </c>
      <c r="BE1425">
        <v>0</v>
      </c>
      <c r="BF1425">
        <v>0</v>
      </c>
      <c r="BG1425">
        <v>0</v>
      </c>
      <c r="BH1425">
        <v>1</v>
      </c>
      <c r="BI1425">
        <v>1</v>
      </c>
      <c r="BJ1425">
        <v>0.2</v>
      </c>
      <c r="BK1425">
        <v>1</v>
      </c>
      <c r="BL1425">
        <v>98.42</v>
      </c>
      <c r="BM1425">
        <v>14.76</v>
      </c>
      <c r="BN1425">
        <v>113.18</v>
      </c>
      <c r="BO1425">
        <v>113.18</v>
      </c>
      <c r="BQ1425" t="s">
        <v>1370</v>
      </c>
      <c r="BR1425" t="s">
        <v>84</v>
      </c>
      <c r="BS1425" s="3">
        <v>45792</v>
      </c>
      <c r="BT1425" s="4">
        <v>0.33680555555555558</v>
      </c>
      <c r="BU1425" t="s">
        <v>1922</v>
      </c>
      <c r="BV1425" t="s">
        <v>86</v>
      </c>
      <c r="BY1425">
        <v>1200</v>
      </c>
      <c r="BZ1425" t="s">
        <v>127</v>
      </c>
      <c r="CA1425" t="s">
        <v>592</v>
      </c>
      <c r="CC1425" t="s">
        <v>223</v>
      </c>
      <c r="CD1425">
        <v>1748</v>
      </c>
      <c r="CE1425" t="s">
        <v>129</v>
      </c>
      <c r="CF1425" s="3">
        <v>45793</v>
      </c>
      <c r="CI1425">
        <v>1</v>
      </c>
      <c r="CJ1425">
        <v>1</v>
      </c>
      <c r="CK1425">
        <v>24</v>
      </c>
      <c r="CL1425" t="s">
        <v>89</v>
      </c>
    </row>
    <row r="1426" spans="1:90" x14ac:dyDescent="0.3">
      <c r="A1426" t="s">
        <v>72</v>
      </c>
      <c r="B1426" t="s">
        <v>73</v>
      </c>
      <c r="C1426" t="s">
        <v>74</v>
      </c>
      <c r="E1426" t="str">
        <f>"080065371909"</f>
        <v>080065371909</v>
      </c>
      <c r="F1426" s="3">
        <v>45791</v>
      </c>
      <c r="G1426">
        <v>202602</v>
      </c>
      <c r="H1426" t="s">
        <v>75</v>
      </c>
      <c r="I1426" t="s">
        <v>76</v>
      </c>
      <c r="J1426" t="s">
        <v>77</v>
      </c>
      <c r="K1426" t="s">
        <v>78</v>
      </c>
      <c r="L1426" t="s">
        <v>672</v>
      </c>
      <c r="M1426" t="s">
        <v>673</v>
      </c>
      <c r="N1426" t="s">
        <v>674</v>
      </c>
      <c r="O1426" t="s">
        <v>82</v>
      </c>
      <c r="P1426" t="str">
        <f>"4170038377                    "</f>
        <v xml:space="preserve">4170038377                    </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c r="AJ1426">
        <v>0</v>
      </c>
      <c r="AK1426">
        <v>0</v>
      </c>
      <c r="AL1426">
        <v>0</v>
      </c>
      <c r="AM1426">
        <v>0</v>
      </c>
      <c r="AN1426">
        <v>0</v>
      </c>
      <c r="AO1426">
        <v>0</v>
      </c>
      <c r="AP1426">
        <v>0</v>
      </c>
      <c r="AQ1426">
        <v>41.43</v>
      </c>
      <c r="AR1426">
        <v>0</v>
      </c>
      <c r="AS1426">
        <v>0</v>
      </c>
      <c r="AT1426">
        <v>0</v>
      </c>
      <c r="AU1426">
        <v>0</v>
      </c>
      <c r="AV1426">
        <v>0</v>
      </c>
      <c r="AW1426">
        <v>0</v>
      </c>
      <c r="AX1426">
        <v>0</v>
      </c>
      <c r="AY1426">
        <v>0</v>
      </c>
      <c r="AZ1426">
        <v>0</v>
      </c>
      <c r="BA1426">
        <v>0</v>
      </c>
      <c r="BB1426">
        <v>0</v>
      </c>
      <c r="BC1426">
        <v>0</v>
      </c>
      <c r="BD1426">
        <v>0</v>
      </c>
      <c r="BE1426">
        <v>0</v>
      </c>
      <c r="BF1426">
        <v>0</v>
      </c>
      <c r="BG1426">
        <v>0</v>
      </c>
      <c r="BH1426">
        <v>1</v>
      </c>
      <c r="BI1426">
        <v>1</v>
      </c>
      <c r="BJ1426">
        <v>0.2</v>
      </c>
      <c r="BK1426">
        <v>1</v>
      </c>
      <c r="BL1426">
        <v>135.59</v>
      </c>
      <c r="BM1426">
        <v>20.34</v>
      </c>
      <c r="BN1426">
        <v>155.93</v>
      </c>
      <c r="BO1426">
        <v>155.93</v>
      </c>
      <c r="BQ1426" t="s">
        <v>675</v>
      </c>
      <c r="BR1426" t="s">
        <v>84</v>
      </c>
      <c r="BS1426" s="3">
        <v>45792</v>
      </c>
      <c r="BT1426" s="4">
        <v>0.40416666666666667</v>
      </c>
      <c r="BU1426" t="s">
        <v>1059</v>
      </c>
      <c r="BV1426" t="s">
        <v>86</v>
      </c>
      <c r="BY1426">
        <v>1200</v>
      </c>
      <c r="CA1426" t="s">
        <v>1179</v>
      </c>
      <c r="CC1426" t="s">
        <v>673</v>
      </c>
      <c r="CD1426">
        <v>2531</v>
      </c>
      <c r="CE1426" t="s">
        <v>88</v>
      </c>
      <c r="CF1426" s="3">
        <v>45793</v>
      </c>
      <c r="CI1426">
        <v>1</v>
      </c>
      <c r="CJ1426">
        <v>1</v>
      </c>
      <c r="CK1426">
        <v>23</v>
      </c>
      <c r="CL1426" t="s">
        <v>89</v>
      </c>
    </row>
    <row r="1427" spans="1:90" x14ac:dyDescent="0.3">
      <c r="A1427" t="s">
        <v>72</v>
      </c>
      <c r="B1427" t="s">
        <v>73</v>
      </c>
      <c r="C1427" t="s">
        <v>74</v>
      </c>
      <c r="E1427" t="str">
        <f>"080065371913"</f>
        <v>080065371913</v>
      </c>
      <c r="F1427" s="3">
        <v>45791</v>
      </c>
      <c r="G1427">
        <v>202602</v>
      </c>
      <c r="H1427" t="s">
        <v>75</v>
      </c>
      <c r="I1427" t="s">
        <v>76</v>
      </c>
      <c r="J1427" t="s">
        <v>77</v>
      </c>
      <c r="K1427" t="s">
        <v>78</v>
      </c>
      <c r="L1427" t="s">
        <v>90</v>
      </c>
      <c r="M1427" t="s">
        <v>91</v>
      </c>
      <c r="N1427" t="s">
        <v>371</v>
      </c>
      <c r="O1427" t="s">
        <v>82</v>
      </c>
      <c r="P1427" t="str">
        <f>"4170038373                    "</f>
        <v xml:space="preserve">4170038373                    </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c r="AJ1427">
        <v>0</v>
      </c>
      <c r="AK1427">
        <v>0</v>
      </c>
      <c r="AL1427">
        <v>0</v>
      </c>
      <c r="AM1427">
        <v>0</v>
      </c>
      <c r="AN1427">
        <v>0</v>
      </c>
      <c r="AO1427">
        <v>0</v>
      </c>
      <c r="AP1427">
        <v>0</v>
      </c>
      <c r="AQ1427">
        <v>32.07</v>
      </c>
      <c r="AR1427">
        <v>0</v>
      </c>
      <c r="AS1427">
        <v>0</v>
      </c>
      <c r="AT1427">
        <v>0</v>
      </c>
      <c r="AU1427">
        <v>0</v>
      </c>
      <c r="AV1427">
        <v>0</v>
      </c>
      <c r="AW1427">
        <v>0</v>
      </c>
      <c r="AX1427">
        <v>0</v>
      </c>
      <c r="AY1427">
        <v>0</v>
      </c>
      <c r="AZ1427">
        <v>0</v>
      </c>
      <c r="BA1427">
        <v>0</v>
      </c>
      <c r="BB1427">
        <v>0</v>
      </c>
      <c r="BC1427">
        <v>0</v>
      </c>
      <c r="BD1427">
        <v>0</v>
      </c>
      <c r="BE1427">
        <v>0</v>
      </c>
      <c r="BF1427">
        <v>0</v>
      </c>
      <c r="BG1427">
        <v>0</v>
      </c>
      <c r="BH1427">
        <v>1</v>
      </c>
      <c r="BI1427">
        <v>1</v>
      </c>
      <c r="BJ1427">
        <v>2.6</v>
      </c>
      <c r="BK1427">
        <v>3</v>
      </c>
      <c r="BL1427">
        <v>104.95</v>
      </c>
      <c r="BM1427">
        <v>15.74</v>
      </c>
      <c r="BN1427">
        <v>120.69</v>
      </c>
      <c r="BO1427">
        <v>120.69</v>
      </c>
      <c r="BQ1427" t="s">
        <v>372</v>
      </c>
      <c r="BR1427" t="s">
        <v>84</v>
      </c>
      <c r="BS1427" s="3">
        <v>45792</v>
      </c>
      <c r="BT1427" s="4">
        <v>0.4284722222222222</v>
      </c>
      <c r="BU1427" t="s">
        <v>373</v>
      </c>
      <c r="BV1427" t="s">
        <v>86</v>
      </c>
      <c r="BY1427">
        <v>13248</v>
      </c>
      <c r="CA1427" t="s">
        <v>298</v>
      </c>
      <c r="CC1427" t="s">
        <v>91</v>
      </c>
      <c r="CD1427">
        <v>6001</v>
      </c>
      <c r="CE1427" t="s">
        <v>221</v>
      </c>
      <c r="CF1427" s="3">
        <v>45792</v>
      </c>
      <c r="CI1427">
        <v>1</v>
      </c>
      <c r="CJ1427">
        <v>1</v>
      </c>
      <c r="CK1427">
        <v>21</v>
      </c>
      <c r="CL1427" t="s">
        <v>89</v>
      </c>
    </row>
    <row r="1428" spans="1:90" x14ac:dyDescent="0.3">
      <c r="A1428" t="s">
        <v>72</v>
      </c>
      <c r="B1428" t="s">
        <v>73</v>
      </c>
      <c r="C1428" t="s">
        <v>74</v>
      </c>
      <c r="E1428" t="str">
        <f>"080065372130"</f>
        <v>080065372130</v>
      </c>
      <c r="F1428" s="3">
        <v>45791</v>
      </c>
      <c r="G1428">
        <v>202602</v>
      </c>
      <c r="H1428" t="s">
        <v>75</v>
      </c>
      <c r="I1428" t="s">
        <v>76</v>
      </c>
      <c r="J1428" t="s">
        <v>77</v>
      </c>
      <c r="K1428" t="s">
        <v>78</v>
      </c>
      <c r="L1428" t="s">
        <v>75</v>
      </c>
      <c r="M1428" t="s">
        <v>76</v>
      </c>
      <c r="N1428" t="s">
        <v>390</v>
      </c>
      <c r="O1428" t="s">
        <v>82</v>
      </c>
      <c r="P1428" t="str">
        <f>"4170038398                    "</f>
        <v xml:space="preserve">4170038398                    </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0</v>
      </c>
      <c r="AL1428">
        <v>0</v>
      </c>
      <c r="AM1428">
        <v>0</v>
      </c>
      <c r="AN1428">
        <v>0</v>
      </c>
      <c r="AO1428">
        <v>0</v>
      </c>
      <c r="AP1428">
        <v>0</v>
      </c>
      <c r="AQ1428">
        <v>16.7</v>
      </c>
      <c r="AR1428">
        <v>0</v>
      </c>
      <c r="AS1428">
        <v>0</v>
      </c>
      <c r="AT1428">
        <v>0</v>
      </c>
      <c r="AU1428">
        <v>0</v>
      </c>
      <c r="AV1428">
        <v>0</v>
      </c>
      <c r="AW1428">
        <v>0</v>
      </c>
      <c r="AX1428">
        <v>0</v>
      </c>
      <c r="AY1428">
        <v>0</v>
      </c>
      <c r="AZ1428">
        <v>0</v>
      </c>
      <c r="BA1428">
        <v>0</v>
      </c>
      <c r="BB1428">
        <v>0</v>
      </c>
      <c r="BC1428">
        <v>0</v>
      </c>
      <c r="BD1428">
        <v>0</v>
      </c>
      <c r="BE1428">
        <v>0</v>
      </c>
      <c r="BF1428">
        <v>0</v>
      </c>
      <c r="BG1428">
        <v>0</v>
      </c>
      <c r="BH1428">
        <v>1</v>
      </c>
      <c r="BI1428">
        <v>1</v>
      </c>
      <c r="BJ1428">
        <v>0.2</v>
      </c>
      <c r="BK1428">
        <v>1</v>
      </c>
      <c r="BL1428">
        <v>54.66</v>
      </c>
      <c r="BM1428">
        <v>8.1999999999999993</v>
      </c>
      <c r="BN1428">
        <v>62.86</v>
      </c>
      <c r="BO1428">
        <v>62.86</v>
      </c>
      <c r="BQ1428" t="s">
        <v>391</v>
      </c>
      <c r="BR1428" t="s">
        <v>84</v>
      </c>
      <c r="BS1428" s="3">
        <v>45792</v>
      </c>
      <c r="BT1428" s="4">
        <v>0.33819444444444446</v>
      </c>
      <c r="BU1428" t="s">
        <v>2078</v>
      </c>
      <c r="BV1428" t="s">
        <v>86</v>
      </c>
      <c r="BY1428">
        <v>1200</v>
      </c>
      <c r="CA1428" t="s">
        <v>115</v>
      </c>
      <c r="CC1428" t="s">
        <v>76</v>
      </c>
      <c r="CD1428">
        <v>1600</v>
      </c>
      <c r="CE1428" t="s">
        <v>88</v>
      </c>
      <c r="CF1428" s="3">
        <v>45793</v>
      </c>
      <c r="CI1428">
        <v>1</v>
      </c>
      <c r="CJ1428">
        <v>1</v>
      </c>
      <c r="CK1428">
        <v>22</v>
      </c>
      <c r="CL1428" t="s">
        <v>89</v>
      </c>
    </row>
    <row r="1429" spans="1:90" x14ac:dyDescent="0.3">
      <c r="A1429" t="s">
        <v>72</v>
      </c>
      <c r="B1429" t="s">
        <v>73</v>
      </c>
      <c r="C1429" t="s">
        <v>74</v>
      </c>
      <c r="E1429" t="str">
        <f>"080065372154"</f>
        <v>080065372154</v>
      </c>
      <c r="F1429" s="3">
        <v>45791</v>
      </c>
      <c r="G1429">
        <v>202602</v>
      </c>
      <c r="H1429" t="s">
        <v>75</v>
      </c>
      <c r="I1429" t="s">
        <v>76</v>
      </c>
      <c r="J1429" t="s">
        <v>77</v>
      </c>
      <c r="K1429" t="s">
        <v>78</v>
      </c>
      <c r="L1429" t="s">
        <v>123</v>
      </c>
      <c r="M1429" t="s">
        <v>123</v>
      </c>
      <c r="N1429" t="s">
        <v>766</v>
      </c>
      <c r="O1429" t="s">
        <v>82</v>
      </c>
      <c r="P1429" t="str">
        <f>"4170038281                    "</f>
        <v xml:space="preserve">4170038281                    </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c r="AJ1429">
        <v>0</v>
      </c>
      <c r="AK1429">
        <v>0</v>
      </c>
      <c r="AL1429">
        <v>0</v>
      </c>
      <c r="AM1429">
        <v>0</v>
      </c>
      <c r="AN1429">
        <v>0</v>
      </c>
      <c r="AO1429">
        <v>0</v>
      </c>
      <c r="AP1429">
        <v>0</v>
      </c>
      <c r="AQ1429">
        <v>97.56</v>
      </c>
      <c r="AR1429">
        <v>0</v>
      </c>
      <c r="AS1429">
        <v>0</v>
      </c>
      <c r="AT1429">
        <v>0</v>
      </c>
      <c r="AU1429">
        <v>0</v>
      </c>
      <c r="AV1429">
        <v>0</v>
      </c>
      <c r="AW1429">
        <v>0</v>
      </c>
      <c r="AX1429">
        <v>0</v>
      </c>
      <c r="AY1429">
        <v>0</v>
      </c>
      <c r="AZ1429">
        <v>0</v>
      </c>
      <c r="BA1429">
        <v>0</v>
      </c>
      <c r="BB1429">
        <v>0</v>
      </c>
      <c r="BC1429">
        <v>0</v>
      </c>
      <c r="BD1429">
        <v>0</v>
      </c>
      <c r="BE1429">
        <v>0</v>
      </c>
      <c r="BF1429">
        <v>0</v>
      </c>
      <c r="BG1429">
        <v>0</v>
      </c>
      <c r="BH1429">
        <v>1</v>
      </c>
      <c r="BI1429">
        <v>5</v>
      </c>
      <c r="BJ1429">
        <v>3.4</v>
      </c>
      <c r="BK1429">
        <v>5</v>
      </c>
      <c r="BL1429">
        <v>319.27999999999997</v>
      </c>
      <c r="BM1429">
        <v>47.89</v>
      </c>
      <c r="BN1429">
        <v>367.17</v>
      </c>
      <c r="BO1429">
        <v>367.17</v>
      </c>
      <c r="BQ1429" t="s">
        <v>767</v>
      </c>
      <c r="BR1429" t="s">
        <v>84</v>
      </c>
      <c r="BS1429" s="3">
        <v>45792</v>
      </c>
      <c r="BT1429" s="4">
        <v>0.40972222222222221</v>
      </c>
      <c r="BU1429" t="s">
        <v>768</v>
      </c>
      <c r="BV1429" t="s">
        <v>86</v>
      </c>
      <c r="BY1429">
        <v>16758</v>
      </c>
      <c r="CA1429" t="s">
        <v>2044</v>
      </c>
      <c r="CC1429" t="s">
        <v>123</v>
      </c>
      <c r="CD1429">
        <v>7646</v>
      </c>
      <c r="CE1429" t="s">
        <v>221</v>
      </c>
      <c r="CF1429" s="3">
        <v>45793</v>
      </c>
      <c r="CI1429">
        <v>1</v>
      </c>
      <c r="CJ1429">
        <v>1</v>
      </c>
      <c r="CK1429">
        <v>23</v>
      </c>
      <c r="CL1429" t="s">
        <v>89</v>
      </c>
    </row>
    <row r="1430" spans="1:90" x14ac:dyDescent="0.3">
      <c r="A1430" t="s">
        <v>72</v>
      </c>
      <c r="B1430" t="s">
        <v>73</v>
      </c>
      <c r="C1430" t="s">
        <v>74</v>
      </c>
      <c r="E1430" t="str">
        <f>"080065372158"</f>
        <v>080065372158</v>
      </c>
      <c r="F1430" s="3">
        <v>45791</v>
      </c>
      <c r="G1430">
        <v>202602</v>
      </c>
      <c r="H1430" t="s">
        <v>75</v>
      </c>
      <c r="I1430" t="s">
        <v>76</v>
      </c>
      <c r="J1430" t="s">
        <v>77</v>
      </c>
      <c r="K1430" t="s">
        <v>78</v>
      </c>
      <c r="L1430" t="s">
        <v>79</v>
      </c>
      <c r="M1430" t="s">
        <v>80</v>
      </c>
      <c r="N1430" t="s">
        <v>452</v>
      </c>
      <c r="O1430" t="s">
        <v>82</v>
      </c>
      <c r="P1430" t="str">
        <f>"4170038419                    "</f>
        <v xml:space="preserve">4170038419                    </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c r="AJ1430">
        <v>0</v>
      </c>
      <c r="AK1430">
        <v>0</v>
      </c>
      <c r="AL1430">
        <v>0</v>
      </c>
      <c r="AM1430">
        <v>0</v>
      </c>
      <c r="AN1430">
        <v>0</v>
      </c>
      <c r="AO1430">
        <v>0</v>
      </c>
      <c r="AP1430">
        <v>0</v>
      </c>
      <c r="AQ1430">
        <v>21.38</v>
      </c>
      <c r="AR1430">
        <v>0</v>
      </c>
      <c r="AS1430">
        <v>0</v>
      </c>
      <c r="AT1430">
        <v>0</v>
      </c>
      <c r="AU1430">
        <v>0</v>
      </c>
      <c r="AV1430">
        <v>0</v>
      </c>
      <c r="AW1430">
        <v>0</v>
      </c>
      <c r="AX1430">
        <v>0</v>
      </c>
      <c r="AY1430">
        <v>0</v>
      </c>
      <c r="AZ1430">
        <v>0</v>
      </c>
      <c r="BA1430">
        <v>0</v>
      </c>
      <c r="BB1430">
        <v>0</v>
      </c>
      <c r="BC1430">
        <v>0</v>
      </c>
      <c r="BD1430">
        <v>0</v>
      </c>
      <c r="BE1430">
        <v>0</v>
      </c>
      <c r="BF1430">
        <v>0</v>
      </c>
      <c r="BG1430">
        <v>0</v>
      </c>
      <c r="BH1430">
        <v>1</v>
      </c>
      <c r="BI1430">
        <v>1</v>
      </c>
      <c r="BJ1430">
        <v>0.2</v>
      </c>
      <c r="BK1430">
        <v>1</v>
      </c>
      <c r="BL1430">
        <v>69.98</v>
      </c>
      <c r="BM1430">
        <v>10.5</v>
      </c>
      <c r="BN1430">
        <v>80.48</v>
      </c>
      <c r="BO1430">
        <v>80.48</v>
      </c>
      <c r="BQ1430" t="s">
        <v>453</v>
      </c>
      <c r="BR1430" t="s">
        <v>84</v>
      </c>
      <c r="BS1430" s="3">
        <v>45792</v>
      </c>
      <c r="BT1430" s="4">
        <v>0.46319444444444446</v>
      </c>
      <c r="BU1430" t="s">
        <v>1071</v>
      </c>
      <c r="BV1430" t="s">
        <v>86</v>
      </c>
      <c r="BY1430">
        <v>1200</v>
      </c>
      <c r="CA1430" t="s">
        <v>160</v>
      </c>
      <c r="CC1430" t="s">
        <v>80</v>
      </c>
      <c r="CD1430">
        <v>3610</v>
      </c>
      <c r="CE1430" t="s">
        <v>88</v>
      </c>
      <c r="CF1430" s="3">
        <v>45793</v>
      </c>
      <c r="CI1430">
        <v>1</v>
      </c>
      <c r="CJ1430">
        <v>1</v>
      </c>
      <c r="CK1430">
        <v>21</v>
      </c>
      <c r="CL1430" t="s">
        <v>89</v>
      </c>
    </row>
    <row r="1431" spans="1:90" x14ac:dyDescent="0.3">
      <c r="A1431" t="s">
        <v>72</v>
      </c>
      <c r="B1431" t="s">
        <v>73</v>
      </c>
      <c r="C1431" t="s">
        <v>74</v>
      </c>
      <c r="E1431" t="str">
        <f>"080065372202"</f>
        <v>080065372202</v>
      </c>
      <c r="F1431" s="3">
        <v>45791</v>
      </c>
      <c r="G1431">
        <v>202602</v>
      </c>
      <c r="H1431" t="s">
        <v>75</v>
      </c>
      <c r="I1431" t="s">
        <v>76</v>
      </c>
      <c r="J1431" t="s">
        <v>77</v>
      </c>
      <c r="K1431" t="s">
        <v>78</v>
      </c>
      <c r="L1431" t="s">
        <v>526</v>
      </c>
      <c r="M1431" t="s">
        <v>527</v>
      </c>
      <c r="N1431" t="s">
        <v>826</v>
      </c>
      <c r="O1431" t="s">
        <v>82</v>
      </c>
      <c r="P1431" t="str">
        <f>"4170038351                    "</f>
        <v xml:space="preserve">4170038351                    </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0</v>
      </c>
      <c r="AL1431">
        <v>0</v>
      </c>
      <c r="AM1431">
        <v>0</v>
      </c>
      <c r="AN1431">
        <v>0</v>
      </c>
      <c r="AO1431">
        <v>0</v>
      </c>
      <c r="AP1431">
        <v>0</v>
      </c>
      <c r="AQ1431">
        <v>30.07</v>
      </c>
      <c r="AR1431">
        <v>0</v>
      </c>
      <c r="AS1431">
        <v>0</v>
      </c>
      <c r="AT1431">
        <v>0</v>
      </c>
      <c r="AU1431">
        <v>0</v>
      </c>
      <c r="AV1431">
        <v>0</v>
      </c>
      <c r="AW1431">
        <v>0</v>
      </c>
      <c r="AX1431">
        <v>0</v>
      </c>
      <c r="AY1431">
        <v>0</v>
      </c>
      <c r="AZ1431">
        <v>0</v>
      </c>
      <c r="BA1431">
        <v>0</v>
      </c>
      <c r="BB1431">
        <v>0</v>
      </c>
      <c r="BC1431">
        <v>0</v>
      </c>
      <c r="BD1431">
        <v>0</v>
      </c>
      <c r="BE1431">
        <v>0</v>
      </c>
      <c r="BF1431">
        <v>0</v>
      </c>
      <c r="BG1431">
        <v>0</v>
      </c>
      <c r="BH1431">
        <v>1</v>
      </c>
      <c r="BI1431">
        <v>1</v>
      </c>
      <c r="BJ1431">
        <v>0.2</v>
      </c>
      <c r="BK1431">
        <v>1</v>
      </c>
      <c r="BL1431">
        <v>98.42</v>
      </c>
      <c r="BM1431">
        <v>14.76</v>
      </c>
      <c r="BN1431">
        <v>113.18</v>
      </c>
      <c r="BO1431">
        <v>113.18</v>
      </c>
      <c r="BQ1431" t="s">
        <v>827</v>
      </c>
      <c r="BR1431" t="s">
        <v>84</v>
      </c>
      <c r="BS1431" s="3">
        <v>45792</v>
      </c>
      <c r="BT1431" s="4">
        <v>0.51249999999999996</v>
      </c>
      <c r="BU1431" t="s">
        <v>2079</v>
      </c>
      <c r="BV1431" t="s">
        <v>86</v>
      </c>
      <c r="BY1431">
        <v>1200</v>
      </c>
      <c r="CA1431" t="s">
        <v>2080</v>
      </c>
      <c r="CC1431" t="s">
        <v>527</v>
      </c>
      <c r="CD1431">
        <v>1758</v>
      </c>
      <c r="CE1431" t="s">
        <v>88</v>
      </c>
      <c r="CF1431" s="3">
        <v>45792</v>
      </c>
      <c r="CI1431">
        <v>1</v>
      </c>
      <c r="CJ1431">
        <v>1</v>
      </c>
      <c r="CK1431">
        <v>24</v>
      </c>
      <c r="CL1431" t="s">
        <v>89</v>
      </c>
    </row>
    <row r="1432" spans="1:90" x14ac:dyDescent="0.3">
      <c r="A1432" t="s">
        <v>72</v>
      </c>
      <c r="B1432" t="s">
        <v>73</v>
      </c>
      <c r="C1432" t="s">
        <v>74</v>
      </c>
      <c r="E1432" t="str">
        <f>"080065372219"</f>
        <v>080065372219</v>
      </c>
      <c r="F1432" s="3">
        <v>45791</v>
      </c>
      <c r="G1432">
        <v>202602</v>
      </c>
      <c r="H1432" t="s">
        <v>75</v>
      </c>
      <c r="I1432" t="s">
        <v>76</v>
      </c>
      <c r="J1432" t="s">
        <v>77</v>
      </c>
      <c r="K1432" t="s">
        <v>78</v>
      </c>
      <c r="L1432" t="s">
        <v>103</v>
      </c>
      <c r="M1432" t="s">
        <v>104</v>
      </c>
      <c r="N1432" t="s">
        <v>633</v>
      </c>
      <c r="O1432" t="s">
        <v>82</v>
      </c>
      <c r="P1432" t="str">
        <f>"4170038309                    "</f>
        <v xml:space="preserve">4170038309                    </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v>0</v>
      </c>
      <c r="AP1432">
        <v>0</v>
      </c>
      <c r="AQ1432">
        <v>21.38</v>
      </c>
      <c r="AR1432">
        <v>0</v>
      </c>
      <c r="AS1432">
        <v>0</v>
      </c>
      <c r="AT1432">
        <v>0</v>
      </c>
      <c r="AU1432">
        <v>0</v>
      </c>
      <c r="AV1432">
        <v>0</v>
      </c>
      <c r="AW1432">
        <v>0</v>
      </c>
      <c r="AX1432">
        <v>0</v>
      </c>
      <c r="AY1432">
        <v>0</v>
      </c>
      <c r="AZ1432">
        <v>0</v>
      </c>
      <c r="BA1432">
        <v>0</v>
      </c>
      <c r="BB1432">
        <v>0</v>
      </c>
      <c r="BC1432">
        <v>0</v>
      </c>
      <c r="BD1432">
        <v>0</v>
      </c>
      <c r="BE1432">
        <v>0</v>
      </c>
      <c r="BF1432">
        <v>0</v>
      </c>
      <c r="BG1432">
        <v>0</v>
      </c>
      <c r="BH1432">
        <v>1</v>
      </c>
      <c r="BI1432">
        <v>1</v>
      </c>
      <c r="BJ1432">
        <v>0.2</v>
      </c>
      <c r="BK1432">
        <v>1</v>
      </c>
      <c r="BL1432">
        <v>69.98</v>
      </c>
      <c r="BM1432">
        <v>10.5</v>
      </c>
      <c r="BN1432">
        <v>80.48</v>
      </c>
      <c r="BO1432">
        <v>80.48</v>
      </c>
      <c r="BQ1432" t="s">
        <v>634</v>
      </c>
      <c r="BR1432" t="s">
        <v>84</v>
      </c>
      <c r="BS1432" s="3">
        <v>45792</v>
      </c>
      <c r="BT1432" s="4">
        <v>0.5</v>
      </c>
      <c r="BU1432" t="s">
        <v>635</v>
      </c>
      <c r="BV1432" t="s">
        <v>86</v>
      </c>
      <c r="BY1432">
        <v>1200</v>
      </c>
      <c r="CA1432" t="s">
        <v>440</v>
      </c>
      <c r="CC1432" t="s">
        <v>104</v>
      </c>
      <c r="CD1432">
        <v>3212</v>
      </c>
      <c r="CE1432" t="s">
        <v>88</v>
      </c>
      <c r="CF1432" s="3">
        <v>45792</v>
      </c>
      <c r="CI1432">
        <v>2</v>
      </c>
      <c r="CJ1432">
        <v>1</v>
      </c>
      <c r="CK1432">
        <v>21</v>
      </c>
      <c r="CL1432" t="s">
        <v>89</v>
      </c>
    </row>
    <row r="1433" spans="1:90" x14ac:dyDescent="0.3">
      <c r="A1433" t="s">
        <v>72</v>
      </c>
      <c r="B1433" t="s">
        <v>73</v>
      </c>
      <c r="C1433" t="s">
        <v>74</v>
      </c>
      <c r="E1433" t="str">
        <f>"080065372230"</f>
        <v>080065372230</v>
      </c>
      <c r="F1433" s="3">
        <v>45791</v>
      </c>
      <c r="G1433">
        <v>202602</v>
      </c>
      <c r="H1433" t="s">
        <v>75</v>
      </c>
      <c r="I1433" t="s">
        <v>76</v>
      </c>
      <c r="J1433" t="s">
        <v>77</v>
      </c>
      <c r="K1433" t="s">
        <v>78</v>
      </c>
      <c r="L1433" t="s">
        <v>103</v>
      </c>
      <c r="M1433" t="s">
        <v>104</v>
      </c>
      <c r="N1433" t="s">
        <v>633</v>
      </c>
      <c r="O1433" t="s">
        <v>82</v>
      </c>
      <c r="P1433" t="str">
        <f>"4170038341                    "</f>
        <v xml:space="preserve">4170038341                    </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0</v>
      </c>
      <c r="AL1433">
        <v>0</v>
      </c>
      <c r="AM1433">
        <v>0</v>
      </c>
      <c r="AN1433">
        <v>0</v>
      </c>
      <c r="AO1433">
        <v>0</v>
      </c>
      <c r="AP1433">
        <v>0</v>
      </c>
      <c r="AQ1433">
        <v>21.38</v>
      </c>
      <c r="AR1433">
        <v>0</v>
      </c>
      <c r="AS1433">
        <v>0</v>
      </c>
      <c r="AT1433">
        <v>0</v>
      </c>
      <c r="AU1433">
        <v>0</v>
      </c>
      <c r="AV1433">
        <v>0</v>
      </c>
      <c r="AW1433">
        <v>0</v>
      </c>
      <c r="AX1433">
        <v>0</v>
      </c>
      <c r="AY1433">
        <v>0</v>
      </c>
      <c r="AZ1433">
        <v>0</v>
      </c>
      <c r="BA1433">
        <v>0</v>
      </c>
      <c r="BB1433">
        <v>0</v>
      </c>
      <c r="BC1433">
        <v>0</v>
      </c>
      <c r="BD1433">
        <v>0</v>
      </c>
      <c r="BE1433">
        <v>0</v>
      </c>
      <c r="BF1433">
        <v>0</v>
      </c>
      <c r="BG1433">
        <v>0</v>
      </c>
      <c r="BH1433">
        <v>1</v>
      </c>
      <c r="BI1433">
        <v>2</v>
      </c>
      <c r="BJ1433">
        <v>1.1000000000000001</v>
      </c>
      <c r="BK1433">
        <v>2</v>
      </c>
      <c r="BL1433">
        <v>69.98</v>
      </c>
      <c r="BM1433">
        <v>10.5</v>
      </c>
      <c r="BN1433">
        <v>80.48</v>
      </c>
      <c r="BO1433">
        <v>80.48</v>
      </c>
      <c r="BQ1433" t="s">
        <v>634</v>
      </c>
      <c r="BR1433" t="s">
        <v>84</v>
      </c>
      <c r="BS1433" s="3">
        <v>45792</v>
      </c>
      <c r="BT1433" s="4">
        <v>0.5</v>
      </c>
      <c r="BU1433" t="s">
        <v>635</v>
      </c>
      <c r="BV1433" t="s">
        <v>86</v>
      </c>
      <c r="BY1433">
        <v>5320</v>
      </c>
      <c r="CA1433" t="s">
        <v>440</v>
      </c>
      <c r="CC1433" t="s">
        <v>104</v>
      </c>
      <c r="CD1433">
        <v>3212</v>
      </c>
      <c r="CE1433" t="s">
        <v>116</v>
      </c>
      <c r="CF1433" s="3">
        <v>45792</v>
      </c>
      <c r="CI1433">
        <v>2</v>
      </c>
      <c r="CJ1433">
        <v>1</v>
      </c>
      <c r="CK1433">
        <v>21</v>
      </c>
      <c r="CL1433" t="s">
        <v>89</v>
      </c>
    </row>
    <row r="1434" spans="1:90" x14ac:dyDescent="0.3">
      <c r="A1434" t="s">
        <v>72</v>
      </c>
      <c r="B1434" t="s">
        <v>73</v>
      </c>
      <c r="C1434" t="s">
        <v>74</v>
      </c>
      <c r="E1434" t="str">
        <f>"080065372238"</f>
        <v>080065372238</v>
      </c>
      <c r="F1434" s="3">
        <v>45791</v>
      </c>
      <c r="G1434">
        <v>202602</v>
      </c>
      <c r="H1434" t="s">
        <v>75</v>
      </c>
      <c r="I1434" t="s">
        <v>76</v>
      </c>
      <c r="J1434" t="s">
        <v>77</v>
      </c>
      <c r="K1434" t="s">
        <v>78</v>
      </c>
      <c r="L1434" t="s">
        <v>130</v>
      </c>
      <c r="M1434" t="s">
        <v>131</v>
      </c>
      <c r="N1434" t="s">
        <v>709</v>
      </c>
      <c r="O1434" t="s">
        <v>82</v>
      </c>
      <c r="P1434" t="str">
        <f>"4170038349                    "</f>
        <v xml:space="preserve">4170038349                    </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0</v>
      </c>
      <c r="AK1434">
        <v>0</v>
      </c>
      <c r="AL1434">
        <v>0</v>
      </c>
      <c r="AM1434">
        <v>0</v>
      </c>
      <c r="AN1434">
        <v>0</v>
      </c>
      <c r="AO1434">
        <v>0</v>
      </c>
      <c r="AP1434">
        <v>0</v>
      </c>
      <c r="AQ1434">
        <v>21.38</v>
      </c>
      <c r="AR1434">
        <v>0</v>
      </c>
      <c r="AS1434">
        <v>0</v>
      </c>
      <c r="AT1434">
        <v>0</v>
      </c>
      <c r="AU1434">
        <v>0</v>
      </c>
      <c r="AV1434">
        <v>0</v>
      </c>
      <c r="AW1434">
        <v>0</v>
      </c>
      <c r="AX1434">
        <v>0</v>
      </c>
      <c r="AY1434">
        <v>0</v>
      </c>
      <c r="AZ1434">
        <v>0</v>
      </c>
      <c r="BA1434">
        <v>0</v>
      </c>
      <c r="BB1434">
        <v>0</v>
      </c>
      <c r="BC1434">
        <v>0</v>
      </c>
      <c r="BD1434">
        <v>0</v>
      </c>
      <c r="BE1434">
        <v>0</v>
      </c>
      <c r="BF1434">
        <v>0</v>
      </c>
      <c r="BG1434">
        <v>0</v>
      </c>
      <c r="BH1434">
        <v>1</v>
      </c>
      <c r="BI1434">
        <v>1</v>
      </c>
      <c r="BJ1434">
        <v>0.2</v>
      </c>
      <c r="BK1434">
        <v>1</v>
      </c>
      <c r="BL1434">
        <v>69.98</v>
      </c>
      <c r="BM1434">
        <v>10.5</v>
      </c>
      <c r="BN1434">
        <v>80.48</v>
      </c>
      <c r="BO1434">
        <v>80.48</v>
      </c>
      <c r="BQ1434" t="s">
        <v>710</v>
      </c>
      <c r="BR1434" t="s">
        <v>84</v>
      </c>
      <c r="BS1434" s="3">
        <v>45792</v>
      </c>
      <c r="BT1434" s="4">
        <v>0.33333333333333331</v>
      </c>
      <c r="BU1434" t="s">
        <v>2077</v>
      </c>
      <c r="BV1434" t="s">
        <v>86</v>
      </c>
      <c r="BY1434">
        <v>1200</v>
      </c>
      <c r="CA1434" t="s">
        <v>712</v>
      </c>
      <c r="CC1434" t="s">
        <v>131</v>
      </c>
      <c r="CD1434">
        <v>7530</v>
      </c>
      <c r="CE1434" t="s">
        <v>88</v>
      </c>
      <c r="CF1434" s="3">
        <v>45793</v>
      </c>
      <c r="CI1434">
        <v>1</v>
      </c>
      <c r="CJ1434">
        <v>1</v>
      </c>
      <c r="CK1434">
        <v>21</v>
      </c>
      <c r="CL1434" t="s">
        <v>89</v>
      </c>
    </row>
    <row r="1435" spans="1:90" x14ac:dyDescent="0.3">
      <c r="A1435" t="s">
        <v>72</v>
      </c>
      <c r="B1435" t="s">
        <v>73</v>
      </c>
      <c r="C1435" t="s">
        <v>74</v>
      </c>
      <c r="E1435" t="str">
        <f>"080065372249"</f>
        <v>080065372249</v>
      </c>
      <c r="F1435" s="3">
        <v>45791</v>
      </c>
      <c r="G1435">
        <v>202602</v>
      </c>
      <c r="H1435" t="s">
        <v>75</v>
      </c>
      <c r="I1435" t="s">
        <v>76</v>
      </c>
      <c r="J1435" t="s">
        <v>77</v>
      </c>
      <c r="K1435" t="s">
        <v>78</v>
      </c>
      <c r="L1435" t="s">
        <v>672</v>
      </c>
      <c r="M1435" t="s">
        <v>673</v>
      </c>
      <c r="N1435" t="s">
        <v>674</v>
      </c>
      <c r="O1435" t="s">
        <v>82</v>
      </c>
      <c r="P1435" t="str">
        <f>"4170038378                    "</f>
        <v xml:space="preserve">4170038378                    </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c r="AJ1435">
        <v>0</v>
      </c>
      <c r="AK1435">
        <v>0</v>
      </c>
      <c r="AL1435">
        <v>0</v>
      </c>
      <c r="AM1435">
        <v>0</v>
      </c>
      <c r="AN1435">
        <v>0</v>
      </c>
      <c r="AO1435">
        <v>0</v>
      </c>
      <c r="AP1435">
        <v>0</v>
      </c>
      <c r="AQ1435">
        <v>41.43</v>
      </c>
      <c r="AR1435">
        <v>0</v>
      </c>
      <c r="AS1435">
        <v>0</v>
      </c>
      <c r="AT1435">
        <v>0</v>
      </c>
      <c r="AU1435">
        <v>0</v>
      </c>
      <c r="AV1435">
        <v>0</v>
      </c>
      <c r="AW1435">
        <v>0</v>
      </c>
      <c r="AX1435">
        <v>0</v>
      </c>
      <c r="AY1435">
        <v>0</v>
      </c>
      <c r="AZ1435">
        <v>0</v>
      </c>
      <c r="BA1435">
        <v>0</v>
      </c>
      <c r="BB1435">
        <v>0</v>
      </c>
      <c r="BC1435">
        <v>0</v>
      </c>
      <c r="BD1435">
        <v>0</v>
      </c>
      <c r="BE1435">
        <v>0</v>
      </c>
      <c r="BF1435">
        <v>0</v>
      </c>
      <c r="BG1435">
        <v>0</v>
      </c>
      <c r="BH1435">
        <v>1</v>
      </c>
      <c r="BI1435">
        <v>2</v>
      </c>
      <c r="BJ1435">
        <v>1.1000000000000001</v>
      </c>
      <c r="BK1435">
        <v>2</v>
      </c>
      <c r="BL1435">
        <v>135.59</v>
      </c>
      <c r="BM1435">
        <v>20.34</v>
      </c>
      <c r="BN1435">
        <v>155.93</v>
      </c>
      <c r="BO1435">
        <v>155.93</v>
      </c>
      <c r="BQ1435" t="s">
        <v>675</v>
      </c>
      <c r="BR1435" t="s">
        <v>84</v>
      </c>
      <c r="BS1435" s="3">
        <v>45792</v>
      </c>
      <c r="BT1435" s="4">
        <v>0.40416666666666667</v>
      </c>
      <c r="BU1435" t="s">
        <v>1059</v>
      </c>
      <c r="BV1435" t="s">
        <v>86</v>
      </c>
      <c r="BY1435">
        <v>5320</v>
      </c>
      <c r="CA1435" t="s">
        <v>1179</v>
      </c>
      <c r="CC1435" t="s">
        <v>673</v>
      </c>
      <c r="CD1435">
        <v>2531</v>
      </c>
      <c r="CE1435" t="s">
        <v>116</v>
      </c>
      <c r="CF1435" s="3">
        <v>45793</v>
      </c>
      <c r="CI1435">
        <v>1</v>
      </c>
      <c r="CJ1435">
        <v>1</v>
      </c>
      <c r="CK1435">
        <v>23</v>
      </c>
      <c r="CL1435" t="s">
        <v>89</v>
      </c>
    </row>
    <row r="1436" spans="1:90" x14ac:dyDescent="0.3">
      <c r="A1436" t="s">
        <v>72</v>
      </c>
      <c r="B1436" t="s">
        <v>73</v>
      </c>
      <c r="C1436" t="s">
        <v>74</v>
      </c>
      <c r="E1436" t="str">
        <f>"080065372253"</f>
        <v>080065372253</v>
      </c>
      <c r="F1436" s="3">
        <v>45791</v>
      </c>
      <c r="G1436">
        <v>202602</v>
      </c>
      <c r="H1436" t="s">
        <v>75</v>
      </c>
      <c r="I1436" t="s">
        <v>76</v>
      </c>
      <c r="J1436" t="s">
        <v>77</v>
      </c>
      <c r="K1436" t="s">
        <v>78</v>
      </c>
      <c r="L1436" t="s">
        <v>79</v>
      </c>
      <c r="M1436" t="s">
        <v>80</v>
      </c>
      <c r="N1436" t="s">
        <v>357</v>
      </c>
      <c r="O1436" t="s">
        <v>82</v>
      </c>
      <c r="P1436" t="str">
        <f>"4170038353                    "</f>
        <v xml:space="preserve">4170038353                    </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21.38</v>
      </c>
      <c r="AR1436">
        <v>0</v>
      </c>
      <c r="AS1436">
        <v>0</v>
      </c>
      <c r="AT1436">
        <v>0</v>
      </c>
      <c r="AU1436">
        <v>0</v>
      </c>
      <c r="AV1436">
        <v>0</v>
      </c>
      <c r="AW1436">
        <v>0</v>
      </c>
      <c r="AX1436">
        <v>0</v>
      </c>
      <c r="AY1436">
        <v>0</v>
      </c>
      <c r="AZ1436">
        <v>0</v>
      </c>
      <c r="BA1436">
        <v>0</v>
      </c>
      <c r="BB1436">
        <v>0</v>
      </c>
      <c r="BC1436">
        <v>0</v>
      </c>
      <c r="BD1436">
        <v>0</v>
      </c>
      <c r="BE1436">
        <v>0</v>
      </c>
      <c r="BF1436">
        <v>0</v>
      </c>
      <c r="BG1436">
        <v>0</v>
      </c>
      <c r="BH1436">
        <v>1</v>
      </c>
      <c r="BI1436">
        <v>1</v>
      </c>
      <c r="BJ1436">
        <v>0.2</v>
      </c>
      <c r="BK1436">
        <v>1</v>
      </c>
      <c r="BL1436">
        <v>69.98</v>
      </c>
      <c r="BM1436">
        <v>10.5</v>
      </c>
      <c r="BN1436">
        <v>80.48</v>
      </c>
      <c r="BO1436">
        <v>80.48</v>
      </c>
      <c r="BQ1436" t="s">
        <v>358</v>
      </c>
      <c r="BR1436" t="s">
        <v>84</v>
      </c>
      <c r="BS1436" s="3">
        <v>45792</v>
      </c>
      <c r="BT1436" s="4">
        <v>0.53541666666666665</v>
      </c>
      <c r="BU1436" t="s">
        <v>1768</v>
      </c>
      <c r="BV1436" t="s">
        <v>89</v>
      </c>
      <c r="BW1436" t="s">
        <v>434</v>
      </c>
      <c r="BX1436" t="s">
        <v>1829</v>
      </c>
      <c r="BY1436">
        <v>1200</v>
      </c>
      <c r="CA1436" t="s">
        <v>87</v>
      </c>
      <c r="CC1436" t="s">
        <v>80</v>
      </c>
      <c r="CD1436">
        <v>3608</v>
      </c>
      <c r="CE1436" t="s">
        <v>88</v>
      </c>
      <c r="CF1436" s="3">
        <v>45793</v>
      </c>
      <c r="CI1436">
        <v>1</v>
      </c>
      <c r="CJ1436">
        <v>1</v>
      </c>
      <c r="CK1436">
        <v>21</v>
      </c>
      <c r="CL1436" t="s">
        <v>89</v>
      </c>
    </row>
    <row r="1437" spans="1:90" x14ac:dyDescent="0.3">
      <c r="A1437" t="s">
        <v>72</v>
      </c>
      <c r="B1437" t="s">
        <v>73</v>
      </c>
      <c r="C1437" t="s">
        <v>74</v>
      </c>
      <c r="E1437" t="str">
        <f>"080065372273"</f>
        <v>080065372273</v>
      </c>
      <c r="F1437" s="3">
        <v>45791</v>
      </c>
      <c r="G1437">
        <v>202602</v>
      </c>
      <c r="H1437" t="s">
        <v>75</v>
      </c>
      <c r="I1437" t="s">
        <v>76</v>
      </c>
      <c r="J1437" t="s">
        <v>77</v>
      </c>
      <c r="K1437" t="s">
        <v>78</v>
      </c>
      <c r="L1437" t="s">
        <v>143</v>
      </c>
      <c r="M1437" t="s">
        <v>144</v>
      </c>
      <c r="N1437" t="s">
        <v>1312</v>
      </c>
      <c r="O1437" t="s">
        <v>82</v>
      </c>
      <c r="P1437" t="str">
        <f>"4170038362                    "</f>
        <v xml:space="preserve">4170038362                    </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0</v>
      </c>
      <c r="AP1437">
        <v>0</v>
      </c>
      <c r="AQ1437">
        <v>16.7</v>
      </c>
      <c r="AR1437">
        <v>0</v>
      </c>
      <c r="AS1437">
        <v>0</v>
      </c>
      <c r="AT1437">
        <v>0</v>
      </c>
      <c r="AU1437">
        <v>0</v>
      </c>
      <c r="AV1437">
        <v>0</v>
      </c>
      <c r="AW1437">
        <v>0</v>
      </c>
      <c r="AX1437">
        <v>0</v>
      </c>
      <c r="AY1437">
        <v>0</v>
      </c>
      <c r="AZ1437">
        <v>0</v>
      </c>
      <c r="BA1437">
        <v>0</v>
      </c>
      <c r="BB1437">
        <v>0</v>
      </c>
      <c r="BC1437">
        <v>0</v>
      </c>
      <c r="BD1437">
        <v>0</v>
      </c>
      <c r="BE1437">
        <v>0</v>
      </c>
      <c r="BF1437">
        <v>0</v>
      </c>
      <c r="BG1437">
        <v>0</v>
      </c>
      <c r="BH1437">
        <v>1</v>
      </c>
      <c r="BI1437">
        <v>1</v>
      </c>
      <c r="BJ1437">
        <v>0.2</v>
      </c>
      <c r="BK1437">
        <v>1</v>
      </c>
      <c r="BL1437">
        <v>54.66</v>
      </c>
      <c r="BM1437">
        <v>8.1999999999999993</v>
      </c>
      <c r="BN1437">
        <v>62.86</v>
      </c>
      <c r="BO1437">
        <v>62.86</v>
      </c>
      <c r="BQ1437" t="s">
        <v>1313</v>
      </c>
      <c r="BR1437" t="s">
        <v>84</v>
      </c>
      <c r="BS1437" s="3">
        <v>45792</v>
      </c>
      <c r="BT1437" s="4">
        <v>0.36666666666666664</v>
      </c>
      <c r="BU1437" t="s">
        <v>2081</v>
      </c>
      <c r="BV1437" t="s">
        <v>86</v>
      </c>
      <c r="BY1437">
        <v>1200</v>
      </c>
      <c r="CA1437" t="s">
        <v>150</v>
      </c>
      <c r="CC1437" t="s">
        <v>144</v>
      </c>
      <c r="CD1437">
        <v>1429</v>
      </c>
      <c r="CE1437" t="s">
        <v>88</v>
      </c>
      <c r="CF1437" s="3">
        <v>45792</v>
      </c>
      <c r="CI1437">
        <v>1</v>
      </c>
      <c r="CJ1437">
        <v>1</v>
      </c>
      <c r="CK1437">
        <v>22</v>
      </c>
      <c r="CL1437" t="s">
        <v>89</v>
      </c>
    </row>
    <row r="1438" spans="1:90" x14ac:dyDescent="0.3">
      <c r="A1438" t="s">
        <v>72</v>
      </c>
      <c r="B1438" t="s">
        <v>73</v>
      </c>
      <c r="C1438" t="s">
        <v>74</v>
      </c>
      <c r="E1438" t="str">
        <f>"080065372278"</f>
        <v>080065372278</v>
      </c>
      <c r="F1438" s="3">
        <v>45791</v>
      </c>
      <c r="G1438">
        <v>202602</v>
      </c>
      <c r="H1438" t="s">
        <v>75</v>
      </c>
      <c r="I1438" t="s">
        <v>76</v>
      </c>
      <c r="J1438" t="s">
        <v>77</v>
      </c>
      <c r="K1438" t="s">
        <v>78</v>
      </c>
      <c r="L1438" t="s">
        <v>75</v>
      </c>
      <c r="M1438" t="s">
        <v>76</v>
      </c>
      <c r="N1438" t="s">
        <v>390</v>
      </c>
      <c r="O1438" t="s">
        <v>82</v>
      </c>
      <c r="P1438" t="str">
        <f>"4170038403                    "</f>
        <v xml:space="preserve">4170038403                    </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c r="AJ1438">
        <v>0</v>
      </c>
      <c r="AK1438">
        <v>0</v>
      </c>
      <c r="AL1438">
        <v>0</v>
      </c>
      <c r="AM1438">
        <v>0</v>
      </c>
      <c r="AN1438">
        <v>0</v>
      </c>
      <c r="AO1438">
        <v>0</v>
      </c>
      <c r="AP1438">
        <v>0</v>
      </c>
      <c r="AQ1438">
        <v>16.7</v>
      </c>
      <c r="AR1438">
        <v>0</v>
      </c>
      <c r="AS1438">
        <v>0</v>
      </c>
      <c r="AT1438">
        <v>0</v>
      </c>
      <c r="AU1438">
        <v>0</v>
      </c>
      <c r="AV1438">
        <v>0</v>
      </c>
      <c r="AW1438">
        <v>0</v>
      </c>
      <c r="AX1438">
        <v>0</v>
      </c>
      <c r="AY1438">
        <v>0</v>
      </c>
      <c r="AZ1438">
        <v>0</v>
      </c>
      <c r="BA1438">
        <v>0</v>
      </c>
      <c r="BB1438">
        <v>0</v>
      </c>
      <c r="BC1438">
        <v>0</v>
      </c>
      <c r="BD1438">
        <v>0</v>
      </c>
      <c r="BE1438">
        <v>0</v>
      </c>
      <c r="BF1438">
        <v>0</v>
      </c>
      <c r="BG1438">
        <v>0</v>
      </c>
      <c r="BH1438">
        <v>1</v>
      </c>
      <c r="BI1438">
        <v>2</v>
      </c>
      <c r="BJ1438">
        <v>1.4</v>
      </c>
      <c r="BK1438">
        <v>2</v>
      </c>
      <c r="BL1438">
        <v>54.66</v>
      </c>
      <c r="BM1438">
        <v>8.1999999999999993</v>
      </c>
      <c r="BN1438">
        <v>62.86</v>
      </c>
      <c r="BO1438">
        <v>62.86</v>
      </c>
      <c r="BQ1438" t="s">
        <v>391</v>
      </c>
      <c r="BR1438" t="s">
        <v>84</v>
      </c>
      <c r="BS1438" s="3">
        <v>45792</v>
      </c>
      <c r="BT1438" s="4">
        <v>0.33819444444444446</v>
      </c>
      <c r="BU1438" t="s">
        <v>2078</v>
      </c>
      <c r="BV1438" t="s">
        <v>86</v>
      </c>
      <c r="BY1438">
        <v>7200</v>
      </c>
      <c r="CA1438" t="s">
        <v>115</v>
      </c>
      <c r="CC1438" t="s">
        <v>76</v>
      </c>
      <c r="CD1438">
        <v>1600</v>
      </c>
      <c r="CE1438" t="s">
        <v>221</v>
      </c>
      <c r="CF1438" s="3">
        <v>45793</v>
      </c>
      <c r="CI1438">
        <v>1</v>
      </c>
      <c r="CJ1438">
        <v>1</v>
      </c>
      <c r="CK1438">
        <v>22</v>
      </c>
      <c r="CL1438" t="s">
        <v>89</v>
      </c>
    </row>
    <row r="1439" spans="1:90" x14ac:dyDescent="0.3">
      <c r="A1439" t="s">
        <v>72</v>
      </c>
      <c r="B1439" t="s">
        <v>73</v>
      </c>
      <c r="C1439" t="s">
        <v>74</v>
      </c>
      <c r="E1439" t="str">
        <f>"080065372296"</f>
        <v>080065372296</v>
      </c>
      <c r="F1439" s="3">
        <v>45791</v>
      </c>
      <c r="G1439">
        <v>202602</v>
      </c>
      <c r="H1439" t="s">
        <v>75</v>
      </c>
      <c r="I1439" t="s">
        <v>76</v>
      </c>
      <c r="J1439" t="s">
        <v>77</v>
      </c>
      <c r="K1439" t="s">
        <v>78</v>
      </c>
      <c r="L1439" t="s">
        <v>232</v>
      </c>
      <c r="M1439" t="s">
        <v>233</v>
      </c>
      <c r="N1439" t="s">
        <v>917</v>
      </c>
      <c r="O1439" t="s">
        <v>82</v>
      </c>
      <c r="P1439" t="str">
        <f>"4170038357                    "</f>
        <v xml:space="preserve">4170038357                    </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0</v>
      </c>
      <c r="AL1439">
        <v>0</v>
      </c>
      <c r="AM1439">
        <v>0</v>
      </c>
      <c r="AN1439">
        <v>0</v>
      </c>
      <c r="AO1439">
        <v>0</v>
      </c>
      <c r="AP1439">
        <v>0</v>
      </c>
      <c r="AQ1439">
        <v>21.38</v>
      </c>
      <c r="AR1439">
        <v>0</v>
      </c>
      <c r="AS1439">
        <v>0</v>
      </c>
      <c r="AT1439">
        <v>0</v>
      </c>
      <c r="AU1439">
        <v>0</v>
      </c>
      <c r="AV1439">
        <v>0</v>
      </c>
      <c r="AW1439">
        <v>0</v>
      </c>
      <c r="AX1439">
        <v>0</v>
      </c>
      <c r="AY1439">
        <v>0</v>
      </c>
      <c r="AZ1439">
        <v>0</v>
      </c>
      <c r="BA1439">
        <v>0</v>
      </c>
      <c r="BB1439">
        <v>0</v>
      </c>
      <c r="BC1439">
        <v>0</v>
      </c>
      <c r="BD1439">
        <v>0</v>
      </c>
      <c r="BE1439">
        <v>0</v>
      </c>
      <c r="BF1439">
        <v>0</v>
      </c>
      <c r="BG1439">
        <v>0</v>
      </c>
      <c r="BH1439">
        <v>1</v>
      </c>
      <c r="BI1439">
        <v>1</v>
      </c>
      <c r="BJ1439">
        <v>0.2</v>
      </c>
      <c r="BK1439">
        <v>1</v>
      </c>
      <c r="BL1439">
        <v>69.98</v>
      </c>
      <c r="BM1439">
        <v>10.5</v>
      </c>
      <c r="BN1439">
        <v>80.48</v>
      </c>
      <c r="BO1439">
        <v>80.48</v>
      </c>
      <c r="BQ1439" t="s">
        <v>918</v>
      </c>
      <c r="BR1439" t="s">
        <v>84</v>
      </c>
      <c r="BS1439" s="3">
        <v>45792</v>
      </c>
      <c r="BT1439" s="4">
        <v>0.38333333333333336</v>
      </c>
      <c r="BU1439" t="s">
        <v>1872</v>
      </c>
      <c r="BV1439" t="s">
        <v>86</v>
      </c>
      <c r="BY1439">
        <v>1200</v>
      </c>
      <c r="CA1439" t="s">
        <v>258</v>
      </c>
      <c r="CC1439" t="s">
        <v>233</v>
      </c>
      <c r="CD1439" s="5" t="s">
        <v>238</v>
      </c>
      <c r="CE1439" t="s">
        <v>88</v>
      </c>
      <c r="CF1439" s="3">
        <v>45792</v>
      </c>
      <c r="CI1439">
        <v>1</v>
      </c>
      <c r="CJ1439">
        <v>1</v>
      </c>
      <c r="CK1439">
        <v>21</v>
      </c>
      <c r="CL1439" t="s">
        <v>89</v>
      </c>
    </row>
    <row r="1440" spans="1:90" x14ac:dyDescent="0.3">
      <c r="A1440" t="s">
        <v>72</v>
      </c>
      <c r="B1440" t="s">
        <v>73</v>
      </c>
      <c r="C1440" t="s">
        <v>74</v>
      </c>
      <c r="E1440" t="str">
        <f>"080065372455"</f>
        <v>080065372455</v>
      </c>
      <c r="F1440" s="3">
        <v>45791</v>
      </c>
      <c r="G1440">
        <v>202602</v>
      </c>
      <c r="H1440" t="s">
        <v>75</v>
      </c>
      <c r="I1440" t="s">
        <v>76</v>
      </c>
      <c r="J1440" t="s">
        <v>77</v>
      </c>
      <c r="K1440" t="s">
        <v>78</v>
      </c>
      <c r="L1440" t="s">
        <v>130</v>
      </c>
      <c r="M1440" t="s">
        <v>131</v>
      </c>
      <c r="N1440" t="s">
        <v>1874</v>
      </c>
      <c r="O1440" t="s">
        <v>82</v>
      </c>
      <c r="P1440" t="str">
        <f>"4170038356                    "</f>
        <v xml:space="preserve">4170038356                    </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0</v>
      </c>
      <c r="AK1440">
        <v>0</v>
      </c>
      <c r="AL1440">
        <v>0</v>
      </c>
      <c r="AM1440">
        <v>0</v>
      </c>
      <c r="AN1440">
        <v>0</v>
      </c>
      <c r="AO1440">
        <v>0</v>
      </c>
      <c r="AP1440">
        <v>0</v>
      </c>
      <c r="AQ1440">
        <v>21.38</v>
      </c>
      <c r="AR1440">
        <v>0</v>
      </c>
      <c r="AS1440">
        <v>0</v>
      </c>
      <c r="AT1440">
        <v>0</v>
      </c>
      <c r="AU1440">
        <v>0</v>
      </c>
      <c r="AV1440">
        <v>0</v>
      </c>
      <c r="AW1440">
        <v>0</v>
      </c>
      <c r="AX1440">
        <v>0</v>
      </c>
      <c r="AY1440">
        <v>0</v>
      </c>
      <c r="AZ1440">
        <v>0</v>
      </c>
      <c r="BA1440">
        <v>0</v>
      </c>
      <c r="BB1440">
        <v>0</v>
      </c>
      <c r="BC1440">
        <v>0</v>
      </c>
      <c r="BD1440">
        <v>0</v>
      </c>
      <c r="BE1440">
        <v>0</v>
      </c>
      <c r="BF1440">
        <v>0</v>
      </c>
      <c r="BG1440">
        <v>0</v>
      </c>
      <c r="BH1440">
        <v>1</v>
      </c>
      <c r="BI1440">
        <v>1</v>
      </c>
      <c r="BJ1440">
        <v>0.2</v>
      </c>
      <c r="BK1440">
        <v>1</v>
      </c>
      <c r="BL1440">
        <v>69.98</v>
      </c>
      <c r="BM1440">
        <v>10.5</v>
      </c>
      <c r="BN1440">
        <v>80.48</v>
      </c>
      <c r="BO1440">
        <v>80.48</v>
      </c>
      <c r="BQ1440" t="s">
        <v>1875</v>
      </c>
      <c r="BR1440" t="s">
        <v>84</v>
      </c>
      <c r="BS1440" s="3">
        <v>45792</v>
      </c>
      <c r="BT1440" s="4">
        <v>0.42152777777777778</v>
      </c>
      <c r="BU1440" t="s">
        <v>1876</v>
      </c>
      <c r="BV1440" t="s">
        <v>86</v>
      </c>
      <c r="BY1440">
        <v>1200</v>
      </c>
      <c r="CA1440" t="s">
        <v>784</v>
      </c>
      <c r="CC1440" t="s">
        <v>131</v>
      </c>
      <c r="CD1440">
        <v>7405</v>
      </c>
      <c r="CE1440" t="s">
        <v>88</v>
      </c>
      <c r="CF1440" s="3">
        <v>45793</v>
      </c>
      <c r="CI1440">
        <v>1</v>
      </c>
      <c r="CJ1440">
        <v>1</v>
      </c>
      <c r="CK1440">
        <v>21</v>
      </c>
      <c r="CL1440" t="s">
        <v>89</v>
      </c>
    </row>
    <row r="1441" spans="1:90" x14ac:dyDescent="0.3">
      <c r="A1441" t="s">
        <v>72</v>
      </c>
      <c r="B1441" t="s">
        <v>73</v>
      </c>
      <c r="C1441" t="s">
        <v>74</v>
      </c>
      <c r="E1441" t="str">
        <f>"080065372488"</f>
        <v>080065372488</v>
      </c>
      <c r="F1441" s="3">
        <v>45791</v>
      </c>
      <c r="G1441">
        <v>202602</v>
      </c>
      <c r="H1441" t="s">
        <v>75</v>
      </c>
      <c r="I1441" t="s">
        <v>76</v>
      </c>
      <c r="J1441" t="s">
        <v>77</v>
      </c>
      <c r="K1441" t="s">
        <v>78</v>
      </c>
      <c r="L1441" t="s">
        <v>130</v>
      </c>
      <c r="M1441" t="s">
        <v>131</v>
      </c>
      <c r="N1441" t="s">
        <v>1066</v>
      </c>
      <c r="O1441" t="s">
        <v>300</v>
      </c>
      <c r="P1441" t="str">
        <f>"4170038504                    "</f>
        <v xml:space="preserve">4170038504                    </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0</v>
      </c>
      <c r="AL1441">
        <v>0</v>
      </c>
      <c r="AM1441">
        <v>0</v>
      </c>
      <c r="AN1441">
        <v>0</v>
      </c>
      <c r="AO1441">
        <v>0</v>
      </c>
      <c r="AP1441">
        <v>0</v>
      </c>
      <c r="AQ1441">
        <v>58.42</v>
      </c>
      <c r="AR1441">
        <v>0</v>
      </c>
      <c r="AS1441">
        <v>0</v>
      </c>
      <c r="AT1441">
        <v>0</v>
      </c>
      <c r="AU1441">
        <v>0</v>
      </c>
      <c r="AV1441">
        <v>0</v>
      </c>
      <c r="AW1441">
        <v>0</v>
      </c>
      <c r="AX1441">
        <v>0</v>
      </c>
      <c r="AY1441">
        <v>0</v>
      </c>
      <c r="AZ1441">
        <v>0</v>
      </c>
      <c r="BA1441">
        <v>0</v>
      </c>
      <c r="BB1441">
        <v>0</v>
      </c>
      <c r="BC1441">
        <v>0</v>
      </c>
      <c r="BD1441">
        <v>0</v>
      </c>
      <c r="BE1441">
        <v>0</v>
      </c>
      <c r="BF1441">
        <v>0</v>
      </c>
      <c r="BG1441">
        <v>0</v>
      </c>
      <c r="BH1441">
        <v>2</v>
      </c>
      <c r="BI1441">
        <v>25</v>
      </c>
      <c r="BJ1441">
        <v>8.1</v>
      </c>
      <c r="BK1441">
        <v>25</v>
      </c>
      <c r="BL1441">
        <v>196.77</v>
      </c>
      <c r="BM1441">
        <v>29.52</v>
      </c>
      <c r="BN1441">
        <v>226.29</v>
      </c>
      <c r="BO1441">
        <v>226.29</v>
      </c>
      <c r="BQ1441" t="s">
        <v>1067</v>
      </c>
      <c r="BR1441" t="s">
        <v>84</v>
      </c>
      <c r="BS1441" s="3">
        <v>45793</v>
      </c>
      <c r="BT1441" s="4">
        <v>0.42222222222222222</v>
      </c>
      <c r="BU1441" t="s">
        <v>1068</v>
      </c>
      <c r="BV1441" t="s">
        <v>86</v>
      </c>
      <c r="BY1441">
        <v>40716</v>
      </c>
      <c r="CA1441" t="s">
        <v>712</v>
      </c>
      <c r="CC1441" t="s">
        <v>131</v>
      </c>
      <c r="CD1441">
        <v>7561</v>
      </c>
      <c r="CE1441" t="s">
        <v>96</v>
      </c>
      <c r="CF1441" s="3">
        <v>45796</v>
      </c>
      <c r="CI1441">
        <v>3</v>
      </c>
      <c r="CJ1441">
        <v>2</v>
      </c>
      <c r="CK1441">
        <v>41</v>
      </c>
      <c r="CL1441" t="s">
        <v>89</v>
      </c>
    </row>
    <row r="1442" spans="1:90" x14ac:dyDescent="0.3">
      <c r="A1442" t="s">
        <v>72</v>
      </c>
      <c r="B1442" t="s">
        <v>73</v>
      </c>
      <c r="C1442" t="s">
        <v>74</v>
      </c>
      <c r="E1442" t="str">
        <f>"080065372522"</f>
        <v>080065372522</v>
      </c>
      <c r="F1442" s="3">
        <v>45791</v>
      </c>
      <c r="G1442">
        <v>202602</v>
      </c>
      <c r="H1442" t="s">
        <v>75</v>
      </c>
      <c r="I1442" t="s">
        <v>76</v>
      </c>
      <c r="J1442" t="s">
        <v>77</v>
      </c>
      <c r="K1442" t="s">
        <v>78</v>
      </c>
      <c r="L1442" t="s">
        <v>479</v>
      </c>
      <c r="M1442" t="s">
        <v>480</v>
      </c>
      <c r="N1442" t="s">
        <v>1953</v>
      </c>
      <c r="O1442" t="s">
        <v>82</v>
      </c>
      <c r="P1442" t="str">
        <f>"4170038428                    "</f>
        <v xml:space="preserve">4170038428                    </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0</v>
      </c>
      <c r="AL1442">
        <v>0</v>
      </c>
      <c r="AM1442">
        <v>0</v>
      </c>
      <c r="AN1442">
        <v>0</v>
      </c>
      <c r="AO1442">
        <v>0</v>
      </c>
      <c r="AP1442">
        <v>0</v>
      </c>
      <c r="AQ1442">
        <v>16.7</v>
      </c>
      <c r="AR1442">
        <v>0</v>
      </c>
      <c r="AS1442">
        <v>0</v>
      </c>
      <c r="AT1442">
        <v>0</v>
      </c>
      <c r="AU1442">
        <v>0</v>
      </c>
      <c r="AV1442">
        <v>0</v>
      </c>
      <c r="AW1442">
        <v>0</v>
      </c>
      <c r="AX1442">
        <v>0</v>
      </c>
      <c r="AY1442">
        <v>0</v>
      </c>
      <c r="AZ1442">
        <v>0</v>
      </c>
      <c r="BA1442">
        <v>0</v>
      </c>
      <c r="BB1442">
        <v>0</v>
      </c>
      <c r="BC1442">
        <v>0</v>
      </c>
      <c r="BD1442">
        <v>0</v>
      </c>
      <c r="BE1442">
        <v>0</v>
      </c>
      <c r="BF1442">
        <v>0</v>
      </c>
      <c r="BG1442">
        <v>0</v>
      </c>
      <c r="BH1442">
        <v>1</v>
      </c>
      <c r="BI1442">
        <v>1</v>
      </c>
      <c r="BJ1442">
        <v>0.2</v>
      </c>
      <c r="BK1442">
        <v>1</v>
      </c>
      <c r="BL1442">
        <v>54.66</v>
      </c>
      <c r="BM1442">
        <v>8.1999999999999993</v>
      </c>
      <c r="BN1442">
        <v>62.86</v>
      </c>
      <c r="BO1442">
        <v>62.86</v>
      </c>
      <c r="BQ1442" t="s">
        <v>1954</v>
      </c>
      <c r="BR1442" t="s">
        <v>84</v>
      </c>
      <c r="BS1442" s="3">
        <v>45792</v>
      </c>
      <c r="BT1442" s="4">
        <v>0.43541666666666667</v>
      </c>
      <c r="BU1442" t="s">
        <v>1912</v>
      </c>
      <c r="BV1442" t="s">
        <v>86</v>
      </c>
      <c r="BY1442">
        <v>1200</v>
      </c>
      <c r="CA1442" t="s">
        <v>1443</v>
      </c>
      <c r="CC1442" t="s">
        <v>480</v>
      </c>
      <c r="CD1442">
        <v>2163</v>
      </c>
      <c r="CE1442" t="s">
        <v>88</v>
      </c>
      <c r="CF1442" s="3">
        <v>45793</v>
      </c>
      <c r="CI1442">
        <v>1</v>
      </c>
      <c r="CJ1442">
        <v>1</v>
      </c>
      <c r="CK1442">
        <v>22</v>
      </c>
      <c r="CL1442" t="s">
        <v>89</v>
      </c>
    </row>
    <row r="1443" spans="1:90" x14ac:dyDescent="0.3">
      <c r="A1443" t="s">
        <v>72</v>
      </c>
      <c r="B1443" t="s">
        <v>73</v>
      </c>
      <c r="C1443" t="s">
        <v>74</v>
      </c>
      <c r="E1443" t="str">
        <f>"080065372573"</f>
        <v>080065372573</v>
      </c>
      <c r="F1443" s="3">
        <v>45791</v>
      </c>
      <c r="G1443">
        <v>202602</v>
      </c>
      <c r="H1443" t="s">
        <v>75</v>
      </c>
      <c r="I1443" t="s">
        <v>76</v>
      </c>
      <c r="J1443" t="s">
        <v>77</v>
      </c>
      <c r="K1443" t="s">
        <v>78</v>
      </c>
      <c r="L1443" t="s">
        <v>672</v>
      </c>
      <c r="M1443" t="s">
        <v>673</v>
      </c>
      <c r="N1443" t="s">
        <v>674</v>
      </c>
      <c r="O1443" t="s">
        <v>82</v>
      </c>
      <c r="P1443" t="str">
        <f>"4170038464                    "</f>
        <v xml:space="preserve">4170038464                    </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0</v>
      </c>
      <c r="AJ1443">
        <v>0</v>
      </c>
      <c r="AK1443">
        <v>0</v>
      </c>
      <c r="AL1443">
        <v>0</v>
      </c>
      <c r="AM1443">
        <v>0</v>
      </c>
      <c r="AN1443">
        <v>0</v>
      </c>
      <c r="AO1443">
        <v>0</v>
      </c>
      <c r="AP1443">
        <v>0</v>
      </c>
      <c r="AQ1443">
        <v>134.97</v>
      </c>
      <c r="AR1443">
        <v>0</v>
      </c>
      <c r="AS1443">
        <v>0</v>
      </c>
      <c r="AT1443">
        <v>0</v>
      </c>
      <c r="AU1443">
        <v>0</v>
      </c>
      <c r="AV1443">
        <v>0</v>
      </c>
      <c r="AW1443">
        <v>0</v>
      </c>
      <c r="AX1443">
        <v>0</v>
      </c>
      <c r="AY1443">
        <v>0</v>
      </c>
      <c r="AZ1443">
        <v>0</v>
      </c>
      <c r="BA1443">
        <v>0</v>
      </c>
      <c r="BB1443">
        <v>0</v>
      </c>
      <c r="BC1443">
        <v>0</v>
      </c>
      <c r="BD1443">
        <v>0</v>
      </c>
      <c r="BE1443">
        <v>0</v>
      </c>
      <c r="BF1443">
        <v>0</v>
      </c>
      <c r="BG1443">
        <v>0</v>
      </c>
      <c r="BH1443">
        <v>1</v>
      </c>
      <c r="BI1443">
        <v>7</v>
      </c>
      <c r="BJ1443">
        <v>3.4</v>
      </c>
      <c r="BK1443">
        <v>7</v>
      </c>
      <c r="BL1443">
        <v>441.73</v>
      </c>
      <c r="BM1443">
        <v>66.260000000000005</v>
      </c>
      <c r="BN1443">
        <v>507.99</v>
      </c>
      <c r="BO1443">
        <v>507.99</v>
      </c>
      <c r="BQ1443" t="s">
        <v>675</v>
      </c>
      <c r="BR1443" t="s">
        <v>84</v>
      </c>
      <c r="BS1443" s="3">
        <v>45792</v>
      </c>
      <c r="BT1443" s="4">
        <v>0.40416666666666667</v>
      </c>
      <c r="BU1443" t="s">
        <v>1059</v>
      </c>
      <c r="BV1443" t="s">
        <v>86</v>
      </c>
      <c r="BY1443">
        <v>16965</v>
      </c>
      <c r="CA1443" t="s">
        <v>1179</v>
      </c>
      <c r="CC1443" t="s">
        <v>673</v>
      </c>
      <c r="CD1443">
        <v>2531</v>
      </c>
      <c r="CE1443" t="s">
        <v>96</v>
      </c>
      <c r="CF1443" s="3">
        <v>45793</v>
      </c>
      <c r="CI1443">
        <v>1</v>
      </c>
      <c r="CJ1443">
        <v>1</v>
      </c>
      <c r="CK1443">
        <v>23</v>
      </c>
      <c r="CL1443" t="s">
        <v>89</v>
      </c>
    </row>
    <row r="1444" spans="1:90" x14ac:dyDescent="0.3">
      <c r="A1444" t="s">
        <v>72</v>
      </c>
      <c r="B1444" t="s">
        <v>73</v>
      </c>
      <c r="C1444" t="s">
        <v>74</v>
      </c>
      <c r="E1444" t="str">
        <f>"080065372571"</f>
        <v>080065372571</v>
      </c>
      <c r="F1444" s="3">
        <v>45791</v>
      </c>
      <c r="G1444">
        <v>202602</v>
      </c>
      <c r="H1444" t="s">
        <v>75</v>
      </c>
      <c r="I1444" t="s">
        <v>76</v>
      </c>
      <c r="J1444" t="s">
        <v>77</v>
      </c>
      <c r="K1444" t="s">
        <v>78</v>
      </c>
      <c r="L1444" t="s">
        <v>75</v>
      </c>
      <c r="M1444" t="s">
        <v>76</v>
      </c>
      <c r="N1444" t="s">
        <v>390</v>
      </c>
      <c r="O1444" t="s">
        <v>82</v>
      </c>
      <c r="P1444" t="str">
        <f>"4170038406                    "</f>
        <v xml:space="preserve">4170038406                    </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0</v>
      </c>
      <c r="AL1444">
        <v>0</v>
      </c>
      <c r="AM1444">
        <v>0</v>
      </c>
      <c r="AN1444">
        <v>0</v>
      </c>
      <c r="AO1444">
        <v>0</v>
      </c>
      <c r="AP1444">
        <v>0</v>
      </c>
      <c r="AQ1444">
        <v>16.7</v>
      </c>
      <c r="AR1444">
        <v>0</v>
      </c>
      <c r="AS1444">
        <v>0</v>
      </c>
      <c r="AT1444">
        <v>0</v>
      </c>
      <c r="AU1444">
        <v>0</v>
      </c>
      <c r="AV1444">
        <v>0</v>
      </c>
      <c r="AW1444">
        <v>0</v>
      </c>
      <c r="AX1444">
        <v>0</v>
      </c>
      <c r="AY1444">
        <v>0</v>
      </c>
      <c r="AZ1444">
        <v>0</v>
      </c>
      <c r="BA1444">
        <v>0</v>
      </c>
      <c r="BB1444">
        <v>0</v>
      </c>
      <c r="BC1444">
        <v>0</v>
      </c>
      <c r="BD1444">
        <v>0</v>
      </c>
      <c r="BE1444">
        <v>0</v>
      </c>
      <c r="BF1444">
        <v>0</v>
      </c>
      <c r="BG1444">
        <v>0</v>
      </c>
      <c r="BH1444">
        <v>1</v>
      </c>
      <c r="BI1444">
        <v>1</v>
      </c>
      <c r="BJ1444">
        <v>0.2</v>
      </c>
      <c r="BK1444">
        <v>1</v>
      </c>
      <c r="BL1444">
        <v>54.66</v>
      </c>
      <c r="BM1444">
        <v>8.1999999999999993</v>
      </c>
      <c r="BN1444">
        <v>62.86</v>
      </c>
      <c r="BO1444">
        <v>62.86</v>
      </c>
      <c r="BQ1444" t="s">
        <v>391</v>
      </c>
      <c r="BR1444" t="s">
        <v>84</v>
      </c>
      <c r="BS1444" s="3">
        <v>45792</v>
      </c>
      <c r="BT1444" s="4">
        <v>0.33819444444444446</v>
      </c>
      <c r="BU1444" t="s">
        <v>2078</v>
      </c>
      <c r="BV1444" t="s">
        <v>86</v>
      </c>
      <c r="BY1444">
        <v>1200</v>
      </c>
      <c r="CA1444" t="s">
        <v>115</v>
      </c>
      <c r="CC1444" t="s">
        <v>76</v>
      </c>
      <c r="CD1444">
        <v>1600</v>
      </c>
      <c r="CE1444" t="s">
        <v>88</v>
      </c>
      <c r="CF1444" s="3">
        <v>45793</v>
      </c>
      <c r="CI1444">
        <v>1</v>
      </c>
      <c r="CJ1444">
        <v>1</v>
      </c>
      <c r="CK1444">
        <v>22</v>
      </c>
      <c r="CL1444" t="s">
        <v>89</v>
      </c>
    </row>
    <row r="1445" spans="1:90" x14ac:dyDescent="0.3">
      <c r="A1445" t="s">
        <v>72</v>
      </c>
      <c r="B1445" t="s">
        <v>73</v>
      </c>
      <c r="C1445" t="s">
        <v>74</v>
      </c>
      <c r="E1445" t="str">
        <f>"080065372638"</f>
        <v>080065372638</v>
      </c>
      <c r="F1445" s="3">
        <v>45791</v>
      </c>
      <c r="G1445">
        <v>202602</v>
      </c>
      <c r="H1445" t="s">
        <v>75</v>
      </c>
      <c r="I1445" t="s">
        <v>76</v>
      </c>
      <c r="J1445" t="s">
        <v>77</v>
      </c>
      <c r="K1445" t="s">
        <v>78</v>
      </c>
      <c r="L1445" t="s">
        <v>103</v>
      </c>
      <c r="M1445" t="s">
        <v>104</v>
      </c>
      <c r="N1445" t="s">
        <v>437</v>
      </c>
      <c r="O1445" t="s">
        <v>82</v>
      </c>
      <c r="P1445" t="str">
        <f>"4170038330                    "</f>
        <v xml:space="preserve">4170038330                    </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0</v>
      </c>
      <c r="AL1445">
        <v>0</v>
      </c>
      <c r="AM1445">
        <v>0</v>
      </c>
      <c r="AN1445">
        <v>0</v>
      </c>
      <c r="AO1445">
        <v>0</v>
      </c>
      <c r="AP1445">
        <v>0</v>
      </c>
      <c r="AQ1445">
        <v>53.43</v>
      </c>
      <c r="AR1445">
        <v>0</v>
      </c>
      <c r="AS1445">
        <v>0</v>
      </c>
      <c r="AT1445">
        <v>0</v>
      </c>
      <c r="AU1445">
        <v>0</v>
      </c>
      <c r="AV1445">
        <v>0</v>
      </c>
      <c r="AW1445">
        <v>0</v>
      </c>
      <c r="AX1445">
        <v>0</v>
      </c>
      <c r="AY1445">
        <v>0</v>
      </c>
      <c r="AZ1445">
        <v>0</v>
      </c>
      <c r="BA1445">
        <v>0</v>
      </c>
      <c r="BB1445">
        <v>0</v>
      </c>
      <c r="BC1445">
        <v>0</v>
      </c>
      <c r="BD1445">
        <v>0</v>
      </c>
      <c r="BE1445">
        <v>0</v>
      </c>
      <c r="BF1445">
        <v>0</v>
      </c>
      <c r="BG1445">
        <v>0</v>
      </c>
      <c r="BH1445">
        <v>1</v>
      </c>
      <c r="BI1445">
        <v>5</v>
      </c>
      <c r="BJ1445">
        <v>3.4</v>
      </c>
      <c r="BK1445">
        <v>5</v>
      </c>
      <c r="BL1445">
        <v>174.87</v>
      </c>
      <c r="BM1445">
        <v>26.23</v>
      </c>
      <c r="BN1445">
        <v>201.1</v>
      </c>
      <c r="BO1445">
        <v>201.1</v>
      </c>
      <c r="BQ1445" t="s">
        <v>438</v>
      </c>
      <c r="BR1445" t="s">
        <v>84</v>
      </c>
      <c r="BS1445" s="3">
        <v>45792</v>
      </c>
      <c r="BT1445" s="4">
        <v>0.50694444444444442</v>
      </c>
      <c r="BU1445" t="s">
        <v>2071</v>
      </c>
      <c r="BV1445" t="s">
        <v>86</v>
      </c>
      <c r="BY1445">
        <v>16965</v>
      </c>
      <c r="CA1445" t="s">
        <v>440</v>
      </c>
      <c r="CC1445" t="s">
        <v>104</v>
      </c>
      <c r="CD1445">
        <v>3212</v>
      </c>
      <c r="CE1445" t="s">
        <v>96</v>
      </c>
      <c r="CF1445" s="3">
        <v>45792</v>
      </c>
      <c r="CI1445">
        <v>2</v>
      </c>
      <c r="CJ1445">
        <v>1</v>
      </c>
      <c r="CK1445">
        <v>21</v>
      </c>
      <c r="CL1445" t="s">
        <v>89</v>
      </c>
    </row>
    <row r="1446" spans="1:90" x14ac:dyDescent="0.3">
      <c r="A1446" t="s">
        <v>72</v>
      </c>
      <c r="B1446" t="s">
        <v>73</v>
      </c>
      <c r="C1446" t="s">
        <v>74</v>
      </c>
      <c r="E1446" t="str">
        <f>"080065372642"</f>
        <v>080065372642</v>
      </c>
      <c r="F1446" s="3">
        <v>45791</v>
      </c>
      <c r="G1446">
        <v>202602</v>
      </c>
      <c r="H1446" t="s">
        <v>75</v>
      </c>
      <c r="I1446" t="s">
        <v>76</v>
      </c>
      <c r="J1446" t="s">
        <v>77</v>
      </c>
      <c r="K1446" t="s">
        <v>78</v>
      </c>
      <c r="L1446" t="s">
        <v>90</v>
      </c>
      <c r="M1446" t="s">
        <v>91</v>
      </c>
      <c r="N1446" t="s">
        <v>563</v>
      </c>
      <c r="O1446" t="s">
        <v>82</v>
      </c>
      <c r="P1446" t="str">
        <f>"4170038391                    "</f>
        <v xml:space="preserve">4170038391                    </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0</v>
      </c>
      <c r="AK1446">
        <v>0</v>
      </c>
      <c r="AL1446">
        <v>0</v>
      </c>
      <c r="AM1446">
        <v>0</v>
      </c>
      <c r="AN1446">
        <v>0</v>
      </c>
      <c r="AO1446">
        <v>0</v>
      </c>
      <c r="AP1446">
        <v>0</v>
      </c>
      <c r="AQ1446">
        <v>21.38</v>
      </c>
      <c r="AR1446">
        <v>0</v>
      </c>
      <c r="AS1446">
        <v>0</v>
      </c>
      <c r="AT1446">
        <v>0</v>
      </c>
      <c r="AU1446">
        <v>0</v>
      </c>
      <c r="AV1446">
        <v>0</v>
      </c>
      <c r="AW1446">
        <v>0</v>
      </c>
      <c r="AX1446">
        <v>0</v>
      </c>
      <c r="AY1446">
        <v>0</v>
      </c>
      <c r="AZ1446">
        <v>0</v>
      </c>
      <c r="BA1446">
        <v>0</v>
      </c>
      <c r="BB1446">
        <v>0</v>
      </c>
      <c r="BC1446">
        <v>0</v>
      </c>
      <c r="BD1446">
        <v>0</v>
      </c>
      <c r="BE1446">
        <v>0</v>
      </c>
      <c r="BF1446">
        <v>0</v>
      </c>
      <c r="BG1446">
        <v>0</v>
      </c>
      <c r="BH1446">
        <v>1</v>
      </c>
      <c r="BI1446">
        <v>1</v>
      </c>
      <c r="BJ1446">
        <v>0.2</v>
      </c>
      <c r="BK1446">
        <v>1</v>
      </c>
      <c r="BL1446">
        <v>69.98</v>
      </c>
      <c r="BM1446">
        <v>10.5</v>
      </c>
      <c r="BN1446">
        <v>80.48</v>
      </c>
      <c r="BO1446">
        <v>80.48</v>
      </c>
      <c r="BQ1446" t="s">
        <v>564</v>
      </c>
      <c r="BR1446" t="s">
        <v>84</v>
      </c>
      <c r="BS1446" s="3">
        <v>45792</v>
      </c>
      <c r="BT1446" s="4">
        <v>0.37847222222222221</v>
      </c>
      <c r="BU1446" t="s">
        <v>2082</v>
      </c>
      <c r="BV1446" t="s">
        <v>86</v>
      </c>
      <c r="BY1446">
        <v>1200</v>
      </c>
      <c r="CA1446" t="s">
        <v>566</v>
      </c>
      <c r="CC1446" t="s">
        <v>91</v>
      </c>
      <c r="CD1446">
        <v>6001</v>
      </c>
      <c r="CE1446" t="s">
        <v>88</v>
      </c>
      <c r="CF1446" s="3">
        <v>45792</v>
      </c>
      <c r="CI1446">
        <v>1</v>
      </c>
      <c r="CJ1446">
        <v>1</v>
      </c>
      <c r="CK1446">
        <v>21</v>
      </c>
      <c r="CL1446" t="s">
        <v>89</v>
      </c>
    </row>
    <row r="1447" spans="1:90" x14ac:dyDescent="0.3">
      <c r="A1447" t="s">
        <v>72</v>
      </c>
      <c r="B1447" t="s">
        <v>73</v>
      </c>
      <c r="C1447" t="s">
        <v>74</v>
      </c>
      <c r="E1447" t="str">
        <f>"080065372706"</f>
        <v>080065372706</v>
      </c>
      <c r="F1447" s="3">
        <v>45791</v>
      </c>
      <c r="G1447">
        <v>202602</v>
      </c>
      <c r="H1447" t="s">
        <v>75</v>
      </c>
      <c r="I1447" t="s">
        <v>76</v>
      </c>
      <c r="J1447" t="s">
        <v>77</v>
      </c>
      <c r="K1447" t="s">
        <v>78</v>
      </c>
      <c r="L1447" t="s">
        <v>648</v>
      </c>
      <c r="M1447" t="s">
        <v>649</v>
      </c>
      <c r="N1447" t="s">
        <v>785</v>
      </c>
      <c r="O1447" t="s">
        <v>82</v>
      </c>
      <c r="P1447" t="str">
        <f>"4170038453                    "</f>
        <v xml:space="preserve">4170038453                    </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c r="AJ1447">
        <v>0</v>
      </c>
      <c r="AK1447">
        <v>0</v>
      </c>
      <c r="AL1447">
        <v>0</v>
      </c>
      <c r="AM1447">
        <v>0</v>
      </c>
      <c r="AN1447">
        <v>0</v>
      </c>
      <c r="AO1447">
        <v>0</v>
      </c>
      <c r="AP1447">
        <v>0</v>
      </c>
      <c r="AQ1447">
        <v>16.7</v>
      </c>
      <c r="AR1447">
        <v>0</v>
      </c>
      <c r="AS1447">
        <v>0</v>
      </c>
      <c r="AT1447">
        <v>0</v>
      </c>
      <c r="AU1447">
        <v>0</v>
      </c>
      <c r="AV1447">
        <v>0</v>
      </c>
      <c r="AW1447">
        <v>0</v>
      </c>
      <c r="AX1447">
        <v>0</v>
      </c>
      <c r="AY1447">
        <v>0</v>
      </c>
      <c r="AZ1447">
        <v>0</v>
      </c>
      <c r="BA1447">
        <v>0</v>
      </c>
      <c r="BB1447">
        <v>0</v>
      </c>
      <c r="BC1447">
        <v>0</v>
      </c>
      <c r="BD1447">
        <v>0</v>
      </c>
      <c r="BE1447">
        <v>0</v>
      </c>
      <c r="BF1447">
        <v>0</v>
      </c>
      <c r="BG1447">
        <v>0</v>
      </c>
      <c r="BH1447">
        <v>1</v>
      </c>
      <c r="BI1447">
        <v>3</v>
      </c>
      <c r="BJ1447">
        <v>3.4</v>
      </c>
      <c r="BK1447">
        <v>4</v>
      </c>
      <c r="BL1447">
        <v>54.66</v>
      </c>
      <c r="BM1447">
        <v>8.1999999999999993</v>
      </c>
      <c r="BN1447">
        <v>62.86</v>
      </c>
      <c r="BO1447">
        <v>62.86</v>
      </c>
      <c r="BQ1447" t="s">
        <v>786</v>
      </c>
      <c r="BR1447" t="s">
        <v>84</v>
      </c>
      <c r="BS1447" s="3">
        <v>45792</v>
      </c>
      <c r="BT1447" s="4">
        <v>0.40625</v>
      </c>
      <c r="BU1447" t="s">
        <v>2083</v>
      </c>
      <c r="BV1447" t="s">
        <v>86</v>
      </c>
      <c r="BY1447">
        <v>16965</v>
      </c>
      <c r="CA1447" t="s">
        <v>698</v>
      </c>
      <c r="CC1447" t="s">
        <v>649</v>
      </c>
      <c r="CD1447">
        <v>1559</v>
      </c>
      <c r="CE1447" t="s">
        <v>96</v>
      </c>
      <c r="CF1447" s="3">
        <v>45792</v>
      </c>
      <c r="CI1447">
        <v>1</v>
      </c>
      <c r="CJ1447">
        <v>1</v>
      </c>
      <c r="CK1447">
        <v>22</v>
      </c>
      <c r="CL1447" t="s">
        <v>89</v>
      </c>
    </row>
    <row r="1448" spans="1:90" x14ac:dyDescent="0.3">
      <c r="A1448" t="s">
        <v>72</v>
      </c>
      <c r="B1448" t="s">
        <v>73</v>
      </c>
      <c r="C1448" t="s">
        <v>74</v>
      </c>
      <c r="E1448" t="str">
        <f>"080065372718"</f>
        <v>080065372718</v>
      </c>
      <c r="F1448" s="3">
        <v>45791</v>
      </c>
      <c r="G1448">
        <v>202602</v>
      </c>
      <c r="H1448" t="s">
        <v>75</v>
      </c>
      <c r="I1448" t="s">
        <v>76</v>
      </c>
      <c r="J1448" t="s">
        <v>77</v>
      </c>
      <c r="K1448" t="s">
        <v>78</v>
      </c>
      <c r="L1448" t="s">
        <v>1099</v>
      </c>
      <c r="M1448" t="s">
        <v>1100</v>
      </c>
      <c r="N1448" t="s">
        <v>1430</v>
      </c>
      <c r="O1448" t="s">
        <v>82</v>
      </c>
      <c r="P1448" t="str">
        <f>"4170038474                    "</f>
        <v xml:space="preserve">4170038474                    </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0</v>
      </c>
      <c r="AK1448">
        <v>0</v>
      </c>
      <c r="AL1448">
        <v>0</v>
      </c>
      <c r="AM1448">
        <v>0</v>
      </c>
      <c r="AN1448">
        <v>0</v>
      </c>
      <c r="AO1448">
        <v>0</v>
      </c>
      <c r="AP1448">
        <v>0</v>
      </c>
      <c r="AQ1448">
        <v>41.43</v>
      </c>
      <c r="AR1448">
        <v>0</v>
      </c>
      <c r="AS1448">
        <v>0</v>
      </c>
      <c r="AT1448">
        <v>0</v>
      </c>
      <c r="AU1448">
        <v>0</v>
      </c>
      <c r="AV1448">
        <v>0</v>
      </c>
      <c r="AW1448">
        <v>0</v>
      </c>
      <c r="AX1448">
        <v>0</v>
      </c>
      <c r="AY1448">
        <v>0</v>
      </c>
      <c r="AZ1448">
        <v>0</v>
      </c>
      <c r="BA1448">
        <v>0</v>
      </c>
      <c r="BB1448">
        <v>0</v>
      </c>
      <c r="BC1448">
        <v>0</v>
      </c>
      <c r="BD1448">
        <v>0</v>
      </c>
      <c r="BE1448">
        <v>0</v>
      </c>
      <c r="BF1448">
        <v>0</v>
      </c>
      <c r="BG1448">
        <v>0</v>
      </c>
      <c r="BH1448">
        <v>1</v>
      </c>
      <c r="BI1448">
        <v>1</v>
      </c>
      <c r="BJ1448">
        <v>0.2</v>
      </c>
      <c r="BK1448">
        <v>1</v>
      </c>
      <c r="BL1448">
        <v>135.59</v>
      </c>
      <c r="BM1448">
        <v>20.34</v>
      </c>
      <c r="BN1448">
        <v>155.93</v>
      </c>
      <c r="BO1448">
        <v>155.93</v>
      </c>
      <c r="BQ1448" t="s">
        <v>1431</v>
      </c>
      <c r="BR1448" t="s">
        <v>84</v>
      </c>
      <c r="BS1448" s="3">
        <v>45792</v>
      </c>
      <c r="BT1448" s="4">
        <v>0.43263888888888891</v>
      </c>
      <c r="BU1448" t="s">
        <v>2084</v>
      </c>
      <c r="BV1448" t="s">
        <v>86</v>
      </c>
      <c r="BY1448">
        <v>1200</v>
      </c>
      <c r="CA1448" t="s">
        <v>2085</v>
      </c>
      <c r="CC1448" t="s">
        <v>1100</v>
      </c>
      <c r="CD1448" s="5" t="s">
        <v>1291</v>
      </c>
      <c r="CE1448" t="s">
        <v>88</v>
      </c>
      <c r="CF1448" s="3">
        <v>45793</v>
      </c>
      <c r="CI1448">
        <v>1</v>
      </c>
      <c r="CJ1448">
        <v>1</v>
      </c>
      <c r="CK1448">
        <v>23</v>
      </c>
      <c r="CL1448" t="s">
        <v>89</v>
      </c>
    </row>
    <row r="1449" spans="1:90" x14ac:dyDescent="0.3">
      <c r="A1449" t="s">
        <v>72</v>
      </c>
      <c r="B1449" t="s">
        <v>73</v>
      </c>
      <c r="C1449" t="s">
        <v>74</v>
      </c>
      <c r="E1449" t="str">
        <f>"080065372755"</f>
        <v>080065372755</v>
      </c>
      <c r="F1449" s="3">
        <v>45791</v>
      </c>
      <c r="G1449">
        <v>202602</v>
      </c>
      <c r="H1449" t="s">
        <v>75</v>
      </c>
      <c r="I1449" t="s">
        <v>76</v>
      </c>
      <c r="J1449" t="s">
        <v>77</v>
      </c>
      <c r="K1449" t="s">
        <v>78</v>
      </c>
      <c r="L1449" t="s">
        <v>90</v>
      </c>
      <c r="M1449" t="s">
        <v>91</v>
      </c>
      <c r="N1449" t="s">
        <v>476</v>
      </c>
      <c r="O1449" t="s">
        <v>82</v>
      </c>
      <c r="P1449" t="str">
        <f>"4170038369                    "</f>
        <v xml:space="preserve">4170038369                    </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c r="AJ1449">
        <v>0</v>
      </c>
      <c r="AK1449">
        <v>0</v>
      </c>
      <c r="AL1449">
        <v>0</v>
      </c>
      <c r="AM1449">
        <v>0</v>
      </c>
      <c r="AN1449">
        <v>0</v>
      </c>
      <c r="AO1449">
        <v>0</v>
      </c>
      <c r="AP1449">
        <v>0</v>
      </c>
      <c r="AQ1449">
        <v>58.78</v>
      </c>
      <c r="AR1449">
        <v>0</v>
      </c>
      <c r="AS1449">
        <v>0</v>
      </c>
      <c r="AT1449">
        <v>0</v>
      </c>
      <c r="AU1449">
        <v>0</v>
      </c>
      <c r="AV1449">
        <v>0</v>
      </c>
      <c r="AW1449">
        <v>0</v>
      </c>
      <c r="AX1449">
        <v>0</v>
      </c>
      <c r="AY1449">
        <v>0</v>
      </c>
      <c r="AZ1449">
        <v>0</v>
      </c>
      <c r="BA1449">
        <v>0</v>
      </c>
      <c r="BB1449">
        <v>0</v>
      </c>
      <c r="BC1449">
        <v>0</v>
      </c>
      <c r="BD1449">
        <v>0</v>
      </c>
      <c r="BE1449">
        <v>0</v>
      </c>
      <c r="BF1449">
        <v>0</v>
      </c>
      <c r="BG1449">
        <v>0</v>
      </c>
      <c r="BH1449">
        <v>1</v>
      </c>
      <c r="BI1449">
        <v>3</v>
      </c>
      <c r="BJ1449">
        <v>5.2</v>
      </c>
      <c r="BK1449">
        <v>5.5</v>
      </c>
      <c r="BL1449">
        <v>192.36</v>
      </c>
      <c r="BM1449">
        <v>28.85</v>
      </c>
      <c r="BN1449">
        <v>221.21</v>
      </c>
      <c r="BO1449">
        <v>221.21</v>
      </c>
      <c r="BQ1449" t="s">
        <v>477</v>
      </c>
      <c r="BR1449" t="s">
        <v>84</v>
      </c>
      <c r="BS1449" s="3">
        <v>45792</v>
      </c>
      <c r="BT1449" s="4">
        <v>0.43611111111111112</v>
      </c>
      <c r="BU1449" t="s">
        <v>2019</v>
      </c>
      <c r="BV1449" t="s">
        <v>86</v>
      </c>
      <c r="BY1449">
        <v>25920</v>
      </c>
      <c r="CA1449" t="s">
        <v>1648</v>
      </c>
      <c r="CC1449" t="s">
        <v>91</v>
      </c>
      <c r="CD1449">
        <v>6001</v>
      </c>
      <c r="CE1449" t="s">
        <v>221</v>
      </c>
      <c r="CF1449" s="3">
        <v>45792</v>
      </c>
      <c r="CI1449">
        <v>1</v>
      </c>
      <c r="CJ1449">
        <v>1</v>
      </c>
      <c r="CK1449">
        <v>21</v>
      </c>
      <c r="CL1449" t="s">
        <v>89</v>
      </c>
    </row>
    <row r="1450" spans="1:90" x14ac:dyDescent="0.3">
      <c r="A1450" t="s">
        <v>72</v>
      </c>
      <c r="B1450" t="s">
        <v>73</v>
      </c>
      <c r="C1450" t="s">
        <v>74</v>
      </c>
      <c r="E1450" t="str">
        <f>"080065372750"</f>
        <v>080065372750</v>
      </c>
      <c r="F1450" s="3">
        <v>45791</v>
      </c>
      <c r="G1450">
        <v>202602</v>
      </c>
      <c r="H1450" t="s">
        <v>75</v>
      </c>
      <c r="I1450" t="s">
        <v>76</v>
      </c>
      <c r="J1450" t="s">
        <v>77</v>
      </c>
      <c r="K1450" t="s">
        <v>78</v>
      </c>
      <c r="L1450" t="s">
        <v>360</v>
      </c>
      <c r="M1450" t="s">
        <v>361</v>
      </c>
      <c r="N1450" t="s">
        <v>362</v>
      </c>
      <c r="O1450" t="s">
        <v>82</v>
      </c>
      <c r="P1450" t="str">
        <f>"4170038494                    "</f>
        <v xml:space="preserve">4170038494                    </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0</v>
      </c>
      <c r="AJ1450">
        <v>0</v>
      </c>
      <c r="AK1450">
        <v>0</v>
      </c>
      <c r="AL1450">
        <v>0</v>
      </c>
      <c r="AM1450">
        <v>0</v>
      </c>
      <c r="AN1450">
        <v>0</v>
      </c>
      <c r="AO1450">
        <v>0</v>
      </c>
      <c r="AP1450">
        <v>0</v>
      </c>
      <c r="AQ1450">
        <v>41.43</v>
      </c>
      <c r="AR1450">
        <v>0</v>
      </c>
      <c r="AS1450">
        <v>0</v>
      </c>
      <c r="AT1450">
        <v>0</v>
      </c>
      <c r="AU1450">
        <v>0</v>
      </c>
      <c r="AV1450">
        <v>0</v>
      </c>
      <c r="AW1450">
        <v>0</v>
      </c>
      <c r="AX1450">
        <v>0</v>
      </c>
      <c r="AY1450">
        <v>0</v>
      </c>
      <c r="AZ1450">
        <v>0</v>
      </c>
      <c r="BA1450">
        <v>0</v>
      </c>
      <c r="BB1450">
        <v>0</v>
      </c>
      <c r="BC1450">
        <v>0</v>
      </c>
      <c r="BD1450">
        <v>0</v>
      </c>
      <c r="BE1450">
        <v>0</v>
      </c>
      <c r="BF1450">
        <v>0</v>
      </c>
      <c r="BG1450">
        <v>0</v>
      </c>
      <c r="BH1450">
        <v>1</v>
      </c>
      <c r="BI1450">
        <v>1</v>
      </c>
      <c r="BJ1450">
        <v>0.2</v>
      </c>
      <c r="BK1450">
        <v>1</v>
      </c>
      <c r="BL1450">
        <v>135.59</v>
      </c>
      <c r="BM1450">
        <v>20.34</v>
      </c>
      <c r="BN1450">
        <v>155.93</v>
      </c>
      <c r="BO1450">
        <v>155.93</v>
      </c>
      <c r="BQ1450" t="s">
        <v>363</v>
      </c>
      <c r="BR1450" t="s">
        <v>84</v>
      </c>
      <c r="BS1450" s="3">
        <v>45792</v>
      </c>
      <c r="BT1450" s="4">
        <v>0.63680555555555551</v>
      </c>
      <c r="BU1450" t="s">
        <v>1246</v>
      </c>
      <c r="BV1450" t="s">
        <v>86</v>
      </c>
      <c r="BY1450">
        <v>1200</v>
      </c>
      <c r="CA1450" t="s">
        <v>365</v>
      </c>
      <c r="CC1450" t="s">
        <v>361</v>
      </c>
      <c r="CD1450">
        <v>7299</v>
      </c>
      <c r="CE1450" t="s">
        <v>88</v>
      </c>
      <c r="CF1450" s="3">
        <v>45796</v>
      </c>
      <c r="CI1450">
        <v>1</v>
      </c>
      <c r="CJ1450">
        <v>1</v>
      </c>
      <c r="CK1450">
        <v>23</v>
      </c>
      <c r="CL1450" t="s">
        <v>89</v>
      </c>
    </row>
    <row r="1451" spans="1:90" x14ac:dyDescent="0.3">
      <c r="A1451" t="s">
        <v>72</v>
      </c>
      <c r="B1451" t="s">
        <v>73</v>
      </c>
      <c r="C1451" t="s">
        <v>74</v>
      </c>
      <c r="E1451" t="str">
        <f>"080065372929"</f>
        <v>080065372929</v>
      </c>
      <c r="F1451" s="3">
        <v>45791</v>
      </c>
      <c r="G1451">
        <v>202602</v>
      </c>
      <c r="H1451" t="s">
        <v>75</v>
      </c>
      <c r="I1451" t="s">
        <v>76</v>
      </c>
      <c r="J1451" t="s">
        <v>77</v>
      </c>
      <c r="K1451" t="s">
        <v>78</v>
      </c>
      <c r="L1451" t="s">
        <v>103</v>
      </c>
      <c r="M1451" t="s">
        <v>104</v>
      </c>
      <c r="N1451" t="s">
        <v>686</v>
      </c>
      <c r="O1451" t="s">
        <v>82</v>
      </c>
      <c r="P1451" t="str">
        <f>"4170038476                    "</f>
        <v xml:space="preserve">4170038476                    </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c r="AJ1451">
        <v>0</v>
      </c>
      <c r="AK1451">
        <v>0</v>
      </c>
      <c r="AL1451">
        <v>0</v>
      </c>
      <c r="AM1451">
        <v>0</v>
      </c>
      <c r="AN1451">
        <v>0</v>
      </c>
      <c r="AO1451">
        <v>0</v>
      </c>
      <c r="AP1451">
        <v>0</v>
      </c>
      <c r="AQ1451">
        <v>21.38</v>
      </c>
      <c r="AR1451">
        <v>0</v>
      </c>
      <c r="AS1451">
        <v>0</v>
      </c>
      <c r="AT1451">
        <v>0</v>
      </c>
      <c r="AU1451">
        <v>0</v>
      </c>
      <c r="AV1451">
        <v>0</v>
      </c>
      <c r="AW1451">
        <v>0</v>
      </c>
      <c r="AX1451">
        <v>0</v>
      </c>
      <c r="AY1451">
        <v>0</v>
      </c>
      <c r="AZ1451">
        <v>0</v>
      </c>
      <c r="BA1451">
        <v>0</v>
      </c>
      <c r="BB1451">
        <v>0</v>
      </c>
      <c r="BC1451">
        <v>0</v>
      </c>
      <c r="BD1451">
        <v>0</v>
      </c>
      <c r="BE1451">
        <v>0</v>
      </c>
      <c r="BF1451">
        <v>0</v>
      </c>
      <c r="BG1451">
        <v>0</v>
      </c>
      <c r="BH1451">
        <v>1</v>
      </c>
      <c r="BI1451">
        <v>1</v>
      </c>
      <c r="BJ1451">
        <v>0.2</v>
      </c>
      <c r="BK1451">
        <v>1</v>
      </c>
      <c r="BL1451">
        <v>69.98</v>
      </c>
      <c r="BM1451">
        <v>10.5</v>
      </c>
      <c r="BN1451">
        <v>80.48</v>
      </c>
      <c r="BO1451">
        <v>80.48</v>
      </c>
      <c r="BQ1451" t="s">
        <v>687</v>
      </c>
      <c r="BR1451" t="s">
        <v>84</v>
      </c>
      <c r="BS1451" s="3">
        <v>45792</v>
      </c>
      <c r="BT1451" s="4">
        <v>0.41805555555555557</v>
      </c>
      <c r="BU1451" t="s">
        <v>1168</v>
      </c>
      <c r="BV1451" t="s">
        <v>86</v>
      </c>
      <c r="BY1451">
        <v>1200</v>
      </c>
      <c r="CA1451" t="s">
        <v>1169</v>
      </c>
      <c r="CC1451" t="s">
        <v>104</v>
      </c>
      <c r="CD1451">
        <v>3201</v>
      </c>
      <c r="CE1451" t="s">
        <v>88</v>
      </c>
      <c r="CF1451" s="3">
        <v>45792</v>
      </c>
      <c r="CI1451">
        <v>1</v>
      </c>
      <c r="CJ1451">
        <v>1</v>
      </c>
      <c r="CK1451">
        <v>21</v>
      </c>
      <c r="CL1451" t="s">
        <v>89</v>
      </c>
    </row>
    <row r="1452" spans="1:90" x14ac:dyDescent="0.3">
      <c r="A1452" t="s">
        <v>72</v>
      </c>
      <c r="B1452" t="s">
        <v>73</v>
      </c>
      <c r="C1452" t="s">
        <v>74</v>
      </c>
      <c r="E1452" t="str">
        <f>"080065372936"</f>
        <v>080065372936</v>
      </c>
      <c r="F1452" s="3">
        <v>45791</v>
      </c>
      <c r="G1452">
        <v>202602</v>
      </c>
      <c r="H1452" t="s">
        <v>75</v>
      </c>
      <c r="I1452" t="s">
        <v>76</v>
      </c>
      <c r="J1452" t="s">
        <v>77</v>
      </c>
      <c r="K1452" t="s">
        <v>78</v>
      </c>
      <c r="L1452" t="s">
        <v>103</v>
      </c>
      <c r="M1452" t="s">
        <v>104</v>
      </c>
      <c r="N1452" t="s">
        <v>105</v>
      </c>
      <c r="O1452" t="s">
        <v>82</v>
      </c>
      <c r="P1452" t="str">
        <f>"4170038325                    "</f>
        <v xml:space="preserve">4170038325                    </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0</v>
      </c>
      <c r="AL1452">
        <v>0</v>
      </c>
      <c r="AM1452">
        <v>0</v>
      </c>
      <c r="AN1452">
        <v>0</v>
      </c>
      <c r="AO1452">
        <v>0</v>
      </c>
      <c r="AP1452">
        <v>0</v>
      </c>
      <c r="AQ1452">
        <v>42.75</v>
      </c>
      <c r="AR1452">
        <v>0</v>
      </c>
      <c r="AS1452">
        <v>0</v>
      </c>
      <c r="AT1452">
        <v>0</v>
      </c>
      <c r="AU1452">
        <v>0</v>
      </c>
      <c r="AV1452">
        <v>0</v>
      </c>
      <c r="AW1452">
        <v>0</v>
      </c>
      <c r="AX1452">
        <v>0</v>
      </c>
      <c r="AY1452">
        <v>0</v>
      </c>
      <c r="AZ1452">
        <v>0</v>
      </c>
      <c r="BA1452">
        <v>0</v>
      </c>
      <c r="BB1452">
        <v>0</v>
      </c>
      <c r="BC1452">
        <v>0</v>
      </c>
      <c r="BD1452">
        <v>0</v>
      </c>
      <c r="BE1452">
        <v>0</v>
      </c>
      <c r="BF1452">
        <v>0</v>
      </c>
      <c r="BG1452">
        <v>0</v>
      </c>
      <c r="BH1452">
        <v>1</v>
      </c>
      <c r="BI1452">
        <v>4</v>
      </c>
      <c r="BJ1452">
        <v>1.9</v>
      </c>
      <c r="BK1452">
        <v>4</v>
      </c>
      <c r="BL1452">
        <v>139.91</v>
      </c>
      <c r="BM1452">
        <v>20.99</v>
      </c>
      <c r="BN1452">
        <v>160.9</v>
      </c>
      <c r="BO1452">
        <v>160.9</v>
      </c>
      <c r="BQ1452" t="s">
        <v>106</v>
      </c>
      <c r="BR1452" t="s">
        <v>84</v>
      </c>
      <c r="BS1452" s="3">
        <v>45792</v>
      </c>
      <c r="BT1452" s="4">
        <v>0.41666666666666669</v>
      </c>
      <c r="BU1452" t="s">
        <v>107</v>
      </c>
      <c r="BV1452" t="s">
        <v>86</v>
      </c>
      <c r="BY1452">
        <v>9600</v>
      </c>
      <c r="CA1452" t="s">
        <v>108</v>
      </c>
      <c r="CC1452" t="s">
        <v>104</v>
      </c>
      <c r="CD1452">
        <v>3201</v>
      </c>
      <c r="CE1452" t="s">
        <v>96</v>
      </c>
      <c r="CF1452" s="3">
        <v>45793</v>
      </c>
      <c r="CI1452">
        <v>1</v>
      </c>
      <c r="CJ1452">
        <v>1</v>
      </c>
      <c r="CK1452">
        <v>21</v>
      </c>
      <c r="CL1452" t="s">
        <v>89</v>
      </c>
    </row>
    <row r="1453" spans="1:90" x14ac:dyDescent="0.3">
      <c r="A1453" t="s">
        <v>72</v>
      </c>
      <c r="B1453" t="s">
        <v>73</v>
      </c>
      <c r="C1453" t="s">
        <v>74</v>
      </c>
      <c r="E1453" t="str">
        <f>"080065372962"</f>
        <v>080065372962</v>
      </c>
      <c r="F1453" s="3">
        <v>45791</v>
      </c>
      <c r="G1453">
        <v>202602</v>
      </c>
      <c r="H1453" t="s">
        <v>75</v>
      </c>
      <c r="I1453" t="s">
        <v>76</v>
      </c>
      <c r="J1453" t="s">
        <v>77</v>
      </c>
      <c r="K1453" t="s">
        <v>78</v>
      </c>
      <c r="L1453" t="s">
        <v>871</v>
      </c>
      <c r="M1453" t="s">
        <v>872</v>
      </c>
      <c r="N1453" t="s">
        <v>2086</v>
      </c>
      <c r="O1453" t="s">
        <v>82</v>
      </c>
      <c r="P1453" t="str">
        <f>"4170038467                    "</f>
        <v xml:space="preserve">4170038467                    </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c r="AJ1453">
        <v>0</v>
      </c>
      <c r="AK1453">
        <v>0</v>
      </c>
      <c r="AL1453">
        <v>0</v>
      </c>
      <c r="AM1453">
        <v>0</v>
      </c>
      <c r="AN1453">
        <v>0</v>
      </c>
      <c r="AO1453">
        <v>0</v>
      </c>
      <c r="AP1453">
        <v>0</v>
      </c>
      <c r="AQ1453">
        <v>41.43</v>
      </c>
      <c r="AR1453">
        <v>0</v>
      </c>
      <c r="AS1453">
        <v>0</v>
      </c>
      <c r="AT1453">
        <v>0</v>
      </c>
      <c r="AU1453">
        <v>0</v>
      </c>
      <c r="AV1453">
        <v>0</v>
      </c>
      <c r="AW1453">
        <v>0</v>
      </c>
      <c r="AX1453">
        <v>0</v>
      </c>
      <c r="AY1453">
        <v>0</v>
      </c>
      <c r="AZ1453">
        <v>0</v>
      </c>
      <c r="BA1453">
        <v>0</v>
      </c>
      <c r="BB1453">
        <v>0</v>
      </c>
      <c r="BC1453">
        <v>0</v>
      </c>
      <c r="BD1453">
        <v>0</v>
      </c>
      <c r="BE1453">
        <v>0</v>
      </c>
      <c r="BF1453">
        <v>0</v>
      </c>
      <c r="BG1453">
        <v>0</v>
      </c>
      <c r="BH1453">
        <v>1</v>
      </c>
      <c r="BI1453">
        <v>1</v>
      </c>
      <c r="BJ1453">
        <v>0.2</v>
      </c>
      <c r="BK1453">
        <v>1</v>
      </c>
      <c r="BL1453">
        <v>135.59</v>
      </c>
      <c r="BM1453">
        <v>20.34</v>
      </c>
      <c r="BN1453">
        <v>155.93</v>
      </c>
      <c r="BO1453">
        <v>155.93</v>
      </c>
      <c r="BQ1453" t="s">
        <v>2087</v>
      </c>
      <c r="BR1453" t="s">
        <v>84</v>
      </c>
      <c r="BS1453" s="3">
        <v>45792</v>
      </c>
      <c r="BT1453" s="4">
        <v>0.37986111111111109</v>
      </c>
      <c r="BU1453" t="s">
        <v>2088</v>
      </c>
      <c r="BV1453" t="s">
        <v>86</v>
      </c>
      <c r="BY1453">
        <v>1200</v>
      </c>
      <c r="CA1453" t="s">
        <v>2089</v>
      </c>
      <c r="CC1453" t="s">
        <v>872</v>
      </c>
      <c r="CD1453">
        <v>2302</v>
      </c>
      <c r="CE1453" t="s">
        <v>88</v>
      </c>
      <c r="CF1453" s="3">
        <v>45792</v>
      </c>
      <c r="CI1453">
        <v>1</v>
      </c>
      <c r="CJ1453">
        <v>1</v>
      </c>
      <c r="CK1453">
        <v>23</v>
      </c>
      <c r="CL1453" t="s">
        <v>89</v>
      </c>
    </row>
    <row r="1454" spans="1:90" x14ac:dyDescent="0.3">
      <c r="A1454" t="s">
        <v>72</v>
      </c>
      <c r="B1454" t="s">
        <v>73</v>
      </c>
      <c r="C1454" t="s">
        <v>74</v>
      </c>
      <c r="E1454" t="str">
        <f>"080065372970"</f>
        <v>080065372970</v>
      </c>
      <c r="F1454" s="3">
        <v>45791</v>
      </c>
      <c r="G1454">
        <v>202602</v>
      </c>
      <c r="H1454" t="s">
        <v>75</v>
      </c>
      <c r="I1454" t="s">
        <v>76</v>
      </c>
      <c r="J1454" t="s">
        <v>77</v>
      </c>
      <c r="K1454" t="s">
        <v>78</v>
      </c>
      <c r="L1454" t="s">
        <v>232</v>
      </c>
      <c r="M1454" t="s">
        <v>233</v>
      </c>
      <c r="N1454" t="s">
        <v>834</v>
      </c>
      <c r="O1454" t="s">
        <v>300</v>
      </c>
      <c r="P1454" t="str">
        <f>"4170038501                    "</f>
        <v xml:space="preserve">4170038501                    </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41.35</v>
      </c>
      <c r="AR1454">
        <v>0</v>
      </c>
      <c r="AS1454">
        <v>0</v>
      </c>
      <c r="AT1454">
        <v>0</v>
      </c>
      <c r="AU1454">
        <v>0</v>
      </c>
      <c r="AV1454">
        <v>0</v>
      </c>
      <c r="AW1454">
        <v>0</v>
      </c>
      <c r="AX1454">
        <v>0</v>
      </c>
      <c r="AY1454">
        <v>0</v>
      </c>
      <c r="AZ1454">
        <v>0</v>
      </c>
      <c r="BA1454">
        <v>0</v>
      </c>
      <c r="BB1454">
        <v>0</v>
      </c>
      <c r="BC1454">
        <v>0</v>
      </c>
      <c r="BD1454">
        <v>0</v>
      </c>
      <c r="BE1454">
        <v>0</v>
      </c>
      <c r="BF1454">
        <v>0</v>
      </c>
      <c r="BG1454">
        <v>0</v>
      </c>
      <c r="BH1454">
        <v>1</v>
      </c>
      <c r="BI1454">
        <v>7</v>
      </c>
      <c r="BJ1454">
        <v>3.4</v>
      </c>
      <c r="BK1454">
        <v>7</v>
      </c>
      <c r="BL1454">
        <v>140.9</v>
      </c>
      <c r="BM1454">
        <v>21.14</v>
      </c>
      <c r="BN1454">
        <v>162.04</v>
      </c>
      <c r="BO1454">
        <v>162.04</v>
      </c>
      <c r="BQ1454" t="s">
        <v>835</v>
      </c>
      <c r="BR1454" t="s">
        <v>84</v>
      </c>
      <c r="BS1454" s="3">
        <v>45792</v>
      </c>
      <c r="BT1454" s="4">
        <v>0.37986111111111109</v>
      </c>
      <c r="BU1454" t="s">
        <v>1302</v>
      </c>
      <c r="BV1454" t="s">
        <v>86</v>
      </c>
      <c r="BY1454">
        <v>16965</v>
      </c>
      <c r="CA1454" t="s">
        <v>258</v>
      </c>
      <c r="CC1454" t="s">
        <v>233</v>
      </c>
      <c r="CD1454" s="5" t="s">
        <v>238</v>
      </c>
      <c r="CE1454" t="s">
        <v>96</v>
      </c>
      <c r="CF1454" s="3">
        <v>45792</v>
      </c>
      <c r="CI1454">
        <v>1</v>
      </c>
      <c r="CJ1454">
        <v>1</v>
      </c>
      <c r="CK1454">
        <v>41</v>
      </c>
      <c r="CL1454" t="s">
        <v>89</v>
      </c>
    </row>
    <row r="1455" spans="1:90" x14ac:dyDescent="0.3">
      <c r="A1455" t="s">
        <v>72</v>
      </c>
      <c r="B1455" t="s">
        <v>73</v>
      </c>
      <c r="C1455" t="s">
        <v>74</v>
      </c>
      <c r="E1455" t="str">
        <f>"080065372981"</f>
        <v>080065372981</v>
      </c>
      <c r="F1455" s="3">
        <v>45791</v>
      </c>
      <c r="G1455">
        <v>202602</v>
      </c>
      <c r="H1455" t="s">
        <v>75</v>
      </c>
      <c r="I1455" t="s">
        <v>76</v>
      </c>
      <c r="J1455" t="s">
        <v>77</v>
      </c>
      <c r="K1455" t="s">
        <v>78</v>
      </c>
      <c r="L1455" t="s">
        <v>75</v>
      </c>
      <c r="M1455" t="s">
        <v>76</v>
      </c>
      <c r="N1455" t="s">
        <v>390</v>
      </c>
      <c r="O1455" t="s">
        <v>82</v>
      </c>
      <c r="P1455" t="str">
        <f>"4170038452                    "</f>
        <v xml:space="preserve">4170038452                    </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0</v>
      </c>
      <c r="AJ1455">
        <v>0</v>
      </c>
      <c r="AK1455">
        <v>0</v>
      </c>
      <c r="AL1455">
        <v>0</v>
      </c>
      <c r="AM1455">
        <v>0</v>
      </c>
      <c r="AN1455">
        <v>0</v>
      </c>
      <c r="AO1455">
        <v>0</v>
      </c>
      <c r="AP1455">
        <v>0</v>
      </c>
      <c r="AQ1455">
        <v>16.7</v>
      </c>
      <c r="AR1455">
        <v>0</v>
      </c>
      <c r="AS1455">
        <v>0</v>
      </c>
      <c r="AT1455">
        <v>0</v>
      </c>
      <c r="AU1455">
        <v>0</v>
      </c>
      <c r="AV1455">
        <v>0</v>
      </c>
      <c r="AW1455">
        <v>0</v>
      </c>
      <c r="AX1455">
        <v>0</v>
      </c>
      <c r="AY1455">
        <v>0</v>
      </c>
      <c r="AZ1455">
        <v>0</v>
      </c>
      <c r="BA1455">
        <v>0</v>
      </c>
      <c r="BB1455">
        <v>0</v>
      </c>
      <c r="BC1455">
        <v>0</v>
      </c>
      <c r="BD1455">
        <v>0</v>
      </c>
      <c r="BE1455">
        <v>0</v>
      </c>
      <c r="BF1455">
        <v>0</v>
      </c>
      <c r="BG1455">
        <v>0</v>
      </c>
      <c r="BH1455">
        <v>1</v>
      </c>
      <c r="BI1455">
        <v>1</v>
      </c>
      <c r="BJ1455">
        <v>0.2</v>
      </c>
      <c r="BK1455">
        <v>1</v>
      </c>
      <c r="BL1455">
        <v>54.66</v>
      </c>
      <c r="BM1455">
        <v>8.1999999999999993</v>
      </c>
      <c r="BN1455">
        <v>62.86</v>
      </c>
      <c r="BO1455">
        <v>62.86</v>
      </c>
      <c r="BQ1455" t="s">
        <v>391</v>
      </c>
      <c r="BR1455" t="s">
        <v>84</v>
      </c>
      <c r="BS1455" s="3">
        <v>45792</v>
      </c>
      <c r="BT1455" s="4">
        <v>0.33819444444444446</v>
      </c>
      <c r="BU1455" t="s">
        <v>2078</v>
      </c>
      <c r="BV1455" t="s">
        <v>86</v>
      </c>
      <c r="BY1455">
        <v>1200</v>
      </c>
      <c r="CA1455" t="s">
        <v>115</v>
      </c>
      <c r="CC1455" t="s">
        <v>76</v>
      </c>
      <c r="CD1455">
        <v>1600</v>
      </c>
      <c r="CE1455" t="s">
        <v>88</v>
      </c>
      <c r="CF1455" s="3">
        <v>45793</v>
      </c>
      <c r="CI1455">
        <v>1</v>
      </c>
      <c r="CJ1455">
        <v>1</v>
      </c>
      <c r="CK1455">
        <v>22</v>
      </c>
      <c r="CL1455" t="s">
        <v>89</v>
      </c>
    </row>
    <row r="1456" spans="1:90" x14ac:dyDescent="0.3">
      <c r="A1456" t="s">
        <v>72</v>
      </c>
      <c r="B1456" t="s">
        <v>73</v>
      </c>
      <c r="C1456" t="s">
        <v>74</v>
      </c>
      <c r="E1456" t="str">
        <f>"080065372997"</f>
        <v>080065372997</v>
      </c>
      <c r="F1456" s="3">
        <v>45791</v>
      </c>
      <c r="G1456">
        <v>202602</v>
      </c>
      <c r="H1456" t="s">
        <v>75</v>
      </c>
      <c r="I1456" t="s">
        <v>76</v>
      </c>
      <c r="J1456" t="s">
        <v>77</v>
      </c>
      <c r="K1456" t="s">
        <v>78</v>
      </c>
      <c r="L1456" t="s">
        <v>143</v>
      </c>
      <c r="M1456" t="s">
        <v>144</v>
      </c>
      <c r="N1456" t="s">
        <v>1312</v>
      </c>
      <c r="O1456" t="s">
        <v>82</v>
      </c>
      <c r="P1456" t="str">
        <f>"4170038500                    "</f>
        <v xml:space="preserve">4170038500                    </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0</v>
      </c>
      <c r="AL1456">
        <v>0</v>
      </c>
      <c r="AM1456">
        <v>0</v>
      </c>
      <c r="AN1456">
        <v>0</v>
      </c>
      <c r="AO1456">
        <v>0</v>
      </c>
      <c r="AP1456">
        <v>0</v>
      </c>
      <c r="AQ1456">
        <v>16.7</v>
      </c>
      <c r="AR1456">
        <v>0</v>
      </c>
      <c r="AS1456">
        <v>0</v>
      </c>
      <c r="AT1456">
        <v>0</v>
      </c>
      <c r="AU1456">
        <v>0</v>
      </c>
      <c r="AV1456">
        <v>0</v>
      </c>
      <c r="AW1456">
        <v>0</v>
      </c>
      <c r="AX1456">
        <v>0</v>
      </c>
      <c r="AY1456">
        <v>0</v>
      </c>
      <c r="AZ1456">
        <v>0</v>
      </c>
      <c r="BA1456">
        <v>0</v>
      </c>
      <c r="BB1456">
        <v>0</v>
      </c>
      <c r="BC1456">
        <v>0</v>
      </c>
      <c r="BD1456">
        <v>0</v>
      </c>
      <c r="BE1456">
        <v>0</v>
      </c>
      <c r="BF1456">
        <v>0</v>
      </c>
      <c r="BG1456">
        <v>0</v>
      </c>
      <c r="BH1456">
        <v>1</v>
      </c>
      <c r="BI1456">
        <v>2</v>
      </c>
      <c r="BJ1456">
        <v>1.3</v>
      </c>
      <c r="BK1456">
        <v>2</v>
      </c>
      <c r="BL1456">
        <v>54.66</v>
      </c>
      <c r="BM1456">
        <v>8.1999999999999993</v>
      </c>
      <c r="BN1456">
        <v>62.86</v>
      </c>
      <c r="BO1456">
        <v>62.86</v>
      </c>
      <c r="BQ1456" t="s">
        <v>1313</v>
      </c>
      <c r="BR1456" t="s">
        <v>84</v>
      </c>
      <c r="BS1456" s="3">
        <v>45792</v>
      </c>
      <c r="BT1456" s="4">
        <v>0.36805555555555558</v>
      </c>
      <c r="BU1456" t="s">
        <v>2081</v>
      </c>
      <c r="BV1456" t="s">
        <v>86</v>
      </c>
      <c r="BY1456">
        <v>6624</v>
      </c>
      <c r="CA1456" t="s">
        <v>150</v>
      </c>
      <c r="CC1456" t="s">
        <v>144</v>
      </c>
      <c r="CD1456">
        <v>1429</v>
      </c>
      <c r="CE1456" t="s">
        <v>221</v>
      </c>
      <c r="CF1456" s="3">
        <v>45792</v>
      </c>
      <c r="CI1456">
        <v>1</v>
      </c>
      <c r="CJ1456">
        <v>1</v>
      </c>
      <c r="CK1456">
        <v>22</v>
      </c>
      <c r="CL1456" t="s">
        <v>89</v>
      </c>
    </row>
    <row r="1457" spans="1:90" x14ac:dyDescent="0.3">
      <c r="A1457" t="s">
        <v>72</v>
      </c>
      <c r="B1457" t="s">
        <v>73</v>
      </c>
      <c r="C1457" t="s">
        <v>74</v>
      </c>
      <c r="E1457" t="str">
        <f>"080065373000"</f>
        <v>080065373000</v>
      </c>
      <c r="F1457" s="3">
        <v>45791</v>
      </c>
      <c r="G1457">
        <v>202602</v>
      </c>
      <c r="H1457" t="s">
        <v>75</v>
      </c>
      <c r="I1457" t="s">
        <v>76</v>
      </c>
      <c r="J1457" t="s">
        <v>77</v>
      </c>
      <c r="K1457" t="s">
        <v>78</v>
      </c>
      <c r="L1457" t="s">
        <v>350</v>
      </c>
      <c r="M1457" t="s">
        <v>351</v>
      </c>
      <c r="N1457" t="s">
        <v>2090</v>
      </c>
      <c r="O1457" t="s">
        <v>82</v>
      </c>
      <c r="P1457" t="str">
        <f>"4170038477                    "</f>
        <v xml:space="preserve">4170038477                    </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0</v>
      </c>
      <c r="AL1457">
        <v>0</v>
      </c>
      <c r="AM1457">
        <v>0</v>
      </c>
      <c r="AN1457">
        <v>0</v>
      </c>
      <c r="AO1457">
        <v>0</v>
      </c>
      <c r="AP1457">
        <v>0</v>
      </c>
      <c r="AQ1457">
        <v>21.38</v>
      </c>
      <c r="AR1457">
        <v>0</v>
      </c>
      <c r="AS1457">
        <v>0</v>
      </c>
      <c r="AT1457">
        <v>0</v>
      </c>
      <c r="AU1457">
        <v>0</v>
      </c>
      <c r="AV1457">
        <v>0</v>
      </c>
      <c r="AW1457">
        <v>0</v>
      </c>
      <c r="AX1457">
        <v>0</v>
      </c>
      <c r="AY1457">
        <v>0</v>
      </c>
      <c r="AZ1457">
        <v>0</v>
      </c>
      <c r="BA1457">
        <v>0</v>
      </c>
      <c r="BB1457">
        <v>0</v>
      </c>
      <c r="BC1457">
        <v>0</v>
      </c>
      <c r="BD1457">
        <v>0</v>
      </c>
      <c r="BE1457">
        <v>0</v>
      </c>
      <c r="BF1457">
        <v>0</v>
      </c>
      <c r="BG1457">
        <v>0</v>
      </c>
      <c r="BH1457">
        <v>1</v>
      </c>
      <c r="BI1457">
        <v>1</v>
      </c>
      <c r="BJ1457">
        <v>0.2</v>
      </c>
      <c r="BK1457">
        <v>1</v>
      </c>
      <c r="BL1457">
        <v>69.98</v>
      </c>
      <c r="BM1457">
        <v>10.5</v>
      </c>
      <c r="BN1457">
        <v>80.48</v>
      </c>
      <c r="BO1457">
        <v>80.48</v>
      </c>
      <c r="BQ1457" t="s">
        <v>2091</v>
      </c>
      <c r="BR1457" t="s">
        <v>84</v>
      </c>
      <c r="BS1457" s="3">
        <v>45792</v>
      </c>
      <c r="BT1457" s="4">
        <v>0.41666666666666669</v>
      </c>
      <c r="BU1457" t="s">
        <v>2092</v>
      </c>
      <c r="BV1457" t="s">
        <v>86</v>
      </c>
      <c r="BY1457">
        <v>1200</v>
      </c>
      <c r="CA1457" t="s">
        <v>2093</v>
      </c>
      <c r="CC1457" t="s">
        <v>351</v>
      </c>
      <c r="CD1457">
        <v>4000</v>
      </c>
      <c r="CE1457" t="s">
        <v>88</v>
      </c>
      <c r="CF1457" s="3">
        <v>45793</v>
      </c>
      <c r="CI1457">
        <v>1</v>
      </c>
      <c r="CJ1457">
        <v>1</v>
      </c>
      <c r="CK1457">
        <v>21</v>
      </c>
      <c r="CL1457" t="s">
        <v>89</v>
      </c>
    </row>
    <row r="1458" spans="1:90" x14ac:dyDescent="0.3">
      <c r="A1458" t="s">
        <v>72</v>
      </c>
      <c r="B1458" t="s">
        <v>73</v>
      </c>
      <c r="C1458" t="s">
        <v>74</v>
      </c>
      <c r="E1458" t="str">
        <f>"080065373016"</f>
        <v>080065373016</v>
      </c>
      <c r="F1458" s="3">
        <v>45791</v>
      </c>
      <c r="G1458">
        <v>202602</v>
      </c>
      <c r="H1458" t="s">
        <v>75</v>
      </c>
      <c r="I1458" t="s">
        <v>76</v>
      </c>
      <c r="J1458" t="s">
        <v>77</v>
      </c>
      <c r="K1458" t="s">
        <v>78</v>
      </c>
      <c r="L1458" t="s">
        <v>350</v>
      </c>
      <c r="M1458" t="s">
        <v>351</v>
      </c>
      <c r="N1458" t="s">
        <v>352</v>
      </c>
      <c r="O1458" t="s">
        <v>82</v>
      </c>
      <c r="P1458" t="str">
        <f>"4170038537                    "</f>
        <v xml:space="preserve">4170038537                    </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0</v>
      </c>
      <c r="AL1458">
        <v>0</v>
      </c>
      <c r="AM1458">
        <v>0</v>
      </c>
      <c r="AN1458">
        <v>0</v>
      </c>
      <c r="AO1458">
        <v>0</v>
      </c>
      <c r="AP1458">
        <v>0</v>
      </c>
      <c r="AQ1458">
        <v>21.38</v>
      </c>
      <c r="AR1458">
        <v>0</v>
      </c>
      <c r="AS1458">
        <v>0</v>
      </c>
      <c r="AT1458">
        <v>0</v>
      </c>
      <c r="AU1458">
        <v>0</v>
      </c>
      <c r="AV1458">
        <v>0</v>
      </c>
      <c r="AW1458">
        <v>0</v>
      </c>
      <c r="AX1458">
        <v>0</v>
      </c>
      <c r="AY1458">
        <v>0</v>
      </c>
      <c r="AZ1458">
        <v>0</v>
      </c>
      <c r="BA1458">
        <v>0</v>
      </c>
      <c r="BB1458">
        <v>0</v>
      </c>
      <c r="BC1458">
        <v>0</v>
      </c>
      <c r="BD1458">
        <v>0</v>
      </c>
      <c r="BE1458">
        <v>0</v>
      </c>
      <c r="BF1458">
        <v>0</v>
      </c>
      <c r="BG1458">
        <v>0</v>
      </c>
      <c r="BH1458">
        <v>1</v>
      </c>
      <c r="BI1458">
        <v>1</v>
      </c>
      <c r="BJ1458">
        <v>0.2</v>
      </c>
      <c r="BK1458">
        <v>1</v>
      </c>
      <c r="BL1458">
        <v>69.98</v>
      </c>
      <c r="BM1458">
        <v>10.5</v>
      </c>
      <c r="BN1458">
        <v>80.48</v>
      </c>
      <c r="BO1458">
        <v>80.48</v>
      </c>
      <c r="BQ1458" t="s">
        <v>353</v>
      </c>
      <c r="BR1458" t="s">
        <v>84</v>
      </c>
      <c r="BS1458" s="3">
        <v>45792</v>
      </c>
      <c r="BT1458" s="4">
        <v>0.40972222222222221</v>
      </c>
      <c r="BU1458" t="s">
        <v>2094</v>
      </c>
      <c r="BV1458" t="s">
        <v>86</v>
      </c>
      <c r="BY1458">
        <v>1200</v>
      </c>
      <c r="CA1458" t="s">
        <v>160</v>
      </c>
      <c r="CC1458" t="s">
        <v>351</v>
      </c>
      <c r="CD1458">
        <v>4000</v>
      </c>
      <c r="CE1458" t="s">
        <v>88</v>
      </c>
      <c r="CF1458" s="3">
        <v>45793</v>
      </c>
      <c r="CI1458">
        <v>1</v>
      </c>
      <c r="CJ1458">
        <v>1</v>
      </c>
      <c r="CK1458">
        <v>21</v>
      </c>
      <c r="CL1458" t="s">
        <v>89</v>
      </c>
    </row>
    <row r="1459" spans="1:90" x14ac:dyDescent="0.3">
      <c r="A1459" t="s">
        <v>72</v>
      </c>
      <c r="B1459" t="s">
        <v>73</v>
      </c>
      <c r="C1459" t="s">
        <v>74</v>
      </c>
      <c r="E1459" t="str">
        <f>"080065373700"</f>
        <v>080065373700</v>
      </c>
      <c r="F1459" s="3">
        <v>45791</v>
      </c>
      <c r="G1459">
        <v>202602</v>
      </c>
      <c r="H1459" t="s">
        <v>75</v>
      </c>
      <c r="I1459" t="s">
        <v>76</v>
      </c>
      <c r="J1459" t="s">
        <v>77</v>
      </c>
      <c r="K1459" t="s">
        <v>78</v>
      </c>
      <c r="L1459" t="s">
        <v>90</v>
      </c>
      <c r="M1459" t="s">
        <v>91</v>
      </c>
      <c r="N1459" t="s">
        <v>543</v>
      </c>
      <c r="O1459" t="s">
        <v>82</v>
      </c>
      <c r="P1459" t="str">
        <f>"4170038447                    "</f>
        <v xml:space="preserve">4170038447                    </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v>0</v>
      </c>
      <c r="AM1459">
        <v>0</v>
      </c>
      <c r="AN1459">
        <v>0</v>
      </c>
      <c r="AO1459">
        <v>0</v>
      </c>
      <c r="AP1459">
        <v>0</v>
      </c>
      <c r="AQ1459">
        <v>21.38</v>
      </c>
      <c r="AR1459">
        <v>0</v>
      </c>
      <c r="AS1459">
        <v>0</v>
      </c>
      <c r="AT1459">
        <v>0</v>
      </c>
      <c r="AU1459">
        <v>0</v>
      </c>
      <c r="AV1459">
        <v>0</v>
      </c>
      <c r="AW1459">
        <v>0</v>
      </c>
      <c r="AX1459">
        <v>0</v>
      </c>
      <c r="AY1459">
        <v>0</v>
      </c>
      <c r="AZ1459">
        <v>0</v>
      </c>
      <c r="BA1459">
        <v>0</v>
      </c>
      <c r="BB1459">
        <v>0</v>
      </c>
      <c r="BC1459">
        <v>0</v>
      </c>
      <c r="BD1459">
        <v>0</v>
      </c>
      <c r="BE1459">
        <v>0</v>
      </c>
      <c r="BF1459">
        <v>0</v>
      </c>
      <c r="BG1459">
        <v>0</v>
      </c>
      <c r="BH1459">
        <v>1</v>
      </c>
      <c r="BI1459">
        <v>1</v>
      </c>
      <c r="BJ1459">
        <v>0.2</v>
      </c>
      <c r="BK1459">
        <v>1</v>
      </c>
      <c r="BL1459">
        <v>69.98</v>
      </c>
      <c r="BM1459">
        <v>10.5</v>
      </c>
      <c r="BN1459">
        <v>80.48</v>
      </c>
      <c r="BO1459">
        <v>80.48</v>
      </c>
      <c r="BQ1459" t="s">
        <v>544</v>
      </c>
      <c r="BR1459" t="s">
        <v>84</v>
      </c>
      <c r="BS1459" s="3">
        <v>45792</v>
      </c>
      <c r="BT1459" s="4">
        <v>0.37083333333333335</v>
      </c>
      <c r="BU1459" t="s">
        <v>2095</v>
      </c>
      <c r="BV1459" t="s">
        <v>86</v>
      </c>
      <c r="BY1459">
        <v>1200</v>
      </c>
      <c r="CA1459" t="s">
        <v>283</v>
      </c>
      <c r="CC1459" t="s">
        <v>91</v>
      </c>
      <c r="CD1459">
        <v>6001</v>
      </c>
      <c r="CE1459" t="s">
        <v>88</v>
      </c>
      <c r="CF1459" s="3">
        <v>45792</v>
      </c>
      <c r="CI1459">
        <v>1</v>
      </c>
      <c r="CJ1459">
        <v>1</v>
      </c>
      <c r="CK1459">
        <v>21</v>
      </c>
      <c r="CL1459" t="s">
        <v>89</v>
      </c>
    </row>
    <row r="1460" spans="1:90" x14ac:dyDescent="0.3">
      <c r="A1460" t="s">
        <v>72</v>
      </c>
      <c r="B1460" t="s">
        <v>73</v>
      </c>
      <c r="C1460" t="s">
        <v>74</v>
      </c>
      <c r="E1460" t="str">
        <f>"080011514983"</f>
        <v>080011514983</v>
      </c>
      <c r="F1460" s="3">
        <v>45791</v>
      </c>
      <c r="G1460">
        <v>202602</v>
      </c>
      <c r="H1460" t="s">
        <v>409</v>
      </c>
      <c r="I1460" t="s">
        <v>410</v>
      </c>
      <c r="J1460" t="s">
        <v>2096</v>
      </c>
      <c r="K1460" t="s">
        <v>78</v>
      </c>
      <c r="L1460" t="s">
        <v>75</v>
      </c>
      <c r="M1460" t="s">
        <v>76</v>
      </c>
      <c r="N1460" t="s">
        <v>1035</v>
      </c>
      <c r="O1460" t="s">
        <v>82</v>
      </c>
      <c r="P1460" t="str">
        <f>"RTS OF 4170037242             "</f>
        <v xml:space="preserve">RTS OF 4170037242             </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50.78</v>
      </c>
      <c r="AR1460">
        <v>0</v>
      </c>
      <c r="AS1460">
        <v>0</v>
      </c>
      <c r="AT1460">
        <v>0</v>
      </c>
      <c r="AU1460">
        <v>0</v>
      </c>
      <c r="AV1460">
        <v>0</v>
      </c>
      <c r="AW1460">
        <v>0</v>
      </c>
      <c r="AX1460">
        <v>0</v>
      </c>
      <c r="AY1460">
        <v>0</v>
      </c>
      <c r="AZ1460">
        <v>0</v>
      </c>
      <c r="BA1460">
        <v>0</v>
      </c>
      <c r="BB1460">
        <v>0</v>
      </c>
      <c r="BC1460">
        <v>0</v>
      </c>
      <c r="BD1460">
        <v>0</v>
      </c>
      <c r="BE1460">
        <v>0</v>
      </c>
      <c r="BF1460">
        <v>0</v>
      </c>
      <c r="BG1460">
        <v>0</v>
      </c>
      <c r="BH1460">
        <v>1</v>
      </c>
      <c r="BI1460">
        <v>0.6</v>
      </c>
      <c r="BJ1460">
        <v>2.1</v>
      </c>
      <c r="BK1460">
        <v>2.5</v>
      </c>
      <c r="BL1460">
        <v>166.2</v>
      </c>
      <c r="BM1460">
        <v>24.93</v>
      </c>
      <c r="BN1460">
        <v>191.13</v>
      </c>
      <c r="BO1460">
        <v>191.13</v>
      </c>
      <c r="BP1460" t="s">
        <v>1540</v>
      </c>
      <c r="BQ1460" t="s">
        <v>2097</v>
      </c>
      <c r="BR1460" t="s">
        <v>2098</v>
      </c>
      <c r="BS1460" s="3">
        <v>45792</v>
      </c>
      <c r="BT1460" s="4">
        <v>0.40763888888888888</v>
      </c>
      <c r="BU1460" t="s">
        <v>1039</v>
      </c>
      <c r="BV1460" t="s">
        <v>86</v>
      </c>
      <c r="BY1460">
        <v>10600.25</v>
      </c>
      <c r="BZ1460" t="s">
        <v>127</v>
      </c>
      <c r="CA1460" t="s">
        <v>484</v>
      </c>
      <c r="CC1460" t="s">
        <v>76</v>
      </c>
      <c r="CD1460">
        <v>1619</v>
      </c>
      <c r="CE1460" t="s">
        <v>129</v>
      </c>
      <c r="CF1460" s="3">
        <v>45792</v>
      </c>
      <c r="CI1460">
        <v>1</v>
      </c>
      <c r="CJ1460">
        <v>1</v>
      </c>
      <c r="CK1460">
        <v>23</v>
      </c>
      <c r="CL1460" t="s">
        <v>89</v>
      </c>
    </row>
    <row r="1461" spans="1:90" x14ac:dyDescent="0.3">
      <c r="A1461" t="s">
        <v>72</v>
      </c>
      <c r="B1461" t="s">
        <v>73</v>
      </c>
      <c r="C1461" t="s">
        <v>74</v>
      </c>
      <c r="E1461" t="str">
        <f>"080011515068"</f>
        <v>080011515068</v>
      </c>
      <c r="F1461" s="3">
        <v>45791</v>
      </c>
      <c r="G1461">
        <v>202602</v>
      </c>
      <c r="H1461" t="s">
        <v>177</v>
      </c>
      <c r="I1461" t="s">
        <v>178</v>
      </c>
      <c r="J1461" t="s">
        <v>2099</v>
      </c>
      <c r="K1461" t="s">
        <v>78</v>
      </c>
      <c r="L1461" t="s">
        <v>75</v>
      </c>
      <c r="M1461" t="s">
        <v>76</v>
      </c>
      <c r="N1461" t="s">
        <v>1035</v>
      </c>
      <c r="O1461" t="s">
        <v>82</v>
      </c>
      <c r="P1461" t="str">
        <f>"ZA1001381470                  "</f>
        <v xml:space="preserve">ZA1001381470                  </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0</v>
      </c>
      <c r="AL1461">
        <v>0</v>
      </c>
      <c r="AM1461">
        <v>0</v>
      </c>
      <c r="AN1461">
        <v>0</v>
      </c>
      <c r="AO1461">
        <v>0</v>
      </c>
      <c r="AP1461">
        <v>0</v>
      </c>
      <c r="AQ1461">
        <v>53.43</v>
      </c>
      <c r="AR1461">
        <v>0</v>
      </c>
      <c r="AS1461">
        <v>0</v>
      </c>
      <c r="AT1461">
        <v>0</v>
      </c>
      <c r="AU1461">
        <v>0</v>
      </c>
      <c r="AV1461">
        <v>0</v>
      </c>
      <c r="AW1461">
        <v>0</v>
      </c>
      <c r="AX1461">
        <v>0</v>
      </c>
      <c r="AY1461">
        <v>0</v>
      </c>
      <c r="AZ1461">
        <v>0</v>
      </c>
      <c r="BA1461">
        <v>0</v>
      </c>
      <c r="BB1461">
        <v>0</v>
      </c>
      <c r="BC1461">
        <v>0</v>
      </c>
      <c r="BD1461">
        <v>0</v>
      </c>
      <c r="BE1461">
        <v>0</v>
      </c>
      <c r="BF1461">
        <v>0</v>
      </c>
      <c r="BG1461">
        <v>0</v>
      </c>
      <c r="BH1461">
        <v>1</v>
      </c>
      <c r="BI1461">
        <v>3</v>
      </c>
      <c r="BJ1461">
        <v>4.8</v>
      </c>
      <c r="BK1461">
        <v>5</v>
      </c>
      <c r="BL1461">
        <v>174.87</v>
      </c>
      <c r="BM1461">
        <v>26.23</v>
      </c>
      <c r="BN1461">
        <v>201.1</v>
      </c>
      <c r="BO1461">
        <v>201.1</v>
      </c>
      <c r="BP1461" t="s">
        <v>2100</v>
      </c>
      <c r="BQ1461" t="s">
        <v>1037</v>
      </c>
      <c r="BR1461" t="s">
        <v>2101</v>
      </c>
      <c r="BS1461" s="3">
        <v>45792</v>
      </c>
      <c r="BT1461" s="4">
        <v>0.40763888888888888</v>
      </c>
      <c r="BU1461" t="s">
        <v>1039</v>
      </c>
      <c r="BV1461" t="s">
        <v>86</v>
      </c>
      <c r="BY1461">
        <v>24000</v>
      </c>
      <c r="BZ1461" t="s">
        <v>127</v>
      </c>
      <c r="CA1461" t="s">
        <v>484</v>
      </c>
      <c r="CC1461" t="s">
        <v>76</v>
      </c>
      <c r="CD1461">
        <v>1619</v>
      </c>
      <c r="CE1461" t="s">
        <v>1904</v>
      </c>
      <c r="CF1461" s="3">
        <v>45792</v>
      </c>
      <c r="CI1461">
        <v>1</v>
      </c>
      <c r="CJ1461">
        <v>1</v>
      </c>
      <c r="CK1461">
        <v>21</v>
      </c>
      <c r="CL1461" t="s">
        <v>89</v>
      </c>
    </row>
    <row r="1462" spans="1:90" x14ac:dyDescent="0.3">
      <c r="A1462" t="s">
        <v>72</v>
      </c>
      <c r="B1462" t="s">
        <v>73</v>
      </c>
      <c r="C1462" t="s">
        <v>74</v>
      </c>
      <c r="E1462" t="str">
        <f>"080065373106"</f>
        <v>080065373106</v>
      </c>
      <c r="F1462" s="3">
        <v>45791</v>
      </c>
      <c r="G1462">
        <v>202602</v>
      </c>
      <c r="H1462" t="s">
        <v>75</v>
      </c>
      <c r="I1462" t="s">
        <v>76</v>
      </c>
      <c r="J1462" t="s">
        <v>77</v>
      </c>
      <c r="K1462" t="s">
        <v>78</v>
      </c>
      <c r="L1462" t="s">
        <v>130</v>
      </c>
      <c r="M1462" t="s">
        <v>131</v>
      </c>
      <c r="N1462" t="s">
        <v>1066</v>
      </c>
      <c r="O1462" t="s">
        <v>82</v>
      </c>
      <c r="P1462" t="str">
        <f>"4170038424                    "</f>
        <v xml:space="preserve">4170038424                    </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0</v>
      </c>
      <c r="AL1462">
        <v>0</v>
      </c>
      <c r="AM1462">
        <v>0</v>
      </c>
      <c r="AN1462">
        <v>0</v>
      </c>
      <c r="AO1462">
        <v>0</v>
      </c>
      <c r="AP1462">
        <v>0</v>
      </c>
      <c r="AQ1462">
        <v>21.38</v>
      </c>
      <c r="AR1462">
        <v>0</v>
      </c>
      <c r="AS1462">
        <v>0</v>
      </c>
      <c r="AT1462">
        <v>0</v>
      </c>
      <c r="AU1462">
        <v>0</v>
      </c>
      <c r="AV1462">
        <v>0</v>
      </c>
      <c r="AW1462">
        <v>0</v>
      </c>
      <c r="AX1462">
        <v>0</v>
      </c>
      <c r="AY1462">
        <v>0</v>
      </c>
      <c r="AZ1462">
        <v>0</v>
      </c>
      <c r="BA1462">
        <v>0</v>
      </c>
      <c r="BB1462">
        <v>0</v>
      </c>
      <c r="BC1462">
        <v>0</v>
      </c>
      <c r="BD1462">
        <v>0</v>
      </c>
      <c r="BE1462">
        <v>0</v>
      </c>
      <c r="BF1462">
        <v>0</v>
      </c>
      <c r="BG1462">
        <v>0</v>
      </c>
      <c r="BH1462">
        <v>1</v>
      </c>
      <c r="BI1462">
        <v>1</v>
      </c>
      <c r="BJ1462">
        <v>0.2</v>
      </c>
      <c r="BK1462">
        <v>1</v>
      </c>
      <c r="BL1462">
        <v>69.98</v>
      </c>
      <c r="BM1462">
        <v>10.5</v>
      </c>
      <c r="BN1462">
        <v>80.48</v>
      </c>
      <c r="BO1462">
        <v>80.48</v>
      </c>
      <c r="BQ1462" t="s">
        <v>1067</v>
      </c>
      <c r="BR1462" t="s">
        <v>84</v>
      </c>
      <c r="BS1462" s="3">
        <v>45792</v>
      </c>
      <c r="BT1462" s="4">
        <v>0.40972222222222221</v>
      </c>
      <c r="BU1462" t="s">
        <v>2102</v>
      </c>
      <c r="BV1462" t="s">
        <v>86</v>
      </c>
      <c r="BY1462">
        <v>1200</v>
      </c>
      <c r="CA1462" t="s">
        <v>712</v>
      </c>
      <c r="CC1462" t="s">
        <v>131</v>
      </c>
      <c r="CD1462">
        <v>7561</v>
      </c>
      <c r="CE1462" t="s">
        <v>88</v>
      </c>
      <c r="CF1462" s="3">
        <v>45793</v>
      </c>
      <c r="CI1462">
        <v>1</v>
      </c>
      <c r="CJ1462">
        <v>1</v>
      </c>
      <c r="CK1462">
        <v>21</v>
      </c>
      <c r="CL1462" t="s">
        <v>89</v>
      </c>
    </row>
    <row r="1463" spans="1:90" x14ac:dyDescent="0.3">
      <c r="A1463" t="s">
        <v>72</v>
      </c>
      <c r="B1463" t="s">
        <v>73</v>
      </c>
      <c r="C1463" t="s">
        <v>74</v>
      </c>
      <c r="E1463" t="str">
        <f>"080065373158"</f>
        <v>080065373158</v>
      </c>
      <c r="F1463" s="3">
        <v>45791</v>
      </c>
      <c r="G1463">
        <v>202602</v>
      </c>
      <c r="H1463" t="s">
        <v>75</v>
      </c>
      <c r="I1463" t="s">
        <v>76</v>
      </c>
      <c r="J1463" t="s">
        <v>77</v>
      </c>
      <c r="K1463" t="s">
        <v>78</v>
      </c>
      <c r="L1463" t="s">
        <v>130</v>
      </c>
      <c r="M1463" t="s">
        <v>131</v>
      </c>
      <c r="N1463" t="s">
        <v>1066</v>
      </c>
      <c r="O1463" t="s">
        <v>82</v>
      </c>
      <c r="P1463" t="str">
        <f>"4170038423                    "</f>
        <v xml:space="preserve">4170038423                    </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0</v>
      </c>
      <c r="AK1463">
        <v>0</v>
      </c>
      <c r="AL1463">
        <v>0</v>
      </c>
      <c r="AM1463">
        <v>0</v>
      </c>
      <c r="AN1463">
        <v>0</v>
      </c>
      <c r="AO1463">
        <v>0</v>
      </c>
      <c r="AP1463">
        <v>0</v>
      </c>
      <c r="AQ1463">
        <v>21.38</v>
      </c>
      <c r="AR1463">
        <v>0</v>
      </c>
      <c r="AS1463">
        <v>0</v>
      </c>
      <c r="AT1463">
        <v>0</v>
      </c>
      <c r="AU1463">
        <v>0</v>
      </c>
      <c r="AV1463">
        <v>0</v>
      </c>
      <c r="AW1463">
        <v>0</v>
      </c>
      <c r="AX1463">
        <v>0</v>
      </c>
      <c r="AY1463">
        <v>0</v>
      </c>
      <c r="AZ1463">
        <v>0</v>
      </c>
      <c r="BA1463">
        <v>0</v>
      </c>
      <c r="BB1463">
        <v>0</v>
      </c>
      <c r="BC1463">
        <v>0</v>
      </c>
      <c r="BD1463">
        <v>0</v>
      </c>
      <c r="BE1463">
        <v>0</v>
      </c>
      <c r="BF1463">
        <v>0</v>
      </c>
      <c r="BG1463">
        <v>0</v>
      </c>
      <c r="BH1463">
        <v>1</v>
      </c>
      <c r="BI1463">
        <v>1</v>
      </c>
      <c r="BJ1463">
        <v>0.2</v>
      </c>
      <c r="BK1463">
        <v>1</v>
      </c>
      <c r="BL1463">
        <v>69.98</v>
      </c>
      <c r="BM1463">
        <v>10.5</v>
      </c>
      <c r="BN1463">
        <v>80.48</v>
      </c>
      <c r="BO1463">
        <v>80.48</v>
      </c>
      <c r="BQ1463" t="s">
        <v>1067</v>
      </c>
      <c r="BR1463" t="s">
        <v>84</v>
      </c>
      <c r="BS1463" s="3">
        <v>45792</v>
      </c>
      <c r="BT1463" s="4">
        <v>0.40972222222222221</v>
      </c>
      <c r="BU1463" t="s">
        <v>2102</v>
      </c>
      <c r="BV1463" t="s">
        <v>86</v>
      </c>
      <c r="BY1463">
        <v>1200</v>
      </c>
      <c r="CA1463" t="s">
        <v>712</v>
      </c>
      <c r="CC1463" t="s">
        <v>131</v>
      </c>
      <c r="CD1463">
        <v>7561</v>
      </c>
      <c r="CE1463" t="s">
        <v>88</v>
      </c>
      <c r="CF1463" s="3">
        <v>45793</v>
      </c>
      <c r="CI1463">
        <v>1</v>
      </c>
      <c r="CJ1463">
        <v>1</v>
      </c>
      <c r="CK1463">
        <v>21</v>
      </c>
      <c r="CL1463" t="s">
        <v>89</v>
      </c>
    </row>
    <row r="1464" spans="1:90" x14ac:dyDescent="0.3">
      <c r="A1464" t="s">
        <v>72</v>
      </c>
      <c r="B1464" t="s">
        <v>73</v>
      </c>
      <c r="C1464" t="s">
        <v>74</v>
      </c>
      <c r="E1464" t="str">
        <f>"080065373505"</f>
        <v>080065373505</v>
      </c>
      <c r="F1464" s="3">
        <v>45791</v>
      </c>
      <c r="G1464">
        <v>202602</v>
      </c>
      <c r="H1464" t="s">
        <v>75</v>
      </c>
      <c r="I1464" t="s">
        <v>76</v>
      </c>
      <c r="J1464" t="s">
        <v>77</v>
      </c>
      <c r="K1464" t="s">
        <v>78</v>
      </c>
      <c r="L1464" t="s">
        <v>136</v>
      </c>
      <c r="M1464" t="s">
        <v>137</v>
      </c>
      <c r="N1464" t="s">
        <v>299</v>
      </c>
      <c r="O1464" t="s">
        <v>82</v>
      </c>
      <c r="P1464" t="str">
        <f>"4170038539                    "</f>
        <v xml:space="preserve">4170038539                    </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c r="AI1464">
        <v>0</v>
      </c>
      <c r="AJ1464">
        <v>0</v>
      </c>
      <c r="AK1464">
        <v>0</v>
      </c>
      <c r="AL1464">
        <v>0</v>
      </c>
      <c r="AM1464">
        <v>0</v>
      </c>
      <c r="AN1464">
        <v>0</v>
      </c>
      <c r="AO1464">
        <v>0</v>
      </c>
      <c r="AP1464">
        <v>0</v>
      </c>
      <c r="AQ1464">
        <v>21.38</v>
      </c>
      <c r="AR1464">
        <v>0</v>
      </c>
      <c r="AS1464">
        <v>0</v>
      </c>
      <c r="AT1464">
        <v>0</v>
      </c>
      <c r="AU1464">
        <v>0</v>
      </c>
      <c r="AV1464">
        <v>0</v>
      </c>
      <c r="AW1464">
        <v>0</v>
      </c>
      <c r="AX1464">
        <v>0</v>
      </c>
      <c r="AY1464">
        <v>0</v>
      </c>
      <c r="AZ1464">
        <v>0</v>
      </c>
      <c r="BA1464">
        <v>0</v>
      </c>
      <c r="BB1464">
        <v>0</v>
      </c>
      <c r="BC1464">
        <v>0</v>
      </c>
      <c r="BD1464">
        <v>0</v>
      </c>
      <c r="BE1464">
        <v>0</v>
      </c>
      <c r="BF1464">
        <v>0</v>
      </c>
      <c r="BG1464">
        <v>0</v>
      </c>
      <c r="BH1464">
        <v>1</v>
      </c>
      <c r="BI1464">
        <v>1</v>
      </c>
      <c r="BJ1464">
        <v>0.2</v>
      </c>
      <c r="BK1464">
        <v>1</v>
      </c>
      <c r="BL1464">
        <v>69.98</v>
      </c>
      <c r="BM1464">
        <v>10.5</v>
      </c>
      <c r="BN1464">
        <v>80.48</v>
      </c>
      <c r="BO1464">
        <v>80.48</v>
      </c>
      <c r="BQ1464" t="s">
        <v>301</v>
      </c>
      <c r="BR1464" t="s">
        <v>84</v>
      </c>
      <c r="BS1464" s="3">
        <v>45792</v>
      </c>
      <c r="BT1464" s="4">
        <v>0.36527777777777776</v>
      </c>
      <c r="BU1464" t="s">
        <v>2103</v>
      </c>
      <c r="BV1464" t="s">
        <v>86</v>
      </c>
      <c r="BY1464">
        <v>1200</v>
      </c>
      <c r="CA1464" t="s">
        <v>253</v>
      </c>
      <c r="CC1464" t="s">
        <v>137</v>
      </c>
      <c r="CD1464" s="5" t="s">
        <v>254</v>
      </c>
      <c r="CE1464" t="s">
        <v>88</v>
      </c>
      <c r="CF1464" s="3">
        <v>45792</v>
      </c>
      <c r="CI1464">
        <v>1</v>
      </c>
      <c r="CJ1464">
        <v>1</v>
      </c>
      <c r="CK1464">
        <v>21</v>
      </c>
      <c r="CL1464" t="s">
        <v>89</v>
      </c>
    </row>
    <row r="1465" spans="1:90" x14ac:dyDescent="0.3">
      <c r="A1465" t="s">
        <v>72</v>
      </c>
      <c r="B1465" t="s">
        <v>73</v>
      </c>
      <c r="C1465" t="s">
        <v>74</v>
      </c>
      <c r="E1465" t="str">
        <f>"080065373504"</f>
        <v>080065373504</v>
      </c>
      <c r="F1465" s="3">
        <v>45791</v>
      </c>
      <c r="G1465">
        <v>202602</v>
      </c>
      <c r="H1465" t="s">
        <v>75</v>
      </c>
      <c r="I1465" t="s">
        <v>76</v>
      </c>
      <c r="J1465" t="s">
        <v>77</v>
      </c>
      <c r="K1465" t="s">
        <v>78</v>
      </c>
      <c r="L1465" t="s">
        <v>143</v>
      </c>
      <c r="M1465" t="s">
        <v>144</v>
      </c>
      <c r="N1465" t="s">
        <v>669</v>
      </c>
      <c r="O1465" t="s">
        <v>300</v>
      </c>
      <c r="P1465" t="str">
        <f>"4170038305                    "</f>
        <v xml:space="preserve">4170038305                    </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0</v>
      </c>
      <c r="AL1465">
        <v>0</v>
      </c>
      <c r="AM1465">
        <v>0</v>
      </c>
      <c r="AN1465">
        <v>0</v>
      </c>
      <c r="AO1465">
        <v>0</v>
      </c>
      <c r="AP1465">
        <v>0</v>
      </c>
      <c r="AQ1465">
        <v>34.71</v>
      </c>
      <c r="AR1465">
        <v>0</v>
      </c>
      <c r="AS1465">
        <v>0</v>
      </c>
      <c r="AT1465">
        <v>0</v>
      </c>
      <c r="AU1465">
        <v>0</v>
      </c>
      <c r="AV1465">
        <v>0</v>
      </c>
      <c r="AW1465">
        <v>0</v>
      </c>
      <c r="AX1465">
        <v>0</v>
      </c>
      <c r="AY1465">
        <v>0</v>
      </c>
      <c r="AZ1465">
        <v>0</v>
      </c>
      <c r="BA1465">
        <v>0</v>
      </c>
      <c r="BB1465">
        <v>0</v>
      </c>
      <c r="BC1465">
        <v>0</v>
      </c>
      <c r="BD1465">
        <v>0</v>
      </c>
      <c r="BE1465">
        <v>0</v>
      </c>
      <c r="BF1465">
        <v>0</v>
      </c>
      <c r="BG1465">
        <v>0</v>
      </c>
      <c r="BH1465">
        <v>1</v>
      </c>
      <c r="BI1465">
        <v>8</v>
      </c>
      <c r="BJ1465">
        <v>17.7</v>
      </c>
      <c r="BK1465">
        <v>18</v>
      </c>
      <c r="BL1465">
        <v>119.16</v>
      </c>
      <c r="BM1465">
        <v>17.87</v>
      </c>
      <c r="BN1465">
        <v>137.03</v>
      </c>
      <c r="BO1465">
        <v>137.03</v>
      </c>
      <c r="BQ1465" t="s">
        <v>670</v>
      </c>
      <c r="BR1465" t="s">
        <v>84</v>
      </c>
      <c r="BS1465" s="3">
        <v>45792</v>
      </c>
      <c r="BT1465" s="4">
        <v>0.5444444444444444</v>
      </c>
      <c r="BU1465" t="s">
        <v>2104</v>
      </c>
      <c r="BV1465" t="s">
        <v>86</v>
      </c>
      <c r="BY1465">
        <v>88320</v>
      </c>
      <c r="CA1465" t="s">
        <v>150</v>
      </c>
      <c r="CC1465" t="s">
        <v>144</v>
      </c>
      <c r="CD1465">
        <v>1401</v>
      </c>
      <c r="CE1465" t="s">
        <v>96</v>
      </c>
      <c r="CF1465" s="3">
        <v>45792</v>
      </c>
      <c r="CI1465">
        <v>1</v>
      </c>
      <c r="CJ1465">
        <v>1</v>
      </c>
      <c r="CK1465">
        <v>42</v>
      </c>
      <c r="CL1465" t="s">
        <v>89</v>
      </c>
    </row>
    <row r="1466" spans="1:90" x14ac:dyDescent="0.3">
      <c r="A1466" t="s">
        <v>72</v>
      </c>
      <c r="B1466" t="s">
        <v>73</v>
      </c>
      <c r="C1466" t="s">
        <v>74</v>
      </c>
      <c r="E1466" t="str">
        <f>"080065373543"</f>
        <v>080065373543</v>
      </c>
      <c r="F1466" s="3">
        <v>45791</v>
      </c>
      <c r="G1466">
        <v>202602</v>
      </c>
      <c r="H1466" t="s">
        <v>75</v>
      </c>
      <c r="I1466" t="s">
        <v>76</v>
      </c>
      <c r="J1466" t="s">
        <v>77</v>
      </c>
      <c r="K1466" t="s">
        <v>78</v>
      </c>
      <c r="L1466" t="s">
        <v>79</v>
      </c>
      <c r="M1466" t="s">
        <v>80</v>
      </c>
      <c r="N1466" t="s">
        <v>157</v>
      </c>
      <c r="O1466" t="s">
        <v>82</v>
      </c>
      <c r="P1466" t="str">
        <f>"4170038483                    "</f>
        <v xml:space="preserve">4170038483                    </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0</v>
      </c>
      <c r="AL1466">
        <v>0</v>
      </c>
      <c r="AM1466">
        <v>0</v>
      </c>
      <c r="AN1466">
        <v>0</v>
      </c>
      <c r="AO1466">
        <v>0</v>
      </c>
      <c r="AP1466">
        <v>0</v>
      </c>
      <c r="AQ1466">
        <v>21.38</v>
      </c>
      <c r="AR1466">
        <v>0</v>
      </c>
      <c r="AS1466">
        <v>0</v>
      </c>
      <c r="AT1466">
        <v>0</v>
      </c>
      <c r="AU1466">
        <v>0</v>
      </c>
      <c r="AV1466">
        <v>0</v>
      </c>
      <c r="AW1466">
        <v>0</v>
      </c>
      <c r="AX1466">
        <v>0</v>
      </c>
      <c r="AY1466">
        <v>0</v>
      </c>
      <c r="AZ1466">
        <v>0</v>
      </c>
      <c r="BA1466">
        <v>0</v>
      </c>
      <c r="BB1466">
        <v>0</v>
      </c>
      <c r="BC1466">
        <v>0</v>
      </c>
      <c r="BD1466">
        <v>0</v>
      </c>
      <c r="BE1466">
        <v>0</v>
      </c>
      <c r="BF1466">
        <v>0</v>
      </c>
      <c r="BG1466">
        <v>0</v>
      </c>
      <c r="BH1466">
        <v>1</v>
      </c>
      <c r="BI1466">
        <v>1</v>
      </c>
      <c r="BJ1466">
        <v>0.2</v>
      </c>
      <c r="BK1466">
        <v>1</v>
      </c>
      <c r="BL1466">
        <v>69.98</v>
      </c>
      <c r="BM1466">
        <v>10.5</v>
      </c>
      <c r="BN1466">
        <v>80.48</v>
      </c>
      <c r="BO1466">
        <v>80.48</v>
      </c>
      <c r="BQ1466" t="s">
        <v>158</v>
      </c>
      <c r="BR1466" t="s">
        <v>84</v>
      </c>
      <c r="BS1466" s="3">
        <v>45792</v>
      </c>
      <c r="BT1466" s="4">
        <v>0.45902777777777776</v>
      </c>
      <c r="BU1466" t="s">
        <v>159</v>
      </c>
      <c r="BV1466" t="s">
        <v>86</v>
      </c>
      <c r="BY1466">
        <v>1200</v>
      </c>
      <c r="CA1466" t="s">
        <v>160</v>
      </c>
      <c r="CC1466" t="s">
        <v>80</v>
      </c>
      <c r="CD1466">
        <v>3610</v>
      </c>
      <c r="CE1466" t="s">
        <v>88</v>
      </c>
      <c r="CF1466" s="3">
        <v>45793</v>
      </c>
      <c r="CI1466">
        <v>1</v>
      </c>
      <c r="CJ1466">
        <v>1</v>
      </c>
      <c r="CK1466">
        <v>21</v>
      </c>
      <c r="CL1466" t="s">
        <v>89</v>
      </c>
    </row>
    <row r="1467" spans="1:90" x14ac:dyDescent="0.3">
      <c r="A1467" t="s">
        <v>72</v>
      </c>
      <c r="B1467" t="s">
        <v>73</v>
      </c>
      <c r="C1467" t="s">
        <v>74</v>
      </c>
      <c r="E1467" t="str">
        <f>"080065373546"</f>
        <v>080065373546</v>
      </c>
      <c r="F1467" s="3">
        <v>45791</v>
      </c>
      <c r="G1467">
        <v>202602</v>
      </c>
      <c r="H1467" t="s">
        <v>75</v>
      </c>
      <c r="I1467" t="s">
        <v>76</v>
      </c>
      <c r="J1467" t="s">
        <v>77</v>
      </c>
      <c r="K1467" t="s">
        <v>78</v>
      </c>
      <c r="L1467" t="s">
        <v>97</v>
      </c>
      <c r="M1467" t="s">
        <v>98</v>
      </c>
      <c r="N1467" t="s">
        <v>200</v>
      </c>
      <c r="O1467" t="s">
        <v>82</v>
      </c>
      <c r="P1467" t="str">
        <f>"4170038529                    "</f>
        <v xml:space="preserve">4170038529                    </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c r="AJ1467">
        <v>0</v>
      </c>
      <c r="AK1467">
        <v>0</v>
      </c>
      <c r="AL1467">
        <v>0</v>
      </c>
      <c r="AM1467">
        <v>0</v>
      </c>
      <c r="AN1467">
        <v>0</v>
      </c>
      <c r="AO1467">
        <v>0</v>
      </c>
      <c r="AP1467">
        <v>0</v>
      </c>
      <c r="AQ1467">
        <v>16.7</v>
      </c>
      <c r="AR1467">
        <v>0</v>
      </c>
      <c r="AS1467">
        <v>0</v>
      </c>
      <c r="AT1467">
        <v>0</v>
      </c>
      <c r="AU1467">
        <v>0</v>
      </c>
      <c r="AV1467">
        <v>0</v>
      </c>
      <c r="AW1467">
        <v>0</v>
      </c>
      <c r="AX1467">
        <v>0</v>
      </c>
      <c r="AY1467">
        <v>0</v>
      </c>
      <c r="AZ1467">
        <v>0</v>
      </c>
      <c r="BA1467">
        <v>0</v>
      </c>
      <c r="BB1467">
        <v>0</v>
      </c>
      <c r="BC1467">
        <v>0</v>
      </c>
      <c r="BD1467">
        <v>0</v>
      </c>
      <c r="BE1467">
        <v>0</v>
      </c>
      <c r="BF1467">
        <v>0</v>
      </c>
      <c r="BG1467">
        <v>0</v>
      </c>
      <c r="BH1467">
        <v>1</v>
      </c>
      <c r="BI1467">
        <v>2</v>
      </c>
      <c r="BJ1467">
        <v>3.8</v>
      </c>
      <c r="BK1467">
        <v>4</v>
      </c>
      <c r="BL1467">
        <v>54.66</v>
      </c>
      <c r="BM1467">
        <v>8.1999999999999993</v>
      </c>
      <c r="BN1467">
        <v>62.86</v>
      </c>
      <c r="BO1467">
        <v>62.86</v>
      </c>
      <c r="BQ1467" t="s">
        <v>201</v>
      </c>
      <c r="BR1467" t="s">
        <v>84</v>
      </c>
      <c r="BS1467" s="3">
        <v>45792</v>
      </c>
      <c r="BT1467" s="4">
        <v>0.34236111111111112</v>
      </c>
      <c r="BU1467" t="s">
        <v>2105</v>
      </c>
      <c r="BV1467" t="s">
        <v>86</v>
      </c>
      <c r="BY1467">
        <v>19200</v>
      </c>
      <c r="CA1467" t="s">
        <v>2062</v>
      </c>
      <c r="CC1467" t="s">
        <v>98</v>
      </c>
      <c r="CD1467">
        <v>1459</v>
      </c>
      <c r="CE1467" t="s">
        <v>221</v>
      </c>
      <c r="CF1467" s="3">
        <v>45792</v>
      </c>
      <c r="CI1467">
        <v>1</v>
      </c>
      <c r="CJ1467">
        <v>1</v>
      </c>
      <c r="CK1467">
        <v>22</v>
      </c>
      <c r="CL1467" t="s">
        <v>89</v>
      </c>
    </row>
    <row r="1468" spans="1:90" x14ac:dyDescent="0.3">
      <c r="A1468" t="s">
        <v>72</v>
      </c>
      <c r="B1468" t="s">
        <v>73</v>
      </c>
      <c r="C1468" t="s">
        <v>74</v>
      </c>
      <c r="E1468" t="str">
        <f>"080065373567"</f>
        <v>080065373567</v>
      </c>
      <c r="F1468" s="3">
        <v>45791</v>
      </c>
      <c r="G1468">
        <v>202602</v>
      </c>
      <c r="H1468" t="s">
        <v>75</v>
      </c>
      <c r="I1468" t="s">
        <v>76</v>
      </c>
      <c r="J1468" t="s">
        <v>77</v>
      </c>
      <c r="K1468" t="s">
        <v>78</v>
      </c>
      <c r="L1468" t="s">
        <v>463</v>
      </c>
      <c r="M1468" t="s">
        <v>464</v>
      </c>
      <c r="N1468" t="s">
        <v>883</v>
      </c>
      <c r="O1468" t="s">
        <v>82</v>
      </c>
      <c r="P1468" t="str">
        <f>"4170038408                    "</f>
        <v xml:space="preserve">4170038408                    </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c r="AJ1468">
        <v>0</v>
      </c>
      <c r="AK1468">
        <v>0</v>
      </c>
      <c r="AL1468">
        <v>0</v>
      </c>
      <c r="AM1468">
        <v>0</v>
      </c>
      <c r="AN1468">
        <v>0</v>
      </c>
      <c r="AO1468">
        <v>0</v>
      </c>
      <c r="AP1468">
        <v>0</v>
      </c>
      <c r="AQ1468">
        <v>21.38</v>
      </c>
      <c r="AR1468">
        <v>0</v>
      </c>
      <c r="AS1468">
        <v>0</v>
      </c>
      <c r="AT1468">
        <v>0</v>
      </c>
      <c r="AU1468">
        <v>0</v>
      </c>
      <c r="AV1468">
        <v>0</v>
      </c>
      <c r="AW1468">
        <v>0</v>
      </c>
      <c r="AX1468">
        <v>0</v>
      </c>
      <c r="AY1468">
        <v>0</v>
      </c>
      <c r="AZ1468">
        <v>0</v>
      </c>
      <c r="BA1468">
        <v>0</v>
      </c>
      <c r="BB1468">
        <v>0</v>
      </c>
      <c r="BC1468">
        <v>0</v>
      </c>
      <c r="BD1468">
        <v>0</v>
      </c>
      <c r="BE1468">
        <v>0</v>
      </c>
      <c r="BF1468">
        <v>0</v>
      </c>
      <c r="BG1468">
        <v>0</v>
      </c>
      <c r="BH1468">
        <v>1</v>
      </c>
      <c r="BI1468">
        <v>1</v>
      </c>
      <c r="BJ1468">
        <v>0.2</v>
      </c>
      <c r="BK1468">
        <v>1</v>
      </c>
      <c r="BL1468">
        <v>69.98</v>
      </c>
      <c r="BM1468">
        <v>10.5</v>
      </c>
      <c r="BN1468">
        <v>80.48</v>
      </c>
      <c r="BO1468">
        <v>80.48</v>
      </c>
      <c r="BQ1468" t="s">
        <v>884</v>
      </c>
      <c r="BR1468" t="s">
        <v>84</v>
      </c>
      <c r="BS1468" s="3">
        <v>45792</v>
      </c>
      <c r="BT1468" s="4">
        <v>0.57847222222222228</v>
      </c>
      <c r="BU1468" t="s">
        <v>2106</v>
      </c>
      <c r="BV1468" t="s">
        <v>89</v>
      </c>
      <c r="BY1468">
        <v>1200</v>
      </c>
      <c r="CA1468" t="s">
        <v>2107</v>
      </c>
      <c r="CC1468" t="s">
        <v>464</v>
      </c>
      <c r="CD1468">
        <v>5200</v>
      </c>
      <c r="CE1468" t="s">
        <v>88</v>
      </c>
      <c r="CF1468" s="3">
        <v>45792</v>
      </c>
      <c r="CI1468">
        <v>1</v>
      </c>
      <c r="CJ1468">
        <v>1</v>
      </c>
      <c r="CK1468">
        <v>21</v>
      </c>
      <c r="CL1468" t="s">
        <v>89</v>
      </c>
    </row>
    <row r="1469" spans="1:90" x14ac:dyDescent="0.3">
      <c r="A1469" t="s">
        <v>72</v>
      </c>
      <c r="B1469" t="s">
        <v>73</v>
      </c>
      <c r="C1469" t="s">
        <v>74</v>
      </c>
      <c r="E1469" t="str">
        <f>"080065373581"</f>
        <v>080065373581</v>
      </c>
      <c r="F1469" s="3">
        <v>45791</v>
      </c>
      <c r="G1469">
        <v>202602</v>
      </c>
      <c r="H1469" t="s">
        <v>75</v>
      </c>
      <c r="I1469" t="s">
        <v>76</v>
      </c>
      <c r="J1469" t="s">
        <v>77</v>
      </c>
      <c r="K1469" t="s">
        <v>78</v>
      </c>
      <c r="L1469" t="s">
        <v>136</v>
      </c>
      <c r="M1469" t="s">
        <v>137</v>
      </c>
      <c r="N1469" t="s">
        <v>925</v>
      </c>
      <c r="O1469" t="s">
        <v>300</v>
      </c>
      <c r="P1469" t="str">
        <f>"4170038521                    "</f>
        <v xml:space="preserve">4170038521                    </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0</v>
      </c>
      <c r="AL1469">
        <v>0</v>
      </c>
      <c r="AM1469">
        <v>0</v>
      </c>
      <c r="AN1469">
        <v>0</v>
      </c>
      <c r="AO1469">
        <v>0</v>
      </c>
      <c r="AP1469">
        <v>0</v>
      </c>
      <c r="AQ1469">
        <v>41.35</v>
      </c>
      <c r="AR1469">
        <v>0</v>
      </c>
      <c r="AS1469">
        <v>0</v>
      </c>
      <c r="AT1469">
        <v>0</v>
      </c>
      <c r="AU1469">
        <v>0</v>
      </c>
      <c r="AV1469">
        <v>0</v>
      </c>
      <c r="AW1469">
        <v>0</v>
      </c>
      <c r="AX1469">
        <v>0</v>
      </c>
      <c r="AY1469">
        <v>0</v>
      </c>
      <c r="AZ1469">
        <v>0</v>
      </c>
      <c r="BA1469">
        <v>0</v>
      </c>
      <c r="BB1469">
        <v>0</v>
      </c>
      <c r="BC1469">
        <v>0</v>
      </c>
      <c r="BD1469">
        <v>0</v>
      </c>
      <c r="BE1469">
        <v>0</v>
      </c>
      <c r="BF1469">
        <v>0</v>
      </c>
      <c r="BG1469">
        <v>0</v>
      </c>
      <c r="BH1469">
        <v>1</v>
      </c>
      <c r="BI1469">
        <v>12</v>
      </c>
      <c r="BJ1469">
        <v>3.4</v>
      </c>
      <c r="BK1469">
        <v>12</v>
      </c>
      <c r="BL1469">
        <v>140.9</v>
      </c>
      <c r="BM1469">
        <v>21.14</v>
      </c>
      <c r="BN1469">
        <v>162.04</v>
      </c>
      <c r="BO1469">
        <v>162.04</v>
      </c>
      <c r="BQ1469" t="s">
        <v>926</v>
      </c>
      <c r="BR1469" t="s">
        <v>84</v>
      </c>
      <c r="BS1469" s="3">
        <v>45792</v>
      </c>
      <c r="BT1469" s="4">
        <v>0.42708333333333331</v>
      </c>
      <c r="BU1469" t="s">
        <v>1959</v>
      </c>
      <c r="BV1469" t="s">
        <v>86</v>
      </c>
      <c r="BY1469">
        <v>17043</v>
      </c>
      <c r="CA1469" t="s">
        <v>141</v>
      </c>
      <c r="CC1469" t="s">
        <v>137</v>
      </c>
      <c r="CD1469" s="5" t="s">
        <v>142</v>
      </c>
      <c r="CE1469" t="s">
        <v>221</v>
      </c>
      <c r="CF1469" s="3">
        <v>45792</v>
      </c>
      <c r="CI1469">
        <v>1</v>
      </c>
      <c r="CJ1469">
        <v>1</v>
      </c>
      <c r="CK1469">
        <v>41</v>
      </c>
      <c r="CL1469" t="s">
        <v>89</v>
      </c>
    </row>
    <row r="1470" spans="1:90" x14ac:dyDescent="0.3">
      <c r="A1470" t="s">
        <v>72</v>
      </c>
      <c r="B1470" t="s">
        <v>73</v>
      </c>
      <c r="C1470" t="s">
        <v>74</v>
      </c>
      <c r="E1470" t="str">
        <f>"080065373587"</f>
        <v>080065373587</v>
      </c>
      <c r="F1470" s="3">
        <v>45791</v>
      </c>
      <c r="G1470">
        <v>202602</v>
      </c>
      <c r="H1470" t="s">
        <v>75</v>
      </c>
      <c r="I1470" t="s">
        <v>76</v>
      </c>
      <c r="J1470" t="s">
        <v>77</v>
      </c>
      <c r="K1470" t="s">
        <v>78</v>
      </c>
      <c r="L1470" t="s">
        <v>130</v>
      </c>
      <c r="M1470" t="s">
        <v>131</v>
      </c>
      <c r="N1470" t="s">
        <v>343</v>
      </c>
      <c r="O1470" t="s">
        <v>82</v>
      </c>
      <c r="P1470" t="str">
        <f>"4170038523                    "</f>
        <v xml:space="preserve">4170038523                    </v>
      </c>
      <c r="Q1470">
        <v>0</v>
      </c>
      <c r="R1470">
        <v>0</v>
      </c>
      <c r="S1470">
        <v>0</v>
      </c>
      <c r="T1470">
        <v>0</v>
      </c>
      <c r="U1470">
        <v>0</v>
      </c>
      <c r="V1470">
        <v>0</v>
      </c>
      <c r="W1470">
        <v>0</v>
      </c>
      <c r="X1470">
        <v>0</v>
      </c>
      <c r="Y1470">
        <v>0</v>
      </c>
      <c r="Z1470">
        <v>0</v>
      </c>
      <c r="AA1470">
        <v>0</v>
      </c>
      <c r="AB1470">
        <v>0</v>
      </c>
      <c r="AC1470">
        <v>0</v>
      </c>
      <c r="AD1470">
        <v>0</v>
      </c>
      <c r="AE1470">
        <v>0</v>
      </c>
      <c r="AF1470">
        <v>0</v>
      </c>
      <c r="AG1470">
        <v>0</v>
      </c>
      <c r="AH1470">
        <v>0</v>
      </c>
      <c r="AI1470">
        <v>0</v>
      </c>
      <c r="AJ1470">
        <v>0</v>
      </c>
      <c r="AK1470">
        <v>0</v>
      </c>
      <c r="AL1470">
        <v>0</v>
      </c>
      <c r="AM1470">
        <v>0</v>
      </c>
      <c r="AN1470">
        <v>0</v>
      </c>
      <c r="AO1470">
        <v>0</v>
      </c>
      <c r="AP1470">
        <v>0</v>
      </c>
      <c r="AQ1470">
        <v>21.38</v>
      </c>
      <c r="AR1470">
        <v>0</v>
      </c>
      <c r="AS1470">
        <v>0</v>
      </c>
      <c r="AT1470">
        <v>0</v>
      </c>
      <c r="AU1470">
        <v>0</v>
      </c>
      <c r="AV1470">
        <v>0</v>
      </c>
      <c r="AW1470">
        <v>0</v>
      </c>
      <c r="AX1470">
        <v>0</v>
      </c>
      <c r="AY1470">
        <v>0</v>
      </c>
      <c r="AZ1470">
        <v>0</v>
      </c>
      <c r="BA1470">
        <v>0</v>
      </c>
      <c r="BB1470">
        <v>0</v>
      </c>
      <c r="BC1470">
        <v>0</v>
      </c>
      <c r="BD1470">
        <v>0</v>
      </c>
      <c r="BE1470">
        <v>0</v>
      </c>
      <c r="BF1470">
        <v>0</v>
      </c>
      <c r="BG1470">
        <v>0</v>
      </c>
      <c r="BH1470">
        <v>1</v>
      </c>
      <c r="BI1470">
        <v>1</v>
      </c>
      <c r="BJ1470">
        <v>0.2</v>
      </c>
      <c r="BK1470">
        <v>1</v>
      </c>
      <c r="BL1470">
        <v>69.98</v>
      </c>
      <c r="BM1470">
        <v>10.5</v>
      </c>
      <c r="BN1470">
        <v>80.48</v>
      </c>
      <c r="BO1470">
        <v>80.48</v>
      </c>
      <c r="BQ1470" t="s">
        <v>344</v>
      </c>
      <c r="BR1470" t="s">
        <v>84</v>
      </c>
      <c r="BS1470" s="3">
        <v>45792</v>
      </c>
      <c r="BT1470" s="4">
        <v>0.3923611111111111</v>
      </c>
      <c r="BU1470" t="s">
        <v>345</v>
      </c>
      <c r="BV1470" t="s">
        <v>86</v>
      </c>
      <c r="BY1470">
        <v>1200</v>
      </c>
      <c r="CA1470" t="s">
        <v>242</v>
      </c>
      <c r="CC1470" t="s">
        <v>131</v>
      </c>
      <c r="CD1470">
        <v>7441</v>
      </c>
      <c r="CE1470" t="s">
        <v>88</v>
      </c>
      <c r="CF1470" s="3">
        <v>45793</v>
      </c>
      <c r="CI1470">
        <v>1</v>
      </c>
      <c r="CJ1470">
        <v>1</v>
      </c>
      <c r="CK1470">
        <v>21</v>
      </c>
      <c r="CL1470" t="s">
        <v>89</v>
      </c>
    </row>
    <row r="1471" spans="1:90" x14ac:dyDescent="0.3">
      <c r="A1471" t="s">
        <v>72</v>
      </c>
      <c r="B1471" t="s">
        <v>73</v>
      </c>
      <c r="C1471" t="s">
        <v>74</v>
      </c>
      <c r="E1471" t="str">
        <f>"080065373608"</f>
        <v>080065373608</v>
      </c>
      <c r="F1471" s="3">
        <v>45791</v>
      </c>
      <c r="G1471">
        <v>202602</v>
      </c>
      <c r="H1471" t="s">
        <v>75</v>
      </c>
      <c r="I1471" t="s">
        <v>76</v>
      </c>
      <c r="J1471" t="s">
        <v>77</v>
      </c>
      <c r="K1471" t="s">
        <v>78</v>
      </c>
      <c r="L1471" t="s">
        <v>232</v>
      </c>
      <c r="M1471" t="s">
        <v>233</v>
      </c>
      <c r="N1471" t="s">
        <v>234</v>
      </c>
      <c r="O1471" t="s">
        <v>82</v>
      </c>
      <c r="P1471" t="str">
        <f>"4170038461                    "</f>
        <v xml:space="preserve">4170038461                    </v>
      </c>
      <c r="Q1471">
        <v>0</v>
      </c>
      <c r="R1471">
        <v>0</v>
      </c>
      <c r="S1471">
        <v>0</v>
      </c>
      <c r="T1471">
        <v>0</v>
      </c>
      <c r="U1471">
        <v>0</v>
      </c>
      <c r="V1471">
        <v>0</v>
      </c>
      <c r="W1471">
        <v>0</v>
      </c>
      <c r="X1471">
        <v>0</v>
      </c>
      <c r="Y1471">
        <v>0</v>
      </c>
      <c r="Z1471">
        <v>0</v>
      </c>
      <c r="AA1471">
        <v>0</v>
      </c>
      <c r="AB1471">
        <v>0</v>
      </c>
      <c r="AC1471">
        <v>0</v>
      </c>
      <c r="AD1471">
        <v>0</v>
      </c>
      <c r="AE1471">
        <v>0</v>
      </c>
      <c r="AF1471">
        <v>0</v>
      </c>
      <c r="AG1471">
        <v>0</v>
      </c>
      <c r="AH1471">
        <v>0</v>
      </c>
      <c r="AI1471">
        <v>0</v>
      </c>
      <c r="AJ1471">
        <v>0</v>
      </c>
      <c r="AK1471">
        <v>0</v>
      </c>
      <c r="AL1471">
        <v>0</v>
      </c>
      <c r="AM1471">
        <v>0</v>
      </c>
      <c r="AN1471">
        <v>0</v>
      </c>
      <c r="AO1471">
        <v>0</v>
      </c>
      <c r="AP1471">
        <v>0</v>
      </c>
      <c r="AQ1471">
        <v>21.38</v>
      </c>
      <c r="AR1471">
        <v>0</v>
      </c>
      <c r="AS1471">
        <v>0</v>
      </c>
      <c r="AT1471">
        <v>0</v>
      </c>
      <c r="AU1471">
        <v>0</v>
      </c>
      <c r="AV1471">
        <v>0</v>
      </c>
      <c r="AW1471">
        <v>0</v>
      </c>
      <c r="AX1471">
        <v>0</v>
      </c>
      <c r="AY1471">
        <v>0</v>
      </c>
      <c r="AZ1471">
        <v>0</v>
      </c>
      <c r="BA1471">
        <v>0</v>
      </c>
      <c r="BB1471">
        <v>0</v>
      </c>
      <c r="BC1471">
        <v>0</v>
      </c>
      <c r="BD1471">
        <v>0</v>
      </c>
      <c r="BE1471">
        <v>0</v>
      </c>
      <c r="BF1471">
        <v>0</v>
      </c>
      <c r="BG1471">
        <v>0</v>
      </c>
      <c r="BH1471">
        <v>1</v>
      </c>
      <c r="BI1471">
        <v>1</v>
      </c>
      <c r="BJ1471">
        <v>0.2</v>
      </c>
      <c r="BK1471">
        <v>1</v>
      </c>
      <c r="BL1471">
        <v>69.98</v>
      </c>
      <c r="BM1471">
        <v>10.5</v>
      </c>
      <c r="BN1471">
        <v>80.48</v>
      </c>
      <c r="BO1471">
        <v>80.48</v>
      </c>
      <c r="BQ1471" t="s">
        <v>235</v>
      </c>
      <c r="BR1471" t="s">
        <v>84</v>
      </c>
      <c r="BS1471" s="3">
        <v>45792</v>
      </c>
      <c r="BT1471" s="4">
        <v>0.40069444444444446</v>
      </c>
      <c r="BU1471" t="s">
        <v>236</v>
      </c>
      <c r="BV1471" t="s">
        <v>86</v>
      </c>
      <c r="BY1471">
        <v>1200</v>
      </c>
      <c r="CA1471" t="s">
        <v>237</v>
      </c>
      <c r="CC1471" t="s">
        <v>233</v>
      </c>
      <c r="CD1471" s="5" t="s">
        <v>238</v>
      </c>
      <c r="CE1471" t="s">
        <v>88</v>
      </c>
      <c r="CF1471" s="3">
        <v>45792</v>
      </c>
      <c r="CI1471">
        <v>1</v>
      </c>
      <c r="CJ1471">
        <v>1</v>
      </c>
      <c r="CK1471">
        <v>21</v>
      </c>
      <c r="CL1471" t="s">
        <v>89</v>
      </c>
    </row>
    <row r="1472" spans="1:90" x14ac:dyDescent="0.3">
      <c r="A1472" t="s">
        <v>72</v>
      </c>
      <c r="B1472" t="s">
        <v>73</v>
      </c>
      <c r="C1472" t="s">
        <v>74</v>
      </c>
      <c r="E1472" t="str">
        <f>"080065373614"</f>
        <v>080065373614</v>
      </c>
      <c r="F1472" s="3">
        <v>45791</v>
      </c>
      <c r="G1472">
        <v>202602</v>
      </c>
      <c r="H1472" t="s">
        <v>75</v>
      </c>
      <c r="I1472" t="s">
        <v>76</v>
      </c>
      <c r="J1472" t="s">
        <v>77</v>
      </c>
      <c r="K1472" t="s">
        <v>78</v>
      </c>
      <c r="L1472" t="s">
        <v>526</v>
      </c>
      <c r="M1472" t="s">
        <v>527</v>
      </c>
      <c r="N1472" t="s">
        <v>826</v>
      </c>
      <c r="O1472" t="s">
        <v>82</v>
      </c>
      <c r="P1472" t="str">
        <f>"4170038328                    "</f>
        <v xml:space="preserve">4170038328                    </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0</v>
      </c>
      <c r="AJ1472">
        <v>0</v>
      </c>
      <c r="AK1472">
        <v>0</v>
      </c>
      <c r="AL1472">
        <v>0</v>
      </c>
      <c r="AM1472">
        <v>0</v>
      </c>
      <c r="AN1472">
        <v>0</v>
      </c>
      <c r="AO1472">
        <v>0</v>
      </c>
      <c r="AP1472">
        <v>0</v>
      </c>
      <c r="AQ1472">
        <v>30.07</v>
      </c>
      <c r="AR1472">
        <v>0</v>
      </c>
      <c r="AS1472">
        <v>0</v>
      </c>
      <c r="AT1472">
        <v>0</v>
      </c>
      <c r="AU1472">
        <v>0</v>
      </c>
      <c r="AV1472">
        <v>0</v>
      </c>
      <c r="AW1472">
        <v>0</v>
      </c>
      <c r="AX1472">
        <v>0</v>
      </c>
      <c r="AY1472">
        <v>0</v>
      </c>
      <c r="AZ1472">
        <v>0</v>
      </c>
      <c r="BA1472">
        <v>0</v>
      </c>
      <c r="BB1472">
        <v>0</v>
      </c>
      <c r="BC1472">
        <v>0</v>
      </c>
      <c r="BD1472">
        <v>0</v>
      </c>
      <c r="BE1472">
        <v>0</v>
      </c>
      <c r="BF1472">
        <v>0</v>
      </c>
      <c r="BG1472">
        <v>0</v>
      </c>
      <c r="BH1472">
        <v>1</v>
      </c>
      <c r="BI1472">
        <v>1</v>
      </c>
      <c r="BJ1472">
        <v>0.6</v>
      </c>
      <c r="BK1472">
        <v>1</v>
      </c>
      <c r="BL1472">
        <v>98.42</v>
      </c>
      <c r="BM1472">
        <v>14.76</v>
      </c>
      <c r="BN1472">
        <v>113.18</v>
      </c>
      <c r="BO1472">
        <v>113.18</v>
      </c>
      <c r="BQ1472" t="s">
        <v>827</v>
      </c>
      <c r="BR1472" t="s">
        <v>84</v>
      </c>
      <c r="BS1472" s="3">
        <v>45792</v>
      </c>
      <c r="BT1472" s="4">
        <v>0.51249999999999996</v>
      </c>
      <c r="BU1472" t="s">
        <v>2079</v>
      </c>
      <c r="BV1472" t="s">
        <v>86</v>
      </c>
      <c r="BY1472">
        <v>3192</v>
      </c>
      <c r="CA1472" t="s">
        <v>2080</v>
      </c>
      <c r="CC1472" t="s">
        <v>527</v>
      </c>
      <c r="CD1472">
        <v>1759</v>
      </c>
      <c r="CE1472" t="s">
        <v>116</v>
      </c>
      <c r="CF1472" s="3">
        <v>45792</v>
      </c>
      <c r="CI1472">
        <v>1</v>
      </c>
      <c r="CJ1472">
        <v>1</v>
      </c>
      <c r="CK1472">
        <v>24</v>
      </c>
      <c r="CL1472" t="s">
        <v>89</v>
      </c>
    </row>
    <row r="1473" spans="1:90" x14ac:dyDescent="0.3">
      <c r="A1473" t="s">
        <v>72</v>
      </c>
      <c r="B1473" t="s">
        <v>73</v>
      </c>
      <c r="C1473" t="s">
        <v>74</v>
      </c>
      <c r="E1473" t="str">
        <f>"080065373639"</f>
        <v>080065373639</v>
      </c>
      <c r="F1473" s="3">
        <v>45791</v>
      </c>
      <c r="G1473">
        <v>202602</v>
      </c>
      <c r="H1473" t="s">
        <v>75</v>
      </c>
      <c r="I1473" t="s">
        <v>76</v>
      </c>
      <c r="J1473" t="s">
        <v>77</v>
      </c>
      <c r="K1473" t="s">
        <v>78</v>
      </c>
      <c r="L1473" t="s">
        <v>311</v>
      </c>
      <c r="M1473" t="s">
        <v>312</v>
      </c>
      <c r="N1473" t="s">
        <v>939</v>
      </c>
      <c r="O1473" t="s">
        <v>82</v>
      </c>
      <c r="P1473" t="str">
        <f>"4170038505                    "</f>
        <v xml:space="preserve">4170038505                    </v>
      </c>
      <c r="Q1473">
        <v>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c r="AJ1473">
        <v>0</v>
      </c>
      <c r="AK1473">
        <v>0</v>
      </c>
      <c r="AL1473">
        <v>0</v>
      </c>
      <c r="AM1473">
        <v>0</v>
      </c>
      <c r="AN1473">
        <v>0</v>
      </c>
      <c r="AO1473">
        <v>0</v>
      </c>
      <c r="AP1473">
        <v>0</v>
      </c>
      <c r="AQ1473">
        <v>16.7</v>
      </c>
      <c r="AR1473">
        <v>0</v>
      </c>
      <c r="AS1473">
        <v>0</v>
      </c>
      <c r="AT1473">
        <v>0</v>
      </c>
      <c r="AU1473">
        <v>0</v>
      </c>
      <c r="AV1473">
        <v>0</v>
      </c>
      <c r="AW1473">
        <v>0</v>
      </c>
      <c r="AX1473">
        <v>0</v>
      </c>
      <c r="AY1473">
        <v>0</v>
      </c>
      <c r="AZ1473">
        <v>0</v>
      </c>
      <c r="BA1473">
        <v>0</v>
      </c>
      <c r="BB1473">
        <v>0</v>
      </c>
      <c r="BC1473">
        <v>0</v>
      </c>
      <c r="BD1473">
        <v>0</v>
      </c>
      <c r="BE1473">
        <v>0</v>
      </c>
      <c r="BF1473">
        <v>0</v>
      </c>
      <c r="BG1473">
        <v>0</v>
      </c>
      <c r="BH1473">
        <v>1</v>
      </c>
      <c r="BI1473">
        <v>1</v>
      </c>
      <c r="BJ1473">
        <v>0.2</v>
      </c>
      <c r="BK1473">
        <v>1</v>
      </c>
      <c r="BL1473">
        <v>54.66</v>
      </c>
      <c r="BM1473">
        <v>8.1999999999999993</v>
      </c>
      <c r="BN1473">
        <v>62.86</v>
      </c>
      <c r="BO1473">
        <v>62.86</v>
      </c>
      <c r="BQ1473" t="s">
        <v>940</v>
      </c>
      <c r="BR1473" t="s">
        <v>84</v>
      </c>
      <c r="BS1473" s="3">
        <v>45792</v>
      </c>
      <c r="BT1473" s="4">
        <v>0.42499999999999999</v>
      </c>
      <c r="BU1473" t="s">
        <v>2108</v>
      </c>
      <c r="BV1473" t="s">
        <v>86</v>
      </c>
      <c r="BY1473">
        <v>1200</v>
      </c>
      <c r="CA1473" t="s">
        <v>316</v>
      </c>
      <c r="CC1473" t="s">
        <v>312</v>
      </c>
      <c r="CD1473">
        <v>1502</v>
      </c>
      <c r="CE1473" t="s">
        <v>88</v>
      </c>
      <c r="CF1473" s="3">
        <v>45792</v>
      </c>
      <c r="CI1473">
        <v>1</v>
      </c>
      <c r="CJ1473">
        <v>1</v>
      </c>
      <c r="CK1473">
        <v>22</v>
      </c>
      <c r="CL1473" t="s">
        <v>89</v>
      </c>
    </row>
    <row r="1474" spans="1:90" x14ac:dyDescent="0.3">
      <c r="A1474" t="s">
        <v>72</v>
      </c>
      <c r="B1474" t="s">
        <v>73</v>
      </c>
      <c r="C1474" t="s">
        <v>74</v>
      </c>
      <c r="E1474" t="str">
        <f>"080065373643"</f>
        <v>080065373643</v>
      </c>
      <c r="F1474" s="3">
        <v>45791</v>
      </c>
      <c r="G1474">
        <v>202602</v>
      </c>
      <c r="H1474" t="s">
        <v>75</v>
      </c>
      <c r="I1474" t="s">
        <v>76</v>
      </c>
      <c r="J1474" t="s">
        <v>77</v>
      </c>
      <c r="K1474" t="s">
        <v>78</v>
      </c>
      <c r="L1474" t="s">
        <v>90</v>
      </c>
      <c r="M1474" t="s">
        <v>91</v>
      </c>
      <c r="N1474" t="s">
        <v>92</v>
      </c>
      <c r="O1474" t="s">
        <v>82</v>
      </c>
      <c r="P1474" t="str">
        <f>"4170038456                    "</f>
        <v xml:space="preserve">4170038456                    </v>
      </c>
      <c r="Q1474">
        <v>0</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c r="AJ1474">
        <v>0</v>
      </c>
      <c r="AK1474">
        <v>0</v>
      </c>
      <c r="AL1474">
        <v>0</v>
      </c>
      <c r="AM1474">
        <v>0</v>
      </c>
      <c r="AN1474">
        <v>0</v>
      </c>
      <c r="AO1474">
        <v>0</v>
      </c>
      <c r="AP1474">
        <v>0</v>
      </c>
      <c r="AQ1474">
        <v>21.38</v>
      </c>
      <c r="AR1474">
        <v>0</v>
      </c>
      <c r="AS1474">
        <v>0</v>
      </c>
      <c r="AT1474">
        <v>0</v>
      </c>
      <c r="AU1474">
        <v>0</v>
      </c>
      <c r="AV1474">
        <v>0</v>
      </c>
      <c r="AW1474">
        <v>0</v>
      </c>
      <c r="AX1474">
        <v>0</v>
      </c>
      <c r="AY1474">
        <v>0</v>
      </c>
      <c r="AZ1474">
        <v>0</v>
      </c>
      <c r="BA1474">
        <v>0</v>
      </c>
      <c r="BB1474">
        <v>0</v>
      </c>
      <c r="BC1474">
        <v>0</v>
      </c>
      <c r="BD1474">
        <v>0</v>
      </c>
      <c r="BE1474">
        <v>0</v>
      </c>
      <c r="BF1474">
        <v>0</v>
      </c>
      <c r="BG1474">
        <v>0</v>
      </c>
      <c r="BH1474">
        <v>1</v>
      </c>
      <c r="BI1474">
        <v>1</v>
      </c>
      <c r="BJ1474">
        <v>1.1000000000000001</v>
      </c>
      <c r="BK1474">
        <v>1.5</v>
      </c>
      <c r="BL1474">
        <v>69.98</v>
      </c>
      <c r="BM1474">
        <v>10.5</v>
      </c>
      <c r="BN1474">
        <v>80.48</v>
      </c>
      <c r="BO1474">
        <v>80.48</v>
      </c>
      <c r="BQ1474" t="s">
        <v>93</v>
      </c>
      <c r="BR1474" t="s">
        <v>84</v>
      </c>
      <c r="BS1474" s="3">
        <v>45792</v>
      </c>
      <c r="BT1474" s="4">
        <v>0.39305555555555555</v>
      </c>
      <c r="BU1474" t="s">
        <v>2033</v>
      </c>
      <c r="BV1474" t="s">
        <v>86</v>
      </c>
      <c r="BY1474">
        <v>5320</v>
      </c>
      <c r="CA1474" t="s">
        <v>95</v>
      </c>
      <c r="CC1474" t="s">
        <v>91</v>
      </c>
      <c r="CD1474">
        <v>6001</v>
      </c>
      <c r="CE1474" t="s">
        <v>116</v>
      </c>
      <c r="CF1474" s="3">
        <v>45792</v>
      </c>
      <c r="CI1474">
        <v>1</v>
      </c>
      <c r="CJ1474">
        <v>1</v>
      </c>
      <c r="CK1474">
        <v>21</v>
      </c>
      <c r="CL1474" t="s">
        <v>89</v>
      </c>
    </row>
    <row r="1475" spans="1:90" x14ac:dyDescent="0.3">
      <c r="A1475" t="s">
        <v>72</v>
      </c>
      <c r="B1475" t="s">
        <v>73</v>
      </c>
      <c r="C1475" t="s">
        <v>74</v>
      </c>
      <c r="E1475" t="str">
        <f>"080065373660"</f>
        <v>080065373660</v>
      </c>
      <c r="F1475" s="3">
        <v>45791</v>
      </c>
      <c r="G1475">
        <v>202602</v>
      </c>
      <c r="H1475" t="s">
        <v>75</v>
      </c>
      <c r="I1475" t="s">
        <v>76</v>
      </c>
      <c r="J1475" t="s">
        <v>77</v>
      </c>
      <c r="K1475" t="s">
        <v>78</v>
      </c>
      <c r="L1475" t="s">
        <v>1537</v>
      </c>
      <c r="M1475" t="s">
        <v>1537</v>
      </c>
      <c r="N1475" t="s">
        <v>1538</v>
      </c>
      <c r="O1475" t="s">
        <v>82</v>
      </c>
      <c r="P1475" t="str">
        <f>"4170038561                    "</f>
        <v xml:space="preserve">4170038561                    </v>
      </c>
      <c r="Q1475">
        <v>0</v>
      </c>
      <c r="R1475">
        <v>0</v>
      </c>
      <c r="S1475">
        <v>0</v>
      </c>
      <c r="T1475">
        <v>0</v>
      </c>
      <c r="U1475">
        <v>0</v>
      </c>
      <c r="V1475">
        <v>0</v>
      </c>
      <c r="W1475">
        <v>0</v>
      </c>
      <c r="X1475">
        <v>0</v>
      </c>
      <c r="Y1475">
        <v>0</v>
      </c>
      <c r="Z1475">
        <v>0</v>
      </c>
      <c r="AA1475">
        <v>0</v>
      </c>
      <c r="AB1475">
        <v>0</v>
      </c>
      <c r="AC1475">
        <v>0</v>
      </c>
      <c r="AD1475">
        <v>0</v>
      </c>
      <c r="AE1475">
        <v>0</v>
      </c>
      <c r="AF1475">
        <v>0</v>
      </c>
      <c r="AG1475">
        <v>0</v>
      </c>
      <c r="AH1475">
        <v>0</v>
      </c>
      <c r="AI1475">
        <v>0</v>
      </c>
      <c r="AJ1475">
        <v>0</v>
      </c>
      <c r="AK1475">
        <v>0</v>
      </c>
      <c r="AL1475">
        <v>0</v>
      </c>
      <c r="AM1475">
        <v>0</v>
      </c>
      <c r="AN1475">
        <v>0</v>
      </c>
      <c r="AO1475">
        <v>0</v>
      </c>
      <c r="AP1475">
        <v>0</v>
      </c>
      <c r="AQ1475">
        <v>41.43</v>
      </c>
      <c r="AR1475">
        <v>0</v>
      </c>
      <c r="AS1475">
        <v>0</v>
      </c>
      <c r="AT1475">
        <v>0</v>
      </c>
      <c r="AU1475">
        <v>0</v>
      </c>
      <c r="AV1475">
        <v>0</v>
      </c>
      <c r="AW1475">
        <v>0</v>
      </c>
      <c r="AX1475">
        <v>0</v>
      </c>
      <c r="AY1475">
        <v>0</v>
      </c>
      <c r="AZ1475">
        <v>0</v>
      </c>
      <c r="BA1475">
        <v>0</v>
      </c>
      <c r="BB1475">
        <v>0</v>
      </c>
      <c r="BC1475">
        <v>0</v>
      </c>
      <c r="BD1475">
        <v>0</v>
      </c>
      <c r="BE1475">
        <v>0</v>
      </c>
      <c r="BF1475">
        <v>0</v>
      </c>
      <c r="BG1475">
        <v>0</v>
      </c>
      <c r="BH1475">
        <v>1</v>
      </c>
      <c r="BI1475">
        <v>1</v>
      </c>
      <c r="BJ1475">
        <v>0.2</v>
      </c>
      <c r="BK1475">
        <v>1</v>
      </c>
      <c r="BL1475">
        <v>135.59</v>
      </c>
      <c r="BM1475">
        <v>20.34</v>
      </c>
      <c r="BN1475">
        <v>155.93</v>
      </c>
      <c r="BO1475">
        <v>155.93</v>
      </c>
      <c r="BQ1475" t="s">
        <v>1539</v>
      </c>
      <c r="BR1475" t="s">
        <v>84</v>
      </c>
      <c r="BS1475" s="3">
        <v>45805</v>
      </c>
      <c r="BT1475" s="4">
        <v>0.30555555555555558</v>
      </c>
      <c r="BU1475" t="s">
        <v>1642</v>
      </c>
      <c r="BV1475" t="s">
        <v>89</v>
      </c>
      <c r="BW1475" t="s">
        <v>340</v>
      </c>
      <c r="BX1475" t="s">
        <v>1315</v>
      </c>
      <c r="BY1475">
        <v>1200</v>
      </c>
      <c r="CA1475" t="s">
        <v>1643</v>
      </c>
      <c r="CC1475" t="s">
        <v>1537</v>
      </c>
      <c r="CD1475">
        <v>7681</v>
      </c>
      <c r="CE1475" t="s">
        <v>88</v>
      </c>
      <c r="CF1475" s="3">
        <v>45792</v>
      </c>
      <c r="CI1475">
        <v>1</v>
      </c>
      <c r="CJ1475">
        <v>10</v>
      </c>
      <c r="CK1475">
        <v>23</v>
      </c>
      <c r="CL1475" t="s">
        <v>89</v>
      </c>
    </row>
    <row r="1476" spans="1:90" x14ac:dyDescent="0.3">
      <c r="A1476" t="s">
        <v>72</v>
      </c>
      <c r="B1476" t="s">
        <v>73</v>
      </c>
      <c r="C1476" t="s">
        <v>74</v>
      </c>
      <c r="E1476" t="str">
        <f>"080065373673"</f>
        <v>080065373673</v>
      </c>
      <c r="F1476" s="3">
        <v>45791</v>
      </c>
      <c r="G1476">
        <v>202602</v>
      </c>
      <c r="H1476" t="s">
        <v>75</v>
      </c>
      <c r="I1476" t="s">
        <v>76</v>
      </c>
      <c r="J1476" t="s">
        <v>77</v>
      </c>
      <c r="K1476" t="s">
        <v>78</v>
      </c>
      <c r="L1476" t="s">
        <v>130</v>
      </c>
      <c r="M1476" t="s">
        <v>131</v>
      </c>
      <c r="N1476" t="s">
        <v>2109</v>
      </c>
      <c r="O1476" t="s">
        <v>82</v>
      </c>
      <c r="P1476" t="str">
        <f>"4170038531                    "</f>
        <v xml:space="preserve">4170038531                    </v>
      </c>
      <c r="Q1476">
        <v>0</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c r="AJ1476">
        <v>0</v>
      </c>
      <c r="AK1476">
        <v>0</v>
      </c>
      <c r="AL1476">
        <v>0</v>
      </c>
      <c r="AM1476">
        <v>0</v>
      </c>
      <c r="AN1476">
        <v>0</v>
      </c>
      <c r="AO1476">
        <v>0</v>
      </c>
      <c r="AP1476">
        <v>0</v>
      </c>
      <c r="AQ1476">
        <v>21.38</v>
      </c>
      <c r="AR1476">
        <v>0</v>
      </c>
      <c r="AS1476">
        <v>0</v>
      </c>
      <c r="AT1476">
        <v>0</v>
      </c>
      <c r="AU1476">
        <v>0</v>
      </c>
      <c r="AV1476">
        <v>0</v>
      </c>
      <c r="AW1476">
        <v>0</v>
      </c>
      <c r="AX1476">
        <v>0</v>
      </c>
      <c r="AY1476">
        <v>0</v>
      </c>
      <c r="AZ1476">
        <v>0</v>
      </c>
      <c r="BA1476">
        <v>0</v>
      </c>
      <c r="BB1476">
        <v>0</v>
      </c>
      <c r="BC1476">
        <v>0</v>
      </c>
      <c r="BD1476">
        <v>0</v>
      </c>
      <c r="BE1476">
        <v>0</v>
      </c>
      <c r="BF1476">
        <v>0</v>
      </c>
      <c r="BG1476">
        <v>0</v>
      </c>
      <c r="BH1476">
        <v>1</v>
      </c>
      <c r="BI1476">
        <v>1</v>
      </c>
      <c r="BJ1476">
        <v>0.9</v>
      </c>
      <c r="BK1476">
        <v>1</v>
      </c>
      <c r="BL1476">
        <v>69.98</v>
      </c>
      <c r="BM1476">
        <v>10.5</v>
      </c>
      <c r="BN1476">
        <v>80.48</v>
      </c>
      <c r="BO1476">
        <v>80.48</v>
      </c>
      <c r="BQ1476" t="s">
        <v>2110</v>
      </c>
      <c r="BR1476" t="s">
        <v>84</v>
      </c>
      <c r="BS1476" s="3">
        <v>45792</v>
      </c>
      <c r="BT1476" s="4">
        <v>0.43402777777777779</v>
      </c>
      <c r="BU1476" t="s">
        <v>2111</v>
      </c>
      <c r="BV1476" t="s">
        <v>86</v>
      </c>
      <c r="BY1476">
        <v>4275</v>
      </c>
      <c r="CA1476" t="s">
        <v>1416</v>
      </c>
      <c r="CC1476" t="s">
        <v>131</v>
      </c>
      <c r="CD1476">
        <v>7925</v>
      </c>
      <c r="CE1476" t="s">
        <v>116</v>
      </c>
      <c r="CF1476" s="3">
        <v>45793</v>
      </c>
      <c r="CI1476">
        <v>1</v>
      </c>
      <c r="CJ1476">
        <v>1</v>
      </c>
      <c r="CK1476">
        <v>21</v>
      </c>
      <c r="CL1476" t="s">
        <v>89</v>
      </c>
    </row>
    <row r="1477" spans="1:90" x14ac:dyDescent="0.3">
      <c r="A1477" t="s">
        <v>72</v>
      </c>
      <c r="B1477" t="s">
        <v>73</v>
      </c>
      <c r="C1477" t="s">
        <v>74</v>
      </c>
      <c r="E1477" t="str">
        <f>"080065373680"</f>
        <v>080065373680</v>
      </c>
      <c r="F1477" s="3">
        <v>45791</v>
      </c>
      <c r="G1477">
        <v>202602</v>
      </c>
      <c r="H1477" t="s">
        <v>75</v>
      </c>
      <c r="I1477" t="s">
        <v>76</v>
      </c>
      <c r="J1477" t="s">
        <v>77</v>
      </c>
      <c r="K1477" t="s">
        <v>78</v>
      </c>
      <c r="L1477" t="s">
        <v>489</v>
      </c>
      <c r="M1477" t="s">
        <v>490</v>
      </c>
      <c r="N1477" t="s">
        <v>491</v>
      </c>
      <c r="O1477" t="s">
        <v>82</v>
      </c>
      <c r="P1477" t="str">
        <f>"4170038370                    "</f>
        <v xml:space="preserve">4170038370                    </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0</v>
      </c>
      <c r="AK1477">
        <v>0</v>
      </c>
      <c r="AL1477">
        <v>0</v>
      </c>
      <c r="AM1477">
        <v>0</v>
      </c>
      <c r="AN1477">
        <v>0</v>
      </c>
      <c r="AO1477">
        <v>0</v>
      </c>
      <c r="AP1477">
        <v>0</v>
      </c>
      <c r="AQ1477">
        <v>41.43</v>
      </c>
      <c r="AR1477">
        <v>0</v>
      </c>
      <c r="AS1477">
        <v>0</v>
      </c>
      <c r="AT1477">
        <v>0</v>
      </c>
      <c r="AU1477">
        <v>0</v>
      </c>
      <c r="AV1477">
        <v>0</v>
      </c>
      <c r="AW1477">
        <v>0</v>
      </c>
      <c r="AX1477">
        <v>0</v>
      </c>
      <c r="AY1477">
        <v>0</v>
      </c>
      <c r="AZ1477">
        <v>0</v>
      </c>
      <c r="BA1477">
        <v>0</v>
      </c>
      <c r="BB1477">
        <v>0</v>
      </c>
      <c r="BC1477">
        <v>0</v>
      </c>
      <c r="BD1477">
        <v>0</v>
      </c>
      <c r="BE1477">
        <v>0</v>
      </c>
      <c r="BF1477">
        <v>0</v>
      </c>
      <c r="BG1477">
        <v>0</v>
      </c>
      <c r="BH1477">
        <v>1</v>
      </c>
      <c r="BI1477">
        <v>1</v>
      </c>
      <c r="BJ1477">
        <v>0.2</v>
      </c>
      <c r="BK1477">
        <v>1</v>
      </c>
      <c r="BL1477">
        <v>135.59</v>
      </c>
      <c r="BM1477">
        <v>20.34</v>
      </c>
      <c r="BN1477">
        <v>155.93</v>
      </c>
      <c r="BO1477">
        <v>155.93</v>
      </c>
      <c r="BQ1477" t="s">
        <v>492</v>
      </c>
      <c r="BR1477" t="s">
        <v>84</v>
      </c>
      <c r="BS1477" s="3">
        <v>45792</v>
      </c>
      <c r="BT1477" s="4">
        <v>0.39583333333333331</v>
      </c>
      <c r="BU1477" t="s">
        <v>493</v>
      </c>
      <c r="BV1477" t="s">
        <v>86</v>
      </c>
      <c r="BY1477">
        <v>1200</v>
      </c>
      <c r="CC1477" t="s">
        <v>490</v>
      </c>
      <c r="CD1477">
        <v>2740</v>
      </c>
      <c r="CE1477" t="s">
        <v>88</v>
      </c>
      <c r="CF1477" s="3">
        <v>45793</v>
      </c>
      <c r="CI1477">
        <v>1</v>
      </c>
      <c r="CJ1477">
        <v>1</v>
      </c>
      <c r="CK1477">
        <v>23</v>
      </c>
      <c r="CL1477" t="s">
        <v>89</v>
      </c>
    </row>
    <row r="1478" spans="1:90" x14ac:dyDescent="0.3">
      <c r="A1478" t="s">
        <v>72</v>
      </c>
      <c r="B1478" t="s">
        <v>73</v>
      </c>
      <c r="C1478" t="s">
        <v>74</v>
      </c>
      <c r="E1478" t="str">
        <f>"080065373699"</f>
        <v>080065373699</v>
      </c>
      <c r="F1478" s="3">
        <v>45791</v>
      </c>
      <c r="G1478">
        <v>202602</v>
      </c>
      <c r="H1478" t="s">
        <v>75</v>
      </c>
      <c r="I1478" t="s">
        <v>76</v>
      </c>
      <c r="J1478" t="s">
        <v>77</v>
      </c>
      <c r="K1478" t="s">
        <v>78</v>
      </c>
      <c r="L1478" t="s">
        <v>123</v>
      </c>
      <c r="M1478" t="s">
        <v>123</v>
      </c>
      <c r="N1478" t="s">
        <v>317</v>
      </c>
      <c r="O1478" t="s">
        <v>82</v>
      </c>
      <c r="P1478" t="str">
        <f>"4170038484                    "</f>
        <v xml:space="preserve">4170038484                    </v>
      </c>
      <c r="Q1478">
        <v>0</v>
      </c>
      <c r="R1478">
        <v>0</v>
      </c>
      <c r="S1478">
        <v>0</v>
      </c>
      <c r="T1478">
        <v>0</v>
      </c>
      <c r="U1478">
        <v>0</v>
      </c>
      <c r="V1478">
        <v>0</v>
      </c>
      <c r="W1478">
        <v>0</v>
      </c>
      <c r="X1478">
        <v>0</v>
      </c>
      <c r="Y1478">
        <v>0</v>
      </c>
      <c r="Z1478">
        <v>0</v>
      </c>
      <c r="AA1478">
        <v>0</v>
      </c>
      <c r="AB1478">
        <v>0</v>
      </c>
      <c r="AC1478">
        <v>0</v>
      </c>
      <c r="AD1478">
        <v>0</v>
      </c>
      <c r="AE1478">
        <v>0</v>
      </c>
      <c r="AF1478">
        <v>0</v>
      </c>
      <c r="AG1478">
        <v>0</v>
      </c>
      <c r="AH1478">
        <v>0</v>
      </c>
      <c r="AI1478">
        <v>0</v>
      </c>
      <c r="AJ1478">
        <v>0</v>
      </c>
      <c r="AK1478">
        <v>0</v>
      </c>
      <c r="AL1478">
        <v>0</v>
      </c>
      <c r="AM1478">
        <v>0</v>
      </c>
      <c r="AN1478">
        <v>0</v>
      </c>
      <c r="AO1478">
        <v>0</v>
      </c>
      <c r="AP1478">
        <v>0</v>
      </c>
      <c r="AQ1478">
        <v>41.43</v>
      </c>
      <c r="AR1478">
        <v>0</v>
      </c>
      <c r="AS1478">
        <v>0</v>
      </c>
      <c r="AT1478">
        <v>0</v>
      </c>
      <c r="AU1478">
        <v>0</v>
      </c>
      <c r="AV1478">
        <v>0</v>
      </c>
      <c r="AW1478">
        <v>0</v>
      </c>
      <c r="AX1478">
        <v>0</v>
      </c>
      <c r="AY1478">
        <v>0</v>
      </c>
      <c r="AZ1478">
        <v>0</v>
      </c>
      <c r="BA1478">
        <v>0</v>
      </c>
      <c r="BB1478">
        <v>0</v>
      </c>
      <c r="BC1478">
        <v>0</v>
      </c>
      <c r="BD1478">
        <v>0</v>
      </c>
      <c r="BE1478">
        <v>0</v>
      </c>
      <c r="BF1478">
        <v>0</v>
      </c>
      <c r="BG1478">
        <v>0</v>
      </c>
      <c r="BH1478">
        <v>1</v>
      </c>
      <c r="BI1478">
        <v>1</v>
      </c>
      <c r="BJ1478">
        <v>1.1000000000000001</v>
      </c>
      <c r="BK1478">
        <v>1.5</v>
      </c>
      <c r="BL1478">
        <v>135.59</v>
      </c>
      <c r="BM1478">
        <v>20.34</v>
      </c>
      <c r="BN1478">
        <v>155.93</v>
      </c>
      <c r="BO1478">
        <v>155.93</v>
      </c>
      <c r="BQ1478" t="s">
        <v>318</v>
      </c>
      <c r="BR1478" t="s">
        <v>84</v>
      </c>
      <c r="BS1478" s="3">
        <v>45792</v>
      </c>
      <c r="BT1478" s="4">
        <v>0.40972222222222221</v>
      </c>
      <c r="BU1478" t="s">
        <v>768</v>
      </c>
      <c r="BV1478" t="s">
        <v>86</v>
      </c>
      <c r="BY1478">
        <v>5320</v>
      </c>
      <c r="CA1478" t="s">
        <v>2044</v>
      </c>
      <c r="CC1478" t="s">
        <v>123</v>
      </c>
      <c r="CD1478">
        <v>7646</v>
      </c>
      <c r="CE1478" t="s">
        <v>116</v>
      </c>
      <c r="CF1478" s="3">
        <v>45793</v>
      </c>
      <c r="CI1478">
        <v>1</v>
      </c>
      <c r="CJ1478">
        <v>1</v>
      </c>
      <c r="CK1478">
        <v>23</v>
      </c>
      <c r="CL1478" t="s">
        <v>89</v>
      </c>
    </row>
    <row r="1479" spans="1:90" x14ac:dyDescent="0.3">
      <c r="A1479" t="s">
        <v>72</v>
      </c>
      <c r="B1479" t="s">
        <v>73</v>
      </c>
      <c r="C1479" t="s">
        <v>74</v>
      </c>
      <c r="E1479" t="str">
        <f>"080065373722"</f>
        <v>080065373722</v>
      </c>
      <c r="F1479" s="3">
        <v>45791</v>
      </c>
      <c r="G1479">
        <v>202602</v>
      </c>
      <c r="H1479" t="s">
        <v>75</v>
      </c>
      <c r="I1479" t="s">
        <v>76</v>
      </c>
      <c r="J1479" t="s">
        <v>77</v>
      </c>
      <c r="K1479" t="s">
        <v>78</v>
      </c>
      <c r="L1479" t="s">
        <v>75</v>
      </c>
      <c r="M1479" t="s">
        <v>76</v>
      </c>
      <c r="N1479" t="s">
        <v>1404</v>
      </c>
      <c r="O1479" t="s">
        <v>82</v>
      </c>
      <c r="P1479" t="str">
        <f>"4170038495                    "</f>
        <v xml:space="preserve">4170038495                    </v>
      </c>
      <c r="Q1479">
        <v>0</v>
      </c>
      <c r="R1479">
        <v>0</v>
      </c>
      <c r="S1479">
        <v>0</v>
      </c>
      <c r="T1479">
        <v>0</v>
      </c>
      <c r="U1479">
        <v>0</v>
      </c>
      <c r="V1479">
        <v>0</v>
      </c>
      <c r="W1479">
        <v>0</v>
      </c>
      <c r="X1479">
        <v>0</v>
      </c>
      <c r="Y1479">
        <v>0</v>
      </c>
      <c r="Z1479">
        <v>0</v>
      </c>
      <c r="AA1479">
        <v>0</v>
      </c>
      <c r="AB1479">
        <v>0</v>
      </c>
      <c r="AC1479">
        <v>0</v>
      </c>
      <c r="AD1479">
        <v>0</v>
      </c>
      <c r="AE1479">
        <v>0</v>
      </c>
      <c r="AF1479">
        <v>0</v>
      </c>
      <c r="AG1479">
        <v>0</v>
      </c>
      <c r="AH1479">
        <v>0</v>
      </c>
      <c r="AI1479">
        <v>0</v>
      </c>
      <c r="AJ1479">
        <v>0</v>
      </c>
      <c r="AK1479">
        <v>0</v>
      </c>
      <c r="AL1479">
        <v>0</v>
      </c>
      <c r="AM1479">
        <v>0</v>
      </c>
      <c r="AN1479">
        <v>0</v>
      </c>
      <c r="AO1479">
        <v>0</v>
      </c>
      <c r="AP1479">
        <v>0</v>
      </c>
      <c r="AQ1479">
        <v>16.7</v>
      </c>
      <c r="AR1479">
        <v>0</v>
      </c>
      <c r="AS1479">
        <v>0</v>
      </c>
      <c r="AT1479">
        <v>0</v>
      </c>
      <c r="AU1479">
        <v>0</v>
      </c>
      <c r="AV1479">
        <v>0</v>
      </c>
      <c r="AW1479">
        <v>0</v>
      </c>
      <c r="AX1479">
        <v>0</v>
      </c>
      <c r="AY1479">
        <v>0</v>
      </c>
      <c r="AZ1479">
        <v>0</v>
      </c>
      <c r="BA1479">
        <v>0</v>
      </c>
      <c r="BB1479">
        <v>0</v>
      </c>
      <c r="BC1479">
        <v>0</v>
      </c>
      <c r="BD1479">
        <v>0</v>
      </c>
      <c r="BE1479">
        <v>0</v>
      </c>
      <c r="BF1479">
        <v>0</v>
      </c>
      <c r="BG1479">
        <v>0</v>
      </c>
      <c r="BH1479">
        <v>1</v>
      </c>
      <c r="BI1479">
        <v>1</v>
      </c>
      <c r="BJ1479">
        <v>0.2</v>
      </c>
      <c r="BK1479">
        <v>1</v>
      </c>
      <c r="BL1479">
        <v>54.66</v>
      </c>
      <c r="BM1479">
        <v>8.1999999999999993</v>
      </c>
      <c r="BN1479">
        <v>62.86</v>
      </c>
      <c r="BO1479">
        <v>62.86</v>
      </c>
      <c r="BQ1479" t="s">
        <v>1405</v>
      </c>
      <c r="BR1479" t="s">
        <v>84</v>
      </c>
      <c r="BS1479" s="3">
        <v>45792</v>
      </c>
      <c r="BT1479" s="4">
        <v>0.35833333333333334</v>
      </c>
      <c r="BU1479" t="s">
        <v>2112</v>
      </c>
      <c r="BV1479" t="s">
        <v>86</v>
      </c>
      <c r="BY1479">
        <v>1200</v>
      </c>
      <c r="CA1479" t="s">
        <v>484</v>
      </c>
      <c r="CC1479" t="s">
        <v>76</v>
      </c>
      <c r="CD1479">
        <v>1601</v>
      </c>
      <c r="CE1479" t="s">
        <v>88</v>
      </c>
      <c r="CF1479" s="3">
        <v>45792</v>
      </c>
      <c r="CI1479">
        <v>1</v>
      </c>
      <c r="CJ1479">
        <v>1</v>
      </c>
      <c r="CK1479">
        <v>22</v>
      </c>
      <c r="CL1479" t="s">
        <v>89</v>
      </c>
    </row>
    <row r="1480" spans="1:90" x14ac:dyDescent="0.3">
      <c r="A1480" t="s">
        <v>72</v>
      </c>
      <c r="B1480" t="s">
        <v>73</v>
      </c>
      <c r="C1480" t="s">
        <v>74</v>
      </c>
      <c r="E1480" t="str">
        <f>"080065373729"</f>
        <v>080065373729</v>
      </c>
      <c r="F1480" s="3">
        <v>45791</v>
      </c>
      <c r="G1480">
        <v>202602</v>
      </c>
      <c r="H1480" t="s">
        <v>75</v>
      </c>
      <c r="I1480" t="s">
        <v>76</v>
      </c>
      <c r="J1480" t="s">
        <v>77</v>
      </c>
      <c r="K1480" t="s">
        <v>78</v>
      </c>
      <c r="L1480" t="s">
        <v>130</v>
      </c>
      <c r="M1480" t="s">
        <v>131</v>
      </c>
      <c r="N1480" t="s">
        <v>909</v>
      </c>
      <c r="O1480" t="s">
        <v>82</v>
      </c>
      <c r="P1480" t="str">
        <f>"4170038446                    "</f>
        <v xml:space="preserve">4170038446                    </v>
      </c>
      <c r="Q1480">
        <v>0</v>
      </c>
      <c r="R1480">
        <v>0</v>
      </c>
      <c r="S1480">
        <v>0</v>
      </c>
      <c r="T1480">
        <v>0</v>
      </c>
      <c r="U1480">
        <v>0</v>
      </c>
      <c r="V1480">
        <v>0</v>
      </c>
      <c r="W1480">
        <v>0</v>
      </c>
      <c r="X1480">
        <v>0</v>
      </c>
      <c r="Y1480">
        <v>0</v>
      </c>
      <c r="Z1480">
        <v>0</v>
      </c>
      <c r="AA1480">
        <v>0</v>
      </c>
      <c r="AB1480">
        <v>0</v>
      </c>
      <c r="AC1480">
        <v>0</v>
      </c>
      <c r="AD1480">
        <v>0</v>
      </c>
      <c r="AE1480">
        <v>0</v>
      </c>
      <c r="AF1480">
        <v>0</v>
      </c>
      <c r="AG1480">
        <v>0</v>
      </c>
      <c r="AH1480">
        <v>0</v>
      </c>
      <c r="AI1480">
        <v>0</v>
      </c>
      <c r="AJ1480">
        <v>0</v>
      </c>
      <c r="AK1480">
        <v>0</v>
      </c>
      <c r="AL1480">
        <v>0</v>
      </c>
      <c r="AM1480">
        <v>0</v>
      </c>
      <c r="AN1480">
        <v>0</v>
      </c>
      <c r="AO1480">
        <v>0</v>
      </c>
      <c r="AP1480">
        <v>0</v>
      </c>
      <c r="AQ1480">
        <v>21.38</v>
      </c>
      <c r="AR1480">
        <v>0</v>
      </c>
      <c r="AS1480">
        <v>0</v>
      </c>
      <c r="AT1480">
        <v>0</v>
      </c>
      <c r="AU1480">
        <v>0</v>
      </c>
      <c r="AV1480">
        <v>0</v>
      </c>
      <c r="AW1480">
        <v>0</v>
      </c>
      <c r="AX1480">
        <v>0</v>
      </c>
      <c r="AY1480">
        <v>0</v>
      </c>
      <c r="AZ1480">
        <v>0</v>
      </c>
      <c r="BA1480">
        <v>0</v>
      </c>
      <c r="BB1480">
        <v>0</v>
      </c>
      <c r="BC1480">
        <v>0</v>
      </c>
      <c r="BD1480">
        <v>0</v>
      </c>
      <c r="BE1480">
        <v>0</v>
      </c>
      <c r="BF1480">
        <v>0</v>
      </c>
      <c r="BG1480">
        <v>0</v>
      </c>
      <c r="BH1480">
        <v>1</v>
      </c>
      <c r="BI1480">
        <v>1</v>
      </c>
      <c r="BJ1480">
        <v>0.6</v>
      </c>
      <c r="BK1480">
        <v>1</v>
      </c>
      <c r="BL1480">
        <v>69.98</v>
      </c>
      <c r="BM1480">
        <v>10.5</v>
      </c>
      <c r="BN1480">
        <v>80.48</v>
      </c>
      <c r="BO1480">
        <v>80.48</v>
      </c>
      <c r="BQ1480" t="s">
        <v>910</v>
      </c>
      <c r="BR1480" t="s">
        <v>84</v>
      </c>
      <c r="BS1480" s="3">
        <v>45792</v>
      </c>
      <c r="BT1480" s="4">
        <v>0.34027777777777779</v>
      </c>
      <c r="BU1480" t="s">
        <v>2024</v>
      </c>
      <c r="BV1480" t="s">
        <v>86</v>
      </c>
      <c r="BY1480">
        <v>3192</v>
      </c>
      <c r="CA1480" t="s">
        <v>712</v>
      </c>
      <c r="CC1480" t="s">
        <v>131</v>
      </c>
      <c r="CD1480">
        <v>7530</v>
      </c>
      <c r="CE1480" t="s">
        <v>116</v>
      </c>
      <c r="CF1480" s="3">
        <v>45793</v>
      </c>
      <c r="CI1480">
        <v>1</v>
      </c>
      <c r="CJ1480">
        <v>1</v>
      </c>
      <c r="CK1480">
        <v>21</v>
      </c>
      <c r="CL1480" t="s">
        <v>89</v>
      </c>
    </row>
    <row r="1481" spans="1:90" x14ac:dyDescent="0.3">
      <c r="A1481" t="s">
        <v>72</v>
      </c>
      <c r="B1481" t="s">
        <v>73</v>
      </c>
      <c r="C1481" t="s">
        <v>74</v>
      </c>
      <c r="E1481" t="str">
        <f>"080065373741"</f>
        <v>080065373741</v>
      </c>
      <c r="F1481" s="3">
        <v>45791</v>
      </c>
      <c r="G1481">
        <v>202602</v>
      </c>
      <c r="H1481" t="s">
        <v>75</v>
      </c>
      <c r="I1481" t="s">
        <v>76</v>
      </c>
      <c r="J1481" t="s">
        <v>77</v>
      </c>
      <c r="K1481" t="s">
        <v>78</v>
      </c>
      <c r="L1481" t="s">
        <v>374</v>
      </c>
      <c r="M1481" t="s">
        <v>375</v>
      </c>
      <c r="N1481" t="s">
        <v>376</v>
      </c>
      <c r="O1481" t="s">
        <v>82</v>
      </c>
      <c r="P1481" t="str">
        <f>"4170038486                    "</f>
        <v xml:space="preserve">4170038486                    </v>
      </c>
      <c r="Q1481">
        <v>0</v>
      </c>
      <c r="R1481">
        <v>0</v>
      </c>
      <c r="S1481">
        <v>0</v>
      </c>
      <c r="T1481">
        <v>0</v>
      </c>
      <c r="U1481">
        <v>0</v>
      </c>
      <c r="V1481">
        <v>0</v>
      </c>
      <c r="W1481">
        <v>0</v>
      </c>
      <c r="X1481">
        <v>0</v>
      </c>
      <c r="Y1481">
        <v>0</v>
      </c>
      <c r="Z1481">
        <v>0</v>
      </c>
      <c r="AA1481">
        <v>0</v>
      </c>
      <c r="AB1481">
        <v>0</v>
      </c>
      <c r="AC1481">
        <v>0</v>
      </c>
      <c r="AD1481">
        <v>0</v>
      </c>
      <c r="AE1481">
        <v>0</v>
      </c>
      <c r="AF1481">
        <v>0</v>
      </c>
      <c r="AG1481">
        <v>0</v>
      </c>
      <c r="AH1481">
        <v>0</v>
      </c>
      <c r="AI1481">
        <v>0</v>
      </c>
      <c r="AJ1481">
        <v>0</v>
      </c>
      <c r="AK1481">
        <v>0</v>
      </c>
      <c r="AL1481">
        <v>0</v>
      </c>
      <c r="AM1481">
        <v>0</v>
      </c>
      <c r="AN1481">
        <v>0</v>
      </c>
      <c r="AO1481">
        <v>0</v>
      </c>
      <c r="AP1481">
        <v>0</v>
      </c>
      <c r="AQ1481">
        <v>41.43</v>
      </c>
      <c r="AR1481">
        <v>0</v>
      </c>
      <c r="AS1481">
        <v>0</v>
      </c>
      <c r="AT1481">
        <v>0</v>
      </c>
      <c r="AU1481">
        <v>0</v>
      </c>
      <c r="AV1481">
        <v>0</v>
      </c>
      <c r="AW1481">
        <v>0</v>
      </c>
      <c r="AX1481">
        <v>0</v>
      </c>
      <c r="AY1481">
        <v>0</v>
      </c>
      <c r="AZ1481">
        <v>0</v>
      </c>
      <c r="BA1481">
        <v>0</v>
      </c>
      <c r="BB1481">
        <v>0</v>
      </c>
      <c r="BC1481">
        <v>0</v>
      </c>
      <c r="BD1481">
        <v>0</v>
      </c>
      <c r="BE1481">
        <v>0</v>
      </c>
      <c r="BF1481">
        <v>0</v>
      </c>
      <c r="BG1481">
        <v>0</v>
      </c>
      <c r="BH1481">
        <v>1</v>
      </c>
      <c r="BI1481">
        <v>1</v>
      </c>
      <c r="BJ1481">
        <v>0.2</v>
      </c>
      <c r="BK1481">
        <v>1</v>
      </c>
      <c r="BL1481">
        <v>135.59</v>
      </c>
      <c r="BM1481">
        <v>20.34</v>
      </c>
      <c r="BN1481">
        <v>155.93</v>
      </c>
      <c r="BO1481">
        <v>155.93</v>
      </c>
      <c r="BQ1481" t="s">
        <v>377</v>
      </c>
      <c r="BR1481" t="s">
        <v>84</v>
      </c>
      <c r="BS1481" s="3">
        <v>45792</v>
      </c>
      <c r="BT1481" s="4">
        <v>0.4</v>
      </c>
      <c r="BU1481" t="s">
        <v>378</v>
      </c>
      <c r="BV1481" t="s">
        <v>86</v>
      </c>
      <c r="BY1481">
        <v>1200</v>
      </c>
      <c r="CA1481" t="s">
        <v>379</v>
      </c>
      <c r="CC1481" t="s">
        <v>375</v>
      </c>
      <c r="CD1481">
        <v>7130</v>
      </c>
      <c r="CE1481" t="s">
        <v>88</v>
      </c>
      <c r="CF1481" s="3">
        <v>45793</v>
      </c>
      <c r="CI1481">
        <v>1</v>
      </c>
      <c r="CJ1481">
        <v>1</v>
      </c>
      <c r="CK1481">
        <v>23</v>
      </c>
      <c r="CL1481" t="s">
        <v>89</v>
      </c>
    </row>
    <row r="1482" spans="1:90" x14ac:dyDescent="0.3">
      <c r="A1482" t="s">
        <v>72</v>
      </c>
      <c r="B1482" t="s">
        <v>73</v>
      </c>
      <c r="C1482" t="s">
        <v>74</v>
      </c>
      <c r="E1482" t="str">
        <f>"080065373759"</f>
        <v>080065373759</v>
      </c>
      <c r="F1482" s="3">
        <v>45791</v>
      </c>
      <c r="G1482">
        <v>202602</v>
      </c>
      <c r="H1482" t="s">
        <v>75</v>
      </c>
      <c r="I1482" t="s">
        <v>76</v>
      </c>
      <c r="J1482" t="s">
        <v>77</v>
      </c>
      <c r="K1482" t="s">
        <v>78</v>
      </c>
      <c r="L1482" t="s">
        <v>75</v>
      </c>
      <c r="M1482" t="s">
        <v>76</v>
      </c>
      <c r="N1482" t="s">
        <v>2113</v>
      </c>
      <c r="O1482" t="s">
        <v>82</v>
      </c>
      <c r="P1482" t="str">
        <f>"4170038437                    "</f>
        <v xml:space="preserve">4170038437                    </v>
      </c>
      <c r="Q1482">
        <v>0</v>
      </c>
      <c r="R1482">
        <v>0</v>
      </c>
      <c r="S1482">
        <v>0</v>
      </c>
      <c r="T1482">
        <v>0</v>
      </c>
      <c r="U1482">
        <v>0</v>
      </c>
      <c r="V1482">
        <v>0</v>
      </c>
      <c r="W1482">
        <v>0</v>
      </c>
      <c r="X1482">
        <v>0</v>
      </c>
      <c r="Y1482">
        <v>0</v>
      </c>
      <c r="Z1482">
        <v>0</v>
      </c>
      <c r="AA1482">
        <v>0</v>
      </c>
      <c r="AB1482">
        <v>0</v>
      </c>
      <c r="AC1482">
        <v>0</v>
      </c>
      <c r="AD1482">
        <v>0</v>
      </c>
      <c r="AE1482">
        <v>0</v>
      </c>
      <c r="AF1482">
        <v>0</v>
      </c>
      <c r="AG1482">
        <v>0</v>
      </c>
      <c r="AH1482">
        <v>0</v>
      </c>
      <c r="AI1482">
        <v>0</v>
      </c>
      <c r="AJ1482">
        <v>0</v>
      </c>
      <c r="AK1482">
        <v>0</v>
      </c>
      <c r="AL1482">
        <v>0</v>
      </c>
      <c r="AM1482">
        <v>0</v>
      </c>
      <c r="AN1482">
        <v>0</v>
      </c>
      <c r="AO1482">
        <v>0</v>
      </c>
      <c r="AP1482">
        <v>0</v>
      </c>
      <c r="AQ1482">
        <v>16.7</v>
      </c>
      <c r="AR1482">
        <v>0</v>
      </c>
      <c r="AS1482">
        <v>0</v>
      </c>
      <c r="AT1482">
        <v>0</v>
      </c>
      <c r="AU1482">
        <v>0</v>
      </c>
      <c r="AV1482">
        <v>0</v>
      </c>
      <c r="AW1482">
        <v>0</v>
      </c>
      <c r="AX1482">
        <v>0</v>
      </c>
      <c r="AY1482">
        <v>0</v>
      </c>
      <c r="AZ1482">
        <v>0</v>
      </c>
      <c r="BA1482">
        <v>0</v>
      </c>
      <c r="BB1482">
        <v>0</v>
      </c>
      <c r="BC1482">
        <v>0</v>
      </c>
      <c r="BD1482">
        <v>0</v>
      </c>
      <c r="BE1482">
        <v>0</v>
      </c>
      <c r="BF1482">
        <v>0</v>
      </c>
      <c r="BG1482">
        <v>0</v>
      </c>
      <c r="BH1482">
        <v>1</v>
      </c>
      <c r="BI1482">
        <v>3</v>
      </c>
      <c r="BJ1482">
        <v>1.7</v>
      </c>
      <c r="BK1482">
        <v>3</v>
      </c>
      <c r="BL1482">
        <v>54.66</v>
      </c>
      <c r="BM1482">
        <v>8.1999999999999993</v>
      </c>
      <c r="BN1482">
        <v>62.86</v>
      </c>
      <c r="BO1482">
        <v>62.86</v>
      </c>
      <c r="BQ1482" t="s">
        <v>2114</v>
      </c>
      <c r="BR1482" t="s">
        <v>84</v>
      </c>
      <c r="BS1482" s="3">
        <v>45792</v>
      </c>
      <c r="BT1482" s="4">
        <v>0.37291666666666667</v>
      </c>
      <c r="BU1482" t="s">
        <v>1113</v>
      </c>
      <c r="BV1482" t="s">
        <v>86</v>
      </c>
      <c r="BY1482">
        <v>8512</v>
      </c>
      <c r="CA1482" t="s">
        <v>383</v>
      </c>
      <c r="CC1482" t="s">
        <v>76</v>
      </c>
      <c r="CD1482">
        <v>1609</v>
      </c>
      <c r="CE1482" t="s">
        <v>176</v>
      </c>
      <c r="CF1482" s="3">
        <v>45792</v>
      </c>
      <c r="CI1482">
        <v>1</v>
      </c>
      <c r="CJ1482">
        <v>1</v>
      </c>
      <c r="CK1482">
        <v>22</v>
      </c>
      <c r="CL1482" t="s">
        <v>89</v>
      </c>
    </row>
    <row r="1483" spans="1:90" x14ac:dyDescent="0.3">
      <c r="A1483" t="s">
        <v>72</v>
      </c>
      <c r="B1483" t="s">
        <v>73</v>
      </c>
      <c r="C1483" t="s">
        <v>74</v>
      </c>
      <c r="E1483" t="str">
        <f>"080065373763"</f>
        <v>080065373763</v>
      </c>
      <c r="F1483" s="3">
        <v>45791</v>
      </c>
      <c r="G1483">
        <v>202602</v>
      </c>
      <c r="H1483" t="s">
        <v>75</v>
      </c>
      <c r="I1483" t="s">
        <v>76</v>
      </c>
      <c r="J1483" t="s">
        <v>77</v>
      </c>
      <c r="K1483" t="s">
        <v>78</v>
      </c>
      <c r="L1483" t="s">
        <v>117</v>
      </c>
      <c r="M1483" t="s">
        <v>118</v>
      </c>
      <c r="N1483" t="s">
        <v>532</v>
      </c>
      <c r="O1483" t="s">
        <v>82</v>
      </c>
      <c r="P1483" t="str">
        <f>"4170038517                    "</f>
        <v xml:space="preserve">4170038517                    </v>
      </c>
      <c r="Q1483">
        <v>0</v>
      </c>
      <c r="R1483">
        <v>0</v>
      </c>
      <c r="S1483">
        <v>0</v>
      </c>
      <c r="T1483">
        <v>0</v>
      </c>
      <c r="U1483">
        <v>0</v>
      </c>
      <c r="V1483">
        <v>0</v>
      </c>
      <c r="W1483">
        <v>0</v>
      </c>
      <c r="X1483">
        <v>0</v>
      </c>
      <c r="Y1483">
        <v>0</v>
      </c>
      <c r="Z1483">
        <v>0</v>
      </c>
      <c r="AA1483">
        <v>0</v>
      </c>
      <c r="AB1483">
        <v>0</v>
      </c>
      <c r="AC1483">
        <v>0</v>
      </c>
      <c r="AD1483">
        <v>0</v>
      </c>
      <c r="AE1483">
        <v>0</v>
      </c>
      <c r="AF1483">
        <v>0</v>
      </c>
      <c r="AG1483">
        <v>0</v>
      </c>
      <c r="AH1483">
        <v>0</v>
      </c>
      <c r="AI1483">
        <v>0</v>
      </c>
      <c r="AJ1483">
        <v>0</v>
      </c>
      <c r="AK1483">
        <v>0</v>
      </c>
      <c r="AL1483">
        <v>0</v>
      </c>
      <c r="AM1483">
        <v>0</v>
      </c>
      <c r="AN1483">
        <v>0</v>
      </c>
      <c r="AO1483">
        <v>0</v>
      </c>
      <c r="AP1483">
        <v>0</v>
      </c>
      <c r="AQ1483">
        <v>16.7</v>
      </c>
      <c r="AR1483">
        <v>0</v>
      </c>
      <c r="AS1483">
        <v>0</v>
      </c>
      <c r="AT1483">
        <v>0</v>
      </c>
      <c r="AU1483">
        <v>0</v>
      </c>
      <c r="AV1483">
        <v>0</v>
      </c>
      <c r="AW1483">
        <v>0</v>
      </c>
      <c r="AX1483">
        <v>0</v>
      </c>
      <c r="AY1483">
        <v>0</v>
      </c>
      <c r="AZ1483">
        <v>0</v>
      </c>
      <c r="BA1483">
        <v>0</v>
      </c>
      <c r="BB1483">
        <v>0</v>
      </c>
      <c r="BC1483">
        <v>0</v>
      </c>
      <c r="BD1483">
        <v>0</v>
      </c>
      <c r="BE1483">
        <v>0</v>
      </c>
      <c r="BF1483">
        <v>0</v>
      </c>
      <c r="BG1483">
        <v>0</v>
      </c>
      <c r="BH1483">
        <v>1</v>
      </c>
      <c r="BI1483">
        <v>1</v>
      </c>
      <c r="BJ1483">
        <v>0.2</v>
      </c>
      <c r="BK1483">
        <v>1</v>
      </c>
      <c r="BL1483">
        <v>54.66</v>
      </c>
      <c r="BM1483">
        <v>8.1999999999999993</v>
      </c>
      <c r="BN1483">
        <v>62.86</v>
      </c>
      <c r="BO1483">
        <v>62.86</v>
      </c>
      <c r="BQ1483" t="s">
        <v>533</v>
      </c>
      <c r="BR1483" t="s">
        <v>84</v>
      </c>
      <c r="BS1483" s="3">
        <v>45792</v>
      </c>
      <c r="BT1483" s="4">
        <v>0.42569444444444443</v>
      </c>
      <c r="BU1483" t="s">
        <v>2115</v>
      </c>
      <c r="BV1483" t="s">
        <v>86</v>
      </c>
      <c r="BY1483">
        <v>1200</v>
      </c>
      <c r="CA1483" t="s">
        <v>535</v>
      </c>
      <c r="CC1483" t="s">
        <v>118</v>
      </c>
      <c r="CD1483">
        <v>2094</v>
      </c>
      <c r="CE1483" t="s">
        <v>176</v>
      </c>
      <c r="CF1483" s="3">
        <v>45792</v>
      </c>
      <c r="CI1483">
        <v>1</v>
      </c>
      <c r="CJ1483">
        <v>1</v>
      </c>
      <c r="CK1483">
        <v>22</v>
      </c>
      <c r="CL1483" t="s">
        <v>89</v>
      </c>
    </row>
    <row r="1484" spans="1:90" x14ac:dyDescent="0.3">
      <c r="A1484" t="s">
        <v>72</v>
      </c>
      <c r="B1484" t="s">
        <v>73</v>
      </c>
      <c r="C1484" t="s">
        <v>74</v>
      </c>
      <c r="E1484" t="str">
        <f>"080065373778"</f>
        <v>080065373778</v>
      </c>
      <c r="F1484" s="3">
        <v>45791</v>
      </c>
      <c r="G1484">
        <v>202602</v>
      </c>
      <c r="H1484" t="s">
        <v>75</v>
      </c>
      <c r="I1484" t="s">
        <v>76</v>
      </c>
      <c r="J1484" t="s">
        <v>77</v>
      </c>
      <c r="K1484" t="s">
        <v>78</v>
      </c>
      <c r="L1484" t="s">
        <v>136</v>
      </c>
      <c r="M1484" t="s">
        <v>137</v>
      </c>
      <c r="N1484" t="s">
        <v>1307</v>
      </c>
      <c r="O1484" t="s">
        <v>82</v>
      </c>
      <c r="P1484" t="str">
        <f>"4170038485                    "</f>
        <v xml:space="preserve">4170038485                    </v>
      </c>
      <c r="Q1484">
        <v>0</v>
      </c>
      <c r="R1484">
        <v>0</v>
      </c>
      <c r="S1484">
        <v>0</v>
      </c>
      <c r="T1484">
        <v>0</v>
      </c>
      <c r="U1484">
        <v>0</v>
      </c>
      <c r="V1484">
        <v>0</v>
      </c>
      <c r="W1484">
        <v>0</v>
      </c>
      <c r="X1484">
        <v>0</v>
      </c>
      <c r="Y1484">
        <v>0</v>
      </c>
      <c r="Z1484">
        <v>0</v>
      </c>
      <c r="AA1484">
        <v>0</v>
      </c>
      <c r="AB1484">
        <v>0</v>
      </c>
      <c r="AC1484">
        <v>0</v>
      </c>
      <c r="AD1484">
        <v>0</v>
      </c>
      <c r="AE1484">
        <v>0</v>
      </c>
      <c r="AF1484">
        <v>0</v>
      </c>
      <c r="AG1484">
        <v>0</v>
      </c>
      <c r="AH1484">
        <v>0</v>
      </c>
      <c r="AI1484">
        <v>0</v>
      </c>
      <c r="AJ1484">
        <v>0</v>
      </c>
      <c r="AK1484">
        <v>0</v>
      </c>
      <c r="AL1484">
        <v>0</v>
      </c>
      <c r="AM1484">
        <v>0</v>
      </c>
      <c r="AN1484">
        <v>0</v>
      </c>
      <c r="AO1484">
        <v>0</v>
      </c>
      <c r="AP1484">
        <v>0</v>
      </c>
      <c r="AQ1484">
        <v>21.38</v>
      </c>
      <c r="AR1484">
        <v>0</v>
      </c>
      <c r="AS1484">
        <v>0</v>
      </c>
      <c r="AT1484">
        <v>0</v>
      </c>
      <c r="AU1484">
        <v>0</v>
      </c>
      <c r="AV1484">
        <v>0</v>
      </c>
      <c r="AW1484">
        <v>0</v>
      </c>
      <c r="AX1484">
        <v>0</v>
      </c>
      <c r="AY1484">
        <v>0</v>
      </c>
      <c r="AZ1484">
        <v>0</v>
      </c>
      <c r="BA1484">
        <v>0</v>
      </c>
      <c r="BB1484">
        <v>0</v>
      </c>
      <c r="BC1484">
        <v>0</v>
      </c>
      <c r="BD1484">
        <v>0</v>
      </c>
      <c r="BE1484">
        <v>0</v>
      </c>
      <c r="BF1484">
        <v>0</v>
      </c>
      <c r="BG1484">
        <v>0</v>
      </c>
      <c r="BH1484">
        <v>1</v>
      </c>
      <c r="BI1484">
        <v>1</v>
      </c>
      <c r="BJ1484">
        <v>0.2</v>
      </c>
      <c r="BK1484">
        <v>1</v>
      </c>
      <c r="BL1484">
        <v>69.98</v>
      </c>
      <c r="BM1484">
        <v>10.5</v>
      </c>
      <c r="BN1484">
        <v>80.48</v>
      </c>
      <c r="BO1484">
        <v>80.48</v>
      </c>
      <c r="BQ1484" t="s">
        <v>1308</v>
      </c>
      <c r="BR1484" t="s">
        <v>84</v>
      </c>
      <c r="BS1484" s="3">
        <v>45792</v>
      </c>
      <c r="BT1484" s="4">
        <v>0.39374999999999999</v>
      </c>
      <c r="BU1484" t="s">
        <v>1309</v>
      </c>
      <c r="BV1484" t="s">
        <v>86</v>
      </c>
      <c r="BY1484">
        <v>1200</v>
      </c>
      <c r="CA1484" t="s">
        <v>141</v>
      </c>
      <c r="CC1484" t="s">
        <v>137</v>
      </c>
      <c r="CD1484" s="5" t="s">
        <v>142</v>
      </c>
      <c r="CE1484" t="s">
        <v>176</v>
      </c>
      <c r="CF1484" s="3">
        <v>45792</v>
      </c>
      <c r="CI1484">
        <v>1</v>
      </c>
      <c r="CJ1484">
        <v>1</v>
      </c>
      <c r="CK1484">
        <v>21</v>
      </c>
      <c r="CL1484" t="s">
        <v>89</v>
      </c>
    </row>
    <row r="1485" spans="1:90" x14ac:dyDescent="0.3">
      <c r="A1485" t="s">
        <v>72</v>
      </c>
      <c r="B1485" t="s">
        <v>73</v>
      </c>
      <c r="C1485" t="s">
        <v>74</v>
      </c>
      <c r="E1485" t="str">
        <f>"080065374034"</f>
        <v>080065374034</v>
      </c>
      <c r="F1485" s="3">
        <v>45791</v>
      </c>
      <c r="G1485">
        <v>202602</v>
      </c>
      <c r="H1485" t="s">
        <v>75</v>
      </c>
      <c r="I1485" t="s">
        <v>76</v>
      </c>
      <c r="J1485" t="s">
        <v>77</v>
      </c>
      <c r="K1485" t="s">
        <v>78</v>
      </c>
      <c r="L1485" t="s">
        <v>90</v>
      </c>
      <c r="M1485" t="s">
        <v>91</v>
      </c>
      <c r="N1485" t="s">
        <v>2116</v>
      </c>
      <c r="O1485" t="s">
        <v>82</v>
      </c>
      <c r="P1485" t="str">
        <f>"4170038435                    "</f>
        <v xml:space="preserve">4170038435                    </v>
      </c>
      <c r="Q1485">
        <v>0</v>
      </c>
      <c r="R1485">
        <v>0</v>
      </c>
      <c r="S1485">
        <v>0</v>
      </c>
      <c r="T1485">
        <v>0</v>
      </c>
      <c r="U1485">
        <v>0</v>
      </c>
      <c r="V1485">
        <v>0</v>
      </c>
      <c r="W1485">
        <v>0</v>
      </c>
      <c r="X1485">
        <v>0</v>
      </c>
      <c r="Y1485">
        <v>0</v>
      </c>
      <c r="Z1485">
        <v>0</v>
      </c>
      <c r="AA1485">
        <v>0</v>
      </c>
      <c r="AB1485">
        <v>0</v>
      </c>
      <c r="AC1485">
        <v>0</v>
      </c>
      <c r="AD1485">
        <v>0</v>
      </c>
      <c r="AE1485">
        <v>0</v>
      </c>
      <c r="AF1485">
        <v>0</v>
      </c>
      <c r="AG1485">
        <v>0</v>
      </c>
      <c r="AH1485">
        <v>0</v>
      </c>
      <c r="AI1485">
        <v>0</v>
      </c>
      <c r="AJ1485">
        <v>0</v>
      </c>
      <c r="AK1485">
        <v>0</v>
      </c>
      <c r="AL1485">
        <v>0</v>
      </c>
      <c r="AM1485">
        <v>0</v>
      </c>
      <c r="AN1485">
        <v>0</v>
      </c>
      <c r="AO1485">
        <v>0</v>
      </c>
      <c r="AP1485">
        <v>0</v>
      </c>
      <c r="AQ1485">
        <v>21.38</v>
      </c>
      <c r="AR1485">
        <v>0</v>
      </c>
      <c r="AS1485">
        <v>0</v>
      </c>
      <c r="AT1485">
        <v>0</v>
      </c>
      <c r="AU1485">
        <v>0</v>
      </c>
      <c r="AV1485">
        <v>0</v>
      </c>
      <c r="AW1485">
        <v>0</v>
      </c>
      <c r="AX1485">
        <v>0</v>
      </c>
      <c r="AY1485">
        <v>0</v>
      </c>
      <c r="AZ1485">
        <v>0</v>
      </c>
      <c r="BA1485">
        <v>0</v>
      </c>
      <c r="BB1485">
        <v>0</v>
      </c>
      <c r="BC1485">
        <v>0</v>
      </c>
      <c r="BD1485">
        <v>0</v>
      </c>
      <c r="BE1485">
        <v>0</v>
      </c>
      <c r="BF1485">
        <v>0</v>
      </c>
      <c r="BG1485">
        <v>0</v>
      </c>
      <c r="BH1485">
        <v>1</v>
      </c>
      <c r="BI1485">
        <v>1</v>
      </c>
      <c r="BJ1485">
        <v>0.2</v>
      </c>
      <c r="BK1485">
        <v>1</v>
      </c>
      <c r="BL1485">
        <v>69.98</v>
      </c>
      <c r="BM1485">
        <v>10.5</v>
      </c>
      <c r="BN1485">
        <v>80.48</v>
      </c>
      <c r="BO1485">
        <v>80.48</v>
      </c>
      <c r="BQ1485" t="s">
        <v>470</v>
      </c>
      <c r="BR1485" t="s">
        <v>84</v>
      </c>
      <c r="BS1485" s="3">
        <v>45792</v>
      </c>
      <c r="BT1485" s="4">
        <v>0.3923611111111111</v>
      </c>
      <c r="BU1485" t="s">
        <v>2117</v>
      </c>
      <c r="BV1485" t="s">
        <v>86</v>
      </c>
      <c r="BY1485">
        <v>1200</v>
      </c>
      <c r="CA1485" t="s">
        <v>182</v>
      </c>
      <c r="CC1485" t="s">
        <v>91</v>
      </c>
      <c r="CD1485">
        <v>6001</v>
      </c>
      <c r="CE1485" t="s">
        <v>88</v>
      </c>
      <c r="CF1485" s="3">
        <v>45792</v>
      </c>
      <c r="CI1485">
        <v>1</v>
      </c>
      <c r="CJ1485">
        <v>1</v>
      </c>
      <c r="CK1485">
        <v>21</v>
      </c>
      <c r="CL1485" t="s">
        <v>89</v>
      </c>
    </row>
    <row r="1486" spans="1:90" x14ac:dyDescent="0.3">
      <c r="A1486" t="s">
        <v>72</v>
      </c>
      <c r="B1486" t="s">
        <v>73</v>
      </c>
      <c r="C1486" t="s">
        <v>74</v>
      </c>
      <c r="E1486" t="str">
        <f>"080065374062"</f>
        <v>080065374062</v>
      </c>
      <c r="F1486" s="3">
        <v>45791</v>
      </c>
      <c r="G1486">
        <v>202602</v>
      </c>
      <c r="H1486" t="s">
        <v>75</v>
      </c>
      <c r="I1486" t="s">
        <v>76</v>
      </c>
      <c r="J1486" t="s">
        <v>77</v>
      </c>
      <c r="K1486" t="s">
        <v>78</v>
      </c>
      <c r="L1486" t="s">
        <v>79</v>
      </c>
      <c r="M1486" t="s">
        <v>80</v>
      </c>
      <c r="N1486" t="s">
        <v>880</v>
      </c>
      <c r="O1486" t="s">
        <v>82</v>
      </c>
      <c r="P1486" t="str">
        <f>"4170038473                    "</f>
        <v xml:space="preserve">4170038473                    </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c r="AK1486">
        <v>0</v>
      </c>
      <c r="AL1486">
        <v>0</v>
      </c>
      <c r="AM1486">
        <v>0</v>
      </c>
      <c r="AN1486">
        <v>0</v>
      </c>
      <c r="AO1486">
        <v>0</v>
      </c>
      <c r="AP1486">
        <v>0</v>
      </c>
      <c r="AQ1486">
        <v>21.38</v>
      </c>
      <c r="AR1486">
        <v>0</v>
      </c>
      <c r="AS1486">
        <v>0</v>
      </c>
      <c r="AT1486">
        <v>0</v>
      </c>
      <c r="AU1486">
        <v>0</v>
      </c>
      <c r="AV1486">
        <v>0</v>
      </c>
      <c r="AW1486">
        <v>0</v>
      </c>
      <c r="AX1486">
        <v>0</v>
      </c>
      <c r="AY1486">
        <v>0</v>
      </c>
      <c r="AZ1486">
        <v>0</v>
      </c>
      <c r="BA1486">
        <v>0</v>
      </c>
      <c r="BB1486">
        <v>0</v>
      </c>
      <c r="BC1486">
        <v>0</v>
      </c>
      <c r="BD1486">
        <v>0</v>
      </c>
      <c r="BE1486">
        <v>0</v>
      </c>
      <c r="BF1486">
        <v>0</v>
      </c>
      <c r="BG1486">
        <v>0</v>
      </c>
      <c r="BH1486">
        <v>1</v>
      </c>
      <c r="BI1486">
        <v>1</v>
      </c>
      <c r="BJ1486">
        <v>0.2</v>
      </c>
      <c r="BK1486">
        <v>1</v>
      </c>
      <c r="BL1486">
        <v>69.98</v>
      </c>
      <c r="BM1486">
        <v>10.5</v>
      </c>
      <c r="BN1486">
        <v>80.48</v>
      </c>
      <c r="BO1486">
        <v>80.48</v>
      </c>
      <c r="BQ1486" t="s">
        <v>881</v>
      </c>
      <c r="BR1486" t="s">
        <v>84</v>
      </c>
      <c r="BS1486" s="3">
        <v>45792</v>
      </c>
      <c r="BT1486" s="4">
        <v>0.46250000000000002</v>
      </c>
      <c r="BU1486" t="s">
        <v>882</v>
      </c>
      <c r="BV1486" t="s">
        <v>89</v>
      </c>
      <c r="BW1486" t="s">
        <v>434</v>
      </c>
      <c r="BX1486" t="s">
        <v>1829</v>
      </c>
      <c r="BY1486">
        <v>1200</v>
      </c>
      <c r="CA1486" t="s">
        <v>160</v>
      </c>
      <c r="CC1486" t="s">
        <v>80</v>
      </c>
      <c r="CD1486">
        <v>3620</v>
      </c>
      <c r="CE1486" t="s">
        <v>88</v>
      </c>
      <c r="CF1486" s="3">
        <v>45793</v>
      </c>
      <c r="CI1486">
        <v>1</v>
      </c>
      <c r="CJ1486">
        <v>1</v>
      </c>
      <c r="CK1486">
        <v>21</v>
      </c>
      <c r="CL1486" t="s">
        <v>89</v>
      </c>
    </row>
    <row r="1487" spans="1:90" x14ac:dyDescent="0.3">
      <c r="A1487" t="s">
        <v>72</v>
      </c>
      <c r="B1487" t="s">
        <v>73</v>
      </c>
      <c r="C1487" t="s">
        <v>74</v>
      </c>
      <c r="E1487" t="str">
        <f>"080065374073"</f>
        <v>080065374073</v>
      </c>
      <c r="F1487" s="3">
        <v>45791</v>
      </c>
      <c r="G1487">
        <v>202602</v>
      </c>
      <c r="H1487" t="s">
        <v>75</v>
      </c>
      <c r="I1487" t="s">
        <v>76</v>
      </c>
      <c r="J1487" t="s">
        <v>77</v>
      </c>
      <c r="K1487" t="s">
        <v>78</v>
      </c>
      <c r="L1487" t="s">
        <v>526</v>
      </c>
      <c r="M1487" t="s">
        <v>527</v>
      </c>
      <c r="N1487" t="s">
        <v>528</v>
      </c>
      <c r="O1487" t="s">
        <v>300</v>
      </c>
      <c r="P1487" t="str">
        <f>"4170038488                    "</f>
        <v xml:space="preserve">4170038488                    </v>
      </c>
      <c r="Q1487">
        <v>0</v>
      </c>
      <c r="R1487">
        <v>0</v>
      </c>
      <c r="S1487">
        <v>0</v>
      </c>
      <c r="T1487">
        <v>0</v>
      </c>
      <c r="U1487">
        <v>0</v>
      </c>
      <c r="V1487">
        <v>0</v>
      </c>
      <c r="W1487">
        <v>0</v>
      </c>
      <c r="X1487">
        <v>0</v>
      </c>
      <c r="Y1487">
        <v>0</v>
      </c>
      <c r="Z1487">
        <v>0</v>
      </c>
      <c r="AA1487">
        <v>0</v>
      </c>
      <c r="AB1487">
        <v>0</v>
      </c>
      <c r="AC1487">
        <v>0</v>
      </c>
      <c r="AD1487">
        <v>0</v>
      </c>
      <c r="AE1487">
        <v>0</v>
      </c>
      <c r="AF1487">
        <v>0</v>
      </c>
      <c r="AG1487">
        <v>0</v>
      </c>
      <c r="AH1487">
        <v>0</v>
      </c>
      <c r="AI1487">
        <v>0</v>
      </c>
      <c r="AJ1487">
        <v>0</v>
      </c>
      <c r="AK1487">
        <v>0</v>
      </c>
      <c r="AL1487">
        <v>0</v>
      </c>
      <c r="AM1487">
        <v>0</v>
      </c>
      <c r="AN1487">
        <v>0</v>
      </c>
      <c r="AO1487">
        <v>0</v>
      </c>
      <c r="AP1487">
        <v>0</v>
      </c>
      <c r="AQ1487">
        <v>45.67</v>
      </c>
      <c r="AR1487">
        <v>0</v>
      </c>
      <c r="AS1487">
        <v>0</v>
      </c>
      <c r="AT1487">
        <v>0</v>
      </c>
      <c r="AU1487">
        <v>0</v>
      </c>
      <c r="AV1487">
        <v>0</v>
      </c>
      <c r="AW1487">
        <v>0</v>
      </c>
      <c r="AX1487">
        <v>0</v>
      </c>
      <c r="AY1487">
        <v>0</v>
      </c>
      <c r="AZ1487">
        <v>0</v>
      </c>
      <c r="BA1487">
        <v>0</v>
      </c>
      <c r="BB1487">
        <v>0</v>
      </c>
      <c r="BC1487">
        <v>0</v>
      </c>
      <c r="BD1487">
        <v>0</v>
      </c>
      <c r="BE1487">
        <v>0</v>
      </c>
      <c r="BF1487">
        <v>0</v>
      </c>
      <c r="BG1487">
        <v>0</v>
      </c>
      <c r="BH1487">
        <v>2</v>
      </c>
      <c r="BI1487">
        <v>12</v>
      </c>
      <c r="BJ1487">
        <v>5.8</v>
      </c>
      <c r="BK1487">
        <v>12</v>
      </c>
      <c r="BL1487">
        <v>155.03</v>
      </c>
      <c r="BM1487">
        <v>23.25</v>
      </c>
      <c r="BN1487">
        <v>178.28</v>
      </c>
      <c r="BO1487">
        <v>178.28</v>
      </c>
      <c r="BQ1487" t="s">
        <v>529</v>
      </c>
      <c r="BR1487" t="s">
        <v>84</v>
      </c>
      <c r="BS1487" s="3">
        <v>45792</v>
      </c>
      <c r="BT1487" s="4">
        <v>0.46875</v>
      </c>
      <c r="BU1487" t="s">
        <v>2118</v>
      </c>
      <c r="BV1487" t="s">
        <v>86</v>
      </c>
      <c r="BY1487">
        <v>14592</v>
      </c>
      <c r="CA1487" t="s">
        <v>2080</v>
      </c>
      <c r="CC1487" t="s">
        <v>527</v>
      </c>
      <c r="CD1487">
        <v>1760</v>
      </c>
      <c r="CE1487" t="s">
        <v>576</v>
      </c>
      <c r="CF1487" s="3">
        <v>45792</v>
      </c>
      <c r="CI1487">
        <v>1</v>
      </c>
      <c r="CJ1487">
        <v>1</v>
      </c>
      <c r="CK1487">
        <v>44</v>
      </c>
      <c r="CL1487" t="s">
        <v>89</v>
      </c>
    </row>
    <row r="1488" spans="1:90" x14ac:dyDescent="0.3">
      <c r="A1488" t="s">
        <v>72</v>
      </c>
      <c r="B1488" t="s">
        <v>73</v>
      </c>
      <c r="C1488" t="s">
        <v>74</v>
      </c>
      <c r="E1488" t="str">
        <f>"080065374105"</f>
        <v>080065374105</v>
      </c>
      <c r="F1488" s="3">
        <v>45791</v>
      </c>
      <c r="G1488">
        <v>202602</v>
      </c>
      <c r="H1488" t="s">
        <v>75</v>
      </c>
      <c r="I1488" t="s">
        <v>76</v>
      </c>
      <c r="J1488" t="s">
        <v>77</v>
      </c>
      <c r="K1488" t="s">
        <v>78</v>
      </c>
      <c r="L1488" t="s">
        <v>463</v>
      </c>
      <c r="M1488" t="s">
        <v>464</v>
      </c>
      <c r="N1488" t="s">
        <v>1325</v>
      </c>
      <c r="O1488" t="s">
        <v>82</v>
      </c>
      <c r="P1488" t="str">
        <f>"4170038481                    "</f>
        <v xml:space="preserve">4170038481                    </v>
      </c>
      <c r="Q1488">
        <v>0</v>
      </c>
      <c r="R1488">
        <v>0</v>
      </c>
      <c r="S1488">
        <v>0</v>
      </c>
      <c r="T1488">
        <v>0</v>
      </c>
      <c r="U1488">
        <v>0</v>
      </c>
      <c r="V1488">
        <v>0</v>
      </c>
      <c r="W1488">
        <v>0</v>
      </c>
      <c r="X1488">
        <v>0</v>
      </c>
      <c r="Y1488">
        <v>0</v>
      </c>
      <c r="Z1488">
        <v>0</v>
      </c>
      <c r="AA1488">
        <v>0</v>
      </c>
      <c r="AB1488">
        <v>0</v>
      </c>
      <c r="AC1488">
        <v>0</v>
      </c>
      <c r="AD1488">
        <v>0</v>
      </c>
      <c r="AE1488">
        <v>0</v>
      </c>
      <c r="AF1488">
        <v>0</v>
      </c>
      <c r="AG1488">
        <v>0</v>
      </c>
      <c r="AH1488">
        <v>0</v>
      </c>
      <c r="AI1488">
        <v>0</v>
      </c>
      <c r="AJ1488">
        <v>0</v>
      </c>
      <c r="AK1488">
        <v>0</v>
      </c>
      <c r="AL1488">
        <v>0</v>
      </c>
      <c r="AM1488">
        <v>0</v>
      </c>
      <c r="AN1488">
        <v>0</v>
      </c>
      <c r="AO1488">
        <v>0</v>
      </c>
      <c r="AP1488">
        <v>0</v>
      </c>
      <c r="AQ1488">
        <v>21.38</v>
      </c>
      <c r="AR1488">
        <v>0</v>
      </c>
      <c r="AS1488">
        <v>0</v>
      </c>
      <c r="AT1488">
        <v>0</v>
      </c>
      <c r="AU1488">
        <v>0</v>
      </c>
      <c r="AV1488">
        <v>0</v>
      </c>
      <c r="AW1488">
        <v>0</v>
      </c>
      <c r="AX1488">
        <v>0</v>
      </c>
      <c r="AY1488">
        <v>0</v>
      </c>
      <c r="AZ1488">
        <v>0</v>
      </c>
      <c r="BA1488">
        <v>0</v>
      </c>
      <c r="BB1488">
        <v>0</v>
      </c>
      <c r="BC1488">
        <v>0</v>
      </c>
      <c r="BD1488">
        <v>0</v>
      </c>
      <c r="BE1488">
        <v>0</v>
      </c>
      <c r="BF1488">
        <v>0</v>
      </c>
      <c r="BG1488">
        <v>0</v>
      </c>
      <c r="BH1488">
        <v>1</v>
      </c>
      <c r="BI1488">
        <v>1</v>
      </c>
      <c r="BJ1488">
        <v>0.2</v>
      </c>
      <c r="BK1488">
        <v>1</v>
      </c>
      <c r="BL1488">
        <v>69.98</v>
      </c>
      <c r="BM1488">
        <v>10.5</v>
      </c>
      <c r="BN1488">
        <v>80.48</v>
      </c>
      <c r="BO1488">
        <v>80.48</v>
      </c>
      <c r="BQ1488" t="s">
        <v>1326</v>
      </c>
      <c r="BR1488" t="s">
        <v>84</v>
      </c>
      <c r="BS1488" s="3">
        <v>45792</v>
      </c>
      <c r="BT1488" s="4">
        <v>0.50347222222222221</v>
      </c>
      <c r="BU1488" t="s">
        <v>2119</v>
      </c>
      <c r="BV1488" t="s">
        <v>86</v>
      </c>
      <c r="BY1488">
        <v>1200</v>
      </c>
      <c r="CA1488" t="s">
        <v>468</v>
      </c>
      <c r="CC1488" t="s">
        <v>464</v>
      </c>
      <c r="CD1488">
        <v>5201</v>
      </c>
      <c r="CE1488" t="s">
        <v>88</v>
      </c>
      <c r="CF1488" s="3">
        <v>45792</v>
      </c>
      <c r="CI1488">
        <v>5</v>
      </c>
      <c r="CJ1488">
        <v>1</v>
      </c>
      <c r="CK1488">
        <v>21</v>
      </c>
      <c r="CL1488" t="s">
        <v>89</v>
      </c>
    </row>
    <row r="1489" spans="1:90" x14ac:dyDescent="0.3">
      <c r="A1489" t="s">
        <v>72</v>
      </c>
      <c r="B1489" t="s">
        <v>73</v>
      </c>
      <c r="C1489" t="s">
        <v>74</v>
      </c>
      <c r="E1489" t="str">
        <f>"080065374142"</f>
        <v>080065374142</v>
      </c>
      <c r="F1489" s="3">
        <v>45791</v>
      </c>
      <c r="G1489">
        <v>202602</v>
      </c>
      <c r="H1489" t="s">
        <v>75</v>
      </c>
      <c r="I1489" t="s">
        <v>76</v>
      </c>
      <c r="J1489" t="s">
        <v>77</v>
      </c>
      <c r="K1489" t="s">
        <v>78</v>
      </c>
      <c r="L1489" t="s">
        <v>130</v>
      </c>
      <c r="M1489" t="s">
        <v>131</v>
      </c>
      <c r="N1489" t="s">
        <v>709</v>
      </c>
      <c r="O1489" t="s">
        <v>82</v>
      </c>
      <c r="P1489" t="str">
        <f>"4170038511                    "</f>
        <v xml:space="preserve">4170038511                    </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c r="AJ1489">
        <v>0</v>
      </c>
      <c r="AK1489">
        <v>0</v>
      </c>
      <c r="AL1489">
        <v>0</v>
      </c>
      <c r="AM1489">
        <v>0</v>
      </c>
      <c r="AN1489">
        <v>0</v>
      </c>
      <c r="AO1489">
        <v>0</v>
      </c>
      <c r="AP1489">
        <v>0</v>
      </c>
      <c r="AQ1489">
        <v>160.27000000000001</v>
      </c>
      <c r="AR1489">
        <v>0</v>
      </c>
      <c r="AS1489">
        <v>0</v>
      </c>
      <c r="AT1489">
        <v>0</v>
      </c>
      <c r="AU1489">
        <v>0</v>
      </c>
      <c r="AV1489">
        <v>0</v>
      </c>
      <c r="AW1489">
        <v>0</v>
      </c>
      <c r="AX1489">
        <v>0</v>
      </c>
      <c r="AY1489">
        <v>0</v>
      </c>
      <c r="AZ1489">
        <v>0</v>
      </c>
      <c r="BA1489">
        <v>0</v>
      </c>
      <c r="BB1489">
        <v>0</v>
      </c>
      <c r="BC1489">
        <v>0</v>
      </c>
      <c r="BD1489">
        <v>0</v>
      </c>
      <c r="BE1489">
        <v>0</v>
      </c>
      <c r="BF1489">
        <v>0</v>
      </c>
      <c r="BG1489">
        <v>0</v>
      </c>
      <c r="BH1489">
        <v>1</v>
      </c>
      <c r="BI1489">
        <v>15</v>
      </c>
      <c r="BJ1489">
        <v>3.5</v>
      </c>
      <c r="BK1489">
        <v>15</v>
      </c>
      <c r="BL1489">
        <v>524.51</v>
      </c>
      <c r="BM1489">
        <v>78.680000000000007</v>
      </c>
      <c r="BN1489">
        <v>603.19000000000005</v>
      </c>
      <c r="BO1489">
        <v>603.19000000000005</v>
      </c>
      <c r="BQ1489" t="s">
        <v>710</v>
      </c>
      <c r="BR1489" t="s">
        <v>84</v>
      </c>
      <c r="BS1489" s="3">
        <v>45792</v>
      </c>
      <c r="BT1489" s="4">
        <v>0.33402777777777776</v>
      </c>
      <c r="BU1489" t="s">
        <v>2077</v>
      </c>
      <c r="BV1489" t="s">
        <v>86</v>
      </c>
      <c r="BY1489">
        <v>17556</v>
      </c>
      <c r="CA1489" t="s">
        <v>712</v>
      </c>
      <c r="CC1489" t="s">
        <v>131</v>
      </c>
      <c r="CD1489">
        <v>7530</v>
      </c>
      <c r="CE1489" t="s">
        <v>221</v>
      </c>
      <c r="CF1489" s="3">
        <v>45793</v>
      </c>
      <c r="CI1489">
        <v>1</v>
      </c>
      <c r="CJ1489">
        <v>1</v>
      </c>
      <c r="CK1489">
        <v>21</v>
      </c>
      <c r="CL1489" t="s">
        <v>89</v>
      </c>
    </row>
    <row r="1490" spans="1:90" x14ac:dyDescent="0.3">
      <c r="A1490" t="s">
        <v>72</v>
      </c>
      <c r="B1490" t="s">
        <v>73</v>
      </c>
      <c r="C1490" t="s">
        <v>74</v>
      </c>
      <c r="E1490" t="str">
        <f>"080065374153"</f>
        <v>080065374153</v>
      </c>
      <c r="F1490" s="3">
        <v>45791</v>
      </c>
      <c r="G1490">
        <v>202602</v>
      </c>
      <c r="H1490" t="s">
        <v>75</v>
      </c>
      <c r="I1490" t="s">
        <v>76</v>
      </c>
      <c r="J1490" t="s">
        <v>77</v>
      </c>
      <c r="K1490" t="s">
        <v>78</v>
      </c>
      <c r="L1490" t="s">
        <v>177</v>
      </c>
      <c r="M1490" t="s">
        <v>178</v>
      </c>
      <c r="N1490" t="s">
        <v>393</v>
      </c>
      <c r="O1490" t="s">
        <v>82</v>
      </c>
      <c r="P1490" t="str">
        <f>"4170038445                    "</f>
        <v xml:space="preserve">4170038445                    </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21.38</v>
      </c>
      <c r="AR1490">
        <v>0</v>
      </c>
      <c r="AS1490">
        <v>0</v>
      </c>
      <c r="AT1490">
        <v>0</v>
      </c>
      <c r="AU1490">
        <v>0</v>
      </c>
      <c r="AV1490">
        <v>0</v>
      </c>
      <c r="AW1490">
        <v>0</v>
      </c>
      <c r="AX1490">
        <v>0</v>
      </c>
      <c r="AY1490">
        <v>0</v>
      </c>
      <c r="AZ1490">
        <v>0</v>
      </c>
      <c r="BA1490">
        <v>0</v>
      </c>
      <c r="BB1490">
        <v>0</v>
      </c>
      <c r="BC1490">
        <v>0</v>
      </c>
      <c r="BD1490">
        <v>0</v>
      </c>
      <c r="BE1490">
        <v>0</v>
      </c>
      <c r="BF1490">
        <v>0</v>
      </c>
      <c r="BG1490">
        <v>0</v>
      </c>
      <c r="BH1490">
        <v>1</v>
      </c>
      <c r="BI1490">
        <v>1</v>
      </c>
      <c r="BJ1490">
        <v>0.2</v>
      </c>
      <c r="BK1490">
        <v>1</v>
      </c>
      <c r="BL1490">
        <v>69.98</v>
      </c>
      <c r="BM1490">
        <v>10.5</v>
      </c>
      <c r="BN1490">
        <v>80.48</v>
      </c>
      <c r="BO1490">
        <v>80.48</v>
      </c>
      <c r="BQ1490" t="s">
        <v>394</v>
      </c>
      <c r="BR1490" t="s">
        <v>84</v>
      </c>
      <c r="BS1490" s="3">
        <v>45792</v>
      </c>
      <c r="BT1490" s="4">
        <v>0.39097222222222222</v>
      </c>
      <c r="BU1490" t="s">
        <v>2120</v>
      </c>
      <c r="BV1490" t="s">
        <v>86</v>
      </c>
      <c r="BY1490">
        <v>1200</v>
      </c>
      <c r="CA1490" t="s">
        <v>182</v>
      </c>
      <c r="CC1490" t="s">
        <v>178</v>
      </c>
      <c r="CD1490">
        <v>6230</v>
      </c>
      <c r="CE1490" t="s">
        <v>88</v>
      </c>
      <c r="CF1490" s="3">
        <v>45792</v>
      </c>
      <c r="CI1490">
        <v>1</v>
      </c>
      <c r="CJ1490">
        <v>1</v>
      </c>
      <c r="CK1490">
        <v>21</v>
      </c>
      <c r="CL1490" t="s">
        <v>89</v>
      </c>
    </row>
    <row r="1491" spans="1:90" x14ac:dyDescent="0.3">
      <c r="A1491" t="s">
        <v>72</v>
      </c>
      <c r="B1491" t="s">
        <v>73</v>
      </c>
      <c r="C1491" t="s">
        <v>74</v>
      </c>
      <c r="E1491" t="str">
        <f>"080065374206"</f>
        <v>080065374206</v>
      </c>
      <c r="F1491" s="3">
        <v>45791</v>
      </c>
      <c r="G1491">
        <v>202602</v>
      </c>
      <c r="H1491" t="s">
        <v>75</v>
      </c>
      <c r="I1491" t="s">
        <v>76</v>
      </c>
      <c r="J1491" t="s">
        <v>77</v>
      </c>
      <c r="K1491" t="s">
        <v>78</v>
      </c>
      <c r="L1491" t="s">
        <v>130</v>
      </c>
      <c r="M1491" t="s">
        <v>131</v>
      </c>
      <c r="N1491" t="s">
        <v>426</v>
      </c>
      <c r="O1491" t="s">
        <v>82</v>
      </c>
      <c r="P1491" t="str">
        <f>"4170038478                    "</f>
        <v xml:space="preserve">4170038478                    </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0</v>
      </c>
      <c r="AK1491">
        <v>0</v>
      </c>
      <c r="AL1491">
        <v>0</v>
      </c>
      <c r="AM1491">
        <v>0</v>
      </c>
      <c r="AN1491">
        <v>0</v>
      </c>
      <c r="AO1491">
        <v>0</v>
      </c>
      <c r="AP1491">
        <v>0</v>
      </c>
      <c r="AQ1491">
        <v>21.38</v>
      </c>
      <c r="AR1491">
        <v>0</v>
      </c>
      <c r="AS1491">
        <v>0</v>
      </c>
      <c r="AT1491">
        <v>0</v>
      </c>
      <c r="AU1491">
        <v>0</v>
      </c>
      <c r="AV1491">
        <v>0</v>
      </c>
      <c r="AW1491">
        <v>0</v>
      </c>
      <c r="AX1491">
        <v>0</v>
      </c>
      <c r="AY1491">
        <v>0</v>
      </c>
      <c r="AZ1491">
        <v>0</v>
      </c>
      <c r="BA1491">
        <v>0</v>
      </c>
      <c r="BB1491">
        <v>0</v>
      </c>
      <c r="BC1491">
        <v>0</v>
      </c>
      <c r="BD1491">
        <v>0</v>
      </c>
      <c r="BE1491">
        <v>0</v>
      </c>
      <c r="BF1491">
        <v>0</v>
      </c>
      <c r="BG1491">
        <v>0</v>
      </c>
      <c r="BH1491">
        <v>1</v>
      </c>
      <c r="BI1491">
        <v>1</v>
      </c>
      <c r="BJ1491">
        <v>1.9</v>
      </c>
      <c r="BK1491">
        <v>2</v>
      </c>
      <c r="BL1491">
        <v>69.98</v>
      </c>
      <c r="BM1491">
        <v>10.5</v>
      </c>
      <c r="BN1491">
        <v>80.48</v>
      </c>
      <c r="BO1491">
        <v>80.48</v>
      </c>
      <c r="BQ1491" t="s">
        <v>427</v>
      </c>
      <c r="BR1491" t="s">
        <v>84</v>
      </c>
      <c r="BS1491" s="3">
        <v>45792</v>
      </c>
      <c r="BT1491" s="4">
        <v>0.37777777777777777</v>
      </c>
      <c r="BU1491" t="s">
        <v>2121</v>
      </c>
      <c r="BV1491" t="s">
        <v>86</v>
      </c>
      <c r="BY1491">
        <v>9600</v>
      </c>
      <c r="CA1491" t="s">
        <v>2122</v>
      </c>
      <c r="CC1491" t="s">
        <v>131</v>
      </c>
      <c r="CD1491">
        <v>7945</v>
      </c>
      <c r="CE1491" t="s">
        <v>221</v>
      </c>
      <c r="CF1491" s="3">
        <v>45793</v>
      </c>
      <c r="CI1491">
        <v>1</v>
      </c>
      <c r="CJ1491">
        <v>1</v>
      </c>
      <c r="CK1491">
        <v>21</v>
      </c>
      <c r="CL1491" t="s">
        <v>89</v>
      </c>
    </row>
    <row r="1492" spans="1:90" x14ac:dyDescent="0.3">
      <c r="A1492" t="s">
        <v>72</v>
      </c>
      <c r="B1492" t="s">
        <v>73</v>
      </c>
      <c r="C1492" t="s">
        <v>74</v>
      </c>
      <c r="E1492" t="str">
        <f>"080065374219"</f>
        <v>080065374219</v>
      </c>
      <c r="F1492" s="3">
        <v>45791</v>
      </c>
      <c r="G1492">
        <v>202602</v>
      </c>
      <c r="H1492" t="s">
        <v>75</v>
      </c>
      <c r="I1492" t="s">
        <v>76</v>
      </c>
      <c r="J1492" t="s">
        <v>77</v>
      </c>
      <c r="K1492" t="s">
        <v>78</v>
      </c>
      <c r="L1492" t="s">
        <v>90</v>
      </c>
      <c r="M1492" t="s">
        <v>91</v>
      </c>
      <c r="N1492" t="s">
        <v>865</v>
      </c>
      <c r="O1492" t="s">
        <v>82</v>
      </c>
      <c r="P1492" t="str">
        <f>"4170038407                    "</f>
        <v xml:space="preserve">4170038407                    </v>
      </c>
      <c r="Q1492">
        <v>0</v>
      </c>
      <c r="R1492">
        <v>0</v>
      </c>
      <c r="S1492">
        <v>0</v>
      </c>
      <c r="T1492">
        <v>0</v>
      </c>
      <c r="U1492">
        <v>0</v>
      </c>
      <c r="V1492">
        <v>0</v>
      </c>
      <c r="W1492">
        <v>0</v>
      </c>
      <c r="X1492">
        <v>0</v>
      </c>
      <c r="Y1492">
        <v>0</v>
      </c>
      <c r="Z1492">
        <v>0</v>
      </c>
      <c r="AA1492">
        <v>0</v>
      </c>
      <c r="AB1492">
        <v>0</v>
      </c>
      <c r="AC1492">
        <v>0</v>
      </c>
      <c r="AD1492">
        <v>0</v>
      </c>
      <c r="AE1492">
        <v>0</v>
      </c>
      <c r="AF1492">
        <v>0</v>
      </c>
      <c r="AG1492">
        <v>0</v>
      </c>
      <c r="AH1492">
        <v>0</v>
      </c>
      <c r="AI1492">
        <v>0</v>
      </c>
      <c r="AJ1492">
        <v>0</v>
      </c>
      <c r="AK1492">
        <v>0</v>
      </c>
      <c r="AL1492">
        <v>0</v>
      </c>
      <c r="AM1492">
        <v>0</v>
      </c>
      <c r="AN1492">
        <v>0</v>
      </c>
      <c r="AO1492">
        <v>0</v>
      </c>
      <c r="AP1492">
        <v>0</v>
      </c>
      <c r="AQ1492">
        <v>21.38</v>
      </c>
      <c r="AR1492">
        <v>0</v>
      </c>
      <c r="AS1492">
        <v>0</v>
      </c>
      <c r="AT1492">
        <v>0</v>
      </c>
      <c r="AU1492">
        <v>0</v>
      </c>
      <c r="AV1492">
        <v>0</v>
      </c>
      <c r="AW1492">
        <v>0</v>
      </c>
      <c r="AX1492">
        <v>0</v>
      </c>
      <c r="AY1492">
        <v>0</v>
      </c>
      <c r="AZ1492">
        <v>0</v>
      </c>
      <c r="BA1492">
        <v>0</v>
      </c>
      <c r="BB1492">
        <v>0</v>
      </c>
      <c r="BC1492">
        <v>0</v>
      </c>
      <c r="BD1492">
        <v>0</v>
      </c>
      <c r="BE1492">
        <v>0</v>
      </c>
      <c r="BF1492">
        <v>0</v>
      </c>
      <c r="BG1492">
        <v>0</v>
      </c>
      <c r="BH1492">
        <v>1</v>
      </c>
      <c r="BI1492">
        <v>1</v>
      </c>
      <c r="BJ1492">
        <v>0.2</v>
      </c>
      <c r="BK1492">
        <v>1</v>
      </c>
      <c r="BL1492">
        <v>69.98</v>
      </c>
      <c r="BM1492">
        <v>10.5</v>
      </c>
      <c r="BN1492">
        <v>80.48</v>
      </c>
      <c r="BO1492">
        <v>80.48</v>
      </c>
      <c r="BQ1492" t="s">
        <v>866</v>
      </c>
      <c r="BR1492" t="s">
        <v>84</v>
      </c>
      <c r="BS1492" s="3">
        <v>45792</v>
      </c>
      <c r="BT1492" s="4">
        <v>0.41666666666666669</v>
      </c>
      <c r="BU1492" t="s">
        <v>2123</v>
      </c>
      <c r="BV1492" t="s">
        <v>86</v>
      </c>
      <c r="BY1492">
        <v>1200</v>
      </c>
      <c r="CA1492" t="s">
        <v>824</v>
      </c>
      <c r="CC1492" t="s">
        <v>91</v>
      </c>
      <c r="CD1492">
        <v>6001</v>
      </c>
      <c r="CE1492" t="s">
        <v>88</v>
      </c>
      <c r="CF1492" s="3">
        <v>45792</v>
      </c>
      <c r="CI1492">
        <v>1</v>
      </c>
      <c r="CJ1492">
        <v>1</v>
      </c>
      <c r="CK1492">
        <v>21</v>
      </c>
      <c r="CL1492" t="s">
        <v>89</v>
      </c>
    </row>
    <row r="1493" spans="1:90" x14ac:dyDescent="0.3">
      <c r="A1493" t="s">
        <v>72</v>
      </c>
      <c r="B1493" t="s">
        <v>73</v>
      </c>
      <c r="C1493" t="s">
        <v>74</v>
      </c>
      <c r="E1493" t="str">
        <f>"080065374255"</f>
        <v>080065374255</v>
      </c>
      <c r="F1493" s="3">
        <v>45791</v>
      </c>
      <c r="G1493">
        <v>202602</v>
      </c>
      <c r="H1493" t="s">
        <v>75</v>
      </c>
      <c r="I1493" t="s">
        <v>76</v>
      </c>
      <c r="J1493" t="s">
        <v>77</v>
      </c>
      <c r="K1493" t="s">
        <v>78</v>
      </c>
      <c r="L1493" t="s">
        <v>79</v>
      </c>
      <c r="M1493" t="s">
        <v>80</v>
      </c>
      <c r="N1493" t="s">
        <v>415</v>
      </c>
      <c r="O1493" t="s">
        <v>82</v>
      </c>
      <c r="P1493" t="str">
        <f>"4170038440                    "</f>
        <v xml:space="preserve">4170038440                    </v>
      </c>
      <c r="Q1493">
        <v>0</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c r="AJ1493">
        <v>0</v>
      </c>
      <c r="AK1493">
        <v>0</v>
      </c>
      <c r="AL1493">
        <v>0</v>
      </c>
      <c r="AM1493">
        <v>0</v>
      </c>
      <c r="AN1493">
        <v>0</v>
      </c>
      <c r="AO1493">
        <v>0</v>
      </c>
      <c r="AP1493">
        <v>0</v>
      </c>
      <c r="AQ1493">
        <v>96.17</v>
      </c>
      <c r="AR1493">
        <v>0</v>
      </c>
      <c r="AS1493">
        <v>0</v>
      </c>
      <c r="AT1493">
        <v>0</v>
      </c>
      <c r="AU1493">
        <v>0</v>
      </c>
      <c r="AV1493">
        <v>0</v>
      </c>
      <c r="AW1493">
        <v>0</v>
      </c>
      <c r="AX1493">
        <v>0</v>
      </c>
      <c r="AY1493">
        <v>0</v>
      </c>
      <c r="AZ1493">
        <v>0</v>
      </c>
      <c r="BA1493">
        <v>0</v>
      </c>
      <c r="BB1493">
        <v>0</v>
      </c>
      <c r="BC1493">
        <v>0</v>
      </c>
      <c r="BD1493">
        <v>0</v>
      </c>
      <c r="BE1493">
        <v>0</v>
      </c>
      <c r="BF1493">
        <v>0</v>
      </c>
      <c r="BG1493">
        <v>0</v>
      </c>
      <c r="BH1493">
        <v>1</v>
      </c>
      <c r="BI1493">
        <v>9</v>
      </c>
      <c r="BJ1493">
        <v>8.6</v>
      </c>
      <c r="BK1493">
        <v>9</v>
      </c>
      <c r="BL1493">
        <v>314.73</v>
      </c>
      <c r="BM1493">
        <v>47.21</v>
      </c>
      <c r="BN1493">
        <v>361.94</v>
      </c>
      <c r="BO1493">
        <v>361.94</v>
      </c>
      <c r="BQ1493" t="s">
        <v>416</v>
      </c>
      <c r="BR1493" t="s">
        <v>84</v>
      </c>
      <c r="BS1493" s="3">
        <v>45792</v>
      </c>
      <c r="BT1493" s="4">
        <v>0.56180555555555556</v>
      </c>
      <c r="BU1493" t="s">
        <v>1152</v>
      </c>
      <c r="BV1493" t="s">
        <v>89</v>
      </c>
      <c r="BW1493" t="s">
        <v>434</v>
      </c>
      <c r="BX1493" t="s">
        <v>1829</v>
      </c>
      <c r="BY1493">
        <v>43200</v>
      </c>
      <c r="CA1493" t="s">
        <v>87</v>
      </c>
      <c r="CC1493" t="s">
        <v>80</v>
      </c>
      <c r="CD1493">
        <v>3610</v>
      </c>
      <c r="CE1493" t="s">
        <v>96</v>
      </c>
      <c r="CF1493" s="3">
        <v>45793</v>
      </c>
      <c r="CI1493">
        <v>1</v>
      </c>
      <c r="CJ1493">
        <v>1</v>
      </c>
      <c r="CK1493">
        <v>21</v>
      </c>
      <c r="CL1493" t="s">
        <v>89</v>
      </c>
    </row>
    <row r="1494" spans="1:90" x14ac:dyDescent="0.3">
      <c r="A1494" t="s">
        <v>72</v>
      </c>
      <c r="B1494" t="s">
        <v>73</v>
      </c>
      <c r="C1494" t="s">
        <v>74</v>
      </c>
      <c r="E1494" t="str">
        <f>"080065374278"</f>
        <v>080065374278</v>
      </c>
      <c r="F1494" s="3">
        <v>45791</v>
      </c>
      <c r="G1494">
        <v>202602</v>
      </c>
      <c r="H1494" t="s">
        <v>75</v>
      </c>
      <c r="I1494" t="s">
        <v>76</v>
      </c>
      <c r="J1494" t="s">
        <v>77</v>
      </c>
      <c r="K1494" t="s">
        <v>78</v>
      </c>
      <c r="L1494" t="s">
        <v>463</v>
      </c>
      <c r="M1494" t="s">
        <v>464</v>
      </c>
      <c r="N1494" t="s">
        <v>1325</v>
      </c>
      <c r="O1494" t="s">
        <v>82</v>
      </c>
      <c r="P1494" t="str">
        <f>"4170038487                    "</f>
        <v xml:space="preserve">4170038487                    </v>
      </c>
      <c r="Q1494">
        <v>0</v>
      </c>
      <c r="R1494">
        <v>0</v>
      </c>
      <c r="S1494">
        <v>0</v>
      </c>
      <c r="T1494">
        <v>0</v>
      </c>
      <c r="U1494">
        <v>0</v>
      </c>
      <c r="V1494">
        <v>0</v>
      </c>
      <c r="W1494">
        <v>0</v>
      </c>
      <c r="X1494">
        <v>0</v>
      </c>
      <c r="Y1494">
        <v>0</v>
      </c>
      <c r="Z1494">
        <v>0</v>
      </c>
      <c r="AA1494">
        <v>0</v>
      </c>
      <c r="AB1494">
        <v>0</v>
      </c>
      <c r="AC1494">
        <v>0</v>
      </c>
      <c r="AD1494">
        <v>0</v>
      </c>
      <c r="AE1494">
        <v>0</v>
      </c>
      <c r="AF1494">
        <v>0</v>
      </c>
      <c r="AG1494">
        <v>0</v>
      </c>
      <c r="AH1494">
        <v>0</v>
      </c>
      <c r="AI1494">
        <v>0</v>
      </c>
      <c r="AJ1494">
        <v>0</v>
      </c>
      <c r="AK1494">
        <v>0</v>
      </c>
      <c r="AL1494">
        <v>0</v>
      </c>
      <c r="AM1494">
        <v>0</v>
      </c>
      <c r="AN1494">
        <v>0</v>
      </c>
      <c r="AO1494">
        <v>0</v>
      </c>
      <c r="AP1494">
        <v>0</v>
      </c>
      <c r="AQ1494">
        <v>21.38</v>
      </c>
      <c r="AR1494">
        <v>0</v>
      </c>
      <c r="AS1494">
        <v>0</v>
      </c>
      <c r="AT1494">
        <v>0</v>
      </c>
      <c r="AU1494">
        <v>0</v>
      </c>
      <c r="AV1494">
        <v>0</v>
      </c>
      <c r="AW1494">
        <v>0</v>
      </c>
      <c r="AX1494">
        <v>0</v>
      </c>
      <c r="AY1494">
        <v>0</v>
      </c>
      <c r="AZ1494">
        <v>0</v>
      </c>
      <c r="BA1494">
        <v>0</v>
      </c>
      <c r="BB1494">
        <v>0</v>
      </c>
      <c r="BC1494">
        <v>0</v>
      </c>
      <c r="BD1494">
        <v>0</v>
      </c>
      <c r="BE1494">
        <v>0</v>
      </c>
      <c r="BF1494">
        <v>0</v>
      </c>
      <c r="BG1494">
        <v>0</v>
      </c>
      <c r="BH1494">
        <v>1</v>
      </c>
      <c r="BI1494">
        <v>1</v>
      </c>
      <c r="BJ1494">
        <v>0.2</v>
      </c>
      <c r="BK1494">
        <v>1</v>
      </c>
      <c r="BL1494">
        <v>69.98</v>
      </c>
      <c r="BM1494">
        <v>10.5</v>
      </c>
      <c r="BN1494">
        <v>80.48</v>
      </c>
      <c r="BO1494">
        <v>80.48</v>
      </c>
      <c r="BQ1494" t="s">
        <v>1326</v>
      </c>
      <c r="BR1494" t="s">
        <v>84</v>
      </c>
      <c r="BS1494" s="3">
        <v>45792</v>
      </c>
      <c r="BT1494" s="4">
        <v>0.50277777777777777</v>
      </c>
      <c r="BU1494" t="s">
        <v>2124</v>
      </c>
      <c r="BV1494" t="s">
        <v>86</v>
      </c>
      <c r="BY1494">
        <v>1200</v>
      </c>
      <c r="CA1494" t="s">
        <v>468</v>
      </c>
      <c r="CC1494" t="s">
        <v>464</v>
      </c>
      <c r="CD1494">
        <v>5201</v>
      </c>
      <c r="CE1494" t="s">
        <v>88</v>
      </c>
      <c r="CF1494" s="3">
        <v>45792</v>
      </c>
      <c r="CI1494">
        <v>5</v>
      </c>
      <c r="CJ1494">
        <v>1</v>
      </c>
      <c r="CK1494">
        <v>21</v>
      </c>
      <c r="CL1494" t="s">
        <v>89</v>
      </c>
    </row>
    <row r="1495" spans="1:90" x14ac:dyDescent="0.3">
      <c r="A1495" t="s">
        <v>72</v>
      </c>
      <c r="B1495" t="s">
        <v>73</v>
      </c>
      <c r="C1495" t="s">
        <v>74</v>
      </c>
      <c r="E1495" t="str">
        <f>"080065374308"</f>
        <v>080065374308</v>
      </c>
      <c r="F1495" s="3">
        <v>45791</v>
      </c>
      <c r="G1495">
        <v>202602</v>
      </c>
      <c r="H1495" t="s">
        <v>75</v>
      </c>
      <c r="I1495" t="s">
        <v>76</v>
      </c>
      <c r="J1495" t="s">
        <v>77</v>
      </c>
      <c r="K1495" t="s">
        <v>78</v>
      </c>
      <c r="L1495" t="s">
        <v>130</v>
      </c>
      <c r="M1495" t="s">
        <v>131</v>
      </c>
      <c r="N1495" t="s">
        <v>909</v>
      </c>
      <c r="O1495" t="s">
        <v>82</v>
      </c>
      <c r="P1495" t="str">
        <f>"4170038443                    "</f>
        <v xml:space="preserve">4170038443                    </v>
      </c>
      <c r="Q1495">
        <v>0</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c r="AJ1495">
        <v>0</v>
      </c>
      <c r="AK1495">
        <v>0</v>
      </c>
      <c r="AL1495">
        <v>0</v>
      </c>
      <c r="AM1495">
        <v>0</v>
      </c>
      <c r="AN1495">
        <v>0</v>
      </c>
      <c r="AO1495">
        <v>0</v>
      </c>
      <c r="AP1495">
        <v>0</v>
      </c>
      <c r="AQ1495">
        <v>32.07</v>
      </c>
      <c r="AR1495">
        <v>0</v>
      </c>
      <c r="AS1495">
        <v>0</v>
      </c>
      <c r="AT1495">
        <v>0</v>
      </c>
      <c r="AU1495">
        <v>0</v>
      </c>
      <c r="AV1495">
        <v>0</v>
      </c>
      <c r="AW1495">
        <v>0</v>
      </c>
      <c r="AX1495">
        <v>0</v>
      </c>
      <c r="AY1495">
        <v>0</v>
      </c>
      <c r="AZ1495">
        <v>0</v>
      </c>
      <c r="BA1495">
        <v>0</v>
      </c>
      <c r="BB1495">
        <v>0</v>
      </c>
      <c r="BC1495">
        <v>0</v>
      </c>
      <c r="BD1495">
        <v>0</v>
      </c>
      <c r="BE1495">
        <v>0</v>
      </c>
      <c r="BF1495">
        <v>0</v>
      </c>
      <c r="BG1495">
        <v>0</v>
      </c>
      <c r="BH1495">
        <v>1</v>
      </c>
      <c r="BI1495">
        <v>3</v>
      </c>
      <c r="BJ1495">
        <v>1.7</v>
      </c>
      <c r="BK1495">
        <v>3</v>
      </c>
      <c r="BL1495">
        <v>104.95</v>
      </c>
      <c r="BM1495">
        <v>15.74</v>
      </c>
      <c r="BN1495">
        <v>120.69</v>
      </c>
      <c r="BO1495">
        <v>120.69</v>
      </c>
      <c r="BQ1495" t="s">
        <v>910</v>
      </c>
      <c r="BR1495" t="s">
        <v>84</v>
      </c>
      <c r="BS1495" s="3">
        <v>45792</v>
      </c>
      <c r="BT1495" s="4">
        <v>0.34027777777777779</v>
      </c>
      <c r="BU1495" t="s">
        <v>2024</v>
      </c>
      <c r="BV1495" t="s">
        <v>86</v>
      </c>
      <c r="BY1495">
        <v>8512</v>
      </c>
      <c r="CA1495" t="s">
        <v>712</v>
      </c>
      <c r="CC1495" t="s">
        <v>131</v>
      </c>
      <c r="CD1495">
        <v>7530</v>
      </c>
      <c r="CE1495" t="s">
        <v>116</v>
      </c>
      <c r="CF1495" s="3">
        <v>45793</v>
      </c>
      <c r="CI1495">
        <v>1</v>
      </c>
      <c r="CJ1495">
        <v>1</v>
      </c>
      <c r="CK1495">
        <v>21</v>
      </c>
      <c r="CL1495" t="s">
        <v>89</v>
      </c>
    </row>
    <row r="1496" spans="1:90" x14ac:dyDescent="0.3">
      <c r="A1496" t="s">
        <v>72</v>
      </c>
      <c r="B1496" t="s">
        <v>73</v>
      </c>
      <c r="C1496" t="s">
        <v>74</v>
      </c>
      <c r="E1496" t="str">
        <f>"080065374315"</f>
        <v>080065374315</v>
      </c>
      <c r="F1496" s="3">
        <v>45791</v>
      </c>
      <c r="G1496">
        <v>202602</v>
      </c>
      <c r="H1496" t="s">
        <v>75</v>
      </c>
      <c r="I1496" t="s">
        <v>76</v>
      </c>
      <c r="J1496" t="s">
        <v>77</v>
      </c>
      <c r="K1496" t="s">
        <v>78</v>
      </c>
      <c r="L1496" t="s">
        <v>232</v>
      </c>
      <c r="M1496" t="s">
        <v>233</v>
      </c>
      <c r="N1496" t="s">
        <v>234</v>
      </c>
      <c r="O1496" t="s">
        <v>82</v>
      </c>
      <c r="P1496" t="str">
        <f>"4170038462                    "</f>
        <v xml:space="preserve">4170038462                    </v>
      </c>
      <c r="Q1496">
        <v>0</v>
      </c>
      <c r="R1496">
        <v>0</v>
      </c>
      <c r="S1496">
        <v>0</v>
      </c>
      <c r="T1496">
        <v>0</v>
      </c>
      <c r="U1496">
        <v>0</v>
      </c>
      <c r="V1496">
        <v>0</v>
      </c>
      <c r="W1496">
        <v>0</v>
      </c>
      <c r="X1496">
        <v>0</v>
      </c>
      <c r="Y1496">
        <v>0</v>
      </c>
      <c r="Z1496">
        <v>0</v>
      </c>
      <c r="AA1496">
        <v>0</v>
      </c>
      <c r="AB1496">
        <v>0</v>
      </c>
      <c r="AC1496">
        <v>0</v>
      </c>
      <c r="AD1496">
        <v>0</v>
      </c>
      <c r="AE1496">
        <v>0</v>
      </c>
      <c r="AF1496">
        <v>0</v>
      </c>
      <c r="AG1496">
        <v>0</v>
      </c>
      <c r="AH1496">
        <v>0</v>
      </c>
      <c r="AI1496">
        <v>0</v>
      </c>
      <c r="AJ1496">
        <v>0</v>
      </c>
      <c r="AK1496">
        <v>0</v>
      </c>
      <c r="AL1496">
        <v>0</v>
      </c>
      <c r="AM1496">
        <v>0</v>
      </c>
      <c r="AN1496">
        <v>0</v>
      </c>
      <c r="AO1496">
        <v>0</v>
      </c>
      <c r="AP1496">
        <v>0</v>
      </c>
      <c r="AQ1496">
        <v>21.38</v>
      </c>
      <c r="AR1496">
        <v>0</v>
      </c>
      <c r="AS1496">
        <v>0</v>
      </c>
      <c r="AT1496">
        <v>0</v>
      </c>
      <c r="AU1496">
        <v>0</v>
      </c>
      <c r="AV1496">
        <v>0</v>
      </c>
      <c r="AW1496">
        <v>0</v>
      </c>
      <c r="AX1496">
        <v>0</v>
      </c>
      <c r="AY1496">
        <v>0</v>
      </c>
      <c r="AZ1496">
        <v>0</v>
      </c>
      <c r="BA1496">
        <v>0</v>
      </c>
      <c r="BB1496">
        <v>0</v>
      </c>
      <c r="BC1496">
        <v>0</v>
      </c>
      <c r="BD1496">
        <v>0</v>
      </c>
      <c r="BE1496">
        <v>0</v>
      </c>
      <c r="BF1496">
        <v>0</v>
      </c>
      <c r="BG1496">
        <v>0</v>
      </c>
      <c r="BH1496">
        <v>1</v>
      </c>
      <c r="BI1496">
        <v>1</v>
      </c>
      <c r="BJ1496">
        <v>0.2</v>
      </c>
      <c r="BK1496">
        <v>1</v>
      </c>
      <c r="BL1496">
        <v>69.98</v>
      </c>
      <c r="BM1496">
        <v>10.5</v>
      </c>
      <c r="BN1496">
        <v>80.48</v>
      </c>
      <c r="BO1496">
        <v>80.48</v>
      </c>
      <c r="BQ1496" t="s">
        <v>235</v>
      </c>
      <c r="BR1496" t="s">
        <v>84</v>
      </c>
      <c r="BS1496" s="3">
        <v>45792</v>
      </c>
      <c r="BT1496" s="4">
        <v>0.40138888888888891</v>
      </c>
      <c r="BU1496" t="s">
        <v>236</v>
      </c>
      <c r="BV1496" t="s">
        <v>86</v>
      </c>
      <c r="BY1496">
        <v>1200</v>
      </c>
      <c r="CA1496" t="s">
        <v>237</v>
      </c>
      <c r="CC1496" t="s">
        <v>233</v>
      </c>
      <c r="CD1496" s="5" t="s">
        <v>238</v>
      </c>
      <c r="CE1496" t="s">
        <v>88</v>
      </c>
      <c r="CF1496" s="3">
        <v>45792</v>
      </c>
      <c r="CI1496">
        <v>1</v>
      </c>
      <c r="CJ1496">
        <v>1</v>
      </c>
      <c r="CK1496">
        <v>21</v>
      </c>
      <c r="CL1496" t="s">
        <v>89</v>
      </c>
    </row>
    <row r="1497" spans="1:90" x14ac:dyDescent="0.3">
      <c r="A1497" t="s">
        <v>72</v>
      </c>
      <c r="B1497" t="s">
        <v>73</v>
      </c>
      <c r="C1497" t="s">
        <v>74</v>
      </c>
      <c r="E1497" t="str">
        <f>"080065374358"</f>
        <v>080065374358</v>
      </c>
      <c r="F1497" s="3">
        <v>45791</v>
      </c>
      <c r="G1497">
        <v>202602</v>
      </c>
      <c r="H1497" t="s">
        <v>75</v>
      </c>
      <c r="I1497" t="s">
        <v>76</v>
      </c>
      <c r="J1497" t="s">
        <v>77</v>
      </c>
      <c r="K1497" t="s">
        <v>78</v>
      </c>
      <c r="L1497" t="s">
        <v>130</v>
      </c>
      <c r="M1497" t="s">
        <v>131</v>
      </c>
      <c r="N1497" t="s">
        <v>343</v>
      </c>
      <c r="O1497" t="s">
        <v>82</v>
      </c>
      <c r="P1497" t="str">
        <f>"4170038417                    "</f>
        <v xml:space="preserve">4170038417                    </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c r="AJ1497">
        <v>0</v>
      </c>
      <c r="AK1497">
        <v>0</v>
      </c>
      <c r="AL1497">
        <v>0</v>
      </c>
      <c r="AM1497">
        <v>0</v>
      </c>
      <c r="AN1497">
        <v>0</v>
      </c>
      <c r="AO1497">
        <v>0</v>
      </c>
      <c r="AP1497">
        <v>0</v>
      </c>
      <c r="AQ1497">
        <v>21.38</v>
      </c>
      <c r="AR1497">
        <v>0</v>
      </c>
      <c r="AS1497">
        <v>0</v>
      </c>
      <c r="AT1497">
        <v>0</v>
      </c>
      <c r="AU1497">
        <v>0</v>
      </c>
      <c r="AV1497">
        <v>0</v>
      </c>
      <c r="AW1497">
        <v>0</v>
      </c>
      <c r="AX1497">
        <v>0</v>
      </c>
      <c r="AY1497">
        <v>0</v>
      </c>
      <c r="AZ1497">
        <v>0</v>
      </c>
      <c r="BA1497">
        <v>0</v>
      </c>
      <c r="BB1497">
        <v>0</v>
      </c>
      <c r="BC1497">
        <v>0</v>
      </c>
      <c r="BD1497">
        <v>0</v>
      </c>
      <c r="BE1497">
        <v>0</v>
      </c>
      <c r="BF1497">
        <v>0</v>
      </c>
      <c r="BG1497">
        <v>0</v>
      </c>
      <c r="BH1497">
        <v>1</v>
      </c>
      <c r="BI1497">
        <v>1</v>
      </c>
      <c r="BJ1497">
        <v>0.2</v>
      </c>
      <c r="BK1497">
        <v>1</v>
      </c>
      <c r="BL1497">
        <v>69.98</v>
      </c>
      <c r="BM1497">
        <v>10.5</v>
      </c>
      <c r="BN1497">
        <v>80.48</v>
      </c>
      <c r="BO1497">
        <v>80.48</v>
      </c>
      <c r="BQ1497" t="s">
        <v>344</v>
      </c>
      <c r="BR1497" t="s">
        <v>84</v>
      </c>
      <c r="BS1497" s="3">
        <v>45792</v>
      </c>
      <c r="BT1497" s="4">
        <v>0.3923611111111111</v>
      </c>
      <c r="BU1497" t="s">
        <v>345</v>
      </c>
      <c r="BV1497" t="s">
        <v>86</v>
      </c>
      <c r="BY1497">
        <v>1200</v>
      </c>
      <c r="CA1497" t="s">
        <v>242</v>
      </c>
      <c r="CC1497" t="s">
        <v>131</v>
      </c>
      <c r="CD1497">
        <v>7441</v>
      </c>
      <c r="CE1497" t="s">
        <v>88</v>
      </c>
      <c r="CF1497" s="3">
        <v>45793</v>
      </c>
      <c r="CI1497">
        <v>1</v>
      </c>
      <c r="CJ1497">
        <v>1</v>
      </c>
      <c r="CK1497">
        <v>21</v>
      </c>
      <c r="CL1497" t="s">
        <v>89</v>
      </c>
    </row>
    <row r="1498" spans="1:90" x14ac:dyDescent="0.3">
      <c r="A1498" t="s">
        <v>72</v>
      </c>
      <c r="B1498" t="s">
        <v>73</v>
      </c>
      <c r="C1498" t="s">
        <v>74</v>
      </c>
      <c r="E1498" t="str">
        <f>"080065374371"</f>
        <v>080065374371</v>
      </c>
      <c r="F1498" s="3">
        <v>45791</v>
      </c>
      <c r="G1498">
        <v>202602</v>
      </c>
      <c r="H1498" t="s">
        <v>75</v>
      </c>
      <c r="I1498" t="s">
        <v>76</v>
      </c>
      <c r="J1498" t="s">
        <v>77</v>
      </c>
      <c r="K1498" t="s">
        <v>78</v>
      </c>
      <c r="L1498" t="s">
        <v>130</v>
      </c>
      <c r="M1498" t="s">
        <v>131</v>
      </c>
      <c r="N1498" t="s">
        <v>343</v>
      </c>
      <c r="O1498" t="s">
        <v>82</v>
      </c>
      <c r="P1498" t="str">
        <f>"4170038506                    "</f>
        <v xml:space="preserve">4170038506                    </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0</v>
      </c>
      <c r="AJ1498">
        <v>0</v>
      </c>
      <c r="AK1498">
        <v>0</v>
      </c>
      <c r="AL1498">
        <v>0</v>
      </c>
      <c r="AM1498">
        <v>0</v>
      </c>
      <c r="AN1498">
        <v>0</v>
      </c>
      <c r="AO1498">
        <v>0</v>
      </c>
      <c r="AP1498">
        <v>0</v>
      </c>
      <c r="AQ1498">
        <v>21.38</v>
      </c>
      <c r="AR1498">
        <v>0</v>
      </c>
      <c r="AS1498">
        <v>0</v>
      </c>
      <c r="AT1498">
        <v>0</v>
      </c>
      <c r="AU1498">
        <v>0</v>
      </c>
      <c r="AV1498">
        <v>0</v>
      </c>
      <c r="AW1498">
        <v>0</v>
      </c>
      <c r="AX1498">
        <v>0</v>
      </c>
      <c r="AY1498">
        <v>0</v>
      </c>
      <c r="AZ1498">
        <v>0</v>
      </c>
      <c r="BA1498">
        <v>0</v>
      </c>
      <c r="BB1498">
        <v>0</v>
      </c>
      <c r="BC1498">
        <v>0</v>
      </c>
      <c r="BD1498">
        <v>0</v>
      </c>
      <c r="BE1498">
        <v>0</v>
      </c>
      <c r="BF1498">
        <v>0</v>
      </c>
      <c r="BG1498">
        <v>0</v>
      </c>
      <c r="BH1498">
        <v>1</v>
      </c>
      <c r="BI1498">
        <v>1</v>
      </c>
      <c r="BJ1498">
        <v>1.1000000000000001</v>
      </c>
      <c r="BK1498">
        <v>1.5</v>
      </c>
      <c r="BL1498">
        <v>69.98</v>
      </c>
      <c r="BM1498">
        <v>10.5</v>
      </c>
      <c r="BN1498">
        <v>80.48</v>
      </c>
      <c r="BO1498">
        <v>80.48</v>
      </c>
      <c r="BQ1498" t="s">
        <v>344</v>
      </c>
      <c r="BR1498" t="s">
        <v>84</v>
      </c>
      <c r="BS1498" s="3">
        <v>45792</v>
      </c>
      <c r="BT1498" s="4">
        <v>0.3923611111111111</v>
      </c>
      <c r="BU1498" t="s">
        <v>345</v>
      </c>
      <c r="BV1498" t="s">
        <v>86</v>
      </c>
      <c r="BY1498">
        <v>5320</v>
      </c>
      <c r="CA1498" t="s">
        <v>242</v>
      </c>
      <c r="CC1498" t="s">
        <v>131</v>
      </c>
      <c r="CD1498">
        <v>7441</v>
      </c>
      <c r="CE1498" t="s">
        <v>116</v>
      </c>
      <c r="CF1498" s="3">
        <v>45793</v>
      </c>
      <c r="CI1498">
        <v>1</v>
      </c>
      <c r="CJ1498">
        <v>1</v>
      </c>
      <c r="CK1498">
        <v>21</v>
      </c>
      <c r="CL1498" t="s">
        <v>89</v>
      </c>
    </row>
    <row r="1499" spans="1:90" x14ac:dyDescent="0.3">
      <c r="A1499" t="s">
        <v>72</v>
      </c>
      <c r="B1499" t="s">
        <v>73</v>
      </c>
      <c r="C1499" t="s">
        <v>74</v>
      </c>
      <c r="E1499" t="str">
        <f>"080065374442"</f>
        <v>080065374442</v>
      </c>
      <c r="F1499" s="3">
        <v>45791</v>
      </c>
      <c r="G1499">
        <v>202602</v>
      </c>
      <c r="H1499" t="s">
        <v>75</v>
      </c>
      <c r="I1499" t="s">
        <v>76</v>
      </c>
      <c r="J1499" t="s">
        <v>77</v>
      </c>
      <c r="K1499" t="s">
        <v>78</v>
      </c>
      <c r="L1499" t="s">
        <v>103</v>
      </c>
      <c r="M1499" t="s">
        <v>104</v>
      </c>
      <c r="N1499" t="s">
        <v>105</v>
      </c>
      <c r="O1499" t="s">
        <v>82</v>
      </c>
      <c r="P1499" t="str">
        <f>"4170038570                    "</f>
        <v xml:space="preserve">4170038570                    </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c r="AI1499">
        <v>0</v>
      </c>
      <c r="AJ1499">
        <v>0</v>
      </c>
      <c r="AK1499">
        <v>0</v>
      </c>
      <c r="AL1499">
        <v>0</v>
      </c>
      <c r="AM1499">
        <v>0</v>
      </c>
      <c r="AN1499">
        <v>0</v>
      </c>
      <c r="AO1499">
        <v>0</v>
      </c>
      <c r="AP1499">
        <v>0</v>
      </c>
      <c r="AQ1499">
        <v>21.38</v>
      </c>
      <c r="AR1499">
        <v>0</v>
      </c>
      <c r="AS1499">
        <v>0</v>
      </c>
      <c r="AT1499">
        <v>0</v>
      </c>
      <c r="AU1499">
        <v>0</v>
      </c>
      <c r="AV1499">
        <v>0</v>
      </c>
      <c r="AW1499">
        <v>0</v>
      </c>
      <c r="AX1499">
        <v>0</v>
      </c>
      <c r="AY1499">
        <v>0</v>
      </c>
      <c r="AZ1499">
        <v>0</v>
      </c>
      <c r="BA1499">
        <v>0</v>
      </c>
      <c r="BB1499">
        <v>0</v>
      </c>
      <c r="BC1499">
        <v>0</v>
      </c>
      <c r="BD1499">
        <v>0</v>
      </c>
      <c r="BE1499">
        <v>0</v>
      </c>
      <c r="BF1499">
        <v>0</v>
      </c>
      <c r="BG1499">
        <v>0</v>
      </c>
      <c r="BH1499">
        <v>1</v>
      </c>
      <c r="BI1499">
        <v>2</v>
      </c>
      <c r="BJ1499">
        <v>1.1000000000000001</v>
      </c>
      <c r="BK1499">
        <v>2</v>
      </c>
      <c r="BL1499">
        <v>69.98</v>
      </c>
      <c r="BM1499">
        <v>10.5</v>
      </c>
      <c r="BN1499">
        <v>80.48</v>
      </c>
      <c r="BO1499">
        <v>80.48</v>
      </c>
      <c r="BQ1499" t="s">
        <v>106</v>
      </c>
      <c r="BR1499" t="s">
        <v>84</v>
      </c>
      <c r="BS1499" s="3">
        <v>45792</v>
      </c>
      <c r="BT1499" s="4">
        <v>0.41666666666666669</v>
      </c>
      <c r="BU1499" t="s">
        <v>107</v>
      </c>
      <c r="BV1499" t="s">
        <v>86</v>
      </c>
      <c r="BY1499">
        <v>5320</v>
      </c>
      <c r="CA1499" t="s">
        <v>108</v>
      </c>
      <c r="CC1499" t="s">
        <v>104</v>
      </c>
      <c r="CD1499">
        <v>3201</v>
      </c>
      <c r="CE1499" t="s">
        <v>116</v>
      </c>
      <c r="CF1499" s="3">
        <v>45793</v>
      </c>
      <c r="CI1499">
        <v>1</v>
      </c>
      <c r="CJ1499">
        <v>1</v>
      </c>
      <c r="CK1499">
        <v>21</v>
      </c>
      <c r="CL1499" t="s">
        <v>89</v>
      </c>
    </row>
    <row r="1500" spans="1:90" x14ac:dyDescent="0.3">
      <c r="A1500" t="s">
        <v>72</v>
      </c>
      <c r="B1500" t="s">
        <v>73</v>
      </c>
      <c r="C1500" t="s">
        <v>74</v>
      </c>
      <c r="E1500" t="str">
        <f>"080065374526"</f>
        <v>080065374526</v>
      </c>
      <c r="F1500" s="3">
        <v>45791</v>
      </c>
      <c r="G1500">
        <v>202602</v>
      </c>
      <c r="H1500" t="s">
        <v>75</v>
      </c>
      <c r="I1500" t="s">
        <v>76</v>
      </c>
      <c r="J1500" t="s">
        <v>77</v>
      </c>
      <c r="K1500" t="s">
        <v>78</v>
      </c>
      <c r="L1500" t="s">
        <v>136</v>
      </c>
      <c r="M1500" t="s">
        <v>137</v>
      </c>
      <c r="N1500" t="s">
        <v>499</v>
      </c>
      <c r="O1500" t="s">
        <v>82</v>
      </c>
      <c r="P1500" t="str">
        <f>"4170038470                    "</f>
        <v xml:space="preserve">4170038470                    </v>
      </c>
      <c r="Q1500">
        <v>0</v>
      </c>
      <c r="R1500">
        <v>0</v>
      </c>
      <c r="S1500">
        <v>0</v>
      </c>
      <c r="T1500">
        <v>0</v>
      </c>
      <c r="U1500">
        <v>0</v>
      </c>
      <c r="V1500">
        <v>0</v>
      </c>
      <c r="W1500">
        <v>0</v>
      </c>
      <c r="X1500">
        <v>0</v>
      </c>
      <c r="Y1500">
        <v>0</v>
      </c>
      <c r="Z1500">
        <v>0</v>
      </c>
      <c r="AA1500">
        <v>0</v>
      </c>
      <c r="AB1500">
        <v>0</v>
      </c>
      <c r="AC1500">
        <v>0</v>
      </c>
      <c r="AD1500">
        <v>0</v>
      </c>
      <c r="AE1500">
        <v>0</v>
      </c>
      <c r="AF1500">
        <v>0</v>
      </c>
      <c r="AG1500">
        <v>0</v>
      </c>
      <c r="AH1500">
        <v>0</v>
      </c>
      <c r="AI1500">
        <v>0</v>
      </c>
      <c r="AJ1500">
        <v>0</v>
      </c>
      <c r="AK1500">
        <v>0</v>
      </c>
      <c r="AL1500">
        <v>0</v>
      </c>
      <c r="AM1500">
        <v>0</v>
      </c>
      <c r="AN1500">
        <v>0</v>
      </c>
      <c r="AO1500">
        <v>0</v>
      </c>
      <c r="AP1500">
        <v>0</v>
      </c>
      <c r="AQ1500">
        <v>21.38</v>
      </c>
      <c r="AR1500">
        <v>0</v>
      </c>
      <c r="AS1500">
        <v>0</v>
      </c>
      <c r="AT1500">
        <v>0</v>
      </c>
      <c r="AU1500">
        <v>0</v>
      </c>
      <c r="AV1500">
        <v>0</v>
      </c>
      <c r="AW1500">
        <v>0</v>
      </c>
      <c r="AX1500">
        <v>0</v>
      </c>
      <c r="AY1500">
        <v>0</v>
      </c>
      <c r="AZ1500">
        <v>0</v>
      </c>
      <c r="BA1500">
        <v>0</v>
      </c>
      <c r="BB1500">
        <v>0</v>
      </c>
      <c r="BC1500">
        <v>0</v>
      </c>
      <c r="BD1500">
        <v>0</v>
      </c>
      <c r="BE1500">
        <v>0</v>
      </c>
      <c r="BF1500">
        <v>0</v>
      </c>
      <c r="BG1500">
        <v>0</v>
      </c>
      <c r="BH1500">
        <v>1</v>
      </c>
      <c r="BI1500">
        <v>2</v>
      </c>
      <c r="BJ1500">
        <v>1.1000000000000001</v>
      </c>
      <c r="BK1500">
        <v>2</v>
      </c>
      <c r="BL1500">
        <v>69.98</v>
      </c>
      <c r="BM1500">
        <v>10.5</v>
      </c>
      <c r="BN1500">
        <v>80.48</v>
      </c>
      <c r="BO1500">
        <v>80.48</v>
      </c>
      <c r="BQ1500" t="s">
        <v>500</v>
      </c>
      <c r="BR1500" t="s">
        <v>84</v>
      </c>
      <c r="BS1500" s="3">
        <v>45792</v>
      </c>
      <c r="BT1500" s="4">
        <v>0.43611111111111112</v>
      </c>
      <c r="BU1500" t="s">
        <v>1733</v>
      </c>
      <c r="BV1500" t="s">
        <v>86</v>
      </c>
      <c r="BY1500">
        <v>5320</v>
      </c>
      <c r="CA1500" t="s">
        <v>141</v>
      </c>
      <c r="CC1500" t="s">
        <v>137</v>
      </c>
      <c r="CD1500" s="5" t="s">
        <v>1490</v>
      </c>
      <c r="CE1500" t="s">
        <v>116</v>
      </c>
      <c r="CF1500" s="3">
        <v>45792</v>
      </c>
      <c r="CI1500">
        <v>1</v>
      </c>
      <c r="CJ1500">
        <v>1</v>
      </c>
      <c r="CK1500">
        <v>21</v>
      </c>
      <c r="CL1500" t="s">
        <v>89</v>
      </c>
    </row>
    <row r="1501" spans="1:90" x14ac:dyDescent="0.3">
      <c r="A1501" t="s">
        <v>72</v>
      </c>
      <c r="B1501" t="s">
        <v>73</v>
      </c>
      <c r="C1501" t="s">
        <v>74</v>
      </c>
      <c r="E1501" t="str">
        <f>"080065374658"</f>
        <v>080065374658</v>
      </c>
      <c r="F1501" s="3">
        <v>45791</v>
      </c>
      <c r="G1501">
        <v>202602</v>
      </c>
      <c r="H1501" t="s">
        <v>75</v>
      </c>
      <c r="I1501" t="s">
        <v>76</v>
      </c>
      <c r="J1501" t="s">
        <v>77</v>
      </c>
      <c r="K1501" t="s">
        <v>78</v>
      </c>
      <c r="L1501" t="s">
        <v>75</v>
      </c>
      <c r="M1501" t="s">
        <v>76</v>
      </c>
      <c r="N1501" t="s">
        <v>1263</v>
      </c>
      <c r="O1501" t="s">
        <v>82</v>
      </c>
      <c r="P1501" t="str">
        <f>"4170038471                    "</f>
        <v xml:space="preserve">4170038471                    </v>
      </c>
      <c r="Q1501">
        <v>0</v>
      </c>
      <c r="R1501">
        <v>0</v>
      </c>
      <c r="S1501">
        <v>0</v>
      </c>
      <c r="T1501">
        <v>0</v>
      </c>
      <c r="U1501">
        <v>0</v>
      </c>
      <c r="V1501">
        <v>0</v>
      </c>
      <c r="W1501">
        <v>0</v>
      </c>
      <c r="X1501">
        <v>0</v>
      </c>
      <c r="Y1501">
        <v>0</v>
      </c>
      <c r="Z1501">
        <v>0</v>
      </c>
      <c r="AA1501">
        <v>0</v>
      </c>
      <c r="AB1501">
        <v>0</v>
      </c>
      <c r="AC1501">
        <v>0</v>
      </c>
      <c r="AD1501">
        <v>0</v>
      </c>
      <c r="AE1501">
        <v>0</v>
      </c>
      <c r="AF1501">
        <v>0</v>
      </c>
      <c r="AG1501">
        <v>0</v>
      </c>
      <c r="AH1501">
        <v>0</v>
      </c>
      <c r="AI1501">
        <v>0</v>
      </c>
      <c r="AJ1501">
        <v>0</v>
      </c>
      <c r="AK1501">
        <v>0</v>
      </c>
      <c r="AL1501">
        <v>0</v>
      </c>
      <c r="AM1501">
        <v>0</v>
      </c>
      <c r="AN1501">
        <v>0</v>
      </c>
      <c r="AO1501">
        <v>0</v>
      </c>
      <c r="AP1501">
        <v>0</v>
      </c>
      <c r="AQ1501">
        <v>16.7</v>
      </c>
      <c r="AR1501">
        <v>0</v>
      </c>
      <c r="AS1501">
        <v>0</v>
      </c>
      <c r="AT1501">
        <v>0</v>
      </c>
      <c r="AU1501">
        <v>0</v>
      </c>
      <c r="AV1501">
        <v>0</v>
      </c>
      <c r="AW1501">
        <v>0</v>
      </c>
      <c r="AX1501">
        <v>0</v>
      </c>
      <c r="AY1501">
        <v>0</v>
      </c>
      <c r="AZ1501">
        <v>0</v>
      </c>
      <c r="BA1501">
        <v>0</v>
      </c>
      <c r="BB1501">
        <v>0</v>
      </c>
      <c r="BC1501">
        <v>0</v>
      </c>
      <c r="BD1501">
        <v>0</v>
      </c>
      <c r="BE1501">
        <v>0</v>
      </c>
      <c r="BF1501">
        <v>0</v>
      </c>
      <c r="BG1501">
        <v>0</v>
      </c>
      <c r="BH1501">
        <v>1</v>
      </c>
      <c r="BI1501">
        <v>1</v>
      </c>
      <c r="BJ1501">
        <v>0.2</v>
      </c>
      <c r="BK1501">
        <v>1</v>
      </c>
      <c r="BL1501">
        <v>54.66</v>
      </c>
      <c r="BM1501">
        <v>8.1999999999999993</v>
      </c>
      <c r="BN1501">
        <v>62.86</v>
      </c>
      <c r="BO1501">
        <v>62.86</v>
      </c>
      <c r="BQ1501" t="s">
        <v>1264</v>
      </c>
      <c r="BR1501" t="s">
        <v>84</v>
      </c>
      <c r="BS1501" s="3">
        <v>45792</v>
      </c>
      <c r="BT1501" s="4">
        <v>0.31041666666666667</v>
      </c>
      <c r="BU1501" t="s">
        <v>2125</v>
      </c>
      <c r="BV1501" t="s">
        <v>86</v>
      </c>
      <c r="BY1501">
        <v>1200</v>
      </c>
      <c r="CA1501" t="s">
        <v>115</v>
      </c>
      <c r="CC1501" t="s">
        <v>76</v>
      </c>
      <c r="CD1501">
        <v>1600</v>
      </c>
      <c r="CE1501" t="s">
        <v>88</v>
      </c>
      <c r="CF1501" s="3">
        <v>45793</v>
      </c>
      <c r="CI1501">
        <v>1</v>
      </c>
      <c r="CJ1501">
        <v>1</v>
      </c>
      <c r="CK1501">
        <v>22</v>
      </c>
      <c r="CL1501" t="s">
        <v>89</v>
      </c>
    </row>
    <row r="1502" spans="1:90" x14ac:dyDescent="0.3">
      <c r="A1502" t="s">
        <v>72</v>
      </c>
      <c r="B1502" t="s">
        <v>73</v>
      </c>
      <c r="C1502" t="s">
        <v>74</v>
      </c>
      <c r="E1502" t="str">
        <f>"080065374672"</f>
        <v>080065374672</v>
      </c>
      <c r="F1502" s="3">
        <v>45791</v>
      </c>
      <c r="G1502">
        <v>202602</v>
      </c>
      <c r="H1502" t="s">
        <v>75</v>
      </c>
      <c r="I1502" t="s">
        <v>76</v>
      </c>
      <c r="J1502" t="s">
        <v>77</v>
      </c>
      <c r="K1502" t="s">
        <v>78</v>
      </c>
      <c r="L1502" t="s">
        <v>648</v>
      </c>
      <c r="M1502" t="s">
        <v>649</v>
      </c>
      <c r="N1502" t="s">
        <v>762</v>
      </c>
      <c r="O1502" t="s">
        <v>82</v>
      </c>
      <c r="P1502" t="str">
        <f>"4170038482                    "</f>
        <v xml:space="preserve">4170038482                    </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c r="AJ1502">
        <v>0</v>
      </c>
      <c r="AK1502">
        <v>0</v>
      </c>
      <c r="AL1502">
        <v>0</v>
      </c>
      <c r="AM1502">
        <v>0</v>
      </c>
      <c r="AN1502">
        <v>0</v>
      </c>
      <c r="AO1502">
        <v>0</v>
      </c>
      <c r="AP1502">
        <v>0</v>
      </c>
      <c r="AQ1502">
        <v>16.7</v>
      </c>
      <c r="AR1502">
        <v>0</v>
      </c>
      <c r="AS1502">
        <v>0</v>
      </c>
      <c r="AT1502">
        <v>0</v>
      </c>
      <c r="AU1502">
        <v>0</v>
      </c>
      <c r="AV1502">
        <v>0</v>
      </c>
      <c r="AW1502">
        <v>0</v>
      </c>
      <c r="AX1502">
        <v>0</v>
      </c>
      <c r="AY1502">
        <v>0</v>
      </c>
      <c r="AZ1502">
        <v>0</v>
      </c>
      <c r="BA1502">
        <v>0</v>
      </c>
      <c r="BB1502">
        <v>0</v>
      </c>
      <c r="BC1502">
        <v>0</v>
      </c>
      <c r="BD1502">
        <v>0</v>
      </c>
      <c r="BE1502">
        <v>0</v>
      </c>
      <c r="BF1502">
        <v>0</v>
      </c>
      <c r="BG1502">
        <v>0</v>
      </c>
      <c r="BH1502">
        <v>1</v>
      </c>
      <c r="BI1502">
        <v>2</v>
      </c>
      <c r="BJ1502">
        <v>1.4</v>
      </c>
      <c r="BK1502">
        <v>2</v>
      </c>
      <c r="BL1502">
        <v>54.66</v>
      </c>
      <c r="BM1502">
        <v>8.1999999999999993</v>
      </c>
      <c r="BN1502">
        <v>62.86</v>
      </c>
      <c r="BO1502">
        <v>62.86</v>
      </c>
      <c r="BQ1502" t="s">
        <v>763</v>
      </c>
      <c r="BR1502" t="s">
        <v>84</v>
      </c>
      <c r="BS1502" s="3">
        <v>45792</v>
      </c>
      <c r="BT1502" s="4">
        <v>0.42986111111111114</v>
      </c>
      <c r="BU1502" t="s">
        <v>2072</v>
      </c>
      <c r="BV1502" t="s">
        <v>86</v>
      </c>
      <c r="BY1502">
        <v>7000</v>
      </c>
      <c r="CA1502" t="s">
        <v>698</v>
      </c>
      <c r="CC1502" t="s">
        <v>649</v>
      </c>
      <c r="CD1502">
        <v>1559</v>
      </c>
      <c r="CE1502" t="s">
        <v>116</v>
      </c>
      <c r="CF1502" s="3">
        <v>45792</v>
      </c>
      <c r="CI1502">
        <v>1</v>
      </c>
      <c r="CJ1502">
        <v>1</v>
      </c>
      <c r="CK1502">
        <v>22</v>
      </c>
      <c r="CL1502" t="s">
        <v>89</v>
      </c>
    </row>
    <row r="1503" spans="1:90" x14ac:dyDescent="0.3">
      <c r="A1503" t="s">
        <v>72</v>
      </c>
      <c r="B1503" t="s">
        <v>73</v>
      </c>
      <c r="C1503" t="s">
        <v>74</v>
      </c>
      <c r="E1503" t="str">
        <f>"080065374673"</f>
        <v>080065374673</v>
      </c>
      <c r="F1503" s="3">
        <v>45791</v>
      </c>
      <c r="G1503">
        <v>202602</v>
      </c>
      <c r="H1503" t="s">
        <v>75</v>
      </c>
      <c r="I1503" t="s">
        <v>76</v>
      </c>
      <c r="J1503" t="s">
        <v>77</v>
      </c>
      <c r="K1503" t="s">
        <v>78</v>
      </c>
      <c r="L1503" t="s">
        <v>97</v>
      </c>
      <c r="M1503" t="s">
        <v>98</v>
      </c>
      <c r="N1503" t="s">
        <v>284</v>
      </c>
      <c r="O1503" t="s">
        <v>82</v>
      </c>
      <c r="P1503" t="str">
        <f>"4170038535                    "</f>
        <v xml:space="preserve">4170038535                    </v>
      </c>
      <c r="Q1503">
        <v>0</v>
      </c>
      <c r="R1503">
        <v>0</v>
      </c>
      <c r="S1503">
        <v>0</v>
      </c>
      <c r="T1503">
        <v>0</v>
      </c>
      <c r="U1503">
        <v>0</v>
      </c>
      <c r="V1503">
        <v>0</v>
      </c>
      <c r="W1503">
        <v>0</v>
      </c>
      <c r="X1503">
        <v>0</v>
      </c>
      <c r="Y1503">
        <v>0</v>
      </c>
      <c r="Z1503">
        <v>0</v>
      </c>
      <c r="AA1503">
        <v>0</v>
      </c>
      <c r="AB1503">
        <v>0</v>
      </c>
      <c r="AC1503">
        <v>0</v>
      </c>
      <c r="AD1503">
        <v>0</v>
      </c>
      <c r="AE1503">
        <v>0</v>
      </c>
      <c r="AF1503">
        <v>0</v>
      </c>
      <c r="AG1503">
        <v>0</v>
      </c>
      <c r="AH1503">
        <v>0</v>
      </c>
      <c r="AI1503">
        <v>0</v>
      </c>
      <c r="AJ1503">
        <v>0</v>
      </c>
      <c r="AK1503">
        <v>0</v>
      </c>
      <c r="AL1503">
        <v>0</v>
      </c>
      <c r="AM1503">
        <v>0</v>
      </c>
      <c r="AN1503">
        <v>0</v>
      </c>
      <c r="AO1503">
        <v>0</v>
      </c>
      <c r="AP1503">
        <v>0</v>
      </c>
      <c r="AQ1503">
        <v>16.7</v>
      </c>
      <c r="AR1503">
        <v>0</v>
      </c>
      <c r="AS1503">
        <v>0</v>
      </c>
      <c r="AT1503">
        <v>0</v>
      </c>
      <c r="AU1503">
        <v>0</v>
      </c>
      <c r="AV1503">
        <v>0</v>
      </c>
      <c r="AW1503">
        <v>0</v>
      </c>
      <c r="AX1503">
        <v>0</v>
      </c>
      <c r="AY1503">
        <v>0</v>
      </c>
      <c r="AZ1503">
        <v>0</v>
      </c>
      <c r="BA1503">
        <v>0</v>
      </c>
      <c r="BB1503">
        <v>0</v>
      </c>
      <c r="BC1503">
        <v>0</v>
      </c>
      <c r="BD1503">
        <v>0</v>
      </c>
      <c r="BE1503">
        <v>0</v>
      </c>
      <c r="BF1503">
        <v>0</v>
      </c>
      <c r="BG1503">
        <v>0</v>
      </c>
      <c r="BH1503">
        <v>1</v>
      </c>
      <c r="BI1503">
        <v>1</v>
      </c>
      <c r="BJ1503">
        <v>0.2</v>
      </c>
      <c r="BK1503">
        <v>1</v>
      </c>
      <c r="BL1503">
        <v>54.66</v>
      </c>
      <c r="BM1503">
        <v>8.1999999999999993</v>
      </c>
      <c r="BN1503">
        <v>62.86</v>
      </c>
      <c r="BO1503">
        <v>62.86</v>
      </c>
      <c r="BQ1503" t="s">
        <v>285</v>
      </c>
      <c r="BR1503" t="s">
        <v>84</v>
      </c>
      <c r="BS1503" s="3">
        <v>45792</v>
      </c>
      <c r="BT1503" s="4">
        <v>0.32222222222222224</v>
      </c>
      <c r="BU1503" t="s">
        <v>2126</v>
      </c>
      <c r="BV1503" t="s">
        <v>86</v>
      </c>
      <c r="BY1503">
        <v>1200</v>
      </c>
      <c r="CA1503" t="s">
        <v>279</v>
      </c>
      <c r="CC1503" t="s">
        <v>98</v>
      </c>
      <c r="CD1503">
        <v>1459</v>
      </c>
      <c r="CE1503" t="s">
        <v>88</v>
      </c>
      <c r="CF1503" s="3">
        <v>45792</v>
      </c>
      <c r="CI1503">
        <v>1</v>
      </c>
      <c r="CJ1503">
        <v>1</v>
      </c>
      <c r="CK1503">
        <v>22</v>
      </c>
      <c r="CL1503" t="s">
        <v>89</v>
      </c>
    </row>
    <row r="1504" spans="1:90" x14ac:dyDescent="0.3">
      <c r="A1504" t="s">
        <v>72</v>
      </c>
      <c r="B1504" t="s">
        <v>73</v>
      </c>
      <c r="C1504" t="s">
        <v>74</v>
      </c>
      <c r="E1504" t="str">
        <f>"080065374696"</f>
        <v>080065374696</v>
      </c>
      <c r="F1504" s="3">
        <v>45791</v>
      </c>
      <c r="G1504">
        <v>202602</v>
      </c>
      <c r="H1504" t="s">
        <v>75</v>
      </c>
      <c r="I1504" t="s">
        <v>76</v>
      </c>
      <c r="J1504" t="s">
        <v>77</v>
      </c>
      <c r="K1504" t="s">
        <v>78</v>
      </c>
      <c r="L1504" t="s">
        <v>320</v>
      </c>
      <c r="M1504" t="s">
        <v>321</v>
      </c>
      <c r="N1504" t="s">
        <v>499</v>
      </c>
      <c r="O1504" t="s">
        <v>82</v>
      </c>
      <c r="P1504" t="str">
        <f>"4170038548                    "</f>
        <v xml:space="preserve">4170038548                    </v>
      </c>
      <c r="Q1504">
        <v>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c r="AJ1504">
        <v>0</v>
      </c>
      <c r="AK1504">
        <v>0</v>
      </c>
      <c r="AL1504">
        <v>0</v>
      </c>
      <c r="AM1504">
        <v>0</v>
      </c>
      <c r="AN1504">
        <v>0</v>
      </c>
      <c r="AO1504">
        <v>0</v>
      </c>
      <c r="AP1504">
        <v>0</v>
      </c>
      <c r="AQ1504">
        <v>21.38</v>
      </c>
      <c r="AR1504">
        <v>0</v>
      </c>
      <c r="AS1504">
        <v>0</v>
      </c>
      <c r="AT1504">
        <v>0</v>
      </c>
      <c r="AU1504">
        <v>0</v>
      </c>
      <c r="AV1504">
        <v>0</v>
      </c>
      <c r="AW1504">
        <v>0</v>
      </c>
      <c r="AX1504">
        <v>0</v>
      </c>
      <c r="AY1504">
        <v>0</v>
      </c>
      <c r="AZ1504">
        <v>0</v>
      </c>
      <c r="BA1504">
        <v>0</v>
      </c>
      <c r="BB1504">
        <v>0</v>
      </c>
      <c r="BC1504">
        <v>0</v>
      </c>
      <c r="BD1504">
        <v>0</v>
      </c>
      <c r="BE1504">
        <v>0</v>
      </c>
      <c r="BF1504">
        <v>0</v>
      </c>
      <c r="BG1504">
        <v>0</v>
      </c>
      <c r="BH1504">
        <v>1</v>
      </c>
      <c r="BI1504">
        <v>1</v>
      </c>
      <c r="BJ1504">
        <v>0.2</v>
      </c>
      <c r="BK1504">
        <v>1</v>
      </c>
      <c r="BL1504">
        <v>69.98</v>
      </c>
      <c r="BM1504">
        <v>10.5</v>
      </c>
      <c r="BN1504">
        <v>80.48</v>
      </c>
      <c r="BO1504">
        <v>80.48</v>
      </c>
      <c r="BQ1504" t="s">
        <v>500</v>
      </c>
      <c r="BR1504" t="s">
        <v>84</v>
      </c>
      <c r="BS1504" s="3">
        <v>45792</v>
      </c>
      <c r="BT1504" s="4">
        <v>0.74097222222222225</v>
      </c>
      <c r="BU1504" t="s">
        <v>623</v>
      </c>
      <c r="BV1504" t="s">
        <v>89</v>
      </c>
      <c r="BW1504" t="s">
        <v>434</v>
      </c>
      <c r="BX1504" t="s">
        <v>1829</v>
      </c>
      <c r="BY1504">
        <v>1200</v>
      </c>
      <c r="CA1504" t="s">
        <v>326</v>
      </c>
      <c r="CC1504" t="s">
        <v>321</v>
      </c>
      <c r="CD1504">
        <v>4133</v>
      </c>
      <c r="CE1504" t="s">
        <v>88</v>
      </c>
      <c r="CF1504" s="3">
        <v>45793</v>
      </c>
      <c r="CI1504">
        <v>1</v>
      </c>
      <c r="CJ1504">
        <v>1</v>
      </c>
      <c r="CK1504">
        <v>21</v>
      </c>
      <c r="CL1504" t="s">
        <v>89</v>
      </c>
    </row>
    <row r="1505" spans="1:90" x14ac:dyDescent="0.3">
      <c r="A1505" t="s">
        <v>72</v>
      </c>
      <c r="B1505" t="s">
        <v>73</v>
      </c>
      <c r="C1505" t="s">
        <v>74</v>
      </c>
      <c r="E1505" t="str">
        <f>"080065374714"</f>
        <v>080065374714</v>
      </c>
      <c r="F1505" s="3">
        <v>45791</v>
      </c>
      <c r="G1505">
        <v>202602</v>
      </c>
      <c r="H1505" t="s">
        <v>75</v>
      </c>
      <c r="I1505" t="s">
        <v>76</v>
      </c>
      <c r="J1505" t="s">
        <v>77</v>
      </c>
      <c r="K1505" t="s">
        <v>78</v>
      </c>
      <c r="L1505" t="s">
        <v>123</v>
      </c>
      <c r="M1505" t="s">
        <v>123</v>
      </c>
      <c r="N1505" t="s">
        <v>1700</v>
      </c>
      <c r="O1505" t="s">
        <v>82</v>
      </c>
      <c r="P1505" t="str">
        <f>"4170038414                    "</f>
        <v xml:space="preserve">4170038414                    </v>
      </c>
      <c r="Q1505">
        <v>0</v>
      </c>
      <c r="R1505">
        <v>0</v>
      </c>
      <c r="S1505">
        <v>0</v>
      </c>
      <c r="T1505">
        <v>0</v>
      </c>
      <c r="U1505">
        <v>0</v>
      </c>
      <c r="V1505">
        <v>0</v>
      </c>
      <c r="W1505">
        <v>0</v>
      </c>
      <c r="X1505">
        <v>0</v>
      </c>
      <c r="Y1505">
        <v>0</v>
      </c>
      <c r="Z1505">
        <v>0</v>
      </c>
      <c r="AA1505">
        <v>0</v>
      </c>
      <c r="AB1505">
        <v>0</v>
      </c>
      <c r="AC1505">
        <v>0</v>
      </c>
      <c r="AD1505">
        <v>0</v>
      </c>
      <c r="AE1505">
        <v>0</v>
      </c>
      <c r="AF1505">
        <v>0</v>
      </c>
      <c r="AG1505">
        <v>0</v>
      </c>
      <c r="AH1505">
        <v>0</v>
      </c>
      <c r="AI1505">
        <v>0</v>
      </c>
      <c r="AJ1505">
        <v>0</v>
      </c>
      <c r="AK1505">
        <v>0</v>
      </c>
      <c r="AL1505">
        <v>0</v>
      </c>
      <c r="AM1505">
        <v>0</v>
      </c>
      <c r="AN1505">
        <v>0</v>
      </c>
      <c r="AO1505">
        <v>0</v>
      </c>
      <c r="AP1505">
        <v>0</v>
      </c>
      <c r="AQ1505">
        <v>41.43</v>
      </c>
      <c r="AR1505">
        <v>0</v>
      </c>
      <c r="AS1505">
        <v>0</v>
      </c>
      <c r="AT1505">
        <v>0</v>
      </c>
      <c r="AU1505">
        <v>0</v>
      </c>
      <c r="AV1505">
        <v>0</v>
      </c>
      <c r="AW1505">
        <v>0</v>
      </c>
      <c r="AX1505">
        <v>0</v>
      </c>
      <c r="AY1505">
        <v>0</v>
      </c>
      <c r="AZ1505">
        <v>0</v>
      </c>
      <c r="BA1505">
        <v>0</v>
      </c>
      <c r="BB1505">
        <v>0</v>
      </c>
      <c r="BC1505">
        <v>0</v>
      </c>
      <c r="BD1505">
        <v>0</v>
      </c>
      <c r="BE1505">
        <v>0</v>
      </c>
      <c r="BF1505">
        <v>0</v>
      </c>
      <c r="BG1505">
        <v>0</v>
      </c>
      <c r="BH1505">
        <v>1</v>
      </c>
      <c r="BI1505">
        <v>1</v>
      </c>
      <c r="BJ1505">
        <v>0.2</v>
      </c>
      <c r="BK1505">
        <v>1</v>
      </c>
      <c r="BL1505">
        <v>135.59</v>
      </c>
      <c r="BM1505">
        <v>20.34</v>
      </c>
      <c r="BN1505">
        <v>155.93</v>
      </c>
      <c r="BO1505">
        <v>155.93</v>
      </c>
      <c r="BQ1505" t="s">
        <v>1701</v>
      </c>
      <c r="BR1505" t="s">
        <v>84</v>
      </c>
      <c r="BS1505" s="3">
        <v>45792</v>
      </c>
      <c r="BT1505" s="4">
        <v>0.41666666666666669</v>
      </c>
      <c r="BU1505" t="s">
        <v>768</v>
      </c>
      <c r="BV1505" t="s">
        <v>86</v>
      </c>
      <c r="BY1505">
        <v>1200</v>
      </c>
      <c r="CA1505" t="s">
        <v>2044</v>
      </c>
      <c r="CC1505" t="s">
        <v>123</v>
      </c>
      <c r="CD1505">
        <v>7646</v>
      </c>
      <c r="CE1505" t="s">
        <v>88</v>
      </c>
      <c r="CF1505" s="3">
        <v>45793</v>
      </c>
      <c r="CI1505">
        <v>1</v>
      </c>
      <c r="CJ1505">
        <v>1</v>
      </c>
      <c r="CK1505">
        <v>23</v>
      </c>
      <c r="CL1505" t="s">
        <v>89</v>
      </c>
    </row>
    <row r="1506" spans="1:90" x14ac:dyDescent="0.3">
      <c r="A1506" t="s">
        <v>72</v>
      </c>
      <c r="B1506" t="s">
        <v>73</v>
      </c>
      <c r="C1506" t="s">
        <v>74</v>
      </c>
      <c r="E1506" t="str">
        <f>"080065374723"</f>
        <v>080065374723</v>
      </c>
      <c r="F1506" s="3">
        <v>45791</v>
      </c>
      <c r="G1506">
        <v>202602</v>
      </c>
      <c r="H1506" t="s">
        <v>75</v>
      </c>
      <c r="I1506" t="s">
        <v>76</v>
      </c>
      <c r="J1506" t="s">
        <v>77</v>
      </c>
      <c r="K1506" t="s">
        <v>78</v>
      </c>
      <c r="L1506" t="s">
        <v>143</v>
      </c>
      <c r="M1506" t="s">
        <v>144</v>
      </c>
      <c r="N1506" t="s">
        <v>2127</v>
      </c>
      <c r="O1506" t="s">
        <v>82</v>
      </c>
      <c r="P1506" t="str">
        <f>"4170038514                    "</f>
        <v xml:space="preserve">4170038514                    </v>
      </c>
      <c r="Q1506">
        <v>0</v>
      </c>
      <c r="R1506">
        <v>0</v>
      </c>
      <c r="S1506">
        <v>0</v>
      </c>
      <c r="T1506">
        <v>0</v>
      </c>
      <c r="U1506">
        <v>0</v>
      </c>
      <c r="V1506">
        <v>0</v>
      </c>
      <c r="W1506">
        <v>0</v>
      </c>
      <c r="X1506">
        <v>0</v>
      </c>
      <c r="Y1506">
        <v>0</v>
      </c>
      <c r="Z1506">
        <v>0</v>
      </c>
      <c r="AA1506">
        <v>0</v>
      </c>
      <c r="AB1506">
        <v>0</v>
      </c>
      <c r="AC1506">
        <v>0</v>
      </c>
      <c r="AD1506">
        <v>0</v>
      </c>
      <c r="AE1506">
        <v>0</v>
      </c>
      <c r="AF1506">
        <v>0</v>
      </c>
      <c r="AG1506">
        <v>0</v>
      </c>
      <c r="AH1506">
        <v>0</v>
      </c>
      <c r="AI1506">
        <v>0</v>
      </c>
      <c r="AJ1506">
        <v>0</v>
      </c>
      <c r="AK1506">
        <v>0</v>
      </c>
      <c r="AL1506">
        <v>0</v>
      </c>
      <c r="AM1506">
        <v>0</v>
      </c>
      <c r="AN1506">
        <v>0</v>
      </c>
      <c r="AO1506">
        <v>0</v>
      </c>
      <c r="AP1506">
        <v>0</v>
      </c>
      <c r="AQ1506">
        <v>16.7</v>
      </c>
      <c r="AR1506">
        <v>0</v>
      </c>
      <c r="AS1506">
        <v>0</v>
      </c>
      <c r="AT1506">
        <v>0</v>
      </c>
      <c r="AU1506">
        <v>0</v>
      </c>
      <c r="AV1506">
        <v>0</v>
      </c>
      <c r="AW1506">
        <v>0</v>
      </c>
      <c r="AX1506">
        <v>0</v>
      </c>
      <c r="AY1506">
        <v>0</v>
      </c>
      <c r="AZ1506">
        <v>0</v>
      </c>
      <c r="BA1506">
        <v>0</v>
      </c>
      <c r="BB1506">
        <v>0</v>
      </c>
      <c r="BC1506">
        <v>0</v>
      </c>
      <c r="BD1506">
        <v>0</v>
      </c>
      <c r="BE1506">
        <v>0</v>
      </c>
      <c r="BF1506">
        <v>0</v>
      </c>
      <c r="BG1506">
        <v>0</v>
      </c>
      <c r="BH1506">
        <v>1</v>
      </c>
      <c r="BI1506">
        <v>3</v>
      </c>
      <c r="BJ1506">
        <v>1.7</v>
      </c>
      <c r="BK1506">
        <v>3</v>
      </c>
      <c r="BL1506">
        <v>54.66</v>
      </c>
      <c r="BM1506">
        <v>8.1999999999999993</v>
      </c>
      <c r="BN1506">
        <v>62.86</v>
      </c>
      <c r="BO1506">
        <v>62.86</v>
      </c>
      <c r="BQ1506" t="s">
        <v>2128</v>
      </c>
      <c r="BR1506" t="s">
        <v>84</v>
      </c>
      <c r="BS1506" s="3">
        <v>45793</v>
      </c>
      <c r="BT1506" s="4">
        <v>0.39791666666666664</v>
      </c>
      <c r="BU1506" t="s">
        <v>2129</v>
      </c>
      <c r="BV1506" t="s">
        <v>89</v>
      </c>
      <c r="BW1506" t="s">
        <v>148</v>
      </c>
      <c r="BX1506" t="s">
        <v>1143</v>
      </c>
      <c r="BY1506">
        <v>8512</v>
      </c>
      <c r="CC1506" t="s">
        <v>144</v>
      </c>
      <c r="CD1506">
        <v>1401</v>
      </c>
      <c r="CE1506" t="s">
        <v>116</v>
      </c>
      <c r="CF1506" s="3">
        <v>45793</v>
      </c>
      <c r="CI1506">
        <v>1</v>
      </c>
      <c r="CJ1506">
        <v>2</v>
      </c>
      <c r="CK1506">
        <v>22</v>
      </c>
      <c r="CL1506" t="s">
        <v>89</v>
      </c>
    </row>
    <row r="1507" spans="1:90" x14ac:dyDescent="0.3">
      <c r="A1507" t="s">
        <v>72</v>
      </c>
      <c r="B1507" t="s">
        <v>73</v>
      </c>
      <c r="C1507" t="s">
        <v>74</v>
      </c>
      <c r="E1507" t="str">
        <f>"080065374757"</f>
        <v>080065374757</v>
      </c>
      <c r="F1507" s="3">
        <v>45791</v>
      </c>
      <c r="G1507">
        <v>202602</v>
      </c>
      <c r="H1507" t="s">
        <v>75</v>
      </c>
      <c r="I1507" t="s">
        <v>76</v>
      </c>
      <c r="J1507" t="s">
        <v>77</v>
      </c>
      <c r="K1507" t="s">
        <v>78</v>
      </c>
      <c r="L1507" t="s">
        <v>374</v>
      </c>
      <c r="M1507" t="s">
        <v>375</v>
      </c>
      <c r="N1507" t="s">
        <v>2130</v>
      </c>
      <c r="O1507" t="s">
        <v>82</v>
      </c>
      <c r="P1507" t="str">
        <f>"4170038375                    "</f>
        <v xml:space="preserve">4170038375                    </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c r="AI1507">
        <v>0</v>
      </c>
      <c r="AJ1507">
        <v>0</v>
      </c>
      <c r="AK1507">
        <v>0</v>
      </c>
      <c r="AL1507">
        <v>0</v>
      </c>
      <c r="AM1507">
        <v>0</v>
      </c>
      <c r="AN1507">
        <v>0</v>
      </c>
      <c r="AO1507">
        <v>0</v>
      </c>
      <c r="AP1507">
        <v>0</v>
      </c>
      <c r="AQ1507">
        <v>41.43</v>
      </c>
      <c r="AR1507">
        <v>0</v>
      </c>
      <c r="AS1507">
        <v>0</v>
      </c>
      <c r="AT1507">
        <v>0</v>
      </c>
      <c r="AU1507">
        <v>0</v>
      </c>
      <c r="AV1507">
        <v>0</v>
      </c>
      <c r="AW1507">
        <v>0</v>
      </c>
      <c r="AX1507">
        <v>0</v>
      </c>
      <c r="AY1507">
        <v>0</v>
      </c>
      <c r="AZ1507">
        <v>0</v>
      </c>
      <c r="BA1507">
        <v>0</v>
      </c>
      <c r="BB1507">
        <v>0</v>
      </c>
      <c r="BC1507">
        <v>0</v>
      </c>
      <c r="BD1507">
        <v>0</v>
      </c>
      <c r="BE1507">
        <v>0</v>
      </c>
      <c r="BF1507">
        <v>0</v>
      </c>
      <c r="BG1507">
        <v>0</v>
      </c>
      <c r="BH1507">
        <v>1</v>
      </c>
      <c r="BI1507">
        <v>2</v>
      </c>
      <c r="BJ1507">
        <v>1.1000000000000001</v>
      </c>
      <c r="BK1507">
        <v>2</v>
      </c>
      <c r="BL1507">
        <v>135.59</v>
      </c>
      <c r="BM1507">
        <v>20.34</v>
      </c>
      <c r="BN1507">
        <v>155.93</v>
      </c>
      <c r="BO1507">
        <v>155.93</v>
      </c>
      <c r="BQ1507" t="s">
        <v>2131</v>
      </c>
      <c r="BR1507" t="s">
        <v>84</v>
      </c>
      <c r="BS1507" s="3">
        <v>45792</v>
      </c>
      <c r="BT1507" s="4">
        <v>0.39166666666666666</v>
      </c>
      <c r="BU1507" t="s">
        <v>2132</v>
      </c>
      <c r="BV1507" t="s">
        <v>86</v>
      </c>
      <c r="BY1507">
        <v>5320</v>
      </c>
      <c r="CA1507" t="s">
        <v>379</v>
      </c>
      <c r="CC1507" t="s">
        <v>375</v>
      </c>
      <c r="CD1507">
        <v>7130</v>
      </c>
      <c r="CE1507" t="s">
        <v>116</v>
      </c>
      <c r="CF1507" s="3">
        <v>45793</v>
      </c>
      <c r="CI1507">
        <v>1</v>
      </c>
      <c r="CJ1507">
        <v>1</v>
      </c>
      <c r="CK1507">
        <v>23</v>
      </c>
      <c r="CL1507" t="s">
        <v>89</v>
      </c>
    </row>
    <row r="1508" spans="1:90" x14ac:dyDescent="0.3">
      <c r="A1508" t="s">
        <v>72</v>
      </c>
      <c r="B1508" t="s">
        <v>73</v>
      </c>
      <c r="C1508" t="s">
        <v>74</v>
      </c>
      <c r="E1508" t="str">
        <f>"080065374878"</f>
        <v>080065374878</v>
      </c>
      <c r="F1508" s="3">
        <v>45791</v>
      </c>
      <c r="G1508">
        <v>202602</v>
      </c>
      <c r="H1508" t="s">
        <v>75</v>
      </c>
      <c r="I1508" t="s">
        <v>76</v>
      </c>
      <c r="J1508" t="s">
        <v>77</v>
      </c>
      <c r="K1508" t="s">
        <v>78</v>
      </c>
      <c r="L1508" t="s">
        <v>2133</v>
      </c>
      <c r="M1508" t="s">
        <v>2134</v>
      </c>
      <c r="N1508" t="s">
        <v>2135</v>
      </c>
      <c r="O1508" t="s">
        <v>82</v>
      </c>
      <c r="P1508" t="str">
        <f>"4170038416                    "</f>
        <v xml:space="preserve">4170038416                    </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c r="AK1508">
        <v>0</v>
      </c>
      <c r="AL1508">
        <v>0</v>
      </c>
      <c r="AM1508">
        <v>0</v>
      </c>
      <c r="AN1508">
        <v>0</v>
      </c>
      <c r="AO1508">
        <v>0</v>
      </c>
      <c r="AP1508">
        <v>0</v>
      </c>
      <c r="AQ1508">
        <v>41.43</v>
      </c>
      <c r="AR1508">
        <v>0</v>
      </c>
      <c r="AS1508">
        <v>0</v>
      </c>
      <c r="AT1508">
        <v>0</v>
      </c>
      <c r="AU1508">
        <v>0</v>
      </c>
      <c r="AV1508">
        <v>0</v>
      </c>
      <c r="AW1508">
        <v>0</v>
      </c>
      <c r="AX1508">
        <v>0</v>
      </c>
      <c r="AY1508">
        <v>0</v>
      </c>
      <c r="AZ1508">
        <v>0</v>
      </c>
      <c r="BA1508">
        <v>0</v>
      </c>
      <c r="BB1508">
        <v>0</v>
      </c>
      <c r="BC1508">
        <v>0</v>
      </c>
      <c r="BD1508">
        <v>0</v>
      </c>
      <c r="BE1508">
        <v>0</v>
      </c>
      <c r="BF1508">
        <v>0</v>
      </c>
      <c r="BG1508">
        <v>0</v>
      </c>
      <c r="BH1508">
        <v>1</v>
      </c>
      <c r="BI1508">
        <v>1</v>
      </c>
      <c r="BJ1508">
        <v>0.2</v>
      </c>
      <c r="BK1508">
        <v>1</v>
      </c>
      <c r="BL1508">
        <v>135.59</v>
      </c>
      <c r="BM1508">
        <v>20.34</v>
      </c>
      <c r="BN1508">
        <v>155.93</v>
      </c>
      <c r="BO1508">
        <v>155.93</v>
      </c>
      <c r="BQ1508" t="s">
        <v>2136</v>
      </c>
      <c r="BR1508" t="s">
        <v>84</v>
      </c>
      <c r="BS1508" s="3">
        <v>45793</v>
      </c>
      <c r="BT1508" s="4">
        <v>0.5625</v>
      </c>
      <c r="BU1508" t="s">
        <v>2137</v>
      </c>
      <c r="BV1508" t="s">
        <v>86</v>
      </c>
      <c r="BY1508">
        <v>1200</v>
      </c>
      <c r="CC1508" t="s">
        <v>2134</v>
      </c>
      <c r="CD1508">
        <v>6742</v>
      </c>
      <c r="CE1508" t="s">
        <v>88</v>
      </c>
      <c r="CF1508" s="3">
        <v>45799</v>
      </c>
      <c r="CI1508">
        <v>2</v>
      </c>
      <c r="CJ1508">
        <v>2</v>
      </c>
      <c r="CK1508">
        <v>23</v>
      </c>
      <c r="CL1508" t="s">
        <v>89</v>
      </c>
    </row>
    <row r="1509" spans="1:90" x14ac:dyDescent="0.3">
      <c r="A1509" t="s">
        <v>72</v>
      </c>
      <c r="B1509" t="s">
        <v>73</v>
      </c>
      <c r="C1509" t="s">
        <v>74</v>
      </c>
      <c r="E1509" t="str">
        <f>"080065374885"</f>
        <v>080065374885</v>
      </c>
      <c r="F1509" s="3">
        <v>45791</v>
      </c>
      <c r="G1509">
        <v>202602</v>
      </c>
      <c r="H1509" t="s">
        <v>75</v>
      </c>
      <c r="I1509" t="s">
        <v>76</v>
      </c>
      <c r="J1509" t="s">
        <v>77</v>
      </c>
      <c r="K1509" t="s">
        <v>78</v>
      </c>
      <c r="L1509" t="s">
        <v>90</v>
      </c>
      <c r="M1509" t="s">
        <v>91</v>
      </c>
      <c r="N1509" t="s">
        <v>2138</v>
      </c>
      <c r="O1509" t="s">
        <v>82</v>
      </c>
      <c r="P1509" t="str">
        <f>"4170038547                    "</f>
        <v xml:space="preserve">4170038547                    </v>
      </c>
      <c r="Q1509">
        <v>0</v>
      </c>
      <c r="R1509">
        <v>0</v>
      </c>
      <c r="S1509">
        <v>0</v>
      </c>
      <c r="T1509">
        <v>0</v>
      </c>
      <c r="U1509">
        <v>0</v>
      </c>
      <c r="V1509">
        <v>0</v>
      </c>
      <c r="W1509">
        <v>0</v>
      </c>
      <c r="X1509">
        <v>0</v>
      </c>
      <c r="Y1509">
        <v>0</v>
      </c>
      <c r="Z1509">
        <v>0</v>
      </c>
      <c r="AA1509">
        <v>0</v>
      </c>
      <c r="AB1509">
        <v>0</v>
      </c>
      <c r="AC1509">
        <v>0</v>
      </c>
      <c r="AD1509">
        <v>0</v>
      </c>
      <c r="AE1509">
        <v>0</v>
      </c>
      <c r="AF1509">
        <v>0</v>
      </c>
      <c r="AG1509">
        <v>0</v>
      </c>
      <c r="AH1509">
        <v>0</v>
      </c>
      <c r="AI1509">
        <v>0</v>
      </c>
      <c r="AJ1509">
        <v>0</v>
      </c>
      <c r="AK1509">
        <v>0</v>
      </c>
      <c r="AL1509">
        <v>0</v>
      </c>
      <c r="AM1509">
        <v>0</v>
      </c>
      <c r="AN1509">
        <v>0</v>
      </c>
      <c r="AO1509">
        <v>0</v>
      </c>
      <c r="AP1509">
        <v>0</v>
      </c>
      <c r="AQ1509">
        <v>26.73</v>
      </c>
      <c r="AR1509">
        <v>0</v>
      </c>
      <c r="AS1509">
        <v>0</v>
      </c>
      <c r="AT1509">
        <v>0</v>
      </c>
      <c r="AU1509">
        <v>0</v>
      </c>
      <c r="AV1509">
        <v>0</v>
      </c>
      <c r="AW1509">
        <v>0</v>
      </c>
      <c r="AX1509">
        <v>0</v>
      </c>
      <c r="AY1509">
        <v>0</v>
      </c>
      <c r="AZ1509">
        <v>0</v>
      </c>
      <c r="BA1509">
        <v>0</v>
      </c>
      <c r="BB1509">
        <v>0</v>
      </c>
      <c r="BC1509">
        <v>0</v>
      </c>
      <c r="BD1509">
        <v>0</v>
      </c>
      <c r="BE1509">
        <v>0</v>
      </c>
      <c r="BF1509">
        <v>0</v>
      </c>
      <c r="BG1509">
        <v>0</v>
      </c>
      <c r="BH1509">
        <v>1</v>
      </c>
      <c r="BI1509">
        <v>1</v>
      </c>
      <c r="BJ1509">
        <v>2.5</v>
      </c>
      <c r="BK1509">
        <v>2.5</v>
      </c>
      <c r="BL1509">
        <v>87.47</v>
      </c>
      <c r="BM1509">
        <v>13.12</v>
      </c>
      <c r="BN1509">
        <v>100.59</v>
      </c>
      <c r="BO1509">
        <v>100.59</v>
      </c>
      <c r="BQ1509" t="s">
        <v>2139</v>
      </c>
      <c r="BR1509" t="s">
        <v>84</v>
      </c>
      <c r="BS1509" s="3">
        <v>45792</v>
      </c>
      <c r="BT1509" s="4">
        <v>0.41875000000000001</v>
      </c>
      <c r="BU1509" t="s">
        <v>2140</v>
      </c>
      <c r="BV1509" t="s">
        <v>86</v>
      </c>
      <c r="BY1509">
        <v>12600</v>
      </c>
      <c r="CA1509" t="s">
        <v>271</v>
      </c>
      <c r="CC1509" t="s">
        <v>91</v>
      </c>
      <c r="CD1509">
        <v>6001</v>
      </c>
      <c r="CE1509" t="s">
        <v>221</v>
      </c>
      <c r="CF1509" s="3">
        <v>45792</v>
      </c>
      <c r="CI1509">
        <v>1</v>
      </c>
      <c r="CJ1509">
        <v>1</v>
      </c>
      <c r="CK1509">
        <v>21</v>
      </c>
      <c r="CL1509" t="s">
        <v>89</v>
      </c>
    </row>
    <row r="1510" spans="1:90" x14ac:dyDescent="0.3">
      <c r="A1510" t="s">
        <v>72</v>
      </c>
      <c r="B1510" t="s">
        <v>73</v>
      </c>
      <c r="C1510" t="s">
        <v>74</v>
      </c>
      <c r="E1510" t="str">
        <f>"080065374901"</f>
        <v>080065374901</v>
      </c>
      <c r="F1510" s="3">
        <v>45791</v>
      </c>
      <c r="G1510">
        <v>202602</v>
      </c>
      <c r="H1510" t="s">
        <v>75</v>
      </c>
      <c r="I1510" t="s">
        <v>76</v>
      </c>
      <c r="J1510" t="s">
        <v>77</v>
      </c>
      <c r="K1510" t="s">
        <v>78</v>
      </c>
      <c r="L1510" t="s">
        <v>117</v>
      </c>
      <c r="M1510" t="s">
        <v>118</v>
      </c>
      <c r="N1510" t="s">
        <v>1153</v>
      </c>
      <c r="O1510" t="s">
        <v>82</v>
      </c>
      <c r="P1510" t="str">
        <f>"4170038442                    "</f>
        <v xml:space="preserve">4170038442                    </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0</v>
      </c>
      <c r="AL1510">
        <v>0</v>
      </c>
      <c r="AM1510">
        <v>0</v>
      </c>
      <c r="AN1510">
        <v>0</v>
      </c>
      <c r="AO1510">
        <v>0</v>
      </c>
      <c r="AP1510">
        <v>0</v>
      </c>
      <c r="AQ1510">
        <v>16.7</v>
      </c>
      <c r="AR1510">
        <v>0</v>
      </c>
      <c r="AS1510">
        <v>0</v>
      </c>
      <c r="AT1510">
        <v>0</v>
      </c>
      <c r="AU1510">
        <v>0</v>
      </c>
      <c r="AV1510">
        <v>0</v>
      </c>
      <c r="AW1510">
        <v>0</v>
      </c>
      <c r="AX1510">
        <v>0</v>
      </c>
      <c r="AY1510">
        <v>0</v>
      </c>
      <c r="AZ1510">
        <v>0</v>
      </c>
      <c r="BA1510">
        <v>0</v>
      </c>
      <c r="BB1510">
        <v>0</v>
      </c>
      <c r="BC1510">
        <v>0</v>
      </c>
      <c r="BD1510">
        <v>0</v>
      </c>
      <c r="BE1510">
        <v>0</v>
      </c>
      <c r="BF1510">
        <v>0</v>
      </c>
      <c r="BG1510">
        <v>0</v>
      </c>
      <c r="BH1510">
        <v>1</v>
      </c>
      <c r="BI1510">
        <v>1</v>
      </c>
      <c r="BJ1510">
        <v>0.2</v>
      </c>
      <c r="BK1510">
        <v>1</v>
      </c>
      <c r="BL1510">
        <v>54.66</v>
      </c>
      <c r="BM1510">
        <v>8.1999999999999993</v>
      </c>
      <c r="BN1510">
        <v>62.86</v>
      </c>
      <c r="BO1510">
        <v>62.86</v>
      </c>
      <c r="BQ1510" t="s">
        <v>1154</v>
      </c>
      <c r="BR1510" t="s">
        <v>84</v>
      </c>
      <c r="BS1510" s="3">
        <v>45792</v>
      </c>
      <c r="BT1510" s="4">
        <v>0.38541666666666669</v>
      </c>
      <c r="BU1510" t="s">
        <v>2141</v>
      </c>
      <c r="BV1510" t="s">
        <v>86</v>
      </c>
      <c r="BY1510">
        <v>1200</v>
      </c>
      <c r="CA1510" t="s">
        <v>2142</v>
      </c>
      <c r="CC1510" t="s">
        <v>118</v>
      </c>
      <c r="CD1510">
        <v>2065</v>
      </c>
      <c r="CE1510" t="s">
        <v>88</v>
      </c>
      <c r="CF1510" s="3">
        <v>45793</v>
      </c>
      <c r="CI1510">
        <v>1</v>
      </c>
      <c r="CJ1510">
        <v>1</v>
      </c>
      <c r="CK1510">
        <v>22</v>
      </c>
      <c r="CL1510" t="s">
        <v>89</v>
      </c>
    </row>
    <row r="1511" spans="1:90" x14ac:dyDescent="0.3">
      <c r="A1511" t="s">
        <v>72</v>
      </c>
      <c r="B1511" t="s">
        <v>73</v>
      </c>
      <c r="C1511" t="s">
        <v>74</v>
      </c>
      <c r="E1511" t="str">
        <f>"080065374913"</f>
        <v>080065374913</v>
      </c>
      <c r="F1511" s="3">
        <v>45791</v>
      </c>
      <c r="G1511">
        <v>202602</v>
      </c>
      <c r="H1511" t="s">
        <v>75</v>
      </c>
      <c r="I1511" t="s">
        <v>76</v>
      </c>
      <c r="J1511" t="s">
        <v>77</v>
      </c>
      <c r="K1511" t="s">
        <v>78</v>
      </c>
      <c r="L1511" t="s">
        <v>103</v>
      </c>
      <c r="M1511" t="s">
        <v>104</v>
      </c>
      <c r="N1511" t="s">
        <v>105</v>
      </c>
      <c r="O1511" t="s">
        <v>82</v>
      </c>
      <c r="P1511" t="str">
        <f>"4170038420                    "</f>
        <v xml:space="preserve">4170038420                    </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c r="AJ1511">
        <v>0</v>
      </c>
      <c r="AK1511">
        <v>0</v>
      </c>
      <c r="AL1511">
        <v>0</v>
      </c>
      <c r="AM1511">
        <v>0</v>
      </c>
      <c r="AN1511">
        <v>0</v>
      </c>
      <c r="AO1511">
        <v>0</v>
      </c>
      <c r="AP1511">
        <v>0</v>
      </c>
      <c r="AQ1511">
        <v>21.38</v>
      </c>
      <c r="AR1511">
        <v>0</v>
      </c>
      <c r="AS1511">
        <v>0</v>
      </c>
      <c r="AT1511">
        <v>0</v>
      </c>
      <c r="AU1511">
        <v>0</v>
      </c>
      <c r="AV1511">
        <v>0</v>
      </c>
      <c r="AW1511">
        <v>0</v>
      </c>
      <c r="AX1511">
        <v>0</v>
      </c>
      <c r="AY1511">
        <v>0</v>
      </c>
      <c r="AZ1511">
        <v>0</v>
      </c>
      <c r="BA1511">
        <v>0</v>
      </c>
      <c r="BB1511">
        <v>0</v>
      </c>
      <c r="BC1511">
        <v>0</v>
      </c>
      <c r="BD1511">
        <v>0</v>
      </c>
      <c r="BE1511">
        <v>0</v>
      </c>
      <c r="BF1511">
        <v>0</v>
      </c>
      <c r="BG1511">
        <v>0</v>
      </c>
      <c r="BH1511">
        <v>1</v>
      </c>
      <c r="BI1511">
        <v>1</v>
      </c>
      <c r="BJ1511">
        <v>0.6</v>
      </c>
      <c r="BK1511">
        <v>1</v>
      </c>
      <c r="BL1511">
        <v>69.98</v>
      </c>
      <c r="BM1511">
        <v>10.5</v>
      </c>
      <c r="BN1511">
        <v>80.48</v>
      </c>
      <c r="BO1511">
        <v>80.48</v>
      </c>
      <c r="BQ1511" t="s">
        <v>106</v>
      </c>
      <c r="BR1511" t="s">
        <v>84</v>
      </c>
      <c r="BS1511" s="3">
        <v>45792</v>
      </c>
      <c r="BT1511" s="4">
        <v>0.41666666666666669</v>
      </c>
      <c r="BU1511" t="s">
        <v>107</v>
      </c>
      <c r="BV1511" t="s">
        <v>86</v>
      </c>
      <c r="BY1511">
        <v>3192</v>
      </c>
      <c r="CA1511" t="s">
        <v>108</v>
      </c>
      <c r="CC1511" t="s">
        <v>104</v>
      </c>
      <c r="CD1511">
        <v>3201</v>
      </c>
      <c r="CE1511" t="s">
        <v>2143</v>
      </c>
      <c r="CF1511" s="3">
        <v>45793</v>
      </c>
      <c r="CI1511">
        <v>1</v>
      </c>
      <c r="CJ1511">
        <v>1</v>
      </c>
      <c r="CK1511">
        <v>21</v>
      </c>
      <c r="CL1511" t="s">
        <v>89</v>
      </c>
    </row>
    <row r="1512" spans="1:90" x14ac:dyDescent="0.3">
      <c r="A1512" t="s">
        <v>72</v>
      </c>
      <c r="B1512" t="s">
        <v>73</v>
      </c>
      <c r="C1512" t="s">
        <v>74</v>
      </c>
      <c r="E1512" t="str">
        <f>"080065375240"</f>
        <v>080065375240</v>
      </c>
      <c r="F1512" s="3">
        <v>45791</v>
      </c>
      <c r="G1512">
        <v>202602</v>
      </c>
      <c r="H1512" t="s">
        <v>75</v>
      </c>
      <c r="I1512" t="s">
        <v>76</v>
      </c>
      <c r="J1512" t="s">
        <v>77</v>
      </c>
      <c r="K1512" t="s">
        <v>78</v>
      </c>
      <c r="L1512" t="s">
        <v>350</v>
      </c>
      <c r="M1512" t="s">
        <v>351</v>
      </c>
      <c r="N1512" t="s">
        <v>2144</v>
      </c>
      <c r="O1512" t="s">
        <v>82</v>
      </c>
      <c r="P1512" t="str">
        <f>"4170038399                    "</f>
        <v xml:space="preserve">4170038399                    </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0</v>
      </c>
      <c r="AP1512">
        <v>0</v>
      </c>
      <c r="AQ1512">
        <v>37.409999999999997</v>
      </c>
      <c r="AR1512">
        <v>0</v>
      </c>
      <c r="AS1512">
        <v>0</v>
      </c>
      <c r="AT1512">
        <v>0</v>
      </c>
      <c r="AU1512">
        <v>0</v>
      </c>
      <c r="AV1512">
        <v>0</v>
      </c>
      <c r="AW1512">
        <v>0</v>
      </c>
      <c r="AX1512">
        <v>0</v>
      </c>
      <c r="AY1512">
        <v>0</v>
      </c>
      <c r="AZ1512">
        <v>0</v>
      </c>
      <c r="BA1512">
        <v>0</v>
      </c>
      <c r="BB1512">
        <v>0</v>
      </c>
      <c r="BC1512">
        <v>0</v>
      </c>
      <c r="BD1512">
        <v>0</v>
      </c>
      <c r="BE1512">
        <v>0</v>
      </c>
      <c r="BF1512">
        <v>0</v>
      </c>
      <c r="BG1512">
        <v>0</v>
      </c>
      <c r="BH1512">
        <v>1</v>
      </c>
      <c r="BI1512">
        <v>2</v>
      </c>
      <c r="BJ1512">
        <v>3.3</v>
      </c>
      <c r="BK1512">
        <v>3.5</v>
      </c>
      <c r="BL1512">
        <v>122.43</v>
      </c>
      <c r="BM1512">
        <v>18.36</v>
      </c>
      <c r="BN1512">
        <v>140.79</v>
      </c>
      <c r="BO1512">
        <v>140.79</v>
      </c>
      <c r="BQ1512" t="s">
        <v>2145</v>
      </c>
      <c r="BR1512" t="s">
        <v>84</v>
      </c>
      <c r="BS1512" s="3">
        <v>45792</v>
      </c>
      <c r="BT1512" s="4">
        <v>0.38750000000000001</v>
      </c>
      <c r="BU1512" t="s">
        <v>2146</v>
      </c>
      <c r="BV1512" t="s">
        <v>86</v>
      </c>
      <c r="BY1512">
        <v>16632</v>
      </c>
      <c r="CA1512" t="s">
        <v>326</v>
      </c>
      <c r="CC1512" t="s">
        <v>351</v>
      </c>
      <c r="CD1512">
        <v>4080</v>
      </c>
      <c r="CE1512" t="s">
        <v>221</v>
      </c>
      <c r="CF1512" s="3">
        <v>45793</v>
      </c>
      <c r="CI1512">
        <v>1</v>
      </c>
      <c r="CJ1512">
        <v>1</v>
      </c>
      <c r="CK1512">
        <v>21</v>
      </c>
      <c r="CL1512" t="s">
        <v>89</v>
      </c>
    </row>
    <row r="1513" spans="1:90" x14ac:dyDescent="0.3">
      <c r="A1513" t="s">
        <v>72</v>
      </c>
      <c r="B1513" t="s">
        <v>73</v>
      </c>
      <c r="C1513" t="s">
        <v>74</v>
      </c>
      <c r="E1513" t="str">
        <f>"080065375243"</f>
        <v>080065375243</v>
      </c>
      <c r="F1513" s="3">
        <v>45791</v>
      </c>
      <c r="G1513">
        <v>202602</v>
      </c>
      <c r="H1513" t="s">
        <v>75</v>
      </c>
      <c r="I1513" t="s">
        <v>76</v>
      </c>
      <c r="J1513" t="s">
        <v>77</v>
      </c>
      <c r="K1513" t="s">
        <v>78</v>
      </c>
      <c r="L1513" t="s">
        <v>232</v>
      </c>
      <c r="M1513" t="s">
        <v>233</v>
      </c>
      <c r="N1513" t="s">
        <v>2147</v>
      </c>
      <c r="O1513" t="s">
        <v>82</v>
      </c>
      <c r="P1513" t="str">
        <f>"4170038430                    "</f>
        <v xml:space="preserve">4170038430                    </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0</v>
      </c>
      <c r="AL1513">
        <v>0</v>
      </c>
      <c r="AM1513">
        <v>0</v>
      </c>
      <c r="AN1513">
        <v>0</v>
      </c>
      <c r="AO1513">
        <v>0</v>
      </c>
      <c r="AP1513">
        <v>0</v>
      </c>
      <c r="AQ1513">
        <v>21.38</v>
      </c>
      <c r="AR1513">
        <v>0</v>
      </c>
      <c r="AS1513">
        <v>0</v>
      </c>
      <c r="AT1513">
        <v>0</v>
      </c>
      <c r="AU1513">
        <v>0</v>
      </c>
      <c r="AV1513">
        <v>0</v>
      </c>
      <c r="AW1513">
        <v>0</v>
      </c>
      <c r="AX1513">
        <v>0</v>
      </c>
      <c r="AY1513">
        <v>0</v>
      </c>
      <c r="AZ1513">
        <v>0</v>
      </c>
      <c r="BA1513">
        <v>0</v>
      </c>
      <c r="BB1513">
        <v>0</v>
      </c>
      <c r="BC1513">
        <v>0</v>
      </c>
      <c r="BD1513">
        <v>0</v>
      </c>
      <c r="BE1513">
        <v>0</v>
      </c>
      <c r="BF1513">
        <v>0</v>
      </c>
      <c r="BG1513">
        <v>0</v>
      </c>
      <c r="BH1513">
        <v>1</v>
      </c>
      <c r="BI1513">
        <v>1</v>
      </c>
      <c r="BJ1513">
        <v>0.2</v>
      </c>
      <c r="BK1513">
        <v>1</v>
      </c>
      <c r="BL1513">
        <v>69.98</v>
      </c>
      <c r="BM1513">
        <v>10.5</v>
      </c>
      <c r="BN1513">
        <v>80.48</v>
      </c>
      <c r="BO1513">
        <v>80.48</v>
      </c>
      <c r="BQ1513" t="s">
        <v>2148</v>
      </c>
      <c r="BR1513" t="s">
        <v>84</v>
      </c>
      <c r="BS1513" s="3">
        <v>45792</v>
      </c>
      <c r="BT1513" s="4">
        <v>0.38750000000000001</v>
      </c>
      <c r="BU1513" t="s">
        <v>2149</v>
      </c>
      <c r="BV1513" t="s">
        <v>86</v>
      </c>
      <c r="BY1513">
        <v>1200</v>
      </c>
      <c r="CA1513" t="s">
        <v>258</v>
      </c>
      <c r="CC1513" t="s">
        <v>233</v>
      </c>
      <c r="CD1513" s="5" t="s">
        <v>238</v>
      </c>
      <c r="CE1513" t="s">
        <v>88</v>
      </c>
      <c r="CF1513" s="3">
        <v>45792</v>
      </c>
      <c r="CI1513">
        <v>1</v>
      </c>
      <c r="CJ1513">
        <v>1</v>
      </c>
      <c r="CK1513">
        <v>21</v>
      </c>
      <c r="CL1513" t="s">
        <v>89</v>
      </c>
    </row>
    <row r="1514" spans="1:90" x14ac:dyDescent="0.3">
      <c r="A1514" t="s">
        <v>72</v>
      </c>
      <c r="B1514" t="s">
        <v>73</v>
      </c>
      <c r="C1514" t="s">
        <v>74</v>
      </c>
      <c r="E1514" t="str">
        <f>"080065375266"</f>
        <v>080065375266</v>
      </c>
      <c r="F1514" s="3">
        <v>45791</v>
      </c>
      <c r="G1514">
        <v>202602</v>
      </c>
      <c r="H1514" t="s">
        <v>75</v>
      </c>
      <c r="I1514" t="s">
        <v>76</v>
      </c>
      <c r="J1514" t="s">
        <v>77</v>
      </c>
      <c r="K1514" t="s">
        <v>78</v>
      </c>
      <c r="L1514" t="s">
        <v>331</v>
      </c>
      <c r="M1514" t="s">
        <v>332</v>
      </c>
      <c r="N1514" t="s">
        <v>2150</v>
      </c>
      <c r="O1514" t="s">
        <v>82</v>
      </c>
      <c r="P1514" t="str">
        <f>"4170038438                    "</f>
        <v xml:space="preserve">4170038438                    </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c r="AI1514">
        <v>0</v>
      </c>
      <c r="AJ1514">
        <v>0</v>
      </c>
      <c r="AK1514">
        <v>0</v>
      </c>
      <c r="AL1514">
        <v>0</v>
      </c>
      <c r="AM1514">
        <v>0</v>
      </c>
      <c r="AN1514">
        <v>0</v>
      </c>
      <c r="AO1514">
        <v>0</v>
      </c>
      <c r="AP1514">
        <v>0</v>
      </c>
      <c r="AQ1514">
        <v>16.7</v>
      </c>
      <c r="AR1514">
        <v>0</v>
      </c>
      <c r="AS1514">
        <v>0</v>
      </c>
      <c r="AT1514">
        <v>0</v>
      </c>
      <c r="AU1514">
        <v>0</v>
      </c>
      <c r="AV1514">
        <v>0</v>
      </c>
      <c r="AW1514">
        <v>0</v>
      </c>
      <c r="AX1514">
        <v>0</v>
      </c>
      <c r="AY1514">
        <v>0</v>
      </c>
      <c r="AZ1514">
        <v>0</v>
      </c>
      <c r="BA1514">
        <v>0</v>
      </c>
      <c r="BB1514">
        <v>0</v>
      </c>
      <c r="BC1514">
        <v>0</v>
      </c>
      <c r="BD1514">
        <v>0</v>
      </c>
      <c r="BE1514">
        <v>0</v>
      </c>
      <c r="BF1514">
        <v>0</v>
      </c>
      <c r="BG1514">
        <v>0</v>
      </c>
      <c r="BH1514">
        <v>1</v>
      </c>
      <c r="BI1514">
        <v>1</v>
      </c>
      <c r="BJ1514">
        <v>0.2</v>
      </c>
      <c r="BK1514">
        <v>1</v>
      </c>
      <c r="BL1514">
        <v>54.66</v>
      </c>
      <c r="BM1514">
        <v>8.1999999999999993</v>
      </c>
      <c r="BN1514">
        <v>62.86</v>
      </c>
      <c r="BO1514">
        <v>62.86</v>
      </c>
      <c r="BQ1514" t="s">
        <v>2151</v>
      </c>
      <c r="BR1514" t="s">
        <v>84</v>
      </c>
      <c r="BS1514" s="3">
        <v>45792</v>
      </c>
      <c r="BT1514" s="4">
        <v>0.40277777777777779</v>
      </c>
      <c r="BU1514" t="s">
        <v>2152</v>
      </c>
      <c r="BV1514" t="s">
        <v>86</v>
      </c>
      <c r="BY1514">
        <v>1200</v>
      </c>
      <c r="CA1514" t="s">
        <v>336</v>
      </c>
      <c r="CC1514" t="s">
        <v>332</v>
      </c>
      <c r="CD1514">
        <v>1451</v>
      </c>
      <c r="CE1514" t="s">
        <v>88</v>
      </c>
      <c r="CF1514" s="3">
        <v>45792</v>
      </c>
      <c r="CI1514">
        <v>1</v>
      </c>
      <c r="CJ1514">
        <v>1</v>
      </c>
      <c r="CK1514">
        <v>22</v>
      </c>
      <c r="CL1514" t="s">
        <v>89</v>
      </c>
    </row>
    <row r="1515" spans="1:90" x14ac:dyDescent="0.3">
      <c r="A1515" t="s">
        <v>72</v>
      </c>
      <c r="B1515" t="s">
        <v>73</v>
      </c>
      <c r="C1515" t="s">
        <v>74</v>
      </c>
      <c r="E1515" t="str">
        <f>"080065375267"</f>
        <v>080065375267</v>
      </c>
      <c r="F1515" s="3">
        <v>45791</v>
      </c>
      <c r="G1515">
        <v>202602</v>
      </c>
      <c r="H1515" t="s">
        <v>75</v>
      </c>
      <c r="I1515" t="s">
        <v>76</v>
      </c>
      <c r="J1515" t="s">
        <v>77</v>
      </c>
      <c r="K1515" t="s">
        <v>78</v>
      </c>
      <c r="L1515" t="s">
        <v>130</v>
      </c>
      <c r="M1515" t="s">
        <v>131</v>
      </c>
      <c r="N1515" t="s">
        <v>343</v>
      </c>
      <c r="O1515" t="s">
        <v>82</v>
      </c>
      <c r="P1515" t="str">
        <f>"4170038432                    "</f>
        <v xml:space="preserve">4170038432                    </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0</v>
      </c>
      <c r="AL1515">
        <v>0</v>
      </c>
      <c r="AM1515">
        <v>0</v>
      </c>
      <c r="AN1515">
        <v>0</v>
      </c>
      <c r="AO1515">
        <v>0</v>
      </c>
      <c r="AP1515">
        <v>0</v>
      </c>
      <c r="AQ1515">
        <v>21.38</v>
      </c>
      <c r="AR1515">
        <v>0</v>
      </c>
      <c r="AS1515">
        <v>0</v>
      </c>
      <c r="AT1515">
        <v>0</v>
      </c>
      <c r="AU1515">
        <v>0</v>
      </c>
      <c r="AV1515">
        <v>0</v>
      </c>
      <c r="AW1515">
        <v>0</v>
      </c>
      <c r="AX1515">
        <v>0</v>
      </c>
      <c r="AY1515">
        <v>0</v>
      </c>
      <c r="AZ1515">
        <v>0</v>
      </c>
      <c r="BA1515">
        <v>0</v>
      </c>
      <c r="BB1515">
        <v>0</v>
      </c>
      <c r="BC1515">
        <v>0</v>
      </c>
      <c r="BD1515">
        <v>0</v>
      </c>
      <c r="BE1515">
        <v>0</v>
      </c>
      <c r="BF1515">
        <v>0</v>
      </c>
      <c r="BG1515">
        <v>0</v>
      </c>
      <c r="BH1515">
        <v>1</v>
      </c>
      <c r="BI1515">
        <v>1</v>
      </c>
      <c r="BJ1515">
        <v>1.1000000000000001</v>
      </c>
      <c r="BK1515">
        <v>1.5</v>
      </c>
      <c r="BL1515">
        <v>69.98</v>
      </c>
      <c r="BM1515">
        <v>10.5</v>
      </c>
      <c r="BN1515">
        <v>80.48</v>
      </c>
      <c r="BO1515">
        <v>80.48</v>
      </c>
      <c r="BQ1515" t="s">
        <v>344</v>
      </c>
      <c r="BR1515" t="s">
        <v>84</v>
      </c>
      <c r="BS1515" s="3">
        <v>45792</v>
      </c>
      <c r="BT1515" s="4">
        <v>0.3923611111111111</v>
      </c>
      <c r="BU1515" t="s">
        <v>345</v>
      </c>
      <c r="BV1515" t="s">
        <v>86</v>
      </c>
      <c r="BY1515">
        <v>5320</v>
      </c>
      <c r="CA1515" t="s">
        <v>242</v>
      </c>
      <c r="CC1515" t="s">
        <v>131</v>
      </c>
      <c r="CD1515">
        <v>7441</v>
      </c>
      <c r="CE1515" t="s">
        <v>116</v>
      </c>
      <c r="CF1515" s="3">
        <v>45793</v>
      </c>
      <c r="CI1515">
        <v>1</v>
      </c>
      <c r="CJ1515">
        <v>1</v>
      </c>
      <c r="CK1515">
        <v>21</v>
      </c>
      <c r="CL1515" t="s">
        <v>89</v>
      </c>
    </row>
    <row r="1516" spans="1:90" x14ac:dyDescent="0.3">
      <c r="A1516" t="s">
        <v>72</v>
      </c>
      <c r="B1516" t="s">
        <v>73</v>
      </c>
      <c r="C1516" t="s">
        <v>74</v>
      </c>
      <c r="E1516" t="str">
        <f>"080065375280"</f>
        <v>080065375280</v>
      </c>
      <c r="F1516" s="3">
        <v>45791</v>
      </c>
      <c r="G1516">
        <v>202602</v>
      </c>
      <c r="H1516" t="s">
        <v>75</v>
      </c>
      <c r="I1516" t="s">
        <v>76</v>
      </c>
      <c r="J1516" t="s">
        <v>77</v>
      </c>
      <c r="K1516" t="s">
        <v>78</v>
      </c>
      <c r="L1516" t="s">
        <v>123</v>
      </c>
      <c r="M1516" t="s">
        <v>123</v>
      </c>
      <c r="N1516" t="s">
        <v>1877</v>
      </c>
      <c r="O1516" t="s">
        <v>82</v>
      </c>
      <c r="P1516" t="str">
        <f>"4170038541                    "</f>
        <v xml:space="preserve">4170038541                    </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0</v>
      </c>
      <c r="AL1516">
        <v>0</v>
      </c>
      <c r="AM1516">
        <v>0</v>
      </c>
      <c r="AN1516">
        <v>0</v>
      </c>
      <c r="AO1516">
        <v>0</v>
      </c>
      <c r="AP1516">
        <v>0</v>
      </c>
      <c r="AQ1516">
        <v>41.43</v>
      </c>
      <c r="AR1516">
        <v>0</v>
      </c>
      <c r="AS1516">
        <v>0</v>
      </c>
      <c r="AT1516">
        <v>0</v>
      </c>
      <c r="AU1516">
        <v>0</v>
      </c>
      <c r="AV1516">
        <v>0</v>
      </c>
      <c r="AW1516">
        <v>0</v>
      </c>
      <c r="AX1516">
        <v>0</v>
      </c>
      <c r="AY1516">
        <v>0</v>
      </c>
      <c r="AZ1516">
        <v>0</v>
      </c>
      <c r="BA1516">
        <v>0</v>
      </c>
      <c r="BB1516">
        <v>0</v>
      </c>
      <c r="BC1516">
        <v>0</v>
      </c>
      <c r="BD1516">
        <v>0</v>
      </c>
      <c r="BE1516">
        <v>0</v>
      </c>
      <c r="BF1516">
        <v>0</v>
      </c>
      <c r="BG1516">
        <v>0</v>
      </c>
      <c r="BH1516">
        <v>1</v>
      </c>
      <c r="BI1516">
        <v>1</v>
      </c>
      <c r="BJ1516">
        <v>0.2</v>
      </c>
      <c r="BK1516">
        <v>1</v>
      </c>
      <c r="BL1516">
        <v>135.59</v>
      </c>
      <c r="BM1516">
        <v>20.34</v>
      </c>
      <c r="BN1516">
        <v>155.93</v>
      </c>
      <c r="BO1516">
        <v>155.93</v>
      </c>
      <c r="BQ1516" t="s">
        <v>1878</v>
      </c>
      <c r="BR1516" t="s">
        <v>84</v>
      </c>
      <c r="BS1516" s="3">
        <v>45792</v>
      </c>
      <c r="BT1516" s="4">
        <v>0.4201388888888889</v>
      </c>
      <c r="BU1516" t="s">
        <v>2153</v>
      </c>
      <c r="BV1516" t="s">
        <v>86</v>
      </c>
      <c r="BY1516">
        <v>1200</v>
      </c>
      <c r="CA1516" t="s">
        <v>2044</v>
      </c>
      <c r="CC1516" t="s">
        <v>123</v>
      </c>
      <c r="CD1516">
        <v>7646</v>
      </c>
      <c r="CE1516" t="s">
        <v>88</v>
      </c>
      <c r="CF1516" s="3">
        <v>45793</v>
      </c>
      <c r="CI1516">
        <v>1</v>
      </c>
      <c r="CJ1516">
        <v>1</v>
      </c>
      <c r="CK1516">
        <v>23</v>
      </c>
      <c r="CL1516" t="s">
        <v>89</v>
      </c>
    </row>
    <row r="1517" spans="1:90" x14ac:dyDescent="0.3">
      <c r="A1517" t="s">
        <v>72</v>
      </c>
      <c r="B1517" t="s">
        <v>73</v>
      </c>
      <c r="C1517" t="s">
        <v>74</v>
      </c>
      <c r="E1517" t="str">
        <f>"080065375286"</f>
        <v>080065375286</v>
      </c>
      <c r="F1517" s="3">
        <v>45791</v>
      </c>
      <c r="G1517">
        <v>202602</v>
      </c>
      <c r="H1517" t="s">
        <v>75</v>
      </c>
      <c r="I1517" t="s">
        <v>76</v>
      </c>
      <c r="J1517" t="s">
        <v>77</v>
      </c>
      <c r="K1517" t="s">
        <v>78</v>
      </c>
      <c r="L1517" t="s">
        <v>90</v>
      </c>
      <c r="M1517" t="s">
        <v>91</v>
      </c>
      <c r="N1517" t="s">
        <v>92</v>
      </c>
      <c r="O1517" t="s">
        <v>82</v>
      </c>
      <c r="P1517" t="str">
        <f>"4170038466                    "</f>
        <v xml:space="preserve">4170038466                    </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0</v>
      </c>
      <c r="AL1517">
        <v>0</v>
      </c>
      <c r="AM1517">
        <v>0</v>
      </c>
      <c r="AN1517">
        <v>0</v>
      </c>
      <c r="AO1517">
        <v>0</v>
      </c>
      <c r="AP1517">
        <v>0</v>
      </c>
      <c r="AQ1517">
        <v>32.07</v>
      </c>
      <c r="AR1517">
        <v>0</v>
      </c>
      <c r="AS1517">
        <v>0</v>
      </c>
      <c r="AT1517">
        <v>0</v>
      </c>
      <c r="AU1517">
        <v>0</v>
      </c>
      <c r="AV1517">
        <v>0</v>
      </c>
      <c r="AW1517">
        <v>0</v>
      </c>
      <c r="AX1517">
        <v>0</v>
      </c>
      <c r="AY1517">
        <v>0</v>
      </c>
      <c r="AZ1517">
        <v>0</v>
      </c>
      <c r="BA1517">
        <v>0</v>
      </c>
      <c r="BB1517">
        <v>0</v>
      </c>
      <c r="BC1517">
        <v>0</v>
      </c>
      <c r="BD1517">
        <v>0</v>
      </c>
      <c r="BE1517">
        <v>0</v>
      </c>
      <c r="BF1517">
        <v>0</v>
      </c>
      <c r="BG1517">
        <v>0</v>
      </c>
      <c r="BH1517">
        <v>1</v>
      </c>
      <c r="BI1517">
        <v>3</v>
      </c>
      <c r="BJ1517">
        <v>1.7</v>
      </c>
      <c r="BK1517">
        <v>3</v>
      </c>
      <c r="BL1517">
        <v>104.95</v>
      </c>
      <c r="BM1517">
        <v>15.74</v>
      </c>
      <c r="BN1517">
        <v>120.69</v>
      </c>
      <c r="BO1517">
        <v>120.69</v>
      </c>
      <c r="BQ1517" t="s">
        <v>93</v>
      </c>
      <c r="BR1517" t="s">
        <v>84</v>
      </c>
      <c r="BS1517" s="3">
        <v>45792</v>
      </c>
      <c r="BT1517" s="4">
        <v>0.39305555555555555</v>
      </c>
      <c r="BU1517" t="s">
        <v>2033</v>
      </c>
      <c r="BV1517" t="s">
        <v>86</v>
      </c>
      <c r="BY1517">
        <v>8512</v>
      </c>
      <c r="CA1517" t="s">
        <v>95</v>
      </c>
      <c r="CC1517" t="s">
        <v>91</v>
      </c>
      <c r="CD1517">
        <v>6001</v>
      </c>
      <c r="CE1517" t="s">
        <v>116</v>
      </c>
      <c r="CF1517" s="3">
        <v>45792</v>
      </c>
      <c r="CI1517">
        <v>1</v>
      </c>
      <c r="CJ1517">
        <v>1</v>
      </c>
      <c r="CK1517">
        <v>21</v>
      </c>
      <c r="CL1517" t="s">
        <v>89</v>
      </c>
    </row>
    <row r="1518" spans="1:90" x14ac:dyDescent="0.3">
      <c r="A1518" t="s">
        <v>72</v>
      </c>
      <c r="B1518" t="s">
        <v>73</v>
      </c>
      <c r="C1518" t="s">
        <v>74</v>
      </c>
      <c r="E1518" t="str">
        <f>"080065375313"</f>
        <v>080065375313</v>
      </c>
      <c r="F1518" s="3">
        <v>45791</v>
      </c>
      <c r="G1518">
        <v>202602</v>
      </c>
      <c r="H1518" t="s">
        <v>75</v>
      </c>
      <c r="I1518" t="s">
        <v>76</v>
      </c>
      <c r="J1518" t="s">
        <v>77</v>
      </c>
      <c r="K1518" t="s">
        <v>78</v>
      </c>
      <c r="L1518" t="s">
        <v>130</v>
      </c>
      <c r="M1518" t="s">
        <v>131</v>
      </c>
      <c r="N1518" t="s">
        <v>343</v>
      </c>
      <c r="O1518" t="s">
        <v>82</v>
      </c>
      <c r="P1518" t="str">
        <f>"4170038418                    "</f>
        <v xml:space="preserve">4170038418                    </v>
      </c>
      <c r="Q1518">
        <v>0</v>
      </c>
      <c r="R1518">
        <v>0</v>
      </c>
      <c r="S1518">
        <v>0</v>
      </c>
      <c r="T1518">
        <v>0</v>
      </c>
      <c r="U1518">
        <v>0</v>
      </c>
      <c r="V1518">
        <v>0</v>
      </c>
      <c r="W1518">
        <v>0</v>
      </c>
      <c r="X1518">
        <v>0</v>
      </c>
      <c r="Y1518">
        <v>0</v>
      </c>
      <c r="Z1518">
        <v>0</v>
      </c>
      <c r="AA1518">
        <v>0</v>
      </c>
      <c r="AB1518">
        <v>0</v>
      </c>
      <c r="AC1518">
        <v>0</v>
      </c>
      <c r="AD1518">
        <v>0</v>
      </c>
      <c r="AE1518">
        <v>0</v>
      </c>
      <c r="AF1518">
        <v>0</v>
      </c>
      <c r="AG1518">
        <v>0</v>
      </c>
      <c r="AH1518">
        <v>0</v>
      </c>
      <c r="AI1518">
        <v>0</v>
      </c>
      <c r="AJ1518">
        <v>0</v>
      </c>
      <c r="AK1518">
        <v>0</v>
      </c>
      <c r="AL1518">
        <v>0</v>
      </c>
      <c r="AM1518">
        <v>0</v>
      </c>
      <c r="AN1518">
        <v>0</v>
      </c>
      <c r="AO1518">
        <v>0</v>
      </c>
      <c r="AP1518">
        <v>0</v>
      </c>
      <c r="AQ1518">
        <v>21.38</v>
      </c>
      <c r="AR1518">
        <v>0</v>
      </c>
      <c r="AS1518">
        <v>0</v>
      </c>
      <c r="AT1518">
        <v>0</v>
      </c>
      <c r="AU1518">
        <v>0</v>
      </c>
      <c r="AV1518">
        <v>0</v>
      </c>
      <c r="AW1518">
        <v>0</v>
      </c>
      <c r="AX1518">
        <v>0</v>
      </c>
      <c r="AY1518">
        <v>0</v>
      </c>
      <c r="AZ1518">
        <v>0</v>
      </c>
      <c r="BA1518">
        <v>0</v>
      </c>
      <c r="BB1518">
        <v>0</v>
      </c>
      <c r="BC1518">
        <v>0</v>
      </c>
      <c r="BD1518">
        <v>0</v>
      </c>
      <c r="BE1518">
        <v>0</v>
      </c>
      <c r="BF1518">
        <v>0</v>
      </c>
      <c r="BG1518">
        <v>0</v>
      </c>
      <c r="BH1518">
        <v>1</v>
      </c>
      <c r="BI1518">
        <v>1</v>
      </c>
      <c r="BJ1518">
        <v>1.3</v>
      </c>
      <c r="BK1518">
        <v>1.5</v>
      </c>
      <c r="BL1518">
        <v>69.98</v>
      </c>
      <c r="BM1518">
        <v>10.5</v>
      </c>
      <c r="BN1518">
        <v>80.48</v>
      </c>
      <c r="BO1518">
        <v>80.48</v>
      </c>
      <c r="BQ1518" t="s">
        <v>344</v>
      </c>
      <c r="BR1518" t="s">
        <v>84</v>
      </c>
      <c r="BS1518" s="3">
        <v>45792</v>
      </c>
      <c r="BT1518" s="4">
        <v>0.3923611111111111</v>
      </c>
      <c r="BU1518" t="s">
        <v>345</v>
      </c>
      <c r="BV1518" t="s">
        <v>86</v>
      </c>
      <c r="BY1518">
        <v>6270</v>
      </c>
      <c r="CA1518" t="s">
        <v>242</v>
      </c>
      <c r="CC1518" t="s">
        <v>131</v>
      </c>
      <c r="CD1518">
        <v>7441</v>
      </c>
      <c r="CE1518" t="s">
        <v>116</v>
      </c>
      <c r="CF1518" s="3">
        <v>45793</v>
      </c>
      <c r="CI1518">
        <v>1</v>
      </c>
      <c r="CJ1518">
        <v>1</v>
      </c>
      <c r="CK1518">
        <v>21</v>
      </c>
      <c r="CL1518" t="s">
        <v>89</v>
      </c>
    </row>
    <row r="1519" spans="1:90" x14ac:dyDescent="0.3">
      <c r="A1519" t="s">
        <v>72</v>
      </c>
      <c r="B1519" t="s">
        <v>73</v>
      </c>
      <c r="C1519" t="s">
        <v>74</v>
      </c>
      <c r="E1519" t="str">
        <f>"080065375345"</f>
        <v>080065375345</v>
      </c>
      <c r="F1519" s="3">
        <v>45791</v>
      </c>
      <c r="G1519">
        <v>202602</v>
      </c>
      <c r="H1519" t="s">
        <v>75</v>
      </c>
      <c r="I1519" t="s">
        <v>76</v>
      </c>
      <c r="J1519" t="s">
        <v>77</v>
      </c>
      <c r="K1519" t="s">
        <v>78</v>
      </c>
      <c r="L1519" t="s">
        <v>79</v>
      </c>
      <c r="M1519" t="s">
        <v>80</v>
      </c>
      <c r="N1519" t="s">
        <v>2154</v>
      </c>
      <c r="O1519" t="s">
        <v>82</v>
      </c>
      <c r="P1519" t="str">
        <f>"4170038413                    "</f>
        <v xml:space="preserve">4170038413                    </v>
      </c>
      <c r="Q1519">
        <v>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0</v>
      </c>
      <c r="AK1519">
        <v>0</v>
      </c>
      <c r="AL1519">
        <v>0</v>
      </c>
      <c r="AM1519">
        <v>0</v>
      </c>
      <c r="AN1519">
        <v>0</v>
      </c>
      <c r="AO1519">
        <v>0</v>
      </c>
      <c r="AP1519">
        <v>0</v>
      </c>
      <c r="AQ1519">
        <v>21.38</v>
      </c>
      <c r="AR1519">
        <v>0</v>
      </c>
      <c r="AS1519">
        <v>0</v>
      </c>
      <c r="AT1519">
        <v>0</v>
      </c>
      <c r="AU1519">
        <v>0</v>
      </c>
      <c r="AV1519">
        <v>0</v>
      </c>
      <c r="AW1519">
        <v>0</v>
      </c>
      <c r="AX1519">
        <v>0</v>
      </c>
      <c r="AY1519">
        <v>0</v>
      </c>
      <c r="AZ1519">
        <v>0</v>
      </c>
      <c r="BA1519">
        <v>0</v>
      </c>
      <c r="BB1519">
        <v>0</v>
      </c>
      <c r="BC1519">
        <v>0</v>
      </c>
      <c r="BD1519">
        <v>0</v>
      </c>
      <c r="BE1519">
        <v>0</v>
      </c>
      <c r="BF1519">
        <v>0</v>
      </c>
      <c r="BG1519">
        <v>0</v>
      </c>
      <c r="BH1519">
        <v>1</v>
      </c>
      <c r="BI1519">
        <v>1</v>
      </c>
      <c r="BJ1519">
        <v>0.2</v>
      </c>
      <c r="BK1519">
        <v>1</v>
      </c>
      <c r="BL1519">
        <v>69.98</v>
      </c>
      <c r="BM1519">
        <v>10.5</v>
      </c>
      <c r="BN1519">
        <v>80.48</v>
      </c>
      <c r="BO1519">
        <v>80.48</v>
      </c>
      <c r="BQ1519" t="s">
        <v>2155</v>
      </c>
      <c r="BR1519" t="s">
        <v>84</v>
      </c>
      <c r="BS1519" s="3">
        <v>45792</v>
      </c>
      <c r="BT1519" s="4">
        <v>0.43055555555555558</v>
      </c>
      <c r="BU1519" t="s">
        <v>2156</v>
      </c>
      <c r="BV1519" t="s">
        <v>86</v>
      </c>
      <c r="BY1519">
        <v>1200</v>
      </c>
      <c r="CA1519" t="s">
        <v>87</v>
      </c>
      <c r="CC1519" t="s">
        <v>80</v>
      </c>
      <c r="CD1519">
        <v>3600</v>
      </c>
      <c r="CE1519" t="s">
        <v>88</v>
      </c>
      <c r="CF1519" s="3">
        <v>45793</v>
      </c>
      <c r="CI1519">
        <v>1</v>
      </c>
      <c r="CJ1519">
        <v>1</v>
      </c>
      <c r="CK1519">
        <v>21</v>
      </c>
      <c r="CL1519" t="s">
        <v>89</v>
      </c>
    </row>
    <row r="1520" spans="1:90" x14ac:dyDescent="0.3">
      <c r="A1520" t="s">
        <v>72</v>
      </c>
      <c r="B1520" t="s">
        <v>73</v>
      </c>
      <c r="C1520" t="s">
        <v>74</v>
      </c>
      <c r="E1520" t="str">
        <f>"080065375369"</f>
        <v>080065375369</v>
      </c>
      <c r="F1520" s="3">
        <v>45791</v>
      </c>
      <c r="G1520">
        <v>202602</v>
      </c>
      <c r="H1520" t="s">
        <v>75</v>
      </c>
      <c r="I1520" t="s">
        <v>76</v>
      </c>
      <c r="J1520" t="s">
        <v>77</v>
      </c>
      <c r="K1520" t="s">
        <v>78</v>
      </c>
      <c r="L1520" t="s">
        <v>79</v>
      </c>
      <c r="M1520" t="s">
        <v>80</v>
      </c>
      <c r="N1520" t="s">
        <v>2154</v>
      </c>
      <c r="O1520" t="s">
        <v>82</v>
      </c>
      <c r="P1520" t="str">
        <f>"4170038412                    "</f>
        <v xml:space="preserve">4170038412                    </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21.38</v>
      </c>
      <c r="AR1520">
        <v>0</v>
      </c>
      <c r="AS1520">
        <v>0</v>
      </c>
      <c r="AT1520">
        <v>0</v>
      </c>
      <c r="AU1520">
        <v>0</v>
      </c>
      <c r="AV1520">
        <v>0</v>
      </c>
      <c r="AW1520">
        <v>0</v>
      </c>
      <c r="AX1520">
        <v>0</v>
      </c>
      <c r="AY1520">
        <v>0</v>
      </c>
      <c r="AZ1520">
        <v>0</v>
      </c>
      <c r="BA1520">
        <v>0</v>
      </c>
      <c r="BB1520">
        <v>0</v>
      </c>
      <c r="BC1520">
        <v>0</v>
      </c>
      <c r="BD1520">
        <v>0</v>
      </c>
      <c r="BE1520">
        <v>0</v>
      </c>
      <c r="BF1520">
        <v>0</v>
      </c>
      <c r="BG1520">
        <v>0</v>
      </c>
      <c r="BH1520">
        <v>1</v>
      </c>
      <c r="BI1520">
        <v>1</v>
      </c>
      <c r="BJ1520">
        <v>0.2</v>
      </c>
      <c r="BK1520">
        <v>1</v>
      </c>
      <c r="BL1520">
        <v>69.98</v>
      </c>
      <c r="BM1520">
        <v>10.5</v>
      </c>
      <c r="BN1520">
        <v>80.48</v>
      </c>
      <c r="BO1520">
        <v>80.48</v>
      </c>
      <c r="BQ1520" t="s">
        <v>2155</v>
      </c>
      <c r="BR1520" t="s">
        <v>84</v>
      </c>
      <c r="BS1520" s="3">
        <v>45792</v>
      </c>
      <c r="BT1520" s="4">
        <v>0.41666666666666669</v>
      </c>
      <c r="BU1520" t="s">
        <v>2156</v>
      </c>
      <c r="BV1520" t="s">
        <v>86</v>
      </c>
      <c r="BY1520">
        <v>1200</v>
      </c>
      <c r="CA1520" t="s">
        <v>87</v>
      </c>
      <c r="CC1520" t="s">
        <v>80</v>
      </c>
      <c r="CD1520">
        <v>3600</v>
      </c>
      <c r="CE1520" t="s">
        <v>88</v>
      </c>
      <c r="CF1520" s="3">
        <v>45793</v>
      </c>
      <c r="CI1520">
        <v>1</v>
      </c>
      <c r="CJ1520">
        <v>1</v>
      </c>
      <c r="CK1520">
        <v>21</v>
      </c>
      <c r="CL1520" t="s">
        <v>89</v>
      </c>
    </row>
    <row r="1521" spans="1:90" x14ac:dyDescent="0.3">
      <c r="A1521" t="s">
        <v>72</v>
      </c>
      <c r="B1521" t="s">
        <v>73</v>
      </c>
      <c r="C1521" t="s">
        <v>74</v>
      </c>
      <c r="E1521" t="str">
        <f>"080065375596"</f>
        <v>080065375596</v>
      </c>
      <c r="F1521" s="3">
        <v>45791</v>
      </c>
      <c r="G1521">
        <v>202602</v>
      </c>
      <c r="H1521" t="s">
        <v>75</v>
      </c>
      <c r="I1521" t="s">
        <v>76</v>
      </c>
      <c r="J1521" t="s">
        <v>77</v>
      </c>
      <c r="K1521" t="s">
        <v>78</v>
      </c>
      <c r="L1521" t="s">
        <v>143</v>
      </c>
      <c r="M1521" t="s">
        <v>144</v>
      </c>
      <c r="N1521" t="s">
        <v>1118</v>
      </c>
      <c r="O1521" t="s">
        <v>300</v>
      </c>
      <c r="P1521" t="str">
        <f>"4170038444                    "</f>
        <v xml:space="preserve">4170038444                    </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0</v>
      </c>
      <c r="AL1521">
        <v>0</v>
      </c>
      <c r="AM1521">
        <v>0</v>
      </c>
      <c r="AN1521">
        <v>0</v>
      </c>
      <c r="AO1521">
        <v>0</v>
      </c>
      <c r="AP1521">
        <v>0</v>
      </c>
      <c r="AQ1521">
        <v>36.57</v>
      </c>
      <c r="AR1521">
        <v>0</v>
      </c>
      <c r="AS1521">
        <v>0</v>
      </c>
      <c r="AT1521">
        <v>0</v>
      </c>
      <c r="AU1521">
        <v>0</v>
      </c>
      <c r="AV1521">
        <v>0</v>
      </c>
      <c r="AW1521">
        <v>0</v>
      </c>
      <c r="AX1521">
        <v>0</v>
      </c>
      <c r="AY1521">
        <v>0</v>
      </c>
      <c r="AZ1521">
        <v>0</v>
      </c>
      <c r="BA1521">
        <v>0</v>
      </c>
      <c r="BB1521">
        <v>0</v>
      </c>
      <c r="BC1521">
        <v>0</v>
      </c>
      <c r="BD1521">
        <v>0</v>
      </c>
      <c r="BE1521">
        <v>0</v>
      </c>
      <c r="BF1521">
        <v>0</v>
      </c>
      <c r="BG1521">
        <v>0</v>
      </c>
      <c r="BH1521">
        <v>1</v>
      </c>
      <c r="BI1521">
        <v>20</v>
      </c>
      <c r="BJ1521">
        <v>6.6</v>
      </c>
      <c r="BK1521">
        <v>20</v>
      </c>
      <c r="BL1521">
        <v>125.26</v>
      </c>
      <c r="BM1521">
        <v>18.79</v>
      </c>
      <c r="BN1521">
        <v>144.05000000000001</v>
      </c>
      <c r="BO1521">
        <v>144.05000000000001</v>
      </c>
      <c r="BQ1521" t="s">
        <v>1119</v>
      </c>
      <c r="BR1521" t="s">
        <v>84</v>
      </c>
      <c r="BS1521" s="3">
        <v>45792</v>
      </c>
      <c r="BT1521" s="4">
        <v>0.36805555555555558</v>
      </c>
      <c r="BU1521" t="s">
        <v>2157</v>
      </c>
      <c r="BV1521" t="s">
        <v>86</v>
      </c>
      <c r="BY1521">
        <v>33000</v>
      </c>
      <c r="CA1521" t="s">
        <v>765</v>
      </c>
      <c r="CC1521" t="s">
        <v>144</v>
      </c>
      <c r="CD1521">
        <v>1422</v>
      </c>
      <c r="CE1521" t="s">
        <v>221</v>
      </c>
      <c r="CF1521" s="3">
        <v>45793</v>
      </c>
      <c r="CI1521">
        <v>1</v>
      </c>
      <c r="CJ1521">
        <v>1</v>
      </c>
      <c r="CK1521">
        <v>42</v>
      </c>
      <c r="CL1521" t="s">
        <v>89</v>
      </c>
    </row>
    <row r="1522" spans="1:90" x14ac:dyDescent="0.3">
      <c r="A1522" t="s">
        <v>72</v>
      </c>
      <c r="B1522" t="s">
        <v>73</v>
      </c>
      <c r="C1522" t="s">
        <v>74</v>
      </c>
      <c r="E1522" t="str">
        <f>"080065375629"</f>
        <v>080065375629</v>
      </c>
      <c r="F1522" s="3">
        <v>45791</v>
      </c>
      <c r="G1522">
        <v>202602</v>
      </c>
      <c r="H1522" t="s">
        <v>75</v>
      </c>
      <c r="I1522" t="s">
        <v>76</v>
      </c>
      <c r="J1522" t="s">
        <v>77</v>
      </c>
      <c r="K1522" t="s">
        <v>78</v>
      </c>
      <c r="L1522" t="s">
        <v>103</v>
      </c>
      <c r="M1522" t="s">
        <v>104</v>
      </c>
      <c r="N1522" t="s">
        <v>633</v>
      </c>
      <c r="O1522" t="s">
        <v>82</v>
      </c>
      <c r="P1522" t="str">
        <f>"4170038475                    "</f>
        <v xml:space="preserve">4170038475                    </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0</v>
      </c>
      <c r="AL1522">
        <v>0</v>
      </c>
      <c r="AM1522">
        <v>0</v>
      </c>
      <c r="AN1522">
        <v>0</v>
      </c>
      <c r="AO1522">
        <v>0</v>
      </c>
      <c r="AP1522">
        <v>0</v>
      </c>
      <c r="AQ1522">
        <v>64.12</v>
      </c>
      <c r="AR1522">
        <v>0</v>
      </c>
      <c r="AS1522">
        <v>0</v>
      </c>
      <c r="AT1522">
        <v>0</v>
      </c>
      <c r="AU1522">
        <v>0</v>
      </c>
      <c r="AV1522">
        <v>0</v>
      </c>
      <c r="AW1522">
        <v>0</v>
      </c>
      <c r="AX1522">
        <v>0</v>
      </c>
      <c r="AY1522">
        <v>0</v>
      </c>
      <c r="AZ1522">
        <v>0</v>
      </c>
      <c r="BA1522">
        <v>0</v>
      </c>
      <c r="BB1522">
        <v>0</v>
      </c>
      <c r="BC1522">
        <v>0</v>
      </c>
      <c r="BD1522">
        <v>0</v>
      </c>
      <c r="BE1522">
        <v>0</v>
      </c>
      <c r="BF1522">
        <v>0</v>
      </c>
      <c r="BG1522">
        <v>0</v>
      </c>
      <c r="BH1522">
        <v>1</v>
      </c>
      <c r="BI1522">
        <v>6</v>
      </c>
      <c r="BJ1522">
        <v>1.9</v>
      </c>
      <c r="BK1522">
        <v>6</v>
      </c>
      <c r="BL1522">
        <v>209.84</v>
      </c>
      <c r="BM1522">
        <v>31.48</v>
      </c>
      <c r="BN1522">
        <v>241.32</v>
      </c>
      <c r="BO1522">
        <v>241.32</v>
      </c>
      <c r="BQ1522" t="s">
        <v>634</v>
      </c>
      <c r="BR1522" t="s">
        <v>84</v>
      </c>
      <c r="BS1522" s="3">
        <v>45792</v>
      </c>
      <c r="BT1522" s="4">
        <v>0.5</v>
      </c>
      <c r="BU1522" t="s">
        <v>635</v>
      </c>
      <c r="BV1522" t="s">
        <v>86</v>
      </c>
      <c r="BY1522">
        <v>9576</v>
      </c>
      <c r="CA1522" t="s">
        <v>440</v>
      </c>
      <c r="CC1522" t="s">
        <v>104</v>
      </c>
      <c r="CD1522">
        <v>3212</v>
      </c>
      <c r="CE1522" t="s">
        <v>116</v>
      </c>
      <c r="CF1522" s="3">
        <v>45792</v>
      </c>
      <c r="CI1522">
        <v>2</v>
      </c>
      <c r="CJ1522">
        <v>1</v>
      </c>
      <c r="CK1522">
        <v>21</v>
      </c>
      <c r="CL1522" t="s">
        <v>89</v>
      </c>
    </row>
    <row r="1523" spans="1:90" x14ac:dyDescent="0.3">
      <c r="A1523" t="s">
        <v>72</v>
      </c>
      <c r="B1523" t="s">
        <v>73</v>
      </c>
      <c r="C1523" t="s">
        <v>74</v>
      </c>
      <c r="E1523" t="str">
        <f>"080065375659"</f>
        <v>080065375659</v>
      </c>
      <c r="F1523" s="3">
        <v>45791</v>
      </c>
      <c r="G1523">
        <v>202602</v>
      </c>
      <c r="H1523" t="s">
        <v>75</v>
      </c>
      <c r="I1523" t="s">
        <v>76</v>
      </c>
      <c r="J1523" t="s">
        <v>77</v>
      </c>
      <c r="K1523" t="s">
        <v>78</v>
      </c>
      <c r="L1523" t="s">
        <v>90</v>
      </c>
      <c r="M1523" t="s">
        <v>91</v>
      </c>
      <c r="N1523" t="s">
        <v>385</v>
      </c>
      <c r="O1523" t="s">
        <v>82</v>
      </c>
      <c r="P1523" t="str">
        <f>"4170038427                    "</f>
        <v xml:space="preserve">4170038427                    </v>
      </c>
      <c r="Q1523">
        <v>0</v>
      </c>
      <c r="R1523">
        <v>0</v>
      </c>
      <c r="S1523">
        <v>0</v>
      </c>
      <c r="T1523">
        <v>0</v>
      </c>
      <c r="U1523">
        <v>0</v>
      </c>
      <c r="V1523">
        <v>0</v>
      </c>
      <c r="W1523">
        <v>0</v>
      </c>
      <c r="X1523">
        <v>0</v>
      </c>
      <c r="Y1523">
        <v>0</v>
      </c>
      <c r="Z1523">
        <v>0</v>
      </c>
      <c r="AA1523">
        <v>0</v>
      </c>
      <c r="AB1523">
        <v>0</v>
      </c>
      <c r="AC1523">
        <v>0</v>
      </c>
      <c r="AD1523">
        <v>0</v>
      </c>
      <c r="AE1523">
        <v>0</v>
      </c>
      <c r="AF1523">
        <v>0</v>
      </c>
      <c r="AG1523">
        <v>0</v>
      </c>
      <c r="AH1523">
        <v>0</v>
      </c>
      <c r="AI1523">
        <v>0</v>
      </c>
      <c r="AJ1523">
        <v>0</v>
      </c>
      <c r="AK1523">
        <v>0</v>
      </c>
      <c r="AL1523">
        <v>0</v>
      </c>
      <c r="AM1523">
        <v>0</v>
      </c>
      <c r="AN1523">
        <v>0</v>
      </c>
      <c r="AO1523">
        <v>0</v>
      </c>
      <c r="AP1523">
        <v>0</v>
      </c>
      <c r="AQ1523">
        <v>42.75</v>
      </c>
      <c r="AR1523">
        <v>0</v>
      </c>
      <c r="AS1523">
        <v>0</v>
      </c>
      <c r="AT1523">
        <v>0</v>
      </c>
      <c r="AU1523">
        <v>0</v>
      </c>
      <c r="AV1523">
        <v>0</v>
      </c>
      <c r="AW1523">
        <v>0</v>
      </c>
      <c r="AX1523">
        <v>0</v>
      </c>
      <c r="AY1523">
        <v>0</v>
      </c>
      <c r="AZ1523">
        <v>0</v>
      </c>
      <c r="BA1523">
        <v>0</v>
      </c>
      <c r="BB1523">
        <v>0</v>
      </c>
      <c r="BC1523">
        <v>0</v>
      </c>
      <c r="BD1523">
        <v>0</v>
      </c>
      <c r="BE1523">
        <v>0</v>
      </c>
      <c r="BF1523">
        <v>0</v>
      </c>
      <c r="BG1523">
        <v>0</v>
      </c>
      <c r="BH1523">
        <v>1</v>
      </c>
      <c r="BI1523">
        <v>4</v>
      </c>
      <c r="BJ1523">
        <v>1.1000000000000001</v>
      </c>
      <c r="BK1523">
        <v>4</v>
      </c>
      <c r="BL1523">
        <v>139.91</v>
      </c>
      <c r="BM1523">
        <v>20.99</v>
      </c>
      <c r="BN1523">
        <v>160.9</v>
      </c>
      <c r="BO1523">
        <v>160.9</v>
      </c>
      <c r="BQ1523" t="s">
        <v>386</v>
      </c>
      <c r="BR1523" t="s">
        <v>84</v>
      </c>
      <c r="BS1523" s="3">
        <v>45792</v>
      </c>
      <c r="BT1523" s="4">
        <v>0.43541666666666667</v>
      </c>
      <c r="BU1523" t="s">
        <v>387</v>
      </c>
      <c r="BV1523" t="s">
        <v>86</v>
      </c>
      <c r="BY1523">
        <v>5320</v>
      </c>
      <c r="CA1523" t="s">
        <v>95</v>
      </c>
      <c r="CC1523" t="s">
        <v>91</v>
      </c>
      <c r="CD1523">
        <v>6056</v>
      </c>
      <c r="CE1523" t="s">
        <v>116</v>
      </c>
      <c r="CF1523" s="3">
        <v>45792</v>
      </c>
      <c r="CI1523">
        <v>1</v>
      </c>
      <c r="CJ1523">
        <v>1</v>
      </c>
      <c r="CK1523">
        <v>21</v>
      </c>
      <c r="CL1523" t="s">
        <v>89</v>
      </c>
    </row>
    <row r="1524" spans="1:90" x14ac:dyDescent="0.3">
      <c r="A1524" t="s">
        <v>72</v>
      </c>
      <c r="B1524" t="s">
        <v>73</v>
      </c>
      <c r="C1524" t="s">
        <v>74</v>
      </c>
      <c r="E1524" t="str">
        <f>"080065375699"</f>
        <v>080065375699</v>
      </c>
      <c r="F1524" s="3">
        <v>45791</v>
      </c>
      <c r="G1524">
        <v>202602</v>
      </c>
      <c r="H1524" t="s">
        <v>75</v>
      </c>
      <c r="I1524" t="s">
        <v>76</v>
      </c>
      <c r="J1524" t="s">
        <v>77</v>
      </c>
      <c r="K1524" t="s">
        <v>78</v>
      </c>
      <c r="L1524" t="s">
        <v>143</v>
      </c>
      <c r="M1524" t="s">
        <v>144</v>
      </c>
      <c r="N1524" t="s">
        <v>2158</v>
      </c>
      <c r="O1524" t="s">
        <v>82</v>
      </c>
      <c r="P1524" t="str">
        <f>"4170038291                    "</f>
        <v xml:space="preserve">4170038291                    </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0</v>
      </c>
      <c r="AL1524">
        <v>0</v>
      </c>
      <c r="AM1524">
        <v>0</v>
      </c>
      <c r="AN1524">
        <v>0</v>
      </c>
      <c r="AO1524">
        <v>0</v>
      </c>
      <c r="AP1524">
        <v>0</v>
      </c>
      <c r="AQ1524">
        <v>16.7</v>
      </c>
      <c r="AR1524">
        <v>0</v>
      </c>
      <c r="AS1524">
        <v>0</v>
      </c>
      <c r="AT1524">
        <v>0</v>
      </c>
      <c r="AU1524">
        <v>0</v>
      </c>
      <c r="AV1524">
        <v>0</v>
      </c>
      <c r="AW1524">
        <v>0</v>
      </c>
      <c r="AX1524">
        <v>0</v>
      </c>
      <c r="AY1524">
        <v>0</v>
      </c>
      <c r="AZ1524">
        <v>0</v>
      </c>
      <c r="BA1524">
        <v>0</v>
      </c>
      <c r="BB1524">
        <v>0</v>
      </c>
      <c r="BC1524">
        <v>0</v>
      </c>
      <c r="BD1524">
        <v>0</v>
      </c>
      <c r="BE1524">
        <v>0</v>
      </c>
      <c r="BF1524">
        <v>0</v>
      </c>
      <c r="BG1524">
        <v>0</v>
      </c>
      <c r="BH1524">
        <v>1</v>
      </c>
      <c r="BI1524">
        <v>4</v>
      </c>
      <c r="BJ1524">
        <v>1.7</v>
      </c>
      <c r="BK1524">
        <v>4</v>
      </c>
      <c r="BL1524">
        <v>54.66</v>
      </c>
      <c r="BM1524">
        <v>8.1999999999999993</v>
      </c>
      <c r="BN1524">
        <v>62.86</v>
      </c>
      <c r="BO1524">
        <v>62.86</v>
      </c>
      <c r="BQ1524" t="s">
        <v>2159</v>
      </c>
      <c r="BR1524" t="s">
        <v>84</v>
      </c>
      <c r="BS1524" s="3">
        <v>45792</v>
      </c>
      <c r="BT1524" s="4">
        <v>0.42708333333333331</v>
      </c>
      <c r="BU1524" t="s">
        <v>2160</v>
      </c>
      <c r="BV1524" t="s">
        <v>86</v>
      </c>
      <c r="BY1524">
        <v>8512</v>
      </c>
      <c r="CA1524" t="s">
        <v>765</v>
      </c>
      <c r="CC1524" t="s">
        <v>144</v>
      </c>
      <c r="CD1524">
        <v>1422</v>
      </c>
      <c r="CE1524" t="s">
        <v>116</v>
      </c>
      <c r="CF1524" s="3">
        <v>45793</v>
      </c>
      <c r="CI1524">
        <v>1</v>
      </c>
      <c r="CJ1524">
        <v>1</v>
      </c>
      <c r="CK1524">
        <v>22</v>
      </c>
      <c r="CL1524" t="s">
        <v>89</v>
      </c>
    </row>
    <row r="1525" spans="1:90" x14ac:dyDescent="0.3">
      <c r="A1525" t="s">
        <v>72</v>
      </c>
      <c r="B1525" t="s">
        <v>73</v>
      </c>
      <c r="C1525" t="s">
        <v>74</v>
      </c>
      <c r="E1525" t="str">
        <f>"080065375895"</f>
        <v>080065375895</v>
      </c>
      <c r="F1525" s="3">
        <v>45791</v>
      </c>
      <c r="G1525">
        <v>202602</v>
      </c>
      <c r="H1525" t="s">
        <v>75</v>
      </c>
      <c r="I1525" t="s">
        <v>76</v>
      </c>
      <c r="J1525" t="s">
        <v>77</v>
      </c>
      <c r="K1525" t="s">
        <v>78</v>
      </c>
      <c r="L1525" t="s">
        <v>489</v>
      </c>
      <c r="M1525" t="s">
        <v>490</v>
      </c>
      <c r="N1525" t="s">
        <v>491</v>
      </c>
      <c r="O1525" t="s">
        <v>82</v>
      </c>
      <c r="P1525" t="str">
        <f>"4170038552                    "</f>
        <v xml:space="preserve">4170038552                    </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0</v>
      </c>
      <c r="AL1525">
        <v>0</v>
      </c>
      <c r="AM1525">
        <v>0</v>
      </c>
      <c r="AN1525">
        <v>0</v>
      </c>
      <c r="AO1525">
        <v>0</v>
      </c>
      <c r="AP1525">
        <v>0</v>
      </c>
      <c r="AQ1525">
        <v>41.43</v>
      </c>
      <c r="AR1525">
        <v>0</v>
      </c>
      <c r="AS1525">
        <v>0</v>
      </c>
      <c r="AT1525">
        <v>0</v>
      </c>
      <c r="AU1525">
        <v>0</v>
      </c>
      <c r="AV1525">
        <v>0</v>
      </c>
      <c r="AW1525">
        <v>0</v>
      </c>
      <c r="AX1525">
        <v>0</v>
      </c>
      <c r="AY1525">
        <v>0</v>
      </c>
      <c r="AZ1525">
        <v>0</v>
      </c>
      <c r="BA1525">
        <v>0</v>
      </c>
      <c r="BB1525">
        <v>0</v>
      </c>
      <c r="BC1525">
        <v>0</v>
      </c>
      <c r="BD1525">
        <v>0</v>
      </c>
      <c r="BE1525">
        <v>0</v>
      </c>
      <c r="BF1525">
        <v>0</v>
      </c>
      <c r="BG1525">
        <v>0</v>
      </c>
      <c r="BH1525">
        <v>1</v>
      </c>
      <c r="BI1525">
        <v>1</v>
      </c>
      <c r="BJ1525">
        <v>0.2</v>
      </c>
      <c r="BK1525">
        <v>1</v>
      </c>
      <c r="BL1525">
        <v>135.59</v>
      </c>
      <c r="BM1525">
        <v>20.34</v>
      </c>
      <c r="BN1525">
        <v>155.93</v>
      </c>
      <c r="BO1525">
        <v>155.93</v>
      </c>
      <c r="BQ1525" t="s">
        <v>492</v>
      </c>
      <c r="BR1525" t="s">
        <v>84</v>
      </c>
      <c r="BS1525" s="3">
        <v>45792</v>
      </c>
      <c r="BT1525" s="4">
        <v>0.40972222222222221</v>
      </c>
      <c r="BU1525" t="s">
        <v>493</v>
      </c>
      <c r="BV1525" t="s">
        <v>86</v>
      </c>
      <c r="BY1525">
        <v>1200</v>
      </c>
      <c r="CC1525" t="s">
        <v>490</v>
      </c>
      <c r="CD1525">
        <v>2740</v>
      </c>
      <c r="CE1525" t="s">
        <v>88</v>
      </c>
      <c r="CF1525" s="3">
        <v>45793</v>
      </c>
      <c r="CI1525">
        <v>1</v>
      </c>
      <c r="CJ1525">
        <v>1</v>
      </c>
      <c r="CK1525">
        <v>23</v>
      </c>
      <c r="CL1525" t="s">
        <v>89</v>
      </c>
    </row>
    <row r="1526" spans="1:90" x14ac:dyDescent="0.3">
      <c r="A1526" t="s">
        <v>72</v>
      </c>
      <c r="B1526" t="s">
        <v>73</v>
      </c>
      <c r="C1526" t="s">
        <v>74</v>
      </c>
      <c r="E1526" t="str">
        <f>"080065375899"</f>
        <v>080065375899</v>
      </c>
      <c r="F1526" s="3">
        <v>45791</v>
      </c>
      <c r="G1526">
        <v>202602</v>
      </c>
      <c r="H1526" t="s">
        <v>75</v>
      </c>
      <c r="I1526" t="s">
        <v>76</v>
      </c>
      <c r="J1526" t="s">
        <v>77</v>
      </c>
      <c r="K1526" t="s">
        <v>78</v>
      </c>
      <c r="L1526" t="s">
        <v>79</v>
      </c>
      <c r="M1526" t="s">
        <v>80</v>
      </c>
      <c r="N1526" t="s">
        <v>357</v>
      </c>
      <c r="O1526" t="s">
        <v>82</v>
      </c>
      <c r="P1526" t="str">
        <f>"4170038533                    "</f>
        <v xml:space="preserve">4170038533                    </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0</v>
      </c>
      <c r="AL1526">
        <v>0</v>
      </c>
      <c r="AM1526">
        <v>0</v>
      </c>
      <c r="AN1526">
        <v>0</v>
      </c>
      <c r="AO1526">
        <v>0</v>
      </c>
      <c r="AP1526">
        <v>0</v>
      </c>
      <c r="AQ1526">
        <v>64.12</v>
      </c>
      <c r="AR1526">
        <v>0</v>
      </c>
      <c r="AS1526">
        <v>0</v>
      </c>
      <c r="AT1526">
        <v>0</v>
      </c>
      <c r="AU1526">
        <v>0</v>
      </c>
      <c r="AV1526">
        <v>0</v>
      </c>
      <c r="AW1526">
        <v>0</v>
      </c>
      <c r="AX1526">
        <v>0</v>
      </c>
      <c r="AY1526">
        <v>0</v>
      </c>
      <c r="AZ1526">
        <v>0</v>
      </c>
      <c r="BA1526">
        <v>0</v>
      </c>
      <c r="BB1526">
        <v>0</v>
      </c>
      <c r="BC1526">
        <v>0</v>
      </c>
      <c r="BD1526">
        <v>0</v>
      </c>
      <c r="BE1526">
        <v>0</v>
      </c>
      <c r="BF1526">
        <v>0</v>
      </c>
      <c r="BG1526">
        <v>0</v>
      </c>
      <c r="BH1526">
        <v>1</v>
      </c>
      <c r="BI1526">
        <v>6</v>
      </c>
      <c r="BJ1526">
        <v>3.4</v>
      </c>
      <c r="BK1526">
        <v>6</v>
      </c>
      <c r="BL1526">
        <v>209.84</v>
      </c>
      <c r="BM1526">
        <v>31.48</v>
      </c>
      <c r="BN1526">
        <v>241.32</v>
      </c>
      <c r="BO1526">
        <v>241.32</v>
      </c>
      <c r="BQ1526" t="s">
        <v>358</v>
      </c>
      <c r="BR1526" t="s">
        <v>84</v>
      </c>
      <c r="BS1526" s="3">
        <v>45792</v>
      </c>
      <c r="BT1526" s="4">
        <v>0.53472222222222221</v>
      </c>
      <c r="BU1526" t="s">
        <v>1768</v>
      </c>
      <c r="BV1526" t="s">
        <v>89</v>
      </c>
      <c r="BW1526" t="s">
        <v>434</v>
      </c>
      <c r="BX1526" t="s">
        <v>1829</v>
      </c>
      <c r="BY1526">
        <v>16965</v>
      </c>
      <c r="CA1526" t="s">
        <v>87</v>
      </c>
      <c r="CC1526" t="s">
        <v>80</v>
      </c>
      <c r="CD1526">
        <v>3608</v>
      </c>
      <c r="CE1526" t="s">
        <v>96</v>
      </c>
      <c r="CF1526" s="3">
        <v>45793</v>
      </c>
      <c r="CI1526">
        <v>1</v>
      </c>
      <c r="CJ1526">
        <v>1</v>
      </c>
      <c r="CK1526">
        <v>21</v>
      </c>
      <c r="CL1526" t="s">
        <v>89</v>
      </c>
    </row>
    <row r="1527" spans="1:90" x14ac:dyDescent="0.3">
      <c r="A1527" t="s">
        <v>72</v>
      </c>
      <c r="B1527" t="s">
        <v>73</v>
      </c>
      <c r="C1527" t="s">
        <v>74</v>
      </c>
      <c r="E1527" t="str">
        <f>"080065375925"</f>
        <v>080065375925</v>
      </c>
      <c r="F1527" s="3">
        <v>45791</v>
      </c>
      <c r="G1527">
        <v>202602</v>
      </c>
      <c r="H1527" t="s">
        <v>75</v>
      </c>
      <c r="I1527" t="s">
        <v>76</v>
      </c>
      <c r="J1527" t="s">
        <v>77</v>
      </c>
      <c r="K1527" t="s">
        <v>78</v>
      </c>
      <c r="L1527" t="s">
        <v>75</v>
      </c>
      <c r="M1527" t="s">
        <v>76</v>
      </c>
      <c r="N1527" t="s">
        <v>2161</v>
      </c>
      <c r="O1527" t="s">
        <v>82</v>
      </c>
      <c r="P1527" t="str">
        <f>"4170038426                    "</f>
        <v xml:space="preserve">4170038426                    </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0</v>
      </c>
      <c r="AL1527">
        <v>0</v>
      </c>
      <c r="AM1527">
        <v>0</v>
      </c>
      <c r="AN1527">
        <v>0</v>
      </c>
      <c r="AO1527">
        <v>0</v>
      </c>
      <c r="AP1527">
        <v>0</v>
      </c>
      <c r="AQ1527">
        <v>16.7</v>
      </c>
      <c r="AR1527">
        <v>0</v>
      </c>
      <c r="AS1527">
        <v>0</v>
      </c>
      <c r="AT1527">
        <v>0</v>
      </c>
      <c r="AU1527">
        <v>0</v>
      </c>
      <c r="AV1527">
        <v>0</v>
      </c>
      <c r="AW1527">
        <v>0</v>
      </c>
      <c r="AX1527">
        <v>0</v>
      </c>
      <c r="AY1527">
        <v>0</v>
      </c>
      <c r="AZ1527">
        <v>0</v>
      </c>
      <c r="BA1527">
        <v>0</v>
      </c>
      <c r="BB1527">
        <v>0</v>
      </c>
      <c r="BC1527">
        <v>0</v>
      </c>
      <c r="BD1527">
        <v>0</v>
      </c>
      <c r="BE1527">
        <v>0</v>
      </c>
      <c r="BF1527">
        <v>0</v>
      </c>
      <c r="BG1527">
        <v>0</v>
      </c>
      <c r="BH1527">
        <v>1</v>
      </c>
      <c r="BI1527">
        <v>1</v>
      </c>
      <c r="BJ1527">
        <v>0.2</v>
      </c>
      <c r="BK1527">
        <v>1</v>
      </c>
      <c r="BL1527">
        <v>54.66</v>
      </c>
      <c r="BM1527">
        <v>8.1999999999999993</v>
      </c>
      <c r="BN1527">
        <v>62.86</v>
      </c>
      <c r="BO1527">
        <v>62.86</v>
      </c>
      <c r="BQ1527" t="s">
        <v>2162</v>
      </c>
      <c r="BR1527" t="s">
        <v>84</v>
      </c>
      <c r="BS1527" s="3">
        <v>45792</v>
      </c>
      <c r="BT1527" s="4">
        <v>0.36180555555555555</v>
      </c>
      <c r="BU1527" t="s">
        <v>2163</v>
      </c>
      <c r="BV1527" t="s">
        <v>86</v>
      </c>
      <c r="BY1527">
        <v>1200</v>
      </c>
      <c r="CA1527" t="s">
        <v>853</v>
      </c>
      <c r="CC1527" t="s">
        <v>76</v>
      </c>
      <c r="CD1527">
        <v>1665</v>
      </c>
      <c r="CE1527" t="s">
        <v>88</v>
      </c>
      <c r="CF1527" s="3">
        <v>45793</v>
      </c>
      <c r="CI1527">
        <v>1</v>
      </c>
      <c r="CJ1527">
        <v>1</v>
      </c>
      <c r="CK1527">
        <v>22</v>
      </c>
      <c r="CL1527" t="s">
        <v>89</v>
      </c>
    </row>
    <row r="1528" spans="1:90" x14ac:dyDescent="0.3">
      <c r="A1528" t="s">
        <v>72</v>
      </c>
      <c r="B1528" t="s">
        <v>73</v>
      </c>
      <c r="C1528" t="s">
        <v>74</v>
      </c>
      <c r="E1528" t="str">
        <f>"080065375940"</f>
        <v>080065375940</v>
      </c>
      <c r="F1528" s="3">
        <v>45791</v>
      </c>
      <c r="G1528">
        <v>202602</v>
      </c>
      <c r="H1528" t="s">
        <v>75</v>
      </c>
      <c r="I1528" t="s">
        <v>76</v>
      </c>
      <c r="J1528" t="s">
        <v>77</v>
      </c>
      <c r="K1528" t="s">
        <v>78</v>
      </c>
      <c r="L1528" t="s">
        <v>90</v>
      </c>
      <c r="M1528" t="s">
        <v>91</v>
      </c>
      <c r="N1528" t="s">
        <v>2164</v>
      </c>
      <c r="O1528" t="s">
        <v>300</v>
      </c>
      <c r="P1528" t="str">
        <f>"4170038436                    "</f>
        <v xml:space="preserve">4170038436                    </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c r="AL1528">
        <v>0</v>
      </c>
      <c r="AM1528">
        <v>0</v>
      </c>
      <c r="AN1528">
        <v>0</v>
      </c>
      <c r="AO1528">
        <v>0</v>
      </c>
      <c r="AP1528">
        <v>0</v>
      </c>
      <c r="AQ1528">
        <v>46.47</v>
      </c>
      <c r="AR1528">
        <v>0</v>
      </c>
      <c r="AS1528">
        <v>0</v>
      </c>
      <c r="AT1528">
        <v>0</v>
      </c>
      <c r="AU1528">
        <v>0</v>
      </c>
      <c r="AV1528">
        <v>0</v>
      </c>
      <c r="AW1528">
        <v>0</v>
      </c>
      <c r="AX1528">
        <v>0</v>
      </c>
      <c r="AY1528">
        <v>0</v>
      </c>
      <c r="AZ1528">
        <v>0</v>
      </c>
      <c r="BA1528">
        <v>0</v>
      </c>
      <c r="BB1528">
        <v>0</v>
      </c>
      <c r="BC1528">
        <v>0</v>
      </c>
      <c r="BD1528">
        <v>0</v>
      </c>
      <c r="BE1528">
        <v>0</v>
      </c>
      <c r="BF1528">
        <v>0</v>
      </c>
      <c r="BG1528">
        <v>0</v>
      </c>
      <c r="BH1528">
        <v>1</v>
      </c>
      <c r="BI1528">
        <v>13</v>
      </c>
      <c r="BJ1528">
        <v>17.7</v>
      </c>
      <c r="BK1528">
        <v>18</v>
      </c>
      <c r="BL1528">
        <v>157.66</v>
      </c>
      <c r="BM1528">
        <v>23.65</v>
      </c>
      <c r="BN1528">
        <v>181.31</v>
      </c>
      <c r="BO1528">
        <v>181.31</v>
      </c>
      <c r="BQ1528" t="s">
        <v>2165</v>
      </c>
      <c r="BR1528" t="s">
        <v>84</v>
      </c>
      <c r="BS1528" s="3">
        <v>45793</v>
      </c>
      <c r="BT1528" s="4">
        <v>0.38819444444444445</v>
      </c>
      <c r="BU1528" t="s">
        <v>2166</v>
      </c>
      <c r="BV1528" t="s">
        <v>86</v>
      </c>
      <c r="BY1528">
        <v>88320</v>
      </c>
      <c r="CA1528" t="s">
        <v>283</v>
      </c>
      <c r="CC1528" t="s">
        <v>91</v>
      </c>
      <c r="CD1528">
        <v>6012</v>
      </c>
      <c r="CE1528" t="s">
        <v>96</v>
      </c>
      <c r="CF1528" s="3">
        <v>45793</v>
      </c>
      <c r="CI1528">
        <v>3</v>
      </c>
      <c r="CJ1528">
        <v>2</v>
      </c>
      <c r="CK1528">
        <v>41</v>
      </c>
      <c r="CL1528" t="s">
        <v>89</v>
      </c>
    </row>
    <row r="1529" spans="1:90" x14ac:dyDescent="0.3">
      <c r="A1529" t="s">
        <v>72</v>
      </c>
      <c r="B1529" t="s">
        <v>73</v>
      </c>
      <c r="C1529" t="s">
        <v>74</v>
      </c>
      <c r="E1529" t="str">
        <f>"080065375963"</f>
        <v>080065375963</v>
      </c>
      <c r="F1529" s="3">
        <v>45791</v>
      </c>
      <c r="G1529">
        <v>202602</v>
      </c>
      <c r="H1529" t="s">
        <v>75</v>
      </c>
      <c r="I1529" t="s">
        <v>76</v>
      </c>
      <c r="J1529" t="s">
        <v>77</v>
      </c>
      <c r="K1529" t="s">
        <v>78</v>
      </c>
      <c r="L1529" t="s">
        <v>117</v>
      </c>
      <c r="M1529" t="s">
        <v>118</v>
      </c>
      <c r="N1529" t="s">
        <v>532</v>
      </c>
      <c r="O1529" t="s">
        <v>82</v>
      </c>
      <c r="P1529" t="str">
        <f>"4170038515                    "</f>
        <v xml:space="preserve">4170038515                    </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v>0</v>
      </c>
      <c r="AM1529">
        <v>0</v>
      </c>
      <c r="AN1529">
        <v>0</v>
      </c>
      <c r="AO1529">
        <v>0</v>
      </c>
      <c r="AP1529">
        <v>0</v>
      </c>
      <c r="AQ1529">
        <v>16.7</v>
      </c>
      <c r="AR1529">
        <v>0</v>
      </c>
      <c r="AS1529">
        <v>0</v>
      </c>
      <c r="AT1529">
        <v>0</v>
      </c>
      <c r="AU1529">
        <v>0</v>
      </c>
      <c r="AV1529">
        <v>0</v>
      </c>
      <c r="AW1529">
        <v>0</v>
      </c>
      <c r="AX1529">
        <v>0</v>
      </c>
      <c r="AY1529">
        <v>0</v>
      </c>
      <c r="AZ1529">
        <v>0</v>
      </c>
      <c r="BA1529">
        <v>0</v>
      </c>
      <c r="BB1529">
        <v>0</v>
      </c>
      <c r="BC1529">
        <v>0</v>
      </c>
      <c r="BD1529">
        <v>0</v>
      </c>
      <c r="BE1529">
        <v>0</v>
      </c>
      <c r="BF1529">
        <v>0</v>
      </c>
      <c r="BG1529">
        <v>0</v>
      </c>
      <c r="BH1529">
        <v>1</v>
      </c>
      <c r="BI1529">
        <v>1</v>
      </c>
      <c r="BJ1529">
        <v>0.2</v>
      </c>
      <c r="BK1529">
        <v>1</v>
      </c>
      <c r="BL1529">
        <v>54.66</v>
      </c>
      <c r="BM1529">
        <v>8.1999999999999993</v>
      </c>
      <c r="BN1529">
        <v>62.86</v>
      </c>
      <c r="BO1529">
        <v>62.86</v>
      </c>
      <c r="BQ1529" t="s">
        <v>533</v>
      </c>
      <c r="BR1529" t="s">
        <v>84</v>
      </c>
      <c r="BS1529" s="3">
        <v>45792</v>
      </c>
      <c r="BT1529" s="4">
        <v>0.42569444444444443</v>
      </c>
      <c r="BU1529" t="s">
        <v>890</v>
      </c>
      <c r="BV1529" t="s">
        <v>86</v>
      </c>
      <c r="BY1529">
        <v>1200</v>
      </c>
      <c r="CC1529" t="s">
        <v>118</v>
      </c>
      <c r="CD1529">
        <v>2094</v>
      </c>
      <c r="CE1529" t="s">
        <v>88</v>
      </c>
      <c r="CF1529" s="3">
        <v>45792</v>
      </c>
      <c r="CI1529">
        <v>1</v>
      </c>
      <c r="CJ1529">
        <v>1</v>
      </c>
      <c r="CK1529">
        <v>22</v>
      </c>
      <c r="CL1529" t="s">
        <v>89</v>
      </c>
    </row>
    <row r="1530" spans="1:90" x14ac:dyDescent="0.3">
      <c r="A1530" t="s">
        <v>72</v>
      </c>
      <c r="B1530" t="s">
        <v>73</v>
      </c>
      <c r="C1530" t="s">
        <v>74</v>
      </c>
      <c r="E1530" t="str">
        <f>"080065375993"</f>
        <v>080065375993</v>
      </c>
      <c r="F1530" s="3">
        <v>45791</v>
      </c>
      <c r="G1530">
        <v>202602</v>
      </c>
      <c r="H1530" t="s">
        <v>75</v>
      </c>
      <c r="I1530" t="s">
        <v>76</v>
      </c>
      <c r="J1530" t="s">
        <v>77</v>
      </c>
      <c r="K1530" t="s">
        <v>78</v>
      </c>
      <c r="L1530" t="s">
        <v>350</v>
      </c>
      <c r="M1530" t="s">
        <v>351</v>
      </c>
      <c r="N1530" t="s">
        <v>459</v>
      </c>
      <c r="O1530" t="s">
        <v>82</v>
      </c>
      <c r="P1530" t="str">
        <f>"4170038563                    "</f>
        <v xml:space="preserve">4170038563                    </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v>0</v>
      </c>
      <c r="AM1530">
        <v>0</v>
      </c>
      <c r="AN1530">
        <v>0</v>
      </c>
      <c r="AO1530">
        <v>0</v>
      </c>
      <c r="AP1530">
        <v>0</v>
      </c>
      <c r="AQ1530">
        <v>85.48</v>
      </c>
      <c r="AR1530">
        <v>0</v>
      </c>
      <c r="AS1530">
        <v>0</v>
      </c>
      <c r="AT1530">
        <v>0</v>
      </c>
      <c r="AU1530">
        <v>0</v>
      </c>
      <c r="AV1530">
        <v>0</v>
      </c>
      <c r="AW1530">
        <v>0</v>
      </c>
      <c r="AX1530">
        <v>0</v>
      </c>
      <c r="AY1530">
        <v>0</v>
      </c>
      <c r="AZ1530">
        <v>0</v>
      </c>
      <c r="BA1530">
        <v>0</v>
      </c>
      <c r="BB1530">
        <v>0</v>
      </c>
      <c r="BC1530">
        <v>0</v>
      </c>
      <c r="BD1530">
        <v>0</v>
      </c>
      <c r="BE1530">
        <v>0</v>
      </c>
      <c r="BF1530">
        <v>0</v>
      </c>
      <c r="BG1530">
        <v>0</v>
      </c>
      <c r="BH1530">
        <v>1</v>
      </c>
      <c r="BI1530">
        <v>8</v>
      </c>
      <c r="BJ1530">
        <v>1.9</v>
      </c>
      <c r="BK1530">
        <v>8</v>
      </c>
      <c r="BL1530">
        <v>279.76</v>
      </c>
      <c r="BM1530">
        <v>41.96</v>
      </c>
      <c r="BN1530">
        <v>321.72000000000003</v>
      </c>
      <c r="BO1530">
        <v>321.72000000000003</v>
      </c>
      <c r="BQ1530" t="s">
        <v>460</v>
      </c>
      <c r="BR1530" t="s">
        <v>84</v>
      </c>
      <c r="BS1530" s="3">
        <v>45792</v>
      </c>
      <c r="BT1530" s="4">
        <v>0.34513888888888888</v>
      </c>
      <c r="BU1530" t="s">
        <v>1121</v>
      </c>
      <c r="BV1530" t="s">
        <v>86</v>
      </c>
      <c r="BY1530">
        <v>9600</v>
      </c>
      <c r="CA1530" t="s">
        <v>462</v>
      </c>
      <c r="CC1530" t="s">
        <v>351</v>
      </c>
      <c r="CD1530">
        <v>4051</v>
      </c>
      <c r="CE1530" t="s">
        <v>96</v>
      </c>
      <c r="CF1530" s="3">
        <v>45793</v>
      </c>
      <c r="CI1530">
        <v>1</v>
      </c>
      <c r="CJ1530">
        <v>1</v>
      </c>
      <c r="CK1530">
        <v>21</v>
      </c>
      <c r="CL1530" t="s">
        <v>89</v>
      </c>
    </row>
    <row r="1531" spans="1:90" x14ac:dyDescent="0.3">
      <c r="A1531" t="s">
        <v>72</v>
      </c>
      <c r="B1531" t="s">
        <v>73</v>
      </c>
      <c r="C1531" t="s">
        <v>74</v>
      </c>
      <c r="E1531" t="str">
        <f>"080065376054"</f>
        <v>080065376054</v>
      </c>
      <c r="F1531" s="3">
        <v>45791</v>
      </c>
      <c r="G1531">
        <v>202602</v>
      </c>
      <c r="H1531" t="s">
        <v>75</v>
      </c>
      <c r="I1531" t="s">
        <v>76</v>
      </c>
      <c r="J1531" t="s">
        <v>77</v>
      </c>
      <c r="K1531" t="s">
        <v>78</v>
      </c>
      <c r="L1531" t="s">
        <v>222</v>
      </c>
      <c r="M1531" t="s">
        <v>223</v>
      </c>
      <c r="N1531" t="s">
        <v>589</v>
      </c>
      <c r="O1531" t="s">
        <v>82</v>
      </c>
      <c r="P1531" t="str">
        <f>"4170038510                    "</f>
        <v xml:space="preserve">4170038510                    </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c r="AK1531">
        <v>0</v>
      </c>
      <c r="AL1531">
        <v>0</v>
      </c>
      <c r="AM1531">
        <v>0</v>
      </c>
      <c r="AN1531">
        <v>0</v>
      </c>
      <c r="AO1531">
        <v>0</v>
      </c>
      <c r="AP1531">
        <v>0</v>
      </c>
      <c r="AQ1531">
        <v>30.07</v>
      </c>
      <c r="AR1531">
        <v>0</v>
      </c>
      <c r="AS1531">
        <v>0</v>
      </c>
      <c r="AT1531">
        <v>0</v>
      </c>
      <c r="AU1531">
        <v>0</v>
      </c>
      <c r="AV1531">
        <v>0</v>
      </c>
      <c r="AW1531">
        <v>0</v>
      </c>
      <c r="AX1531">
        <v>0</v>
      </c>
      <c r="AY1531">
        <v>0</v>
      </c>
      <c r="AZ1531">
        <v>0</v>
      </c>
      <c r="BA1531">
        <v>0</v>
      </c>
      <c r="BB1531">
        <v>0</v>
      </c>
      <c r="BC1531">
        <v>0</v>
      </c>
      <c r="BD1531">
        <v>0</v>
      </c>
      <c r="BE1531">
        <v>0</v>
      </c>
      <c r="BF1531">
        <v>0</v>
      </c>
      <c r="BG1531">
        <v>0</v>
      </c>
      <c r="BH1531">
        <v>1</v>
      </c>
      <c r="BI1531">
        <v>1</v>
      </c>
      <c r="BJ1531">
        <v>0.2</v>
      </c>
      <c r="BK1531">
        <v>1</v>
      </c>
      <c r="BL1531">
        <v>98.42</v>
      </c>
      <c r="BM1531">
        <v>14.76</v>
      </c>
      <c r="BN1531">
        <v>113.18</v>
      </c>
      <c r="BO1531">
        <v>113.18</v>
      </c>
      <c r="BQ1531" t="s">
        <v>590</v>
      </c>
      <c r="BR1531" t="s">
        <v>84</v>
      </c>
      <c r="BS1531" s="3">
        <v>45792</v>
      </c>
      <c r="BT1531" s="4">
        <v>0.375</v>
      </c>
      <c r="BU1531" t="s">
        <v>2167</v>
      </c>
      <c r="BV1531" t="s">
        <v>86</v>
      </c>
      <c r="BY1531">
        <v>1200</v>
      </c>
      <c r="CA1531" t="s">
        <v>592</v>
      </c>
      <c r="CC1531" t="s">
        <v>223</v>
      </c>
      <c r="CD1531">
        <v>1748</v>
      </c>
      <c r="CE1531" t="s">
        <v>88</v>
      </c>
      <c r="CF1531" s="3">
        <v>45793</v>
      </c>
      <c r="CI1531">
        <v>1</v>
      </c>
      <c r="CJ1531">
        <v>1</v>
      </c>
      <c r="CK1531">
        <v>24</v>
      </c>
      <c r="CL1531" t="s">
        <v>89</v>
      </c>
    </row>
    <row r="1532" spans="1:90" x14ac:dyDescent="0.3">
      <c r="A1532" t="s">
        <v>72</v>
      </c>
      <c r="B1532" t="s">
        <v>73</v>
      </c>
      <c r="C1532" t="s">
        <v>74</v>
      </c>
      <c r="E1532" t="str">
        <f>"080065376111"</f>
        <v>080065376111</v>
      </c>
      <c r="F1532" s="3">
        <v>45791</v>
      </c>
      <c r="G1532">
        <v>202602</v>
      </c>
      <c r="H1532" t="s">
        <v>75</v>
      </c>
      <c r="I1532" t="s">
        <v>76</v>
      </c>
      <c r="J1532" t="s">
        <v>77</v>
      </c>
      <c r="K1532" t="s">
        <v>78</v>
      </c>
      <c r="L1532" t="s">
        <v>75</v>
      </c>
      <c r="M1532" t="s">
        <v>76</v>
      </c>
      <c r="N1532" t="s">
        <v>803</v>
      </c>
      <c r="O1532" t="s">
        <v>82</v>
      </c>
      <c r="P1532" t="str">
        <f>"4170038569                    "</f>
        <v xml:space="preserve">4170038569                    </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16.7</v>
      </c>
      <c r="AR1532">
        <v>0</v>
      </c>
      <c r="AS1532">
        <v>0</v>
      </c>
      <c r="AT1532">
        <v>0</v>
      </c>
      <c r="AU1532">
        <v>0</v>
      </c>
      <c r="AV1532">
        <v>0</v>
      </c>
      <c r="AW1532">
        <v>0</v>
      </c>
      <c r="AX1532">
        <v>0</v>
      </c>
      <c r="AY1532">
        <v>0</v>
      </c>
      <c r="AZ1532">
        <v>0</v>
      </c>
      <c r="BA1532">
        <v>0</v>
      </c>
      <c r="BB1532">
        <v>0</v>
      </c>
      <c r="BC1532">
        <v>0</v>
      </c>
      <c r="BD1532">
        <v>0</v>
      </c>
      <c r="BE1532">
        <v>0</v>
      </c>
      <c r="BF1532">
        <v>0</v>
      </c>
      <c r="BG1532">
        <v>0</v>
      </c>
      <c r="BH1532">
        <v>1</v>
      </c>
      <c r="BI1532">
        <v>1</v>
      </c>
      <c r="BJ1532">
        <v>0.2</v>
      </c>
      <c r="BK1532">
        <v>1</v>
      </c>
      <c r="BL1532">
        <v>54.66</v>
      </c>
      <c r="BM1532">
        <v>8.1999999999999993</v>
      </c>
      <c r="BN1532">
        <v>62.86</v>
      </c>
      <c r="BO1532">
        <v>62.86</v>
      </c>
      <c r="BQ1532" t="s">
        <v>804</v>
      </c>
      <c r="BR1532" t="s">
        <v>84</v>
      </c>
      <c r="BS1532" s="3">
        <v>45792</v>
      </c>
      <c r="BT1532" s="4">
        <v>0.43055555555555558</v>
      </c>
      <c r="BU1532" t="s">
        <v>2168</v>
      </c>
      <c r="BV1532" t="s">
        <v>86</v>
      </c>
      <c r="BY1532">
        <v>1200</v>
      </c>
      <c r="CA1532" t="s">
        <v>484</v>
      </c>
      <c r="CC1532" t="s">
        <v>76</v>
      </c>
      <c r="CD1532">
        <v>1619</v>
      </c>
      <c r="CE1532" t="s">
        <v>88</v>
      </c>
      <c r="CF1532" s="3">
        <v>45792</v>
      </c>
      <c r="CI1532">
        <v>1</v>
      </c>
      <c r="CJ1532">
        <v>1</v>
      </c>
      <c r="CK1532">
        <v>22</v>
      </c>
      <c r="CL1532" t="s">
        <v>89</v>
      </c>
    </row>
    <row r="1533" spans="1:90" x14ac:dyDescent="0.3">
      <c r="A1533" t="s">
        <v>72</v>
      </c>
      <c r="B1533" t="s">
        <v>73</v>
      </c>
      <c r="C1533" t="s">
        <v>74</v>
      </c>
      <c r="E1533" t="str">
        <f>"080065376141"</f>
        <v>080065376141</v>
      </c>
      <c r="F1533" s="3">
        <v>45791</v>
      </c>
      <c r="G1533">
        <v>202602</v>
      </c>
      <c r="H1533" t="s">
        <v>75</v>
      </c>
      <c r="I1533" t="s">
        <v>76</v>
      </c>
      <c r="J1533" t="s">
        <v>77</v>
      </c>
      <c r="K1533" t="s">
        <v>78</v>
      </c>
      <c r="L1533" t="s">
        <v>90</v>
      </c>
      <c r="M1533" t="s">
        <v>91</v>
      </c>
      <c r="N1533" t="s">
        <v>371</v>
      </c>
      <c r="O1533" t="s">
        <v>82</v>
      </c>
      <c r="P1533" t="str">
        <f>"4170038411                    "</f>
        <v xml:space="preserve">4170038411                    </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0</v>
      </c>
      <c r="AL1533">
        <v>0</v>
      </c>
      <c r="AM1533">
        <v>0</v>
      </c>
      <c r="AN1533">
        <v>0</v>
      </c>
      <c r="AO1533">
        <v>0</v>
      </c>
      <c r="AP1533">
        <v>0</v>
      </c>
      <c r="AQ1533">
        <v>21.38</v>
      </c>
      <c r="AR1533">
        <v>0</v>
      </c>
      <c r="AS1533">
        <v>0</v>
      </c>
      <c r="AT1533">
        <v>0</v>
      </c>
      <c r="AU1533">
        <v>0</v>
      </c>
      <c r="AV1533">
        <v>0</v>
      </c>
      <c r="AW1533">
        <v>0</v>
      </c>
      <c r="AX1533">
        <v>0</v>
      </c>
      <c r="AY1533">
        <v>0</v>
      </c>
      <c r="AZ1533">
        <v>0</v>
      </c>
      <c r="BA1533">
        <v>0</v>
      </c>
      <c r="BB1533">
        <v>0</v>
      </c>
      <c r="BC1533">
        <v>0</v>
      </c>
      <c r="BD1533">
        <v>0</v>
      </c>
      <c r="BE1533">
        <v>0</v>
      </c>
      <c r="BF1533">
        <v>0</v>
      </c>
      <c r="BG1533">
        <v>0</v>
      </c>
      <c r="BH1533">
        <v>1</v>
      </c>
      <c r="BI1533">
        <v>1</v>
      </c>
      <c r="BJ1533">
        <v>0.2</v>
      </c>
      <c r="BK1533">
        <v>1</v>
      </c>
      <c r="BL1533">
        <v>69.98</v>
      </c>
      <c r="BM1533">
        <v>10.5</v>
      </c>
      <c r="BN1533">
        <v>80.48</v>
      </c>
      <c r="BO1533">
        <v>80.48</v>
      </c>
      <c r="BQ1533" t="s">
        <v>372</v>
      </c>
      <c r="BR1533" t="s">
        <v>84</v>
      </c>
      <c r="BS1533" s="3">
        <v>45792</v>
      </c>
      <c r="BT1533" s="4">
        <v>0.4284722222222222</v>
      </c>
      <c r="BU1533" t="s">
        <v>373</v>
      </c>
      <c r="BV1533" t="s">
        <v>86</v>
      </c>
      <c r="BY1533">
        <v>1200</v>
      </c>
      <c r="CA1533" t="s">
        <v>298</v>
      </c>
      <c r="CC1533" t="s">
        <v>91</v>
      </c>
      <c r="CD1533">
        <v>6001</v>
      </c>
      <c r="CE1533" t="s">
        <v>88</v>
      </c>
      <c r="CF1533" s="3">
        <v>45792</v>
      </c>
      <c r="CI1533">
        <v>1</v>
      </c>
      <c r="CJ1533">
        <v>1</v>
      </c>
      <c r="CK1533">
        <v>21</v>
      </c>
      <c r="CL1533" t="s">
        <v>89</v>
      </c>
    </row>
    <row r="1534" spans="1:90" x14ac:dyDescent="0.3">
      <c r="A1534" t="s">
        <v>72</v>
      </c>
      <c r="B1534" t="s">
        <v>73</v>
      </c>
      <c r="C1534" t="s">
        <v>74</v>
      </c>
      <c r="E1534" t="str">
        <f>"080065376155"</f>
        <v>080065376155</v>
      </c>
      <c r="F1534" s="3">
        <v>45791</v>
      </c>
      <c r="G1534">
        <v>202602</v>
      </c>
      <c r="H1534" t="s">
        <v>75</v>
      </c>
      <c r="I1534" t="s">
        <v>76</v>
      </c>
      <c r="J1534" t="s">
        <v>77</v>
      </c>
      <c r="K1534" t="s">
        <v>78</v>
      </c>
      <c r="L1534" t="s">
        <v>75</v>
      </c>
      <c r="M1534" t="s">
        <v>76</v>
      </c>
      <c r="N1534" t="s">
        <v>390</v>
      </c>
      <c r="O1534" t="s">
        <v>82</v>
      </c>
      <c r="P1534" t="str">
        <f>"4170038480                    "</f>
        <v xml:space="preserve">4170038480                    </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0</v>
      </c>
      <c r="AL1534">
        <v>0</v>
      </c>
      <c r="AM1534">
        <v>0</v>
      </c>
      <c r="AN1534">
        <v>0</v>
      </c>
      <c r="AO1534">
        <v>0</v>
      </c>
      <c r="AP1534">
        <v>0</v>
      </c>
      <c r="AQ1534">
        <v>16.7</v>
      </c>
      <c r="AR1534">
        <v>0</v>
      </c>
      <c r="AS1534">
        <v>0</v>
      </c>
      <c r="AT1534">
        <v>0</v>
      </c>
      <c r="AU1534">
        <v>0</v>
      </c>
      <c r="AV1534">
        <v>0</v>
      </c>
      <c r="AW1534">
        <v>0</v>
      </c>
      <c r="AX1534">
        <v>0</v>
      </c>
      <c r="AY1534">
        <v>0</v>
      </c>
      <c r="AZ1534">
        <v>0</v>
      </c>
      <c r="BA1534">
        <v>0</v>
      </c>
      <c r="BB1534">
        <v>0</v>
      </c>
      <c r="BC1534">
        <v>0</v>
      </c>
      <c r="BD1534">
        <v>0</v>
      </c>
      <c r="BE1534">
        <v>0</v>
      </c>
      <c r="BF1534">
        <v>0</v>
      </c>
      <c r="BG1534">
        <v>0</v>
      </c>
      <c r="BH1534">
        <v>1</v>
      </c>
      <c r="BI1534">
        <v>1</v>
      </c>
      <c r="BJ1534">
        <v>0.2</v>
      </c>
      <c r="BK1534">
        <v>1</v>
      </c>
      <c r="BL1534">
        <v>54.66</v>
      </c>
      <c r="BM1534">
        <v>8.1999999999999993</v>
      </c>
      <c r="BN1534">
        <v>62.86</v>
      </c>
      <c r="BO1534">
        <v>62.86</v>
      </c>
      <c r="BQ1534" t="s">
        <v>391</v>
      </c>
      <c r="BR1534" t="s">
        <v>84</v>
      </c>
      <c r="BS1534" s="3">
        <v>45792</v>
      </c>
      <c r="BT1534" s="4">
        <v>0.33819444444444446</v>
      </c>
      <c r="BU1534" t="s">
        <v>2078</v>
      </c>
      <c r="BV1534" t="s">
        <v>86</v>
      </c>
      <c r="BY1534">
        <v>1200</v>
      </c>
      <c r="CA1534" t="s">
        <v>115</v>
      </c>
      <c r="CC1534" t="s">
        <v>76</v>
      </c>
      <c r="CD1534">
        <v>1600</v>
      </c>
      <c r="CE1534" t="s">
        <v>88</v>
      </c>
      <c r="CF1534" s="3">
        <v>45793</v>
      </c>
      <c r="CI1534">
        <v>1</v>
      </c>
      <c r="CJ1534">
        <v>1</v>
      </c>
      <c r="CK1534">
        <v>22</v>
      </c>
      <c r="CL1534" t="s">
        <v>89</v>
      </c>
    </row>
    <row r="1535" spans="1:90" x14ac:dyDescent="0.3">
      <c r="A1535" t="s">
        <v>72</v>
      </c>
      <c r="B1535" t="s">
        <v>73</v>
      </c>
      <c r="C1535" t="s">
        <v>74</v>
      </c>
      <c r="E1535" t="str">
        <f>"080065376162"</f>
        <v>080065376162</v>
      </c>
      <c r="F1535" s="3">
        <v>45791</v>
      </c>
      <c r="G1535">
        <v>202602</v>
      </c>
      <c r="H1535" t="s">
        <v>75</v>
      </c>
      <c r="I1535" t="s">
        <v>76</v>
      </c>
      <c r="J1535" t="s">
        <v>77</v>
      </c>
      <c r="K1535" t="s">
        <v>78</v>
      </c>
      <c r="L1535" t="s">
        <v>374</v>
      </c>
      <c r="M1535" t="s">
        <v>375</v>
      </c>
      <c r="N1535" t="s">
        <v>376</v>
      </c>
      <c r="O1535" t="s">
        <v>82</v>
      </c>
      <c r="P1535" t="str">
        <f>"4170038575                    "</f>
        <v xml:space="preserve">4170038575                    </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0</v>
      </c>
      <c r="AL1535">
        <v>0</v>
      </c>
      <c r="AM1535">
        <v>0</v>
      </c>
      <c r="AN1535">
        <v>0</v>
      </c>
      <c r="AO1535">
        <v>0</v>
      </c>
      <c r="AP1535">
        <v>0</v>
      </c>
      <c r="AQ1535">
        <v>41.43</v>
      </c>
      <c r="AR1535">
        <v>0</v>
      </c>
      <c r="AS1535">
        <v>0</v>
      </c>
      <c r="AT1535">
        <v>0</v>
      </c>
      <c r="AU1535">
        <v>0</v>
      </c>
      <c r="AV1535">
        <v>0</v>
      </c>
      <c r="AW1535">
        <v>0</v>
      </c>
      <c r="AX1535">
        <v>0</v>
      </c>
      <c r="AY1535">
        <v>0</v>
      </c>
      <c r="AZ1535">
        <v>0</v>
      </c>
      <c r="BA1535">
        <v>0</v>
      </c>
      <c r="BB1535">
        <v>0</v>
      </c>
      <c r="BC1535">
        <v>0</v>
      </c>
      <c r="BD1535">
        <v>0</v>
      </c>
      <c r="BE1535">
        <v>0</v>
      </c>
      <c r="BF1535">
        <v>0</v>
      </c>
      <c r="BG1535">
        <v>0</v>
      </c>
      <c r="BH1535">
        <v>1</v>
      </c>
      <c r="BI1535">
        <v>1</v>
      </c>
      <c r="BJ1535">
        <v>0.2</v>
      </c>
      <c r="BK1535">
        <v>1</v>
      </c>
      <c r="BL1535">
        <v>135.59</v>
      </c>
      <c r="BM1535">
        <v>20.34</v>
      </c>
      <c r="BN1535">
        <v>155.93</v>
      </c>
      <c r="BO1535">
        <v>155.93</v>
      </c>
      <c r="BQ1535" t="s">
        <v>377</v>
      </c>
      <c r="BR1535" t="s">
        <v>84</v>
      </c>
      <c r="BS1535" s="3">
        <v>45792</v>
      </c>
      <c r="BT1535" s="4">
        <v>0.4</v>
      </c>
      <c r="BU1535" t="s">
        <v>378</v>
      </c>
      <c r="BV1535" t="s">
        <v>86</v>
      </c>
      <c r="BY1535">
        <v>1200</v>
      </c>
      <c r="CA1535" t="s">
        <v>379</v>
      </c>
      <c r="CC1535" t="s">
        <v>375</v>
      </c>
      <c r="CD1535">
        <v>7130</v>
      </c>
      <c r="CE1535" t="s">
        <v>88</v>
      </c>
      <c r="CF1535" s="3">
        <v>45793</v>
      </c>
      <c r="CI1535">
        <v>1</v>
      </c>
      <c r="CJ1535">
        <v>1</v>
      </c>
      <c r="CK1535">
        <v>23</v>
      </c>
      <c r="CL1535" t="s">
        <v>89</v>
      </c>
    </row>
    <row r="1536" spans="1:90" x14ac:dyDescent="0.3">
      <c r="A1536" t="s">
        <v>72</v>
      </c>
      <c r="B1536" t="s">
        <v>73</v>
      </c>
      <c r="C1536" t="s">
        <v>74</v>
      </c>
      <c r="E1536" t="str">
        <f>"080065376183"</f>
        <v>080065376183</v>
      </c>
      <c r="F1536" s="3">
        <v>45791</v>
      </c>
      <c r="G1536">
        <v>202602</v>
      </c>
      <c r="H1536" t="s">
        <v>75</v>
      </c>
      <c r="I1536" t="s">
        <v>76</v>
      </c>
      <c r="J1536" t="s">
        <v>77</v>
      </c>
      <c r="K1536" t="s">
        <v>78</v>
      </c>
      <c r="L1536" t="s">
        <v>75</v>
      </c>
      <c r="M1536" t="s">
        <v>76</v>
      </c>
      <c r="N1536" t="s">
        <v>601</v>
      </c>
      <c r="O1536" t="s">
        <v>82</v>
      </c>
      <c r="P1536" t="str">
        <f>"4170038527                    "</f>
        <v xml:space="preserve">4170038527                    </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c r="AL1536">
        <v>0</v>
      </c>
      <c r="AM1536">
        <v>0</v>
      </c>
      <c r="AN1536">
        <v>0</v>
      </c>
      <c r="AO1536">
        <v>0</v>
      </c>
      <c r="AP1536">
        <v>0</v>
      </c>
      <c r="AQ1536">
        <v>16.7</v>
      </c>
      <c r="AR1536">
        <v>0</v>
      </c>
      <c r="AS1536">
        <v>0</v>
      </c>
      <c r="AT1536">
        <v>0</v>
      </c>
      <c r="AU1536">
        <v>0</v>
      </c>
      <c r="AV1536">
        <v>0</v>
      </c>
      <c r="AW1536">
        <v>0</v>
      </c>
      <c r="AX1536">
        <v>0</v>
      </c>
      <c r="AY1536">
        <v>0</v>
      </c>
      <c r="AZ1536">
        <v>0</v>
      </c>
      <c r="BA1536">
        <v>0</v>
      </c>
      <c r="BB1536">
        <v>0</v>
      </c>
      <c r="BC1536">
        <v>0</v>
      </c>
      <c r="BD1536">
        <v>0</v>
      </c>
      <c r="BE1536">
        <v>0</v>
      </c>
      <c r="BF1536">
        <v>0</v>
      </c>
      <c r="BG1536">
        <v>0</v>
      </c>
      <c r="BH1536">
        <v>1</v>
      </c>
      <c r="BI1536">
        <v>1</v>
      </c>
      <c r="BJ1536">
        <v>0.2</v>
      </c>
      <c r="BK1536">
        <v>1</v>
      </c>
      <c r="BL1536">
        <v>54.66</v>
      </c>
      <c r="BM1536">
        <v>8.1999999999999993</v>
      </c>
      <c r="BN1536">
        <v>62.86</v>
      </c>
      <c r="BO1536">
        <v>62.86</v>
      </c>
      <c r="BQ1536" t="s">
        <v>603</v>
      </c>
      <c r="BR1536" t="s">
        <v>84</v>
      </c>
      <c r="BS1536" s="3">
        <v>45792</v>
      </c>
      <c r="BT1536" s="4">
        <v>0.33333333333333331</v>
      </c>
      <c r="BU1536" t="s">
        <v>604</v>
      </c>
      <c r="BV1536" t="s">
        <v>86</v>
      </c>
      <c r="BY1536">
        <v>1200</v>
      </c>
      <c r="CA1536" t="s">
        <v>605</v>
      </c>
      <c r="CC1536" t="s">
        <v>76</v>
      </c>
      <c r="CD1536">
        <v>1645</v>
      </c>
      <c r="CE1536" t="s">
        <v>88</v>
      </c>
      <c r="CF1536" s="3">
        <v>45792</v>
      </c>
      <c r="CI1536">
        <v>1</v>
      </c>
      <c r="CJ1536">
        <v>1</v>
      </c>
      <c r="CK1536">
        <v>22</v>
      </c>
      <c r="CL1536" t="s">
        <v>89</v>
      </c>
    </row>
    <row r="1537" spans="1:90" x14ac:dyDescent="0.3">
      <c r="A1537" t="s">
        <v>72</v>
      </c>
      <c r="B1537" t="s">
        <v>73</v>
      </c>
      <c r="C1537" t="s">
        <v>74</v>
      </c>
      <c r="E1537" t="str">
        <f>"080065376300"</f>
        <v>080065376300</v>
      </c>
      <c r="F1537" s="3">
        <v>45791</v>
      </c>
      <c r="G1537">
        <v>202602</v>
      </c>
      <c r="H1537" t="s">
        <v>75</v>
      </c>
      <c r="I1537" t="s">
        <v>76</v>
      </c>
      <c r="J1537" t="s">
        <v>77</v>
      </c>
      <c r="K1537" t="s">
        <v>78</v>
      </c>
      <c r="L1537" t="s">
        <v>136</v>
      </c>
      <c r="M1537" t="s">
        <v>137</v>
      </c>
      <c r="N1537" t="s">
        <v>2169</v>
      </c>
      <c r="O1537" t="s">
        <v>82</v>
      </c>
      <c r="P1537" t="str">
        <f>"4170038559                    "</f>
        <v xml:space="preserve">4170038559                    </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0</v>
      </c>
      <c r="AL1537">
        <v>0</v>
      </c>
      <c r="AM1537">
        <v>0</v>
      </c>
      <c r="AN1537">
        <v>0</v>
      </c>
      <c r="AO1537">
        <v>0</v>
      </c>
      <c r="AP1537">
        <v>0</v>
      </c>
      <c r="AQ1537">
        <v>21.38</v>
      </c>
      <c r="AR1537">
        <v>0</v>
      </c>
      <c r="AS1537">
        <v>0</v>
      </c>
      <c r="AT1537">
        <v>0</v>
      </c>
      <c r="AU1537">
        <v>0</v>
      </c>
      <c r="AV1537">
        <v>0</v>
      </c>
      <c r="AW1537">
        <v>0</v>
      </c>
      <c r="AX1537">
        <v>0</v>
      </c>
      <c r="AY1537">
        <v>0</v>
      </c>
      <c r="AZ1537">
        <v>0</v>
      </c>
      <c r="BA1537">
        <v>0</v>
      </c>
      <c r="BB1537">
        <v>0</v>
      </c>
      <c r="BC1537">
        <v>0</v>
      </c>
      <c r="BD1537">
        <v>0</v>
      </c>
      <c r="BE1537">
        <v>0</v>
      </c>
      <c r="BF1537">
        <v>0</v>
      </c>
      <c r="BG1537">
        <v>0</v>
      </c>
      <c r="BH1537">
        <v>1</v>
      </c>
      <c r="BI1537">
        <v>1</v>
      </c>
      <c r="BJ1537">
        <v>0.2</v>
      </c>
      <c r="BK1537">
        <v>1</v>
      </c>
      <c r="BL1537">
        <v>69.98</v>
      </c>
      <c r="BM1537">
        <v>10.5</v>
      </c>
      <c r="BN1537">
        <v>80.48</v>
      </c>
      <c r="BO1537">
        <v>80.48</v>
      </c>
      <c r="BQ1537" t="s">
        <v>2170</v>
      </c>
      <c r="BR1537" t="s">
        <v>84</v>
      </c>
      <c r="BS1537" s="3">
        <v>45792</v>
      </c>
      <c r="BT1537" s="4">
        <v>0.41111111111111109</v>
      </c>
      <c r="BU1537" t="s">
        <v>2171</v>
      </c>
      <c r="BV1537" t="s">
        <v>86</v>
      </c>
      <c r="BY1537">
        <v>1200</v>
      </c>
      <c r="CA1537" t="s">
        <v>253</v>
      </c>
      <c r="CC1537" t="s">
        <v>137</v>
      </c>
      <c r="CD1537" s="5" t="s">
        <v>1786</v>
      </c>
      <c r="CE1537" t="s">
        <v>88</v>
      </c>
      <c r="CF1537" s="3">
        <v>45792</v>
      </c>
      <c r="CI1537">
        <v>1</v>
      </c>
      <c r="CJ1537">
        <v>1</v>
      </c>
      <c r="CK1537">
        <v>21</v>
      </c>
      <c r="CL1537" t="s">
        <v>89</v>
      </c>
    </row>
    <row r="1538" spans="1:90" x14ac:dyDescent="0.3">
      <c r="A1538" t="s">
        <v>72</v>
      </c>
      <c r="B1538" t="s">
        <v>73</v>
      </c>
      <c r="C1538" t="s">
        <v>74</v>
      </c>
      <c r="E1538" t="str">
        <f>"080065376325"</f>
        <v>080065376325</v>
      </c>
      <c r="F1538" s="3">
        <v>45791</v>
      </c>
      <c r="G1538">
        <v>202602</v>
      </c>
      <c r="H1538" t="s">
        <v>75</v>
      </c>
      <c r="I1538" t="s">
        <v>76</v>
      </c>
      <c r="J1538" t="s">
        <v>77</v>
      </c>
      <c r="K1538" t="s">
        <v>78</v>
      </c>
      <c r="L1538" t="s">
        <v>75</v>
      </c>
      <c r="M1538" t="s">
        <v>76</v>
      </c>
      <c r="N1538" t="s">
        <v>2172</v>
      </c>
      <c r="O1538" t="s">
        <v>82</v>
      </c>
      <c r="P1538" t="str">
        <f>"4170038509                    "</f>
        <v xml:space="preserve">4170038509                    </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0</v>
      </c>
      <c r="AL1538">
        <v>0</v>
      </c>
      <c r="AM1538">
        <v>0</v>
      </c>
      <c r="AN1538">
        <v>0</v>
      </c>
      <c r="AO1538">
        <v>0</v>
      </c>
      <c r="AP1538">
        <v>0</v>
      </c>
      <c r="AQ1538">
        <v>16.7</v>
      </c>
      <c r="AR1538">
        <v>0</v>
      </c>
      <c r="AS1538">
        <v>0</v>
      </c>
      <c r="AT1538">
        <v>0</v>
      </c>
      <c r="AU1538">
        <v>0</v>
      </c>
      <c r="AV1538">
        <v>0</v>
      </c>
      <c r="AW1538">
        <v>0</v>
      </c>
      <c r="AX1538">
        <v>0</v>
      </c>
      <c r="AY1538">
        <v>0</v>
      </c>
      <c r="AZ1538">
        <v>0</v>
      </c>
      <c r="BA1538">
        <v>0</v>
      </c>
      <c r="BB1538">
        <v>0</v>
      </c>
      <c r="BC1538">
        <v>0</v>
      </c>
      <c r="BD1538">
        <v>0</v>
      </c>
      <c r="BE1538">
        <v>0</v>
      </c>
      <c r="BF1538">
        <v>0</v>
      </c>
      <c r="BG1538">
        <v>0</v>
      </c>
      <c r="BH1538">
        <v>1</v>
      </c>
      <c r="BI1538">
        <v>1</v>
      </c>
      <c r="BJ1538">
        <v>0.2</v>
      </c>
      <c r="BK1538">
        <v>1</v>
      </c>
      <c r="BL1538">
        <v>54.66</v>
      </c>
      <c r="BM1538">
        <v>8.1999999999999993</v>
      </c>
      <c r="BN1538">
        <v>62.86</v>
      </c>
      <c r="BO1538">
        <v>62.86</v>
      </c>
      <c r="BQ1538" t="s">
        <v>2173</v>
      </c>
      <c r="BR1538" t="s">
        <v>84</v>
      </c>
      <c r="BS1538" s="3">
        <v>45792</v>
      </c>
      <c r="BT1538" s="4">
        <v>0.33958333333333335</v>
      </c>
      <c r="BU1538" t="s">
        <v>2174</v>
      </c>
      <c r="BV1538" t="s">
        <v>86</v>
      </c>
      <c r="BY1538">
        <v>1200</v>
      </c>
      <c r="CA1538" t="s">
        <v>383</v>
      </c>
      <c r="CC1538" t="s">
        <v>76</v>
      </c>
      <c r="CD1538">
        <v>1609</v>
      </c>
      <c r="CE1538" t="s">
        <v>88</v>
      </c>
      <c r="CF1538" s="3">
        <v>45792</v>
      </c>
      <c r="CI1538">
        <v>1</v>
      </c>
      <c r="CJ1538">
        <v>1</v>
      </c>
      <c r="CK1538">
        <v>22</v>
      </c>
      <c r="CL1538" t="s">
        <v>89</v>
      </c>
    </row>
    <row r="1539" spans="1:90" x14ac:dyDescent="0.3">
      <c r="A1539" t="s">
        <v>72</v>
      </c>
      <c r="B1539" t="s">
        <v>73</v>
      </c>
      <c r="C1539" t="s">
        <v>74</v>
      </c>
      <c r="E1539" t="str">
        <f>"080065376341"</f>
        <v>080065376341</v>
      </c>
      <c r="F1539" s="3">
        <v>45791</v>
      </c>
      <c r="G1539">
        <v>202602</v>
      </c>
      <c r="H1539" t="s">
        <v>75</v>
      </c>
      <c r="I1539" t="s">
        <v>76</v>
      </c>
      <c r="J1539" t="s">
        <v>77</v>
      </c>
      <c r="K1539" t="s">
        <v>78</v>
      </c>
      <c r="L1539" t="s">
        <v>526</v>
      </c>
      <c r="M1539" t="s">
        <v>527</v>
      </c>
      <c r="N1539" t="s">
        <v>826</v>
      </c>
      <c r="O1539" t="s">
        <v>82</v>
      </c>
      <c r="P1539" t="str">
        <f>"4170038543                    "</f>
        <v xml:space="preserve">4170038543                    </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0</v>
      </c>
      <c r="AL1539">
        <v>0</v>
      </c>
      <c r="AM1539">
        <v>0</v>
      </c>
      <c r="AN1539">
        <v>0</v>
      </c>
      <c r="AO1539">
        <v>0</v>
      </c>
      <c r="AP1539">
        <v>0</v>
      </c>
      <c r="AQ1539">
        <v>30.07</v>
      </c>
      <c r="AR1539">
        <v>0</v>
      </c>
      <c r="AS1539">
        <v>0</v>
      </c>
      <c r="AT1539">
        <v>0</v>
      </c>
      <c r="AU1539">
        <v>0</v>
      </c>
      <c r="AV1539">
        <v>0</v>
      </c>
      <c r="AW1539">
        <v>0</v>
      </c>
      <c r="AX1539">
        <v>0</v>
      </c>
      <c r="AY1539">
        <v>0</v>
      </c>
      <c r="AZ1539">
        <v>0</v>
      </c>
      <c r="BA1539">
        <v>0</v>
      </c>
      <c r="BB1539">
        <v>0</v>
      </c>
      <c r="BC1539">
        <v>0</v>
      </c>
      <c r="BD1539">
        <v>0</v>
      </c>
      <c r="BE1539">
        <v>0</v>
      </c>
      <c r="BF1539">
        <v>0</v>
      </c>
      <c r="BG1539">
        <v>0</v>
      </c>
      <c r="BH1539">
        <v>1</v>
      </c>
      <c r="BI1539">
        <v>1</v>
      </c>
      <c r="BJ1539">
        <v>0.2</v>
      </c>
      <c r="BK1539">
        <v>1</v>
      </c>
      <c r="BL1539">
        <v>98.42</v>
      </c>
      <c r="BM1539">
        <v>14.76</v>
      </c>
      <c r="BN1539">
        <v>113.18</v>
      </c>
      <c r="BO1539">
        <v>113.18</v>
      </c>
      <c r="BQ1539" t="s">
        <v>827</v>
      </c>
      <c r="BR1539" t="s">
        <v>84</v>
      </c>
      <c r="BS1539" s="3">
        <v>45792</v>
      </c>
      <c r="BT1539" s="4">
        <v>0.51249999999999996</v>
      </c>
      <c r="BU1539" t="s">
        <v>2175</v>
      </c>
      <c r="BV1539" t="s">
        <v>86</v>
      </c>
      <c r="BY1539">
        <v>1200</v>
      </c>
      <c r="CC1539" t="s">
        <v>527</v>
      </c>
      <c r="CD1539">
        <v>1759</v>
      </c>
      <c r="CE1539" t="s">
        <v>88</v>
      </c>
      <c r="CF1539" s="3">
        <v>45792</v>
      </c>
      <c r="CI1539">
        <v>1</v>
      </c>
      <c r="CJ1539">
        <v>1</v>
      </c>
      <c r="CK1539">
        <v>24</v>
      </c>
      <c r="CL1539" t="s">
        <v>89</v>
      </c>
    </row>
    <row r="1540" spans="1:90" x14ac:dyDescent="0.3">
      <c r="A1540" t="s">
        <v>72</v>
      </c>
      <c r="B1540" t="s">
        <v>73</v>
      </c>
      <c r="C1540" t="s">
        <v>74</v>
      </c>
      <c r="E1540" t="str">
        <f>"080065376366"</f>
        <v>080065376366</v>
      </c>
      <c r="F1540" s="3">
        <v>45791</v>
      </c>
      <c r="G1540">
        <v>202602</v>
      </c>
      <c r="H1540" t="s">
        <v>75</v>
      </c>
      <c r="I1540" t="s">
        <v>76</v>
      </c>
      <c r="J1540" t="s">
        <v>77</v>
      </c>
      <c r="K1540" t="s">
        <v>78</v>
      </c>
      <c r="L1540" t="s">
        <v>90</v>
      </c>
      <c r="M1540" t="s">
        <v>91</v>
      </c>
      <c r="N1540" t="s">
        <v>563</v>
      </c>
      <c r="O1540" t="s">
        <v>82</v>
      </c>
      <c r="P1540" t="str">
        <f>"4170038522                    "</f>
        <v xml:space="preserve">4170038522                    </v>
      </c>
      <c r="Q1540">
        <v>0</v>
      </c>
      <c r="R1540">
        <v>0</v>
      </c>
      <c r="S1540">
        <v>0</v>
      </c>
      <c r="T1540">
        <v>0</v>
      </c>
      <c r="U1540">
        <v>0</v>
      </c>
      <c r="V1540">
        <v>0</v>
      </c>
      <c r="W1540">
        <v>0</v>
      </c>
      <c r="X1540">
        <v>0</v>
      </c>
      <c r="Y1540">
        <v>0</v>
      </c>
      <c r="Z1540">
        <v>0</v>
      </c>
      <c r="AA1540">
        <v>0</v>
      </c>
      <c r="AB1540">
        <v>0</v>
      </c>
      <c r="AC1540">
        <v>0</v>
      </c>
      <c r="AD1540">
        <v>0</v>
      </c>
      <c r="AE1540">
        <v>0</v>
      </c>
      <c r="AF1540">
        <v>0</v>
      </c>
      <c r="AG1540">
        <v>0</v>
      </c>
      <c r="AH1540">
        <v>0</v>
      </c>
      <c r="AI1540">
        <v>0</v>
      </c>
      <c r="AJ1540">
        <v>0</v>
      </c>
      <c r="AK1540">
        <v>0</v>
      </c>
      <c r="AL1540">
        <v>0</v>
      </c>
      <c r="AM1540">
        <v>0</v>
      </c>
      <c r="AN1540">
        <v>0</v>
      </c>
      <c r="AO1540">
        <v>0</v>
      </c>
      <c r="AP1540">
        <v>0</v>
      </c>
      <c r="AQ1540">
        <v>21.38</v>
      </c>
      <c r="AR1540">
        <v>0</v>
      </c>
      <c r="AS1540">
        <v>0</v>
      </c>
      <c r="AT1540">
        <v>0</v>
      </c>
      <c r="AU1540">
        <v>0</v>
      </c>
      <c r="AV1540">
        <v>0</v>
      </c>
      <c r="AW1540">
        <v>0</v>
      </c>
      <c r="AX1540">
        <v>0</v>
      </c>
      <c r="AY1540">
        <v>0</v>
      </c>
      <c r="AZ1540">
        <v>0</v>
      </c>
      <c r="BA1540">
        <v>0</v>
      </c>
      <c r="BB1540">
        <v>0</v>
      </c>
      <c r="BC1540">
        <v>0</v>
      </c>
      <c r="BD1540">
        <v>0</v>
      </c>
      <c r="BE1540">
        <v>0</v>
      </c>
      <c r="BF1540">
        <v>0</v>
      </c>
      <c r="BG1540">
        <v>0</v>
      </c>
      <c r="BH1540">
        <v>1</v>
      </c>
      <c r="BI1540">
        <v>1</v>
      </c>
      <c r="BJ1540">
        <v>0.2</v>
      </c>
      <c r="BK1540">
        <v>1</v>
      </c>
      <c r="BL1540">
        <v>69.98</v>
      </c>
      <c r="BM1540">
        <v>10.5</v>
      </c>
      <c r="BN1540">
        <v>80.48</v>
      </c>
      <c r="BO1540">
        <v>80.48</v>
      </c>
      <c r="BQ1540" t="s">
        <v>564</v>
      </c>
      <c r="BR1540" t="s">
        <v>84</v>
      </c>
      <c r="BS1540" s="3">
        <v>45792</v>
      </c>
      <c r="BT1540" s="4">
        <v>0.37847222222222221</v>
      </c>
      <c r="BU1540" t="s">
        <v>2082</v>
      </c>
      <c r="BV1540" t="s">
        <v>86</v>
      </c>
      <c r="BY1540">
        <v>1200</v>
      </c>
      <c r="CA1540" t="s">
        <v>566</v>
      </c>
      <c r="CC1540" t="s">
        <v>91</v>
      </c>
      <c r="CD1540">
        <v>6001</v>
      </c>
      <c r="CE1540" t="s">
        <v>88</v>
      </c>
      <c r="CF1540" s="3">
        <v>45792</v>
      </c>
      <c r="CI1540">
        <v>1</v>
      </c>
      <c r="CJ1540">
        <v>1</v>
      </c>
      <c r="CK1540">
        <v>21</v>
      </c>
      <c r="CL1540" t="s">
        <v>89</v>
      </c>
    </row>
    <row r="1541" spans="1:90" x14ac:dyDescent="0.3">
      <c r="A1541" t="s">
        <v>72</v>
      </c>
      <c r="B1541" t="s">
        <v>73</v>
      </c>
      <c r="C1541" t="s">
        <v>74</v>
      </c>
      <c r="E1541" t="str">
        <f>"080065376389"</f>
        <v>080065376389</v>
      </c>
      <c r="F1541" s="3">
        <v>45791</v>
      </c>
      <c r="G1541">
        <v>202602</v>
      </c>
      <c r="H1541" t="s">
        <v>75</v>
      </c>
      <c r="I1541" t="s">
        <v>76</v>
      </c>
      <c r="J1541" t="s">
        <v>77</v>
      </c>
      <c r="K1541" t="s">
        <v>78</v>
      </c>
      <c r="L1541" t="s">
        <v>97</v>
      </c>
      <c r="M1541" t="s">
        <v>98</v>
      </c>
      <c r="N1541" t="s">
        <v>1859</v>
      </c>
      <c r="O1541" t="s">
        <v>82</v>
      </c>
      <c r="P1541" t="str">
        <f>"4170038371                    "</f>
        <v xml:space="preserve">4170038371                    </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18.7</v>
      </c>
      <c r="AR1541">
        <v>0</v>
      </c>
      <c r="AS1541">
        <v>0</v>
      </c>
      <c r="AT1541">
        <v>0</v>
      </c>
      <c r="AU1541">
        <v>0</v>
      </c>
      <c r="AV1541">
        <v>0</v>
      </c>
      <c r="AW1541">
        <v>0</v>
      </c>
      <c r="AX1541">
        <v>0</v>
      </c>
      <c r="AY1541">
        <v>0</v>
      </c>
      <c r="AZ1541">
        <v>0</v>
      </c>
      <c r="BA1541">
        <v>0</v>
      </c>
      <c r="BB1541">
        <v>0</v>
      </c>
      <c r="BC1541">
        <v>0</v>
      </c>
      <c r="BD1541">
        <v>0</v>
      </c>
      <c r="BE1541">
        <v>0</v>
      </c>
      <c r="BF1541">
        <v>0</v>
      </c>
      <c r="BG1541">
        <v>0</v>
      </c>
      <c r="BH1541">
        <v>1</v>
      </c>
      <c r="BI1541">
        <v>9</v>
      </c>
      <c r="BJ1541">
        <v>5</v>
      </c>
      <c r="BK1541">
        <v>9</v>
      </c>
      <c r="BL1541">
        <v>61.21</v>
      </c>
      <c r="BM1541">
        <v>9.18</v>
      </c>
      <c r="BN1541">
        <v>70.39</v>
      </c>
      <c r="BO1541">
        <v>70.39</v>
      </c>
      <c r="BQ1541" t="s">
        <v>1860</v>
      </c>
      <c r="BR1541" t="s">
        <v>84</v>
      </c>
      <c r="BS1541" s="3">
        <v>45792</v>
      </c>
      <c r="BT1541" s="4">
        <v>0.37083333333333335</v>
      </c>
      <c r="BU1541" t="s">
        <v>1654</v>
      </c>
      <c r="BV1541" t="s">
        <v>86</v>
      </c>
      <c r="BY1541">
        <v>24882</v>
      </c>
      <c r="CA1541" t="s">
        <v>175</v>
      </c>
      <c r="CC1541" t="s">
        <v>98</v>
      </c>
      <c r="CD1541">
        <v>1459</v>
      </c>
      <c r="CE1541" t="s">
        <v>96</v>
      </c>
      <c r="CF1541" s="3">
        <v>45793</v>
      </c>
      <c r="CI1541">
        <v>1</v>
      </c>
      <c r="CJ1541">
        <v>1</v>
      </c>
      <c r="CK1541">
        <v>22</v>
      </c>
      <c r="CL1541" t="s">
        <v>89</v>
      </c>
    </row>
    <row r="1542" spans="1:90" x14ac:dyDescent="0.3">
      <c r="A1542" t="s">
        <v>72</v>
      </c>
      <c r="B1542" t="s">
        <v>73</v>
      </c>
      <c r="C1542" t="s">
        <v>74</v>
      </c>
      <c r="E1542" t="str">
        <f>"080065376416"</f>
        <v>080065376416</v>
      </c>
      <c r="F1542" s="3">
        <v>45791</v>
      </c>
      <c r="G1542">
        <v>202602</v>
      </c>
      <c r="H1542" t="s">
        <v>75</v>
      </c>
      <c r="I1542" t="s">
        <v>76</v>
      </c>
      <c r="J1542" t="s">
        <v>77</v>
      </c>
      <c r="K1542" t="s">
        <v>78</v>
      </c>
      <c r="L1542" t="s">
        <v>123</v>
      </c>
      <c r="M1542" t="s">
        <v>123</v>
      </c>
      <c r="N1542" t="s">
        <v>766</v>
      </c>
      <c r="O1542" t="s">
        <v>82</v>
      </c>
      <c r="P1542" t="str">
        <f>"4170038381                    "</f>
        <v xml:space="preserve">4170038381                    </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c r="AJ1542">
        <v>0</v>
      </c>
      <c r="AK1542">
        <v>0</v>
      </c>
      <c r="AL1542">
        <v>0</v>
      </c>
      <c r="AM1542">
        <v>0</v>
      </c>
      <c r="AN1542">
        <v>0</v>
      </c>
      <c r="AO1542">
        <v>0</v>
      </c>
      <c r="AP1542">
        <v>0</v>
      </c>
      <c r="AQ1542">
        <v>134.97</v>
      </c>
      <c r="AR1542">
        <v>0</v>
      </c>
      <c r="AS1542">
        <v>0</v>
      </c>
      <c r="AT1542">
        <v>0</v>
      </c>
      <c r="AU1542">
        <v>0</v>
      </c>
      <c r="AV1542">
        <v>0</v>
      </c>
      <c r="AW1542">
        <v>0</v>
      </c>
      <c r="AX1542">
        <v>0</v>
      </c>
      <c r="AY1542">
        <v>0</v>
      </c>
      <c r="AZ1542">
        <v>0</v>
      </c>
      <c r="BA1542">
        <v>0</v>
      </c>
      <c r="BB1542">
        <v>0</v>
      </c>
      <c r="BC1542">
        <v>0</v>
      </c>
      <c r="BD1542">
        <v>0</v>
      </c>
      <c r="BE1542">
        <v>0</v>
      </c>
      <c r="BF1542">
        <v>0</v>
      </c>
      <c r="BG1542">
        <v>0</v>
      </c>
      <c r="BH1542">
        <v>1</v>
      </c>
      <c r="BI1542">
        <v>7</v>
      </c>
      <c r="BJ1542">
        <v>1.7</v>
      </c>
      <c r="BK1542">
        <v>7</v>
      </c>
      <c r="BL1542">
        <v>441.73</v>
      </c>
      <c r="BM1542">
        <v>66.260000000000005</v>
      </c>
      <c r="BN1542">
        <v>507.99</v>
      </c>
      <c r="BO1542">
        <v>507.99</v>
      </c>
      <c r="BQ1542" t="s">
        <v>767</v>
      </c>
      <c r="BR1542" t="s">
        <v>84</v>
      </c>
      <c r="BS1542" s="3">
        <v>45792</v>
      </c>
      <c r="BT1542" s="4">
        <v>0.40972222222222221</v>
      </c>
      <c r="BU1542" t="s">
        <v>768</v>
      </c>
      <c r="BV1542" t="s">
        <v>86</v>
      </c>
      <c r="BY1542">
        <v>8550</v>
      </c>
      <c r="CA1542" t="s">
        <v>2044</v>
      </c>
      <c r="CC1542" t="s">
        <v>123</v>
      </c>
      <c r="CD1542">
        <v>7646</v>
      </c>
      <c r="CE1542" t="s">
        <v>116</v>
      </c>
      <c r="CF1542" s="3">
        <v>45793</v>
      </c>
      <c r="CI1542">
        <v>1</v>
      </c>
      <c r="CJ1542">
        <v>1</v>
      </c>
      <c r="CK1542">
        <v>23</v>
      </c>
      <c r="CL1542" t="s">
        <v>89</v>
      </c>
    </row>
    <row r="1543" spans="1:90" x14ac:dyDescent="0.3">
      <c r="A1543" t="s">
        <v>72</v>
      </c>
      <c r="B1543" t="s">
        <v>73</v>
      </c>
      <c r="C1543" t="s">
        <v>74</v>
      </c>
      <c r="E1543" t="str">
        <f>"080065376428"</f>
        <v>080065376428</v>
      </c>
      <c r="F1543" s="3">
        <v>45791</v>
      </c>
      <c r="G1543">
        <v>202602</v>
      </c>
      <c r="H1543" t="s">
        <v>75</v>
      </c>
      <c r="I1543" t="s">
        <v>76</v>
      </c>
      <c r="J1543" t="s">
        <v>77</v>
      </c>
      <c r="K1543" t="s">
        <v>78</v>
      </c>
      <c r="L1543" t="s">
        <v>136</v>
      </c>
      <c r="M1543" t="s">
        <v>137</v>
      </c>
      <c r="N1543" t="s">
        <v>1656</v>
      </c>
      <c r="O1543" t="s">
        <v>300</v>
      </c>
      <c r="P1543" t="str">
        <f>"4170038433                    "</f>
        <v xml:space="preserve">4170038433                    </v>
      </c>
      <c r="Q1543">
        <v>0</v>
      </c>
      <c r="R1543">
        <v>0</v>
      </c>
      <c r="S1543">
        <v>0</v>
      </c>
      <c r="T1543">
        <v>0</v>
      </c>
      <c r="U1543">
        <v>0</v>
      </c>
      <c r="V1543">
        <v>0</v>
      </c>
      <c r="W1543">
        <v>0</v>
      </c>
      <c r="X1543">
        <v>0</v>
      </c>
      <c r="Y1543">
        <v>0</v>
      </c>
      <c r="Z1543">
        <v>0</v>
      </c>
      <c r="AA1543">
        <v>0</v>
      </c>
      <c r="AB1543">
        <v>0</v>
      </c>
      <c r="AC1543">
        <v>0</v>
      </c>
      <c r="AD1543">
        <v>0</v>
      </c>
      <c r="AE1543">
        <v>0</v>
      </c>
      <c r="AF1543">
        <v>0</v>
      </c>
      <c r="AG1543">
        <v>0</v>
      </c>
      <c r="AH1543">
        <v>0</v>
      </c>
      <c r="AI1543">
        <v>0</v>
      </c>
      <c r="AJ1543">
        <v>0</v>
      </c>
      <c r="AK1543">
        <v>0</v>
      </c>
      <c r="AL1543">
        <v>0</v>
      </c>
      <c r="AM1543">
        <v>0</v>
      </c>
      <c r="AN1543">
        <v>0</v>
      </c>
      <c r="AO1543">
        <v>0</v>
      </c>
      <c r="AP1543">
        <v>0</v>
      </c>
      <c r="AQ1543">
        <v>41.35</v>
      </c>
      <c r="AR1543">
        <v>0</v>
      </c>
      <c r="AS1543">
        <v>0</v>
      </c>
      <c r="AT1543">
        <v>0</v>
      </c>
      <c r="AU1543">
        <v>0</v>
      </c>
      <c r="AV1543">
        <v>0</v>
      </c>
      <c r="AW1543">
        <v>0</v>
      </c>
      <c r="AX1543">
        <v>0</v>
      </c>
      <c r="AY1543">
        <v>0</v>
      </c>
      <c r="AZ1543">
        <v>0</v>
      </c>
      <c r="BA1543">
        <v>0</v>
      </c>
      <c r="BB1543">
        <v>0</v>
      </c>
      <c r="BC1543">
        <v>0</v>
      </c>
      <c r="BD1543">
        <v>0</v>
      </c>
      <c r="BE1543">
        <v>0</v>
      </c>
      <c r="BF1543">
        <v>0</v>
      </c>
      <c r="BG1543">
        <v>0</v>
      </c>
      <c r="BH1543">
        <v>1</v>
      </c>
      <c r="BI1543">
        <v>11</v>
      </c>
      <c r="BJ1543">
        <v>8.9</v>
      </c>
      <c r="BK1543">
        <v>11</v>
      </c>
      <c r="BL1543">
        <v>140.9</v>
      </c>
      <c r="BM1543">
        <v>21.14</v>
      </c>
      <c r="BN1543">
        <v>162.04</v>
      </c>
      <c r="BO1543">
        <v>162.04</v>
      </c>
      <c r="BQ1543" t="s">
        <v>1657</v>
      </c>
      <c r="BR1543" t="s">
        <v>84</v>
      </c>
      <c r="BS1543" s="3">
        <v>45792</v>
      </c>
      <c r="BT1543" s="4">
        <v>0.39791666666666664</v>
      </c>
      <c r="BU1543" t="s">
        <v>2176</v>
      </c>
      <c r="BV1543" t="s">
        <v>86</v>
      </c>
      <c r="BY1543">
        <v>44640</v>
      </c>
      <c r="CA1543" t="s">
        <v>141</v>
      </c>
      <c r="CC1543" t="s">
        <v>137</v>
      </c>
      <c r="CD1543" s="5" t="s">
        <v>142</v>
      </c>
      <c r="CE1543" t="s">
        <v>96</v>
      </c>
      <c r="CF1543" s="3">
        <v>45792</v>
      </c>
      <c r="CI1543">
        <v>1</v>
      </c>
      <c r="CJ1543">
        <v>1</v>
      </c>
      <c r="CK1543">
        <v>41</v>
      </c>
      <c r="CL1543" t="s">
        <v>89</v>
      </c>
    </row>
    <row r="1544" spans="1:90" x14ac:dyDescent="0.3">
      <c r="A1544" t="s">
        <v>72</v>
      </c>
      <c r="B1544" t="s">
        <v>73</v>
      </c>
      <c r="C1544" t="s">
        <v>74</v>
      </c>
      <c r="E1544" t="str">
        <f>"080065376447"</f>
        <v>080065376447</v>
      </c>
      <c r="F1544" s="3">
        <v>45791</v>
      </c>
      <c r="G1544">
        <v>202602</v>
      </c>
      <c r="H1544" t="s">
        <v>75</v>
      </c>
      <c r="I1544" t="s">
        <v>76</v>
      </c>
      <c r="J1544" t="s">
        <v>77</v>
      </c>
      <c r="K1544" t="s">
        <v>78</v>
      </c>
      <c r="L1544" t="s">
        <v>90</v>
      </c>
      <c r="M1544" t="s">
        <v>91</v>
      </c>
      <c r="N1544" t="s">
        <v>2177</v>
      </c>
      <c r="O1544" t="s">
        <v>82</v>
      </c>
      <c r="P1544" t="str">
        <f>"4170038551                    "</f>
        <v xml:space="preserve">4170038551                    </v>
      </c>
      <c r="Q1544">
        <v>0</v>
      </c>
      <c r="R1544">
        <v>0</v>
      </c>
      <c r="S1544">
        <v>0</v>
      </c>
      <c r="T1544">
        <v>0</v>
      </c>
      <c r="U1544">
        <v>0</v>
      </c>
      <c r="V1544">
        <v>0</v>
      </c>
      <c r="W1544">
        <v>0</v>
      </c>
      <c r="X1544">
        <v>0</v>
      </c>
      <c r="Y1544">
        <v>0</v>
      </c>
      <c r="Z1544">
        <v>0</v>
      </c>
      <c r="AA1544">
        <v>0</v>
      </c>
      <c r="AB1544">
        <v>0</v>
      </c>
      <c r="AC1544">
        <v>0</v>
      </c>
      <c r="AD1544">
        <v>0</v>
      </c>
      <c r="AE1544">
        <v>0</v>
      </c>
      <c r="AF1544">
        <v>0</v>
      </c>
      <c r="AG1544">
        <v>0</v>
      </c>
      <c r="AH1544">
        <v>0</v>
      </c>
      <c r="AI1544">
        <v>0</v>
      </c>
      <c r="AJ1544">
        <v>0</v>
      </c>
      <c r="AK1544">
        <v>0</v>
      </c>
      <c r="AL1544">
        <v>0</v>
      </c>
      <c r="AM1544">
        <v>0</v>
      </c>
      <c r="AN1544">
        <v>0</v>
      </c>
      <c r="AO1544">
        <v>0</v>
      </c>
      <c r="AP1544">
        <v>0</v>
      </c>
      <c r="AQ1544">
        <v>32.07</v>
      </c>
      <c r="AR1544">
        <v>0</v>
      </c>
      <c r="AS1544">
        <v>0</v>
      </c>
      <c r="AT1544">
        <v>0</v>
      </c>
      <c r="AU1544">
        <v>0</v>
      </c>
      <c r="AV1544">
        <v>0</v>
      </c>
      <c r="AW1544">
        <v>0</v>
      </c>
      <c r="AX1544">
        <v>0</v>
      </c>
      <c r="AY1544">
        <v>0</v>
      </c>
      <c r="AZ1544">
        <v>0</v>
      </c>
      <c r="BA1544">
        <v>0</v>
      </c>
      <c r="BB1544">
        <v>0</v>
      </c>
      <c r="BC1544">
        <v>0</v>
      </c>
      <c r="BD1544">
        <v>0</v>
      </c>
      <c r="BE1544">
        <v>0</v>
      </c>
      <c r="BF1544">
        <v>0</v>
      </c>
      <c r="BG1544">
        <v>0</v>
      </c>
      <c r="BH1544">
        <v>1</v>
      </c>
      <c r="BI1544">
        <v>3</v>
      </c>
      <c r="BJ1544">
        <v>1.7</v>
      </c>
      <c r="BK1544">
        <v>3</v>
      </c>
      <c r="BL1544">
        <v>104.95</v>
      </c>
      <c r="BM1544">
        <v>15.74</v>
      </c>
      <c r="BN1544">
        <v>120.69</v>
      </c>
      <c r="BO1544">
        <v>120.69</v>
      </c>
      <c r="BQ1544" t="s">
        <v>2178</v>
      </c>
      <c r="BR1544" t="s">
        <v>84</v>
      </c>
      <c r="BS1544" s="3">
        <v>45792</v>
      </c>
      <c r="BT1544" s="4">
        <v>0.41666666666666669</v>
      </c>
      <c r="BU1544" t="s">
        <v>2179</v>
      </c>
      <c r="BV1544" t="s">
        <v>86</v>
      </c>
      <c r="BY1544">
        <v>8512</v>
      </c>
      <c r="CA1544" t="s">
        <v>2180</v>
      </c>
      <c r="CC1544" t="s">
        <v>91</v>
      </c>
      <c r="CD1544">
        <v>6001</v>
      </c>
      <c r="CE1544" t="s">
        <v>116</v>
      </c>
      <c r="CF1544" s="3">
        <v>45792</v>
      </c>
      <c r="CI1544">
        <v>1</v>
      </c>
      <c r="CJ1544">
        <v>1</v>
      </c>
      <c r="CK1544">
        <v>21</v>
      </c>
      <c r="CL1544" t="s">
        <v>89</v>
      </c>
    </row>
    <row r="1545" spans="1:90" x14ac:dyDescent="0.3">
      <c r="A1545" t="s">
        <v>72</v>
      </c>
      <c r="B1545" t="s">
        <v>73</v>
      </c>
      <c r="C1545" t="s">
        <v>74</v>
      </c>
      <c r="E1545" t="str">
        <f>"080065376462"</f>
        <v>080065376462</v>
      </c>
      <c r="F1545" s="3">
        <v>45791</v>
      </c>
      <c r="G1545">
        <v>202602</v>
      </c>
      <c r="H1545" t="s">
        <v>75</v>
      </c>
      <c r="I1545" t="s">
        <v>76</v>
      </c>
      <c r="J1545" t="s">
        <v>77</v>
      </c>
      <c r="K1545" t="s">
        <v>78</v>
      </c>
      <c r="L1545" t="s">
        <v>130</v>
      </c>
      <c r="M1545" t="s">
        <v>131</v>
      </c>
      <c r="N1545" t="s">
        <v>2181</v>
      </c>
      <c r="O1545" t="s">
        <v>82</v>
      </c>
      <c r="P1545" t="str">
        <f>"4170038581                    "</f>
        <v xml:space="preserve">4170038581                    </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c r="AI1545">
        <v>0</v>
      </c>
      <c r="AJ1545">
        <v>0</v>
      </c>
      <c r="AK1545">
        <v>0</v>
      </c>
      <c r="AL1545">
        <v>0</v>
      </c>
      <c r="AM1545">
        <v>0</v>
      </c>
      <c r="AN1545">
        <v>0</v>
      </c>
      <c r="AO1545">
        <v>0</v>
      </c>
      <c r="AP1545">
        <v>0</v>
      </c>
      <c r="AQ1545">
        <v>21.38</v>
      </c>
      <c r="AR1545">
        <v>0</v>
      </c>
      <c r="AS1545">
        <v>0</v>
      </c>
      <c r="AT1545">
        <v>0</v>
      </c>
      <c r="AU1545">
        <v>0</v>
      </c>
      <c r="AV1545">
        <v>0</v>
      </c>
      <c r="AW1545">
        <v>0</v>
      </c>
      <c r="AX1545">
        <v>0</v>
      </c>
      <c r="AY1545">
        <v>0</v>
      </c>
      <c r="AZ1545">
        <v>0</v>
      </c>
      <c r="BA1545">
        <v>0</v>
      </c>
      <c r="BB1545">
        <v>0</v>
      </c>
      <c r="BC1545">
        <v>0</v>
      </c>
      <c r="BD1545">
        <v>0</v>
      </c>
      <c r="BE1545">
        <v>0</v>
      </c>
      <c r="BF1545">
        <v>0</v>
      </c>
      <c r="BG1545">
        <v>0</v>
      </c>
      <c r="BH1545">
        <v>1</v>
      </c>
      <c r="BI1545">
        <v>1</v>
      </c>
      <c r="BJ1545">
        <v>0.2</v>
      </c>
      <c r="BK1545">
        <v>1</v>
      </c>
      <c r="BL1545">
        <v>69.98</v>
      </c>
      <c r="BM1545">
        <v>10.5</v>
      </c>
      <c r="BN1545">
        <v>80.48</v>
      </c>
      <c r="BO1545">
        <v>80.48</v>
      </c>
      <c r="BQ1545" t="s">
        <v>2182</v>
      </c>
      <c r="BR1545" t="s">
        <v>84</v>
      </c>
      <c r="BS1545" s="3">
        <v>45796</v>
      </c>
      <c r="BT1545" s="4">
        <v>0.44444444444444442</v>
      </c>
      <c r="BU1545" t="s">
        <v>1642</v>
      </c>
      <c r="BV1545" t="s">
        <v>89</v>
      </c>
      <c r="BW1545" t="s">
        <v>2183</v>
      </c>
      <c r="BX1545" t="s">
        <v>1393</v>
      </c>
      <c r="BY1545">
        <v>1200</v>
      </c>
      <c r="CA1545" t="s">
        <v>1643</v>
      </c>
      <c r="CC1545" t="s">
        <v>131</v>
      </c>
      <c r="CD1545">
        <v>7441</v>
      </c>
      <c r="CE1545" t="s">
        <v>88</v>
      </c>
      <c r="CI1545">
        <v>1</v>
      </c>
      <c r="CJ1545">
        <v>3</v>
      </c>
      <c r="CK1545">
        <v>21</v>
      </c>
      <c r="CL1545" t="s">
        <v>89</v>
      </c>
    </row>
    <row r="1546" spans="1:90" x14ac:dyDescent="0.3">
      <c r="A1546" t="s">
        <v>72</v>
      </c>
      <c r="B1546" t="s">
        <v>73</v>
      </c>
      <c r="C1546" t="s">
        <v>74</v>
      </c>
      <c r="E1546" t="str">
        <f>"080065376474"</f>
        <v>080065376474</v>
      </c>
      <c r="F1546" s="3">
        <v>45791</v>
      </c>
      <c r="G1546">
        <v>202602</v>
      </c>
      <c r="H1546" t="s">
        <v>75</v>
      </c>
      <c r="I1546" t="s">
        <v>76</v>
      </c>
      <c r="J1546" t="s">
        <v>77</v>
      </c>
      <c r="K1546" t="s">
        <v>78</v>
      </c>
      <c r="L1546" t="s">
        <v>648</v>
      </c>
      <c r="M1546" t="s">
        <v>649</v>
      </c>
      <c r="N1546" t="s">
        <v>1702</v>
      </c>
      <c r="O1546" t="s">
        <v>82</v>
      </c>
      <c r="P1546" t="str">
        <f>"4170038578                    "</f>
        <v xml:space="preserve">4170038578                    </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0</v>
      </c>
      <c r="AL1546">
        <v>0</v>
      </c>
      <c r="AM1546">
        <v>0</v>
      </c>
      <c r="AN1546">
        <v>0</v>
      </c>
      <c r="AO1546">
        <v>0</v>
      </c>
      <c r="AP1546">
        <v>0</v>
      </c>
      <c r="AQ1546">
        <v>16.7</v>
      </c>
      <c r="AR1546">
        <v>0</v>
      </c>
      <c r="AS1546">
        <v>0</v>
      </c>
      <c r="AT1546">
        <v>0</v>
      </c>
      <c r="AU1546">
        <v>0</v>
      </c>
      <c r="AV1546">
        <v>0</v>
      </c>
      <c r="AW1546">
        <v>0</v>
      </c>
      <c r="AX1546">
        <v>0</v>
      </c>
      <c r="AY1546">
        <v>0</v>
      </c>
      <c r="AZ1546">
        <v>0</v>
      </c>
      <c r="BA1546">
        <v>0</v>
      </c>
      <c r="BB1546">
        <v>0</v>
      </c>
      <c r="BC1546">
        <v>0</v>
      </c>
      <c r="BD1546">
        <v>0</v>
      </c>
      <c r="BE1546">
        <v>0</v>
      </c>
      <c r="BF1546">
        <v>0</v>
      </c>
      <c r="BG1546">
        <v>0</v>
      </c>
      <c r="BH1546">
        <v>1</v>
      </c>
      <c r="BI1546">
        <v>1</v>
      </c>
      <c r="BJ1546">
        <v>0.2</v>
      </c>
      <c r="BK1546">
        <v>1</v>
      </c>
      <c r="BL1546">
        <v>54.66</v>
      </c>
      <c r="BM1546">
        <v>8.1999999999999993</v>
      </c>
      <c r="BN1546">
        <v>62.86</v>
      </c>
      <c r="BO1546">
        <v>62.86</v>
      </c>
      <c r="BQ1546" t="s">
        <v>1703</v>
      </c>
      <c r="BR1546" t="s">
        <v>84</v>
      </c>
      <c r="BS1546" s="3">
        <v>45792</v>
      </c>
      <c r="BT1546" s="4">
        <v>0.41666666666666669</v>
      </c>
      <c r="BU1546" t="s">
        <v>2184</v>
      </c>
      <c r="BV1546" t="s">
        <v>86</v>
      </c>
      <c r="BY1546">
        <v>1200</v>
      </c>
      <c r="CA1546" t="s">
        <v>698</v>
      </c>
      <c r="CC1546" t="s">
        <v>649</v>
      </c>
      <c r="CD1546">
        <v>1559</v>
      </c>
      <c r="CE1546" t="s">
        <v>88</v>
      </c>
      <c r="CF1546" s="3">
        <v>45792</v>
      </c>
      <c r="CI1546">
        <v>1</v>
      </c>
      <c r="CJ1546">
        <v>1</v>
      </c>
      <c r="CK1546">
        <v>22</v>
      </c>
      <c r="CL1546" t="s">
        <v>89</v>
      </c>
    </row>
    <row r="1547" spans="1:90" x14ac:dyDescent="0.3">
      <c r="A1547" t="s">
        <v>72</v>
      </c>
      <c r="B1547" t="s">
        <v>73</v>
      </c>
      <c r="C1547" t="s">
        <v>74</v>
      </c>
      <c r="E1547" t="str">
        <f>"080065376480"</f>
        <v>080065376480</v>
      </c>
      <c r="F1547" s="3">
        <v>45791</v>
      </c>
      <c r="G1547">
        <v>202602</v>
      </c>
      <c r="H1547" t="s">
        <v>75</v>
      </c>
      <c r="I1547" t="s">
        <v>76</v>
      </c>
      <c r="J1547" t="s">
        <v>77</v>
      </c>
      <c r="K1547" t="s">
        <v>78</v>
      </c>
      <c r="L1547" t="s">
        <v>350</v>
      </c>
      <c r="M1547" t="s">
        <v>351</v>
      </c>
      <c r="N1547" t="s">
        <v>678</v>
      </c>
      <c r="O1547" t="s">
        <v>82</v>
      </c>
      <c r="P1547" t="str">
        <f>"4170038566                    "</f>
        <v xml:space="preserve">4170038566                    </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c r="AJ1547">
        <v>0</v>
      </c>
      <c r="AK1547">
        <v>0</v>
      </c>
      <c r="AL1547">
        <v>0</v>
      </c>
      <c r="AM1547">
        <v>0</v>
      </c>
      <c r="AN1547">
        <v>0</v>
      </c>
      <c r="AO1547">
        <v>0</v>
      </c>
      <c r="AP1547">
        <v>0</v>
      </c>
      <c r="AQ1547">
        <v>21.38</v>
      </c>
      <c r="AR1547">
        <v>0</v>
      </c>
      <c r="AS1547">
        <v>0</v>
      </c>
      <c r="AT1547">
        <v>0</v>
      </c>
      <c r="AU1547">
        <v>0</v>
      </c>
      <c r="AV1547">
        <v>0</v>
      </c>
      <c r="AW1547">
        <v>0</v>
      </c>
      <c r="AX1547">
        <v>0</v>
      </c>
      <c r="AY1547">
        <v>0</v>
      </c>
      <c r="AZ1547">
        <v>0</v>
      </c>
      <c r="BA1547">
        <v>0</v>
      </c>
      <c r="BB1547">
        <v>0</v>
      </c>
      <c r="BC1547">
        <v>0</v>
      </c>
      <c r="BD1547">
        <v>0</v>
      </c>
      <c r="BE1547">
        <v>0</v>
      </c>
      <c r="BF1547">
        <v>0</v>
      </c>
      <c r="BG1547">
        <v>0</v>
      </c>
      <c r="BH1547">
        <v>1</v>
      </c>
      <c r="BI1547">
        <v>1</v>
      </c>
      <c r="BJ1547">
        <v>0.2</v>
      </c>
      <c r="BK1547">
        <v>1</v>
      </c>
      <c r="BL1547">
        <v>69.98</v>
      </c>
      <c r="BM1547">
        <v>10.5</v>
      </c>
      <c r="BN1547">
        <v>80.48</v>
      </c>
      <c r="BO1547">
        <v>80.48</v>
      </c>
      <c r="BQ1547" t="s">
        <v>679</v>
      </c>
      <c r="BR1547" t="s">
        <v>84</v>
      </c>
      <c r="BS1547" s="3">
        <v>45792</v>
      </c>
      <c r="BT1547" s="4">
        <v>0.52222222222222225</v>
      </c>
      <c r="BU1547" t="s">
        <v>1828</v>
      </c>
      <c r="BV1547" t="s">
        <v>89</v>
      </c>
      <c r="BY1547">
        <v>1200</v>
      </c>
      <c r="CA1547" t="s">
        <v>326</v>
      </c>
      <c r="CC1547" t="s">
        <v>351</v>
      </c>
      <c r="CD1547">
        <v>4052</v>
      </c>
      <c r="CE1547" t="s">
        <v>88</v>
      </c>
      <c r="CF1547" s="3">
        <v>45793</v>
      </c>
      <c r="CI1547">
        <v>1</v>
      </c>
      <c r="CJ1547">
        <v>1</v>
      </c>
      <c r="CK1547">
        <v>21</v>
      </c>
      <c r="CL1547" t="s">
        <v>89</v>
      </c>
    </row>
    <row r="1548" spans="1:90" x14ac:dyDescent="0.3">
      <c r="A1548" t="s">
        <v>72</v>
      </c>
      <c r="B1548" t="s">
        <v>73</v>
      </c>
      <c r="C1548" t="s">
        <v>74</v>
      </c>
      <c r="E1548" t="str">
        <f>"080065376491"</f>
        <v>080065376491</v>
      </c>
      <c r="F1548" s="3">
        <v>45791</v>
      </c>
      <c r="G1548">
        <v>202602</v>
      </c>
      <c r="H1548" t="s">
        <v>75</v>
      </c>
      <c r="I1548" t="s">
        <v>76</v>
      </c>
      <c r="J1548" t="s">
        <v>77</v>
      </c>
      <c r="K1548" t="s">
        <v>78</v>
      </c>
      <c r="L1548" t="s">
        <v>130</v>
      </c>
      <c r="M1548" t="s">
        <v>131</v>
      </c>
      <c r="N1548" t="s">
        <v>343</v>
      </c>
      <c r="O1548" t="s">
        <v>82</v>
      </c>
      <c r="P1548" t="str">
        <f>"4170038538                    "</f>
        <v xml:space="preserve">4170038538                    </v>
      </c>
      <c r="Q1548">
        <v>0</v>
      </c>
      <c r="R1548">
        <v>0</v>
      </c>
      <c r="S1548">
        <v>0</v>
      </c>
      <c r="T1548">
        <v>0</v>
      </c>
      <c r="U1548">
        <v>0</v>
      </c>
      <c r="V1548">
        <v>0</v>
      </c>
      <c r="W1548">
        <v>0</v>
      </c>
      <c r="X1548">
        <v>0</v>
      </c>
      <c r="Y1548">
        <v>0</v>
      </c>
      <c r="Z1548">
        <v>0</v>
      </c>
      <c r="AA1548">
        <v>0</v>
      </c>
      <c r="AB1548">
        <v>0</v>
      </c>
      <c r="AC1548">
        <v>0</v>
      </c>
      <c r="AD1548">
        <v>0</v>
      </c>
      <c r="AE1548">
        <v>0</v>
      </c>
      <c r="AF1548">
        <v>0</v>
      </c>
      <c r="AG1548">
        <v>0</v>
      </c>
      <c r="AH1548">
        <v>0</v>
      </c>
      <c r="AI1548">
        <v>0</v>
      </c>
      <c r="AJ1548">
        <v>0</v>
      </c>
      <c r="AK1548">
        <v>0</v>
      </c>
      <c r="AL1548">
        <v>0</v>
      </c>
      <c r="AM1548">
        <v>0</v>
      </c>
      <c r="AN1548">
        <v>0</v>
      </c>
      <c r="AO1548">
        <v>0</v>
      </c>
      <c r="AP1548">
        <v>0</v>
      </c>
      <c r="AQ1548">
        <v>21.38</v>
      </c>
      <c r="AR1548">
        <v>0</v>
      </c>
      <c r="AS1548">
        <v>0</v>
      </c>
      <c r="AT1548">
        <v>0</v>
      </c>
      <c r="AU1548">
        <v>0</v>
      </c>
      <c r="AV1548">
        <v>0</v>
      </c>
      <c r="AW1548">
        <v>0</v>
      </c>
      <c r="AX1548">
        <v>0</v>
      </c>
      <c r="AY1548">
        <v>0</v>
      </c>
      <c r="AZ1548">
        <v>0</v>
      </c>
      <c r="BA1548">
        <v>0</v>
      </c>
      <c r="BB1548">
        <v>0</v>
      </c>
      <c r="BC1548">
        <v>0</v>
      </c>
      <c r="BD1548">
        <v>0</v>
      </c>
      <c r="BE1548">
        <v>0</v>
      </c>
      <c r="BF1548">
        <v>0</v>
      </c>
      <c r="BG1548">
        <v>0</v>
      </c>
      <c r="BH1548">
        <v>1</v>
      </c>
      <c r="BI1548">
        <v>1</v>
      </c>
      <c r="BJ1548">
        <v>0.2</v>
      </c>
      <c r="BK1548">
        <v>1</v>
      </c>
      <c r="BL1548">
        <v>69.98</v>
      </c>
      <c r="BM1548">
        <v>10.5</v>
      </c>
      <c r="BN1548">
        <v>80.48</v>
      </c>
      <c r="BO1548">
        <v>80.48</v>
      </c>
      <c r="BQ1548" t="s">
        <v>344</v>
      </c>
      <c r="BR1548" t="s">
        <v>84</v>
      </c>
      <c r="BS1548" s="3">
        <v>45792</v>
      </c>
      <c r="BT1548" s="4">
        <v>0.3923611111111111</v>
      </c>
      <c r="BU1548" t="s">
        <v>345</v>
      </c>
      <c r="BV1548" t="s">
        <v>86</v>
      </c>
      <c r="BY1548">
        <v>1200</v>
      </c>
      <c r="CA1548" t="s">
        <v>242</v>
      </c>
      <c r="CC1548" t="s">
        <v>131</v>
      </c>
      <c r="CD1548">
        <v>7441</v>
      </c>
      <c r="CE1548" t="s">
        <v>88</v>
      </c>
      <c r="CF1548" s="3">
        <v>45793</v>
      </c>
      <c r="CI1548">
        <v>1</v>
      </c>
      <c r="CJ1548">
        <v>1</v>
      </c>
      <c r="CK1548">
        <v>21</v>
      </c>
      <c r="CL1548" t="s">
        <v>89</v>
      </c>
    </row>
    <row r="1549" spans="1:90" x14ac:dyDescent="0.3">
      <c r="A1549" t="s">
        <v>72</v>
      </c>
      <c r="B1549" t="s">
        <v>73</v>
      </c>
      <c r="C1549" t="s">
        <v>74</v>
      </c>
      <c r="E1549" t="str">
        <f>"080065376492"</f>
        <v>080065376492</v>
      </c>
      <c r="F1549" s="3">
        <v>45791</v>
      </c>
      <c r="G1549">
        <v>202602</v>
      </c>
      <c r="H1549" t="s">
        <v>75</v>
      </c>
      <c r="I1549" t="s">
        <v>76</v>
      </c>
      <c r="J1549" t="s">
        <v>77</v>
      </c>
      <c r="K1549" t="s">
        <v>78</v>
      </c>
      <c r="L1549" t="s">
        <v>266</v>
      </c>
      <c r="M1549" t="s">
        <v>267</v>
      </c>
      <c r="N1549" t="s">
        <v>1750</v>
      </c>
      <c r="O1549" t="s">
        <v>82</v>
      </c>
      <c r="P1549" t="str">
        <f>"4170038576                    "</f>
        <v xml:space="preserve">4170038576                    </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0</v>
      </c>
      <c r="AJ1549">
        <v>0</v>
      </c>
      <c r="AK1549">
        <v>0</v>
      </c>
      <c r="AL1549">
        <v>0</v>
      </c>
      <c r="AM1549">
        <v>0</v>
      </c>
      <c r="AN1549">
        <v>0</v>
      </c>
      <c r="AO1549">
        <v>0</v>
      </c>
      <c r="AP1549">
        <v>0</v>
      </c>
      <c r="AQ1549">
        <v>21.38</v>
      </c>
      <c r="AR1549">
        <v>0</v>
      </c>
      <c r="AS1549">
        <v>0</v>
      </c>
      <c r="AT1549">
        <v>0</v>
      </c>
      <c r="AU1549">
        <v>0</v>
      </c>
      <c r="AV1549">
        <v>0</v>
      </c>
      <c r="AW1549">
        <v>0</v>
      </c>
      <c r="AX1549">
        <v>0</v>
      </c>
      <c r="AY1549">
        <v>0</v>
      </c>
      <c r="AZ1549">
        <v>0</v>
      </c>
      <c r="BA1549">
        <v>0</v>
      </c>
      <c r="BB1549">
        <v>0</v>
      </c>
      <c r="BC1549">
        <v>0</v>
      </c>
      <c r="BD1549">
        <v>0</v>
      </c>
      <c r="BE1549">
        <v>0</v>
      </c>
      <c r="BF1549">
        <v>0</v>
      </c>
      <c r="BG1549">
        <v>0</v>
      </c>
      <c r="BH1549">
        <v>1</v>
      </c>
      <c r="BI1549">
        <v>1</v>
      </c>
      <c r="BJ1549">
        <v>0.2</v>
      </c>
      <c r="BK1549">
        <v>1</v>
      </c>
      <c r="BL1549">
        <v>69.98</v>
      </c>
      <c r="BM1549">
        <v>10.5</v>
      </c>
      <c r="BN1549">
        <v>80.48</v>
      </c>
      <c r="BO1549">
        <v>80.48</v>
      </c>
      <c r="BQ1549" t="s">
        <v>1751</v>
      </c>
      <c r="BR1549" t="s">
        <v>84</v>
      </c>
      <c r="BS1549" s="3">
        <v>45792</v>
      </c>
      <c r="BT1549" s="4">
        <v>0.44791666666666669</v>
      </c>
      <c r="BU1549" t="s">
        <v>2185</v>
      </c>
      <c r="BV1549" t="s">
        <v>89</v>
      </c>
      <c r="BY1549">
        <v>1200</v>
      </c>
      <c r="CA1549" t="s">
        <v>271</v>
      </c>
      <c r="CC1549" t="s">
        <v>267</v>
      </c>
      <c r="CD1549">
        <v>6220</v>
      </c>
      <c r="CE1549" t="s">
        <v>88</v>
      </c>
      <c r="CF1549" s="3">
        <v>45792</v>
      </c>
      <c r="CI1549">
        <v>1</v>
      </c>
      <c r="CJ1549">
        <v>1</v>
      </c>
      <c r="CK1549">
        <v>21</v>
      </c>
      <c r="CL1549" t="s">
        <v>89</v>
      </c>
    </row>
    <row r="1550" spans="1:90" x14ac:dyDescent="0.3">
      <c r="A1550" t="s">
        <v>72</v>
      </c>
      <c r="B1550" t="s">
        <v>73</v>
      </c>
      <c r="C1550" t="s">
        <v>74</v>
      </c>
      <c r="E1550" t="str">
        <f>"080065376501"</f>
        <v>080065376501</v>
      </c>
      <c r="F1550" s="3">
        <v>45791</v>
      </c>
      <c r="G1550">
        <v>202602</v>
      </c>
      <c r="H1550" t="s">
        <v>75</v>
      </c>
      <c r="I1550" t="s">
        <v>76</v>
      </c>
      <c r="J1550" t="s">
        <v>77</v>
      </c>
      <c r="K1550" t="s">
        <v>78</v>
      </c>
      <c r="L1550" t="s">
        <v>90</v>
      </c>
      <c r="M1550" t="s">
        <v>91</v>
      </c>
      <c r="N1550" t="s">
        <v>563</v>
      </c>
      <c r="O1550" t="s">
        <v>82</v>
      </c>
      <c r="P1550" t="str">
        <f>"4170038536                    "</f>
        <v xml:space="preserve">4170038536                    </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0</v>
      </c>
      <c r="AJ1550">
        <v>0</v>
      </c>
      <c r="AK1550">
        <v>0</v>
      </c>
      <c r="AL1550">
        <v>0</v>
      </c>
      <c r="AM1550">
        <v>0</v>
      </c>
      <c r="AN1550">
        <v>0</v>
      </c>
      <c r="AO1550">
        <v>0</v>
      </c>
      <c r="AP1550">
        <v>0</v>
      </c>
      <c r="AQ1550">
        <v>21.38</v>
      </c>
      <c r="AR1550">
        <v>0</v>
      </c>
      <c r="AS1550">
        <v>0</v>
      </c>
      <c r="AT1550">
        <v>0</v>
      </c>
      <c r="AU1550">
        <v>0</v>
      </c>
      <c r="AV1550">
        <v>0</v>
      </c>
      <c r="AW1550">
        <v>0</v>
      </c>
      <c r="AX1550">
        <v>0</v>
      </c>
      <c r="AY1550">
        <v>0</v>
      </c>
      <c r="AZ1550">
        <v>0</v>
      </c>
      <c r="BA1550">
        <v>0</v>
      </c>
      <c r="BB1550">
        <v>0</v>
      </c>
      <c r="BC1550">
        <v>0</v>
      </c>
      <c r="BD1550">
        <v>0</v>
      </c>
      <c r="BE1550">
        <v>0</v>
      </c>
      <c r="BF1550">
        <v>0</v>
      </c>
      <c r="BG1550">
        <v>0</v>
      </c>
      <c r="BH1550">
        <v>1</v>
      </c>
      <c r="BI1550">
        <v>1</v>
      </c>
      <c r="BJ1550">
        <v>0.2</v>
      </c>
      <c r="BK1550">
        <v>1</v>
      </c>
      <c r="BL1550">
        <v>69.98</v>
      </c>
      <c r="BM1550">
        <v>10.5</v>
      </c>
      <c r="BN1550">
        <v>80.48</v>
      </c>
      <c r="BO1550">
        <v>80.48</v>
      </c>
      <c r="BQ1550" t="s">
        <v>564</v>
      </c>
      <c r="BR1550" t="s">
        <v>84</v>
      </c>
      <c r="BS1550" s="3">
        <v>45792</v>
      </c>
      <c r="BT1550" s="4">
        <v>0.37847222222222221</v>
      </c>
      <c r="BU1550" t="s">
        <v>2082</v>
      </c>
      <c r="BV1550" t="s">
        <v>86</v>
      </c>
      <c r="BY1550">
        <v>1200</v>
      </c>
      <c r="CA1550" t="s">
        <v>566</v>
      </c>
      <c r="CC1550" t="s">
        <v>91</v>
      </c>
      <c r="CD1550">
        <v>6001</v>
      </c>
      <c r="CE1550" t="s">
        <v>88</v>
      </c>
      <c r="CF1550" s="3">
        <v>45792</v>
      </c>
      <c r="CI1550">
        <v>1</v>
      </c>
      <c r="CJ1550">
        <v>1</v>
      </c>
      <c r="CK1550">
        <v>21</v>
      </c>
      <c r="CL1550" t="s">
        <v>89</v>
      </c>
    </row>
    <row r="1551" spans="1:90" x14ac:dyDescent="0.3">
      <c r="A1551" t="s">
        <v>72</v>
      </c>
      <c r="B1551" t="s">
        <v>73</v>
      </c>
      <c r="C1551" t="s">
        <v>74</v>
      </c>
      <c r="E1551" t="str">
        <f>"080065376509"</f>
        <v>080065376509</v>
      </c>
      <c r="F1551" s="3">
        <v>45791</v>
      </c>
      <c r="G1551">
        <v>202602</v>
      </c>
      <c r="H1551" t="s">
        <v>75</v>
      </c>
      <c r="I1551" t="s">
        <v>76</v>
      </c>
      <c r="J1551" t="s">
        <v>77</v>
      </c>
      <c r="K1551" t="s">
        <v>78</v>
      </c>
      <c r="L1551" t="s">
        <v>90</v>
      </c>
      <c r="M1551" t="s">
        <v>91</v>
      </c>
      <c r="N1551" t="s">
        <v>841</v>
      </c>
      <c r="O1551" t="s">
        <v>82</v>
      </c>
      <c r="P1551" t="str">
        <f>"4170038525                    "</f>
        <v xml:space="preserve">4170038525                    </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0</v>
      </c>
      <c r="AJ1551">
        <v>0</v>
      </c>
      <c r="AK1551">
        <v>0</v>
      </c>
      <c r="AL1551">
        <v>0</v>
      </c>
      <c r="AM1551">
        <v>0</v>
      </c>
      <c r="AN1551">
        <v>0</v>
      </c>
      <c r="AO1551">
        <v>0</v>
      </c>
      <c r="AP1551">
        <v>0</v>
      </c>
      <c r="AQ1551">
        <v>21.38</v>
      </c>
      <c r="AR1551">
        <v>0</v>
      </c>
      <c r="AS1551">
        <v>0</v>
      </c>
      <c r="AT1551">
        <v>0</v>
      </c>
      <c r="AU1551">
        <v>0</v>
      </c>
      <c r="AV1551">
        <v>0</v>
      </c>
      <c r="AW1551">
        <v>0</v>
      </c>
      <c r="AX1551">
        <v>0</v>
      </c>
      <c r="AY1551">
        <v>0</v>
      </c>
      <c r="AZ1551">
        <v>0</v>
      </c>
      <c r="BA1551">
        <v>0</v>
      </c>
      <c r="BB1551">
        <v>0</v>
      </c>
      <c r="BC1551">
        <v>0</v>
      </c>
      <c r="BD1551">
        <v>0</v>
      </c>
      <c r="BE1551">
        <v>0</v>
      </c>
      <c r="BF1551">
        <v>0</v>
      </c>
      <c r="BG1551">
        <v>0</v>
      </c>
      <c r="BH1551">
        <v>1</v>
      </c>
      <c r="BI1551">
        <v>1</v>
      </c>
      <c r="BJ1551">
        <v>0.2</v>
      </c>
      <c r="BK1551">
        <v>1</v>
      </c>
      <c r="BL1551">
        <v>69.98</v>
      </c>
      <c r="BM1551">
        <v>10.5</v>
      </c>
      <c r="BN1551">
        <v>80.48</v>
      </c>
      <c r="BO1551">
        <v>80.48</v>
      </c>
      <c r="BQ1551" t="s">
        <v>842</v>
      </c>
      <c r="BR1551" t="s">
        <v>84</v>
      </c>
      <c r="BS1551" s="3">
        <v>45792</v>
      </c>
      <c r="BT1551" s="4">
        <v>0.42708333333333331</v>
      </c>
      <c r="BU1551" t="s">
        <v>1231</v>
      </c>
      <c r="BV1551" t="s">
        <v>86</v>
      </c>
      <c r="BY1551">
        <v>1200</v>
      </c>
      <c r="BZ1551" t="s">
        <v>127</v>
      </c>
      <c r="CA1551" t="s">
        <v>298</v>
      </c>
      <c r="CC1551" t="s">
        <v>91</v>
      </c>
      <c r="CD1551">
        <v>6001</v>
      </c>
      <c r="CE1551" t="s">
        <v>2186</v>
      </c>
      <c r="CF1551" s="3">
        <v>45792</v>
      </c>
      <c r="CI1551">
        <v>1</v>
      </c>
      <c r="CJ1551">
        <v>1</v>
      </c>
      <c r="CK1551">
        <v>21</v>
      </c>
      <c r="CL1551" t="s">
        <v>89</v>
      </c>
    </row>
    <row r="1552" spans="1:90" x14ac:dyDescent="0.3">
      <c r="A1552" t="s">
        <v>72</v>
      </c>
      <c r="B1552" t="s">
        <v>73</v>
      </c>
      <c r="C1552" t="s">
        <v>74</v>
      </c>
      <c r="E1552" t="str">
        <f>"080065376515"</f>
        <v>080065376515</v>
      </c>
      <c r="F1552" s="3">
        <v>45791</v>
      </c>
      <c r="G1552">
        <v>202602</v>
      </c>
      <c r="H1552" t="s">
        <v>75</v>
      </c>
      <c r="I1552" t="s">
        <v>76</v>
      </c>
      <c r="J1552" t="s">
        <v>77</v>
      </c>
      <c r="K1552" t="s">
        <v>78</v>
      </c>
      <c r="L1552" t="s">
        <v>215</v>
      </c>
      <c r="M1552" t="s">
        <v>216</v>
      </c>
      <c r="N1552" t="s">
        <v>1184</v>
      </c>
      <c r="O1552" t="s">
        <v>82</v>
      </c>
      <c r="P1552" t="str">
        <f>"4170038508                    "</f>
        <v xml:space="preserve">4170038508                    </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c r="AI1552">
        <v>0</v>
      </c>
      <c r="AJ1552">
        <v>0</v>
      </c>
      <c r="AK1552">
        <v>0</v>
      </c>
      <c r="AL1552">
        <v>0</v>
      </c>
      <c r="AM1552">
        <v>0</v>
      </c>
      <c r="AN1552">
        <v>0</v>
      </c>
      <c r="AO1552">
        <v>0</v>
      </c>
      <c r="AP1552">
        <v>0</v>
      </c>
      <c r="AQ1552">
        <v>41.43</v>
      </c>
      <c r="AR1552">
        <v>0</v>
      </c>
      <c r="AS1552">
        <v>0</v>
      </c>
      <c r="AT1552">
        <v>0</v>
      </c>
      <c r="AU1552">
        <v>0</v>
      </c>
      <c r="AV1552">
        <v>0</v>
      </c>
      <c r="AW1552">
        <v>0</v>
      </c>
      <c r="AX1552">
        <v>0</v>
      </c>
      <c r="AY1552">
        <v>0</v>
      </c>
      <c r="AZ1552">
        <v>0</v>
      </c>
      <c r="BA1552">
        <v>0</v>
      </c>
      <c r="BB1552">
        <v>0</v>
      </c>
      <c r="BC1552">
        <v>0</v>
      </c>
      <c r="BD1552">
        <v>0</v>
      </c>
      <c r="BE1552">
        <v>0</v>
      </c>
      <c r="BF1552">
        <v>0</v>
      </c>
      <c r="BG1552">
        <v>0</v>
      </c>
      <c r="BH1552">
        <v>1</v>
      </c>
      <c r="BI1552">
        <v>1</v>
      </c>
      <c r="BJ1552">
        <v>0.2</v>
      </c>
      <c r="BK1552">
        <v>1</v>
      </c>
      <c r="BL1552">
        <v>135.59</v>
      </c>
      <c r="BM1552">
        <v>20.34</v>
      </c>
      <c r="BN1552">
        <v>155.93</v>
      </c>
      <c r="BO1552">
        <v>155.93</v>
      </c>
      <c r="BQ1552" t="s">
        <v>218</v>
      </c>
      <c r="BR1552" t="s">
        <v>84</v>
      </c>
      <c r="BS1552" s="3">
        <v>45792</v>
      </c>
      <c r="BT1552" s="4">
        <v>0.65</v>
      </c>
      <c r="BU1552" t="s">
        <v>219</v>
      </c>
      <c r="BV1552" t="s">
        <v>86</v>
      </c>
      <c r="BY1552">
        <v>1200</v>
      </c>
      <c r="BZ1552" t="s">
        <v>127</v>
      </c>
      <c r="CA1552" t="s">
        <v>220</v>
      </c>
      <c r="CC1552" t="s">
        <v>216</v>
      </c>
      <c r="CD1552">
        <v>4449</v>
      </c>
      <c r="CE1552" t="s">
        <v>129</v>
      </c>
      <c r="CF1552" s="3">
        <v>45793</v>
      </c>
      <c r="CI1552">
        <v>1</v>
      </c>
      <c r="CJ1552">
        <v>1</v>
      </c>
      <c r="CK1552">
        <v>23</v>
      </c>
      <c r="CL1552" t="s">
        <v>89</v>
      </c>
    </row>
    <row r="1553" spans="1:90" x14ac:dyDescent="0.3">
      <c r="A1553" t="s">
        <v>72</v>
      </c>
      <c r="B1553" t="s">
        <v>73</v>
      </c>
      <c r="C1553" t="s">
        <v>74</v>
      </c>
      <c r="E1553" t="str">
        <f>"080065376520"</f>
        <v>080065376520</v>
      </c>
      <c r="F1553" s="3">
        <v>45791</v>
      </c>
      <c r="G1553">
        <v>202602</v>
      </c>
      <c r="H1553" t="s">
        <v>75</v>
      </c>
      <c r="I1553" t="s">
        <v>76</v>
      </c>
      <c r="J1553" t="s">
        <v>77</v>
      </c>
      <c r="K1553" t="s">
        <v>78</v>
      </c>
      <c r="L1553" t="s">
        <v>136</v>
      </c>
      <c r="M1553" t="s">
        <v>137</v>
      </c>
      <c r="N1553" t="s">
        <v>1235</v>
      </c>
      <c r="O1553" t="s">
        <v>82</v>
      </c>
      <c r="P1553" t="str">
        <f>"4170038513                    "</f>
        <v xml:space="preserve">4170038513                    </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0</v>
      </c>
      <c r="AJ1553">
        <v>0</v>
      </c>
      <c r="AK1553">
        <v>0</v>
      </c>
      <c r="AL1553">
        <v>0</v>
      </c>
      <c r="AM1553">
        <v>0</v>
      </c>
      <c r="AN1553">
        <v>0</v>
      </c>
      <c r="AO1553">
        <v>0</v>
      </c>
      <c r="AP1553">
        <v>0</v>
      </c>
      <c r="AQ1553">
        <v>21.38</v>
      </c>
      <c r="AR1553">
        <v>0</v>
      </c>
      <c r="AS1553">
        <v>0</v>
      </c>
      <c r="AT1553">
        <v>0</v>
      </c>
      <c r="AU1553">
        <v>0</v>
      </c>
      <c r="AV1553">
        <v>0</v>
      </c>
      <c r="AW1553">
        <v>0</v>
      </c>
      <c r="AX1553">
        <v>0</v>
      </c>
      <c r="AY1553">
        <v>0</v>
      </c>
      <c r="AZ1553">
        <v>0</v>
      </c>
      <c r="BA1553">
        <v>0</v>
      </c>
      <c r="BB1553">
        <v>0</v>
      </c>
      <c r="BC1553">
        <v>0</v>
      </c>
      <c r="BD1553">
        <v>0</v>
      </c>
      <c r="BE1553">
        <v>0</v>
      </c>
      <c r="BF1553">
        <v>0</v>
      </c>
      <c r="BG1553">
        <v>0</v>
      </c>
      <c r="BH1553">
        <v>1</v>
      </c>
      <c r="BI1553">
        <v>1</v>
      </c>
      <c r="BJ1553">
        <v>0.2</v>
      </c>
      <c r="BK1553">
        <v>1</v>
      </c>
      <c r="BL1553">
        <v>69.98</v>
      </c>
      <c r="BM1553">
        <v>10.5</v>
      </c>
      <c r="BN1553">
        <v>80.48</v>
      </c>
      <c r="BO1553">
        <v>80.48</v>
      </c>
      <c r="BQ1553" t="s">
        <v>1236</v>
      </c>
      <c r="BR1553" t="s">
        <v>84</v>
      </c>
      <c r="BS1553" s="3">
        <v>45792</v>
      </c>
      <c r="BT1553" s="4">
        <v>0.36458333333333331</v>
      </c>
      <c r="BU1553" t="s">
        <v>1237</v>
      </c>
      <c r="BV1553" t="s">
        <v>86</v>
      </c>
      <c r="BY1553">
        <v>1200</v>
      </c>
      <c r="BZ1553" t="s">
        <v>127</v>
      </c>
      <c r="CA1553" t="s">
        <v>1238</v>
      </c>
      <c r="CC1553" t="s">
        <v>137</v>
      </c>
      <c r="CD1553" s="5" t="s">
        <v>1239</v>
      </c>
      <c r="CE1553" t="s">
        <v>129</v>
      </c>
      <c r="CF1553" s="3">
        <v>45792</v>
      </c>
      <c r="CI1553">
        <v>1</v>
      </c>
      <c r="CJ1553">
        <v>1</v>
      </c>
      <c r="CK1553">
        <v>21</v>
      </c>
      <c r="CL1553" t="s">
        <v>89</v>
      </c>
    </row>
    <row r="1554" spans="1:90" x14ac:dyDescent="0.3">
      <c r="A1554" t="s">
        <v>72</v>
      </c>
      <c r="B1554" t="s">
        <v>73</v>
      </c>
      <c r="C1554" t="s">
        <v>74</v>
      </c>
      <c r="E1554" t="str">
        <f>"080065376530"</f>
        <v>080065376530</v>
      </c>
      <c r="F1554" s="3">
        <v>45791</v>
      </c>
      <c r="G1554">
        <v>202602</v>
      </c>
      <c r="H1554" t="s">
        <v>75</v>
      </c>
      <c r="I1554" t="s">
        <v>76</v>
      </c>
      <c r="J1554" t="s">
        <v>77</v>
      </c>
      <c r="K1554" t="s">
        <v>78</v>
      </c>
      <c r="L1554" t="s">
        <v>374</v>
      </c>
      <c r="M1554" t="s">
        <v>375</v>
      </c>
      <c r="N1554" t="s">
        <v>376</v>
      </c>
      <c r="O1554" t="s">
        <v>82</v>
      </c>
      <c r="P1554" t="str">
        <f>"4170038526                    "</f>
        <v xml:space="preserve">4170038526                    </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0</v>
      </c>
      <c r="AJ1554">
        <v>0</v>
      </c>
      <c r="AK1554">
        <v>0</v>
      </c>
      <c r="AL1554">
        <v>0</v>
      </c>
      <c r="AM1554">
        <v>0</v>
      </c>
      <c r="AN1554">
        <v>0</v>
      </c>
      <c r="AO1554">
        <v>0</v>
      </c>
      <c r="AP1554">
        <v>0</v>
      </c>
      <c r="AQ1554">
        <v>228.52</v>
      </c>
      <c r="AR1554">
        <v>0</v>
      </c>
      <c r="AS1554">
        <v>0</v>
      </c>
      <c r="AT1554">
        <v>0</v>
      </c>
      <c r="AU1554">
        <v>0</v>
      </c>
      <c r="AV1554">
        <v>0</v>
      </c>
      <c r="AW1554">
        <v>0</v>
      </c>
      <c r="AX1554">
        <v>0</v>
      </c>
      <c r="AY1554">
        <v>0</v>
      </c>
      <c r="AZ1554">
        <v>0</v>
      </c>
      <c r="BA1554">
        <v>0</v>
      </c>
      <c r="BB1554">
        <v>0</v>
      </c>
      <c r="BC1554">
        <v>0</v>
      </c>
      <c r="BD1554">
        <v>0</v>
      </c>
      <c r="BE1554">
        <v>0</v>
      </c>
      <c r="BF1554">
        <v>0</v>
      </c>
      <c r="BG1554">
        <v>0</v>
      </c>
      <c r="BH1554">
        <v>1</v>
      </c>
      <c r="BI1554">
        <v>12</v>
      </c>
      <c r="BJ1554">
        <v>4.0999999999999996</v>
      </c>
      <c r="BK1554">
        <v>12</v>
      </c>
      <c r="BL1554">
        <v>747.88</v>
      </c>
      <c r="BM1554">
        <v>112.18</v>
      </c>
      <c r="BN1554">
        <v>860.06</v>
      </c>
      <c r="BO1554">
        <v>860.06</v>
      </c>
      <c r="BQ1554" t="s">
        <v>377</v>
      </c>
      <c r="BR1554" t="s">
        <v>84</v>
      </c>
      <c r="BS1554" s="3">
        <v>45792</v>
      </c>
      <c r="BT1554" s="4">
        <v>0.4</v>
      </c>
      <c r="BU1554" t="s">
        <v>378</v>
      </c>
      <c r="BV1554" t="s">
        <v>86</v>
      </c>
      <c r="BY1554">
        <v>20358</v>
      </c>
      <c r="BZ1554" t="s">
        <v>127</v>
      </c>
      <c r="CA1554" t="s">
        <v>379</v>
      </c>
      <c r="CC1554" t="s">
        <v>375</v>
      </c>
      <c r="CD1554">
        <v>7130</v>
      </c>
      <c r="CE1554" t="s">
        <v>419</v>
      </c>
      <c r="CF1554" s="3">
        <v>45793</v>
      </c>
      <c r="CI1554">
        <v>1</v>
      </c>
      <c r="CJ1554">
        <v>1</v>
      </c>
      <c r="CK1554">
        <v>23</v>
      </c>
      <c r="CL1554" t="s">
        <v>89</v>
      </c>
    </row>
    <row r="1555" spans="1:90" x14ac:dyDescent="0.3">
      <c r="A1555" t="s">
        <v>72</v>
      </c>
      <c r="B1555" t="s">
        <v>73</v>
      </c>
      <c r="C1555" t="s">
        <v>74</v>
      </c>
      <c r="E1555" t="str">
        <f>"080065376543"</f>
        <v>080065376543</v>
      </c>
      <c r="F1555" s="3">
        <v>45791</v>
      </c>
      <c r="G1555">
        <v>202602</v>
      </c>
      <c r="H1555" t="s">
        <v>75</v>
      </c>
      <c r="I1555" t="s">
        <v>76</v>
      </c>
      <c r="J1555" t="s">
        <v>77</v>
      </c>
      <c r="K1555" t="s">
        <v>78</v>
      </c>
      <c r="L1555" t="s">
        <v>79</v>
      </c>
      <c r="M1555" t="s">
        <v>80</v>
      </c>
      <c r="N1555" t="s">
        <v>790</v>
      </c>
      <c r="O1555" t="s">
        <v>602</v>
      </c>
      <c r="P1555" t="str">
        <f>"4170038568                    "</f>
        <v xml:space="preserve">4170038568                    </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0</v>
      </c>
      <c r="AJ1555">
        <v>0</v>
      </c>
      <c r="AK1555">
        <v>0</v>
      </c>
      <c r="AL1555">
        <v>0</v>
      </c>
      <c r="AM1555">
        <v>0</v>
      </c>
      <c r="AN1555">
        <v>0</v>
      </c>
      <c r="AO1555">
        <v>0</v>
      </c>
      <c r="AP1555">
        <v>0</v>
      </c>
      <c r="AQ1555">
        <v>40.1</v>
      </c>
      <c r="AR1555">
        <v>0</v>
      </c>
      <c r="AS1555">
        <v>0</v>
      </c>
      <c r="AT1555">
        <v>0</v>
      </c>
      <c r="AU1555">
        <v>0</v>
      </c>
      <c r="AV1555">
        <v>0</v>
      </c>
      <c r="AW1555">
        <v>0</v>
      </c>
      <c r="AX1555">
        <v>0</v>
      </c>
      <c r="AY1555">
        <v>0</v>
      </c>
      <c r="AZ1555">
        <v>0</v>
      </c>
      <c r="BA1555">
        <v>0</v>
      </c>
      <c r="BB1555">
        <v>0</v>
      </c>
      <c r="BC1555">
        <v>0</v>
      </c>
      <c r="BD1555">
        <v>0</v>
      </c>
      <c r="BE1555">
        <v>0</v>
      </c>
      <c r="BF1555">
        <v>0</v>
      </c>
      <c r="BG1555">
        <v>0</v>
      </c>
      <c r="BH1555">
        <v>1</v>
      </c>
      <c r="BI1555">
        <v>1</v>
      </c>
      <c r="BJ1555">
        <v>0.2</v>
      </c>
      <c r="BK1555">
        <v>1</v>
      </c>
      <c r="BL1555">
        <v>131.22999999999999</v>
      </c>
      <c r="BM1555">
        <v>19.68</v>
      </c>
      <c r="BN1555">
        <v>150.91</v>
      </c>
      <c r="BO1555">
        <v>150.91</v>
      </c>
      <c r="BQ1555" t="s">
        <v>791</v>
      </c>
      <c r="BR1555" t="s">
        <v>84</v>
      </c>
      <c r="BS1555" s="3">
        <v>45792</v>
      </c>
      <c r="BT1555" s="4">
        <v>0.43055555555555558</v>
      </c>
      <c r="BU1555" t="s">
        <v>792</v>
      </c>
      <c r="BV1555" t="s">
        <v>86</v>
      </c>
      <c r="BY1555">
        <v>1200</v>
      </c>
      <c r="CA1555" t="s">
        <v>87</v>
      </c>
      <c r="CC1555" t="s">
        <v>80</v>
      </c>
      <c r="CD1555">
        <v>3600</v>
      </c>
      <c r="CE1555" t="s">
        <v>1193</v>
      </c>
      <c r="CF1555" s="3">
        <v>45793</v>
      </c>
      <c r="CI1555">
        <v>1</v>
      </c>
      <c r="CJ1555">
        <v>1</v>
      </c>
      <c r="CK1555">
        <v>31</v>
      </c>
      <c r="CL1555" t="s">
        <v>89</v>
      </c>
    </row>
    <row r="1556" spans="1:90" x14ac:dyDescent="0.3">
      <c r="A1556" t="s">
        <v>72</v>
      </c>
      <c r="B1556" t="s">
        <v>73</v>
      </c>
      <c r="C1556" t="s">
        <v>74</v>
      </c>
      <c r="E1556" t="str">
        <f>"080065376550"</f>
        <v>080065376550</v>
      </c>
      <c r="F1556" s="3">
        <v>45791</v>
      </c>
      <c r="G1556">
        <v>202602</v>
      </c>
      <c r="H1556" t="s">
        <v>75</v>
      </c>
      <c r="I1556" t="s">
        <v>76</v>
      </c>
      <c r="J1556" t="s">
        <v>77</v>
      </c>
      <c r="K1556" t="s">
        <v>78</v>
      </c>
      <c r="L1556" t="s">
        <v>1002</v>
      </c>
      <c r="M1556" t="s">
        <v>1003</v>
      </c>
      <c r="N1556" t="s">
        <v>1004</v>
      </c>
      <c r="O1556" t="s">
        <v>82</v>
      </c>
      <c r="P1556" t="str">
        <f>"4170038530                    "</f>
        <v xml:space="preserve">4170038530                    </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0</v>
      </c>
      <c r="AJ1556">
        <v>0</v>
      </c>
      <c r="AK1556">
        <v>0</v>
      </c>
      <c r="AL1556">
        <v>0</v>
      </c>
      <c r="AM1556">
        <v>0</v>
      </c>
      <c r="AN1556">
        <v>0</v>
      </c>
      <c r="AO1556">
        <v>0</v>
      </c>
      <c r="AP1556">
        <v>0</v>
      </c>
      <c r="AQ1556">
        <v>41.43</v>
      </c>
      <c r="AR1556">
        <v>0</v>
      </c>
      <c r="AS1556">
        <v>0</v>
      </c>
      <c r="AT1556">
        <v>0</v>
      </c>
      <c r="AU1556">
        <v>0</v>
      </c>
      <c r="AV1556">
        <v>0</v>
      </c>
      <c r="AW1556">
        <v>0</v>
      </c>
      <c r="AX1556">
        <v>0</v>
      </c>
      <c r="AY1556">
        <v>0</v>
      </c>
      <c r="AZ1556">
        <v>0</v>
      </c>
      <c r="BA1556">
        <v>0</v>
      </c>
      <c r="BB1556">
        <v>0</v>
      </c>
      <c r="BC1556">
        <v>0</v>
      </c>
      <c r="BD1556">
        <v>0</v>
      </c>
      <c r="BE1556">
        <v>0</v>
      </c>
      <c r="BF1556">
        <v>0</v>
      </c>
      <c r="BG1556">
        <v>0</v>
      </c>
      <c r="BH1556">
        <v>1</v>
      </c>
      <c r="BI1556">
        <v>1</v>
      </c>
      <c r="BJ1556">
        <v>0.9</v>
      </c>
      <c r="BK1556">
        <v>1</v>
      </c>
      <c r="BL1556">
        <v>135.59</v>
      </c>
      <c r="BM1556">
        <v>20.34</v>
      </c>
      <c r="BN1556">
        <v>155.93</v>
      </c>
      <c r="BO1556">
        <v>155.93</v>
      </c>
      <c r="BQ1556" t="s">
        <v>1005</v>
      </c>
      <c r="BR1556" t="s">
        <v>84</v>
      </c>
      <c r="BS1556" s="3">
        <v>45792</v>
      </c>
      <c r="BT1556" s="4">
        <v>0.47916666666666669</v>
      </c>
      <c r="BU1556" t="s">
        <v>319</v>
      </c>
      <c r="BV1556" t="s">
        <v>86</v>
      </c>
      <c r="BY1556">
        <v>4275</v>
      </c>
      <c r="CA1556" t="s">
        <v>2187</v>
      </c>
      <c r="CC1556" t="s">
        <v>1003</v>
      </c>
      <c r="CD1556">
        <v>5257</v>
      </c>
      <c r="CE1556" t="s">
        <v>96</v>
      </c>
      <c r="CF1556" s="3">
        <v>45792</v>
      </c>
      <c r="CI1556">
        <v>1</v>
      </c>
      <c r="CJ1556">
        <v>1</v>
      </c>
      <c r="CK1556">
        <v>23</v>
      </c>
      <c r="CL1556" t="s">
        <v>89</v>
      </c>
    </row>
    <row r="1557" spans="1:90" x14ac:dyDescent="0.3">
      <c r="A1557" t="s">
        <v>72</v>
      </c>
      <c r="B1557" t="s">
        <v>73</v>
      </c>
      <c r="C1557" t="s">
        <v>74</v>
      </c>
      <c r="E1557" t="str">
        <f>"080065376568"</f>
        <v>080065376568</v>
      </c>
      <c r="F1557" s="3">
        <v>45791</v>
      </c>
      <c r="G1557">
        <v>202602</v>
      </c>
      <c r="H1557" t="s">
        <v>75</v>
      </c>
      <c r="I1557" t="s">
        <v>76</v>
      </c>
      <c r="J1557" t="s">
        <v>77</v>
      </c>
      <c r="K1557" t="s">
        <v>78</v>
      </c>
      <c r="L1557" t="s">
        <v>320</v>
      </c>
      <c r="M1557" t="s">
        <v>321</v>
      </c>
      <c r="N1557" t="s">
        <v>2188</v>
      </c>
      <c r="O1557" t="s">
        <v>82</v>
      </c>
      <c r="P1557" t="str">
        <f>"4170038567                    "</f>
        <v xml:space="preserve">4170038567                    </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0</v>
      </c>
      <c r="AL1557">
        <v>0</v>
      </c>
      <c r="AM1557">
        <v>0</v>
      </c>
      <c r="AN1557">
        <v>0</v>
      </c>
      <c r="AO1557">
        <v>0</v>
      </c>
      <c r="AP1557">
        <v>0</v>
      </c>
      <c r="AQ1557">
        <v>21.38</v>
      </c>
      <c r="AR1557">
        <v>0</v>
      </c>
      <c r="AS1557">
        <v>0</v>
      </c>
      <c r="AT1557">
        <v>0</v>
      </c>
      <c r="AU1557">
        <v>0</v>
      </c>
      <c r="AV1557">
        <v>0</v>
      </c>
      <c r="AW1557">
        <v>16.739999999999998</v>
      </c>
      <c r="AX1557">
        <v>0</v>
      </c>
      <c r="AY1557">
        <v>0</v>
      </c>
      <c r="AZ1557">
        <v>0</v>
      </c>
      <c r="BA1557">
        <v>0</v>
      </c>
      <c r="BB1557">
        <v>0</v>
      </c>
      <c r="BC1557">
        <v>0</v>
      </c>
      <c r="BD1557">
        <v>0</v>
      </c>
      <c r="BE1557">
        <v>0</v>
      </c>
      <c r="BF1557">
        <v>0</v>
      </c>
      <c r="BG1557">
        <v>0</v>
      </c>
      <c r="BH1557">
        <v>1</v>
      </c>
      <c r="BI1557">
        <v>2</v>
      </c>
      <c r="BJ1557">
        <v>2</v>
      </c>
      <c r="BK1557">
        <v>2</v>
      </c>
      <c r="BL1557">
        <v>86.72</v>
      </c>
      <c r="BM1557">
        <v>13.01</v>
      </c>
      <c r="BN1557">
        <v>99.73</v>
      </c>
      <c r="BO1557">
        <v>99.73</v>
      </c>
      <c r="BQ1557" t="s">
        <v>2189</v>
      </c>
      <c r="BR1557" t="s">
        <v>84</v>
      </c>
      <c r="BS1557" s="3">
        <v>45792</v>
      </c>
      <c r="BT1557" s="4">
        <v>0.63680555555555551</v>
      </c>
      <c r="BU1557" t="s">
        <v>2190</v>
      </c>
      <c r="BV1557" t="s">
        <v>89</v>
      </c>
      <c r="BY1557">
        <v>9918</v>
      </c>
      <c r="BZ1557" t="s">
        <v>30</v>
      </c>
      <c r="CA1557" t="s">
        <v>326</v>
      </c>
      <c r="CC1557" t="s">
        <v>321</v>
      </c>
      <c r="CD1557">
        <v>4133</v>
      </c>
      <c r="CE1557" t="s">
        <v>96</v>
      </c>
      <c r="CF1557" s="3">
        <v>45797</v>
      </c>
      <c r="CI1557">
        <v>1</v>
      </c>
      <c r="CJ1557">
        <v>1</v>
      </c>
      <c r="CK1557">
        <v>21</v>
      </c>
      <c r="CL1557" t="s">
        <v>89</v>
      </c>
    </row>
    <row r="1558" spans="1:90" x14ac:dyDescent="0.3">
      <c r="A1558" t="s">
        <v>72</v>
      </c>
      <c r="B1558" t="s">
        <v>73</v>
      </c>
      <c r="C1558" t="s">
        <v>74</v>
      </c>
      <c r="E1558" t="str">
        <f>"080065376609"</f>
        <v>080065376609</v>
      </c>
      <c r="F1558" s="3">
        <v>45791</v>
      </c>
      <c r="G1558">
        <v>202602</v>
      </c>
      <c r="H1558" t="s">
        <v>75</v>
      </c>
      <c r="I1558" t="s">
        <v>76</v>
      </c>
      <c r="J1558" t="s">
        <v>77</v>
      </c>
      <c r="K1558" t="s">
        <v>78</v>
      </c>
      <c r="L1558" t="s">
        <v>103</v>
      </c>
      <c r="M1558" t="s">
        <v>104</v>
      </c>
      <c r="N1558" t="s">
        <v>105</v>
      </c>
      <c r="O1558" t="s">
        <v>300</v>
      </c>
      <c r="P1558" t="str">
        <f>"4170038558                    "</f>
        <v xml:space="preserve">4170038558                    </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0</v>
      </c>
      <c r="AJ1558">
        <v>0</v>
      </c>
      <c r="AK1558">
        <v>0</v>
      </c>
      <c r="AL1558">
        <v>0</v>
      </c>
      <c r="AM1558">
        <v>0</v>
      </c>
      <c r="AN1558">
        <v>0</v>
      </c>
      <c r="AO1558">
        <v>0</v>
      </c>
      <c r="AP1558">
        <v>0</v>
      </c>
      <c r="AQ1558">
        <v>78.91</v>
      </c>
      <c r="AR1558">
        <v>0</v>
      </c>
      <c r="AS1558">
        <v>0</v>
      </c>
      <c r="AT1558">
        <v>0</v>
      </c>
      <c r="AU1558">
        <v>0</v>
      </c>
      <c r="AV1558">
        <v>0</v>
      </c>
      <c r="AW1558">
        <v>0</v>
      </c>
      <c r="AX1558">
        <v>0</v>
      </c>
      <c r="AY1558">
        <v>0</v>
      </c>
      <c r="AZ1558">
        <v>0</v>
      </c>
      <c r="BA1558">
        <v>0</v>
      </c>
      <c r="BB1558">
        <v>0</v>
      </c>
      <c r="BC1558">
        <v>0</v>
      </c>
      <c r="BD1558">
        <v>0</v>
      </c>
      <c r="BE1558">
        <v>0</v>
      </c>
      <c r="BF1558">
        <v>0</v>
      </c>
      <c r="BG1558">
        <v>0</v>
      </c>
      <c r="BH1558">
        <v>2</v>
      </c>
      <c r="BI1558">
        <v>17</v>
      </c>
      <c r="BJ1558">
        <v>36.5</v>
      </c>
      <c r="BK1558">
        <v>37</v>
      </c>
      <c r="BL1558">
        <v>263.82</v>
      </c>
      <c r="BM1558">
        <v>39.57</v>
      </c>
      <c r="BN1558">
        <v>303.39</v>
      </c>
      <c r="BO1558">
        <v>303.39</v>
      </c>
      <c r="BQ1558" t="s">
        <v>106</v>
      </c>
      <c r="BR1558" t="s">
        <v>84</v>
      </c>
      <c r="BS1558" s="3">
        <v>45792</v>
      </c>
      <c r="BT1558" s="4">
        <v>0.52013888888888893</v>
      </c>
      <c r="BU1558" t="s">
        <v>107</v>
      </c>
      <c r="BV1558" t="s">
        <v>86</v>
      </c>
      <c r="BY1558">
        <v>182528</v>
      </c>
      <c r="CA1558" t="s">
        <v>108</v>
      </c>
      <c r="CC1558" t="s">
        <v>104</v>
      </c>
      <c r="CD1558">
        <v>3201</v>
      </c>
      <c r="CE1558" t="s">
        <v>96</v>
      </c>
      <c r="CF1558" s="3">
        <v>45793</v>
      </c>
      <c r="CI1558">
        <v>2</v>
      </c>
      <c r="CJ1558">
        <v>1</v>
      </c>
      <c r="CK1558">
        <v>41</v>
      </c>
      <c r="CL1558" t="s">
        <v>89</v>
      </c>
    </row>
    <row r="1559" spans="1:90" x14ac:dyDescent="0.3">
      <c r="A1559" t="s">
        <v>72</v>
      </c>
      <c r="B1559" t="s">
        <v>73</v>
      </c>
      <c r="C1559" t="s">
        <v>74</v>
      </c>
      <c r="E1559" t="str">
        <f>"080065376923"</f>
        <v>080065376923</v>
      </c>
      <c r="F1559" s="3">
        <v>45791</v>
      </c>
      <c r="G1559">
        <v>202602</v>
      </c>
      <c r="H1559" t="s">
        <v>75</v>
      </c>
      <c r="I1559" t="s">
        <v>76</v>
      </c>
      <c r="J1559" t="s">
        <v>77</v>
      </c>
      <c r="K1559" t="s">
        <v>78</v>
      </c>
      <c r="L1559" t="s">
        <v>350</v>
      </c>
      <c r="M1559" t="s">
        <v>351</v>
      </c>
      <c r="N1559" t="s">
        <v>404</v>
      </c>
      <c r="O1559" t="s">
        <v>82</v>
      </c>
      <c r="P1559" t="str">
        <f>"4170038457                    "</f>
        <v xml:space="preserve">4170038457                    </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c r="AJ1559">
        <v>0</v>
      </c>
      <c r="AK1559">
        <v>0</v>
      </c>
      <c r="AL1559">
        <v>0</v>
      </c>
      <c r="AM1559">
        <v>0</v>
      </c>
      <c r="AN1559">
        <v>0</v>
      </c>
      <c r="AO1559">
        <v>0</v>
      </c>
      <c r="AP1559">
        <v>0</v>
      </c>
      <c r="AQ1559">
        <v>149.58000000000001</v>
      </c>
      <c r="AR1559">
        <v>0</v>
      </c>
      <c r="AS1559">
        <v>0</v>
      </c>
      <c r="AT1559">
        <v>0</v>
      </c>
      <c r="AU1559">
        <v>0</v>
      </c>
      <c r="AV1559">
        <v>0</v>
      </c>
      <c r="AW1559">
        <v>0</v>
      </c>
      <c r="AX1559">
        <v>0</v>
      </c>
      <c r="AY1559">
        <v>0</v>
      </c>
      <c r="AZ1559">
        <v>0</v>
      </c>
      <c r="BA1559">
        <v>0</v>
      </c>
      <c r="BB1559">
        <v>0</v>
      </c>
      <c r="BC1559">
        <v>0</v>
      </c>
      <c r="BD1559">
        <v>0</v>
      </c>
      <c r="BE1559">
        <v>0</v>
      </c>
      <c r="BF1559">
        <v>0</v>
      </c>
      <c r="BG1559">
        <v>0</v>
      </c>
      <c r="BH1559">
        <v>1</v>
      </c>
      <c r="BI1559">
        <v>14</v>
      </c>
      <c r="BJ1559">
        <v>8.9</v>
      </c>
      <c r="BK1559">
        <v>14</v>
      </c>
      <c r="BL1559">
        <v>489.54</v>
      </c>
      <c r="BM1559">
        <v>73.430000000000007</v>
      </c>
      <c r="BN1559">
        <v>562.97</v>
      </c>
      <c r="BO1559">
        <v>562.97</v>
      </c>
      <c r="BQ1559" t="s">
        <v>405</v>
      </c>
      <c r="BR1559" t="s">
        <v>84</v>
      </c>
      <c r="BS1559" s="3">
        <v>45792</v>
      </c>
      <c r="BT1559" s="4">
        <v>0.52013888888888893</v>
      </c>
      <c r="BU1559" t="s">
        <v>1479</v>
      </c>
      <c r="BV1559" t="s">
        <v>89</v>
      </c>
      <c r="BY1559">
        <v>44640</v>
      </c>
      <c r="CA1559" t="s">
        <v>326</v>
      </c>
      <c r="CC1559" t="s">
        <v>351</v>
      </c>
      <c r="CD1559">
        <v>4052</v>
      </c>
      <c r="CE1559" t="s">
        <v>96</v>
      </c>
      <c r="CF1559" s="3">
        <v>45793</v>
      </c>
      <c r="CI1559">
        <v>1</v>
      </c>
      <c r="CJ1559">
        <v>1</v>
      </c>
      <c r="CK1559">
        <v>21</v>
      </c>
      <c r="CL1559" t="s">
        <v>89</v>
      </c>
    </row>
    <row r="1560" spans="1:90" x14ac:dyDescent="0.3">
      <c r="A1560" t="s">
        <v>72</v>
      </c>
      <c r="B1560" t="s">
        <v>73</v>
      </c>
      <c r="C1560" t="s">
        <v>74</v>
      </c>
      <c r="E1560" t="str">
        <f>"080065376945"</f>
        <v>080065376945</v>
      </c>
      <c r="F1560" s="3">
        <v>45791</v>
      </c>
      <c r="G1560">
        <v>202602</v>
      </c>
      <c r="H1560" t="s">
        <v>75</v>
      </c>
      <c r="I1560" t="s">
        <v>76</v>
      </c>
      <c r="J1560" t="s">
        <v>77</v>
      </c>
      <c r="K1560" t="s">
        <v>78</v>
      </c>
      <c r="L1560" t="s">
        <v>90</v>
      </c>
      <c r="M1560" t="s">
        <v>91</v>
      </c>
      <c r="N1560" t="s">
        <v>563</v>
      </c>
      <c r="O1560" t="s">
        <v>82</v>
      </c>
      <c r="P1560" t="str">
        <f>"4170038572                    "</f>
        <v xml:space="preserve">4170038572                    </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0</v>
      </c>
      <c r="AK1560">
        <v>0</v>
      </c>
      <c r="AL1560">
        <v>0</v>
      </c>
      <c r="AM1560">
        <v>0</v>
      </c>
      <c r="AN1560">
        <v>0</v>
      </c>
      <c r="AO1560">
        <v>0</v>
      </c>
      <c r="AP1560">
        <v>0</v>
      </c>
      <c r="AQ1560">
        <v>37.409999999999997</v>
      </c>
      <c r="AR1560">
        <v>0</v>
      </c>
      <c r="AS1560">
        <v>0</v>
      </c>
      <c r="AT1560">
        <v>0</v>
      </c>
      <c r="AU1560">
        <v>0</v>
      </c>
      <c r="AV1560">
        <v>0</v>
      </c>
      <c r="AW1560">
        <v>0</v>
      </c>
      <c r="AX1560">
        <v>0</v>
      </c>
      <c r="AY1560">
        <v>0</v>
      </c>
      <c r="AZ1560">
        <v>0</v>
      </c>
      <c r="BA1560">
        <v>0</v>
      </c>
      <c r="BB1560">
        <v>0</v>
      </c>
      <c r="BC1560">
        <v>0</v>
      </c>
      <c r="BD1560">
        <v>0</v>
      </c>
      <c r="BE1560">
        <v>0</v>
      </c>
      <c r="BF1560">
        <v>0</v>
      </c>
      <c r="BG1560">
        <v>0</v>
      </c>
      <c r="BH1560">
        <v>1</v>
      </c>
      <c r="BI1560">
        <v>3</v>
      </c>
      <c r="BJ1560">
        <v>3.4</v>
      </c>
      <c r="BK1560">
        <v>3.5</v>
      </c>
      <c r="BL1560">
        <v>122.43</v>
      </c>
      <c r="BM1560">
        <v>18.36</v>
      </c>
      <c r="BN1560">
        <v>140.79</v>
      </c>
      <c r="BO1560">
        <v>140.79</v>
      </c>
      <c r="BQ1560" t="s">
        <v>564</v>
      </c>
      <c r="BR1560" t="s">
        <v>84</v>
      </c>
      <c r="BS1560" s="3">
        <v>45792</v>
      </c>
      <c r="BT1560" s="4">
        <v>0.37847222222222221</v>
      </c>
      <c r="BU1560" t="s">
        <v>2191</v>
      </c>
      <c r="BV1560" t="s">
        <v>86</v>
      </c>
      <c r="BY1560">
        <v>16965</v>
      </c>
      <c r="CC1560" t="s">
        <v>91</v>
      </c>
      <c r="CD1560">
        <v>6001</v>
      </c>
      <c r="CE1560" t="s">
        <v>96</v>
      </c>
      <c r="CF1560" s="3">
        <v>45792</v>
      </c>
      <c r="CI1560">
        <v>1</v>
      </c>
      <c r="CJ1560">
        <v>1</v>
      </c>
      <c r="CK1560">
        <v>21</v>
      </c>
      <c r="CL1560" t="s">
        <v>89</v>
      </c>
    </row>
    <row r="1561" spans="1:90" x14ac:dyDescent="0.3">
      <c r="A1561" t="s">
        <v>72</v>
      </c>
      <c r="B1561" t="s">
        <v>73</v>
      </c>
      <c r="C1561" t="s">
        <v>74</v>
      </c>
      <c r="E1561" t="str">
        <f>"080065376979"</f>
        <v>080065376979</v>
      </c>
      <c r="F1561" s="3">
        <v>45791</v>
      </c>
      <c r="G1561">
        <v>202602</v>
      </c>
      <c r="H1561" t="s">
        <v>75</v>
      </c>
      <c r="I1561" t="s">
        <v>76</v>
      </c>
      <c r="J1561" t="s">
        <v>77</v>
      </c>
      <c r="K1561" t="s">
        <v>78</v>
      </c>
      <c r="L1561" t="s">
        <v>123</v>
      </c>
      <c r="M1561" t="s">
        <v>123</v>
      </c>
      <c r="N1561" t="s">
        <v>766</v>
      </c>
      <c r="O1561" t="s">
        <v>82</v>
      </c>
      <c r="P1561" t="str">
        <f>"4170038386                    "</f>
        <v xml:space="preserve">4170038386                    </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0</v>
      </c>
      <c r="AJ1561">
        <v>0</v>
      </c>
      <c r="AK1561">
        <v>0</v>
      </c>
      <c r="AL1561">
        <v>0</v>
      </c>
      <c r="AM1561">
        <v>0</v>
      </c>
      <c r="AN1561">
        <v>0</v>
      </c>
      <c r="AO1561">
        <v>0</v>
      </c>
      <c r="AP1561">
        <v>0</v>
      </c>
      <c r="AQ1561">
        <v>78.849999999999994</v>
      </c>
      <c r="AR1561">
        <v>0</v>
      </c>
      <c r="AS1561">
        <v>0</v>
      </c>
      <c r="AT1561">
        <v>0</v>
      </c>
      <c r="AU1561">
        <v>0</v>
      </c>
      <c r="AV1561">
        <v>0</v>
      </c>
      <c r="AW1561">
        <v>0</v>
      </c>
      <c r="AX1561">
        <v>0</v>
      </c>
      <c r="AY1561">
        <v>0</v>
      </c>
      <c r="AZ1561">
        <v>0</v>
      </c>
      <c r="BA1561">
        <v>0</v>
      </c>
      <c r="BB1561">
        <v>0</v>
      </c>
      <c r="BC1561">
        <v>0</v>
      </c>
      <c r="BD1561">
        <v>0</v>
      </c>
      <c r="BE1561">
        <v>0</v>
      </c>
      <c r="BF1561">
        <v>0</v>
      </c>
      <c r="BG1561">
        <v>0</v>
      </c>
      <c r="BH1561">
        <v>1</v>
      </c>
      <c r="BI1561">
        <v>4</v>
      </c>
      <c r="BJ1561">
        <v>3.4</v>
      </c>
      <c r="BK1561">
        <v>4</v>
      </c>
      <c r="BL1561">
        <v>258.05</v>
      </c>
      <c r="BM1561">
        <v>38.71</v>
      </c>
      <c r="BN1561">
        <v>296.76</v>
      </c>
      <c r="BO1561">
        <v>296.76</v>
      </c>
      <c r="BQ1561" t="s">
        <v>767</v>
      </c>
      <c r="BR1561" t="s">
        <v>84</v>
      </c>
      <c r="BS1561" s="3">
        <v>45792</v>
      </c>
      <c r="BT1561" s="4">
        <v>0.40972222222222221</v>
      </c>
      <c r="BU1561" t="s">
        <v>768</v>
      </c>
      <c r="BV1561" t="s">
        <v>86</v>
      </c>
      <c r="BY1561">
        <v>16965</v>
      </c>
      <c r="CA1561" t="s">
        <v>2044</v>
      </c>
      <c r="CC1561" t="s">
        <v>123</v>
      </c>
      <c r="CD1561">
        <v>7646</v>
      </c>
      <c r="CE1561" t="s">
        <v>96</v>
      </c>
      <c r="CF1561" s="3">
        <v>45793</v>
      </c>
      <c r="CI1561">
        <v>1</v>
      </c>
      <c r="CJ1561">
        <v>1</v>
      </c>
      <c r="CK1561">
        <v>23</v>
      </c>
      <c r="CL1561" t="s">
        <v>89</v>
      </c>
    </row>
    <row r="1562" spans="1:90" x14ac:dyDescent="0.3">
      <c r="A1562" t="s">
        <v>72</v>
      </c>
      <c r="B1562" t="s">
        <v>73</v>
      </c>
      <c r="C1562" t="s">
        <v>74</v>
      </c>
      <c r="E1562" t="str">
        <f>"080065377001"</f>
        <v>080065377001</v>
      </c>
      <c r="F1562" s="3">
        <v>45791</v>
      </c>
      <c r="G1562">
        <v>202602</v>
      </c>
      <c r="H1562" t="s">
        <v>75</v>
      </c>
      <c r="I1562" t="s">
        <v>76</v>
      </c>
      <c r="J1562" t="s">
        <v>77</v>
      </c>
      <c r="K1562" t="s">
        <v>78</v>
      </c>
      <c r="L1562" t="s">
        <v>90</v>
      </c>
      <c r="M1562" t="s">
        <v>91</v>
      </c>
      <c r="N1562" t="s">
        <v>914</v>
      </c>
      <c r="O1562" t="s">
        <v>82</v>
      </c>
      <c r="P1562" t="str">
        <f>"4170038389                    "</f>
        <v xml:space="preserve">4170038389                    </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c r="AI1562">
        <v>0</v>
      </c>
      <c r="AJ1562">
        <v>0</v>
      </c>
      <c r="AK1562">
        <v>0</v>
      </c>
      <c r="AL1562">
        <v>0</v>
      </c>
      <c r="AM1562">
        <v>0</v>
      </c>
      <c r="AN1562">
        <v>0</v>
      </c>
      <c r="AO1562">
        <v>0</v>
      </c>
      <c r="AP1562">
        <v>0</v>
      </c>
      <c r="AQ1562">
        <v>21.38</v>
      </c>
      <c r="AR1562">
        <v>0</v>
      </c>
      <c r="AS1562">
        <v>0</v>
      </c>
      <c r="AT1562">
        <v>0</v>
      </c>
      <c r="AU1562">
        <v>0</v>
      </c>
      <c r="AV1562">
        <v>0</v>
      </c>
      <c r="AW1562">
        <v>0</v>
      </c>
      <c r="AX1562">
        <v>0</v>
      </c>
      <c r="AY1562">
        <v>0</v>
      </c>
      <c r="AZ1562">
        <v>0</v>
      </c>
      <c r="BA1562">
        <v>0</v>
      </c>
      <c r="BB1562">
        <v>0</v>
      </c>
      <c r="BC1562">
        <v>0</v>
      </c>
      <c r="BD1562">
        <v>0</v>
      </c>
      <c r="BE1562">
        <v>0</v>
      </c>
      <c r="BF1562">
        <v>0</v>
      </c>
      <c r="BG1562">
        <v>0</v>
      </c>
      <c r="BH1562">
        <v>1</v>
      </c>
      <c r="BI1562">
        <v>1</v>
      </c>
      <c r="BJ1562">
        <v>1.9</v>
      </c>
      <c r="BK1562">
        <v>2</v>
      </c>
      <c r="BL1562">
        <v>69.98</v>
      </c>
      <c r="BM1562">
        <v>10.5</v>
      </c>
      <c r="BN1562">
        <v>80.48</v>
      </c>
      <c r="BO1562">
        <v>80.48</v>
      </c>
      <c r="BQ1562" t="s">
        <v>915</v>
      </c>
      <c r="BR1562" t="s">
        <v>84</v>
      </c>
      <c r="BS1562" s="3">
        <v>45792</v>
      </c>
      <c r="BT1562" s="4">
        <v>0.4152777777777778</v>
      </c>
      <c r="BU1562" t="s">
        <v>1926</v>
      </c>
      <c r="BV1562" t="s">
        <v>86</v>
      </c>
      <c r="BY1562">
        <v>9600</v>
      </c>
      <c r="CA1562" t="s">
        <v>95</v>
      </c>
      <c r="CC1562" t="s">
        <v>91</v>
      </c>
      <c r="CD1562">
        <v>6001</v>
      </c>
      <c r="CE1562" t="s">
        <v>116</v>
      </c>
      <c r="CF1562" s="3">
        <v>45792</v>
      </c>
      <c r="CI1562">
        <v>1</v>
      </c>
      <c r="CJ1562">
        <v>1</v>
      </c>
      <c r="CK1562">
        <v>21</v>
      </c>
      <c r="CL1562" t="s">
        <v>89</v>
      </c>
    </row>
    <row r="1563" spans="1:90" x14ac:dyDescent="0.3">
      <c r="A1563" t="s">
        <v>72</v>
      </c>
      <c r="B1563" t="s">
        <v>73</v>
      </c>
      <c r="C1563" t="s">
        <v>74</v>
      </c>
      <c r="E1563" t="str">
        <f>"080065377012"</f>
        <v>080065377012</v>
      </c>
      <c r="F1563" s="3">
        <v>45791</v>
      </c>
      <c r="G1563">
        <v>202602</v>
      </c>
      <c r="H1563" t="s">
        <v>75</v>
      </c>
      <c r="I1563" t="s">
        <v>76</v>
      </c>
      <c r="J1563" t="s">
        <v>77</v>
      </c>
      <c r="K1563" t="s">
        <v>78</v>
      </c>
      <c r="L1563" t="s">
        <v>90</v>
      </c>
      <c r="M1563" t="s">
        <v>91</v>
      </c>
      <c r="N1563" t="s">
        <v>914</v>
      </c>
      <c r="O1563" t="s">
        <v>82</v>
      </c>
      <c r="P1563" t="str">
        <f>"4170038564                    "</f>
        <v xml:space="preserve">4170038564                    </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85.48</v>
      </c>
      <c r="AR1563">
        <v>0</v>
      </c>
      <c r="AS1563">
        <v>0</v>
      </c>
      <c r="AT1563">
        <v>0</v>
      </c>
      <c r="AU1563">
        <v>0</v>
      </c>
      <c r="AV1563">
        <v>0</v>
      </c>
      <c r="AW1563">
        <v>0</v>
      </c>
      <c r="AX1563">
        <v>0</v>
      </c>
      <c r="AY1563">
        <v>0</v>
      </c>
      <c r="AZ1563">
        <v>0</v>
      </c>
      <c r="BA1563">
        <v>0</v>
      </c>
      <c r="BB1563">
        <v>0</v>
      </c>
      <c r="BC1563">
        <v>0</v>
      </c>
      <c r="BD1563">
        <v>0</v>
      </c>
      <c r="BE1563">
        <v>0</v>
      </c>
      <c r="BF1563">
        <v>0</v>
      </c>
      <c r="BG1563">
        <v>0</v>
      </c>
      <c r="BH1563">
        <v>1</v>
      </c>
      <c r="BI1563">
        <v>8</v>
      </c>
      <c r="BJ1563">
        <v>3.4</v>
      </c>
      <c r="BK1563">
        <v>8</v>
      </c>
      <c r="BL1563">
        <v>279.76</v>
      </c>
      <c r="BM1563">
        <v>41.96</v>
      </c>
      <c r="BN1563">
        <v>321.72000000000003</v>
      </c>
      <c r="BO1563">
        <v>321.72000000000003</v>
      </c>
      <c r="BQ1563" t="s">
        <v>915</v>
      </c>
      <c r="BR1563" t="s">
        <v>84</v>
      </c>
      <c r="BS1563" s="3">
        <v>45792</v>
      </c>
      <c r="BT1563" s="4">
        <v>0.4152777777777778</v>
      </c>
      <c r="BU1563" t="s">
        <v>1926</v>
      </c>
      <c r="BV1563" t="s">
        <v>86</v>
      </c>
      <c r="BY1563">
        <v>16965</v>
      </c>
      <c r="CA1563" t="s">
        <v>95</v>
      </c>
      <c r="CC1563" t="s">
        <v>91</v>
      </c>
      <c r="CD1563">
        <v>6001</v>
      </c>
      <c r="CE1563" t="s">
        <v>96</v>
      </c>
      <c r="CF1563" s="3">
        <v>45792</v>
      </c>
      <c r="CI1563">
        <v>1</v>
      </c>
      <c r="CJ1563">
        <v>1</v>
      </c>
      <c r="CK1563">
        <v>21</v>
      </c>
      <c r="CL1563" t="s">
        <v>89</v>
      </c>
    </row>
    <row r="1564" spans="1:90" x14ac:dyDescent="0.3">
      <c r="A1564" t="s">
        <v>72</v>
      </c>
      <c r="B1564" t="s">
        <v>73</v>
      </c>
      <c r="C1564" t="s">
        <v>74</v>
      </c>
      <c r="E1564" t="str">
        <f>"080065377039"</f>
        <v>080065377039</v>
      </c>
      <c r="F1564" s="3">
        <v>45791</v>
      </c>
      <c r="G1564">
        <v>202602</v>
      </c>
      <c r="H1564" t="s">
        <v>75</v>
      </c>
      <c r="I1564" t="s">
        <v>76</v>
      </c>
      <c r="J1564" t="s">
        <v>77</v>
      </c>
      <c r="K1564" t="s">
        <v>78</v>
      </c>
      <c r="L1564" t="s">
        <v>320</v>
      </c>
      <c r="M1564" t="s">
        <v>321</v>
      </c>
      <c r="N1564" t="s">
        <v>499</v>
      </c>
      <c r="O1564" t="s">
        <v>82</v>
      </c>
      <c r="P1564" t="str">
        <f>"4170038556                    "</f>
        <v xml:space="preserve">4170038556                    </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c r="AJ1564">
        <v>0</v>
      </c>
      <c r="AK1564">
        <v>0</v>
      </c>
      <c r="AL1564">
        <v>0</v>
      </c>
      <c r="AM1564">
        <v>0</v>
      </c>
      <c r="AN1564">
        <v>0</v>
      </c>
      <c r="AO1564">
        <v>0</v>
      </c>
      <c r="AP1564">
        <v>0</v>
      </c>
      <c r="AQ1564">
        <v>21.38</v>
      </c>
      <c r="AR1564">
        <v>0</v>
      </c>
      <c r="AS1564">
        <v>0</v>
      </c>
      <c r="AT1564">
        <v>0</v>
      </c>
      <c r="AU1564">
        <v>0</v>
      </c>
      <c r="AV1564">
        <v>0</v>
      </c>
      <c r="AW1564">
        <v>0</v>
      </c>
      <c r="AX1564">
        <v>0</v>
      </c>
      <c r="AY1564">
        <v>0</v>
      </c>
      <c r="AZ1564">
        <v>0</v>
      </c>
      <c r="BA1564">
        <v>0</v>
      </c>
      <c r="BB1564">
        <v>0</v>
      </c>
      <c r="BC1564">
        <v>0</v>
      </c>
      <c r="BD1564">
        <v>0</v>
      </c>
      <c r="BE1564">
        <v>0</v>
      </c>
      <c r="BF1564">
        <v>0</v>
      </c>
      <c r="BG1564">
        <v>0</v>
      </c>
      <c r="BH1564">
        <v>1</v>
      </c>
      <c r="BI1564">
        <v>1</v>
      </c>
      <c r="BJ1564">
        <v>1.4</v>
      </c>
      <c r="BK1564">
        <v>1.5</v>
      </c>
      <c r="BL1564">
        <v>69.98</v>
      </c>
      <c r="BM1564">
        <v>10.5</v>
      </c>
      <c r="BN1564">
        <v>80.48</v>
      </c>
      <c r="BO1564">
        <v>80.48</v>
      </c>
      <c r="BQ1564" t="s">
        <v>500</v>
      </c>
      <c r="BR1564" t="s">
        <v>84</v>
      </c>
      <c r="BS1564" s="3">
        <v>45792</v>
      </c>
      <c r="BT1564" s="4">
        <v>0.74097222222222225</v>
      </c>
      <c r="BU1564" t="s">
        <v>623</v>
      </c>
      <c r="BV1564" t="s">
        <v>89</v>
      </c>
      <c r="BY1564">
        <v>7000</v>
      </c>
      <c r="CA1564" t="s">
        <v>326</v>
      </c>
      <c r="CC1564" t="s">
        <v>321</v>
      </c>
      <c r="CD1564">
        <v>4133</v>
      </c>
      <c r="CE1564" t="s">
        <v>96</v>
      </c>
      <c r="CF1564" s="3">
        <v>45793</v>
      </c>
      <c r="CI1564">
        <v>1</v>
      </c>
      <c r="CJ1564">
        <v>1</v>
      </c>
      <c r="CK1564">
        <v>21</v>
      </c>
      <c r="CL1564" t="s">
        <v>89</v>
      </c>
    </row>
    <row r="1565" spans="1:90" x14ac:dyDescent="0.3">
      <c r="A1565" t="s">
        <v>72</v>
      </c>
      <c r="B1565" t="s">
        <v>73</v>
      </c>
      <c r="C1565" t="s">
        <v>74</v>
      </c>
      <c r="E1565" t="str">
        <f>"080065377063"</f>
        <v>080065377063</v>
      </c>
      <c r="F1565" s="3">
        <v>45791</v>
      </c>
      <c r="G1565">
        <v>202602</v>
      </c>
      <c r="H1565" t="s">
        <v>75</v>
      </c>
      <c r="I1565" t="s">
        <v>76</v>
      </c>
      <c r="J1565" t="s">
        <v>77</v>
      </c>
      <c r="K1565" t="s">
        <v>78</v>
      </c>
      <c r="L1565" t="s">
        <v>90</v>
      </c>
      <c r="M1565" t="s">
        <v>91</v>
      </c>
      <c r="N1565" t="s">
        <v>837</v>
      </c>
      <c r="O1565" t="s">
        <v>82</v>
      </c>
      <c r="P1565" t="str">
        <f>"4170038571                    "</f>
        <v xml:space="preserve">4170038571                    </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0</v>
      </c>
      <c r="AJ1565">
        <v>0</v>
      </c>
      <c r="AK1565">
        <v>0</v>
      </c>
      <c r="AL1565">
        <v>0</v>
      </c>
      <c r="AM1565">
        <v>0</v>
      </c>
      <c r="AN1565">
        <v>0</v>
      </c>
      <c r="AO1565">
        <v>0</v>
      </c>
      <c r="AP1565">
        <v>0</v>
      </c>
      <c r="AQ1565">
        <v>21.38</v>
      </c>
      <c r="AR1565">
        <v>0</v>
      </c>
      <c r="AS1565">
        <v>0</v>
      </c>
      <c r="AT1565">
        <v>0</v>
      </c>
      <c r="AU1565">
        <v>0</v>
      </c>
      <c r="AV1565">
        <v>0</v>
      </c>
      <c r="AW1565">
        <v>0</v>
      </c>
      <c r="AX1565">
        <v>0</v>
      </c>
      <c r="AY1565">
        <v>0</v>
      </c>
      <c r="AZ1565">
        <v>0</v>
      </c>
      <c r="BA1565">
        <v>0</v>
      </c>
      <c r="BB1565">
        <v>0</v>
      </c>
      <c r="BC1565">
        <v>0</v>
      </c>
      <c r="BD1565">
        <v>0</v>
      </c>
      <c r="BE1565">
        <v>0</v>
      </c>
      <c r="BF1565">
        <v>0</v>
      </c>
      <c r="BG1565">
        <v>0</v>
      </c>
      <c r="BH1565">
        <v>1</v>
      </c>
      <c r="BI1565">
        <v>1</v>
      </c>
      <c r="BJ1565">
        <v>1.7</v>
      </c>
      <c r="BK1565">
        <v>2</v>
      </c>
      <c r="BL1565">
        <v>69.98</v>
      </c>
      <c r="BM1565">
        <v>10.5</v>
      </c>
      <c r="BN1565">
        <v>80.48</v>
      </c>
      <c r="BO1565">
        <v>80.48</v>
      </c>
      <c r="BQ1565" t="s">
        <v>838</v>
      </c>
      <c r="BR1565" t="s">
        <v>84</v>
      </c>
      <c r="BS1565" s="3">
        <v>45792</v>
      </c>
      <c r="BT1565" s="4">
        <v>0.41041666666666665</v>
      </c>
      <c r="BU1565" t="s">
        <v>2192</v>
      </c>
      <c r="BV1565" t="s">
        <v>86</v>
      </c>
      <c r="BY1565">
        <v>8512</v>
      </c>
      <c r="CA1565" t="s">
        <v>1200</v>
      </c>
      <c r="CC1565" t="s">
        <v>91</v>
      </c>
      <c r="CD1565">
        <v>6001</v>
      </c>
      <c r="CE1565" t="s">
        <v>96</v>
      </c>
      <c r="CF1565" s="3">
        <v>45792</v>
      </c>
      <c r="CI1565">
        <v>1</v>
      </c>
      <c r="CJ1565">
        <v>1</v>
      </c>
      <c r="CK1565">
        <v>21</v>
      </c>
      <c r="CL1565" t="s">
        <v>89</v>
      </c>
    </row>
    <row r="1566" spans="1:90" x14ac:dyDescent="0.3">
      <c r="A1566" t="s">
        <v>72</v>
      </c>
      <c r="B1566" t="s">
        <v>73</v>
      </c>
      <c r="C1566" t="s">
        <v>74</v>
      </c>
      <c r="E1566" t="str">
        <f>"080065377081"</f>
        <v>080065377081</v>
      </c>
      <c r="F1566" s="3">
        <v>45791</v>
      </c>
      <c r="G1566">
        <v>202602</v>
      </c>
      <c r="H1566" t="s">
        <v>75</v>
      </c>
      <c r="I1566" t="s">
        <v>76</v>
      </c>
      <c r="J1566" t="s">
        <v>77</v>
      </c>
      <c r="K1566" t="s">
        <v>78</v>
      </c>
      <c r="L1566" t="s">
        <v>79</v>
      </c>
      <c r="M1566" t="s">
        <v>80</v>
      </c>
      <c r="N1566" t="s">
        <v>797</v>
      </c>
      <c r="O1566" t="s">
        <v>82</v>
      </c>
      <c r="P1566" t="str">
        <f>"4170038490                    "</f>
        <v xml:space="preserve">4170038490                    </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0</v>
      </c>
      <c r="AK1566">
        <v>0</v>
      </c>
      <c r="AL1566">
        <v>0</v>
      </c>
      <c r="AM1566">
        <v>0</v>
      </c>
      <c r="AN1566">
        <v>0</v>
      </c>
      <c r="AO1566">
        <v>0</v>
      </c>
      <c r="AP1566">
        <v>0</v>
      </c>
      <c r="AQ1566">
        <v>21.38</v>
      </c>
      <c r="AR1566">
        <v>0</v>
      </c>
      <c r="AS1566">
        <v>0</v>
      </c>
      <c r="AT1566">
        <v>0</v>
      </c>
      <c r="AU1566">
        <v>0</v>
      </c>
      <c r="AV1566">
        <v>0</v>
      </c>
      <c r="AW1566">
        <v>0</v>
      </c>
      <c r="AX1566">
        <v>0</v>
      </c>
      <c r="AY1566">
        <v>0</v>
      </c>
      <c r="AZ1566">
        <v>0</v>
      </c>
      <c r="BA1566">
        <v>0</v>
      </c>
      <c r="BB1566">
        <v>0</v>
      </c>
      <c r="BC1566">
        <v>0</v>
      </c>
      <c r="BD1566">
        <v>0</v>
      </c>
      <c r="BE1566">
        <v>0</v>
      </c>
      <c r="BF1566">
        <v>0</v>
      </c>
      <c r="BG1566">
        <v>0</v>
      </c>
      <c r="BH1566">
        <v>1</v>
      </c>
      <c r="BI1566">
        <v>1</v>
      </c>
      <c r="BJ1566">
        <v>0.2</v>
      </c>
      <c r="BK1566">
        <v>1</v>
      </c>
      <c r="BL1566">
        <v>69.98</v>
      </c>
      <c r="BM1566">
        <v>10.5</v>
      </c>
      <c r="BN1566">
        <v>80.48</v>
      </c>
      <c r="BO1566">
        <v>80.48</v>
      </c>
      <c r="BQ1566" t="s">
        <v>798</v>
      </c>
      <c r="BR1566" t="s">
        <v>84</v>
      </c>
      <c r="BS1566" s="3">
        <v>45792</v>
      </c>
      <c r="BT1566" s="4">
        <v>0.51180555555555551</v>
      </c>
      <c r="BU1566" t="s">
        <v>85</v>
      </c>
      <c r="BV1566" t="s">
        <v>86</v>
      </c>
      <c r="BY1566">
        <v>1200</v>
      </c>
      <c r="CA1566" t="s">
        <v>87</v>
      </c>
      <c r="CC1566" t="s">
        <v>80</v>
      </c>
      <c r="CD1566">
        <v>3610</v>
      </c>
      <c r="CE1566" t="s">
        <v>88</v>
      </c>
      <c r="CF1566" s="3">
        <v>45793</v>
      </c>
      <c r="CI1566">
        <v>1</v>
      </c>
      <c r="CJ1566">
        <v>1</v>
      </c>
      <c r="CK1566">
        <v>21</v>
      </c>
      <c r="CL1566" t="s">
        <v>89</v>
      </c>
    </row>
    <row r="1567" spans="1:90" x14ac:dyDescent="0.3">
      <c r="A1567" t="s">
        <v>72</v>
      </c>
      <c r="B1567" t="s">
        <v>73</v>
      </c>
      <c r="C1567" t="s">
        <v>74</v>
      </c>
      <c r="E1567" t="str">
        <f>"080065377091"</f>
        <v>080065377091</v>
      </c>
      <c r="F1567" s="3">
        <v>45791</v>
      </c>
      <c r="G1567">
        <v>202602</v>
      </c>
      <c r="H1567" t="s">
        <v>75</v>
      </c>
      <c r="I1567" t="s">
        <v>76</v>
      </c>
      <c r="J1567" t="s">
        <v>77</v>
      </c>
      <c r="K1567" t="s">
        <v>78</v>
      </c>
      <c r="L1567" t="s">
        <v>1214</v>
      </c>
      <c r="M1567" t="s">
        <v>1215</v>
      </c>
      <c r="N1567" t="s">
        <v>2193</v>
      </c>
      <c r="O1567" t="s">
        <v>82</v>
      </c>
      <c r="P1567" t="str">
        <f>"4170038463                    "</f>
        <v xml:space="preserve">4170038463                    </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0</v>
      </c>
      <c r="AJ1567">
        <v>0</v>
      </c>
      <c r="AK1567">
        <v>0</v>
      </c>
      <c r="AL1567">
        <v>0</v>
      </c>
      <c r="AM1567">
        <v>0</v>
      </c>
      <c r="AN1567">
        <v>0</v>
      </c>
      <c r="AO1567">
        <v>0</v>
      </c>
      <c r="AP1567">
        <v>0</v>
      </c>
      <c r="AQ1567">
        <v>117.53</v>
      </c>
      <c r="AR1567">
        <v>0</v>
      </c>
      <c r="AS1567">
        <v>0</v>
      </c>
      <c r="AT1567">
        <v>0</v>
      </c>
      <c r="AU1567">
        <v>0</v>
      </c>
      <c r="AV1567">
        <v>0</v>
      </c>
      <c r="AW1567">
        <v>0</v>
      </c>
      <c r="AX1567">
        <v>0</v>
      </c>
      <c r="AY1567">
        <v>0</v>
      </c>
      <c r="AZ1567">
        <v>0</v>
      </c>
      <c r="BA1567">
        <v>0</v>
      </c>
      <c r="BB1567">
        <v>0</v>
      </c>
      <c r="BC1567">
        <v>0</v>
      </c>
      <c r="BD1567">
        <v>0</v>
      </c>
      <c r="BE1567">
        <v>0</v>
      </c>
      <c r="BF1567">
        <v>0</v>
      </c>
      <c r="BG1567">
        <v>0</v>
      </c>
      <c r="BH1567">
        <v>1</v>
      </c>
      <c r="BI1567">
        <v>11</v>
      </c>
      <c r="BJ1567">
        <v>4</v>
      </c>
      <c r="BK1567">
        <v>11</v>
      </c>
      <c r="BL1567">
        <v>384.65</v>
      </c>
      <c r="BM1567">
        <v>57.7</v>
      </c>
      <c r="BN1567">
        <v>442.35</v>
      </c>
      <c r="BO1567">
        <v>442.35</v>
      </c>
      <c r="BQ1567" t="s">
        <v>2194</v>
      </c>
      <c r="BR1567" t="s">
        <v>84</v>
      </c>
      <c r="BS1567" s="3">
        <v>45792</v>
      </c>
      <c r="BT1567" s="4">
        <v>0.42986111111111114</v>
      </c>
      <c r="BU1567" t="s">
        <v>2195</v>
      </c>
      <c r="BV1567" t="s">
        <v>86</v>
      </c>
      <c r="BY1567">
        <v>20064</v>
      </c>
      <c r="CA1567" t="s">
        <v>1219</v>
      </c>
      <c r="CC1567" t="s">
        <v>1215</v>
      </c>
      <c r="CD1567">
        <v>4302</v>
      </c>
      <c r="CE1567" t="s">
        <v>221</v>
      </c>
      <c r="CF1567" s="3">
        <v>45793</v>
      </c>
      <c r="CI1567">
        <v>1</v>
      </c>
      <c r="CJ1567">
        <v>1</v>
      </c>
      <c r="CK1567">
        <v>21</v>
      </c>
      <c r="CL1567" t="s">
        <v>89</v>
      </c>
    </row>
    <row r="1568" spans="1:90" x14ac:dyDescent="0.3">
      <c r="A1568" t="s">
        <v>72</v>
      </c>
      <c r="B1568" t="s">
        <v>73</v>
      </c>
      <c r="C1568" t="s">
        <v>74</v>
      </c>
      <c r="E1568" t="str">
        <f>"080065377107"</f>
        <v>080065377107</v>
      </c>
      <c r="F1568" s="3">
        <v>45791</v>
      </c>
      <c r="G1568">
        <v>202602</v>
      </c>
      <c r="H1568" t="s">
        <v>75</v>
      </c>
      <c r="I1568" t="s">
        <v>76</v>
      </c>
      <c r="J1568" t="s">
        <v>77</v>
      </c>
      <c r="K1568" t="s">
        <v>78</v>
      </c>
      <c r="L1568" t="s">
        <v>266</v>
      </c>
      <c r="M1568" t="s">
        <v>267</v>
      </c>
      <c r="N1568" t="s">
        <v>1750</v>
      </c>
      <c r="O1568" t="s">
        <v>82</v>
      </c>
      <c r="P1568" t="str">
        <f>"4170038554                    "</f>
        <v xml:space="preserve">4170038554                    </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c r="AJ1568">
        <v>0</v>
      </c>
      <c r="AK1568">
        <v>0</v>
      </c>
      <c r="AL1568">
        <v>0</v>
      </c>
      <c r="AM1568">
        <v>0</v>
      </c>
      <c r="AN1568">
        <v>0</v>
      </c>
      <c r="AO1568">
        <v>0</v>
      </c>
      <c r="AP1568">
        <v>0</v>
      </c>
      <c r="AQ1568">
        <v>21.38</v>
      </c>
      <c r="AR1568">
        <v>0</v>
      </c>
      <c r="AS1568">
        <v>0</v>
      </c>
      <c r="AT1568">
        <v>0</v>
      </c>
      <c r="AU1568">
        <v>0</v>
      </c>
      <c r="AV1568">
        <v>0</v>
      </c>
      <c r="AW1568">
        <v>0</v>
      </c>
      <c r="AX1568">
        <v>0</v>
      </c>
      <c r="AY1568">
        <v>0</v>
      </c>
      <c r="AZ1568">
        <v>0</v>
      </c>
      <c r="BA1568">
        <v>0</v>
      </c>
      <c r="BB1568">
        <v>0</v>
      </c>
      <c r="BC1568">
        <v>0</v>
      </c>
      <c r="BD1568">
        <v>0</v>
      </c>
      <c r="BE1568">
        <v>0</v>
      </c>
      <c r="BF1568">
        <v>0</v>
      </c>
      <c r="BG1568">
        <v>0</v>
      </c>
      <c r="BH1568">
        <v>1</v>
      </c>
      <c r="BI1568">
        <v>1</v>
      </c>
      <c r="BJ1568">
        <v>0.2</v>
      </c>
      <c r="BK1568">
        <v>1</v>
      </c>
      <c r="BL1568">
        <v>69.98</v>
      </c>
      <c r="BM1568">
        <v>10.5</v>
      </c>
      <c r="BN1568">
        <v>80.48</v>
      </c>
      <c r="BO1568">
        <v>80.48</v>
      </c>
      <c r="BQ1568" t="s">
        <v>1751</v>
      </c>
      <c r="BR1568" t="s">
        <v>84</v>
      </c>
      <c r="BS1568" s="3">
        <v>45792</v>
      </c>
      <c r="BT1568" s="4">
        <v>0.44791666666666669</v>
      </c>
      <c r="BU1568" t="s">
        <v>2185</v>
      </c>
      <c r="BV1568" t="s">
        <v>89</v>
      </c>
      <c r="BY1568">
        <v>1200</v>
      </c>
      <c r="CA1568" t="s">
        <v>271</v>
      </c>
      <c r="CC1568" t="s">
        <v>267</v>
      </c>
      <c r="CD1568">
        <v>6220</v>
      </c>
      <c r="CE1568" t="s">
        <v>88</v>
      </c>
      <c r="CF1568" s="3">
        <v>45792</v>
      </c>
      <c r="CI1568">
        <v>1</v>
      </c>
      <c r="CJ1568">
        <v>1</v>
      </c>
      <c r="CK1568">
        <v>21</v>
      </c>
      <c r="CL1568" t="s">
        <v>89</v>
      </c>
    </row>
    <row r="1569" spans="1:90" x14ac:dyDescent="0.3">
      <c r="A1569" t="s">
        <v>72</v>
      </c>
      <c r="B1569" t="s">
        <v>73</v>
      </c>
      <c r="C1569" t="s">
        <v>74</v>
      </c>
      <c r="E1569" t="str">
        <f>"080065377166"</f>
        <v>080065377166</v>
      </c>
      <c r="F1569" s="3">
        <v>45791</v>
      </c>
      <c r="G1569">
        <v>202602</v>
      </c>
      <c r="H1569" t="s">
        <v>75</v>
      </c>
      <c r="I1569" t="s">
        <v>76</v>
      </c>
      <c r="J1569" t="s">
        <v>77</v>
      </c>
      <c r="K1569" t="s">
        <v>78</v>
      </c>
      <c r="L1569" t="s">
        <v>90</v>
      </c>
      <c r="M1569" t="s">
        <v>91</v>
      </c>
      <c r="N1569" t="s">
        <v>1586</v>
      </c>
      <c r="O1569" t="s">
        <v>82</v>
      </c>
      <c r="P1569" t="str">
        <f>"4170038579                    "</f>
        <v xml:space="preserve">4170038579                    </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0</v>
      </c>
      <c r="AJ1569">
        <v>0</v>
      </c>
      <c r="AK1569">
        <v>0</v>
      </c>
      <c r="AL1569">
        <v>0</v>
      </c>
      <c r="AM1569">
        <v>0</v>
      </c>
      <c r="AN1569">
        <v>0</v>
      </c>
      <c r="AO1569">
        <v>0</v>
      </c>
      <c r="AP1569">
        <v>0</v>
      </c>
      <c r="AQ1569">
        <v>21.38</v>
      </c>
      <c r="AR1569">
        <v>0</v>
      </c>
      <c r="AS1569">
        <v>0</v>
      </c>
      <c r="AT1569">
        <v>0</v>
      </c>
      <c r="AU1569">
        <v>0</v>
      </c>
      <c r="AV1569">
        <v>0</v>
      </c>
      <c r="AW1569">
        <v>0</v>
      </c>
      <c r="AX1569">
        <v>0</v>
      </c>
      <c r="AY1569">
        <v>0</v>
      </c>
      <c r="AZ1569">
        <v>0</v>
      </c>
      <c r="BA1569">
        <v>0</v>
      </c>
      <c r="BB1569">
        <v>0</v>
      </c>
      <c r="BC1569">
        <v>0</v>
      </c>
      <c r="BD1569">
        <v>0</v>
      </c>
      <c r="BE1569">
        <v>0</v>
      </c>
      <c r="BF1569">
        <v>0</v>
      </c>
      <c r="BG1569">
        <v>0</v>
      </c>
      <c r="BH1569">
        <v>1</v>
      </c>
      <c r="BI1569">
        <v>1</v>
      </c>
      <c r="BJ1569">
        <v>1.9</v>
      </c>
      <c r="BK1569">
        <v>2</v>
      </c>
      <c r="BL1569">
        <v>69.98</v>
      </c>
      <c r="BM1569">
        <v>10.5</v>
      </c>
      <c r="BN1569">
        <v>80.48</v>
      </c>
      <c r="BO1569">
        <v>80.48</v>
      </c>
      <c r="BQ1569" t="s">
        <v>1587</v>
      </c>
      <c r="BR1569" t="s">
        <v>84</v>
      </c>
      <c r="BS1569" s="3">
        <v>45792</v>
      </c>
      <c r="BT1569" s="4">
        <v>0.34305555555555556</v>
      </c>
      <c r="BU1569" t="s">
        <v>705</v>
      </c>
      <c r="BV1569" t="s">
        <v>86</v>
      </c>
      <c r="BY1569">
        <v>9504</v>
      </c>
      <c r="CA1569" t="s">
        <v>298</v>
      </c>
      <c r="CC1569" t="s">
        <v>91</v>
      </c>
      <c r="CD1569">
        <v>6001</v>
      </c>
      <c r="CE1569" t="s">
        <v>221</v>
      </c>
      <c r="CF1569" s="3">
        <v>45792</v>
      </c>
      <c r="CI1569">
        <v>1</v>
      </c>
      <c r="CJ1569">
        <v>1</v>
      </c>
      <c r="CK1569">
        <v>21</v>
      </c>
      <c r="CL1569" t="s">
        <v>89</v>
      </c>
    </row>
    <row r="1570" spans="1:90" x14ac:dyDescent="0.3">
      <c r="A1570" t="s">
        <v>72</v>
      </c>
      <c r="B1570" t="s">
        <v>73</v>
      </c>
      <c r="C1570" t="s">
        <v>74</v>
      </c>
      <c r="E1570" t="str">
        <f>"080065377179"</f>
        <v>080065377179</v>
      </c>
      <c r="F1570" s="3">
        <v>45791</v>
      </c>
      <c r="G1570">
        <v>202602</v>
      </c>
      <c r="H1570" t="s">
        <v>75</v>
      </c>
      <c r="I1570" t="s">
        <v>76</v>
      </c>
      <c r="J1570" t="s">
        <v>77</v>
      </c>
      <c r="K1570" t="s">
        <v>78</v>
      </c>
      <c r="L1570" t="s">
        <v>90</v>
      </c>
      <c r="M1570" t="s">
        <v>91</v>
      </c>
      <c r="N1570" t="s">
        <v>865</v>
      </c>
      <c r="O1570" t="s">
        <v>82</v>
      </c>
      <c r="P1570" t="str">
        <f>"4170038557                    "</f>
        <v xml:space="preserve">4170038557                    </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0</v>
      </c>
      <c r="AJ1570">
        <v>0</v>
      </c>
      <c r="AK1570">
        <v>0</v>
      </c>
      <c r="AL1570">
        <v>0</v>
      </c>
      <c r="AM1570">
        <v>0</v>
      </c>
      <c r="AN1570">
        <v>0</v>
      </c>
      <c r="AO1570">
        <v>0</v>
      </c>
      <c r="AP1570">
        <v>0</v>
      </c>
      <c r="AQ1570">
        <v>21.38</v>
      </c>
      <c r="AR1570">
        <v>0</v>
      </c>
      <c r="AS1570">
        <v>0</v>
      </c>
      <c r="AT1570">
        <v>0</v>
      </c>
      <c r="AU1570">
        <v>0</v>
      </c>
      <c r="AV1570">
        <v>0</v>
      </c>
      <c r="AW1570">
        <v>0</v>
      </c>
      <c r="AX1570">
        <v>0</v>
      </c>
      <c r="AY1570">
        <v>0</v>
      </c>
      <c r="AZ1570">
        <v>0</v>
      </c>
      <c r="BA1570">
        <v>0</v>
      </c>
      <c r="BB1570">
        <v>0</v>
      </c>
      <c r="BC1570">
        <v>0</v>
      </c>
      <c r="BD1570">
        <v>0</v>
      </c>
      <c r="BE1570">
        <v>0</v>
      </c>
      <c r="BF1570">
        <v>0</v>
      </c>
      <c r="BG1570">
        <v>0</v>
      </c>
      <c r="BH1570">
        <v>1</v>
      </c>
      <c r="BI1570">
        <v>1</v>
      </c>
      <c r="BJ1570">
        <v>0.2</v>
      </c>
      <c r="BK1570">
        <v>1</v>
      </c>
      <c r="BL1570">
        <v>69.98</v>
      </c>
      <c r="BM1570">
        <v>10.5</v>
      </c>
      <c r="BN1570">
        <v>80.48</v>
      </c>
      <c r="BO1570">
        <v>80.48</v>
      </c>
      <c r="BQ1570" t="s">
        <v>866</v>
      </c>
      <c r="BR1570" t="s">
        <v>84</v>
      </c>
      <c r="BS1570" s="3">
        <v>45792</v>
      </c>
      <c r="BT1570" s="4">
        <v>0.41666666666666669</v>
      </c>
      <c r="BU1570" t="s">
        <v>2123</v>
      </c>
      <c r="BV1570" t="s">
        <v>86</v>
      </c>
      <c r="BY1570">
        <v>1200</v>
      </c>
      <c r="CA1570" t="s">
        <v>824</v>
      </c>
      <c r="CC1570" t="s">
        <v>91</v>
      </c>
      <c r="CD1570">
        <v>6001</v>
      </c>
      <c r="CE1570" t="s">
        <v>88</v>
      </c>
      <c r="CF1570" s="3">
        <v>45792</v>
      </c>
      <c r="CI1570">
        <v>1</v>
      </c>
      <c r="CJ1570">
        <v>1</v>
      </c>
      <c r="CK1570">
        <v>21</v>
      </c>
      <c r="CL1570" t="s">
        <v>89</v>
      </c>
    </row>
    <row r="1571" spans="1:90" x14ac:dyDescent="0.3">
      <c r="A1571" t="s">
        <v>72</v>
      </c>
      <c r="B1571" t="s">
        <v>73</v>
      </c>
      <c r="C1571" t="s">
        <v>74</v>
      </c>
      <c r="E1571" t="str">
        <f>"080065377206"</f>
        <v>080065377206</v>
      </c>
      <c r="F1571" s="3">
        <v>45791</v>
      </c>
      <c r="G1571">
        <v>202602</v>
      </c>
      <c r="H1571" t="s">
        <v>75</v>
      </c>
      <c r="I1571" t="s">
        <v>76</v>
      </c>
      <c r="J1571" t="s">
        <v>77</v>
      </c>
      <c r="K1571" t="s">
        <v>78</v>
      </c>
      <c r="L1571" t="s">
        <v>136</v>
      </c>
      <c r="M1571" t="s">
        <v>137</v>
      </c>
      <c r="N1571" t="s">
        <v>161</v>
      </c>
      <c r="O1571" t="s">
        <v>82</v>
      </c>
      <c r="P1571" t="str">
        <f>"4170038448                    "</f>
        <v xml:space="preserve">4170038448                    </v>
      </c>
      <c r="Q1571">
        <v>0</v>
      </c>
      <c r="R1571">
        <v>0</v>
      </c>
      <c r="S1571">
        <v>0</v>
      </c>
      <c r="T1571">
        <v>0</v>
      </c>
      <c r="U1571">
        <v>0</v>
      </c>
      <c r="V1571">
        <v>0</v>
      </c>
      <c r="W1571">
        <v>0</v>
      </c>
      <c r="X1571">
        <v>0</v>
      </c>
      <c r="Y1571">
        <v>0</v>
      </c>
      <c r="Z1571">
        <v>0</v>
      </c>
      <c r="AA1571">
        <v>0</v>
      </c>
      <c r="AB1571">
        <v>0</v>
      </c>
      <c r="AC1571">
        <v>0</v>
      </c>
      <c r="AD1571">
        <v>0</v>
      </c>
      <c r="AE1571">
        <v>0</v>
      </c>
      <c r="AF1571">
        <v>0</v>
      </c>
      <c r="AG1571">
        <v>0</v>
      </c>
      <c r="AH1571">
        <v>0</v>
      </c>
      <c r="AI1571">
        <v>0</v>
      </c>
      <c r="AJ1571">
        <v>0</v>
      </c>
      <c r="AK1571">
        <v>0</v>
      </c>
      <c r="AL1571">
        <v>0</v>
      </c>
      <c r="AM1571">
        <v>0</v>
      </c>
      <c r="AN1571">
        <v>0</v>
      </c>
      <c r="AO1571">
        <v>0</v>
      </c>
      <c r="AP1571">
        <v>0</v>
      </c>
      <c r="AQ1571">
        <v>21.38</v>
      </c>
      <c r="AR1571">
        <v>0</v>
      </c>
      <c r="AS1571">
        <v>0</v>
      </c>
      <c r="AT1571">
        <v>0</v>
      </c>
      <c r="AU1571">
        <v>0</v>
      </c>
      <c r="AV1571">
        <v>0</v>
      </c>
      <c r="AW1571">
        <v>0</v>
      </c>
      <c r="AX1571">
        <v>0</v>
      </c>
      <c r="AY1571">
        <v>0</v>
      </c>
      <c r="AZ1571">
        <v>0</v>
      </c>
      <c r="BA1571">
        <v>0</v>
      </c>
      <c r="BB1571">
        <v>0</v>
      </c>
      <c r="BC1571">
        <v>0</v>
      </c>
      <c r="BD1571">
        <v>0</v>
      </c>
      <c r="BE1571">
        <v>0</v>
      </c>
      <c r="BF1571">
        <v>0</v>
      </c>
      <c r="BG1571">
        <v>0</v>
      </c>
      <c r="BH1571">
        <v>1</v>
      </c>
      <c r="BI1571">
        <v>1</v>
      </c>
      <c r="BJ1571">
        <v>0.2</v>
      </c>
      <c r="BK1571">
        <v>1</v>
      </c>
      <c r="BL1571">
        <v>69.98</v>
      </c>
      <c r="BM1571">
        <v>10.5</v>
      </c>
      <c r="BN1571">
        <v>80.48</v>
      </c>
      <c r="BO1571">
        <v>80.48</v>
      </c>
      <c r="BQ1571" t="s">
        <v>162</v>
      </c>
      <c r="BR1571" t="s">
        <v>84</v>
      </c>
      <c r="BS1571" s="3">
        <v>45793</v>
      </c>
      <c r="BT1571" s="4">
        <v>0.39583333333333331</v>
      </c>
      <c r="BU1571" t="s">
        <v>2196</v>
      </c>
      <c r="BV1571" t="s">
        <v>89</v>
      </c>
      <c r="BY1571">
        <v>1200</v>
      </c>
      <c r="CC1571" t="s">
        <v>137</v>
      </c>
      <c r="CD1571" s="5" t="s">
        <v>2197</v>
      </c>
      <c r="CE1571" t="s">
        <v>88</v>
      </c>
      <c r="CF1571" s="3">
        <v>45793</v>
      </c>
      <c r="CI1571">
        <v>1</v>
      </c>
      <c r="CJ1571">
        <v>2</v>
      </c>
      <c r="CK1571">
        <v>21</v>
      </c>
      <c r="CL1571" t="s">
        <v>89</v>
      </c>
    </row>
    <row r="1572" spans="1:90" x14ac:dyDescent="0.3">
      <c r="A1572" t="s">
        <v>72</v>
      </c>
      <c r="B1572" t="s">
        <v>73</v>
      </c>
      <c r="C1572" t="s">
        <v>74</v>
      </c>
      <c r="E1572" t="str">
        <f>"080065377207"</f>
        <v>080065377207</v>
      </c>
      <c r="F1572" s="3">
        <v>45791</v>
      </c>
      <c r="G1572">
        <v>202602</v>
      </c>
      <c r="H1572" t="s">
        <v>75</v>
      </c>
      <c r="I1572" t="s">
        <v>76</v>
      </c>
      <c r="J1572" t="s">
        <v>77</v>
      </c>
      <c r="K1572" t="s">
        <v>78</v>
      </c>
      <c r="L1572" t="s">
        <v>136</v>
      </c>
      <c r="M1572" t="s">
        <v>137</v>
      </c>
      <c r="N1572" t="s">
        <v>1656</v>
      </c>
      <c r="O1572" t="s">
        <v>300</v>
      </c>
      <c r="P1572" t="str">
        <f>"4170038573                    "</f>
        <v xml:space="preserve">4170038573                    </v>
      </c>
      <c r="Q1572">
        <v>0</v>
      </c>
      <c r="R1572">
        <v>0</v>
      </c>
      <c r="S1572">
        <v>0</v>
      </c>
      <c r="T1572">
        <v>0</v>
      </c>
      <c r="U1572">
        <v>0</v>
      </c>
      <c r="V1572">
        <v>0</v>
      </c>
      <c r="W1572">
        <v>0</v>
      </c>
      <c r="X1572">
        <v>0</v>
      </c>
      <c r="Y1572">
        <v>0</v>
      </c>
      <c r="Z1572">
        <v>0</v>
      </c>
      <c r="AA1572">
        <v>0</v>
      </c>
      <c r="AB1572">
        <v>0</v>
      </c>
      <c r="AC1572">
        <v>0</v>
      </c>
      <c r="AD1572">
        <v>0</v>
      </c>
      <c r="AE1572">
        <v>0</v>
      </c>
      <c r="AF1572">
        <v>0</v>
      </c>
      <c r="AG1572">
        <v>0</v>
      </c>
      <c r="AH1572">
        <v>0</v>
      </c>
      <c r="AI1572">
        <v>0</v>
      </c>
      <c r="AJ1572">
        <v>0</v>
      </c>
      <c r="AK1572">
        <v>0</v>
      </c>
      <c r="AL1572">
        <v>0</v>
      </c>
      <c r="AM1572">
        <v>0</v>
      </c>
      <c r="AN1572">
        <v>0</v>
      </c>
      <c r="AO1572">
        <v>0</v>
      </c>
      <c r="AP1572">
        <v>0</v>
      </c>
      <c r="AQ1572">
        <v>41.35</v>
      </c>
      <c r="AR1572">
        <v>0</v>
      </c>
      <c r="AS1572">
        <v>0</v>
      </c>
      <c r="AT1572">
        <v>0</v>
      </c>
      <c r="AU1572">
        <v>0</v>
      </c>
      <c r="AV1572">
        <v>0</v>
      </c>
      <c r="AW1572">
        <v>0</v>
      </c>
      <c r="AX1572">
        <v>0</v>
      </c>
      <c r="AY1572">
        <v>0</v>
      </c>
      <c r="AZ1572">
        <v>0</v>
      </c>
      <c r="BA1572">
        <v>0</v>
      </c>
      <c r="BB1572">
        <v>0</v>
      </c>
      <c r="BC1572">
        <v>0</v>
      </c>
      <c r="BD1572">
        <v>0</v>
      </c>
      <c r="BE1572">
        <v>0</v>
      </c>
      <c r="BF1572">
        <v>0</v>
      </c>
      <c r="BG1572">
        <v>0</v>
      </c>
      <c r="BH1572">
        <v>1</v>
      </c>
      <c r="BI1572">
        <v>5</v>
      </c>
      <c r="BJ1572">
        <v>8.9</v>
      </c>
      <c r="BK1572">
        <v>9</v>
      </c>
      <c r="BL1572">
        <v>140.9</v>
      </c>
      <c r="BM1572">
        <v>21.14</v>
      </c>
      <c r="BN1572">
        <v>162.04</v>
      </c>
      <c r="BO1572">
        <v>162.04</v>
      </c>
      <c r="BQ1572" t="s">
        <v>1657</v>
      </c>
      <c r="BR1572" t="s">
        <v>84</v>
      </c>
      <c r="BS1572" s="3">
        <v>45792</v>
      </c>
      <c r="BT1572" s="4">
        <v>0.39861111111111114</v>
      </c>
      <c r="BU1572" t="s">
        <v>2176</v>
      </c>
      <c r="BV1572" t="s">
        <v>86</v>
      </c>
      <c r="BY1572">
        <v>44640</v>
      </c>
      <c r="CA1572" t="s">
        <v>141</v>
      </c>
      <c r="CC1572" t="s">
        <v>137</v>
      </c>
      <c r="CD1572" s="5" t="s">
        <v>142</v>
      </c>
      <c r="CE1572" t="s">
        <v>96</v>
      </c>
      <c r="CF1572" s="3">
        <v>45792</v>
      </c>
      <c r="CI1572">
        <v>1</v>
      </c>
      <c r="CJ1572">
        <v>1</v>
      </c>
      <c r="CK1572">
        <v>41</v>
      </c>
      <c r="CL1572" t="s">
        <v>89</v>
      </c>
    </row>
    <row r="1573" spans="1:90" x14ac:dyDescent="0.3">
      <c r="A1573" t="s">
        <v>72</v>
      </c>
      <c r="B1573" t="s">
        <v>73</v>
      </c>
      <c r="C1573" t="s">
        <v>74</v>
      </c>
      <c r="E1573" t="str">
        <f>"080065377216"</f>
        <v>080065377216</v>
      </c>
      <c r="F1573" s="3">
        <v>45791</v>
      </c>
      <c r="G1573">
        <v>202602</v>
      </c>
      <c r="H1573" t="s">
        <v>75</v>
      </c>
      <c r="I1573" t="s">
        <v>76</v>
      </c>
      <c r="J1573" t="s">
        <v>77</v>
      </c>
      <c r="K1573" t="s">
        <v>78</v>
      </c>
      <c r="L1573" t="s">
        <v>130</v>
      </c>
      <c r="M1573" t="s">
        <v>131</v>
      </c>
      <c r="N1573" t="s">
        <v>343</v>
      </c>
      <c r="O1573" t="s">
        <v>82</v>
      </c>
      <c r="P1573" t="str">
        <f>"4170038507                    "</f>
        <v xml:space="preserve">4170038507                    </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0</v>
      </c>
      <c r="AJ1573">
        <v>0</v>
      </c>
      <c r="AK1573">
        <v>0</v>
      </c>
      <c r="AL1573">
        <v>0</v>
      </c>
      <c r="AM1573">
        <v>0</v>
      </c>
      <c r="AN1573">
        <v>0</v>
      </c>
      <c r="AO1573">
        <v>0</v>
      </c>
      <c r="AP1573">
        <v>0</v>
      </c>
      <c r="AQ1573">
        <v>21.38</v>
      </c>
      <c r="AR1573">
        <v>0</v>
      </c>
      <c r="AS1573">
        <v>0</v>
      </c>
      <c r="AT1573">
        <v>0</v>
      </c>
      <c r="AU1573">
        <v>0</v>
      </c>
      <c r="AV1573">
        <v>0</v>
      </c>
      <c r="AW1573">
        <v>0</v>
      </c>
      <c r="AX1573">
        <v>0</v>
      </c>
      <c r="AY1573">
        <v>0</v>
      </c>
      <c r="AZ1573">
        <v>0</v>
      </c>
      <c r="BA1573">
        <v>0</v>
      </c>
      <c r="BB1573">
        <v>0</v>
      </c>
      <c r="BC1573">
        <v>0</v>
      </c>
      <c r="BD1573">
        <v>0</v>
      </c>
      <c r="BE1573">
        <v>0</v>
      </c>
      <c r="BF1573">
        <v>0</v>
      </c>
      <c r="BG1573">
        <v>0</v>
      </c>
      <c r="BH1573">
        <v>1</v>
      </c>
      <c r="BI1573">
        <v>1</v>
      </c>
      <c r="BJ1573">
        <v>0.2</v>
      </c>
      <c r="BK1573">
        <v>1</v>
      </c>
      <c r="BL1573">
        <v>69.98</v>
      </c>
      <c r="BM1573">
        <v>10.5</v>
      </c>
      <c r="BN1573">
        <v>80.48</v>
      </c>
      <c r="BO1573">
        <v>80.48</v>
      </c>
      <c r="BQ1573" t="s">
        <v>344</v>
      </c>
      <c r="BR1573" t="s">
        <v>84</v>
      </c>
      <c r="BS1573" s="3">
        <v>45792</v>
      </c>
      <c r="BT1573" s="4">
        <v>0.3923611111111111</v>
      </c>
      <c r="BU1573" t="s">
        <v>345</v>
      </c>
      <c r="BV1573" t="s">
        <v>86</v>
      </c>
      <c r="BY1573">
        <v>1200</v>
      </c>
      <c r="CA1573" t="s">
        <v>242</v>
      </c>
      <c r="CC1573" t="s">
        <v>131</v>
      </c>
      <c r="CD1573">
        <v>7441</v>
      </c>
      <c r="CE1573" t="s">
        <v>88</v>
      </c>
      <c r="CF1573" s="3">
        <v>45793</v>
      </c>
      <c r="CI1573">
        <v>1</v>
      </c>
      <c r="CJ1573">
        <v>1</v>
      </c>
      <c r="CK1573">
        <v>21</v>
      </c>
      <c r="CL1573" t="s">
        <v>89</v>
      </c>
    </row>
    <row r="1574" spans="1:90" x14ac:dyDescent="0.3">
      <c r="A1574" t="s">
        <v>72</v>
      </c>
      <c r="B1574" t="s">
        <v>73</v>
      </c>
      <c r="C1574" t="s">
        <v>74</v>
      </c>
      <c r="E1574" t="str">
        <f>"080065377219"</f>
        <v>080065377219</v>
      </c>
      <c r="F1574" s="3">
        <v>45791</v>
      </c>
      <c r="G1574">
        <v>202602</v>
      </c>
      <c r="H1574" t="s">
        <v>75</v>
      </c>
      <c r="I1574" t="s">
        <v>76</v>
      </c>
      <c r="J1574" t="s">
        <v>77</v>
      </c>
      <c r="K1574" t="s">
        <v>78</v>
      </c>
      <c r="L1574" t="s">
        <v>972</v>
      </c>
      <c r="M1574" t="s">
        <v>973</v>
      </c>
      <c r="N1574" t="s">
        <v>1744</v>
      </c>
      <c r="O1574" t="s">
        <v>82</v>
      </c>
      <c r="P1574" t="str">
        <f>"4170038512                    "</f>
        <v xml:space="preserve">4170038512                    </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0</v>
      </c>
      <c r="AJ1574">
        <v>0</v>
      </c>
      <c r="AK1574">
        <v>0</v>
      </c>
      <c r="AL1574">
        <v>0</v>
      </c>
      <c r="AM1574">
        <v>0</v>
      </c>
      <c r="AN1574">
        <v>0</v>
      </c>
      <c r="AO1574">
        <v>0</v>
      </c>
      <c r="AP1574">
        <v>0</v>
      </c>
      <c r="AQ1574">
        <v>16.7</v>
      </c>
      <c r="AR1574">
        <v>0</v>
      </c>
      <c r="AS1574">
        <v>0</v>
      </c>
      <c r="AT1574">
        <v>0</v>
      </c>
      <c r="AU1574">
        <v>0</v>
      </c>
      <c r="AV1574">
        <v>0</v>
      </c>
      <c r="AW1574">
        <v>0</v>
      </c>
      <c r="AX1574">
        <v>0</v>
      </c>
      <c r="AY1574">
        <v>0</v>
      </c>
      <c r="AZ1574">
        <v>0</v>
      </c>
      <c r="BA1574">
        <v>0</v>
      </c>
      <c r="BB1574">
        <v>0</v>
      </c>
      <c r="BC1574">
        <v>0</v>
      </c>
      <c r="BD1574">
        <v>0</v>
      </c>
      <c r="BE1574">
        <v>0</v>
      </c>
      <c r="BF1574">
        <v>0</v>
      </c>
      <c r="BG1574">
        <v>0</v>
      </c>
      <c r="BH1574">
        <v>1</v>
      </c>
      <c r="BI1574">
        <v>2</v>
      </c>
      <c r="BJ1574">
        <v>1.4</v>
      </c>
      <c r="BK1574">
        <v>2</v>
      </c>
      <c r="BL1574">
        <v>54.66</v>
      </c>
      <c r="BM1574">
        <v>8.1999999999999993</v>
      </c>
      <c r="BN1574">
        <v>62.86</v>
      </c>
      <c r="BO1574">
        <v>62.86</v>
      </c>
      <c r="BQ1574" t="s">
        <v>1745</v>
      </c>
      <c r="BR1574" t="s">
        <v>84</v>
      </c>
      <c r="BS1574" s="3">
        <v>45792</v>
      </c>
      <c r="BT1574" s="4">
        <v>0.45</v>
      </c>
      <c r="BU1574" t="s">
        <v>1351</v>
      </c>
      <c r="BV1574" t="s">
        <v>86</v>
      </c>
      <c r="BY1574">
        <v>7000</v>
      </c>
      <c r="CA1574" t="s">
        <v>1596</v>
      </c>
      <c r="CC1574" t="s">
        <v>973</v>
      </c>
      <c r="CD1574">
        <v>1709</v>
      </c>
      <c r="CE1574" t="s">
        <v>96</v>
      </c>
      <c r="CF1574" s="3">
        <v>45793</v>
      </c>
      <c r="CI1574">
        <v>1</v>
      </c>
      <c r="CJ1574">
        <v>1</v>
      </c>
      <c r="CK1574">
        <v>22</v>
      </c>
      <c r="CL1574" t="s">
        <v>89</v>
      </c>
    </row>
    <row r="1575" spans="1:90" x14ac:dyDescent="0.3">
      <c r="A1575" t="s">
        <v>72</v>
      </c>
      <c r="B1575" t="s">
        <v>73</v>
      </c>
      <c r="C1575" t="s">
        <v>74</v>
      </c>
      <c r="E1575" t="str">
        <f>"080065377227"</f>
        <v>080065377227</v>
      </c>
      <c r="F1575" s="3">
        <v>45791</v>
      </c>
      <c r="G1575">
        <v>202602</v>
      </c>
      <c r="H1575" t="s">
        <v>75</v>
      </c>
      <c r="I1575" t="s">
        <v>76</v>
      </c>
      <c r="J1575" t="s">
        <v>77</v>
      </c>
      <c r="K1575" t="s">
        <v>78</v>
      </c>
      <c r="L1575" t="s">
        <v>79</v>
      </c>
      <c r="M1575" t="s">
        <v>80</v>
      </c>
      <c r="N1575" t="s">
        <v>415</v>
      </c>
      <c r="O1575" t="s">
        <v>82</v>
      </c>
      <c r="P1575" t="str">
        <f>"4170038404                    "</f>
        <v xml:space="preserve">4170038404                    </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0</v>
      </c>
      <c r="AJ1575">
        <v>0</v>
      </c>
      <c r="AK1575">
        <v>0</v>
      </c>
      <c r="AL1575">
        <v>0</v>
      </c>
      <c r="AM1575">
        <v>0</v>
      </c>
      <c r="AN1575">
        <v>0</v>
      </c>
      <c r="AO1575">
        <v>0</v>
      </c>
      <c r="AP1575">
        <v>0</v>
      </c>
      <c r="AQ1575">
        <v>21.38</v>
      </c>
      <c r="AR1575">
        <v>0</v>
      </c>
      <c r="AS1575">
        <v>0</v>
      </c>
      <c r="AT1575">
        <v>0</v>
      </c>
      <c r="AU1575">
        <v>0</v>
      </c>
      <c r="AV1575">
        <v>0</v>
      </c>
      <c r="AW1575">
        <v>0</v>
      </c>
      <c r="AX1575">
        <v>0</v>
      </c>
      <c r="AY1575">
        <v>0</v>
      </c>
      <c r="AZ1575">
        <v>0</v>
      </c>
      <c r="BA1575">
        <v>0</v>
      </c>
      <c r="BB1575">
        <v>0</v>
      </c>
      <c r="BC1575">
        <v>0</v>
      </c>
      <c r="BD1575">
        <v>0</v>
      </c>
      <c r="BE1575">
        <v>0</v>
      </c>
      <c r="BF1575">
        <v>0</v>
      </c>
      <c r="BG1575">
        <v>0</v>
      </c>
      <c r="BH1575">
        <v>1</v>
      </c>
      <c r="BI1575">
        <v>1</v>
      </c>
      <c r="BJ1575">
        <v>0.9</v>
      </c>
      <c r="BK1575">
        <v>1</v>
      </c>
      <c r="BL1575">
        <v>69.98</v>
      </c>
      <c r="BM1575">
        <v>10.5</v>
      </c>
      <c r="BN1575">
        <v>80.48</v>
      </c>
      <c r="BO1575">
        <v>80.48</v>
      </c>
      <c r="BQ1575" t="s">
        <v>416</v>
      </c>
      <c r="BR1575" t="s">
        <v>84</v>
      </c>
      <c r="BS1575" s="3">
        <v>45792</v>
      </c>
      <c r="BT1575" s="4">
        <v>0.56111111111111112</v>
      </c>
      <c r="BU1575" t="s">
        <v>1152</v>
      </c>
      <c r="BV1575" t="s">
        <v>89</v>
      </c>
      <c r="BY1575">
        <v>4560</v>
      </c>
      <c r="CA1575" t="s">
        <v>87</v>
      </c>
      <c r="CC1575" t="s">
        <v>80</v>
      </c>
      <c r="CD1575">
        <v>3610</v>
      </c>
      <c r="CE1575" t="s">
        <v>96</v>
      </c>
      <c r="CF1575" s="3">
        <v>45793</v>
      </c>
      <c r="CI1575">
        <v>1</v>
      </c>
      <c r="CJ1575">
        <v>1</v>
      </c>
      <c r="CK1575">
        <v>21</v>
      </c>
      <c r="CL1575" t="s">
        <v>89</v>
      </c>
    </row>
    <row r="1576" spans="1:90" x14ac:dyDescent="0.3">
      <c r="A1576" t="s">
        <v>72</v>
      </c>
      <c r="B1576" t="s">
        <v>73</v>
      </c>
      <c r="C1576" t="s">
        <v>74</v>
      </c>
      <c r="E1576" t="str">
        <f>"080065377238"</f>
        <v>080065377238</v>
      </c>
      <c r="F1576" s="3">
        <v>45791</v>
      </c>
      <c r="G1576">
        <v>202602</v>
      </c>
      <c r="H1576" t="s">
        <v>75</v>
      </c>
      <c r="I1576" t="s">
        <v>76</v>
      </c>
      <c r="J1576" t="s">
        <v>77</v>
      </c>
      <c r="K1576" t="s">
        <v>78</v>
      </c>
      <c r="L1576" t="s">
        <v>374</v>
      </c>
      <c r="M1576" t="s">
        <v>375</v>
      </c>
      <c r="N1576" t="s">
        <v>376</v>
      </c>
      <c r="O1576" t="s">
        <v>82</v>
      </c>
      <c r="P1576" t="str">
        <f>"4170038555                    "</f>
        <v xml:space="preserve">4170038555                    </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0</v>
      </c>
      <c r="AK1576">
        <v>0</v>
      </c>
      <c r="AL1576">
        <v>0</v>
      </c>
      <c r="AM1576">
        <v>0</v>
      </c>
      <c r="AN1576">
        <v>0</v>
      </c>
      <c r="AO1576">
        <v>0</v>
      </c>
      <c r="AP1576">
        <v>0</v>
      </c>
      <c r="AQ1576">
        <v>60.14</v>
      </c>
      <c r="AR1576">
        <v>0</v>
      </c>
      <c r="AS1576">
        <v>0</v>
      </c>
      <c r="AT1576">
        <v>0</v>
      </c>
      <c r="AU1576">
        <v>0</v>
      </c>
      <c r="AV1576">
        <v>0</v>
      </c>
      <c r="AW1576">
        <v>0</v>
      </c>
      <c r="AX1576">
        <v>0</v>
      </c>
      <c r="AY1576">
        <v>0</v>
      </c>
      <c r="AZ1576">
        <v>0</v>
      </c>
      <c r="BA1576">
        <v>0</v>
      </c>
      <c r="BB1576">
        <v>0</v>
      </c>
      <c r="BC1576">
        <v>0</v>
      </c>
      <c r="BD1576">
        <v>0</v>
      </c>
      <c r="BE1576">
        <v>0</v>
      </c>
      <c r="BF1576">
        <v>0</v>
      </c>
      <c r="BG1576">
        <v>0</v>
      </c>
      <c r="BH1576">
        <v>1</v>
      </c>
      <c r="BI1576">
        <v>3</v>
      </c>
      <c r="BJ1576">
        <v>1.7</v>
      </c>
      <c r="BK1576">
        <v>3</v>
      </c>
      <c r="BL1576">
        <v>196.82</v>
      </c>
      <c r="BM1576">
        <v>29.52</v>
      </c>
      <c r="BN1576">
        <v>226.34</v>
      </c>
      <c r="BO1576">
        <v>226.34</v>
      </c>
      <c r="BQ1576" t="s">
        <v>377</v>
      </c>
      <c r="BR1576" t="s">
        <v>84</v>
      </c>
      <c r="BS1576" s="3">
        <v>45792</v>
      </c>
      <c r="BT1576" s="4">
        <v>0.4</v>
      </c>
      <c r="BU1576" t="s">
        <v>378</v>
      </c>
      <c r="BV1576" t="s">
        <v>86</v>
      </c>
      <c r="BY1576">
        <v>8550</v>
      </c>
      <c r="CA1576" t="s">
        <v>379</v>
      </c>
      <c r="CC1576" t="s">
        <v>375</v>
      </c>
      <c r="CD1576">
        <v>7130</v>
      </c>
      <c r="CE1576" t="s">
        <v>96</v>
      </c>
      <c r="CF1576" s="3">
        <v>45793</v>
      </c>
      <c r="CI1576">
        <v>1</v>
      </c>
      <c r="CJ1576">
        <v>1</v>
      </c>
      <c r="CK1576">
        <v>23</v>
      </c>
      <c r="CL1576" t="s">
        <v>89</v>
      </c>
    </row>
    <row r="1577" spans="1:90" x14ac:dyDescent="0.3">
      <c r="A1577" t="s">
        <v>72</v>
      </c>
      <c r="B1577" t="s">
        <v>73</v>
      </c>
      <c r="C1577" t="s">
        <v>74</v>
      </c>
      <c r="E1577" t="str">
        <f>"080065138593"</f>
        <v>080065138593</v>
      </c>
      <c r="F1577" s="3">
        <v>45779</v>
      </c>
      <c r="G1577">
        <v>202602</v>
      </c>
      <c r="H1577" t="s">
        <v>75</v>
      </c>
      <c r="I1577" t="s">
        <v>76</v>
      </c>
      <c r="J1577" t="s">
        <v>77</v>
      </c>
      <c r="K1577" t="s">
        <v>78</v>
      </c>
      <c r="L1577" t="s">
        <v>130</v>
      </c>
      <c r="M1577" t="s">
        <v>131</v>
      </c>
      <c r="N1577" t="s">
        <v>2198</v>
      </c>
      <c r="O1577" t="s">
        <v>300</v>
      </c>
      <c r="P1577" t="str">
        <f>"4170036801                    "</f>
        <v xml:space="preserve">4170036801                    </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c r="AK1577">
        <v>0</v>
      </c>
      <c r="AL1577">
        <v>0</v>
      </c>
      <c r="AM1577">
        <v>0</v>
      </c>
      <c r="AN1577">
        <v>0</v>
      </c>
      <c r="AO1577">
        <v>0</v>
      </c>
      <c r="AP1577">
        <v>0</v>
      </c>
      <c r="AQ1577">
        <v>48.06</v>
      </c>
      <c r="AR1577">
        <v>0</v>
      </c>
      <c r="AS1577">
        <v>0</v>
      </c>
      <c r="AT1577">
        <v>0</v>
      </c>
      <c r="AU1577">
        <v>0</v>
      </c>
      <c r="AV1577">
        <v>0</v>
      </c>
      <c r="AW1577">
        <v>0</v>
      </c>
      <c r="AX1577">
        <v>0</v>
      </c>
      <c r="AY1577">
        <v>0</v>
      </c>
      <c r="AZ1577">
        <v>0</v>
      </c>
      <c r="BA1577">
        <v>0</v>
      </c>
      <c r="BB1577">
        <v>0</v>
      </c>
      <c r="BC1577">
        <v>0</v>
      </c>
      <c r="BD1577">
        <v>0</v>
      </c>
      <c r="BE1577">
        <v>0</v>
      </c>
      <c r="BF1577">
        <v>0</v>
      </c>
      <c r="BG1577">
        <v>0</v>
      </c>
      <c r="BH1577">
        <v>2</v>
      </c>
      <c r="BI1577">
        <v>18</v>
      </c>
      <c r="BJ1577">
        <v>8.5</v>
      </c>
      <c r="BK1577">
        <v>18</v>
      </c>
      <c r="BL1577">
        <v>159.25</v>
      </c>
      <c r="BM1577">
        <v>23.89</v>
      </c>
      <c r="BN1577">
        <v>183.14</v>
      </c>
      <c r="BO1577">
        <v>183.14</v>
      </c>
      <c r="BQ1577" t="s">
        <v>2199</v>
      </c>
      <c r="BR1577" t="s">
        <v>84</v>
      </c>
      <c r="BS1577" s="3">
        <v>45783</v>
      </c>
      <c r="BT1577" s="4">
        <v>0.34722222222222221</v>
      </c>
      <c r="BU1577" t="s">
        <v>1199</v>
      </c>
      <c r="BV1577" t="s">
        <v>86</v>
      </c>
      <c r="BY1577">
        <v>21248</v>
      </c>
      <c r="BZ1577" t="s">
        <v>1795</v>
      </c>
      <c r="CA1577" t="s">
        <v>712</v>
      </c>
      <c r="CC1577" t="s">
        <v>131</v>
      </c>
      <c r="CD1577">
        <v>7560</v>
      </c>
      <c r="CE1577" t="s">
        <v>2200</v>
      </c>
      <c r="CF1577" s="3">
        <v>45784</v>
      </c>
      <c r="CI1577">
        <v>3</v>
      </c>
      <c r="CJ1577">
        <v>2</v>
      </c>
      <c r="CK1577">
        <v>41</v>
      </c>
      <c r="CL1577" t="s">
        <v>89</v>
      </c>
    </row>
    <row r="1578" spans="1:90" x14ac:dyDescent="0.3">
      <c r="A1578" t="s">
        <v>72</v>
      </c>
      <c r="B1578" t="s">
        <v>73</v>
      </c>
      <c r="C1578" t="s">
        <v>74</v>
      </c>
      <c r="E1578" t="str">
        <f>"080065370303"</f>
        <v>080065370303</v>
      </c>
      <c r="F1578" s="3">
        <v>45791</v>
      </c>
      <c r="G1578">
        <v>202602</v>
      </c>
      <c r="H1578" t="s">
        <v>75</v>
      </c>
      <c r="I1578" t="s">
        <v>76</v>
      </c>
      <c r="J1578" t="s">
        <v>1791</v>
      </c>
      <c r="K1578" t="s">
        <v>78</v>
      </c>
      <c r="L1578" t="s">
        <v>136</v>
      </c>
      <c r="M1578" t="s">
        <v>137</v>
      </c>
      <c r="N1578" t="s">
        <v>138</v>
      </c>
      <c r="O1578" t="s">
        <v>82</v>
      </c>
      <c r="P1578" t="str">
        <f>"4170038314                    "</f>
        <v xml:space="preserve">4170038314                    </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c r="AJ1578">
        <v>0</v>
      </c>
      <c r="AK1578">
        <v>0</v>
      </c>
      <c r="AL1578">
        <v>0</v>
      </c>
      <c r="AM1578">
        <v>0</v>
      </c>
      <c r="AN1578">
        <v>0</v>
      </c>
      <c r="AO1578">
        <v>0</v>
      </c>
      <c r="AP1578">
        <v>0</v>
      </c>
      <c r="AQ1578">
        <v>21.38</v>
      </c>
      <c r="AR1578">
        <v>0</v>
      </c>
      <c r="AS1578">
        <v>0</v>
      </c>
      <c r="AT1578">
        <v>0</v>
      </c>
      <c r="AU1578">
        <v>0</v>
      </c>
      <c r="AV1578">
        <v>0</v>
      </c>
      <c r="AW1578">
        <v>0</v>
      </c>
      <c r="AX1578">
        <v>0</v>
      </c>
      <c r="AY1578">
        <v>0</v>
      </c>
      <c r="AZ1578">
        <v>0</v>
      </c>
      <c r="BA1578">
        <v>0</v>
      </c>
      <c r="BB1578">
        <v>0</v>
      </c>
      <c r="BC1578">
        <v>0</v>
      </c>
      <c r="BD1578">
        <v>0</v>
      </c>
      <c r="BE1578">
        <v>0</v>
      </c>
      <c r="BF1578">
        <v>0</v>
      </c>
      <c r="BG1578">
        <v>0</v>
      </c>
      <c r="BH1578">
        <v>1</v>
      </c>
      <c r="BI1578">
        <v>2</v>
      </c>
      <c r="BJ1578">
        <v>1.1000000000000001</v>
      </c>
      <c r="BK1578">
        <v>2</v>
      </c>
      <c r="BL1578">
        <v>69.98</v>
      </c>
      <c r="BM1578">
        <v>10.5</v>
      </c>
      <c r="BN1578">
        <v>80.48</v>
      </c>
      <c r="BO1578">
        <v>80.48</v>
      </c>
      <c r="BQ1578" t="s">
        <v>2201</v>
      </c>
      <c r="BR1578" t="s">
        <v>1793</v>
      </c>
      <c r="BS1578" s="3">
        <v>45792</v>
      </c>
      <c r="BT1578" s="4">
        <v>0.4236111111111111</v>
      </c>
      <c r="BU1578" t="s">
        <v>2202</v>
      </c>
      <c r="BV1578" t="s">
        <v>86</v>
      </c>
      <c r="BY1578">
        <v>5320</v>
      </c>
      <c r="BZ1578" t="s">
        <v>1795</v>
      </c>
      <c r="CA1578" t="s">
        <v>141</v>
      </c>
      <c r="CC1578" t="s">
        <v>137</v>
      </c>
      <c r="CD1578" s="5" t="s">
        <v>142</v>
      </c>
      <c r="CE1578" t="s">
        <v>176</v>
      </c>
      <c r="CF1578" s="3">
        <v>45792</v>
      </c>
      <c r="CI1578">
        <v>1</v>
      </c>
      <c r="CJ1578">
        <v>1</v>
      </c>
      <c r="CK1578">
        <v>21</v>
      </c>
      <c r="CL1578" t="s">
        <v>89</v>
      </c>
    </row>
    <row r="1579" spans="1:90" x14ac:dyDescent="0.3">
      <c r="A1579" t="s">
        <v>72</v>
      </c>
      <c r="B1579" t="s">
        <v>73</v>
      </c>
      <c r="C1579" t="s">
        <v>74</v>
      </c>
      <c r="E1579" t="str">
        <f>"080065370312"</f>
        <v>080065370312</v>
      </c>
      <c r="F1579" s="3">
        <v>45791</v>
      </c>
      <c r="G1579">
        <v>202602</v>
      </c>
      <c r="H1579" t="s">
        <v>75</v>
      </c>
      <c r="I1579" t="s">
        <v>76</v>
      </c>
      <c r="J1579" t="s">
        <v>1791</v>
      </c>
      <c r="K1579" t="s">
        <v>78</v>
      </c>
      <c r="L1579" t="s">
        <v>75</v>
      </c>
      <c r="M1579" t="s">
        <v>76</v>
      </c>
      <c r="N1579" t="s">
        <v>183</v>
      </c>
      <c r="O1579" t="s">
        <v>82</v>
      </c>
      <c r="P1579" t="str">
        <f>"4170038393                    "</f>
        <v xml:space="preserve">4170038393                    </v>
      </c>
      <c r="Q1579">
        <v>0</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c r="AJ1579">
        <v>0</v>
      </c>
      <c r="AK1579">
        <v>0</v>
      </c>
      <c r="AL1579">
        <v>0</v>
      </c>
      <c r="AM1579">
        <v>0</v>
      </c>
      <c r="AN1579">
        <v>0</v>
      </c>
      <c r="AO1579">
        <v>0</v>
      </c>
      <c r="AP1579">
        <v>0</v>
      </c>
      <c r="AQ1579">
        <v>16.7</v>
      </c>
      <c r="AR1579">
        <v>0</v>
      </c>
      <c r="AS1579">
        <v>0</v>
      </c>
      <c r="AT1579">
        <v>0</v>
      </c>
      <c r="AU1579">
        <v>0</v>
      </c>
      <c r="AV1579">
        <v>0</v>
      </c>
      <c r="AW1579">
        <v>0</v>
      </c>
      <c r="AX1579">
        <v>0</v>
      </c>
      <c r="AY1579">
        <v>0</v>
      </c>
      <c r="AZ1579">
        <v>0</v>
      </c>
      <c r="BA1579">
        <v>0</v>
      </c>
      <c r="BB1579">
        <v>0</v>
      </c>
      <c r="BC1579">
        <v>0</v>
      </c>
      <c r="BD1579">
        <v>0</v>
      </c>
      <c r="BE1579">
        <v>0</v>
      </c>
      <c r="BF1579">
        <v>0</v>
      </c>
      <c r="BG1579">
        <v>0</v>
      </c>
      <c r="BH1579">
        <v>1</v>
      </c>
      <c r="BI1579">
        <v>1</v>
      </c>
      <c r="BJ1579">
        <v>0.2</v>
      </c>
      <c r="BK1579">
        <v>1</v>
      </c>
      <c r="BL1579">
        <v>54.66</v>
      </c>
      <c r="BM1579">
        <v>8.1999999999999993</v>
      </c>
      <c r="BN1579">
        <v>62.86</v>
      </c>
      <c r="BO1579">
        <v>62.86</v>
      </c>
      <c r="BQ1579" t="s">
        <v>2203</v>
      </c>
      <c r="BR1579" t="s">
        <v>1793</v>
      </c>
      <c r="BS1579" s="3">
        <v>45792</v>
      </c>
      <c r="BT1579" s="4">
        <v>0.2951388888888889</v>
      </c>
      <c r="BU1579" t="s">
        <v>185</v>
      </c>
      <c r="BV1579" t="s">
        <v>86</v>
      </c>
      <c r="BY1579">
        <v>1200</v>
      </c>
      <c r="BZ1579" t="s">
        <v>1795</v>
      </c>
      <c r="CA1579" t="s">
        <v>115</v>
      </c>
      <c r="CC1579" t="s">
        <v>76</v>
      </c>
      <c r="CD1579">
        <v>1600</v>
      </c>
      <c r="CE1579" t="s">
        <v>176</v>
      </c>
      <c r="CF1579" s="3">
        <v>45793</v>
      </c>
      <c r="CI1579">
        <v>1</v>
      </c>
      <c r="CJ1579">
        <v>1</v>
      </c>
      <c r="CK1579">
        <v>22</v>
      </c>
      <c r="CL1579" t="s">
        <v>89</v>
      </c>
    </row>
    <row r="1580" spans="1:90" x14ac:dyDescent="0.3">
      <c r="A1580" t="s">
        <v>72</v>
      </c>
      <c r="B1580" t="s">
        <v>73</v>
      </c>
      <c r="C1580" t="s">
        <v>74</v>
      </c>
      <c r="E1580" t="str">
        <f>"080065370317"</f>
        <v>080065370317</v>
      </c>
      <c r="F1580" s="3">
        <v>45791</v>
      </c>
      <c r="G1580">
        <v>202602</v>
      </c>
      <c r="H1580" t="s">
        <v>75</v>
      </c>
      <c r="I1580" t="s">
        <v>76</v>
      </c>
      <c r="J1580" t="s">
        <v>1791</v>
      </c>
      <c r="K1580" t="s">
        <v>78</v>
      </c>
      <c r="L1580" t="s">
        <v>130</v>
      </c>
      <c r="M1580" t="s">
        <v>131</v>
      </c>
      <c r="N1580" t="s">
        <v>2204</v>
      </c>
      <c r="O1580" t="s">
        <v>82</v>
      </c>
      <c r="P1580" t="str">
        <f>"4170038454                    "</f>
        <v xml:space="preserve">4170038454                    </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c r="AK1580">
        <v>0</v>
      </c>
      <c r="AL1580">
        <v>0</v>
      </c>
      <c r="AM1580">
        <v>0</v>
      </c>
      <c r="AN1580">
        <v>0</v>
      </c>
      <c r="AO1580">
        <v>0</v>
      </c>
      <c r="AP1580">
        <v>0</v>
      </c>
      <c r="AQ1580">
        <v>21.38</v>
      </c>
      <c r="AR1580">
        <v>0</v>
      </c>
      <c r="AS1580">
        <v>0</v>
      </c>
      <c r="AT1580">
        <v>0</v>
      </c>
      <c r="AU1580">
        <v>0</v>
      </c>
      <c r="AV1580">
        <v>0</v>
      </c>
      <c r="AW1580">
        <v>0</v>
      </c>
      <c r="AX1580">
        <v>0</v>
      </c>
      <c r="AY1580">
        <v>0</v>
      </c>
      <c r="AZ1580">
        <v>0</v>
      </c>
      <c r="BA1580">
        <v>0</v>
      </c>
      <c r="BB1580">
        <v>0</v>
      </c>
      <c r="BC1580">
        <v>0</v>
      </c>
      <c r="BD1580">
        <v>0</v>
      </c>
      <c r="BE1580">
        <v>0</v>
      </c>
      <c r="BF1580">
        <v>0</v>
      </c>
      <c r="BG1580">
        <v>0</v>
      </c>
      <c r="BH1580">
        <v>1</v>
      </c>
      <c r="BI1580">
        <v>1</v>
      </c>
      <c r="BJ1580">
        <v>1.7</v>
      </c>
      <c r="BK1580">
        <v>2</v>
      </c>
      <c r="BL1580">
        <v>69.98</v>
      </c>
      <c r="BM1580">
        <v>10.5</v>
      </c>
      <c r="BN1580">
        <v>80.48</v>
      </c>
      <c r="BO1580">
        <v>80.48</v>
      </c>
      <c r="BQ1580" t="s">
        <v>2205</v>
      </c>
      <c r="BR1580" t="s">
        <v>1793</v>
      </c>
      <c r="BS1580" s="3">
        <v>45792</v>
      </c>
      <c r="BT1580" s="4">
        <v>0.44097222222222221</v>
      </c>
      <c r="BU1580" t="s">
        <v>2206</v>
      </c>
      <c r="BV1580" t="s">
        <v>89</v>
      </c>
      <c r="BW1580" t="s">
        <v>340</v>
      </c>
      <c r="BX1580" t="s">
        <v>596</v>
      </c>
      <c r="BY1580">
        <v>8512</v>
      </c>
      <c r="BZ1580" t="s">
        <v>1795</v>
      </c>
      <c r="CA1580" t="s">
        <v>330</v>
      </c>
      <c r="CC1580" t="s">
        <v>131</v>
      </c>
      <c r="CD1580">
        <v>7460</v>
      </c>
      <c r="CE1580" t="s">
        <v>176</v>
      </c>
      <c r="CF1580" s="3">
        <v>45793</v>
      </c>
      <c r="CI1580">
        <v>1</v>
      </c>
      <c r="CJ1580">
        <v>1</v>
      </c>
      <c r="CK1580">
        <v>21</v>
      </c>
      <c r="CL1580" t="s">
        <v>89</v>
      </c>
    </row>
    <row r="1581" spans="1:90" x14ac:dyDescent="0.3">
      <c r="A1581" t="s">
        <v>72</v>
      </c>
      <c r="B1581" t="s">
        <v>73</v>
      </c>
      <c r="C1581" t="s">
        <v>74</v>
      </c>
      <c r="E1581" t="str">
        <f>"080065370324"</f>
        <v>080065370324</v>
      </c>
      <c r="F1581" s="3">
        <v>45791</v>
      </c>
      <c r="G1581">
        <v>202602</v>
      </c>
      <c r="H1581" t="s">
        <v>75</v>
      </c>
      <c r="I1581" t="s">
        <v>76</v>
      </c>
      <c r="J1581" t="s">
        <v>1791</v>
      </c>
      <c r="K1581" t="s">
        <v>78</v>
      </c>
      <c r="L1581" t="s">
        <v>136</v>
      </c>
      <c r="M1581" t="s">
        <v>137</v>
      </c>
      <c r="N1581" t="s">
        <v>1656</v>
      </c>
      <c r="O1581" t="s">
        <v>82</v>
      </c>
      <c r="P1581" t="str">
        <f>"4170038322                    "</f>
        <v xml:space="preserve">4170038322                    </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c r="AJ1581">
        <v>0</v>
      </c>
      <c r="AK1581">
        <v>0</v>
      </c>
      <c r="AL1581">
        <v>0</v>
      </c>
      <c r="AM1581">
        <v>0</v>
      </c>
      <c r="AN1581">
        <v>0</v>
      </c>
      <c r="AO1581">
        <v>0</v>
      </c>
      <c r="AP1581">
        <v>0</v>
      </c>
      <c r="AQ1581">
        <v>21.38</v>
      </c>
      <c r="AR1581">
        <v>0</v>
      </c>
      <c r="AS1581">
        <v>0</v>
      </c>
      <c r="AT1581">
        <v>0</v>
      </c>
      <c r="AU1581">
        <v>0</v>
      </c>
      <c r="AV1581">
        <v>0</v>
      </c>
      <c r="AW1581">
        <v>0</v>
      </c>
      <c r="AX1581">
        <v>0</v>
      </c>
      <c r="AY1581">
        <v>0</v>
      </c>
      <c r="AZ1581">
        <v>0</v>
      </c>
      <c r="BA1581">
        <v>0</v>
      </c>
      <c r="BB1581">
        <v>0</v>
      </c>
      <c r="BC1581">
        <v>0</v>
      </c>
      <c r="BD1581">
        <v>0</v>
      </c>
      <c r="BE1581">
        <v>0</v>
      </c>
      <c r="BF1581">
        <v>0</v>
      </c>
      <c r="BG1581">
        <v>0</v>
      </c>
      <c r="BH1581">
        <v>1</v>
      </c>
      <c r="BI1581">
        <v>1</v>
      </c>
      <c r="BJ1581">
        <v>0.2</v>
      </c>
      <c r="BK1581">
        <v>1</v>
      </c>
      <c r="BL1581">
        <v>69.98</v>
      </c>
      <c r="BM1581">
        <v>10.5</v>
      </c>
      <c r="BN1581">
        <v>80.48</v>
      </c>
      <c r="BO1581">
        <v>80.48</v>
      </c>
      <c r="BQ1581" t="s">
        <v>1657</v>
      </c>
      <c r="BR1581" t="s">
        <v>1793</v>
      </c>
      <c r="BS1581" s="3">
        <v>45792</v>
      </c>
      <c r="BT1581" s="4">
        <v>0.39791666666666664</v>
      </c>
      <c r="BU1581" t="s">
        <v>2176</v>
      </c>
      <c r="BV1581" t="s">
        <v>86</v>
      </c>
      <c r="BY1581">
        <v>1200</v>
      </c>
      <c r="BZ1581" t="s">
        <v>1795</v>
      </c>
      <c r="CA1581" t="s">
        <v>141</v>
      </c>
      <c r="CC1581" t="s">
        <v>137</v>
      </c>
      <c r="CD1581" s="5" t="s">
        <v>142</v>
      </c>
      <c r="CE1581" t="s">
        <v>176</v>
      </c>
      <c r="CF1581" s="3">
        <v>45792</v>
      </c>
      <c r="CI1581">
        <v>1</v>
      </c>
      <c r="CJ1581">
        <v>1</v>
      </c>
      <c r="CK1581">
        <v>21</v>
      </c>
      <c r="CL1581" t="s">
        <v>89</v>
      </c>
    </row>
    <row r="1582" spans="1:90" x14ac:dyDescent="0.3">
      <c r="A1582" t="s">
        <v>72</v>
      </c>
      <c r="B1582" t="s">
        <v>73</v>
      </c>
      <c r="C1582" t="s">
        <v>74</v>
      </c>
      <c r="E1582" t="str">
        <f>"080065370342"</f>
        <v>080065370342</v>
      </c>
      <c r="F1582" s="3">
        <v>45791</v>
      </c>
      <c r="G1582">
        <v>202602</v>
      </c>
      <c r="H1582" t="s">
        <v>75</v>
      </c>
      <c r="I1582" t="s">
        <v>76</v>
      </c>
      <c r="J1582" t="s">
        <v>1791</v>
      </c>
      <c r="K1582" t="s">
        <v>78</v>
      </c>
      <c r="L1582" t="s">
        <v>177</v>
      </c>
      <c r="M1582" t="s">
        <v>178</v>
      </c>
      <c r="N1582" t="s">
        <v>2207</v>
      </c>
      <c r="O1582" t="s">
        <v>82</v>
      </c>
      <c r="P1582" t="str">
        <f>"4170038383                    "</f>
        <v xml:space="preserve">4170038383                    </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c r="AJ1582">
        <v>0</v>
      </c>
      <c r="AK1582">
        <v>0</v>
      </c>
      <c r="AL1582">
        <v>0</v>
      </c>
      <c r="AM1582">
        <v>0</v>
      </c>
      <c r="AN1582">
        <v>0</v>
      </c>
      <c r="AO1582">
        <v>0</v>
      </c>
      <c r="AP1582">
        <v>0</v>
      </c>
      <c r="AQ1582">
        <v>21.38</v>
      </c>
      <c r="AR1582">
        <v>0</v>
      </c>
      <c r="AS1582">
        <v>0</v>
      </c>
      <c r="AT1582">
        <v>0</v>
      </c>
      <c r="AU1582">
        <v>0</v>
      </c>
      <c r="AV1582">
        <v>0</v>
      </c>
      <c r="AW1582">
        <v>0</v>
      </c>
      <c r="AX1582">
        <v>0</v>
      </c>
      <c r="AY1582">
        <v>0</v>
      </c>
      <c r="AZ1582">
        <v>0</v>
      </c>
      <c r="BA1582">
        <v>0</v>
      </c>
      <c r="BB1582">
        <v>0</v>
      </c>
      <c r="BC1582">
        <v>0</v>
      </c>
      <c r="BD1582">
        <v>0</v>
      </c>
      <c r="BE1582">
        <v>0</v>
      </c>
      <c r="BF1582">
        <v>0</v>
      </c>
      <c r="BG1582">
        <v>0</v>
      </c>
      <c r="BH1582">
        <v>1</v>
      </c>
      <c r="BI1582">
        <v>1</v>
      </c>
      <c r="BJ1582">
        <v>0.2</v>
      </c>
      <c r="BK1582">
        <v>1</v>
      </c>
      <c r="BL1582">
        <v>69.98</v>
      </c>
      <c r="BM1582">
        <v>10.5</v>
      </c>
      <c r="BN1582">
        <v>80.48</v>
      </c>
      <c r="BO1582">
        <v>80.48</v>
      </c>
      <c r="BQ1582" t="s">
        <v>2208</v>
      </c>
      <c r="BR1582" t="s">
        <v>1793</v>
      </c>
      <c r="BS1582" s="3">
        <v>45792</v>
      </c>
      <c r="BT1582" s="4">
        <v>0.39652777777777776</v>
      </c>
      <c r="BU1582" t="s">
        <v>1728</v>
      </c>
      <c r="BV1582" t="s">
        <v>86</v>
      </c>
      <c r="BY1582">
        <v>1200</v>
      </c>
      <c r="BZ1582" t="s">
        <v>1795</v>
      </c>
      <c r="CA1582" t="s">
        <v>182</v>
      </c>
      <c r="CC1582" t="s">
        <v>178</v>
      </c>
      <c r="CD1582">
        <v>6230</v>
      </c>
      <c r="CE1582" t="s">
        <v>176</v>
      </c>
      <c r="CF1582" s="3">
        <v>45792</v>
      </c>
      <c r="CI1582">
        <v>1</v>
      </c>
      <c r="CJ1582">
        <v>1</v>
      </c>
      <c r="CK1582">
        <v>21</v>
      </c>
      <c r="CL1582" t="s">
        <v>89</v>
      </c>
    </row>
    <row r="1583" spans="1:90" x14ac:dyDescent="0.3">
      <c r="A1583" t="s">
        <v>72</v>
      </c>
      <c r="B1583" t="s">
        <v>73</v>
      </c>
      <c r="C1583" t="s">
        <v>74</v>
      </c>
      <c r="E1583" t="str">
        <f>"080065370355"</f>
        <v>080065370355</v>
      </c>
      <c r="F1583" s="3">
        <v>45791</v>
      </c>
      <c r="G1583">
        <v>202602</v>
      </c>
      <c r="H1583" t="s">
        <v>75</v>
      </c>
      <c r="I1583" t="s">
        <v>76</v>
      </c>
      <c r="J1583" t="s">
        <v>1791</v>
      </c>
      <c r="K1583" t="s">
        <v>78</v>
      </c>
      <c r="L1583" t="s">
        <v>350</v>
      </c>
      <c r="M1583" t="s">
        <v>351</v>
      </c>
      <c r="N1583" t="s">
        <v>404</v>
      </c>
      <c r="O1583" t="s">
        <v>82</v>
      </c>
      <c r="P1583" t="str">
        <f>"4170038294                    "</f>
        <v xml:space="preserve">4170038294                    </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c r="AK1583">
        <v>0</v>
      </c>
      <c r="AL1583">
        <v>0</v>
      </c>
      <c r="AM1583">
        <v>0</v>
      </c>
      <c r="AN1583">
        <v>0</v>
      </c>
      <c r="AO1583">
        <v>0</v>
      </c>
      <c r="AP1583">
        <v>0</v>
      </c>
      <c r="AQ1583">
        <v>21.38</v>
      </c>
      <c r="AR1583">
        <v>0</v>
      </c>
      <c r="AS1583">
        <v>0</v>
      </c>
      <c r="AT1583">
        <v>0</v>
      </c>
      <c r="AU1583">
        <v>0</v>
      </c>
      <c r="AV1583">
        <v>0</v>
      </c>
      <c r="AW1583">
        <v>0</v>
      </c>
      <c r="AX1583">
        <v>0</v>
      </c>
      <c r="AY1583">
        <v>0</v>
      </c>
      <c r="AZ1583">
        <v>0</v>
      </c>
      <c r="BA1583">
        <v>0</v>
      </c>
      <c r="BB1583">
        <v>0</v>
      </c>
      <c r="BC1583">
        <v>0</v>
      </c>
      <c r="BD1583">
        <v>0</v>
      </c>
      <c r="BE1583">
        <v>0</v>
      </c>
      <c r="BF1583">
        <v>0</v>
      </c>
      <c r="BG1583">
        <v>0</v>
      </c>
      <c r="BH1583">
        <v>1</v>
      </c>
      <c r="BI1583">
        <v>1</v>
      </c>
      <c r="BJ1583">
        <v>0.2</v>
      </c>
      <c r="BK1583">
        <v>1</v>
      </c>
      <c r="BL1583">
        <v>69.98</v>
      </c>
      <c r="BM1583">
        <v>10.5</v>
      </c>
      <c r="BN1583">
        <v>80.48</v>
      </c>
      <c r="BO1583">
        <v>80.48</v>
      </c>
      <c r="BQ1583" t="s">
        <v>2209</v>
      </c>
      <c r="BR1583" t="s">
        <v>1793</v>
      </c>
      <c r="BS1583" s="3">
        <v>45792</v>
      </c>
      <c r="BT1583" s="4">
        <v>0.52013888888888893</v>
      </c>
      <c r="BU1583" t="s">
        <v>1479</v>
      </c>
      <c r="BV1583" t="s">
        <v>89</v>
      </c>
      <c r="BW1583" t="s">
        <v>434</v>
      </c>
      <c r="BX1583" t="s">
        <v>1829</v>
      </c>
      <c r="BY1583">
        <v>1200</v>
      </c>
      <c r="BZ1583" t="s">
        <v>1795</v>
      </c>
      <c r="CA1583" t="s">
        <v>326</v>
      </c>
      <c r="CC1583" t="s">
        <v>351</v>
      </c>
      <c r="CD1583">
        <v>4052</v>
      </c>
      <c r="CE1583" t="s">
        <v>176</v>
      </c>
      <c r="CF1583" s="3">
        <v>45793</v>
      </c>
      <c r="CI1583">
        <v>1</v>
      </c>
      <c r="CJ1583">
        <v>1</v>
      </c>
      <c r="CK1583">
        <v>21</v>
      </c>
      <c r="CL1583" t="s">
        <v>89</v>
      </c>
    </row>
    <row r="1584" spans="1:90" x14ac:dyDescent="0.3">
      <c r="A1584" t="s">
        <v>72</v>
      </c>
      <c r="B1584" t="s">
        <v>73</v>
      </c>
      <c r="C1584" t="s">
        <v>74</v>
      </c>
      <c r="E1584" t="str">
        <f>"080065389434"</f>
        <v>080065389434</v>
      </c>
      <c r="F1584" s="3">
        <v>45792</v>
      </c>
      <c r="G1584">
        <v>202602</v>
      </c>
      <c r="H1584" t="s">
        <v>75</v>
      </c>
      <c r="I1584" t="s">
        <v>76</v>
      </c>
      <c r="J1584" t="s">
        <v>77</v>
      </c>
      <c r="K1584" t="s">
        <v>78</v>
      </c>
      <c r="L1584" t="s">
        <v>130</v>
      </c>
      <c r="M1584" t="s">
        <v>131</v>
      </c>
      <c r="N1584" t="s">
        <v>327</v>
      </c>
      <c r="O1584" t="s">
        <v>82</v>
      </c>
      <c r="P1584" t="str">
        <f>"4170038635                    "</f>
        <v xml:space="preserve">4170038635                    </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21.38</v>
      </c>
      <c r="AR1584">
        <v>0</v>
      </c>
      <c r="AS1584">
        <v>0</v>
      </c>
      <c r="AT1584">
        <v>0</v>
      </c>
      <c r="AU1584">
        <v>0</v>
      </c>
      <c r="AV1584">
        <v>0</v>
      </c>
      <c r="AW1584">
        <v>0</v>
      </c>
      <c r="AX1584">
        <v>0</v>
      </c>
      <c r="AY1584">
        <v>0</v>
      </c>
      <c r="AZ1584">
        <v>0</v>
      </c>
      <c r="BA1584">
        <v>0</v>
      </c>
      <c r="BB1584">
        <v>0</v>
      </c>
      <c r="BC1584">
        <v>0</v>
      </c>
      <c r="BD1584">
        <v>0</v>
      </c>
      <c r="BE1584">
        <v>0</v>
      </c>
      <c r="BF1584">
        <v>0</v>
      </c>
      <c r="BG1584">
        <v>0</v>
      </c>
      <c r="BH1584">
        <v>1</v>
      </c>
      <c r="BI1584">
        <v>1</v>
      </c>
      <c r="BJ1584">
        <v>0.2</v>
      </c>
      <c r="BK1584">
        <v>1</v>
      </c>
      <c r="BL1584">
        <v>69.98</v>
      </c>
      <c r="BM1584">
        <v>10.5</v>
      </c>
      <c r="BN1584">
        <v>80.48</v>
      </c>
      <c r="BO1584">
        <v>80.48</v>
      </c>
      <c r="BQ1584" t="s">
        <v>328</v>
      </c>
      <c r="BR1584" t="s">
        <v>84</v>
      </c>
      <c r="BS1584" s="3">
        <v>45793</v>
      </c>
      <c r="BT1584" s="4">
        <v>0.38333333333333336</v>
      </c>
      <c r="BU1584" t="s">
        <v>329</v>
      </c>
      <c r="BV1584" t="s">
        <v>86</v>
      </c>
      <c r="BY1584">
        <v>1200</v>
      </c>
      <c r="CA1584" t="s">
        <v>330</v>
      </c>
      <c r="CC1584" t="s">
        <v>131</v>
      </c>
      <c r="CD1584">
        <v>7480</v>
      </c>
      <c r="CE1584" t="s">
        <v>88</v>
      </c>
      <c r="CF1584" s="3">
        <v>45796</v>
      </c>
      <c r="CI1584">
        <v>1</v>
      </c>
      <c r="CJ1584">
        <v>1</v>
      </c>
      <c r="CK1584">
        <v>21</v>
      </c>
      <c r="CL1584" t="s">
        <v>89</v>
      </c>
    </row>
    <row r="1585" spans="1:90" x14ac:dyDescent="0.3">
      <c r="A1585" t="s">
        <v>72</v>
      </c>
      <c r="B1585" t="s">
        <v>73</v>
      </c>
      <c r="C1585" t="s">
        <v>74</v>
      </c>
      <c r="E1585" t="str">
        <f>"080065389439"</f>
        <v>080065389439</v>
      </c>
      <c r="F1585" s="3">
        <v>45792</v>
      </c>
      <c r="G1585">
        <v>202602</v>
      </c>
      <c r="H1585" t="s">
        <v>75</v>
      </c>
      <c r="I1585" t="s">
        <v>76</v>
      </c>
      <c r="J1585" t="s">
        <v>77</v>
      </c>
      <c r="K1585" t="s">
        <v>78</v>
      </c>
      <c r="L1585" t="s">
        <v>130</v>
      </c>
      <c r="M1585" t="s">
        <v>131</v>
      </c>
      <c r="N1585" t="s">
        <v>699</v>
      </c>
      <c r="O1585" t="s">
        <v>82</v>
      </c>
      <c r="P1585" t="str">
        <f>"4170038607                    "</f>
        <v xml:space="preserve">4170038607                    </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0</v>
      </c>
      <c r="AL1585">
        <v>0</v>
      </c>
      <c r="AM1585">
        <v>0</v>
      </c>
      <c r="AN1585">
        <v>0</v>
      </c>
      <c r="AO1585">
        <v>0</v>
      </c>
      <c r="AP1585">
        <v>0</v>
      </c>
      <c r="AQ1585">
        <v>21.38</v>
      </c>
      <c r="AR1585">
        <v>0</v>
      </c>
      <c r="AS1585">
        <v>0</v>
      </c>
      <c r="AT1585">
        <v>0</v>
      </c>
      <c r="AU1585">
        <v>0</v>
      </c>
      <c r="AV1585">
        <v>0</v>
      </c>
      <c r="AW1585">
        <v>0</v>
      </c>
      <c r="AX1585">
        <v>0</v>
      </c>
      <c r="AY1585">
        <v>0</v>
      </c>
      <c r="AZ1585">
        <v>0</v>
      </c>
      <c r="BA1585">
        <v>0</v>
      </c>
      <c r="BB1585">
        <v>0</v>
      </c>
      <c r="BC1585">
        <v>0</v>
      </c>
      <c r="BD1585">
        <v>0</v>
      </c>
      <c r="BE1585">
        <v>0</v>
      </c>
      <c r="BF1585">
        <v>0</v>
      </c>
      <c r="BG1585">
        <v>0</v>
      </c>
      <c r="BH1585">
        <v>1</v>
      </c>
      <c r="BI1585">
        <v>1</v>
      </c>
      <c r="BJ1585">
        <v>0.2</v>
      </c>
      <c r="BK1585">
        <v>1</v>
      </c>
      <c r="BL1585">
        <v>69.98</v>
      </c>
      <c r="BM1585">
        <v>10.5</v>
      </c>
      <c r="BN1585">
        <v>80.48</v>
      </c>
      <c r="BO1585">
        <v>80.48</v>
      </c>
      <c r="BQ1585" t="s">
        <v>700</v>
      </c>
      <c r="BR1585" t="s">
        <v>84</v>
      </c>
      <c r="BS1585" s="3">
        <v>45793</v>
      </c>
      <c r="BT1585" s="4">
        <v>0.41319444444444442</v>
      </c>
      <c r="BU1585" t="s">
        <v>701</v>
      </c>
      <c r="BV1585" t="s">
        <v>86</v>
      </c>
      <c r="BY1585">
        <v>1200</v>
      </c>
      <c r="CA1585" t="s">
        <v>330</v>
      </c>
      <c r="CC1585" t="s">
        <v>131</v>
      </c>
      <c r="CD1585">
        <v>7480</v>
      </c>
      <c r="CE1585" t="s">
        <v>88</v>
      </c>
      <c r="CF1585" s="3">
        <v>45796</v>
      </c>
      <c r="CI1585">
        <v>1</v>
      </c>
      <c r="CJ1585">
        <v>1</v>
      </c>
      <c r="CK1585">
        <v>21</v>
      </c>
      <c r="CL1585" t="s">
        <v>89</v>
      </c>
    </row>
    <row r="1586" spans="1:90" x14ac:dyDescent="0.3">
      <c r="A1586" t="s">
        <v>72</v>
      </c>
      <c r="B1586" t="s">
        <v>73</v>
      </c>
      <c r="C1586" t="s">
        <v>74</v>
      </c>
      <c r="E1586" t="str">
        <f>"080065387370"</f>
        <v>080065387370</v>
      </c>
      <c r="F1586" s="3">
        <v>45792</v>
      </c>
      <c r="G1586">
        <v>202602</v>
      </c>
      <c r="H1586" t="s">
        <v>75</v>
      </c>
      <c r="I1586" t="s">
        <v>76</v>
      </c>
      <c r="J1586" t="s">
        <v>77</v>
      </c>
      <c r="K1586" t="s">
        <v>78</v>
      </c>
      <c r="L1586" t="s">
        <v>177</v>
      </c>
      <c r="M1586" t="s">
        <v>178</v>
      </c>
      <c r="N1586" t="s">
        <v>393</v>
      </c>
      <c r="O1586" t="s">
        <v>82</v>
      </c>
      <c r="P1586" t="str">
        <f>"4170038633                    "</f>
        <v xml:space="preserve">4170038633                    </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0</v>
      </c>
      <c r="AL1586">
        <v>0</v>
      </c>
      <c r="AM1586">
        <v>0</v>
      </c>
      <c r="AN1586">
        <v>0</v>
      </c>
      <c r="AO1586">
        <v>0</v>
      </c>
      <c r="AP1586">
        <v>0</v>
      </c>
      <c r="AQ1586">
        <v>21.38</v>
      </c>
      <c r="AR1586">
        <v>0</v>
      </c>
      <c r="AS1586">
        <v>0</v>
      </c>
      <c r="AT1586">
        <v>0</v>
      </c>
      <c r="AU1586">
        <v>0</v>
      </c>
      <c r="AV1586">
        <v>0</v>
      </c>
      <c r="AW1586">
        <v>0</v>
      </c>
      <c r="AX1586">
        <v>0</v>
      </c>
      <c r="AY1586">
        <v>0</v>
      </c>
      <c r="AZ1586">
        <v>0</v>
      </c>
      <c r="BA1586">
        <v>0</v>
      </c>
      <c r="BB1586">
        <v>0</v>
      </c>
      <c r="BC1586">
        <v>0</v>
      </c>
      <c r="BD1586">
        <v>0</v>
      </c>
      <c r="BE1586">
        <v>0</v>
      </c>
      <c r="BF1586">
        <v>0</v>
      </c>
      <c r="BG1586">
        <v>0</v>
      </c>
      <c r="BH1586">
        <v>1</v>
      </c>
      <c r="BI1586">
        <v>1</v>
      </c>
      <c r="BJ1586">
        <v>0.2</v>
      </c>
      <c r="BK1586">
        <v>1</v>
      </c>
      <c r="BL1586">
        <v>69.98</v>
      </c>
      <c r="BM1586">
        <v>10.5</v>
      </c>
      <c r="BN1586">
        <v>80.48</v>
      </c>
      <c r="BO1586">
        <v>80.48</v>
      </c>
      <c r="BQ1586" t="s">
        <v>394</v>
      </c>
      <c r="BR1586" t="s">
        <v>84</v>
      </c>
      <c r="BS1586" s="3">
        <v>45793</v>
      </c>
      <c r="BT1586" s="4">
        <v>0.33333333333333331</v>
      </c>
      <c r="BU1586" t="s">
        <v>2120</v>
      </c>
      <c r="BV1586" t="s">
        <v>86</v>
      </c>
      <c r="BY1586">
        <v>1200</v>
      </c>
      <c r="CA1586" t="s">
        <v>182</v>
      </c>
      <c r="CC1586" t="s">
        <v>178</v>
      </c>
      <c r="CD1586">
        <v>6230</v>
      </c>
      <c r="CE1586" t="s">
        <v>88</v>
      </c>
      <c r="CF1586" s="3">
        <v>45793</v>
      </c>
      <c r="CI1586">
        <v>1</v>
      </c>
      <c r="CJ1586">
        <v>1</v>
      </c>
      <c r="CK1586">
        <v>21</v>
      </c>
      <c r="CL1586" t="s">
        <v>89</v>
      </c>
    </row>
    <row r="1587" spans="1:90" x14ac:dyDescent="0.3">
      <c r="A1587" t="s">
        <v>72</v>
      </c>
      <c r="B1587" t="s">
        <v>73</v>
      </c>
      <c r="C1587" t="s">
        <v>74</v>
      </c>
      <c r="E1587" t="str">
        <f>"080065387268"</f>
        <v>080065387268</v>
      </c>
      <c r="F1587" s="3">
        <v>45792</v>
      </c>
      <c r="G1587">
        <v>202602</v>
      </c>
      <c r="H1587" t="s">
        <v>75</v>
      </c>
      <c r="I1587" t="s">
        <v>76</v>
      </c>
      <c r="J1587" t="s">
        <v>77</v>
      </c>
      <c r="K1587" t="s">
        <v>78</v>
      </c>
      <c r="L1587" t="s">
        <v>624</v>
      </c>
      <c r="M1587" t="s">
        <v>625</v>
      </c>
      <c r="N1587" t="s">
        <v>626</v>
      </c>
      <c r="O1587" t="s">
        <v>82</v>
      </c>
      <c r="P1587" t="str">
        <f>"4170038628                    "</f>
        <v xml:space="preserve">4170038628                    </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c r="AK1587">
        <v>0</v>
      </c>
      <c r="AL1587">
        <v>0</v>
      </c>
      <c r="AM1587">
        <v>0</v>
      </c>
      <c r="AN1587">
        <v>0</v>
      </c>
      <c r="AO1587">
        <v>0</v>
      </c>
      <c r="AP1587">
        <v>0</v>
      </c>
      <c r="AQ1587">
        <v>41.43</v>
      </c>
      <c r="AR1587">
        <v>0</v>
      </c>
      <c r="AS1587">
        <v>0</v>
      </c>
      <c r="AT1587">
        <v>0</v>
      </c>
      <c r="AU1587">
        <v>0</v>
      </c>
      <c r="AV1587">
        <v>0</v>
      </c>
      <c r="AW1587">
        <v>0</v>
      </c>
      <c r="AX1587">
        <v>0</v>
      </c>
      <c r="AY1587">
        <v>0</v>
      </c>
      <c r="AZ1587">
        <v>0</v>
      </c>
      <c r="BA1587">
        <v>0</v>
      </c>
      <c r="BB1587">
        <v>0</v>
      </c>
      <c r="BC1587">
        <v>0</v>
      </c>
      <c r="BD1587">
        <v>0</v>
      </c>
      <c r="BE1587">
        <v>0</v>
      </c>
      <c r="BF1587">
        <v>0</v>
      </c>
      <c r="BG1587">
        <v>0</v>
      </c>
      <c r="BH1587">
        <v>1</v>
      </c>
      <c r="BI1587">
        <v>1</v>
      </c>
      <c r="BJ1587">
        <v>0.2</v>
      </c>
      <c r="BK1587">
        <v>1</v>
      </c>
      <c r="BL1587">
        <v>135.59</v>
      </c>
      <c r="BM1587">
        <v>20.34</v>
      </c>
      <c r="BN1587">
        <v>155.93</v>
      </c>
      <c r="BO1587">
        <v>155.93</v>
      </c>
      <c r="BQ1587" t="s">
        <v>627</v>
      </c>
      <c r="BR1587" t="s">
        <v>84</v>
      </c>
      <c r="BS1587" s="3">
        <v>45793</v>
      </c>
      <c r="BT1587" s="4">
        <v>0.33958333333333335</v>
      </c>
      <c r="BU1587" t="s">
        <v>1674</v>
      </c>
      <c r="BV1587" t="s">
        <v>86</v>
      </c>
      <c r="BY1587">
        <v>1200</v>
      </c>
      <c r="CC1587" t="s">
        <v>625</v>
      </c>
      <c r="CD1587">
        <v>1947</v>
      </c>
      <c r="CE1587" t="s">
        <v>1193</v>
      </c>
      <c r="CF1587" s="3">
        <v>45793</v>
      </c>
      <c r="CI1587">
        <v>1</v>
      </c>
      <c r="CJ1587">
        <v>1</v>
      </c>
      <c r="CK1587">
        <v>23</v>
      </c>
      <c r="CL1587" t="s">
        <v>89</v>
      </c>
    </row>
    <row r="1588" spans="1:90" x14ac:dyDescent="0.3">
      <c r="A1588" t="s">
        <v>72</v>
      </c>
      <c r="B1588" t="s">
        <v>73</v>
      </c>
      <c r="C1588" t="s">
        <v>74</v>
      </c>
      <c r="E1588" t="str">
        <f>"080065387317"</f>
        <v>080065387317</v>
      </c>
      <c r="F1588" s="3">
        <v>45792</v>
      </c>
      <c r="G1588">
        <v>202602</v>
      </c>
      <c r="H1588" t="s">
        <v>75</v>
      </c>
      <c r="I1588" t="s">
        <v>76</v>
      </c>
      <c r="J1588" t="s">
        <v>77</v>
      </c>
      <c r="K1588" t="s">
        <v>78</v>
      </c>
      <c r="L1588" t="s">
        <v>186</v>
      </c>
      <c r="M1588" t="s">
        <v>187</v>
      </c>
      <c r="N1588" t="s">
        <v>1325</v>
      </c>
      <c r="O1588" t="s">
        <v>82</v>
      </c>
      <c r="P1588" t="str">
        <f>"4170038649                    "</f>
        <v xml:space="preserve">4170038649                    </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21.38</v>
      </c>
      <c r="AR1588">
        <v>0</v>
      </c>
      <c r="AS1588">
        <v>0</v>
      </c>
      <c r="AT1588">
        <v>0</v>
      </c>
      <c r="AU1588">
        <v>0</v>
      </c>
      <c r="AV1588">
        <v>0</v>
      </c>
      <c r="AW1588">
        <v>0</v>
      </c>
      <c r="AX1588">
        <v>0</v>
      </c>
      <c r="AY1588">
        <v>0</v>
      </c>
      <c r="AZ1588">
        <v>0</v>
      </c>
      <c r="BA1588">
        <v>0</v>
      </c>
      <c r="BB1588">
        <v>0</v>
      </c>
      <c r="BC1588">
        <v>0</v>
      </c>
      <c r="BD1588">
        <v>0</v>
      </c>
      <c r="BE1588">
        <v>0</v>
      </c>
      <c r="BF1588">
        <v>0</v>
      </c>
      <c r="BG1588">
        <v>0</v>
      </c>
      <c r="BH1588">
        <v>1</v>
      </c>
      <c r="BI1588">
        <v>1</v>
      </c>
      <c r="BJ1588">
        <v>0.2</v>
      </c>
      <c r="BK1588">
        <v>1</v>
      </c>
      <c r="BL1588">
        <v>69.98</v>
      </c>
      <c r="BM1588">
        <v>10.5</v>
      </c>
      <c r="BN1588">
        <v>80.48</v>
      </c>
      <c r="BO1588">
        <v>80.48</v>
      </c>
      <c r="BQ1588" t="s">
        <v>1326</v>
      </c>
      <c r="BR1588" t="s">
        <v>84</v>
      </c>
      <c r="BS1588" s="3">
        <v>45793</v>
      </c>
      <c r="BT1588" s="4">
        <v>0.42499999999999999</v>
      </c>
      <c r="BU1588" t="s">
        <v>1753</v>
      </c>
      <c r="BV1588" t="s">
        <v>86</v>
      </c>
      <c r="BY1588">
        <v>1200</v>
      </c>
      <c r="CA1588" t="s">
        <v>191</v>
      </c>
      <c r="CC1588" t="s">
        <v>187</v>
      </c>
      <c r="CD1588">
        <v>4126</v>
      </c>
      <c r="CE1588" t="s">
        <v>88</v>
      </c>
      <c r="CF1588" s="3">
        <v>45794</v>
      </c>
      <c r="CI1588">
        <v>1</v>
      </c>
      <c r="CJ1588">
        <v>1</v>
      </c>
      <c r="CK1588">
        <v>21</v>
      </c>
      <c r="CL1588" t="s">
        <v>89</v>
      </c>
    </row>
    <row r="1589" spans="1:90" x14ac:dyDescent="0.3">
      <c r="A1589" t="s">
        <v>72</v>
      </c>
      <c r="B1589" t="s">
        <v>73</v>
      </c>
      <c r="C1589" t="s">
        <v>74</v>
      </c>
      <c r="E1589" t="str">
        <f>"080065387418"</f>
        <v>080065387418</v>
      </c>
      <c r="F1589" s="3">
        <v>45792</v>
      </c>
      <c r="G1589">
        <v>202602</v>
      </c>
      <c r="H1589" t="s">
        <v>75</v>
      </c>
      <c r="I1589" t="s">
        <v>76</v>
      </c>
      <c r="J1589" t="s">
        <v>77</v>
      </c>
      <c r="K1589" t="s">
        <v>78</v>
      </c>
      <c r="L1589" t="s">
        <v>479</v>
      </c>
      <c r="M1589" t="s">
        <v>480</v>
      </c>
      <c r="N1589" t="s">
        <v>793</v>
      </c>
      <c r="O1589" t="s">
        <v>82</v>
      </c>
      <c r="P1589" t="str">
        <f>"4170038634                    "</f>
        <v xml:space="preserve">4170038634                    </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16.7</v>
      </c>
      <c r="AR1589">
        <v>0</v>
      </c>
      <c r="AS1589">
        <v>0</v>
      </c>
      <c r="AT1589">
        <v>0</v>
      </c>
      <c r="AU1589">
        <v>0</v>
      </c>
      <c r="AV1589">
        <v>0</v>
      </c>
      <c r="AW1589">
        <v>0</v>
      </c>
      <c r="AX1589">
        <v>0</v>
      </c>
      <c r="AY1589">
        <v>0</v>
      </c>
      <c r="AZ1589">
        <v>0</v>
      </c>
      <c r="BA1589">
        <v>0</v>
      </c>
      <c r="BB1589">
        <v>0</v>
      </c>
      <c r="BC1589">
        <v>0</v>
      </c>
      <c r="BD1589">
        <v>0</v>
      </c>
      <c r="BE1589">
        <v>0</v>
      </c>
      <c r="BF1589">
        <v>0</v>
      </c>
      <c r="BG1589">
        <v>0</v>
      </c>
      <c r="BH1589">
        <v>1</v>
      </c>
      <c r="BI1589">
        <v>1</v>
      </c>
      <c r="BJ1589">
        <v>0.2</v>
      </c>
      <c r="BK1589">
        <v>1</v>
      </c>
      <c r="BL1589">
        <v>54.66</v>
      </c>
      <c r="BM1589">
        <v>8.1999999999999993</v>
      </c>
      <c r="BN1589">
        <v>62.86</v>
      </c>
      <c r="BO1589">
        <v>62.86</v>
      </c>
      <c r="BQ1589" t="s">
        <v>794</v>
      </c>
      <c r="BR1589" t="s">
        <v>84</v>
      </c>
      <c r="BS1589" s="3">
        <v>45793</v>
      </c>
      <c r="BT1589" s="4">
        <v>0.44305555555555554</v>
      </c>
      <c r="BU1589" t="s">
        <v>1884</v>
      </c>
      <c r="BV1589" t="s">
        <v>89</v>
      </c>
      <c r="BW1589" t="s">
        <v>148</v>
      </c>
      <c r="BX1589" t="s">
        <v>1130</v>
      </c>
      <c r="BY1589">
        <v>1200</v>
      </c>
      <c r="CA1589" t="s">
        <v>1443</v>
      </c>
      <c r="CC1589" t="s">
        <v>480</v>
      </c>
      <c r="CD1589">
        <v>2163</v>
      </c>
      <c r="CE1589" t="s">
        <v>88</v>
      </c>
      <c r="CF1589" s="3">
        <v>45794</v>
      </c>
      <c r="CI1589">
        <v>1</v>
      </c>
      <c r="CJ1589">
        <v>1</v>
      </c>
      <c r="CK1589">
        <v>22</v>
      </c>
      <c r="CL1589" t="s">
        <v>89</v>
      </c>
    </row>
    <row r="1590" spans="1:90" x14ac:dyDescent="0.3">
      <c r="A1590" t="s">
        <v>72</v>
      </c>
      <c r="B1590" t="s">
        <v>73</v>
      </c>
      <c r="C1590" t="s">
        <v>74</v>
      </c>
      <c r="E1590" t="str">
        <f>"080065387592"</f>
        <v>080065387592</v>
      </c>
      <c r="F1590" s="3">
        <v>45792</v>
      </c>
      <c r="G1590">
        <v>202602</v>
      </c>
      <c r="H1590" t="s">
        <v>75</v>
      </c>
      <c r="I1590" t="s">
        <v>76</v>
      </c>
      <c r="J1590" t="s">
        <v>77</v>
      </c>
      <c r="K1590" t="s">
        <v>78</v>
      </c>
      <c r="L1590" t="s">
        <v>672</v>
      </c>
      <c r="M1590" t="s">
        <v>673</v>
      </c>
      <c r="N1590" t="s">
        <v>674</v>
      </c>
      <c r="O1590" t="s">
        <v>82</v>
      </c>
      <c r="P1590" t="str">
        <f>"4170038630                    "</f>
        <v xml:space="preserve">4170038630                    </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41.43</v>
      </c>
      <c r="AR1590">
        <v>0</v>
      </c>
      <c r="AS1590">
        <v>0</v>
      </c>
      <c r="AT1590">
        <v>0</v>
      </c>
      <c r="AU1590">
        <v>0</v>
      </c>
      <c r="AV1590">
        <v>0</v>
      </c>
      <c r="AW1590">
        <v>0</v>
      </c>
      <c r="AX1590">
        <v>0</v>
      </c>
      <c r="AY1590">
        <v>0</v>
      </c>
      <c r="AZ1590">
        <v>0</v>
      </c>
      <c r="BA1590">
        <v>0</v>
      </c>
      <c r="BB1590">
        <v>0</v>
      </c>
      <c r="BC1590">
        <v>0</v>
      </c>
      <c r="BD1590">
        <v>0</v>
      </c>
      <c r="BE1590">
        <v>0</v>
      </c>
      <c r="BF1590">
        <v>0</v>
      </c>
      <c r="BG1590">
        <v>0</v>
      </c>
      <c r="BH1590">
        <v>1</v>
      </c>
      <c r="BI1590">
        <v>1</v>
      </c>
      <c r="BJ1590">
        <v>0.2</v>
      </c>
      <c r="BK1590">
        <v>1</v>
      </c>
      <c r="BL1590">
        <v>135.59</v>
      </c>
      <c r="BM1590">
        <v>20.34</v>
      </c>
      <c r="BN1590">
        <v>155.93</v>
      </c>
      <c r="BO1590">
        <v>155.93</v>
      </c>
      <c r="BQ1590" t="s">
        <v>675</v>
      </c>
      <c r="BR1590" t="s">
        <v>84</v>
      </c>
      <c r="BS1590" s="3">
        <v>45793</v>
      </c>
      <c r="BT1590" s="4">
        <v>0.51527777777777772</v>
      </c>
      <c r="BU1590" t="s">
        <v>2210</v>
      </c>
      <c r="BV1590" t="s">
        <v>86</v>
      </c>
      <c r="BY1590">
        <v>1200</v>
      </c>
      <c r="CA1590" t="s">
        <v>2211</v>
      </c>
      <c r="CC1590" t="s">
        <v>673</v>
      </c>
      <c r="CD1590">
        <v>2531</v>
      </c>
      <c r="CE1590" t="s">
        <v>88</v>
      </c>
      <c r="CF1590" s="3">
        <v>45796</v>
      </c>
      <c r="CI1590">
        <v>1</v>
      </c>
      <c r="CJ1590">
        <v>1</v>
      </c>
      <c r="CK1590">
        <v>23</v>
      </c>
      <c r="CL1590" t="s">
        <v>89</v>
      </c>
    </row>
    <row r="1591" spans="1:90" x14ac:dyDescent="0.3">
      <c r="A1591" t="s">
        <v>72</v>
      </c>
      <c r="B1591" t="s">
        <v>73</v>
      </c>
      <c r="C1591" t="s">
        <v>74</v>
      </c>
      <c r="E1591" t="str">
        <f>"080065387652"</f>
        <v>080065387652</v>
      </c>
      <c r="F1591" s="3">
        <v>45792</v>
      </c>
      <c r="G1591">
        <v>202602</v>
      </c>
      <c r="H1591" t="s">
        <v>75</v>
      </c>
      <c r="I1591" t="s">
        <v>76</v>
      </c>
      <c r="J1591" t="s">
        <v>77</v>
      </c>
      <c r="K1591" t="s">
        <v>78</v>
      </c>
      <c r="L1591" t="s">
        <v>672</v>
      </c>
      <c r="M1591" t="s">
        <v>673</v>
      </c>
      <c r="N1591" t="s">
        <v>674</v>
      </c>
      <c r="O1591" t="s">
        <v>82</v>
      </c>
      <c r="P1591" t="str">
        <f>"4170038669                    "</f>
        <v xml:space="preserve">4170038669                    </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0</v>
      </c>
      <c r="AL1591">
        <v>0</v>
      </c>
      <c r="AM1591">
        <v>0</v>
      </c>
      <c r="AN1591">
        <v>0</v>
      </c>
      <c r="AO1591">
        <v>0</v>
      </c>
      <c r="AP1591">
        <v>0</v>
      </c>
      <c r="AQ1591">
        <v>41.43</v>
      </c>
      <c r="AR1591">
        <v>0</v>
      </c>
      <c r="AS1591">
        <v>0</v>
      </c>
      <c r="AT1591">
        <v>0</v>
      </c>
      <c r="AU1591">
        <v>0</v>
      </c>
      <c r="AV1591">
        <v>0</v>
      </c>
      <c r="AW1591">
        <v>0</v>
      </c>
      <c r="AX1591">
        <v>0</v>
      </c>
      <c r="AY1591">
        <v>0</v>
      </c>
      <c r="AZ1591">
        <v>0</v>
      </c>
      <c r="BA1591">
        <v>0</v>
      </c>
      <c r="BB1591">
        <v>0</v>
      </c>
      <c r="BC1591">
        <v>0</v>
      </c>
      <c r="BD1591">
        <v>0</v>
      </c>
      <c r="BE1591">
        <v>0</v>
      </c>
      <c r="BF1591">
        <v>0</v>
      </c>
      <c r="BG1591">
        <v>0</v>
      </c>
      <c r="BH1591">
        <v>1</v>
      </c>
      <c r="BI1591">
        <v>1</v>
      </c>
      <c r="BJ1591">
        <v>0.2</v>
      </c>
      <c r="BK1591">
        <v>1</v>
      </c>
      <c r="BL1591">
        <v>135.59</v>
      </c>
      <c r="BM1591">
        <v>20.34</v>
      </c>
      <c r="BN1591">
        <v>155.93</v>
      </c>
      <c r="BO1591">
        <v>155.93</v>
      </c>
      <c r="BQ1591" t="s">
        <v>675</v>
      </c>
      <c r="BR1591" t="s">
        <v>84</v>
      </c>
      <c r="BS1591" s="3">
        <v>45793</v>
      </c>
      <c r="BT1591" s="4">
        <v>0.51458333333333328</v>
      </c>
      <c r="BU1591" t="s">
        <v>2210</v>
      </c>
      <c r="BV1591" t="s">
        <v>86</v>
      </c>
      <c r="BY1591">
        <v>1200</v>
      </c>
      <c r="CA1591" t="s">
        <v>2211</v>
      </c>
      <c r="CC1591" t="s">
        <v>673</v>
      </c>
      <c r="CD1591">
        <v>2531</v>
      </c>
      <c r="CE1591" t="s">
        <v>88</v>
      </c>
      <c r="CF1591" s="3">
        <v>45796</v>
      </c>
      <c r="CI1591">
        <v>1</v>
      </c>
      <c r="CJ1591">
        <v>1</v>
      </c>
      <c r="CK1591">
        <v>23</v>
      </c>
      <c r="CL1591" t="s">
        <v>89</v>
      </c>
    </row>
    <row r="1592" spans="1:90" x14ac:dyDescent="0.3">
      <c r="A1592" t="s">
        <v>72</v>
      </c>
      <c r="B1592" t="s">
        <v>73</v>
      </c>
      <c r="C1592" t="s">
        <v>74</v>
      </c>
      <c r="E1592" t="str">
        <f>"080065387694"</f>
        <v>080065387694</v>
      </c>
      <c r="F1592" s="3">
        <v>45792</v>
      </c>
      <c r="G1592">
        <v>202602</v>
      </c>
      <c r="H1592" t="s">
        <v>75</v>
      </c>
      <c r="I1592" t="s">
        <v>76</v>
      </c>
      <c r="J1592" t="s">
        <v>77</v>
      </c>
      <c r="K1592" t="s">
        <v>78</v>
      </c>
      <c r="L1592" t="s">
        <v>672</v>
      </c>
      <c r="M1592" t="s">
        <v>673</v>
      </c>
      <c r="N1592" t="s">
        <v>674</v>
      </c>
      <c r="O1592" t="s">
        <v>82</v>
      </c>
      <c r="P1592" t="str">
        <f>"4170038663                    "</f>
        <v xml:space="preserve">4170038663                    </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0</v>
      </c>
      <c r="AP1592">
        <v>0</v>
      </c>
      <c r="AQ1592">
        <v>41.43</v>
      </c>
      <c r="AR1592">
        <v>0</v>
      </c>
      <c r="AS1592">
        <v>0</v>
      </c>
      <c r="AT1592">
        <v>0</v>
      </c>
      <c r="AU1592">
        <v>0</v>
      </c>
      <c r="AV1592">
        <v>0</v>
      </c>
      <c r="AW1592">
        <v>0</v>
      </c>
      <c r="AX1592">
        <v>0</v>
      </c>
      <c r="AY1592">
        <v>0</v>
      </c>
      <c r="AZ1592">
        <v>0</v>
      </c>
      <c r="BA1592">
        <v>0</v>
      </c>
      <c r="BB1592">
        <v>0</v>
      </c>
      <c r="BC1592">
        <v>0</v>
      </c>
      <c r="BD1592">
        <v>0</v>
      </c>
      <c r="BE1592">
        <v>0</v>
      </c>
      <c r="BF1592">
        <v>0</v>
      </c>
      <c r="BG1592">
        <v>0</v>
      </c>
      <c r="BH1592">
        <v>1</v>
      </c>
      <c r="BI1592">
        <v>1</v>
      </c>
      <c r="BJ1592">
        <v>0.2</v>
      </c>
      <c r="BK1592">
        <v>1</v>
      </c>
      <c r="BL1592">
        <v>135.59</v>
      </c>
      <c r="BM1592">
        <v>20.34</v>
      </c>
      <c r="BN1592">
        <v>155.93</v>
      </c>
      <c r="BO1592">
        <v>155.93</v>
      </c>
      <c r="BQ1592" t="s">
        <v>675</v>
      </c>
      <c r="BR1592" t="s">
        <v>84</v>
      </c>
      <c r="BS1592" s="3">
        <v>45793</v>
      </c>
      <c r="BT1592" s="4">
        <v>0.51527777777777772</v>
      </c>
      <c r="BU1592" t="s">
        <v>2210</v>
      </c>
      <c r="BV1592" t="s">
        <v>86</v>
      </c>
      <c r="BY1592">
        <v>1200</v>
      </c>
      <c r="CA1592" t="s">
        <v>2211</v>
      </c>
      <c r="CC1592" t="s">
        <v>673</v>
      </c>
      <c r="CD1592">
        <v>2531</v>
      </c>
      <c r="CE1592" t="s">
        <v>88</v>
      </c>
      <c r="CF1592" s="3">
        <v>45796</v>
      </c>
      <c r="CI1592">
        <v>1</v>
      </c>
      <c r="CJ1592">
        <v>1</v>
      </c>
      <c r="CK1592">
        <v>23</v>
      </c>
      <c r="CL1592" t="s">
        <v>89</v>
      </c>
    </row>
    <row r="1593" spans="1:90" x14ac:dyDescent="0.3">
      <c r="A1593" t="s">
        <v>72</v>
      </c>
      <c r="B1593" t="s">
        <v>73</v>
      </c>
      <c r="C1593" t="s">
        <v>74</v>
      </c>
      <c r="E1593" t="str">
        <f>"080065387712"</f>
        <v>080065387712</v>
      </c>
      <c r="F1593" s="3">
        <v>45792</v>
      </c>
      <c r="G1593">
        <v>202602</v>
      </c>
      <c r="H1593" t="s">
        <v>75</v>
      </c>
      <c r="I1593" t="s">
        <v>76</v>
      </c>
      <c r="J1593" t="s">
        <v>77</v>
      </c>
      <c r="K1593" t="s">
        <v>78</v>
      </c>
      <c r="L1593" t="s">
        <v>130</v>
      </c>
      <c r="M1593" t="s">
        <v>131</v>
      </c>
      <c r="N1593" t="s">
        <v>615</v>
      </c>
      <c r="O1593" t="s">
        <v>82</v>
      </c>
      <c r="P1593" t="str">
        <f>"4170038588                    "</f>
        <v xml:space="preserve">4170038588                    </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0</v>
      </c>
      <c r="AL1593">
        <v>0</v>
      </c>
      <c r="AM1593">
        <v>0</v>
      </c>
      <c r="AN1593">
        <v>0</v>
      </c>
      <c r="AO1593">
        <v>0</v>
      </c>
      <c r="AP1593">
        <v>0</v>
      </c>
      <c r="AQ1593">
        <v>21.38</v>
      </c>
      <c r="AR1593">
        <v>0</v>
      </c>
      <c r="AS1593">
        <v>0</v>
      </c>
      <c r="AT1593">
        <v>0</v>
      </c>
      <c r="AU1593">
        <v>0</v>
      </c>
      <c r="AV1593">
        <v>0</v>
      </c>
      <c r="AW1593">
        <v>0</v>
      </c>
      <c r="AX1593">
        <v>0</v>
      </c>
      <c r="AY1593">
        <v>0</v>
      </c>
      <c r="AZ1593">
        <v>0</v>
      </c>
      <c r="BA1593">
        <v>0</v>
      </c>
      <c r="BB1593">
        <v>0</v>
      </c>
      <c r="BC1593">
        <v>0</v>
      </c>
      <c r="BD1593">
        <v>0</v>
      </c>
      <c r="BE1593">
        <v>0</v>
      </c>
      <c r="BF1593">
        <v>0</v>
      </c>
      <c r="BG1593">
        <v>0</v>
      </c>
      <c r="BH1593">
        <v>1</v>
      </c>
      <c r="BI1593">
        <v>1</v>
      </c>
      <c r="BJ1593">
        <v>0.2</v>
      </c>
      <c r="BK1593">
        <v>1</v>
      </c>
      <c r="BL1593">
        <v>69.98</v>
      </c>
      <c r="BM1593">
        <v>10.5</v>
      </c>
      <c r="BN1593">
        <v>80.48</v>
      </c>
      <c r="BO1593">
        <v>80.48</v>
      </c>
      <c r="BQ1593" t="s">
        <v>616</v>
      </c>
      <c r="BR1593" t="s">
        <v>84</v>
      </c>
      <c r="BS1593" s="3">
        <v>45793</v>
      </c>
      <c r="BT1593" s="4">
        <v>0.43194444444444446</v>
      </c>
      <c r="BU1593" t="s">
        <v>2212</v>
      </c>
      <c r="BV1593" t="s">
        <v>86</v>
      </c>
      <c r="BY1593">
        <v>1200</v>
      </c>
      <c r="CA1593" t="s">
        <v>330</v>
      </c>
      <c r="CC1593" t="s">
        <v>131</v>
      </c>
      <c r="CD1593">
        <v>7460</v>
      </c>
      <c r="CE1593" t="s">
        <v>88</v>
      </c>
      <c r="CF1593" s="3">
        <v>45796</v>
      </c>
      <c r="CI1593">
        <v>1</v>
      </c>
      <c r="CJ1593">
        <v>1</v>
      </c>
      <c r="CK1593">
        <v>21</v>
      </c>
      <c r="CL1593" t="s">
        <v>89</v>
      </c>
    </row>
    <row r="1594" spans="1:90" x14ac:dyDescent="0.3">
      <c r="A1594" t="s">
        <v>72</v>
      </c>
      <c r="B1594" t="s">
        <v>73</v>
      </c>
      <c r="C1594" t="s">
        <v>74</v>
      </c>
      <c r="E1594" t="str">
        <f>"080065387751"</f>
        <v>080065387751</v>
      </c>
      <c r="F1594" s="3">
        <v>45792</v>
      </c>
      <c r="G1594">
        <v>202602</v>
      </c>
      <c r="H1594" t="s">
        <v>75</v>
      </c>
      <c r="I1594" t="s">
        <v>76</v>
      </c>
      <c r="J1594" t="s">
        <v>77</v>
      </c>
      <c r="K1594" t="s">
        <v>78</v>
      </c>
      <c r="L1594" t="s">
        <v>75</v>
      </c>
      <c r="M1594" t="s">
        <v>76</v>
      </c>
      <c r="N1594" t="s">
        <v>601</v>
      </c>
      <c r="O1594" t="s">
        <v>82</v>
      </c>
      <c r="P1594" t="str">
        <f>"4170038405                    "</f>
        <v xml:space="preserve">4170038405                    </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v>0</v>
      </c>
      <c r="AM1594">
        <v>0</v>
      </c>
      <c r="AN1594">
        <v>0</v>
      </c>
      <c r="AO1594">
        <v>0</v>
      </c>
      <c r="AP1594">
        <v>0</v>
      </c>
      <c r="AQ1594">
        <v>18.7</v>
      </c>
      <c r="AR1594">
        <v>0</v>
      </c>
      <c r="AS1594">
        <v>0</v>
      </c>
      <c r="AT1594">
        <v>0</v>
      </c>
      <c r="AU1594">
        <v>0</v>
      </c>
      <c r="AV1594">
        <v>0</v>
      </c>
      <c r="AW1594">
        <v>0</v>
      </c>
      <c r="AX1594">
        <v>0</v>
      </c>
      <c r="AY1594">
        <v>0</v>
      </c>
      <c r="AZ1594">
        <v>0</v>
      </c>
      <c r="BA1594">
        <v>0</v>
      </c>
      <c r="BB1594">
        <v>0</v>
      </c>
      <c r="BC1594">
        <v>0</v>
      </c>
      <c r="BD1594">
        <v>0</v>
      </c>
      <c r="BE1594">
        <v>0</v>
      </c>
      <c r="BF1594">
        <v>0</v>
      </c>
      <c r="BG1594">
        <v>0</v>
      </c>
      <c r="BH1594">
        <v>1</v>
      </c>
      <c r="BI1594">
        <v>9</v>
      </c>
      <c r="BJ1594">
        <v>5.5</v>
      </c>
      <c r="BK1594">
        <v>9</v>
      </c>
      <c r="BL1594">
        <v>61.21</v>
      </c>
      <c r="BM1594">
        <v>9.18</v>
      </c>
      <c r="BN1594">
        <v>70.39</v>
      </c>
      <c r="BO1594">
        <v>70.39</v>
      </c>
      <c r="BQ1594" t="s">
        <v>603</v>
      </c>
      <c r="BR1594" t="s">
        <v>84</v>
      </c>
      <c r="BS1594" s="3">
        <v>45793</v>
      </c>
      <c r="BT1594" s="4">
        <v>0.35416666666666669</v>
      </c>
      <c r="BU1594" t="s">
        <v>789</v>
      </c>
      <c r="BV1594" t="s">
        <v>86</v>
      </c>
      <c r="BY1594">
        <v>27540</v>
      </c>
      <c r="CA1594" t="s">
        <v>605</v>
      </c>
      <c r="CC1594" t="s">
        <v>76</v>
      </c>
      <c r="CD1594">
        <v>1645</v>
      </c>
      <c r="CE1594" t="s">
        <v>221</v>
      </c>
      <c r="CF1594" s="3">
        <v>45794</v>
      </c>
      <c r="CI1594">
        <v>1</v>
      </c>
      <c r="CJ1594">
        <v>1</v>
      </c>
      <c r="CK1594">
        <v>22</v>
      </c>
      <c r="CL1594" t="s">
        <v>89</v>
      </c>
    </row>
    <row r="1595" spans="1:90" x14ac:dyDescent="0.3">
      <c r="A1595" t="s">
        <v>72</v>
      </c>
      <c r="B1595" t="s">
        <v>73</v>
      </c>
      <c r="C1595" t="s">
        <v>74</v>
      </c>
      <c r="E1595" t="str">
        <f>"080065387784"</f>
        <v>080065387784</v>
      </c>
      <c r="F1595" s="3">
        <v>45792</v>
      </c>
      <c r="G1595">
        <v>202602</v>
      </c>
      <c r="H1595" t="s">
        <v>75</v>
      </c>
      <c r="I1595" t="s">
        <v>76</v>
      </c>
      <c r="J1595" t="s">
        <v>77</v>
      </c>
      <c r="K1595" t="s">
        <v>78</v>
      </c>
      <c r="L1595" t="s">
        <v>1250</v>
      </c>
      <c r="M1595" t="s">
        <v>1251</v>
      </c>
      <c r="N1595" t="s">
        <v>1252</v>
      </c>
      <c r="O1595" t="s">
        <v>300</v>
      </c>
      <c r="P1595" t="str">
        <f>"4170038565                    "</f>
        <v xml:space="preserve">4170038565                    </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c r="AK1595">
        <v>0</v>
      </c>
      <c r="AL1595">
        <v>0</v>
      </c>
      <c r="AM1595">
        <v>0</v>
      </c>
      <c r="AN1595">
        <v>0</v>
      </c>
      <c r="AO1595">
        <v>0</v>
      </c>
      <c r="AP1595">
        <v>0</v>
      </c>
      <c r="AQ1595">
        <v>58.32</v>
      </c>
      <c r="AR1595">
        <v>0</v>
      </c>
      <c r="AS1595">
        <v>0</v>
      </c>
      <c r="AT1595">
        <v>0</v>
      </c>
      <c r="AU1595">
        <v>0</v>
      </c>
      <c r="AV1595">
        <v>0</v>
      </c>
      <c r="AW1595">
        <v>0</v>
      </c>
      <c r="AX1595">
        <v>0</v>
      </c>
      <c r="AY1595">
        <v>0</v>
      </c>
      <c r="AZ1595">
        <v>0</v>
      </c>
      <c r="BA1595">
        <v>0</v>
      </c>
      <c r="BB1595">
        <v>0</v>
      </c>
      <c r="BC1595">
        <v>0</v>
      </c>
      <c r="BD1595">
        <v>0</v>
      </c>
      <c r="BE1595">
        <v>0</v>
      </c>
      <c r="BF1595">
        <v>0</v>
      </c>
      <c r="BG1595">
        <v>0</v>
      </c>
      <c r="BH1595">
        <v>1</v>
      </c>
      <c r="BI1595">
        <v>4</v>
      </c>
      <c r="BJ1595">
        <v>2.6</v>
      </c>
      <c r="BK1595">
        <v>4</v>
      </c>
      <c r="BL1595">
        <v>196.44</v>
      </c>
      <c r="BM1595">
        <v>29.47</v>
      </c>
      <c r="BN1595">
        <v>225.91</v>
      </c>
      <c r="BO1595">
        <v>225.91</v>
      </c>
      <c r="BQ1595" t="s">
        <v>1253</v>
      </c>
      <c r="BR1595" t="s">
        <v>84</v>
      </c>
      <c r="BS1595" s="3">
        <v>45793</v>
      </c>
      <c r="BT1595" s="4">
        <v>0.42152777777777778</v>
      </c>
      <c r="BU1595" t="s">
        <v>1254</v>
      </c>
      <c r="BV1595" t="s">
        <v>86</v>
      </c>
      <c r="BY1595">
        <v>12768</v>
      </c>
      <c r="BZ1595" t="s">
        <v>35</v>
      </c>
      <c r="CA1595" t="s">
        <v>1255</v>
      </c>
      <c r="CC1595" t="s">
        <v>1251</v>
      </c>
      <c r="CD1595">
        <v>3760</v>
      </c>
      <c r="CE1595" t="s">
        <v>1047</v>
      </c>
      <c r="CF1595" s="3">
        <v>45794</v>
      </c>
      <c r="CI1595">
        <v>6</v>
      </c>
      <c r="CJ1595">
        <v>1</v>
      </c>
      <c r="CK1595">
        <v>43</v>
      </c>
      <c r="CL1595" t="s">
        <v>89</v>
      </c>
    </row>
    <row r="1596" spans="1:90" x14ac:dyDescent="0.3">
      <c r="A1596" t="s">
        <v>72</v>
      </c>
      <c r="B1596" t="s">
        <v>73</v>
      </c>
      <c r="C1596" t="s">
        <v>74</v>
      </c>
      <c r="E1596" t="str">
        <f>"080065388032"</f>
        <v>080065388032</v>
      </c>
      <c r="F1596" s="3">
        <v>45792</v>
      </c>
      <c r="G1596">
        <v>202602</v>
      </c>
      <c r="H1596" t="s">
        <v>75</v>
      </c>
      <c r="I1596" t="s">
        <v>76</v>
      </c>
      <c r="J1596" t="s">
        <v>77</v>
      </c>
      <c r="K1596" t="s">
        <v>78</v>
      </c>
      <c r="L1596" t="s">
        <v>350</v>
      </c>
      <c r="M1596" t="s">
        <v>351</v>
      </c>
      <c r="N1596" t="s">
        <v>678</v>
      </c>
      <c r="O1596" t="s">
        <v>82</v>
      </c>
      <c r="P1596" t="str">
        <f>"4170038676                    "</f>
        <v xml:space="preserve">4170038676                    </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21.38</v>
      </c>
      <c r="AR1596">
        <v>0</v>
      </c>
      <c r="AS1596">
        <v>0</v>
      </c>
      <c r="AT1596">
        <v>0</v>
      </c>
      <c r="AU1596">
        <v>0</v>
      </c>
      <c r="AV1596">
        <v>0</v>
      </c>
      <c r="AW1596">
        <v>0</v>
      </c>
      <c r="AX1596">
        <v>0</v>
      </c>
      <c r="AY1596">
        <v>0</v>
      </c>
      <c r="AZ1596">
        <v>0</v>
      </c>
      <c r="BA1596">
        <v>0</v>
      </c>
      <c r="BB1596">
        <v>0</v>
      </c>
      <c r="BC1596">
        <v>0</v>
      </c>
      <c r="BD1596">
        <v>0</v>
      </c>
      <c r="BE1596">
        <v>0</v>
      </c>
      <c r="BF1596">
        <v>0</v>
      </c>
      <c r="BG1596">
        <v>0</v>
      </c>
      <c r="BH1596">
        <v>1</v>
      </c>
      <c r="BI1596">
        <v>1</v>
      </c>
      <c r="BJ1596">
        <v>0.2</v>
      </c>
      <c r="BK1596">
        <v>1</v>
      </c>
      <c r="BL1596">
        <v>69.98</v>
      </c>
      <c r="BM1596">
        <v>10.5</v>
      </c>
      <c r="BN1596">
        <v>80.48</v>
      </c>
      <c r="BO1596">
        <v>80.48</v>
      </c>
      <c r="BQ1596" t="s">
        <v>679</v>
      </c>
      <c r="BR1596" t="s">
        <v>84</v>
      </c>
      <c r="BS1596" s="3">
        <v>45793</v>
      </c>
      <c r="BT1596" s="4">
        <v>0.44027777777777777</v>
      </c>
      <c r="BU1596" t="s">
        <v>2213</v>
      </c>
      <c r="BV1596" t="s">
        <v>89</v>
      </c>
      <c r="BW1596" t="s">
        <v>434</v>
      </c>
      <c r="BX1596" t="s">
        <v>1829</v>
      </c>
      <c r="BY1596">
        <v>1200</v>
      </c>
      <c r="CA1596" t="s">
        <v>879</v>
      </c>
      <c r="CC1596" t="s">
        <v>351</v>
      </c>
      <c r="CD1596">
        <v>4052</v>
      </c>
      <c r="CE1596" t="s">
        <v>88</v>
      </c>
      <c r="CF1596" s="3">
        <v>45796</v>
      </c>
      <c r="CI1596">
        <v>1</v>
      </c>
      <c r="CJ1596">
        <v>1</v>
      </c>
      <c r="CK1596">
        <v>21</v>
      </c>
      <c r="CL1596" t="s">
        <v>89</v>
      </c>
    </row>
    <row r="1597" spans="1:90" x14ac:dyDescent="0.3">
      <c r="A1597" t="s">
        <v>72</v>
      </c>
      <c r="B1597" t="s">
        <v>73</v>
      </c>
      <c r="C1597" t="s">
        <v>74</v>
      </c>
      <c r="E1597" t="str">
        <f>"080065388068"</f>
        <v>080065388068</v>
      </c>
      <c r="F1597" s="3">
        <v>45792</v>
      </c>
      <c r="G1597">
        <v>202602</v>
      </c>
      <c r="H1597" t="s">
        <v>75</v>
      </c>
      <c r="I1597" t="s">
        <v>76</v>
      </c>
      <c r="J1597" t="s">
        <v>77</v>
      </c>
      <c r="K1597" t="s">
        <v>78</v>
      </c>
      <c r="L1597" t="s">
        <v>463</v>
      </c>
      <c r="M1597" t="s">
        <v>464</v>
      </c>
      <c r="N1597" t="s">
        <v>585</v>
      </c>
      <c r="O1597" t="s">
        <v>82</v>
      </c>
      <c r="P1597" t="str">
        <f>"4170038590                    "</f>
        <v xml:space="preserve">4170038590                    </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c r="AK1597">
        <v>0</v>
      </c>
      <c r="AL1597">
        <v>0</v>
      </c>
      <c r="AM1597">
        <v>0</v>
      </c>
      <c r="AN1597">
        <v>0</v>
      </c>
      <c r="AO1597">
        <v>0</v>
      </c>
      <c r="AP1597">
        <v>0</v>
      </c>
      <c r="AQ1597">
        <v>21.38</v>
      </c>
      <c r="AR1597">
        <v>0</v>
      </c>
      <c r="AS1597">
        <v>0</v>
      </c>
      <c r="AT1597">
        <v>0</v>
      </c>
      <c r="AU1597">
        <v>0</v>
      </c>
      <c r="AV1597">
        <v>0</v>
      </c>
      <c r="AW1597">
        <v>0</v>
      </c>
      <c r="AX1597">
        <v>0</v>
      </c>
      <c r="AY1597">
        <v>0</v>
      </c>
      <c r="AZ1597">
        <v>0</v>
      </c>
      <c r="BA1597">
        <v>0</v>
      </c>
      <c r="BB1597">
        <v>0</v>
      </c>
      <c r="BC1597">
        <v>0</v>
      </c>
      <c r="BD1597">
        <v>0</v>
      </c>
      <c r="BE1597">
        <v>0</v>
      </c>
      <c r="BF1597">
        <v>0</v>
      </c>
      <c r="BG1597">
        <v>0</v>
      </c>
      <c r="BH1597">
        <v>1</v>
      </c>
      <c r="BI1597">
        <v>1</v>
      </c>
      <c r="BJ1597">
        <v>0.2</v>
      </c>
      <c r="BK1597">
        <v>1</v>
      </c>
      <c r="BL1597">
        <v>69.98</v>
      </c>
      <c r="BM1597">
        <v>10.5</v>
      </c>
      <c r="BN1597">
        <v>80.48</v>
      </c>
      <c r="BO1597">
        <v>80.48</v>
      </c>
      <c r="BQ1597" t="s">
        <v>586</v>
      </c>
      <c r="BR1597" t="s">
        <v>84</v>
      </c>
      <c r="BS1597" s="3">
        <v>45793</v>
      </c>
      <c r="BT1597" s="4">
        <v>0.45208333333333334</v>
      </c>
      <c r="BU1597" t="s">
        <v>2214</v>
      </c>
      <c r="BV1597" t="s">
        <v>89</v>
      </c>
      <c r="BW1597" t="s">
        <v>148</v>
      </c>
      <c r="BX1597" t="s">
        <v>2215</v>
      </c>
      <c r="BY1597">
        <v>1200</v>
      </c>
      <c r="CA1597" t="s">
        <v>588</v>
      </c>
      <c r="CC1597" t="s">
        <v>464</v>
      </c>
      <c r="CD1597">
        <v>5201</v>
      </c>
      <c r="CE1597" t="s">
        <v>88</v>
      </c>
      <c r="CF1597" s="3">
        <v>45795</v>
      </c>
      <c r="CI1597">
        <v>1</v>
      </c>
      <c r="CJ1597">
        <v>1</v>
      </c>
      <c r="CK1597">
        <v>21</v>
      </c>
      <c r="CL1597" t="s">
        <v>89</v>
      </c>
    </row>
    <row r="1598" spans="1:90" x14ac:dyDescent="0.3">
      <c r="A1598" t="s">
        <v>72</v>
      </c>
      <c r="B1598" t="s">
        <v>73</v>
      </c>
      <c r="C1598" t="s">
        <v>74</v>
      </c>
      <c r="E1598" t="str">
        <f>"080065388109"</f>
        <v>080065388109</v>
      </c>
      <c r="F1598" s="3">
        <v>45792</v>
      </c>
      <c r="G1598">
        <v>202602</v>
      </c>
      <c r="H1598" t="s">
        <v>75</v>
      </c>
      <c r="I1598" t="s">
        <v>76</v>
      </c>
      <c r="J1598" t="s">
        <v>77</v>
      </c>
      <c r="K1598" t="s">
        <v>78</v>
      </c>
      <c r="L1598" t="s">
        <v>206</v>
      </c>
      <c r="M1598" t="s">
        <v>207</v>
      </c>
      <c r="N1598" t="s">
        <v>2216</v>
      </c>
      <c r="O1598" t="s">
        <v>82</v>
      </c>
      <c r="P1598" t="str">
        <f>"4170038603                    "</f>
        <v xml:space="preserve">4170038603                    </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0</v>
      </c>
      <c r="AL1598">
        <v>0</v>
      </c>
      <c r="AM1598">
        <v>0</v>
      </c>
      <c r="AN1598">
        <v>0</v>
      </c>
      <c r="AO1598">
        <v>0</v>
      </c>
      <c r="AP1598">
        <v>0</v>
      </c>
      <c r="AQ1598">
        <v>41.43</v>
      </c>
      <c r="AR1598">
        <v>0</v>
      </c>
      <c r="AS1598">
        <v>0</v>
      </c>
      <c r="AT1598">
        <v>0</v>
      </c>
      <c r="AU1598">
        <v>0</v>
      </c>
      <c r="AV1598">
        <v>0</v>
      </c>
      <c r="AW1598">
        <v>0</v>
      </c>
      <c r="AX1598">
        <v>0</v>
      </c>
      <c r="AY1598">
        <v>0</v>
      </c>
      <c r="AZ1598">
        <v>0</v>
      </c>
      <c r="BA1598">
        <v>0</v>
      </c>
      <c r="BB1598">
        <v>0</v>
      </c>
      <c r="BC1598">
        <v>0</v>
      </c>
      <c r="BD1598">
        <v>0</v>
      </c>
      <c r="BE1598">
        <v>0</v>
      </c>
      <c r="BF1598">
        <v>0</v>
      </c>
      <c r="BG1598">
        <v>0</v>
      </c>
      <c r="BH1598">
        <v>1</v>
      </c>
      <c r="BI1598">
        <v>1</v>
      </c>
      <c r="BJ1598">
        <v>0.2</v>
      </c>
      <c r="BK1598">
        <v>1</v>
      </c>
      <c r="BL1598">
        <v>135.59</v>
      </c>
      <c r="BM1598">
        <v>20.34</v>
      </c>
      <c r="BN1598">
        <v>155.93</v>
      </c>
      <c r="BO1598">
        <v>155.93</v>
      </c>
      <c r="BQ1598" t="s">
        <v>2217</v>
      </c>
      <c r="BR1598" t="s">
        <v>84</v>
      </c>
      <c r="BS1598" s="3">
        <v>45793</v>
      </c>
      <c r="BT1598" s="4">
        <v>0.50694444444444442</v>
      </c>
      <c r="BU1598" t="s">
        <v>2218</v>
      </c>
      <c r="BV1598" t="s">
        <v>86</v>
      </c>
      <c r="BY1598">
        <v>1200</v>
      </c>
      <c r="CA1598" t="s">
        <v>1295</v>
      </c>
      <c r="CC1598" t="s">
        <v>207</v>
      </c>
      <c r="CD1598">
        <v>1389</v>
      </c>
      <c r="CE1598" t="s">
        <v>88</v>
      </c>
      <c r="CF1598" s="3">
        <v>45793</v>
      </c>
      <c r="CI1598">
        <v>1</v>
      </c>
      <c r="CJ1598">
        <v>1</v>
      </c>
      <c r="CK1598">
        <v>23</v>
      </c>
      <c r="CL1598" t="s">
        <v>89</v>
      </c>
    </row>
    <row r="1599" spans="1:90" x14ac:dyDescent="0.3">
      <c r="A1599" t="s">
        <v>72</v>
      </c>
      <c r="B1599" t="s">
        <v>73</v>
      </c>
      <c r="C1599" t="s">
        <v>74</v>
      </c>
      <c r="E1599" t="str">
        <f>"080065388210"</f>
        <v>080065388210</v>
      </c>
      <c r="F1599" s="3">
        <v>45792</v>
      </c>
      <c r="G1599">
        <v>202602</v>
      </c>
      <c r="H1599" t="s">
        <v>75</v>
      </c>
      <c r="I1599" t="s">
        <v>76</v>
      </c>
      <c r="J1599" t="s">
        <v>77</v>
      </c>
      <c r="K1599" t="s">
        <v>78</v>
      </c>
      <c r="L1599" t="s">
        <v>130</v>
      </c>
      <c r="M1599" t="s">
        <v>131</v>
      </c>
      <c r="N1599" t="s">
        <v>343</v>
      </c>
      <c r="O1599" t="s">
        <v>82</v>
      </c>
      <c r="P1599" t="str">
        <f>"4170038524                    "</f>
        <v xml:space="preserve">4170038524                    </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c r="AJ1599">
        <v>0</v>
      </c>
      <c r="AK1599">
        <v>0</v>
      </c>
      <c r="AL1599">
        <v>0</v>
      </c>
      <c r="AM1599">
        <v>0</v>
      </c>
      <c r="AN1599">
        <v>0</v>
      </c>
      <c r="AO1599">
        <v>0</v>
      </c>
      <c r="AP1599">
        <v>0</v>
      </c>
      <c r="AQ1599">
        <v>80.14</v>
      </c>
      <c r="AR1599">
        <v>0</v>
      </c>
      <c r="AS1599">
        <v>0</v>
      </c>
      <c r="AT1599">
        <v>0</v>
      </c>
      <c r="AU1599">
        <v>0</v>
      </c>
      <c r="AV1599">
        <v>0</v>
      </c>
      <c r="AW1599">
        <v>0</v>
      </c>
      <c r="AX1599">
        <v>0</v>
      </c>
      <c r="AY1599">
        <v>0</v>
      </c>
      <c r="AZ1599">
        <v>0</v>
      </c>
      <c r="BA1599">
        <v>0</v>
      </c>
      <c r="BB1599">
        <v>0</v>
      </c>
      <c r="BC1599">
        <v>0</v>
      </c>
      <c r="BD1599">
        <v>0</v>
      </c>
      <c r="BE1599">
        <v>0</v>
      </c>
      <c r="BF1599">
        <v>0</v>
      </c>
      <c r="BG1599">
        <v>0</v>
      </c>
      <c r="BH1599">
        <v>1</v>
      </c>
      <c r="BI1599">
        <v>4</v>
      </c>
      <c r="BJ1599">
        <v>7.4</v>
      </c>
      <c r="BK1599">
        <v>7.5</v>
      </c>
      <c r="BL1599">
        <v>262.27999999999997</v>
      </c>
      <c r="BM1599">
        <v>39.340000000000003</v>
      </c>
      <c r="BN1599">
        <v>301.62</v>
      </c>
      <c r="BO1599">
        <v>301.62</v>
      </c>
      <c r="BQ1599" t="s">
        <v>344</v>
      </c>
      <c r="BR1599" t="s">
        <v>84</v>
      </c>
      <c r="BS1599" s="3">
        <v>45793</v>
      </c>
      <c r="BT1599" s="4">
        <v>0.38055555555555554</v>
      </c>
      <c r="BU1599" t="s">
        <v>2219</v>
      </c>
      <c r="BV1599" t="s">
        <v>86</v>
      </c>
      <c r="BY1599">
        <v>36992</v>
      </c>
      <c r="CA1599" t="s">
        <v>242</v>
      </c>
      <c r="CC1599" t="s">
        <v>131</v>
      </c>
      <c r="CD1599">
        <v>7441</v>
      </c>
      <c r="CE1599" t="s">
        <v>221</v>
      </c>
      <c r="CF1599" s="3">
        <v>45796</v>
      </c>
      <c r="CI1599">
        <v>1</v>
      </c>
      <c r="CJ1599">
        <v>1</v>
      </c>
      <c r="CK1599">
        <v>21</v>
      </c>
      <c r="CL1599" t="s">
        <v>89</v>
      </c>
    </row>
    <row r="1600" spans="1:90" x14ac:dyDescent="0.3">
      <c r="A1600" t="s">
        <v>72</v>
      </c>
      <c r="B1600" t="s">
        <v>73</v>
      </c>
      <c r="C1600" t="s">
        <v>74</v>
      </c>
      <c r="E1600" t="str">
        <f>"080065388252"</f>
        <v>080065388252</v>
      </c>
      <c r="F1600" s="3">
        <v>45792</v>
      </c>
      <c r="G1600">
        <v>202602</v>
      </c>
      <c r="H1600" t="s">
        <v>75</v>
      </c>
      <c r="I1600" t="s">
        <v>76</v>
      </c>
      <c r="J1600" t="s">
        <v>77</v>
      </c>
      <c r="K1600" t="s">
        <v>78</v>
      </c>
      <c r="L1600" t="s">
        <v>409</v>
      </c>
      <c r="M1600" t="s">
        <v>410</v>
      </c>
      <c r="N1600" t="s">
        <v>1022</v>
      </c>
      <c r="O1600" t="s">
        <v>300</v>
      </c>
      <c r="P1600" t="str">
        <f>"4170038674                    "</f>
        <v xml:space="preserve">4170038674                    </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c r="AK1600">
        <v>0</v>
      </c>
      <c r="AL1600">
        <v>0</v>
      </c>
      <c r="AM1600">
        <v>0</v>
      </c>
      <c r="AN1600">
        <v>0</v>
      </c>
      <c r="AO1600">
        <v>0</v>
      </c>
      <c r="AP1600">
        <v>0</v>
      </c>
      <c r="AQ1600">
        <v>58.32</v>
      </c>
      <c r="AR1600">
        <v>0</v>
      </c>
      <c r="AS1600">
        <v>0</v>
      </c>
      <c r="AT1600">
        <v>0</v>
      </c>
      <c r="AU1600">
        <v>0</v>
      </c>
      <c r="AV1600">
        <v>0</v>
      </c>
      <c r="AW1600">
        <v>0</v>
      </c>
      <c r="AX1600">
        <v>0</v>
      </c>
      <c r="AY1600">
        <v>0</v>
      </c>
      <c r="AZ1600">
        <v>0</v>
      </c>
      <c r="BA1600">
        <v>0</v>
      </c>
      <c r="BB1600">
        <v>0</v>
      </c>
      <c r="BC1600">
        <v>0</v>
      </c>
      <c r="BD1600">
        <v>0</v>
      </c>
      <c r="BE1600">
        <v>0</v>
      </c>
      <c r="BF1600">
        <v>0</v>
      </c>
      <c r="BG1600">
        <v>0</v>
      </c>
      <c r="BH1600">
        <v>1</v>
      </c>
      <c r="BI1600">
        <v>4</v>
      </c>
      <c r="BJ1600">
        <v>2.6</v>
      </c>
      <c r="BK1600">
        <v>4</v>
      </c>
      <c r="BL1600">
        <v>196.44</v>
      </c>
      <c r="BM1600">
        <v>29.47</v>
      </c>
      <c r="BN1600">
        <v>225.91</v>
      </c>
      <c r="BO1600">
        <v>225.91</v>
      </c>
      <c r="BQ1600" t="s">
        <v>1023</v>
      </c>
      <c r="BR1600" t="s">
        <v>84</v>
      </c>
      <c r="BS1600" s="3">
        <v>45796</v>
      </c>
      <c r="BT1600" s="4">
        <v>0.49513888888888891</v>
      </c>
      <c r="BU1600" t="s">
        <v>2220</v>
      </c>
      <c r="BV1600" t="s">
        <v>86</v>
      </c>
      <c r="BY1600">
        <v>12768</v>
      </c>
      <c r="CA1600" t="s">
        <v>2221</v>
      </c>
      <c r="CC1600" t="s">
        <v>410</v>
      </c>
      <c r="CD1600">
        <v>6849</v>
      </c>
      <c r="CE1600" t="s">
        <v>1047</v>
      </c>
      <c r="CF1600" s="3">
        <v>45797</v>
      </c>
      <c r="CI1600">
        <v>4</v>
      </c>
      <c r="CJ1600">
        <v>2</v>
      </c>
      <c r="CK1600">
        <v>43</v>
      </c>
      <c r="CL1600" t="s">
        <v>89</v>
      </c>
    </row>
    <row r="1601" spans="1:90" x14ac:dyDescent="0.3">
      <c r="A1601" t="s">
        <v>72</v>
      </c>
      <c r="B1601" t="s">
        <v>73</v>
      </c>
      <c r="C1601" t="s">
        <v>74</v>
      </c>
      <c r="E1601" t="str">
        <f>"080065388516"</f>
        <v>080065388516</v>
      </c>
      <c r="F1601" s="3">
        <v>45792</v>
      </c>
      <c r="G1601">
        <v>202602</v>
      </c>
      <c r="H1601" t="s">
        <v>75</v>
      </c>
      <c r="I1601" t="s">
        <v>76</v>
      </c>
      <c r="J1601" t="s">
        <v>77</v>
      </c>
      <c r="K1601" t="s">
        <v>78</v>
      </c>
      <c r="L1601" t="s">
        <v>374</v>
      </c>
      <c r="M1601" t="s">
        <v>375</v>
      </c>
      <c r="N1601" t="s">
        <v>2130</v>
      </c>
      <c r="O1601" t="s">
        <v>82</v>
      </c>
      <c r="P1601" t="str">
        <f>"4170038703                    "</f>
        <v xml:space="preserve">4170038703                    </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0</v>
      </c>
      <c r="AL1601">
        <v>0</v>
      </c>
      <c r="AM1601">
        <v>0</v>
      </c>
      <c r="AN1601">
        <v>0</v>
      </c>
      <c r="AO1601">
        <v>0</v>
      </c>
      <c r="AP1601">
        <v>0</v>
      </c>
      <c r="AQ1601">
        <v>228.52</v>
      </c>
      <c r="AR1601">
        <v>0</v>
      </c>
      <c r="AS1601">
        <v>0</v>
      </c>
      <c r="AT1601">
        <v>0</v>
      </c>
      <c r="AU1601">
        <v>0</v>
      </c>
      <c r="AV1601">
        <v>0</v>
      </c>
      <c r="AW1601">
        <v>0</v>
      </c>
      <c r="AX1601">
        <v>0</v>
      </c>
      <c r="AY1601">
        <v>0</v>
      </c>
      <c r="AZ1601">
        <v>0</v>
      </c>
      <c r="BA1601">
        <v>0</v>
      </c>
      <c r="BB1601">
        <v>0</v>
      </c>
      <c r="BC1601">
        <v>0</v>
      </c>
      <c r="BD1601">
        <v>0</v>
      </c>
      <c r="BE1601">
        <v>0</v>
      </c>
      <c r="BF1601">
        <v>0</v>
      </c>
      <c r="BG1601">
        <v>0</v>
      </c>
      <c r="BH1601">
        <v>1</v>
      </c>
      <c r="BI1601">
        <v>12</v>
      </c>
      <c r="BJ1601">
        <v>5</v>
      </c>
      <c r="BK1601">
        <v>12</v>
      </c>
      <c r="BL1601">
        <v>747.88</v>
      </c>
      <c r="BM1601">
        <v>112.18</v>
      </c>
      <c r="BN1601">
        <v>860.06</v>
      </c>
      <c r="BO1601">
        <v>860.06</v>
      </c>
      <c r="BQ1601" t="s">
        <v>2131</v>
      </c>
      <c r="BR1601" t="s">
        <v>84</v>
      </c>
      <c r="BS1601" s="3">
        <v>45793</v>
      </c>
      <c r="BT1601" s="4">
        <v>0.3888888888888889</v>
      </c>
      <c r="BU1601" t="s">
        <v>2132</v>
      </c>
      <c r="BV1601" t="s">
        <v>86</v>
      </c>
      <c r="BY1601">
        <v>24882</v>
      </c>
      <c r="CA1601" t="s">
        <v>379</v>
      </c>
      <c r="CC1601" t="s">
        <v>375</v>
      </c>
      <c r="CD1601">
        <v>7130</v>
      </c>
      <c r="CE1601" t="s">
        <v>96</v>
      </c>
      <c r="CF1601" s="3">
        <v>45796</v>
      </c>
      <c r="CI1601">
        <v>1</v>
      </c>
      <c r="CJ1601">
        <v>1</v>
      </c>
      <c r="CK1601">
        <v>23</v>
      </c>
      <c r="CL1601" t="s">
        <v>89</v>
      </c>
    </row>
    <row r="1602" spans="1:90" x14ac:dyDescent="0.3">
      <c r="A1602" t="s">
        <v>72</v>
      </c>
      <c r="B1602" t="s">
        <v>73</v>
      </c>
      <c r="C1602" t="s">
        <v>74</v>
      </c>
      <c r="E1602" t="str">
        <f>"080065388535"</f>
        <v>080065388535</v>
      </c>
      <c r="F1602" s="3">
        <v>45792</v>
      </c>
      <c r="G1602">
        <v>202602</v>
      </c>
      <c r="H1602" t="s">
        <v>75</v>
      </c>
      <c r="I1602" t="s">
        <v>76</v>
      </c>
      <c r="J1602" t="s">
        <v>77</v>
      </c>
      <c r="K1602" t="s">
        <v>78</v>
      </c>
      <c r="L1602" t="s">
        <v>624</v>
      </c>
      <c r="M1602" t="s">
        <v>625</v>
      </c>
      <c r="N1602" t="s">
        <v>626</v>
      </c>
      <c r="O1602" t="s">
        <v>82</v>
      </c>
      <c r="P1602" t="str">
        <f>"4170038659                    "</f>
        <v xml:space="preserve">4170038659                    </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0</v>
      </c>
      <c r="AL1602">
        <v>0</v>
      </c>
      <c r="AM1602">
        <v>0</v>
      </c>
      <c r="AN1602">
        <v>0</v>
      </c>
      <c r="AO1602">
        <v>0</v>
      </c>
      <c r="AP1602">
        <v>0</v>
      </c>
      <c r="AQ1602">
        <v>41.43</v>
      </c>
      <c r="AR1602">
        <v>0</v>
      </c>
      <c r="AS1602">
        <v>0</v>
      </c>
      <c r="AT1602">
        <v>0</v>
      </c>
      <c r="AU1602">
        <v>0</v>
      </c>
      <c r="AV1602">
        <v>0</v>
      </c>
      <c r="AW1602">
        <v>0</v>
      </c>
      <c r="AX1602">
        <v>0</v>
      </c>
      <c r="AY1602">
        <v>0</v>
      </c>
      <c r="AZ1602">
        <v>0</v>
      </c>
      <c r="BA1602">
        <v>0</v>
      </c>
      <c r="BB1602">
        <v>0</v>
      </c>
      <c r="BC1602">
        <v>0</v>
      </c>
      <c r="BD1602">
        <v>0</v>
      </c>
      <c r="BE1602">
        <v>0</v>
      </c>
      <c r="BF1602">
        <v>0</v>
      </c>
      <c r="BG1602">
        <v>0</v>
      </c>
      <c r="BH1602">
        <v>1</v>
      </c>
      <c r="BI1602">
        <v>1</v>
      </c>
      <c r="BJ1602">
        <v>0.2</v>
      </c>
      <c r="BK1602">
        <v>1</v>
      </c>
      <c r="BL1602">
        <v>135.59</v>
      </c>
      <c r="BM1602">
        <v>20.34</v>
      </c>
      <c r="BN1602">
        <v>155.93</v>
      </c>
      <c r="BO1602">
        <v>155.93</v>
      </c>
      <c r="BQ1602" t="s">
        <v>627</v>
      </c>
      <c r="BR1602" t="s">
        <v>84</v>
      </c>
      <c r="BS1602" s="3">
        <v>45793</v>
      </c>
      <c r="BT1602" s="4">
        <v>0.33958333333333335</v>
      </c>
      <c r="BU1602" t="s">
        <v>1674</v>
      </c>
      <c r="BV1602" t="s">
        <v>86</v>
      </c>
      <c r="BY1602">
        <v>1200</v>
      </c>
      <c r="CC1602" t="s">
        <v>625</v>
      </c>
      <c r="CD1602">
        <v>1947</v>
      </c>
      <c r="CE1602" t="s">
        <v>88</v>
      </c>
      <c r="CF1602" s="3">
        <v>45793</v>
      </c>
      <c r="CI1602">
        <v>1</v>
      </c>
      <c r="CJ1602">
        <v>1</v>
      </c>
      <c r="CK1602">
        <v>23</v>
      </c>
      <c r="CL1602" t="s">
        <v>89</v>
      </c>
    </row>
    <row r="1603" spans="1:90" x14ac:dyDescent="0.3">
      <c r="A1603" t="s">
        <v>72</v>
      </c>
      <c r="B1603" t="s">
        <v>73</v>
      </c>
      <c r="C1603" t="s">
        <v>74</v>
      </c>
      <c r="E1603" t="str">
        <f>"080065388539"</f>
        <v>080065388539</v>
      </c>
      <c r="F1603" s="3">
        <v>45792</v>
      </c>
      <c r="G1603">
        <v>202602</v>
      </c>
      <c r="H1603" t="s">
        <v>75</v>
      </c>
      <c r="I1603" t="s">
        <v>76</v>
      </c>
      <c r="J1603" t="s">
        <v>77</v>
      </c>
      <c r="K1603" t="s">
        <v>78</v>
      </c>
      <c r="L1603" t="s">
        <v>103</v>
      </c>
      <c r="M1603" t="s">
        <v>104</v>
      </c>
      <c r="N1603" t="s">
        <v>228</v>
      </c>
      <c r="O1603" t="s">
        <v>82</v>
      </c>
      <c r="P1603" t="str">
        <f>"4170038656                    "</f>
        <v xml:space="preserve">4170038656                    </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0</v>
      </c>
      <c r="AN1603">
        <v>0</v>
      </c>
      <c r="AO1603">
        <v>0</v>
      </c>
      <c r="AP1603">
        <v>0</v>
      </c>
      <c r="AQ1603">
        <v>21.38</v>
      </c>
      <c r="AR1603">
        <v>0</v>
      </c>
      <c r="AS1603">
        <v>0</v>
      </c>
      <c r="AT1603">
        <v>0</v>
      </c>
      <c r="AU1603">
        <v>0</v>
      </c>
      <c r="AV1603">
        <v>0</v>
      </c>
      <c r="AW1603">
        <v>16.739999999999998</v>
      </c>
      <c r="AX1603">
        <v>0</v>
      </c>
      <c r="AY1603">
        <v>0</v>
      </c>
      <c r="AZ1603">
        <v>0</v>
      </c>
      <c r="BA1603">
        <v>0</v>
      </c>
      <c r="BB1603">
        <v>0</v>
      </c>
      <c r="BC1603">
        <v>0</v>
      </c>
      <c r="BD1603">
        <v>0</v>
      </c>
      <c r="BE1603">
        <v>0</v>
      </c>
      <c r="BF1603">
        <v>0</v>
      </c>
      <c r="BG1603">
        <v>0</v>
      </c>
      <c r="BH1603">
        <v>1</v>
      </c>
      <c r="BI1603">
        <v>1</v>
      </c>
      <c r="BJ1603">
        <v>0.6</v>
      </c>
      <c r="BK1603">
        <v>1</v>
      </c>
      <c r="BL1603">
        <v>86.72</v>
      </c>
      <c r="BM1603">
        <v>13.01</v>
      </c>
      <c r="BN1603">
        <v>99.73</v>
      </c>
      <c r="BO1603">
        <v>99.73</v>
      </c>
      <c r="BQ1603" t="s">
        <v>229</v>
      </c>
      <c r="BR1603" t="s">
        <v>84</v>
      </c>
      <c r="BS1603" s="3">
        <v>45793</v>
      </c>
      <c r="BT1603" s="4">
        <v>0.40833333333333333</v>
      </c>
      <c r="BU1603" t="s">
        <v>1598</v>
      </c>
      <c r="BV1603" t="s">
        <v>86</v>
      </c>
      <c r="BY1603">
        <v>3192</v>
      </c>
      <c r="BZ1603" t="s">
        <v>30</v>
      </c>
      <c r="CA1603" t="s">
        <v>945</v>
      </c>
      <c r="CC1603" t="s">
        <v>104</v>
      </c>
      <c r="CD1603">
        <v>3699</v>
      </c>
      <c r="CE1603" t="s">
        <v>116</v>
      </c>
      <c r="CF1603" s="3">
        <v>45794</v>
      </c>
      <c r="CI1603">
        <v>1</v>
      </c>
      <c r="CJ1603">
        <v>1</v>
      </c>
      <c r="CK1603">
        <v>21</v>
      </c>
      <c r="CL1603" t="s">
        <v>89</v>
      </c>
    </row>
    <row r="1604" spans="1:90" x14ac:dyDescent="0.3">
      <c r="A1604" t="s">
        <v>72</v>
      </c>
      <c r="B1604" t="s">
        <v>73</v>
      </c>
      <c r="C1604" t="s">
        <v>74</v>
      </c>
      <c r="E1604" t="str">
        <f>"080065388552"</f>
        <v>080065388552</v>
      </c>
      <c r="F1604" s="3">
        <v>45792</v>
      </c>
      <c r="G1604">
        <v>202602</v>
      </c>
      <c r="H1604" t="s">
        <v>75</v>
      </c>
      <c r="I1604" t="s">
        <v>76</v>
      </c>
      <c r="J1604" t="s">
        <v>77</v>
      </c>
      <c r="K1604" t="s">
        <v>78</v>
      </c>
      <c r="L1604" t="s">
        <v>177</v>
      </c>
      <c r="M1604" t="s">
        <v>178</v>
      </c>
      <c r="N1604" t="s">
        <v>2222</v>
      </c>
      <c r="O1604" t="s">
        <v>82</v>
      </c>
      <c r="P1604" t="str">
        <f>"4170038655                    "</f>
        <v xml:space="preserve">4170038655                    </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21.38</v>
      </c>
      <c r="AR1604">
        <v>0</v>
      </c>
      <c r="AS1604">
        <v>0</v>
      </c>
      <c r="AT1604">
        <v>0</v>
      </c>
      <c r="AU1604">
        <v>0</v>
      </c>
      <c r="AV1604">
        <v>0</v>
      </c>
      <c r="AW1604">
        <v>0</v>
      </c>
      <c r="AX1604">
        <v>0</v>
      </c>
      <c r="AY1604">
        <v>0</v>
      </c>
      <c r="AZ1604">
        <v>0</v>
      </c>
      <c r="BA1604">
        <v>0</v>
      </c>
      <c r="BB1604">
        <v>0</v>
      </c>
      <c r="BC1604">
        <v>0</v>
      </c>
      <c r="BD1604">
        <v>0</v>
      </c>
      <c r="BE1604">
        <v>0</v>
      </c>
      <c r="BF1604">
        <v>0</v>
      </c>
      <c r="BG1604">
        <v>0</v>
      </c>
      <c r="BH1604">
        <v>1</v>
      </c>
      <c r="BI1604">
        <v>1</v>
      </c>
      <c r="BJ1604">
        <v>0.2</v>
      </c>
      <c r="BK1604">
        <v>1</v>
      </c>
      <c r="BL1604">
        <v>69.98</v>
      </c>
      <c r="BM1604">
        <v>10.5</v>
      </c>
      <c r="BN1604">
        <v>80.48</v>
      </c>
      <c r="BO1604">
        <v>80.48</v>
      </c>
      <c r="BQ1604" t="s">
        <v>2223</v>
      </c>
      <c r="BR1604" t="s">
        <v>84</v>
      </c>
      <c r="BS1604" s="3">
        <v>45793</v>
      </c>
      <c r="BT1604" s="4">
        <v>0.3576388888888889</v>
      </c>
      <c r="BU1604" t="s">
        <v>2224</v>
      </c>
      <c r="BV1604" t="s">
        <v>86</v>
      </c>
      <c r="BY1604">
        <v>1200</v>
      </c>
      <c r="CA1604" t="s">
        <v>182</v>
      </c>
      <c r="CC1604" t="s">
        <v>178</v>
      </c>
      <c r="CD1604">
        <v>6229</v>
      </c>
      <c r="CE1604" t="s">
        <v>88</v>
      </c>
      <c r="CF1604" s="3">
        <v>45793</v>
      </c>
      <c r="CI1604">
        <v>1</v>
      </c>
      <c r="CJ1604">
        <v>1</v>
      </c>
      <c r="CK1604">
        <v>21</v>
      </c>
      <c r="CL1604" t="s">
        <v>89</v>
      </c>
    </row>
    <row r="1605" spans="1:90" x14ac:dyDescent="0.3">
      <c r="A1605" t="s">
        <v>72</v>
      </c>
      <c r="B1605" t="s">
        <v>73</v>
      </c>
      <c r="C1605" t="s">
        <v>74</v>
      </c>
      <c r="E1605" t="str">
        <f>"080065388557"</f>
        <v>080065388557</v>
      </c>
      <c r="F1605" s="3">
        <v>45792</v>
      </c>
      <c r="G1605">
        <v>202602</v>
      </c>
      <c r="H1605" t="s">
        <v>75</v>
      </c>
      <c r="I1605" t="s">
        <v>76</v>
      </c>
      <c r="J1605" t="s">
        <v>77</v>
      </c>
      <c r="K1605" t="s">
        <v>78</v>
      </c>
      <c r="L1605" t="s">
        <v>90</v>
      </c>
      <c r="M1605" t="s">
        <v>91</v>
      </c>
      <c r="N1605" t="s">
        <v>109</v>
      </c>
      <c r="O1605" t="s">
        <v>82</v>
      </c>
      <c r="P1605" t="str">
        <f>"4170038719                    "</f>
        <v xml:space="preserve">4170038719                    </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0</v>
      </c>
      <c r="AL1605">
        <v>0</v>
      </c>
      <c r="AM1605">
        <v>0</v>
      </c>
      <c r="AN1605">
        <v>0</v>
      </c>
      <c r="AO1605">
        <v>0</v>
      </c>
      <c r="AP1605">
        <v>0</v>
      </c>
      <c r="AQ1605">
        <v>42.75</v>
      </c>
      <c r="AR1605">
        <v>0</v>
      </c>
      <c r="AS1605">
        <v>0</v>
      </c>
      <c r="AT1605">
        <v>0</v>
      </c>
      <c r="AU1605">
        <v>0</v>
      </c>
      <c r="AV1605">
        <v>0</v>
      </c>
      <c r="AW1605">
        <v>0</v>
      </c>
      <c r="AX1605">
        <v>0</v>
      </c>
      <c r="AY1605">
        <v>0</v>
      </c>
      <c r="AZ1605">
        <v>0</v>
      </c>
      <c r="BA1605">
        <v>0</v>
      </c>
      <c r="BB1605">
        <v>0</v>
      </c>
      <c r="BC1605">
        <v>0</v>
      </c>
      <c r="BD1605">
        <v>0</v>
      </c>
      <c r="BE1605">
        <v>0</v>
      </c>
      <c r="BF1605">
        <v>0</v>
      </c>
      <c r="BG1605">
        <v>0</v>
      </c>
      <c r="BH1605">
        <v>1</v>
      </c>
      <c r="BI1605">
        <v>4</v>
      </c>
      <c r="BJ1605">
        <v>1.7</v>
      </c>
      <c r="BK1605">
        <v>4</v>
      </c>
      <c r="BL1605">
        <v>139.91</v>
      </c>
      <c r="BM1605">
        <v>20.99</v>
      </c>
      <c r="BN1605">
        <v>160.9</v>
      </c>
      <c r="BO1605">
        <v>160.9</v>
      </c>
      <c r="BQ1605" t="s">
        <v>110</v>
      </c>
      <c r="BR1605" t="s">
        <v>84</v>
      </c>
      <c r="BS1605" s="3">
        <v>45793</v>
      </c>
      <c r="BT1605" s="4">
        <v>0.39861111111111114</v>
      </c>
      <c r="BU1605" t="s">
        <v>2225</v>
      </c>
      <c r="BV1605" t="s">
        <v>86</v>
      </c>
      <c r="BY1605">
        <v>8550</v>
      </c>
      <c r="CA1605" t="s">
        <v>95</v>
      </c>
      <c r="CC1605" t="s">
        <v>91</v>
      </c>
      <c r="CD1605">
        <v>6001</v>
      </c>
      <c r="CE1605" t="s">
        <v>116</v>
      </c>
      <c r="CF1605" s="3">
        <v>45793</v>
      </c>
      <c r="CI1605">
        <v>1</v>
      </c>
      <c r="CJ1605">
        <v>1</v>
      </c>
      <c r="CK1605">
        <v>21</v>
      </c>
      <c r="CL1605" t="s">
        <v>89</v>
      </c>
    </row>
    <row r="1606" spans="1:90" x14ac:dyDescent="0.3">
      <c r="A1606" t="s">
        <v>72</v>
      </c>
      <c r="B1606" t="s">
        <v>73</v>
      </c>
      <c r="C1606" t="s">
        <v>74</v>
      </c>
      <c r="E1606" t="str">
        <f>"080065388578"</f>
        <v>080065388578</v>
      </c>
      <c r="F1606" s="3">
        <v>45792</v>
      </c>
      <c r="G1606">
        <v>202602</v>
      </c>
      <c r="H1606" t="s">
        <v>75</v>
      </c>
      <c r="I1606" t="s">
        <v>76</v>
      </c>
      <c r="J1606" t="s">
        <v>77</v>
      </c>
      <c r="K1606" t="s">
        <v>78</v>
      </c>
      <c r="L1606" t="s">
        <v>79</v>
      </c>
      <c r="M1606" t="s">
        <v>80</v>
      </c>
      <c r="N1606" t="s">
        <v>357</v>
      </c>
      <c r="O1606" t="s">
        <v>82</v>
      </c>
      <c r="P1606" t="str">
        <f>"4170038667                    "</f>
        <v xml:space="preserve">4170038667                    </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21.38</v>
      </c>
      <c r="AR1606">
        <v>0</v>
      </c>
      <c r="AS1606">
        <v>0</v>
      </c>
      <c r="AT1606">
        <v>0</v>
      </c>
      <c r="AU1606">
        <v>0</v>
      </c>
      <c r="AV1606">
        <v>0</v>
      </c>
      <c r="AW1606">
        <v>0</v>
      </c>
      <c r="AX1606">
        <v>0</v>
      </c>
      <c r="AY1606">
        <v>0</v>
      </c>
      <c r="AZ1606">
        <v>0</v>
      </c>
      <c r="BA1606">
        <v>0</v>
      </c>
      <c r="BB1606">
        <v>0</v>
      </c>
      <c r="BC1606">
        <v>0</v>
      </c>
      <c r="BD1606">
        <v>0</v>
      </c>
      <c r="BE1606">
        <v>0</v>
      </c>
      <c r="BF1606">
        <v>0</v>
      </c>
      <c r="BG1606">
        <v>0</v>
      </c>
      <c r="BH1606">
        <v>1</v>
      </c>
      <c r="BI1606">
        <v>1</v>
      </c>
      <c r="BJ1606">
        <v>0.2</v>
      </c>
      <c r="BK1606">
        <v>1</v>
      </c>
      <c r="BL1606">
        <v>69.98</v>
      </c>
      <c r="BM1606">
        <v>10.5</v>
      </c>
      <c r="BN1606">
        <v>80.48</v>
      </c>
      <c r="BO1606">
        <v>80.48</v>
      </c>
      <c r="BQ1606" t="s">
        <v>358</v>
      </c>
      <c r="BR1606" t="s">
        <v>84</v>
      </c>
      <c r="BS1606" s="3">
        <v>45793</v>
      </c>
      <c r="BT1606" s="4">
        <v>0.50555555555555554</v>
      </c>
      <c r="BU1606" t="s">
        <v>1821</v>
      </c>
      <c r="BV1606" t="s">
        <v>89</v>
      </c>
      <c r="BW1606" t="s">
        <v>296</v>
      </c>
      <c r="BX1606" t="s">
        <v>325</v>
      </c>
      <c r="BY1606">
        <v>1200</v>
      </c>
      <c r="CA1606" t="s">
        <v>87</v>
      </c>
      <c r="CC1606" t="s">
        <v>80</v>
      </c>
      <c r="CD1606">
        <v>3608</v>
      </c>
      <c r="CE1606" t="s">
        <v>88</v>
      </c>
      <c r="CF1606" s="3">
        <v>45794</v>
      </c>
      <c r="CI1606">
        <v>1</v>
      </c>
      <c r="CJ1606">
        <v>1</v>
      </c>
      <c r="CK1606">
        <v>21</v>
      </c>
      <c r="CL1606" t="s">
        <v>89</v>
      </c>
    </row>
    <row r="1607" spans="1:90" x14ac:dyDescent="0.3">
      <c r="A1607" t="s">
        <v>72</v>
      </c>
      <c r="B1607" t="s">
        <v>73</v>
      </c>
      <c r="C1607" t="s">
        <v>74</v>
      </c>
      <c r="E1607" t="str">
        <f>"080065388584"</f>
        <v>080065388584</v>
      </c>
      <c r="F1607" s="3">
        <v>45792</v>
      </c>
      <c r="G1607">
        <v>202602</v>
      </c>
      <c r="H1607" t="s">
        <v>75</v>
      </c>
      <c r="I1607" t="s">
        <v>76</v>
      </c>
      <c r="J1607" t="s">
        <v>77</v>
      </c>
      <c r="K1607" t="s">
        <v>78</v>
      </c>
      <c r="L1607" t="s">
        <v>103</v>
      </c>
      <c r="M1607" t="s">
        <v>104</v>
      </c>
      <c r="N1607" t="s">
        <v>105</v>
      </c>
      <c r="O1607" t="s">
        <v>82</v>
      </c>
      <c r="P1607" t="str">
        <f>"4170038614                    "</f>
        <v xml:space="preserve">4170038614                    </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c r="AJ1607">
        <v>0</v>
      </c>
      <c r="AK1607">
        <v>0</v>
      </c>
      <c r="AL1607">
        <v>0</v>
      </c>
      <c r="AM1607">
        <v>0</v>
      </c>
      <c r="AN1607">
        <v>0</v>
      </c>
      <c r="AO1607">
        <v>0</v>
      </c>
      <c r="AP1607">
        <v>0</v>
      </c>
      <c r="AQ1607">
        <v>21.38</v>
      </c>
      <c r="AR1607">
        <v>0</v>
      </c>
      <c r="AS1607">
        <v>0</v>
      </c>
      <c r="AT1607">
        <v>0</v>
      </c>
      <c r="AU1607">
        <v>0</v>
      </c>
      <c r="AV1607">
        <v>0</v>
      </c>
      <c r="AW1607">
        <v>0</v>
      </c>
      <c r="AX1607">
        <v>0</v>
      </c>
      <c r="AY1607">
        <v>0</v>
      </c>
      <c r="AZ1607">
        <v>0</v>
      </c>
      <c r="BA1607">
        <v>0</v>
      </c>
      <c r="BB1607">
        <v>0</v>
      </c>
      <c r="BC1607">
        <v>0</v>
      </c>
      <c r="BD1607">
        <v>0</v>
      </c>
      <c r="BE1607">
        <v>0</v>
      </c>
      <c r="BF1607">
        <v>0</v>
      </c>
      <c r="BG1607">
        <v>0</v>
      </c>
      <c r="BH1607">
        <v>1</v>
      </c>
      <c r="BI1607">
        <v>1</v>
      </c>
      <c r="BJ1607">
        <v>1.4</v>
      </c>
      <c r="BK1607">
        <v>1.5</v>
      </c>
      <c r="BL1607">
        <v>69.98</v>
      </c>
      <c r="BM1607">
        <v>10.5</v>
      </c>
      <c r="BN1607">
        <v>80.48</v>
      </c>
      <c r="BO1607">
        <v>80.48</v>
      </c>
      <c r="BQ1607" t="s">
        <v>106</v>
      </c>
      <c r="BR1607" t="s">
        <v>84</v>
      </c>
      <c r="BS1607" s="3">
        <v>45793</v>
      </c>
      <c r="BT1607" s="4">
        <v>0.41666666666666669</v>
      </c>
      <c r="BU1607" t="s">
        <v>107</v>
      </c>
      <c r="BV1607" t="s">
        <v>86</v>
      </c>
      <c r="BY1607">
        <v>7000</v>
      </c>
      <c r="CA1607" t="s">
        <v>108</v>
      </c>
      <c r="CC1607" t="s">
        <v>104</v>
      </c>
      <c r="CD1607">
        <v>3201</v>
      </c>
      <c r="CE1607" t="s">
        <v>116</v>
      </c>
      <c r="CF1607" s="3">
        <v>45794</v>
      </c>
      <c r="CI1607">
        <v>1</v>
      </c>
      <c r="CJ1607">
        <v>1</v>
      </c>
      <c r="CK1607">
        <v>21</v>
      </c>
      <c r="CL1607" t="s">
        <v>89</v>
      </c>
    </row>
    <row r="1608" spans="1:90" x14ac:dyDescent="0.3">
      <c r="A1608" t="s">
        <v>72</v>
      </c>
      <c r="B1608" t="s">
        <v>73</v>
      </c>
      <c r="C1608" t="s">
        <v>74</v>
      </c>
      <c r="E1608" t="str">
        <f>"080065388599"</f>
        <v>080065388599</v>
      </c>
      <c r="F1608" s="3">
        <v>45792</v>
      </c>
      <c r="G1608">
        <v>202602</v>
      </c>
      <c r="H1608" t="s">
        <v>75</v>
      </c>
      <c r="I1608" t="s">
        <v>76</v>
      </c>
      <c r="J1608" t="s">
        <v>77</v>
      </c>
      <c r="K1608" t="s">
        <v>78</v>
      </c>
      <c r="L1608" t="s">
        <v>479</v>
      </c>
      <c r="M1608" t="s">
        <v>480</v>
      </c>
      <c r="N1608" t="s">
        <v>793</v>
      </c>
      <c r="O1608" t="s">
        <v>82</v>
      </c>
      <c r="P1608" t="str">
        <f>"4170038583                    "</f>
        <v xml:space="preserve">4170038583                    </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16.7</v>
      </c>
      <c r="AR1608">
        <v>0</v>
      </c>
      <c r="AS1608">
        <v>0</v>
      </c>
      <c r="AT1608">
        <v>0</v>
      </c>
      <c r="AU1608">
        <v>0</v>
      </c>
      <c r="AV1608">
        <v>0</v>
      </c>
      <c r="AW1608">
        <v>0</v>
      </c>
      <c r="AX1608">
        <v>0</v>
      </c>
      <c r="AY1608">
        <v>0</v>
      </c>
      <c r="AZ1608">
        <v>0</v>
      </c>
      <c r="BA1608">
        <v>0</v>
      </c>
      <c r="BB1608">
        <v>0</v>
      </c>
      <c r="BC1608">
        <v>0</v>
      </c>
      <c r="BD1608">
        <v>0</v>
      </c>
      <c r="BE1608">
        <v>0</v>
      </c>
      <c r="BF1608">
        <v>0</v>
      </c>
      <c r="BG1608">
        <v>0</v>
      </c>
      <c r="BH1608">
        <v>1</v>
      </c>
      <c r="BI1608">
        <v>1</v>
      </c>
      <c r="BJ1608">
        <v>0.2</v>
      </c>
      <c r="BK1608">
        <v>1</v>
      </c>
      <c r="BL1608">
        <v>54.66</v>
      </c>
      <c r="BM1608">
        <v>8.1999999999999993</v>
      </c>
      <c r="BN1608">
        <v>62.86</v>
      </c>
      <c r="BO1608">
        <v>62.86</v>
      </c>
      <c r="BQ1608" t="s">
        <v>794</v>
      </c>
      <c r="BR1608" t="s">
        <v>84</v>
      </c>
      <c r="BS1608" s="3">
        <v>45793</v>
      </c>
      <c r="BT1608" s="4">
        <v>0.44374999999999998</v>
      </c>
      <c r="BU1608" t="s">
        <v>1884</v>
      </c>
      <c r="BV1608" t="s">
        <v>89</v>
      </c>
      <c r="BW1608" t="s">
        <v>148</v>
      </c>
      <c r="BX1608" t="s">
        <v>1130</v>
      </c>
      <c r="BY1608">
        <v>1200</v>
      </c>
      <c r="CA1608" t="s">
        <v>1443</v>
      </c>
      <c r="CC1608" t="s">
        <v>480</v>
      </c>
      <c r="CD1608">
        <v>2163</v>
      </c>
      <c r="CE1608" t="s">
        <v>88</v>
      </c>
      <c r="CF1608" s="3">
        <v>45794</v>
      </c>
      <c r="CI1608">
        <v>1</v>
      </c>
      <c r="CJ1608">
        <v>1</v>
      </c>
      <c r="CK1608">
        <v>22</v>
      </c>
      <c r="CL1608" t="s">
        <v>89</v>
      </c>
    </row>
    <row r="1609" spans="1:90" x14ac:dyDescent="0.3">
      <c r="A1609" t="s">
        <v>72</v>
      </c>
      <c r="B1609" t="s">
        <v>73</v>
      </c>
      <c r="C1609" t="s">
        <v>74</v>
      </c>
      <c r="E1609" t="str">
        <f>"080065388614"</f>
        <v>080065388614</v>
      </c>
      <c r="F1609" s="3">
        <v>45792</v>
      </c>
      <c r="G1609">
        <v>202602</v>
      </c>
      <c r="H1609" t="s">
        <v>75</v>
      </c>
      <c r="I1609" t="s">
        <v>76</v>
      </c>
      <c r="J1609" t="s">
        <v>77</v>
      </c>
      <c r="K1609" t="s">
        <v>78</v>
      </c>
      <c r="L1609" t="s">
        <v>79</v>
      </c>
      <c r="M1609" t="s">
        <v>80</v>
      </c>
      <c r="N1609" t="s">
        <v>862</v>
      </c>
      <c r="O1609" t="s">
        <v>82</v>
      </c>
      <c r="P1609" t="str">
        <f>"4170038692                    "</f>
        <v xml:space="preserve">4170038692                    </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21.38</v>
      </c>
      <c r="AR1609">
        <v>0</v>
      </c>
      <c r="AS1609">
        <v>0</v>
      </c>
      <c r="AT1609">
        <v>0</v>
      </c>
      <c r="AU1609">
        <v>0</v>
      </c>
      <c r="AV1609">
        <v>0</v>
      </c>
      <c r="AW1609">
        <v>0</v>
      </c>
      <c r="AX1609">
        <v>0</v>
      </c>
      <c r="AY1609">
        <v>0</v>
      </c>
      <c r="AZ1609">
        <v>0</v>
      </c>
      <c r="BA1609">
        <v>0</v>
      </c>
      <c r="BB1609">
        <v>0</v>
      </c>
      <c r="BC1609">
        <v>0</v>
      </c>
      <c r="BD1609">
        <v>0</v>
      </c>
      <c r="BE1609">
        <v>0</v>
      </c>
      <c r="BF1609">
        <v>0</v>
      </c>
      <c r="BG1609">
        <v>0</v>
      </c>
      <c r="BH1609">
        <v>1</v>
      </c>
      <c r="BI1609">
        <v>1</v>
      </c>
      <c r="BJ1609">
        <v>1.4</v>
      </c>
      <c r="BK1609">
        <v>1.5</v>
      </c>
      <c r="BL1609">
        <v>69.98</v>
      </c>
      <c r="BM1609">
        <v>10.5</v>
      </c>
      <c r="BN1609">
        <v>80.48</v>
      </c>
      <c r="BO1609">
        <v>80.48</v>
      </c>
      <c r="BQ1609" t="s">
        <v>863</v>
      </c>
      <c r="BR1609" t="s">
        <v>84</v>
      </c>
      <c r="BS1609" s="3">
        <v>45793</v>
      </c>
      <c r="BT1609" s="4">
        <v>0.44791666666666669</v>
      </c>
      <c r="BU1609" t="s">
        <v>864</v>
      </c>
      <c r="BV1609" t="s">
        <v>86</v>
      </c>
      <c r="BY1609">
        <v>7000</v>
      </c>
      <c r="CA1609" t="s">
        <v>160</v>
      </c>
      <c r="CC1609" t="s">
        <v>80</v>
      </c>
      <c r="CD1609">
        <v>3610</v>
      </c>
      <c r="CE1609" t="s">
        <v>116</v>
      </c>
      <c r="CF1609" s="3">
        <v>45796</v>
      </c>
      <c r="CI1609">
        <v>1</v>
      </c>
      <c r="CJ1609">
        <v>1</v>
      </c>
      <c r="CK1609">
        <v>21</v>
      </c>
      <c r="CL1609" t="s">
        <v>89</v>
      </c>
    </row>
    <row r="1610" spans="1:90" x14ac:dyDescent="0.3">
      <c r="A1610" t="s">
        <v>72</v>
      </c>
      <c r="B1610" t="s">
        <v>73</v>
      </c>
      <c r="C1610" t="s">
        <v>74</v>
      </c>
      <c r="E1610" t="str">
        <f>"080065388621"</f>
        <v>080065388621</v>
      </c>
      <c r="F1610" s="3">
        <v>45792</v>
      </c>
      <c r="G1610">
        <v>202602</v>
      </c>
      <c r="H1610" t="s">
        <v>75</v>
      </c>
      <c r="I1610" t="s">
        <v>76</v>
      </c>
      <c r="J1610" t="s">
        <v>77</v>
      </c>
      <c r="K1610" t="s">
        <v>78</v>
      </c>
      <c r="L1610" t="s">
        <v>117</v>
      </c>
      <c r="M1610" t="s">
        <v>118</v>
      </c>
      <c r="N1610" t="s">
        <v>2226</v>
      </c>
      <c r="O1610" t="s">
        <v>82</v>
      </c>
      <c r="P1610" t="str">
        <f>"4170038708                    "</f>
        <v xml:space="preserve">4170038708                    </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16.7</v>
      </c>
      <c r="AR1610">
        <v>0</v>
      </c>
      <c r="AS1610">
        <v>0</v>
      </c>
      <c r="AT1610">
        <v>0</v>
      </c>
      <c r="AU1610">
        <v>0</v>
      </c>
      <c r="AV1610">
        <v>0</v>
      </c>
      <c r="AW1610">
        <v>0</v>
      </c>
      <c r="AX1610">
        <v>0</v>
      </c>
      <c r="AY1610">
        <v>0</v>
      </c>
      <c r="AZ1610">
        <v>0</v>
      </c>
      <c r="BA1610">
        <v>0</v>
      </c>
      <c r="BB1610">
        <v>0</v>
      </c>
      <c r="BC1610">
        <v>0</v>
      </c>
      <c r="BD1610">
        <v>0</v>
      </c>
      <c r="BE1610">
        <v>0</v>
      </c>
      <c r="BF1610">
        <v>0</v>
      </c>
      <c r="BG1610">
        <v>0</v>
      </c>
      <c r="BH1610">
        <v>1</v>
      </c>
      <c r="BI1610">
        <v>1</v>
      </c>
      <c r="BJ1610">
        <v>0.2</v>
      </c>
      <c r="BK1610">
        <v>1</v>
      </c>
      <c r="BL1610">
        <v>54.66</v>
      </c>
      <c r="BM1610">
        <v>8.1999999999999993</v>
      </c>
      <c r="BN1610">
        <v>62.86</v>
      </c>
      <c r="BO1610">
        <v>62.86</v>
      </c>
      <c r="BQ1610" t="s">
        <v>2227</v>
      </c>
      <c r="BR1610" t="s">
        <v>84</v>
      </c>
      <c r="BS1610" s="3">
        <v>45793</v>
      </c>
      <c r="BT1610" s="4">
        <v>0.375</v>
      </c>
      <c r="BU1610" t="s">
        <v>2228</v>
      </c>
      <c r="BV1610" t="s">
        <v>86</v>
      </c>
      <c r="BY1610">
        <v>1200</v>
      </c>
      <c r="CA1610" t="s">
        <v>535</v>
      </c>
      <c r="CC1610" t="s">
        <v>118</v>
      </c>
      <c r="CD1610">
        <v>2197</v>
      </c>
      <c r="CE1610" t="s">
        <v>88</v>
      </c>
      <c r="CF1610" s="3">
        <v>45793</v>
      </c>
      <c r="CI1610">
        <v>1</v>
      </c>
      <c r="CJ1610">
        <v>1</v>
      </c>
      <c r="CK1610">
        <v>22</v>
      </c>
      <c r="CL1610" t="s">
        <v>89</v>
      </c>
    </row>
    <row r="1611" spans="1:90" x14ac:dyDescent="0.3">
      <c r="A1611" t="s">
        <v>72</v>
      </c>
      <c r="B1611" t="s">
        <v>73</v>
      </c>
      <c r="C1611" t="s">
        <v>74</v>
      </c>
      <c r="E1611" t="str">
        <f>"080065388639"</f>
        <v>080065388639</v>
      </c>
      <c r="F1611" s="3">
        <v>45792</v>
      </c>
      <c r="G1611">
        <v>202602</v>
      </c>
      <c r="H1611" t="s">
        <v>75</v>
      </c>
      <c r="I1611" t="s">
        <v>76</v>
      </c>
      <c r="J1611" t="s">
        <v>77</v>
      </c>
      <c r="K1611" t="s">
        <v>78</v>
      </c>
      <c r="L1611" t="s">
        <v>79</v>
      </c>
      <c r="M1611" t="s">
        <v>80</v>
      </c>
      <c r="N1611" t="s">
        <v>452</v>
      </c>
      <c r="O1611" t="s">
        <v>82</v>
      </c>
      <c r="P1611" t="str">
        <f>"4170038701                    "</f>
        <v xml:space="preserve">4170038701                    </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32.07</v>
      </c>
      <c r="AR1611">
        <v>0</v>
      </c>
      <c r="AS1611">
        <v>0</v>
      </c>
      <c r="AT1611">
        <v>0</v>
      </c>
      <c r="AU1611">
        <v>0</v>
      </c>
      <c r="AV1611">
        <v>0</v>
      </c>
      <c r="AW1611">
        <v>0</v>
      </c>
      <c r="AX1611">
        <v>0</v>
      </c>
      <c r="AY1611">
        <v>0</v>
      </c>
      <c r="AZ1611">
        <v>0</v>
      </c>
      <c r="BA1611">
        <v>0</v>
      </c>
      <c r="BB1611">
        <v>0</v>
      </c>
      <c r="BC1611">
        <v>0</v>
      </c>
      <c r="BD1611">
        <v>0</v>
      </c>
      <c r="BE1611">
        <v>0</v>
      </c>
      <c r="BF1611">
        <v>0</v>
      </c>
      <c r="BG1611">
        <v>0</v>
      </c>
      <c r="BH1611">
        <v>1</v>
      </c>
      <c r="BI1611">
        <v>3</v>
      </c>
      <c r="BJ1611">
        <v>1.4</v>
      </c>
      <c r="BK1611">
        <v>3</v>
      </c>
      <c r="BL1611">
        <v>104.95</v>
      </c>
      <c r="BM1611">
        <v>15.74</v>
      </c>
      <c r="BN1611">
        <v>120.69</v>
      </c>
      <c r="BO1611">
        <v>120.69</v>
      </c>
      <c r="BQ1611" t="s">
        <v>453</v>
      </c>
      <c r="BR1611" t="s">
        <v>84</v>
      </c>
      <c r="BS1611" s="3">
        <v>45793</v>
      </c>
      <c r="BT1611" s="4">
        <v>0.39583333333333331</v>
      </c>
      <c r="BU1611" t="s">
        <v>1071</v>
      </c>
      <c r="BV1611" t="s">
        <v>86</v>
      </c>
      <c r="BY1611">
        <v>7000</v>
      </c>
      <c r="CA1611" t="s">
        <v>160</v>
      </c>
      <c r="CC1611" t="s">
        <v>80</v>
      </c>
      <c r="CD1611">
        <v>3610</v>
      </c>
      <c r="CE1611" t="s">
        <v>116</v>
      </c>
      <c r="CF1611" s="3">
        <v>45796</v>
      </c>
      <c r="CI1611">
        <v>1</v>
      </c>
      <c r="CJ1611">
        <v>1</v>
      </c>
      <c r="CK1611">
        <v>21</v>
      </c>
      <c r="CL1611" t="s">
        <v>89</v>
      </c>
    </row>
    <row r="1612" spans="1:90" x14ac:dyDescent="0.3">
      <c r="A1612" t="s">
        <v>72</v>
      </c>
      <c r="B1612" t="s">
        <v>73</v>
      </c>
      <c r="C1612" t="s">
        <v>74</v>
      </c>
      <c r="E1612" t="str">
        <f>"080065388638"</f>
        <v>080065388638</v>
      </c>
      <c r="F1612" s="3">
        <v>45792</v>
      </c>
      <c r="G1612">
        <v>202602</v>
      </c>
      <c r="H1612" t="s">
        <v>75</v>
      </c>
      <c r="I1612" t="s">
        <v>76</v>
      </c>
      <c r="J1612" t="s">
        <v>77</v>
      </c>
      <c r="K1612" t="s">
        <v>78</v>
      </c>
      <c r="L1612" t="s">
        <v>103</v>
      </c>
      <c r="M1612" t="s">
        <v>104</v>
      </c>
      <c r="N1612" t="s">
        <v>633</v>
      </c>
      <c r="O1612" t="s">
        <v>82</v>
      </c>
      <c r="P1612" t="str">
        <f>"4170038648                    "</f>
        <v xml:space="preserve">4170038648                    </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c r="AJ1612">
        <v>0</v>
      </c>
      <c r="AK1612">
        <v>0</v>
      </c>
      <c r="AL1612">
        <v>0</v>
      </c>
      <c r="AM1612">
        <v>0</v>
      </c>
      <c r="AN1612">
        <v>0</v>
      </c>
      <c r="AO1612">
        <v>0</v>
      </c>
      <c r="AP1612">
        <v>0</v>
      </c>
      <c r="AQ1612">
        <v>21.38</v>
      </c>
      <c r="AR1612">
        <v>0</v>
      </c>
      <c r="AS1612">
        <v>0</v>
      </c>
      <c r="AT1612">
        <v>0</v>
      </c>
      <c r="AU1612">
        <v>0</v>
      </c>
      <c r="AV1612">
        <v>0</v>
      </c>
      <c r="AW1612">
        <v>0</v>
      </c>
      <c r="AX1612">
        <v>0</v>
      </c>
      <c r="AY1612">
        <v>0</v>
      </c>
      <c r="AZ1612">
        <v>0</v>
      </c>
      <c r="BA1612">
        <v>0</v>
      </c>
      <c r="BB1612">
        <v>0</v>
      </c>
      <c r="BC1612">
        <v>0</v>
      </c>
      <c r="BD1612">
        <v>0</v>
      </c>
      <c r="BE1612">
        <v>0</v>
      </c>
      <c r="BF1612">
        <v>0</v>
      </c>
      <c r="BG1612">
        <v>0</v>
      </c>
      <c r="BH1612">
        <v>1</v>
      </c>
      <c r="BI1612">
        <v>1</v>
      </c>
      <c r="BJ1612">
        <v>0.2</v>
      </c>
      <c r="BK1612">
        <v>1</v>
      </c>
      <c r="BL1612">
        <v>69.98</v>
      </c>
      <c r="BM1612">
        <v>10.5</v>
      </c>
      <c r="BN1612">
        <v>80.48</v>
      </c>
      <c r="BO1612">
        <v>80.48</v>
      </c>
      <c r="BQ1612" t="s">
        <v>634</v>
      </c>
      <c r="BR1612" t="s">
        <v>84</v>
      </c>
      <c r="BS1612" s="3">
        <v>45793</v>
      </c>
      <c r="BT1612" s="4">
        <v>0.41666666666666669</v>
      </c>
      <c r="BU1612" t="s">
        <v>2229</v>
      </c>
      <c r="BV1612" t="s">
        <v>86</v>
      </c>
      <c r="BY1612">
        <v>1200</v>
      </c>
      <c r="CA1612" t="s">
        <v>440</v>
      </c>
      <c r="CC1612" t="s">
        <v>104</v>
      </c>
      <c r="CD1612">
        <v>3212</v>
      </c>
      <c r="CE1612" t="s">
        <v>88</v>
      </c>
      <c r="CF1612" s="3">
        <v>45794</v>
      </c>
      <c r="CI1612">
        <v>2</v>
      </c>
      <c r="CJ1612">
        <v>1</v>
      </c>
      <c r="CK1612">
        <v>21</v>
      </c>
      <c r="CL1612" t="s">
        <v>89</v>
      </c>
    </row>
    <row r="1613" spans="1:90" x14ac:dyDescent="0.3">
      <c r="A1613" t="s">
        <v>72</v>
      </c>
      <c r="B1613" t="s">
        <v>73</v>
      </c>
      <c r="C1613" t="s">
        <v>74</v>
      </c>
      <c r="E1613" t="str">
        <f>"080065388663"</f>
        <v>080065388663</v>
      </c>
      <c r="F1613" s="3">
        <v>45792</v>
      </c>
      <c r="G1613">
        <v>202602</v>
      </c>
      <c r="H1613" t="s">
        <v>75</v>
      </c>
      <c r="I1613" t="s">
        <v>76</v>
      </c>
      <c r="J1613" t="s">
        <v>77</v>
      </c>
      <c r="K1613" t="s">
        <v>78</v>
      </c>
      <c r="L1613" t="s">
        <v>222</v>
      </c>
      <c r="M1613" t="s">
        <v>223</v>
      </c>
      <c r="N1613" t="s">
        <v>589</v>
      </c>
      <c r="O1613" t="s">
        <v>82</v>
      </c>
      <c r="P1613" t="str">
        <f>"4170038618                    "</f>
        <v xml:space="preserve">4170038618                    </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c r="AJ1613">
        <v>0</v>
      </c>
      <c r="AK1613">
        <v>0</v>
      </c>
      <c r="AL1613">
        <v>0</v>
      </c>
      <c r="AM1613">
        <v>0</v>
      </c>
      <c r="AN1613">
        <v>0</v>
      </c>
      <c r="AO1613">
        <v>0</v>
      </c>
      <c r="AP1613">
        <v>0</v>
      </c>
      <c r="AQ1613">
        <v>30.07</v>
      </c>
      <c r="AR1613">
        <v>0</v>
      </c>
      <c r="AS1613">
        <v>0</v>
      </c>
      <c r="AT1613">
        <v>0</v>
      </c>
      <c r="AU1613">
        <v>0</v>
      </c>
      <c r="AV1613">
        <v>0</v>
      </c>
      <c r="AW1613">
        <v>0</v>
      </c>
      <c r="AX1613">
        <v>0</v>
      </c>
      <c r="AY1613">
        <v>0</v>
      </c>
      <c r="AZ1613">
        <v>0</v>
      </c>
      <c r="BA1613">
        <v>0</v>
      </c>
      <c r="BB1613">
        <v>0</v>
      </c>
      <c r="BC1613">
        <v>0</v>
      </c>
      <c r="BD1613">
        <v>0</v>
      </c>
      <c r="BE1613">
        <v>0</v>
      </c>
      <c r="BF1613">
        <v>0</v>
      </c>
      <c r="BG1613">
        <v>0</v>
      </c>
      <c r="BH1613">
        <v>1</v>
      </c>
      <c r="BI1613">
        <v>1</v>
      </c>
      <c r="BJ1613">
        <v>0.2</v>
      </c>
      <c r="BK1613">
        <v>1</v>
      </c>
      <c r="BL1613">
        <v>98.42</v>
      </c>
      <c r="BM1613">
        <v>14.76</v>
      </c>
      <c r="BN1613">
        <v>113.18</v>
      </c>
      <c r="BO1613">
        <v>113.18</v>
      </c>
      <c r="BQ1613" t="s">
        <v>590</v>
      </c>
      <c r="BR1613" t="s">
        <v>84</v>
      </c>
      <c r="BS1613" s="3">
        <v>45793</v>
      </c>
      <c r="BT1613" s="4">
        <v>0.31041666666666667</v>
      </c>
      <c r="BU1613" t="s">
        <v>2167</v>
      </c>
      <c r="BV1613" t="s">
        <v>86</v>
      </c>
      <c r="BY1613">
        <v>1200</v>
      </c>
      <c r="CA1613" t="s">
        <v>592</v>
      </c>
      <c r="CC1613" t="s">
        <v>223</v>
      </c>
      <c r="CD1613">
        <v>1748</v>
      </c>
      <c r="CE1613" t="s">
        <v>88</v>
      </c>
      <c r="CF1613" s="3">
        <v>45794</v>
      </c>
      <c r="CI1613">
        <v>1</v>
      </c>
      <c r="CJ1613">
        <v>1</v>
      </c>
      <c r="CK1613">
        <v>24</v>
      </c>
      <c r="CL1613" t="s">
        <v>89</v>
      </c>
    </row>
    <row r="1614" spans="1:90" x14ac:dyDescent="0.3">
      <c r="A1614" t="s">
        <v>72</v>
      </c>
      <c r="B1614" t="s">
        <v>73</v>
      </c>
      <c r="C1614" t="s">
        <v>74</v>
      </c>
      <c r="E1614" t="str">
        <f>"080065388678"</f>
        <v>080065388678</v>
      </c>
      <c r="F1614" s="3">
        <v>45792</v>
      </c>
      <c r="G1614">
        <v>202602</v>
      </c>
      <c r="H1614" t="s">
        <v>75</v>
      </c>
      <c r="I1614" t="s">
        <v>76</v>
      </c>
      <c r="J1614" t="s">
        <v>77</v>
      </c>
      <c r="K1614" t="s">
        <v>78</v>
      </c>
      <c r="L1614" t="s">
        <v>143</v>
      </c>
      <c r="M1614" t="s">
        <v>144</v>
      </c>
      <c r="N1614" t="s">
        <v>2127</v>
      </c>
      <c r="O1614" t="s">
        <v>82</v>
      </c>
      <c r="P1614" t="str">
        <f>"4170038585                    "</f>
        <v xml:space="preserve">4170038585                    </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0</v>
      </c>
      <c r="AL1614">
        <v>0</v>
      </c>
      <c r="AM1614">
        <v>0</v>
      </c>
      <c r="AN1614">
        <v>0</v>
      </c>
      <c r="AO1614">
        <v>0</v>
      </c>
      <c r="AP1614">
        <v>0</v>
      </c>
      <c r="AQ1614">
        <v>16.7</v>
      </c>
      <c r="AR1614">
        <v>0</v>
      </c>
      <c r="AS1614">
        <v>0</v>
      </c>
      <c r="AT1614">
        <v>0</v>
      </c>
      <c r="AU1614">
        <v>0</v>
      </c>
      <c r="AV1614">
        <v>0</v>
      </c>
      <c r="AW1614">
        <v>0</v>
      </c>
      <c r="AX1614">
        <v>0</v>
      </c>
      <c r="AY1614">
        <v>0</v>
      </c>
      <c r="AZ1614">
        <v>0</v>
      </c>
      <c r="BA1614">
        <v>0</v>
      </c>
      <c r="BB1614">
        <v>0</v>
      </c>
      <c r="BC1614">
        <v>0</v>
      </c>
      <c r="BD1614">
        <v>0</v>
      </c>
      <c r="BE1614">
        <v>0</v>
      </c>
      <c r="BF1614">
        <v>0</v>
      </c>
      <c r="BG1614">
        <v>0</v>
      </c>
      <c r="BH1614">
        <v>1</v>
      </c>
      <c r="BI1614">
        <v>2</v>
      </c>
      <c r="BJ1614">
        <v>0.6</v>
      </c>
      <c r="BK1614">
        <v>2</v>
      </c>
      <c r="BL1614">
        <v>54.66</v>
      </c>
      <c r="BM1614">
        <v>8.1999999999999993</v>
      </c>
      <c r="BN1614">
        <v>62.86</v>
      </c>
      <c r="BO1614">
        <v>62.86</v>
      </c>
      <c r="BQ1614" t="s">
        <v>2128</v>
      </c>
      <c r="BR1614" t="s">
        <v>84</v>
      </c>
      <c r="BS1614" s="3">
        <v>45793</v>
      </c>
      <c r="BT1614" s="4">
        <v>0.39791666666666664</v>
      </c>
      <c r="BU1614" t="s">
        <v>335</v>
      </c>
      <c r="BV1614" t="s">
        <v>86</v>
      </c>
      <c r="BY1614">
        <v>3192</v>
      </c>
      <c r="CA1614" t="s">
        <v>2230</v>
      </c>
      <c r="CC1614" t="s">
        <v>144</v>
      </c>
      <c r="CD1614">
        <v>1401</v>
      </c>
      <c r="CE1614" t="s">
        <v>116</v>
      </c>
      <c r="CF1614" s="3">
        <v>45793</v>
      </c>
      <c r="CI1614">
        <v>1</v>
      </c>
      <c r="CJ1614">
        <v>1</v>
      </c>
      <c r="CK1614">
        <v>22</v>
      </c>
      <c r="CL1614" t="s">
        <v>89</v>
      </c>
    </row>
    <row r="1615" spans="1:90" x14ac:dyDescent="0.3">
      <c r="A1615" t="s">
        <v>72</v>
      </c>
      <c r="B1615" t="s">
        <v>73</v>
      </c>
      <c r="C1615" t="s">
        <v>74</v>
      </c>
      <c r="E1615" t="str">
        <f>"080065388686"</f>
        <v>080065388686</v>
      </c>
      <c r="F1615" s="3">
        <v>45792</v>
      </c>
      <c r="G1615">
        <v>202602</v>
      </c>
      <c r="H1615" t="s">
        <v>75</v>
      </c>
      <c r="I1615" t="s">
        <v>76</v>
      </c>
      <c r="J1615" t="s">
        <v>77</v>
      </c>
      <c r="K1615" t="s">
        <v>78</v>
      </c>
      <c r="L1615" t="s">
        <v>350</v>
      </c>
      <c r="M1615" t="s">
        <v>351</v>
      </c>
      <c r="N1615" t="s">
        <v>1838</v>
      </c>
      <c r="O1615" t="s">
        <v>82</v>
      </c>
      <c r="P1615" t="str">
        <f>"4170038653                    "</f>
        <v xml:space="preserve">4170038653                    </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0</v>
      </c>
      <c r="AJ1615">
        <v>0</v>
      </c>
      <c r="AK1615">
        <v>0</v>
      </c>
      <c r="AL1615">
        <v>0</v>
      </c>
      <c r="AM1615">
        <v>0</v>
      </c>
      <c r="AN1615">
        <v>0</v>
      </c>
      <c r="AO1615">
        <v>0</v>
      </c>
      <c r="AP1615">
        <v>0</v>
      </c>
      <c r="AQ1615">
        <v>21.38</v>
      </c>
      <c r="AR1615">
        <v>0</v>
      </c>
      <c r="AS1615">
        <v>0</v>
      </c>
      <c r="AT1615">
        <v>0</v>
      </c>
      <c r="AU1615">
        <v>0</v>
      </c>
      <c r="AV1615">
        <v>0</v>
      </c>
      <c r="AW1615">
        <v>0</v>
      </c>
      <c r="AX1615">
        <v>0</v>
      </c>
      <c r="AY1615">
        <v>0</v>
      </c>
      <c r="AZ1615">
        <v>0</v>
      </c>
      <c r="BA1615">
        <v>0</v>
      </c>
      <c r="BB1615">
        <v>0</v>
      </c>
      <c r="BC1615">
        <v>0</v>
      </c>
      <c r="BD1615">
        <v>0</v>
      </c>
      <c r="BE1615">
        <v>0</v>
      </c>
      <c r="BF1615">
        <v>0</v>
      </c>
      <c r="BG1615">
        <v>0</v>
      </c>
      <c r="BH1615">
        <v>1</v>
      </c>
      <c r="BI1615">
        <v>1</v>
      </c>
      <c r="BJ1615">
        <v>0.2</v>
      </c>
      <c r="BK1615">
        <v>1</v>
      </c>
      <c r="BL1615">
        <v>69.98</v>
      </c>
      <c r="BM1615">
        <v>10.5</v>
      </c>
      <c r="BN1615">
        <v>80.48</v>
      </c>
      <c r="BO1615">
        <v>80.48</v>
      </c>
      <c r="BQ1615" t="s">
        <v>1839</v>
      </c>
      <c r="BR1615" t="s">
        <v>84</v>
      </c>
      <c r="BS1615" s="3">
        <v>45793</v>
      </c>
      <c r="BT1615" s="4">
        <v>0.40902777777777777</v>
      </c>
      <c r="BU1615" t="s">
        <v>2231</v>
      </c>
      <c r="BV1615" t="s">
        <v>86</v>
      </c>
      <c r="BY1615">
        <v>1200</v>
      </c>
      <c r="CA1615" t="s">
        <v>879</v>
      </c>
      <c r="CC1615" t="s">
        <v>351</v>
      </c>
      <c r="CD1615">
        <v>4060</v>
      </c>
      <c r="CE1615" t="s">
        <v>88</v>
      </c>
      <c r="CF1615" s="3">
        <v>45796</v>
      </c>
      <c r="CI1615">
        <v>1</v>
      </c>
      <c r="CJ1615">
        <v>1</v>
      </c>
      <c r="CK1615">
        <v>21</v>
      </c>
      <c r="CL1615" t="s">
        <v>89</v>
      </c>
    </row>
    <row r="1616" spans="1:90" x14ac:dyDescent="0.3">
      <c r="A1616" t="s">
        <v>72</v>
      </c>
      <c r="B1616" t="s">
        <v>73</v>
      </c>
      <c r="C1616" t="s">
        <v>74</v>
      </c>
      <c r="E1616" t="str">
        <f>"080065388704"</f>
        <v>080065388704</v>
      </c>
      <c r="F1616" s="3">
        <v>45792</v>
      </c>
      <c r="G1616">
        <v>202602</v>
      </c>
      <c r="H1616" t="s">
        <v>75</v>
      </c>
      <c r="I1616" t="s">
        <v>76</v>
      </c>
      <c r="J1616" t="s">
        <v>77</v>
      </c>
      <c r="K1616" t="s">
        <v>78</v>
      </c>
      <c r="L1616" t="s">
        <v>1737</v>
      </c>
      <c r="M1616" t="s">
        <v>1738</v>
      </c>
      <c r="N1616" t="s">
        <v>261</v>
      </c>
      <c r="O1616" t="s">
        <v>82</v>
      </c>
      <c r="P1616" t="str">
        <f>"4170038592                    "</f>
        <v xml:space="preserve">4170038592                    </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0</v>
      </c>
      <c r="AL1616">
        <v>0</v>
      </c>
      <c r="AM1616">
        <v>0</v>
      </c>
      <c r="AN1616">
        <v>0</v>
      </c>
      <c r="AO1616">
        <v>0</v>
      </c>
      <c r="AP1616">
        <v>0</v>
      </c>
      <c r="AQ1616">
        <v>41.43</v>
      </c>
      <c r="AR1616">
        <v>0</v>
      </c>
      <c r="AS1616">
        <v>0</v>
      </c>
      <c r="AT1616">
        <v>0</v>
      </c>
      <c r="AU1616">
        <v>0</v>
      </c>
      <c r="AV1616">
        <v>0</v>
      </c>
      <c r="AW1616">
        <v>0</v>
      </c>
      <c r="AX1616">
        <v>0</v>
      </c>
      <c r="AY1616">
        <v>0</v>
      </c>
      <c r="AZ1616">
        <v>0</v>
      </c>
      <c r="BA1616">
        <v>0</v>
      </c>
      <c r="BB1616">
        <v>0</v>
      </c>
      <c r="BC1616">
        <v>0</v>
      </c>
      <c r="BD1616">
        <v>0</v>
      </c>
      <c r="BE1616">
        <v>0</v>
      </c>
      <c r="BF1616">
        <v>0</v>
      </c>
      <c r="BG1616">
        <v>0</v>
      </c>
      <c r="BH1616">
        <v>1</v>
      </c>
      <c r="BI1616">
        <v>1</v>
      </c>
      <c r="BJ1616">
        <v>0.2</v>
      </c>
      <c r="BK1616">
        <v>1</v>
      </c>
      <c r="BL1616">
        <v>135.59</v>
      </c>
      <c r="BM1616">
        <v>20.34</v>
      </c>
      <c r="BN1616">
        <v>155.93</v>
      </c>
      <c r="BO1616">
        <v>155.93</v>
      </c>
      <c r="BQ1616" t="s">
        <v>262</v>
      </c>
      <c r="BR1616" t="s">
        <v>84</v>
      </c>
      <c r="BS1616" s="3">
        <v>45793</v>
      </c>
      <c r="BT1616" s="4">
        <v>0.52430555555555558</v>
      </c>
      <c r="BU1616" t="s">
        <v>2232</v>
      </c>
      <c r="BV1616" t="s">
        <v>86</v>
      </c>
      <c r="BY1616">
        <v>1200</v>
      </c>
      <c r="CA1616" t="s">
        <v>1740</v>
      </c>
      <c r="CC1616" t="s">
        <v>1738</v>
      </c>
      <c r="CD1616">
        <v>9880</v>
      </c>
      <c r="CE1616" t="s">
        <v>88</v>
      </c>
      <c r="CF1616" s="3">
        <v>45796</v>
      </c>
      <c r="CI1616">
        <v>1</v>
      </c>
      <c r="CJ1616">
        <v>1</v>
      </c>
      <c r="CK1616">
        <v>23</v>
      </c>
      <c r="CL1616" t="s">
        <v>89</v>
      </c>
    </row>
    <row r="1617" spans="1:90" x14ac:dyDescent="0.3">
      <c r="A1617" t="s">
        <v>72</v>
      </c>
      <c r="B1617" t="s">
        <v>73</v>
      </c>
      <c r="C1617" t="s">
        <v>74</v>
      </c>
      <c r="E1617" t="str">
        <f>"080065388722"</f>
        <v>080065388722</v>
      </c>
      <c r="F1617" s="3">
        <v>45792</v>
      </c>
      <c r="G1617">
        <v>202602</v>
      </c>
      <c r="H1617" t="s">
        <v>75</v>
      </c>
      <c r="I1617" t="s">
        <v>76</v>
      </c>
      <c r="J1617" t="s">
        <v>77</v>
      </c>
      <c r="K1617" t="s">
        <v>78</v>
      </c>
      <c r="L1617" t="s">
        <v>463</v>
      </c>
      <c r="M1617" t="s">
        <v>464</v>
      </c>
      <c r="N1617" t="s">
        <v>883</v>
      </c>
      <c r="O1617" t="s">
        <v>82</v>
      </c>
      <c r="P1617" t="str">
        <f>"4170038600                    "</f>
        <v xml:space="preserve">4170038600                    </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c r="AI1617">
        <v>0</v>
      </c>
      <c r="AJ1617">
        <v>0</v>
      </c>
      <c r="AK1617">
        <v>0</v>
      </c>
      <c r="AL1617">
        <v>0</v>
      </c>
      <c r="AM1617">
        <v>0</v>
      </c>
      <c r="AN1617">
        <v>0</v>
      </c>
      <c r="AO1617">
        <v>0</v>
      </c>
      <c r="AP1617">
        <v>0</v>
      </c>
      <c r="AQ1617">
        <v>21.38</v>
      </c>
      <c r="AR1617">
        <v>0</v>
      </c>
      <c r="AS1617">
        <v>0</v>
      </c>
      <c r="AT1617">
        <v>0</v>
      </c>
      <c r="AU1617">
        <v>0</v>
      </c>
      <c r="AV1617">
        <v>0</v>
      </c>
      <c r="AW1617">
        <v>0</v>
      </c>
      <c r="AX1617">
        <v>0</v>
      </c>
      <c r="AY1617">
        <v>0</v>
      </c>
      <c r="AZ1617">
        <v>0</v>
      </c>
      <c r="BA1617">
        <v>0</v>
      </c>
      <c r="BB1617">
        <v>0</v>
      </c>
      <c r="BC1617">
        <v>0</v>
      </c>
      <c r="BD1617">
        <v>0</v>
      </c>
      <c r="BE1617">
        <v>0</v>
      </c>
      <c r="BF1617">
        <v>0</v>
      </c>
      <c r="BG1617">
        <v>0</v>
      </c>
      <c r="BH1617">
        <v>1</v>
      </c>
      <c r="BI1617">
        <v>1</v>
      </c>
      <c r="BJ1617">
        <v>0.2</v>
      </c>
      <c r="BK1617">
        <v>1</v>
      </c>
      <c r="BL1617">
        <v>69.98</v>
      </c>
      <c r="BM1617">
        <v>10.5</v>
      </c>
      <c r="BN1617">
        <v>80.48</v>
      </c>
      <c r="BO1617">
        <v>80.48</v>
      </c>
      <c r="BQ1617" t="s">
        <v>884</v>
      </c>
      <c r="BR1617" t="s">
        <v>84</v>
      </c>
      <c r="BS1617" s="3">
        <v>45793</v>
      </c>
      <c r="BT1617" s="4">
        <v>0.54166666666666663</v>
      </c>
      <c r="BU1617" t="s">
        <v>2233</v>
      </c>
      <c r="BV1617" t="s">
        <v>89</v>
      </c>
      <c r="BY1617">
        <v>1200</v>
      </c>
      <c r="CA1617" t="s">
        <v>2234</v>
      </c>
      <c r="CC1617" t="s">
        <v>464</v>
      </c>
      <c r="CD1617">
        <v>5200</v>
      </c>
      <c r="CE1617" t="s">
        <v>88</v>
      </c>
      <c r="CF1617" s="3">
        <v>45795</v>
      </c>
      <c r="CI1617">
        <v>1</v>
      </c>
      <c r="CJ1617">
        <v>1</v>
      </c>
      <c r="CK1617">
        <v>21</v>
      </c>
      <c r="CL1617" t="s">
        <v>89</v>
      </c>
    </row>
    <row r="1618" spans="1:90" x14ac:dyDescent="0.3">
      <c r="A1618" t="s">
        <v>72</v>
      </c>
      <c r="B1618" t="s">
        <v>73</v>
      </c>
      <c r="C1618" t="s">
        <v>74</v>
      </c>
      <c r="E1618" t="str">
        <f>"080065388741"</f>
        <v>080065388741</v>
      </c>
      <c r="F1618" s="3">
        <v>45792</v>
      </c>
      <c r="G1618">
        <v>202602</v>
      </c>
      <c r="H1618" t="s">
        <v>75</v>
      </c>
      <c r="I1618" t="s">
        <v>76</v>
      </c>
      <c r="J1618" t="s">
        <v>77</v>
      </c>
      <c r="K1618" t="s">
        <v>78</v>
      </c>
      <c r="L1618" t="s">
        <v>463</v>
      </c>
      <c r="M1618" t="s">
        <v>464</v>
      </c>
      <c r="N1618" t="s">
        <v>585</v>
      </c>
      <c r="O1618" t="s">
        <v>82</v>
      </c>
      <c r="P1618" t="str">
        <f>"4170038647                    "</f>
        <v xml:space="preserve">4170038647                    </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c r="AJ1618">
        <v>0</v>
      </c>
      <c r="AK1618">
        <v>0</v>
      </c>
      <c r="AL1618">
        <v>0</v>
      </c>
      <c r="AM1618">
        <v>0</v>
      </c>
      <c r="AN1618">
        <v>0</v>
      </c>
      <c r="AO1618">
        <v>0</v>
      </c>
      <c r="AP1618">
        <v>0</v>
      </c>
      <c r="AQ1618">
        <v>21.38</v>
      </c>
      <c r="AR1618">
        <v>0</v>
      </c>
      <c r="AS1618">
        <v>0</v>
      </c>
      <c r="AT1618">
        <v>0</v>
      </c>
      <c r="AU1618">
        <v>0</v>
      </c>
      <c r="AV1618">
        <v>0</v>
      </c>
      <c r="AW1618">
        <v>0</v>
      </c>
      <c r="AX1618">
        <v>0</v>
      </c>
      <c r="AY1618">
        <v>0</v>
      </c>
      <c r="AZ1618">
        <v>0</v>
      </c>
      <c r="BA1618">
        <v>0</v>
      </c>
      <c r="BB1618">
        <v>0</v>
      </c>
      <c r="BC1618">
        <v>0</v>
      </c>
      <c r="BD1618">
        <v>0</v>
      </c>
      <c r="BE1618">
        <v>0</v>
      </c>
      <c r="BF1618">
        <v>0</v>
      </c>
      <c r="BG1618">
        <v>0</v>
      </c>
      <c r="BH1618">
        <v>1</v>
      </c>
      <c r="BI1618">
        <v>1</v>
      </c>
      <c r="BJ1618">
        <v>0.2</v>
      </c>
      <c r="BK1618">
        <v>1</v>
      </c>
      <c r="BL1618">
        <v>69.98</v>
      </c>
      <c r="BM1618">
        <v>10.5</v>
      </c>
      <c r="BN1618">
        <v>80.48</v>
      </c>
      <c r="BO1618">
        <v>80.48</v>
      </c>
      <c r="BQ1618" t="s">
        <v>586</v>
      </c>
      <c r="BR1618" t="s">
        <v>84</v>
      </c>
      <c r="BS1618" s="3">
        <v>45793</v>
      </c>
      <c r="BT1618" s="4">
        <v>0.4513888888888889</v>
      </c>
      <c r="BU1618" t="s">
        <v>2214</v>
      </c>
      <c r="BV1618" t="s">
        <v>89</v>
      </c>
      <c r="BW1618" t="s">
        <v>148</v>
      </c>
      <c r="BX1618" t="s">
        <v>2215</v>
      </c>
      <c r="BY1618">
        <v>1200</v>
      </c>
      <c r="CA1618" t="s">
        <v>588</v>
      </c>
      <c r="CC1618" t="s">
        <v>464</v>
      </c>
      <c r="CD1618">
        <v>5200</v>
      </c>
      <c r="CE1618" t="s">
        <v>88</v>
      </c>
      <c r="CF1618" s="3">
        <v>45795</v>
      </c>
      <c r="CI1618">
        <v>1</v>
      </c>
      <c r="CJ1618">
        <v>1</v>
      </c>
      <c r="CK1618">
        <v>21</v>
      </c>
      <c r="CL1618" t="s">
        <v>89</v>
      </c>
    </row>
    <row r="1619" spans="1:90" x14ac:dyDescent="0.3">
      <c r="A1619" t="s">
        <v>72</v>
      </c>
      <c r="B1619" t="s">
        <v>73</v>
      </c>
      <c r="C1619" t="s">
        <v>74</v>
      </c>
      <c r="E1619" t="str">
        <f>"080065388756"</f>
        <v>080065388756</v>
      </c>
      <c r="F1619" s="3">
        <v>45792</v>
      </c>
      <c r="G1619">
        <v>202602</v>
      </c>
      <c r="H1619" t="s">
        <v>75</v>
      </c>
      <c r="I1619" t="s">
        <v>76</v>
      </c>
      <c r="J1619" t="s">
        <v>77</v>
      </c>
      <c r="K1619" t="s">
        <v>78</v>
      </c>
      <c r="L1619" t="s">
        <v>1328</v>
      </c>
      <c r="M1619" t="s">
        <v>1329</v>
      </c>
      <c r="N1619" t="s">
        <v>1330</v>
      </c>
      <c r="O1619" t="s">
        <v>82</v>
      </c>
      <c r="P1619" t="str">
        <f>"4170038727                    "</f>
        <v xml:space="preserve">4170038727                    </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0</v>
      </c>
      <c r="AJ1619">
        <v>0</v>
      </c>
      <c r="AK1619">
        <v>0</v>
      </c>
      <c r="AL1619">
        <v>0</v>
      </c>
      <c r="AM1619">
        <v>0</v>
      </c>
      <c r="AN1619">
        <v>0</v>
      </c>
      <c r="AO1619">
        <v>0</v>
      </c>
      <c r="AP1619">
        <v>0</v>
      </c>
      <c r="AQ1619">
        <v>30.07</v>
      </c>
      <c r="AR1619">
        <v>0</v>
      </c>
      <c r="AS1619">
        <v>0</v>
      </c>
      <c r="AT1619">
        <v>0</v>
      </c>
      <c r="AU1619">
        <v>0</v>
      </c>
      <c r="AV1619">
        <v>0</v>
      </c>
      <c r="AW1619">
        <v>0</v>
      </c>
      <c r="AX1619">
        <v>0</v>
      </c>
      <c r="AY1619">
        <v>0</v>
      </c>
      <c r="AZ1619">
        <v>0</v>
      </c>
      <c r="BA1619">
        <v>0</v>
      </c>
      <c r="BB1619">
        <v>0</v>
      </c>
      <c r="BC1619">
        <v>0</v>
      </c>
      <c r="BD1619">
        <v>0</v>
      </c>
      <c r="BE1619">
        <v>0</v>
      </c>
      <c r="BF1619">
        <v>0</v>
      </c>
      <c r="BG1619">
        <v>0</v>
      </c>
      <c r="BH1619">
        <v>1</v>
      </c>
      <c r="BI1619">
        <v>1</v>
      </c>
      <c r="BJ1619">
        <v>0.2</v>
      </c>
      <c r="BK1619">
        <v>1</v>
      </c>
      <c r="BL1619">
        <v>98.42</v>
      </c>
      <c r="BM1619">
        <v>14.76</v>
      </c>
      <c r="BN1619">
        <v>113.18</v>
      </c>
      <c r="BO1619">
        <v>113.18</v>
      </c>
      <c r="BQ1619" t="s">
        <v>1331</v>
      </c>
      <c r="BR1619" t="s">
        <v>84</v>
      </c>
      <c r="BS1619" s="3">
        <v>45793</v>
      </c>
      <c r="BT1619" s="4">
        <v>0.31527777777777777</v>
      </c>
      <c r="BU1619" t="s">
        <v>190</v>
      </c>
      <c r="BV1619" t="s">
        <v>86</v>
      </c>
      <c r="BY1619">
        <v>1200</v>
      </c>
      <c r="CA1619" t="s">
        <v>1332</v>
      </c>
      <c r="CC1619" t="s">
        <v>1329</v>
      </c>
      <c r="CD1619">
        <v>2210</v>
      </c>
      <c r="CE1619" t="s">
        <v>88</v>
      </c>
      <c r="CF1619" s="3">
        <v>45793</v>
      </c>
      <c r="CI1619">
        <v>1</v>
      </c>
      <c r="CJ1619">
        <v>1</v>
      </c>
      <c r="CK1619">
        <v>24</v>
      </c>
      <c r="CL1619" t="s">
        <v>89</v>
      </c>
    </row>
    <row r="1620" spans="1:90" x14ac:dyDescent="0.3">
      <c r="A1620" t="s">
        <v>72</v>
      </c>
      <c r="B1620" t="s">
        <v>73</v>
      </c>
      <c r="C1620" t="s">
        <v>74</v>
      </c>
      <c r="E1620" t="str">
        <f>"080065388779"</f>
        <v>080065388779</v>
      </c>
      <c r="F1620" s="3">
        <v>45792</v>
      </c>
      <c r="G1620">
        <v>202602</v>
      </c>
      <c r="H1620" t="s">
        <v>75</v>
      </c>
      <c r="I1620" t="s">
        <v>76</v>
      </c>
      <c r="J1620" t="s">
        <v>77</v>
      </c>
      <c r="K1620" t="s">
        <v>78</v>
      </c>
      <c r="L1620" t="s">
        <v>366</v>
      </c>
      <c r="M1620" t="s">
        <v>367</v>
      </c>
      <c r="N1620" t="s">
        <v>368</v>
      </c>
      <c r="O1620" t="s">
        <v>82</v>
      </c>
      <c r="P1620" t="str">
        <f>"4170038729                    "</f>
        <v xml:space="preserve">4170038729                    </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0</v>
      </c>
      <c r="AJ1620">
        <v>0</v>
      </c>
      <c r="AK1620">
        <v>0</v>
      </c>
      <c r="AL1620">
        <v>0</v>
      </c>
      <c r="AM1620">
        <v>0</v>
      </c>
      <c r="AN1620">
        <v>0</v>
      </c>
      <c r="AO1620">
        <v>0</v>
      </c>
      <c r="AP1620">
        <v>0</v>
      </c>
      <c r="AQ1620">
        <v>30.07</v>
      </c>
      <c r="AR1620">
        <v>0</v>
      </c>
      <c r="AS1620">
        <v>0</v>
      </c>
      <c r="AT1620">
        <v>0</v>
      </c>
      <c r="AU1620">
        <v>0</v>
      </c>
      <c r="AV1620">
        <v>0</v>
      </c>
      <c r="AW1620">
        <v>0</v>
      </c>
      <c r="AX1620">
        <v>0</v>
      </c>
      <c r="AY1620">
        <v>0</v>
      </c>
      <c r="AZ1620">
        <v>0</v>
      </c>
      <c r="BA1620">
        <v>0</v>
      </c>
      <c r="BB1620">
        <v>0</v>
      </c>
      <c r="BC1620">
        <v>0</v>
      </c>
      <c r="BD1620">
        <v>0</v>
      </c>
      <c r="BE1620">
        <v>0</v>
      </c>
      <c r="BF1620">
        <v>0</v>
      </c>
      <c r="BG1620">
        <v>0</v>
      </c>
      <c r="BH1620">
        <v>1</v>
      </c>
      <c r="BI1620">
        <v>1</v>
      </c>
      <c r="BJ1620">
        <v>0.2</v>
      </c>
      <c r="BK1620">
        <v>1</v>
      </c>
      <c r="BL1620">
        <v>98.42</v>
      </c>
      <c r="BM1620">
        <v>14.76</v>
      </c>
      <c r="BN1620">
        <v>113.18</v>
      </c>
      <c r="BO1620">
        <v>113.18</v>
      </c>
      <c r="BQ1620" t="s">
        <v>369</v>
      </c>
      <c r="BR1620" t="s">
        <v>84</v>
      </c>
      <c r="BS1620" s="3">
        <v>45793</v>
      </c>
      <c r="BT1620" s="4">
        <v>0.52569444444444446</v>
      </c>
      <c r="BU1620" t="s">
        <v>2235</v>
      </c>
      <c r="BV1620" t="s">
        <v>89</v>
      </c>
      <c r="BY1620">
        <v>1200</v>
      </c>
      <c r="CA1620" t="s">
        <v>971</v>
      </c>
      <c r="CC1620" t="s">
        <v>367</v>
      </c>
      <c r="CD1620">
        <v>1438</v>
      </c>
      <c r="CE1620" t="s">
        <v>88</v>
      </c>
      <c r="CF1620" s="3">
        <v>45793</v>
      </c>
      <c r="CI1620">
        <v>1</v>
      </c>
      <c r="CJ1620">
        <v>1</v>
      </c>
      <c r="CK1620">
        <v>24</v>
      </c>
      <c r="CL1620" t="s">
        <v>89</v>
      </c>
    </row>
    <row r="1621" spans="1:90" x14ac:dyDescent="0.3">
      <c r="A1621" t="s">
        <v>72</v>
      </c>
      <c r="B1621" t="s">
        <v>73</v>
      </c>
      <c r="C1621" t="s">
        <v>74</v>
      </c>
      <c r="E1621" t="str">
        <f>"080065388796"</f>
        <v>080065388796</v>
      </c>
      <c r="F1621" s="3">
        <v>45792</v>
      </c>
      <c r="G1621">
        <v>202602</v>
      </c>
      <c r="H1621" t="s">
        <v>75</v>
      </c>
      <c r="I1621" t="s">
        <v>76</v>
      </c>
      <c r="J1621" t="s">
        <v>77</v>
      </c>
      <c r="K1621" t="s">
        <v>78</v>
      </c>
      <c r="L1621" t="s">
        <v>374</v>
      </c>
      <c r="M1621" t="s">
        <v>375</v>
      </c>
      <c r="N1621" t="s">
        <v>376</v>
      </c>
      <c r="O1621" t="s">
        <v>82</v>
      </c>
      <c r="P1621" t="str">
        <f>"4170038788                    "</f>
        <v xml:space="preserve">4170038788                    </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0</v>
      </c>
      <c r="AJ1621">
        <v>0</v>
      </c>
      <c r="AK1621">
        <v>0</v>
      </c>
      <c r="AL1621">
        <v>0</v>
      </c>
      <c r="AM1621">
        <v>0</v>
      </c>
      <c r="AN1621">
        <v>0</v>
      </c>
      <c r="AO1621">
        <v>0</v>
      </c>
      <c r="AP1621">
        <v>0</v>
      </c>
      <c r="AQ1621">
        <v>41.43</v>
      </c>
      <c r="AR1621">
        <v>0</v>
      </c>
      <c r="AS1621">
        <v>0</v>
      </c>
      <c r="AT1621">
        <v>0</v>
      </c>
      <c r="AU1621">
        <v>0</v>
      </c>
      <c r="AV1621">
        <v>0</v>
      </c>
      <c r="AW1621">
        <v>0</v>
      </c>
      <c r="AX1621">
        <v>0</v>
      </c>
      <c r="AY1621">
        <v>0</v>
      </c>
      <c r="AZ1621">
        <v>0</v>
      </c>
      <c r="BA1621">
        <v>0</v>
      </c>
      <c r="BB1621">
        <v>0</v>
      </c>
      <c r="BC1621">
        <v>0</v>
      </c>
      <c r="BD1621">
        <v>0</v>
      </c>
      <c r="BE1621">
        <v>0</v>
      </c>
      <c r="BF1621">
        <v>0</v>
      </c>
      <c r="BG1621">
        <v>0</v>
      </c>
      <c r="BH1621">
        <v>1</v>
      </c>
      <c r="BI1621">
        <v>1</v>
      </c>
      <c r="BJ1621">
        <v>0.2</v>
      </c>
      <c r="BK1621">
        <v>1</v>
      </c>
      <c r="BL1621">
        <v>135.59</v>
      </c>
      <c r="BM1621">
        <v>20.34</v>
      </c>
      <c r="BN1621">
        <v>155.93</v>
      </c>
      <c r="BO1621">
        <v>155.93</v>
      </c>
      <c r="BQ1621" t="s">
        <v>377</v>
      </c>
      <c r="BR1621" t="s">
        <v>84</v>
      </c>
      <c r="BS1621" s="3">
        <v>45793</v>
      </c>
      <c r="BT1621" s="4">
        <v>0.39444444444444443</v>
      </c>
      <c r="BU1621" t="s">
        <v>2236</v>
      </c>
      <c r="BV1621" t="s">
        <v>86</v>
      </c>
      <c r="BY1621">
        <v>1200</v>
      </c>
      <c r="CA1621" t="s">
        <v>379</v>
      </c>
      <c r="CC1621" t="s">
        <v>375</v>
      </c>
      <c r="CD1621">
        <v>7130</v>
      </c>
      <c r="CE1621" t="s">
        <v>88</v>
      </c>
      <c r="CF1621" s="3">
        <v>45796</v>
      </c>
      <c r="CI1621">
        <v>1</v>
      </c>
      <c r="CJ1621">
        <v>1</v>
      </c>
      <c r="CK1621">
        <v>23</v>
      </c>
      <c r="CL1621" t="s">
        <v>89</v>
      </c>
    </row>
    <row r="1622" spans="1:90" x14ac:dyDescent="0.3">
      <c r="A1622" t="s">
        <v>72</v>
      </c>
      <c r="B1622" t="s">
        <v>73</v>
      </c>
      <c r="C1622" t="s">
        <v>74</v>
      </c>
      <c r="E1622" t="str">
        <f>"080065388812"</f>
        <v>080065388812</v>
      </c>
      <c r="F1622" s="3">
        <v>45792</v>
      </c>
      <c r="G1622">
        <v>202602</v>
      </c>
      <c r="H1622" t="s">
        <v>75</v>
      </c>
      <c r="I1622" t="s">
        <v>76</v>
      </c>
      <c r="J1622" t="s">
        <v>77</v>
      </c>
      <c r="K1622" t="s">
        <v>78</v>
      </c>
      <c r="L1622" t="s">
        <v>136</v>
      </c>
      <c r="M1622" t="s">
        <v>137</v>
      </c>
      <c r="N1622" t="s">
        <v>299</v>
      </c>
      <c r="O1622" t="s">
        <v>82</v>
      </c>
      <c r="P1622" t="str">
        <f>"4170038731                    "</f>
        <v xml:space="preserve">4170038731                    </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21.38</v>
      </c>
      <c r="AR1622">
        <v>0</v>
      </c>
      <c r="AS1622">
        <v>0</v>
      </c>
      <c r="AT1622">
        <v>0</v>
      </c>
      <c r="AU1622">
        <v>0</v>
      </c>
      <c r="AV1622">
        <v>0</v>
      </c>
      <c r="AW1622">
        <v>0</v>
      </c>
      <c r="AX1622">
        <v>0</v>
      </c>
      <c r="AY1622">
        <v>0</v>
      </c>
      <c r="AZ1622">
        <v>0</v>
      </c>
      <c r="BA1622">
        <v>0</v>
      </c>
      <c r="BB1622">
        <v>0</v>
      </c>
      <c r="BC1622">
        <v>0</v>
      </c>
      <c r="BD1622">
        <v>0</v>
      </c>
      <c r="BE1622">
        <v>0</v>
      </c>
      <c r="BF1622">
        <v>0</v>
      </c>
      <c r="BG1622">
        <v>0</v>
      </c>
      <c r="BH1622">
        <v>1</v>
      </c>
      <c r="BI1622">
        <v>1</v>
      </c>
      <c r="BJ1622">
        <v>0.2</v>
      </c>
      <c r="BK1622">
        <v>1</v>
      </c>
      <c r="BL1622">
        <v>69.98</v>
      </c>
      <c r="BM1622">
        <v>10.5</v>
      </c>
      <c r="BN1622">
        <v>80.48</v>
      </c>
      <c r="BO1622">
        <v>80.48</v>
      </c>
      <c r="BQ1622" t="s">
        <v>301</v>
      </c>
      <c r="BR1622" t="s">
        <v>84</v>
      </c>
      <c r="BS1622" s="3">
        <v>45793</v>
      </c>
      <c r="BT1622" s="4">
        <v>0.34236111111111112</v>
      </c>
      <c r="BU1622" t="s">
        <v>2237</v>
      </c>
      <c r="BV1622" t="s">
        <v>86</v>
      </c>
      <c r="BY1622">
        <v>1200</v>
      </c>
      <c r="CA1622" t="s">
        <v>253</v>
      </c>
      <c r="CC1622" t="s">
        <v>137</v>
      </c>
      <c r="CD1622" s="5" t="s">
        <v>254</v>
      </c>
      <c r="CE1622" t="s">
        <v>88</v>
      </c>
      <c r="CF1622" s="3">
        <v>45793</v>
      </c>
      <c r="CI1622">
        <v>1</v>
      </c>
      <c r="CJ1622">
        <v>1</v>
      </c>
      <c r="CK1622">
        <v>21</v>
      </c>
      <c r="CL1622" t="s">
        <v>89</v>
      </c>
    </row>
    <row r="1623" spans="1:90" x14ac:dyDescent="0.3">
      <c r="A1623" t="s">
        <v>72</v>
      </c>
      <c r="B1623" t="s">
        <v>73</v>
      </c>
      <c r="C1623" t="s">
        <v>74</v>
      </c>
      <c r="E1623" t="str">
        <f>"080065388837"</f>
        <v>080065388837</v>
      </c>
      <c r="F1623" s="3">
        <v>45792</v>
      </c>
      <c r="G1623">
        <v>202602</v>
      </c>
      <c r="H1623" t="s">
        <v>75</v>
      </c>
      <c r="I1623" t="s">
        <v>76</v>
      </c>
      <c r="J1623" t="s">
        <v>77</v>
      </c>
      <c r="K1623" t="s">
        <v>78</v>
      </c>
      <c r="L1623" t="s">
        <v>130</v>
      </c>
      <c r="M1623" t="s">
        <v>131</v>
      </c>
      <c r="N1623" t="s">
        <v>1181</v>
      </c>
      <c r="O1623" t="s">
        <v>82</v>
      </c>
      <c r="P1623" t="str">
        <f>"4170038598                    "</f>
        <v xml:space="preserve">4170038598                    </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21.38</v>
      </c>
      <c r="AR1623">
        <v>0</v>
      </c>
      <c r="AS1623">
        <v>0</v>
      </c>
      <c r="AT1623">
        <v>0</v>
      </c>
      <c r="AU1623">
        <v>0</v>
      </c>
      <c r="AV1623">
        <v>0</v>
      </c>
      <c r="AW1623">
        <v>0</v>
      </c>
      <c r="AX1623">
        <v>0</v>
      </c>
      <c r="AY1623">
        <v>0</v>
      </c>
      <c r="AZ1623">
        <v>0</v>
      </c>
      <c r="BA1623">
        <v>0</v>
      </c>
      <c r="BB1623">
        <v>0</v>
      </c>
      <c r="BC1623">
        <v>0</v>
      </c>
      <c r="BD1623">
        <v>0</v>
      </c>
      <c r="BE1623">
        <v>0</v>
      </c>
      <c r="BF1623">
        <v>0</v>
      </c>
      <c r="BG1623">
        <v>0</v>
      </c>
      <c r="BH1623">
        <v>1</v>
      </c>
      <c r="BI1623">
        <v>1</v>
      </c>
      <c r="BJ1623">
        <v>0.2</v>
      </c>
      <c r="BK1623">
        <v>1</v>
      </c>
      <c r="BL1623">
        <v>69.98</v>
      </c>
      <c r="BM1623">
        <v>10.5</v>
      </c>
      <c r="BN1623">
        <v>80.48</v>
      </c>
      <c r="BO1623">
        <v>80.48</v>
      </c>
      <c r="BQ1623" t="s">
        <v>1182</v>
      </c>
      <c r="BR1623" t="s">
        <v>84</v>
      </c>
      <c r="BS1623" s="3">
        <v>45793</v>
      </c>
      <c r="BT1623" s="4">
        <v>0.33958333333333335</v>
      </c>
      <c r="BU1623" t="s">
        <v>2238</v>
      </c>
      <c r="BV1623" t="s">
        <v>86</v>
      </c>
      <c r="BY1623">
        <v>1200</v>
      </c>
      <c r="CA1623" t="s">
        <v>712</v>
      </c>
      <c r="CC1623" t="s">
        <v>131</v>
      </c>
      <c r="CD1623">
        <v>7530</v>
      </c>
      <c r="CE1623" t="s">
        <v>88</v>
      </c>
      <c r="CF1623" s="3">
        <v>45796</v>
      </c>
      <c r="CI1623">
        <v>1</v>
      </c>
      <c r="CJ1623">
        <v>1</v>
      </c>
      <c r="CK1623">
        <v>21</v>
      </c>
      <c r="CL1623" t="s">
        <v>89</v>
      </c>
    </row>
    <row r="1624" spans="1:90" x14ac:dyDescent="0.3">
      <c r="A1624" t="s">
        <v>72</v>
      </c>
      <c r="B1624" t="s">
        <v>73</v>
      </c>
      <c r="C1624" t="s">
        <v>74</v>
      </c>
      <c r="E1624" t="str">
        <f>"080065388855"</f>
        <v>080065388855</v>
      </c>
      <c r="F1624" s="3">
        <v>45792</v>
      </c>
      <c r="G1624">
        <v>202602</v>
      </c>
      <c r="H1624" t="s">
        <v>75</v>
      </c>
      <c r="I1624" t="s">
        <v>76</v>
      </c>
      <c r="J1624" t="s">
        <v>77</v>
      </c>
      <c r="K1624" t="s">
        <v>78</v>
      </c>
      <c r="L1624" t="s">
        <v>648</v>
      </c>
      <c r="M1624" t="s">
        <v>649</v>
      </c>
      <c r="N1624" t="s">
        <v>1845</v>
      </c>
      <c r="O1624" t="s">
        <v>82</v>
      </c>
      <c r="P1624" t="str">
        <f>"4170038654                    "</f>
        <v xml:space="preserve">4170038654                    </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16.7</v>
      </c>
      <c r="AR1624">
        <v>0</v>
      </c>
      <c r="AS1624">
        <v>0</v>
      </c>
      <c r="AT1624">
        <v>0</v>
      </c>
      <c r="AU1624">
        <v>0</v>
      </c>
      <c r="AV1624">
        <v>0</v>
      </c>
      <c r="AW1624">
        <v>0</v>
      </c>
      <c r="AX1624">
        <v>0</v>
      </c>
      <c r="AY1624">
        <v>0</v>
      </c>
      <c r="AZ1624">
        <v>0</v>
      </c>
      <c r="BA1624">
        <v>0</v>
      </c>
      <c r="BB1624">
        <v>0</v>
      </c>
      <c r="BC1624">
        <v>0</v>
      </c>
      <c r="BD1624">
        <v>0</v>
      </c>
      <c r="BE1624">
        <v>0</v>
      </c>
      <c r="BF1624">
        <v>0</v>
      </c>
      <c r="BG1624">
        <v>0</v>
      </c>
      <c r="BH1624">
        <v>1</v>
      </c>
      <c r="BI1624">
        <v>1</v>
      </c>
      <c r="BJ1624">
        <v>0.2</v>
      </c>
      <c r="BK1624">
        <v>1</v>
      </c>
      <c r="BL1624">
        <v>54.66</v>
      </c>
      <c r="BM1624">
        <v>8.1999999999999993</v>
      </c>
      <c r="BN1624">
        <v>62.86</v>
      </c>
      <c r="BO1624">
        <v>62.86</v>
      </c>
      <c r="BQ1624" t="s">
        <v>1846</v>
      </c>
      <c r="BR1624" t="s">
        <v>84</v>
      </c>
      <c r="BS1624" s="3">
        <v>45793</v>
      </c>
      <c r="BT1624" s="4">
        <v>0.4284722222222222</v>
      </c>
      <c r="BU1624" t="s">
        <v>2239</v>
      </c>
      <c r="BV1624" t="s">
        <v>86</v>
      </c>
      <c r="BY1624">
        <v>1200</v>
      </c>
      <c r="CA1624" t="s">
        <v>937</v>
      </c>
      <c r="CC1624" t="s">
        <v>649</v>
      </c>
      <c r="CD1624">
        <v>1559</v>
      </c>
      <c r="CE1624" t="s">
        <v>88</v>
      </c>
      <c r="CF1624" s="3">
        <v>45794</v>
      </c>
      <c r="CI1624">
        <v>1</v>
      </c>
      <c r="CJ1624">
        <v>1</v>
      </c>
      <c r="CK1624">
        <v>22</v>
      </c>
      <c r="CL1624" t="s">
        <v>89</v>
      </c>
    </row>
    <row r="1625" spans="1:90" x14ac:dyDescent="0.3">
      <c r="A1625" t="s">
        <v>72</v>
      </c>
      <c r="B1625" t="s">
        <v>73</v>
      </c>
      <c r="C1625" t="s">
        <v>74</v>
      </c>
      <c r="E1625" t="str">
        <f>"080065388883"</f>
        <v>080065388883</v>
      </c>
      <c r="F1625" s="3">
        <v>45792</v>
      </c>
      <c r="G1625">
        <v>202602</v>
      </c>
      <c r="H1625" t="s">
        <v>75</v>
      </c>
      <c r="I1625" t="s">
        <v>76</v>
      </c>
      <c r="J1625" t="s">
        <v>77</v>
      </c>
      <c r="K1625" t="s">
        <v>78</v>
      </c>
      <c r="L1625" t="s">
        <v>320</v>
      </c>
      <c r="M1625" t="s">
        <v>321</v>
      </c>
      <c r="N1625" t="s">
        <v>499</v>
      </c>
      <c r="O1625" t="s">
        <v>82</v>
      </c>
      <c r="P1625" t="str">
        <f>"4170038672                    "</f>
        <v xml:space="preserve">4170038672                    </v>
      </c>
      <c r="Q1625">
        <v>0</v>
      </c>
      <c r="R1625">
        <v>0</v>
      </c>
      <c r="S1625">
        <v>0</v>
      </c>
      <c r="T1625">
        <v>0</v>
      </c>
      <c r="U1625">
        <v>0</v>
      </c>
      <c r="V1625">
        <v>0</v>
      </c>
      <c r="W1625">
        <v>0</v>
      </c>
      <c r="X1625">
        <v>0</v>
      </c>
      <c r="Y1625">
        <v>0</v>
      </c>
      <c r="Z1625">
        <v>0</v>
      </c>
      <c r="AA1625">
        <v>0</v>
      </c>
      <c r="AB1625">
        <v>0</v>
      </c>
      <c r="AC1625">
        <v>0</v>
      </c>
      <c r="AD1625">
        <v>0</v>
      </c>
      <c r="AE1625">
        <v>0</v>
      </c>
      <c r="AF1625">
        <v>0</v>
      </c>
      <c r="AG1625">
        <v>0</v>
      </c>
      <c r="AH1625">
        <v>0</v>
      </c>
      <c r="AI1625">
        <v>0</v>
      </c>
      <c r="AJ1625">
        <v>0</v>
      </c>
      <c r="AK1625">
        <v>0</v>
      </c>
      <c r="AL1625">
        <v>0</v>
      </c>
      <c r="AM1625">
        <v>0</v>
      </c>
      <c r="AN1625">
        <v>0</v>
      </c>
      <c r="AO1625">
        <v>0</v>
      </c>
      <c r="AP1625">
        <v>0</v>
      </c>
      <c r="AQ1625">
        <v>21.38</v>
      </c>
      <c r="AR1625">
        <v>0</v>
      </c>
      <c r="AS1625">
        <v>0</v>
      </c>
      <c r="AT1625">
        <v>0</v>
      </c>
      <c r="AU1625">
        <v>0</v>
      </c>
      <c r="AV1625">
        <v>0</v>
      </c>
      <c r="AW1625">
        <v>0</v>
      </c>
      <c r="AX1625">
        <v>0</v>
      </c>
      <c r="AY1625">
        <v>0</v>
      </c>
      <c r="AZ1625">
        <v>0</v>
      </c>
      <c r="BA1625">
        <v>0</v>
      </c>
      <c r="BB1625">
        <v>0</v>
      </c>
      <c r="BC1625">
        <v>0</v>
      </c>
      <c r="BD1625">
        <v>0</v>
      </c>
      <c r="BE1625">
        <v>0</v>
      </c>
      <c r="BF1625">
        <v>0</v>
      </c>
      <c r="BG1625">
        <v>0</v>
      </c>
      <c r="BH1625">
        <v>1</v>
      </c>
      <c r="BI1625">
        <v>1</v>
      </c>
      <c r="BJ1625">
        <v>0.2</v>
      </c>
      <c r="BK1625">
        <v>1</v>
      </c>
      <c r="BL1625">
        <v>69.98</v>
      </c>
      <c r="BM1625">
        <v>10.5</v>
      </c>
      <c r="BN1625">
        <v>80.48</v>
      </c>
      <c r="BO1625">
        <v>80.48</v>
      </c>
      <c r="BQ1625" t="s">
        <v>500</v>
      </c>
      <c r="BR1625" t="s">
        <v>84</v>
      </c>
      <c r="BS1625" s="3">
        <v>45793</v>
      </c>
      <c r="BT1625" s="4">
        <v>0.5</v>
      </c>
      <c r="BU1625" t="s">
        <v>2240</v>
      </c>
      <c r="BV1625" t="s">
        <v>89</v>
      </c>
      <c r="BW1625" t="s">
        <v>296</v>
      </c>
      <c r="BX1625" t="s">
        <v>1365</v>
      </c>
      <c r="BY1625">
        <v>1200</v>
      </c>
      <c r="CA1625" t="s">
        <v>2241</v>
      </c>
      <c r="CC1625" t="s">
        <v>321</v>
      </c>
      <c r="CD1625">
        <v>4133</v>
      </c>
      <c r="CE1625" t="s">
        <v>88</v>
      </c>
      <c r="CF1625" s="3">
        <v>45794</v>
      </c>
      <c r="CI1625">
        <v>1</v>
      </c>
      <c r="CJ1625">
        <v>1</v>
      </c>
      <c r="CK1625">
        <v>21</v>
      </c>
      <c r="CL1625" t="s">
        <v>89</v>
      </c>
    </row>
    <row r="1626" spans="1:90" x14ac:dyDescent="0.3">
      <c r="A1626" t="s">
        <v>72</v>
      </c>
      <c r="B1626" t="s">
        <v>73</v>
      </c>
      <c r="C1626" t="s">
        <v>74</v>
      </c>
      <c r="E1626" t="str">
        <f>"080065388887"</f>
        <v>080065388887</v>
      </c>
      <c r="F1626" s="3">
        <v>45792</v>
      </c>
      <c r="G1626">
        <v>202602</v>
      </c>
      <c r="H1626" t="s">
        <v>75</v>
      </c>
      <c r="I1626" t="s">
        <v>76</v>
      </c>
      <c r="J1626" t="s">
        <v>77</v>
      </c>
      <c r="K1626" t="s">
        <v>78</v>
      </c>
      <c r="L1626" t="s">
        <v>97</v>
      </c>
      <c r="M1626" t="s">
        <v>98</v>
      </c>
      <c r="N1626" t="s">
        <v>2242</v>
      </c>
      <c r="O1626" t="s">
        <v>82</v>
      </c>
      <c r="P1626" t="str">
        <f>"4170038689                    "</f>
        <v xml:space="preserve">4170038689                    </v>
      </c>
      <c r="Q1626">
        <v>0</v>
      </c>
      <c r="R1626">
        <v>0</v>
      </c>
      <c r="S1626">
        <v>0</v>
      </c>
      <c r="T1626">
        <v>0</v>
      </c>
      <c r="U1626">
        <v>0</v>
      </c>
      <c r="V1626">
        <v>0</v>
      </c>
      <c r="W1626">
        <v>0</v>
      </c>
      <c r="X1626">
        <v>0</v>
      </c>
      <c r="Y1626">
        <v>0</v>
      </c>
      <c r="Z1626">
        <v>0</v>
      </c>
      <c r="AA1626">
        <v>0</v>
      </c>
      <c r="AB1626">
        <v>0</v>
      </c>
      <c r="AC1626">
        <v>0</v>
      </c>
      <c r="AD1626">
        <v>0</v>
      </c>
      <c r="AE1626">
        <v>0</v>
      </c>
      <c r="AF1626">
        <v>0</v>
      </c>
      <c r="AG1626">
        <v>0</v>
      </c>
      <c r="AH1626">
        <v>0</v>
      </c>
      <c r="AI1626">
        <v>0</v>
      </c>
      <c r="AJ1626">
        <v>0</v>
      </c>
      <c r="AK1626">
        <v>0</v>
      </c>
      <c r="AL1626">
        <v>0</v>
      </c>
      <c r="AM1626">
        <v>0</v>
      </c>
      <c r="AN1626">
        <v>0</v>
      </c>
      <c r="AO1626">
        <v>0</v>
      </c>
      <c r="AP1626">
        <v>0</v>
      </c>
      <c r="AQ1626">
        <v>16.7</v>
      </c>
      <c r="AR1626">
        <v>0</v>
      </c>
      <c r="AS1626">
        <v>0</v>
      </c>
      <c r="AT1626">
        <v>0</v>
      </c>
      <c r="AU1626">
        <v>0</v>
      </c>
      <c r="AV1626">
        <v>0</v>
      </c>
      <c r="AW1626">
        <v>0</v>
      </c>
      <c r="AX1626">
        <v>0</v>
      </c>
      <c r="AY1626">
        <v>0</v>
      </c>
      <c r="AZ1626">
        <v>0</v>
      </c>
      <c r="BA1626">
        <v>0</v>
      </c>
      <c r="BB1626">
        <v>0</v>
      </c>
      <c r="BC1626">
        <v>0</v>
      </c>
      <c r="BD1626">
        <v>0</v>
      </c>
      <c r="BE1626">
        <v>0</v>
      </c>
      <c r="BF1626">
        <v>0</v>
      </c>
      <c r="BG1626">
        <v>0</v>
      </c>
      <c r="BH1626">
        <v>1</v>
      </c>
      <c r="BI1626">
        <v>1</v>
      </c>
      <c r="BJ1626">
        <v>0.2</v>
      </c>
      <c r="BK1626">
        <v>1</v>
      </c>
      <c r="BL1626">
        <v>54.66</v>
      </c>
      <c r="BM1626">
        <v>8.1999999999999993</v>
      </c>
      <c r="BN1626">
        <v>62.86</v>
      </c>
      <c r="BO1626">
        <v>62.86</v>
      </c>
      <c r="BQ1626" t="s">
        <v>2243</v>
      </c>
      <c r="BR1626" t="s">
        <v>84</v>
      </c>
      <c r="BS1626" s="3">
        <v>45793</v>
      </c>
      <c r="BT1626" s="4">
        <v>0.30625000000000002</v>
      </c>
      <c r="BU1626" t="s">
        <v>2244</v>
      </c>
      <c r="BV1626" t="s">
        <v>86</v>
      </c>
      <c r="BY1626">
        <v>1200</v>
      </c>
      <c r="CA1626" t="s">
        <v>279</v>
      </c>
      <c r="CC1626" t="s">
        <v>98</v>
      </c>
      <c r="CD1626">
        <v>1459</v>
      </c>
      <c r="CE1626" t="s">
        <v>88</v>
      </c>
      <c r="CF1626" s="3">
        <v>45793</v>
      </c>
      <c r="CI1626">
        <v>1</v>
      </c>
      <c r="CJ1626">
        <v>1</v>
      </c>
      <c r="CK1626">
        <v>22</v>
      </c>
      <c r="CL1626" t="s">
        <v>89</v>
      </c>
    </row>
    <row r="1627" spans="1:90" x14ac:dyDescent="0.3">
      <c r="A1627" t="s">
        <v>72</v>
      </c>
      <c r="B1627" t="s">
        <v>73</v>
      </c>
      <c r="C1627" t="s">
        <v>74</v>
      </c>
      <c r="E1627" t="str">
        <f>"080065388904"</f>
        <v>080065388904</v>
      </c>
      <c r="F1627" s="3">
        <v>45792</v>
      </c>
      <c r="G1627">
        <v>202602</v>
      </c>
      <c r="H1627" t="s">
        <v>75</v>
      </c>
      <c r="I1627" t="s">
        <v>76</v>
      </c>
      <c r="J1627" t="s">
        <v>77</v>
      </c>
      <c r="K1627" t="s">
        <v>78</v>
      </c>
      <c r="L1627" t="s">
        <v>103</v>
      </c>
      <c r="M1627" t="s">
        <v>104</v>
      </c>
      <c r="N1627" t="s">
        <v>633</v>
      </c>
      <c r="O1627" t="s">
        <v>82</v>
      </c>
      <c r="P1627" t="str">
        <f>"4170038632                    "</f>
        <v xml:space="preserve">4170038632                    </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21.38</v>
      </c>
      <c r="AR1627">
        <v>0</v>
      </c>
      <c r="AS1627">
        <v>0</v>
      </c>
      <c r="AT1627">
        <v>0</v>
      </c>
      <c r="AU1627">
        <v>0</v>
      </c>
      <c r="AV1627">
        <v>0</v>
      </c>
      <c r="AW1627">
        <v>0</v>
      </c>
      <c r="AX1627">
        <v>0</v>
      </c>
      <c r="AY1627">
        <v>0</v>
      </c>
      <c r="AZ1627">
        <v>0</v>
      </c>
      <c r="BA1627">
        <v>0</v>
      </c>
      <c r="BB1627">
        <v>0</v>
      </c>
      <c r="BC1627">
        <v>0</v>
      </c>
      <c r="BD1627">
        <v>0</v>
      </c>
      <c r="BE1627">
        <v>0</v>
      </c>
      <c r="BF1627">
        <v>0</v>
      </c>
      <c r="BG1627">
        <v>0</v>
      </c>
      <c r="BH1627">
        <v>1</v>
      </c>
      <c r="BI1627">
        <v>1</v>
      </c>
      <c r="BJ1627">
        <v>0.2</v>
      </c>
      <c r="BK1627">
        <v>1</v>
      </c>
      <c r="BL1627">
        <v>69.98</v>
      </c>
      <c r="BM1627">
        <v>10.5</v>
      </c>
      <c r="BN1627">
        <v>80.48</v>
      </c>
      <c r="BO1627">
        <v>80.48</v>
      </c>
      <c r="BQ1627" t="s">
        <v>634</v>
      </c>
      <c r="BR1627" t="s">
        <v>84</v>
      </c>
      <c r="BS1627" s="3">
        <v>45793</v>
      </c>
      <c r="BT1627" s="4">
        <v>0.41666666666666669</v>
      </c>
      <c r="BU1627" t="s">
        <v>635</v>
      </c>
      <c r="BV1627" t="s">
        <v>86</v>
      </c>
      <c r="BY1627">
        <v>1200</v>
      </c>
      <c r="CA1627" t="s">
        <v>440</v>
      </c>
      <c r="CC1627" t="s">
        <v>104</v>
      </c>
      <c r="CD1627">
        <v>3212</v>
      </c>
      <c r="CE1627" t="s">
        <v>88</v>
      </c>
      <c r="CF1627" s="3">
        <v>45794</v>
      </c>
      <c r="CI1627">
        <v>2</v>
      </c>
      <c r="CJ1627">
        <v>1</v>
      </c>
      <c r="CK1627">
        <v>21</v>
      </c>
      <c r="CL1627" t="s">
        <v>89</v>
      </c>
    </row>
    <row r="1628" spans="1:90" x14ac:dyDescent="0.3">
      <c r="A1628" t="s">
        <v>72</v>
      </c>
      <c r="B1628" t="s">
        <v>73</v>
      </c>
      <c r="C1628" t="s">
        <v>74</v>
      </c>
      <c r="E1628" t="str">
        <f>"080065388912"</f>
        <v>080065388912</v>
      </c>
      <c r="F1628" s="3">
        <v>45792</v>
      </c>
      <c r="G1628">
        <v>202602</v>
      </c>
      <c r="H1628" t="s">
        <v>75</v>
      </c>
      <c r="I1628" t="s">
        <v>76</v>
      </c>
      <c r="J1628" t="s">
        <v>77</v>
      </c>
      <c r="K1628" t="s">
        <v>78</v>
      </c>
      <c r="L1628" t="s">
        <v>151</v>
      </c>
      <c r="M1628" t="s">
        <v>152</v>
      </c>
      <c r="N1628" t="s">
        <v>731</v>
      </c>
      <c r="O1628" t="s">
        <v>82</v>
      </c>
      <c r="P1628" t="str">
        <f>"4170038636                    "</f>
        <v xml:space="preserve">4170038636                    </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41.43</v>
      </c>
      <c r="AR1628">
        <v>0</v>
      </c>
      <c r="AS1628">
        <v>0</v>
      </c>
      <c r="AT1628">
        <v>0</v>
      </c>
      <c r="AU1628">
        <v>0</v>
      </c>
      <c r="AV1628">
        <v>0</v>
      </c>
      <c r="AW1628">
        <v>0</v>
      </c>
      <c r="AX1628">
        <v>0</v>
      </c>
      <c r="AY1628">
        <v>0</v>
      </c>
      <c r="AZ1628">
        <v>0</v>
      </c>
      <c r="BA1628">
        <v>0</v>
      </c>
      <c r="BB1628">
        <v>0</v>
      </c>
      <c r="BC1628">
        <v>0</v>
      </c>
      <c r="BD1628">
        <v>0</v>
      </c>
      <c r="BE1628">
        <v>0</v>
      </c>
      <c r="BF1628">
        <v>0</v>
      </c>
      <c r="BG1628">
        <v>0</v>
      </c>
      <c r="BH1628">
        <v>1</v>
      </c>
      <c r="BI1628">
        <v>1</v>
      </c>
      <c r="BJ1628">
        <v>0.2</v>
      </c>
      <c r="BK1628">
        <v>1</v>
      </c>
      <c r="BL1628">
        <v>135.59</v>
      </c>
      <c r="BM1628">
        <v>20.34</v>
      </c>
      <c r="BN1628">
        <v>155.93</v>
      </c>
      <c r="BO1628">
        <v>155.93</v>
      </c>
      <c r="BQ1628" t="s">
        <v>732</v>
      </c>
      <c r="BR1628" t="s">
        <v>84</v>
      </c>
      <c r="BS1628" s="3">
        <v>45793</v>
      </c>
      <c r="BT1628" s="4">
        <v>0.40416666666666667</v>
      </c>
      <c r="BU1628" t="s">
        <v>2245</v>
      </c>
      <c r="BV1628" t="s">
        <v>86</v>
      </c>
      <c r="BY1628">
        <v>1200</v>
      </c>
      <c r="CA1628" t="s">
        <v>156</v>
      </c>
      <c r="CC1628" t="s">
        <v>152</v>
      </c>
      <c r="CD1628">
        <v>1911</v>
      </c>
      <c r="CE1628" t="s">
        <v>88</v>
      </c>
      <c r="CF1628" s="3">
        <v>45793</v>
      </c>
      <c r="CI1628">
        <v>1</v>
      </c>
      <c r="CJ1628">
        <v>1</v>
      </c>
      <c r="CK1628">
        <v>23</v>
      </c>
      <c r="CL1628" t="s">
        <v>89</v>
      </c>
    </row>
    <row r="1629" spans="1:90" x14ac:dyDescent="0.3">
      <c r="A1629" t="s">
        <v>72</v>
      </c>
      <c r="B1629" t="s">
        <v>73</v>
      </c>
      <c r="C1629" t="s">
        <v>74</v>
      </c>
      <c r="E1629" t="str">
        <f>"080065388924"</f>
        <v>080065388924</v>
      </c>
      <c r="F1629" s="3">
        <v>45792</v>
      </c>
      <c r="G1629">
        <v>202602</v>
      </c>
      <c r="H1629" t="s">
        <v>75</v>
      </c>
      <c r="I1629" t="s">
        <v>76</v>
      </c>
      <c r="J1629" t="s">
        <v>77</v>
      </c>
      <c r="K1629" t="s">
        <v>78</v>
      </c>
      <c r="L1629" t="s">
        <v>374</v>
      </c>
      <c r="M1629" t="s">
        <v>375</v>
      </c>
      <c r="N1629" t="s">
        <v>376</v>
      </c>
      <c r="O1629" t="s">
        <v>82</v>
      </c>
      <c r="P1629" t="str">
        <f>"4170038666                    "</f>
        <v xml:space="preserve">4170038666                    </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c r="AJ1629">
        <v>0</v>
      </c>
      <c r="AK1629">
        <v>0</v>
      </c>
      <c r="AL1629">
        <v>0</v>
      </c>
      <c r="AM1629">
        <v>0</v>
      </c>
      <c r="AN1629">
        <v>0</v>
      </c>
      <c r="AO1629">
        <v>0</v>
      </c>
      <c r="AP1629">
        <v>0</v>
      </c>
      <c r="AQ1629">
        <v>41.43</v>
      </c>
      <c r="AR1629">
        <v>0</v>
      </c>
      <c r="AS1629">
        <v>0</v>
      </c>
      <c r="AT1629">
        <v>0</v>
      </c>
      <c r="AU1629">
        <v>0</v>
      </c>
      <c r="AV1629">
        <v>0</v>
      </c>
      <c r="AW1629">
        <v>0</v>
      </c>
      <c r="AX1629">
        <v>0</v>
      </c>
      <c r="AY1629">
        <v>0</v>
      </c>
      <c r="AZ1629">
        <v>0</v>
      </c>
      <c r="BA1629">
        <v>0</v>
      </c>
      <c r="BB1629">
        <v>0</v>
      </c>
      <c r="BC1629">
        <v>0</v>
      </c>
      <c r="BD1629">
        <v>0</v>
      </c>
      <c r="BE1629">
        <v>0</v>
      </c>
      <c r="BF1629">
        <v>0</v>
      </c>
      <c r="BG1629">
        <v>0</v>
      </c>
      <c r="BH1629">
        <v>1</v>
      </c>
      <c r="BI1629">
        <v>1</v>
      </c>
      <c r="BJ1629">
        <v>0.2</v>
      </c>
      <c r="BK1629">
        <v>1</v>
      </c>
      <c r="BL1629">
        <v>135.59</v>
      </c>
      <c r="BM1629">
        <v>20.34</v>
      </c>
      <c r="BN1629">
        <v>155.93</v>
      </c>
      <c r="BO1629">
        <v>155.93</v>
      </c>
      <c r="BQ1629" t="s">
        <v>377</v>
      </c>
      <c r="BR1629" t="s">
        <v>84</v>
      </c>
      <c r="BS1629" s="3">
        <v>45793</v>
      </c>
      <c r="BT1629" s="4">
        <v>0.39444444444444443</v>
      </c>
      <c r="BU1629" t="s">
        <v>2236</v>
      </c>
      <c r="BV1629" t="s">
        <v>86</v>
      </c>
      <c r="BY1629">
        <v>1200</v>
      </c>
      <c r="CA1629" t="s">
        <v>379</v>
      </c>
      <c r="CC1629" t="s">
        <v>375</v>
      </c>
      <c r="CD1629">
        <v>7130</v>
      </c>
      <c r="CE1629" t="s">
        <v>88</v>
      </c>
      <c r="CF1629" s="3">
        <v>45796</v>
      </c>
      <c r="CI1629">
        <v>1</v>
      </c>
      <c r="CJ1629">
        <v>1</v>
      </c>
      <c r="CK1629">
        <v>23</v>
      </c>
      <c r="CL1629" t="s">
        <v>89</v>
      </c>
    </row>
    <row r="1630" spans="1:90" x14ac:dyDescent="0.3">
      <c r="A1630" t="s">
        <v>72</v>
      </c>
      <c r="B1630" t="s">
        <v>73</v>
      </c>
      <c r="C1630" t="s">
        <v>74</v>
      </c>
      <c r="E1630" t="str">
        <f>"080065388935"</f>
        <v>080065388935</v>
      </c>
      <c r="F1630" s="3">
        <v>45792</v>
      </c>
      <c r="G1630">
        <v>202602</v>
      </c>
      <c r="H1630" t="s">
        <v>75</v>
      </c>
      <c r="I1630" t="s">
        <v>76</v>
      </c>
      <c r="J1630" t="s">
        <v>77</v>
      </c>
      <c r="K1630" t="s">
        <v>78</v>
      </c>
      <c r="L1630" t="s">
        <v>79</v>
      </c>
      <c r="M1630" t="s">
        <v>80</v>
      </c>
      <c r="N1630" t="s">
        <v>415</v>
      </c>
      <c r="O1630" t="s">
        <v>82</v>
      </c>
      <c r="P1630" t="str">
        <f>"4170038762                    "</f>
        <v xml:space="preserve">4170038762                    </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21.38</v>
      </c>
      <c r="AR1630">
        <v>0</v>
      </c>
      <c r="AS1630">
        <v>0</v>
      </c>
      <c r="AT1630">
        <v>0</v>
      </c>
      <c r="AU1630">
        <v>0</v>
      </c>
      <c r="AV1630">
        <v>0</v>
      </c>
      <c r="AW1630">
        <v>0</v>
      </c>
      <c r="AX1630">
        <v>0</v>
      </c>
      <c r="AY1630">
        <v>0</v>
      </c>
      <c r="AZ1630">
        <v>0</v>
      </c>
      <c r="BA1630">
        <v>0</v>
      </c>
      <c r="BB1630">
        <v>0</v>
      </c>
      <c r="BC1630">
        <v>0</v>
      </c>
      <c r="BD1630">
        <v>0</v>
      </c>
      <c r="BE1630">
        <v>0</v>
      </c>
      <c r="BF1630">
        <v>0</v>
      </c>
      <c r="BG1630">
        <v>0</v>
      </c>
      <c r="BH1630">
        <v>1</v>
      </c>
      <c r="BI1630">
        <v>1</v>
      </c>
      <c r="BJ1630">
        <v>0.2</v>
      </c>
      <c r="BK1630">
        <v>1</v>
      </c>
      <c r="BL1630">
        <v>69.98</v>
      </c>
      <c r="BM1630">
        <v>10.5</v>
      </c>
      <c r="BN1630">
        <v>80.48</v>
      </c>
      <c r="BO1630">
        <v>80.48</v>
      </c>
      <c r="BQ1630" t="s">
        <v>416</v>
      </c>
      <c r="BR1630" t="s">
        <v>84</v>
      </c>
      <c r="BS1630" s="3">
        <v>45793</v>
      </c>
      <c r="BT1630" s="4">
        <v>0.44027777777777777</v>
      </c>
      <c r="BU1630" t="s">
        <v>1152</v>
      </c>
      <c r="BV1630" t="s">
        <v>86</v>
      </c>
      <c r="BY1630">
        <v>1200</v>
      </c>
      <c r="CA1630" t="s">
        <v>87</v>
      </c>
      <c r="CC1630" t="s">
        <v>80</v>
      </c>
      <c r="CD1630">
        <v>3610</v>
      </c>
      <c r="CE1630">
        <v>1</v>
      </c>
      <c r="CF1630" s="3">
        <v>45794</v>
      </c>
      <c r="CI1630">
        <v>1</v>
      </c>
      <c r="CJ1630">
        <v>1</v>
      </c>
      <c r="CK1630">
        <v>21</v>
      </c>
      <c r="CL1630" t="s">
        <v>89</v>
      </c>
    </row>
    <row r="1631" spans="1:90" x14ac:dyDescent="0.3">
      <c r="A1631" t="s">
        <v>72</v>
      </c>
      <c r="B1631" t="s">
        <v>73</v>
      </c>
      <c r="C1631" t="s">
        <v>74</v>
      </c>
      <c r="E1631" t="str">
        <f>"080065388953"</f>
        <v>080065388953</v>
      </c>
      <c r="F1631" s="3">
        <v>45792</v>
      </c>
      <c r="G1631">
        <v>202602</v>
      </c>
      <c r="H1631" t="s">
        <v>75</v>
      </c>
      <c r="I1631" t="s">
        <v>76</v>
      </c>
      <c r="J1631" t="s">
        <v>77</v>
      </c>
      <c r="K1631" t="s">
        <v>78</v>
      </c>
      <c r="L1631" t="s">
        <v>143</v>
      </c>
      <c r="M1631" t="s">
        <v>144</v>
      </c>
      <c r="N1631" t="s">
        <v>669</v>
      </c>
      <c r="O1631" t="s">
        <v>82</v>
      </c>
      <c r="P1631" t="str">
        <f>"4170038631                    "</f>
        <v xml:space="preserve">4170038631                    </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0</v>
      </c>
      <c r="AJ1631">
        <v>0</v>
      </c>
      <c r="AK1631">
        <v>0</v>
      </c>
      <c r="AL1631">
        <v>0</v>
      </c>
      <c r="AM1631">
        <v>0</v>
      </c>
      <c r="AN1631">
        <v>0</v>
      </c>
      <c r="AO1631">
        <v>0</v>
      </c>
      <c r="AP1631">
        <v>0</v>
      </c>
      <c r="AQ1631">
        <v>16.7</v>
      </c>
      <c r="AR1631">
        <v>0</v>
      </c>
      <c r="AS1631">
        <v>0</v>
      </c>
      <c r="AT1631">
        <v>0</v>
      </c>
      <c r="AU1631">
        <v>0</v>
      </c>
      <c r="AV1631">
        <v>0</v>
      </c>
      <c r="AW1631">
        <v>0</v>
      </c>
      <c r="AX1631">
        <v>0</v>
      </c>
      <c r="AY1631">
        <v>0</v>
      </c>
      <c r="AZ1631">
        <v>0</v>
      </c>
      <c r="BA1631">
        <v>0</v>
      </c>
      <c r="BB1631">
        <v>0</v>
      </c>
      <c r="BC1631">
        <v>0</v>
      </c>
      <c r="BD1631">
        <v>0</v>
      </c>
      <c r="BE1631">
        <v>0</v>
      </c>
      <c r="BF1631">
        <v>0</v>
      </c>
      <c r="BG1631">
        <v>0</v>
      </c>
      <c r="BH1631">
        <v>1</v>
      </c>
      <c r="BI1631">
        <v>1</v>
      </c>
      <c r="BJ1631">
        <v>0.2</v>
      </c>
      <c r="BK1631">
        <v>1</v>
      </c>
      <c r="BL1631">
        <v>54.66</v>
      </c>
      <c r="BM1631">
        <v>8.1999999999999993</v>
      </c>
      <c r="BN1631">
        <v>62.86</v>
      </c>
      <c r="BO1631">
        <v>62.86</v>
      </c>
      <c r="BQ1631" t="s">
        <v>670</v>
      </c>
      <c r="BR1631" t="s">
        <v>84</v>
      </c>
      <c r="BS1631" s="3">
        <v>45793</v>
      </c>
      <c r="BT1631" s="4">
        <v>0.39513888888888887</v>
      </c>
      <c r="BU1631" t="s">
        <v>2246</v>
      </c>
      <c r="BV1631" t="s">
        <v>86</v>
      </c>
      <c r="BY1631">
        <v>1200</v>
      </c>
      <c r="CA1631" t="s">
        <v>2247</v>
      </c>
      <c r="CC1631" t="s">
        <v>144</v>
      </c>
      <c r="CD1631">
        <v>1401</v>
      </c>
      <c r="CE1631" t="s">
        <v>88</v>
      </c>
      <c r="CF1631" s="3">
        <v>45793</v>
      </c>
      <c r="CI1631">
        <v>1</v>
      </c>
      <c r="CJ1631">
        <v>1</v>
      </c>
      <c r="CK1631">
        <v>22</v>
      </c>
      <c r="CL1631" t="s">
        <v>89</v>
      </c>
    </row>
    <row r="1632" spans="1:90" x14ac:dyDescent="0.3">
      <c r="A1632" t="s">
        <v>72</v>
      </c>
      <c r="B1632" t="s">
        <v>73</v>
      </c>
      <c r="C1632" t="s">
        <v>74</v>
      </c>
      <c r="E1632" t="str">
        <f>"080065388972"</f>
        <v>080065388972</v>
      </c>
      <c r="F1632" s="3">
        <v>45792</v>
      </c>
      <c r="G1632">
        <v>202602</v>
      </c>
      <c r="H1632" t="s">
        <v>75</v>
      </c>
      <c r="I1632" t="s">
        <v>76</v>
      </c>
      <c r="J1632" t="s">
        <v>77</v>
      </c>
      <c r="K1632" t="s">
        <v>78</v>
      </c>
      <c r="L1632" t="s">
        <v>350</v>
      </c>
      <c r="M1632" t="s">
        <v>351</v>
      </c>
      <c r="N1632" t="s">
        <v>678</v>
      </c>
      <c r="O1632" t="s">
        <v>82</v>
      </c>
      <c r="P1632" t="str">
        <f>"4170038712                    "</f>
        <v xml:space="preserve">4170038712                    </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21.38</v>
      </c>
      <c r="AR1632">
        <v>0</v>
      </c>
      <c r="AS1632">
        <v>0</v>
      </c>
      <c r="AT1632">
        <v>0</v>
      </c>
      <c r="AU1632">
        <v>0</v>
      </c>
      <c r="AV1632">
        <v>0</v>
      </c>
      <c r="AW1632">
        <v>0</v>
      </c>
      <c r="AX1632">
        <v>0</v>
      </c>
      <c r="AY1632">
        <v>0</v>
      </c>
      <c r="AZ1632">
        <v>0</v>
      </c>
      <c r="BA1632">
        <v>0</v>
      </c>
      <c r="BB1632">
        <v>0</v>
      </c>
      <c r="BC1632">
        <v>0</v>
      </c>
      <c r="BD1632">
        <v>0</v>
      </c>
      <c r="BE1632">
        <v>0</v>
      </c>
      <c r="BF1632">
        <v>0</v>
      </c>
      <c r="BG1632">
        <v>0</v>
      </c>
      <c r="BH1632">
        <v>1</v>
      </c>
      <c r="BI1632">
        <v>1</v>
      </c>
      <c r="BJ1632">
        <v>0.2</v>
      </c>
      <c r="BK1632">
        <v>1</v>
      </c>
      <c r="BL1632">
        <v>69.98</v>
      </c>
      <c r="BM1632">
        <v>10.5</v>
      </c>
      <c r="BN1632">
        <v>80.48</v>
      </c>
      <c r="BO1632">
        <v>80.48</v>
      </c>
      <c r="BQ1632" t="s">
        <v>679</v>
      </c>
      <c r="BR1632" t="s">
        <v>84</v>
      </c>
      <c r="BS1632" s="3">
        <v>45793</v>
      </c>
      <c r="BT1632" s="4">
        <v>0.44027777777777777</v>
      </c>
      <c r="BU1632" t="s">
        <v>2213</v>
      </c>
      <c r="BV1632" t="s">
        <v>89</v>
      </c>
      <c r="BW1632" t="s">
        <v>434</v>
      </c>
      <c r="BX1632" t="s">
        <v>1829</v>
      </c>
      <c r="BY1632">
        <v>1200</v>
      </c>
      <c r="CA1632" t="s">
        <v>879</v>
      </c>
      <c r="CC1632" t="s">
        <v>351</v>
      </c>
      <c r="CD1632">
        <v>4052</v>
      </c>
      <c r="CE1632" t="s">
        <v>88</v>
      </c>
      <c r="CF1632" s="3">
        <v>45796</v>
      </c>
      <c r="CI1632">
        <v>1</v>
      </c>
      <c r="CJ1632">
        <v>1</v>
      </c>
      <c r="CK1632">
        <v>21</v>
      </c>
      <c r="CL1632" t="s">
        <v>89</v>
      </c>
    </row>
    <row r="1633" spans="1:90" x14ac:dyDescent="0.3">
      <c r="A1633" t="s">
        <v>72</v>
      </c>
      <c r="B1633" t="s">
        <v>73</v>
      </c>
      <c r="C1633" t="s">
        <v>74</v>
      </c>
      <c r="E1633" t="str">
        <f>"080065388987"</f>
        <v>080065388987</v>
      </c>
      <c r="F1633" s="3">
        <v>45792</v>
      </c>
      <c r="G1633">
        <v>202602</v>
      </c>
      <c r="H1633" t="s">
        <v>75</v>
      </c>
      <c r="I1633" t="s">
        <v>76</v>
      </c>
      <c r="J1633" t="s">
        <v>77</v>
      </c>
      <c r="K1633" t="s">
        <v>78</v>
      </c>
      <c r="L1633" t="s">
        <v>75</v>
      </c>
      <c r="M1633" t="s">
        <v>76</v>
      </c>
      <c r="N1633" t="s">
        <v>850</v>
      </c>
      <c r="O1633" t="s">
        <v>82</v>
      </c>
      <c r="P1633" t="str">
        <f>"4170038584                    "</f>
        <v xml:space="preserve">4170038584                    </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c r="AJ1633">
        <v>0</v>
      </c>
      <c r="AK1633">
        <v>0</v>
      </c>
      <c r="AL1633">
        <v>0</v>
      </c>
      <c r="AM1633">
        <v>0</v>
      </c>
      <c r="AN1633">
        <v>0</v>
      </c>
      <c r="AO1633">
        <v>0</v>
      </c>
      <c r="AP1633">
        <v>0</v>
      </c>
      <c r="AQ1633">
        <v>16.7</v>
      </c>
      <c r="AR1633">
        <v>0</v>
      </c>
      <c r="AS1633">
        <v>0</v>
      </c>
      <c r="AT1633">
        <v>0</v>
      </c>
      <c r="AU1633">
        <v>0</v>
      </c>
      <c r="AV1633">
        <v>0</v>
      </c>
      <c r="AW1633">
        <v>0</v>
      </c>
      <c r="AX1633">
        <v>0</v>
      </c>
      <c r="AY1633">
        <v>0</v>
      </c>
      <c r="AZ1633">
        <v>0</v>
      </c>
      <c r="BA1633">
        <v>0</v>
      </c>
      <c r="BB1633">
        <v>0</v>
      </c>
      <c r="BC1633">
        <v>0</v>
      </c>
      <c r="BD1633">
        <v>0</v>
      </c>
      <c r="BE1633">
        <v>0</v>
      </c>
      <c r="BF1633">
        <v>0</v>
      </c>
      <c r="BG1633">
        <v>0</v>
      </c>
      <c r="BH1633">
        <v>1</v>
      </c>
      <c r="BI1633">
        <v>1</v>
      </c>
      <c r="BJ1633">
        <v>0.2</v>
      </c>
      <c r="BK1633">
        <v>1</v>
      </c>
      <c r="BL1633">
        <v>54.66</v>
      </c>
      <c r="BM1633">
        <v>8.1999999999999993</v>
      </c>
      <c r="BN1633">
        <v>62.86</v>
      </c>
      <c r="BO1633">
        <v>62.86</v>
      </c>
      <c r="BQ1633" t="s">
        <v>851</v>
      </c>
      <c r="BR1633" t="s">
        <v>84</v>
      </c>
      <c r="BS1633" s="3">
        <v>45793</v>
      </c>
      <c r="BT1633" s="4">
        <v>0.34375</v>
      </c>
      <c r="BU1633" t="s">
        <v>2248</v>
      </c>
      <c r="BV1633" t="s">
        <v>86</v>
      </c>
      <c r="BY1633">
        <v>1200</v>
      </c>
      <c r="CA1633" t="s">
        <v>853</v>
      </c>
      <c r="CC1633" t="s">
        <v>76</v>
      </c>
      <c r="CD1633">
        <v>1666</v>
      </c>
      <c r="CE1633" t="s">
        <v>88</v>
      </c>
      <c r="CF1633" s="3">
        <v>45793</v>
      </c>
      <c r="CI1633">
        <v>1</v>
      </c>
      <c r="CJ1633">
        <v>1</v>
      </c>
      <c r="CK1633">
        <v>22</v>
      </c>
      <c r="CL1633" t="s">
        <v>89</v>
      </c>
    </row>
    <row r="1634" spans="1:90" x14ac:dyDescent="0.3">
      <c r="A1634" t="s">
        <v>72</v>
      </c>
      <c r="B1634" t="s">
        <v>73</v>
      </c>
      <c r="C1634" t="s">
        <v>74</v>
      </c>
      <c r="E1634" t="str">
        <f>"080065389008"</f>
        <v>080065389008</v>
      </c>
      <c r="F1634" s="3">
        <v>45792</v>
      </c>
      <c r="G1634">
        <v>202602</v>
      </c>
      <c r="H1634" t="s">
        <v>75</v>
      </c>
      <c r="I1634" t="s">
        <v>76</v>
      </c>
      <c r="J1634" t="s">
        <v>77</v>
      </c>
      <c r="K1634" t="s">
        <v>78</v>
      </c>
      <c r="L1634" t="s">
        <v>117</v>
      </c>
      <c r="M1634" t="s">
        <v>118</v>
      </c>
      <c r="N1634" t="s">
        <v>532</v>
      </c>
      <c r="O1634" t="s">
        <v>82</v>
      </c>
      <c r="P1634" t="str">
        <f>"4170038677                    "</f>
        <v xml:space="preserve">4170038677                    </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0</v>
      </c>
      <c r="AL1634">
        <v>0</v>
      </c>
      <c r="AM1634">
        <v>0</v>
      </c>
      <c r="AN1634">
        <v>0</v>
      </c>
      <c r="AO1634">
        <v>0</v>
      </c>
      <c r="AP1634">
        <v>0</v>
      </c>
      <c r="AQ1634">
        <v>16.7</v>
      </c>
      <c r="AR1634">
        <v>0</v>
      </c>
      <c r="AS1634">
        <v>0</v>
      </c>
      <c r="AT1634">
        <v>0</v>
      </c>
      <c r="AU1634">
        <v>0</v>
      </c>
      <c r="AV1634">
        <v>0</v>
      </c>
      <c r="AW1634">
        <v>0</v>
      </c>
      <c r="AX1634">
        <v>0</v>
      </c>
      <c r="AY1634">
        <v>0</v>
      </c>
      <c r="AZ1634">
        <v>0</v>
      </c>
      <c r="BA1634">
        <v>0</v>
      </c>
      <c r="BB1634">
        <v>0</v>
      </c>
      <c r="BC1634">
        <v>0</v>
      </c>
      <c r="BD1634">
        <v>0</v>
      </c>
      <c r="BE1634">
        <v>0</v>
      </c>
      <c r="BF1634">
        <v>0</v>
      </c>
      <c r="BG1634">
        <v>0</v>
      </c>
      <c r="BH1634">
        <v>1</v>
      </c>
      <c r="BI1634">
        <v>1</v>
      </c>
      <c r="BJ1634">
        <v>0.2</v>
      </c>
      <c r="BK1634">
        <v>1</v>
      </c>
      <c r="BL1634">
        <v>54.66</v>
      </c>
      <c r="BM1634">
        <v>8.1999999999999993</v>
      </c>
      <c r="BN1634">
        <v>62.86</v>
      </c>
      <c r="BO1634">
        <v>62.86</v>
      </c>
      <c r="BQ1634" t="s">
        <v>533</v>
      </c>
      <c r="BR1634" t="s">
        <v>84</v>
      </c>
      <c r="BS1634" s="3">
        <v>45793</v>
      </c>
      <c r="BT1634" s="4">
        <v>0.36666666666666664</v>
      </c>
      <c r="BU1634" t="s">
        <v>1316</v>
      </c>
      <c r="BV1634" t="s">
        <v>86</v>
      </c>
      <c r="BY1634">
        <v>1200</v>
      </c>
      <c r="CA1634" t="s">
        <v>535</v>
      </c>
      <c r="CC1634" t="s">
        <v>118</v>
      </c>
      <c r="CD1634">
        <v>2094</v>
      </c>
      <c r="CE1634" t="s">
        <v>88</v>
      </c>
      <c r="CF1634" s="3">
        <v>45793</v>
      </c>
      <c r="CI1634">
        <v>1</v>
      </c>
      <c r="CJ1634">
        <v>1</v>
      </c>
      <c r="CK1634">
        <v>22</v>
      </c>
      <c r="CL1634" t="s">
        <v>89</v>
      </c>
    </row>
    <row r="1635" spans="1:90" x14ac:dyDescent="0.3">
      <c r="A1635" t="s">
        <v>72</v>
      </c>
      <c r="B1635" t="s">
        <v>73</v>
      </c>
      <c r="C1635" t="s">
        <v>74</v>
      </c>
      <c r="E1635" t="str">
        <f>"080065389023"</f>
        <v>080065389023</v>
      </c>
      <c r="F1635" s="3">
        <v>45792</v>
      </c>
      <c r="G1635">
        <v>202602</v>
      </c>
      <c r="H1635" t="s">
        <v>75</v>
      </c>
      <c r="I1635" t="s">
        <v>76</v>
      </c>
      <c r="J1635" t="s">
        <v>77</v>
      </c>
      <c r="K1635" t="s">
        <v>78</v>
      </c>
      <c r="L1635" t="s">
        <v>136</v>
      </c>
      <c r="M1635" t="s">
        <v>137</v>
      </c>
      <c r="N1635" t="s">
        <v>2169</v>
      </c>
      <c r="O1635" t="s">
        <v>82</v>
      </c>
      <c r="P1635" t="str">
        <f>"4170038616                    "</f>
        <v xml:space="preserve">4170038616                    </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21.38</v>
      </c>
      <c r="AR1635">
        <v>0</v>
      </c>
      <c r="AS1635">
        <v>0</v>
      </c>
      <c r="AT1635">
        <v>0</v>
      </c>
      <c r="AU1635">
        <v>0</v>
      </c>
      <c r="AV1635">
        <v>0</v>
      </c>
      <c r="AW1635">
        <v>0</v>
      </c>
      <c r="AX1635">
        <v>0</v>
      </c>
      <c r="AY1635">
        <v>0</v>
      </c>
      <c r="AZ1635">
        <v>0</v>
      </c>
      <c r="BA1635">
        <v>0</v>
      </c>
      <c r="BB1635">
        <v>0</v>
      </c>
      <c r="BC1635">
        <v>0</v>
      </c>
      <c r="BD1635">
        <v>0</v>
      </c>
      <c r="BE1635">
        <v>0</v>
      </c>
      <c r="BF1635">
        <v>0</v>
      </c>
      <c r="BG1635">
        <v>0</v>
      </c>
      <c r="BH1635">
        <v>1</v>
      </c>
      <c r="BI1635">
        <v>1</v>
      </c>
      <c r="BJ1635">
        <v>0.2</v>
      </c>
      <c r="BK1635">
        <v>1</v>
      </c>
      <c r="BL1635">
        <v>69.98</v>
      </c>
      <c r="BM1635">
        <v>10.5</v>
      </c>
      <c r="BN1635">
        <v>80.48</v>
      </c>
      <c r="BO1635">
        <v>80.48</v>
      </c>
      <c r="BQ1635" t="s">
        <v>2170</v>
      </c>
      <c r="BR1635" t="s">
        <v>84</v>
      </c>
      <c r="BS1635" s="3">
        <v>45793</v>
      </c>
      <c r="BT1635" s="4">
        <v>0.40694444444444444</v>
      </c>
      <c r="BU1635" t="s">
        <v>2171</v>
      </c>
      <c r="BV1635" t="s">
        <v>86</v>
      </c>
      <c r="BY1635">
        <v>1200</v>
      </c>
      <c r="CA1635" t="s">
        <v>253</v>
      </c>
      <c r="CC1635" t="s">
        <v>137</v>
      </c>
      <c r="CD1635" s="5" t="s">
        <v>1786</v>
      </c>
      <c r="CE1635" t="s">
        <v>88</v>
      </c>
      <c r="CF1635" s="3">
        <v>45793</v>
      </c>
      <c r="CI1635">
        <v>1</v>
      </c>
      <c r="CJ1635">
        <v>1</v>
      </c>
      <c r="CK1635">
        <v>21</v>
      </c>
      <c r="CL1635" t="s">
        <v>89</v>
      </c>
    </row>
    <row r="1636" spans="1:90" x14ac:dyDescent="0.3">
      <c r="A1636" t="s">
        <v>72</v>
      </c>
      <c r="B1636" t="s">
        <v>73</v>
      </c>
      <c r="C1636" t="s">
        <v>74</v>
      </c>
      <c r="E1636" t="str">
        <f>"080065389036"</f>
        <v>080065389036</v>
      </c>
      <c r="F1636" s="3">
        <v>45792</v>
      </c>
      <c r="G1636">
        <v>202602</v>
      </c>
      <c r="H1636" t="s">
        <v>75</v>
      </c>
      <c r="I1636" t="s">
        <v>76</v>
      </c>
      <c r="J1636" t="s">
        <v>77</v>
      </c>
      <c r="K1636" t="s">
        <v>78</v>
      </c>
      <c r="L1636" t="s">
        <v>90</v>
      </c>
      <c r="M1636" t="s">
        <v>91</v>
      </c>
      <c r="N1636" t="s">
        <v>563</v>
      </c>
      <c r="O1636" t="s">
        <v>82</v>
      </c>
      <c r="P1636" t="str">
        <f>"4170038650                    "</f>
        <v xml:space="preserve">4170038650                    </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21.38</v>
      </c>
      <c r="AR1636">
        <v>0</v>
      </c>
      <c r="AS1636">
        <v>0</v>
      </c>
      <c r="AT1636">
        <v>0</v>
      </c>
      <c r="AU1636">
        <v>0</v>
      </c>
      <c r="AV1636">
        <v>0</v>
      </c>
      <c r="AW1636">
        <v>0</v>
      </c>
      <c r="AX1636">
        <v>0</v>
      </c>
      <c r="AY1636">
        <v>0</v>
      </c>
      <c r="AZ1636">
        <v>0</v>
      </c>
      <c r="BA1636">
        <v>0</v>
      </c>
      <c r="BB1636">
        <v>0</v>
      </c>
      <c r="BC1636">
        <v>0</v>
      </c>
      <c r="BD1636">
        <v>0</v>
      </c>
      <c r="BE1636">
        <v>0</v>
      </c>
      <c r="BF1636">
        <v>0</v>
      </c>
      <c r="BG1636">
        <v>0</v>
      </c>
      <c r="BH1636">
        <v>1</v>
      </c>
      <c r="BI1636">
        <v>1</v>
      </c>
      <c r="BJ1636">
        <v>0.2</v>
      </c>
      <c r="BK1636">
        <v>1</v>
      </c>
      <c r="BL1636">
        <v>69.98</v>
      </c>
      <c r="BM1636">
        <v>10.5</v>
      </c>
      <c r="BN1636">
        <v>80.48</v>
      </c>
      <c r="BO1636">
        <v>80.48</v>
      </c>
      <c r="BQ1636" t="s">
        <v>564</v>
      </c>
      <c r="BR1636" t="s">
        <v>84</v>
      </c>
      <c r="BS1636" s="3">
        <v>45793</v>
      </c>
      <c r="BT1636" s="4">
        <v>0.3576388888888889</v>
      </c>
      <c r="BU1636" t="s">
        <v>780</v>
      </c>
      <c r="BV1636" t="s">
        <v>86</v>
      </c>
      <c r="BY1636">
        <v>1200</v>
      </c>
      <c r="CA1636" t="s">
        <v>566</v>
      </c>
      <c r="CC1636" t="s">
        <v>91</v>
      </c>
      <c r="CD1636">
        <v>6001</v>
      </c>
      <c r="CE1636" t="s">
        <v>88</v>
      </c>
      <c r="CF1636" s="3">
        <v>45793</v>
      </c>
      <c r="CI1636">
        <v>1</v>
      </c>
      <c r="CJ1636">
        <v>1</v>
      </c>
      <c r="CK1636">
        <v>21</v>
      </c>
      <c r="CL1636" t="s">
        <v>89</v>
      </c>
    </row>
    <row r="1637" spans="1:90" x14ac:dyDescent="0.3">
      <c r="A1637" t="s">
        <v>72</v>
      </c>
      <c r="B1637" t="s">
        <v>73</v>
      </c>
      <c r="C1637" t="s">
        <v>74</v>
      </c>
      <c r="E1637" t="str">
        <f>"080065389064"</f>
        <v>080065389064</v>
      </c>
      <c r="F1637" s="3">
        <v>45792</v>
      </c>
      <c r="G1637">
        <v>202602</v>
      </c>
      <c r="H1637" t="s">
        <v>75</v>
      </c>
      <c r="I1637" t="s">
        <v>76</v>
      </c>
      <c r="J1637" t="s">
        <v>77</v>
      </c>
      <c r="K1637" t="s">
        <v>78</v>
      </c>
      <c r="L1637" t="s">
        <v>75</v>
      </c>
      <c r="M1637" t="s">
        <v>76</v>
      </c>
      <c r="N1637" t="s">
        <v>2249</v>
      </c>
      <c r="O1637" t="s">
        <v>82</v>
      </c>
      <c r="P1637" t="str">
        <f>"4170038709                    "</f>
        <v xml:space="preserve">4170038709                    </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c r="AI1637">
        <v>0</v>
      </c>
      <c r="AJ1637">
        <v>0</v>
      </c>
      <c r="AK1637">
        <v>0</v>
      </c>
      <c r="AL1637">
        <v>0</v>
      </c>
      <c r="AM1637">
        <v>0</v>
      </c>
      <c r="AN1637">
        <v>0</v>
      </c>
      <c r="AO1637">
        <v>0</v>
      </c>
      <c r="AP1637">
        <v>0</v>
      </c>
      <c r="AQ1637">
        <v>16.7</v>
      </c>
      <c r="AR1637">
        <v>0</v>
      </c>
      <c r="AS1637">
        <v>0</v>
      </c>
      <c r="AT1637">
        <v>0</v>
      </c>
      <c r="AU1637">
        <v>0</v>
      </c>
      <c r="AV1637">
        <v>0</v>
      </c>
      <c r="AW1637">
        <v>0</v>
      </c>
      <c r="AX1637">
        <v>0</v>
      </c>
      <c r="AY1637">
        <v>0</v>
      </c>
      <c r="AZ1637">
        <v>0</v>
      </c>
      <c r="BA1637">
        <v>0</v>
      </c>
      <c r="BB1637">
        <v>0</v>
      </c>
      <c r="BC1637">
        <v>0</v>
      </c>
      <c r="BD1637">
        <v>0</v>
      </c>
      <c r="BE1637">
        <v>0</v>
      </c>
      <c r="BF1637">
        <v>0</v>
      </c>
      <c r="BG1637">
        <v>0</v>
      </c>
      <c r="BH1637">
        <v>1</v>
      </c>
      <c r="BI1637">
        <v>1</v>
      </c>
      <c r="BJ1637">
        <v>0.2</v>
      </c>
      <c r="BK1637">
        <v>1</v>
      </c>
      <c r="BL1637">
        <v>54.66</v>
      </c>
      <c r="BM1637">
        <v>8.1999999999999993</v>
      </c>
      <c r="BN1637">
        <v>62.86</v>
      </c>
      <c r="BO1637">
        <v>62.86</v>
      </c>
      <c r="BQ1637" t="s">
        <v>2250</v>
      </c>
      <c r="BR1637" t="s">
        <v>84</v>
      </c>
      <c r="BS1637" s="3">
        <v>45793</v>
      </c>
      <c r="BT1637" s="4">
        <v>0.38611111111111113</v>
      </c>
      <c r="BU1637" t="s">
        <v>2251</v>
      </c>
      <c r="BV1637" t="s">
        <v>86</v>
      </c>
      <c r="BY1637">
        <v>1200</v>
      </c>
      <c r="CA1637" t="s">
        <v>2247</v>
      </c>
      <c r="CC1637" t="s">
        <v>76</v>
      </c>
      <c r="CD1637">
        <v>1619</v>
      </c>
      <c r="CE1637" t="s">
        <v>88</v>
      </c>
      <c r="CF1637" s="3">
        <v>45793</v>
      </c>
      <c r="CI1637">
        <v>1</v>
      </c>
      <c r="CJ1637">
        <v>1</v>
      </c>
      <c r="CK1637">
        <v>22</v>
      </c>
      <c r="CL1637" t="s">
        <v>89</v>
      </c>
    </row>
    <row r="1638" spans="1:90" x14ac:dyDescent="0.3">
      <c r="A1638" t="s">
        <v>72</v>
      </c>
      <c r="B1638" t="s">
        <v>73</v>
      </c>
      <c r="C1638" t="s">
        <v>74</v>
      </c>
      <c r="E1638" t="str">
        <f>"080065389093"</f>
        <v>080065389093</v>
      </c>
      <c r="F1638" s="3">
        <v>45792</v>
      </c>
      <c r="G1638">
        <v>202602</v>
      </c>
      <c r="H1638" t="s">
        <v>75</v>
      </c>
      <c r="I1638" t="s">
        <v>76</v>
      </c>
      <c r="J1638" t="s">
        <v>77</v>
      </c>
      <c r="K1638" t="s">
        <v>78</v>
      </c>
      <c r="L1638" t="s">
        <v>136</v>
      </c>
      <c r="M1638" t="s">
        <v>137</v>
      </c>
      <c r="N1638" t="s">
        <v>499</v>
      </c>
      <c r="O1638" t="s">
        <v>82</v>
      </c>
      <c r="P1638" t="str">
        <f>"4170038629                    "</f>
        <v xml:space="preserve">4170038629                    </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0</v>
      </c>
      <c r="AL1638">
        <v>0</v>
      </c>
      <c r="AM1638">
        <v>0</v>
      </c>
      <c r="AN1638">
        <v>0</v>
      </c>
      <c r="AO1638">
        <v>0</v>
      </c>
      <c r="AP1638">
        <v>0</v>
      </c>
      <c r="AQ1638">
        <v>21.38</v>
      </c>
      <c r="AR1638">
        <v>0</v>
      </c>
      <c r="AS1638">
        <v>0</v>
      </c>
      <c r="AT1638">
        <v>0</v>
      </c>
      <c r="AU1638">
        <v>0</v>
      </c>
      <c r="AV1638">
        <v>0</v>
      </c>
      <c r="AW1638">
        <v>0</v>
      </c>
      <c r="AX1638">
        <v>0</v>
      </c>
      <c r="AY1638">
        <v>0</v>
      </c>
      <c r="AZ1638">
        <v>0</v>
      </c>
      <c r="BA1638">
        <v>0</v>
      </c>
      <c r="BB1638">
        <v>0</v>
      </c>
      <c r="BC1638">
        <v>0</v>
      </c>
      <c r="BD1638">
        <v>0</v>
      </c>
      <c r="BE1638">
        <v>0</v>
      </c>
      <c r="BF1638">
        <v>0</v>
      </c>
      <c r="BG1638">
        <v>0</v>
      </c>
      <c r="BH1638">
        <v>1</v>
      </c>
      <c r="BI1638">
        <v>1</v>
      </c>
      <c r="BJ1638">
        <v>0.2</v>
      </c>
      <c r="BK1638">
        <v>1</v>
      </c>
      <c r="BL1638">
        <v>69.98</v>
      </c>
      <c r="BM1638">
        <v>10.5</v>
      </c>
      <c r="BN1638">
        <v>80.48</v>
      </c>
      <c r="BO1638">
        <v>80.48</v>
      </c>
      <c r="BQ1638" t="s">
        <v>500</v>
      </c>
      <c r="BR1638" t="s">
        <v>84</v>
      </c>
      <c r="BS1638" s="3">
        <v>45793</v>
      </c>
      <c r="BT1638" s="4">
        <v>0.39861111111111114</v>
      </c>
      <c r="BU1638" t="s">
        <v>1733</v>
      </c>
      <c r="BV1638" t="s">
        <v>86</v>
      </c>
      <c r="BY1638">
        <v>1200</v>
      </c>
      <c r="CA1638" t="s">
        <v>141</v>
      </c>
      <c r="CC1638" t="s">
        <v>137</v>
      </c>
      <c r="CD1638" s="5" t="s">
        <v>142</v>
      </c>
      <c r="CE1638" t="s">
        <v>88</v>
      </c>
      <c r="CF1638" s="3">
        <v>45793</v>
      </c>
      <c r="CI1638">
        <v>1</v>
      </c>
      <c r="CJ1638">
        <v>1</v>
      </c>
      <c r="CK1638">
        <v>21</v>
      </c>
      <c r="CL1638" t="s">
        <v>89</v>
      </c>
    </row>
    <row r="1639" spans="1:90" x14ac:dyDescent="0.3">
      <c r="A1639" t="s">
        <v>72</v>
      </c>
      <c r="B1639" t="s">
        <v>73</v>
      </c>
      <c r="C1639" t="s">
        <v>74</v>
      </c>
      <c r="E1639" t="str">
        <f>"080065389113"</f>
        <v>080065389113</v>
      </c>
      <c r="F1639" s="3">
        <v>45792</v>
      </c>
      <c r="G1639">
        <v>202602</v>
      </c>
      <c r="H1639" t="s">
        <v>75</v>
      </c>
      <c r="I1639" t="s">
        <v>76</v>
      </c>
      <c r="J1639" t="s">
        <v>77</v>
      </c>
      <c r="K1639" t="s">
        <v>78</v>
      </c>
      <c r="L1639" t="s">
        <v>103</v>
      </c>
      <c r="M1639" t="s">
        <v>104</v>
      </c>
      <c r="N1639" t="s">
        <v>105</v>
      </c>
      <c r="O1639" t="s">
        <v>82</v>
      </c>
      <c r="P1639" t="str">
        <f>"4170038640                    "</f>
        <v xml:space="preserve">4170038640                    </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21.38</v>
      </c>
      <c r="AR1639">
        <v>0</v>
      </c>
      <c r="AS1639">
        <v>0</v>
      </c>
      <c r="AT1639">
        <v>0</v>
      </c>
      <c r="AU1639">
        <v>0</v>
      </c>
      <c r="AV1639">
        <v>0</v>
      </c>
      <c r="AW1639">
        <v>0</v>
      </c>
      <c r="AX1639">
        <v>0</v>
      </c>
      <c r="AY1639">
        <v>0</v>
      </c>
      <c r="AZ1639">
        <v>0</v>
      </c>
      <c r="BA1639">
        <v>0</v>
      </c>
      <c r="BB1639">
        <v>0</v>
      </c>
      <c r="BC1639">
        <v>0</v>
      </c>
      <c r="BD1639">
        <v>0</v>
      </c>
      <c r="BE1639">
        <v>0</v>
      </c>
      <c r="BF1639">
        <v>0</v>
      </c>
      <c r="BG1639">
        <v>0</v>
      </c>
      <c r="BH1639">
        <v>1</v>
      </c>
      <c r="BI1639">
        <v>1</v>
      </c>
      <c r="BJ1639">
        <v>0.2</v>
      </c>
      <c r="BK1639">
        <v>1</v>
      </c>
      <c r="BL1639">
        <v>69.98</v>
      </c>
      <c r="BM1639">
        <v>10.5</v>
      </c>
      <c r="BN1639">
        <v>80.48</v>
      </c>
      <c r="BO1639">
        <v>80.48</v>
      </c>
      <c r="BQ1639" t="s">
        <v>106</v>
      </c>
      <c r="BR1639" t="s">
        <v>84</v>
      </c>
      <c r="BS1639" s="3">
        <v>45793</v>
      </c>
      <c r="BT1639" s="4">
        <v>0.41666666666666669</v>
      </c>
      <c r="BU1639" t="s">
        <v>1180</v>
      </c>
      <c r="BV1639" t="s">
        <v>86</v>
      </c>
      <c r="BY1639">
        <v>1200</v>
      </c>
      <c r="CC1639" t="s">
        <v>104</v>
      </c>
      <c r="CD1639">
        <v>3201</v>
      </c>
      <c r="CE1639" t="s">
        <v>88</v>
      </c>
      <c r="CF1639" s="3">
        <v>45794</v>
      </c>
      <c r="CI1639">
        <v>1</v>
      </c>
      <c r="CJ1639">
        <v>1</v>
      </c>
      <c r="CK1639">
        <v>21</v>
      </c>
      <c r="CL1639" t="s">
        <v>89</v>
      </c>
    </row>
    <row r="1640" spans="1:90" x14ac:dyDescent="0.3">
      <c r="A1640" t="s">
        <v>72</v>
      </c>
      <c r="B1640" t="s">
        <v>73</v>
      </c>
      <c r="C1640" t="s">
        <v>74</v>
      </c>
      <c r="E1640" t="str">
        <f>"080065389140"</f>
        <v>080065389140</v>
      </c>
      <c r="F1640" s="3">
        <v>45792</v>
      </c>
      <c r="G1640">
        <v>202602</v>
      </c>
      <c r="H1640" t="s">
        <v>75</v>
      </c>
      <c r="I1640" t="s">
        <v>76</v>
      </c>
      <c r="J1640" t="s">
        <v>77</v>
      </c>
      <c r="K1640" t="s">
        <v>78</v>
      </c>
      <c r="L1640" t="s">
        <v>177</v>
      </c>
      <c r="M1640" t="s">
        <v>178</v>
      </c>
      <c r="N1640" t="s">
        <v>2222</v>
      </c>
      <c r="O1640" t="s">
        <v>82</v>
      </c>
      <c r="P1640" t="str">
        <f>"4170038641                    "</f>
        <v xml:space="preserve">4170038641                    </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0</v>
      </c>
      <c r="AJ1640">
        <v>0</v>
      </c>
      <c r="AK1640">
        <v>0</v>
      </c>
      <c r="AL1640">
        <v>0</v>
      </c>
      <c r="AM1640">
        <v>0</v>
      </c>
      <c r="AN1640">
        <v>0</v>
      </c>
      <c r="AO1640">
        <v>0</v>
      </c>
      <c r="AP1640">
        <v>0</v>
      </c>
      <c r="AQ1640">
        <v>64.12</v>
      </c>
      <c r="AR1640">
        <v>0</v>
      </c>
      <c r="AS1640">
        <v>0</v>
      </c>
      <c r="AT1640">
        <v>0</v>
      </c>
      <c r="AU1640">
        <v>0</v>
      </c>
      <c r="AV1640">
        <v>0</v>
      </c>
      <c r="AW1640">
        <v>0</v>
      </c>
      <c r="AX1640">
        <v>0</v>
      </c>
      <c r="AY1640">
        <v>0</v>
      </c>
      <c r="AZ1640">
        <v>0</v>
      </c>
      <c r="BA1640">
        <v>0</v>
      </c>
      <c r="BB1640">
        <v>0</v>
      </c>
      <c r="BC1640">
        <v>0</v>
      </c>
      <c r="BD1640">
        <v>0</v>
      </c>
      <c r="BE1640">
        <v>0</v>
      </c>
      <c r="BF1640">
        <v>0</v>
      </c>
      <c r="BG1640">
        <v>0</v>
      </c>
      <c r="BH1640">
        <v>1</v>
      </c>
      <c r="BI1640">
        <v>6</v>
      </c>
      <c r="BJ1640">
        <v>3.4</v>
      </c>
      <c r="BK1640">
        <v>6</v>
      </c>
      <c r="BL1640">
        <v>209.84</v>
      </c>
      <c r="BM1640">
        <v>31.48</v>
      </c>
      <c r="BN1640">
        <v>241.32</v>
      </c>
      <c r="BO1640">
        <v>241.32</v>
      </c>
      <c r="BQ1640" t="s">
        <v>2223</v>
      </c>
      <c r="BR1640" t="s">
        <v>84</v>
      </c>
      <c r="BS1640" s="3">
        <v>45793</v>
      </c>
      <c r="BT1640" s="4">
        <v>0.35694444444444445</v>
      </c>
      <c r="BU1640" t="s">
        <v>2224</v>
      </c>
      <c r="BV1640" t="s">
        <v>86</v>
      </c>
      <c r="BY1640">
        <v>16965</v>
      </c>
      <c r="CA1640" t="s">
        <v>182</v>
      </c>
      <c r="CC1640" t="s">
        <v>178</v>
      </c>
      <c r="CD1640">
        <v>6229</v>
      </c>
      <c r="CE1640" t="s">
        <v>96</v>
      </c>
      <c r="CF1640" s="3">
        <v>45793</v>
      </c>
      <c r="CI1640">
        <v>1</v>
      </c>
      <c r="CJ1640">
        <v>1</v>
      </c>
      <c r="CK1640">
        <v>21</v>
      </c>
      <c r="CL1640" t="s">
        <v>89</v>
      </c>
    </row>
    <row r="1641" spans="1:90" x14ac:dyDescent="0.3">
      <c r="A1641" t="s">
        <v>72</v>
      </c>
      <c r="B1641" t="s">
        <v>73</v>
      </c>
      <c r="C1641" t="s">
        <v>74</v>
      </c>
      <c r="E1641" t="str">
        <f>"080065389242"</f>
        <v>080065389242</v>
      </c>
      <c r="F1641" s="3">
        <v>45792</v>
      </c>
      <c r="G1641">
        <v>202602</v>
      </c>
      <c r="H1641" t="s">
        <v>75</v>
      </c>
      <c r="I1641" t="s">
        <v>76</v>
      </c>
      <c r="J1641" t="s">
        <v>77</v>
      </c>
      <c r="K1641" t="s">
        <v>78</v>
      </c>
      <c r="L1641" t="s">
        <v>136</v>
      </c>
      <c r="M1641" t="s">
        <v>137</v>
      </c>
      <c r="N1641" t="s">
        <v>2222</v>
      </c>
      <c r="O1641" t="s">
        <v>82</v>
      </c>
      <c r="P1641" t="str">
        <f>"4170038637                    "</f>
        <v xml:space="preserve">4170038637                    </v>
      </c>
      <c r="Q1641">
        <v>0</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0</v>
      </c>
      <c r="AL1641">
        <v>0</v>
      </c>
      <c r="AM1641">
        <v>0</v>
      </c>
      <c r="AN1641">
        <v>0</v>
      </c>
      <c r="AO1641">
        <v>0</v>
      </c>
      <c r="AP1641">
        <v>0</v>
      </c>
      <c r="AQ1641">
        <v>37.409999999999997</v>
      </c>
      <c r="AR1641">
        <v>0</v>
      </c>
      <c r="AS1641">
        <v>0</v>
      </c>
      <c r="AT1641">
        <v>0</v>
      </c>
      <c r="AU1641">
        <v>0</v>
      </c>
      <c r="AV1641">
        <v>0</v>
      </c>
      <c r="AW1641">
        <v>0</v>
      </c>
      <c r="AX1641">
        <v>0</v>
      </c>
      <c r="AY1641">
        <v>0</v>
      </c>
      <c r="AZ1641">
        <v>0</v>
      </c>
      <c r="BA1641">
        <v>0</v>
      </c>
      <c r="BB1641">
        <v>0</v>
      </c>
      <c r="BC1641">
        <v>0</v>
      </c>
      <c r="BD1641">
        <v>0</v>
      </c>
      <c r="BE1641">
        <v>0</v>
      </c>
      <c r="BF1641">
        <v>0</v>
      </c>
      <c r="BG1641">
        <v>0</v>
      </c>
      <c r="BH1641">
        <v>1</v>
      </c>
      <c r="BI1641">
        <v>2</v>
      </c>
      <c r="BJ1641">
        <v>3.4</v>
      </c>
      <c r="BK1641">
        <v>3.5</v>
      </c>
      <c r="BL1641">
        <v>122.43</v>
      </c>
      <c r="BM1641">
        <v>18.36</v>
      </c>
      <c r="BN1641">
        <v>140.79</v>
      </c>
      <c r="BO1641">
        <v>140.79</v>
      </c>
      <c r="BQ1641" t="s">
        <v>2223</v>
      </c>
      <c r="BR1641" t="s">
        <v>84</v>
      </c>
      <c r="BS1641" s="3">
        <v>45793</v>
      </c>
      <c r="BT1641" s="4">
        <v>0.41875000000000001</v>
      </c>
      <c r="BU1641" t="s">
        <v>2252</v>
      </c>
      <c r="BV1641" t="s">
        <v>86</v>
      </c>
      <c r="BY1641">
        <v>17136</v>
      </c>
      <c r="CA1641" t="s">
        <v>141</v>
      </c>
      <c r="CC1641" t="s">
        <v>137</v>
      </c>
      <c r="CD1641" s="5" t="s">
        <v>142</v>
      </c>
      <c r="CE1641" t="s">
        <v>221</v>
      </c>
      <c r="CF1641" s="3">
        <v>45793</v>
      </c>
      <c r="CI1641">
        <v>1</v>
      </c>
      <c r="CJ1641">
        <v>1</v>
      </c>
      <c r="CK1641">
        <v>21</v>
      </c>
      <c r="CL1641" t="s">
        <v>89</v>
      </c>
    </row>
    <row r="1642" spans="1:90" x14ac:dyDescent="0.3">
      <c r="A1642" t="s">
        <v>72</v>
      </c>
      <c r="B1642" t="s">
        <v>73</v>
      </c>
      <c r="C1642" t="s">
        <v>74</v>
      </c>
      <c r="E1642" t="str">
        <f>"080065389257"</f>
        <v>080065389257</v>
      </c>
      <c r="F1642" s="3">
        <v>45792</v>
      </c>
      <c r="G1642">
        <v>202602</v>
      </c>
      <c r="H1642" t="s">
        <v>75</v>
      </c>
      <c r="I1642" t="s">
        <v>76</v>
      </c>
      <c r="J1642" t="s">
        <v>77</v>
      </c>
      <c r="K1642" t="s">
        <v>78</v>
      </c>
      <c r="L1642" t="s">
        <v>130</v>
      </c>
      <c r="M1642" t="s">
        <v>131</v>
      </c>
      <c r="N1642" t="s">
        <v>327</v>
      </c>
      <c r="O1642" t="s">
        <v>82</v>
      </c>
      <c r="P1642" t="str">
        <f>"4170038613                    "</f>
        <v xml:space="preserve">4170038613                    </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0</v>
      </c>
      <c r="AL1642">
        <v>0</v>
      </c>
      <c r="AM1642">
        <v>0</v>
      </c>
      <c r="AN1642">
        <v>0</v>
      </c>
      <c r="AO1642">
        <v>0</v>
      </c>
      <c r="AP1642">
        <v>0</v>
      </c>
      <c r="AQ1642">
        <v>21.38</v>
      </c>
      <c r="AR1642">
        <v>0</v>
      </c>
      <c r="AS1642">
        <v>0</v>
      </c>
      <c r="AT1642">
        <v>0</v>
      </c>
      <c r="AU1642">
        <v>0</v>
      </c>
      <c r="AV1642">
        <v>0</v>
      </c>
      <c r="AW1642">
        <v>0</v>
      </c>
      <c r="AX1642">
        <v>0</v>
      </c>
      <c r="AY1642">
        <v>0</v>
      </c>
      <c r="AZ1642">
        <v>0</v>
      </c>
      <c r="BA1642">
        <v>0</v>
      </c>
      <c r="BB1642">
        <v>0</v>
      </c>
      <c r="BC1642">
        <v>0</v>
      </c>
      <c r="BD1642">
        <v>0</v>
      </c>
      <c r="BE1642">
        <v>0</v>
      </c>
      <c r="BF1642">
        <v>0</v>
      </c>
      <c r="BG1642">
        <v>0</v>
      </c>
      <c r="BH1642">
        <v>1</v>
      </c>
      <c r="BI1642">
        <v>2</v>
      </c>
      <c r="BJ1642">
        <v>1.7</v>
      </c>
      <c r="BK1642">
        <v>2</v>
      </c>
      <c r="BL1642">
        <v>69.98</v>
      </c>
      <c r="BM1642">
        <v>10.5</v>
      </c>
      <c r="BN1642">
        <v>80.48</v>
      </c>
      <c r="BO1642">
        <v>80.48</v>
      </c>
      <c r="BQ1642" t="s">
        <v>328</v>
      </c>
      <c r="BR1642" t="s">
        <v>84</v>
      </c>
      <c r="BS1642" s="3">
        <v>45793</v>
      </c>
      <c r="BT1642" s="4">
        <v>0.38333333333333336</v>
      </c>
      <c r="BU1642" t="s">
        <v>329</v>
      </c>
      <c r="BV1642" t="s">
        <v>86</v>
      </c>
      <c r="BY1642">
        <v>8550</v>
      </c>
      <c r="CA1642" t="s">
        <v>330</v>
      </c>
      <c r="CC1642" t="s">
        <v>131</v>
      </c>
      <c r="CD1642">
        <v>7480</v>
      </c>
      <c r="CE1642" t="s">
        <v>116</v>
      </c>
      <c r="CF1642" s="3">
        <v>45796</v>
      </c>
      <c r="CI1642">
        <v>1</v>
      </c>
      <c r="CJ1642">
        <v>1</v>
      </c>
      <c r="CK1642">
        <v>21</v>
      </c>
      <c r="CL1642" t="s">
        <v>89</v>
      </c>
    </row>
    <row r="1643" spans="1:90" x14ac:dyDescent="0.3">
      <c r="A1643" t="s">
        <v>72</v>
      </c>
      <c r="B1643" t="s">
        <v>73</v>
      </c>
      <c r="C1643" t="s">
        <v>74</v>
      </c>
      <c r="E1643" t="str">
        <f>"080065389269"</f>
        <v>080065389269</v>
      </c>
      <c r="F1643" s="3">
        <v>45792</v>
      </c>
      <c r="G1643">
        <v>202602</v>
      </c>
      <c r="H1643" t="s">
        <v>75</v>
      </c>
      <c r="I1643" t="s">
        <v>76</v>
      </c>
      <c r="J1643" t="s">
        <v>77</v>
      </c>
      <c r="K1643" t="s">
        <v>78</v>
      </c>
      <c r="L1643" t="s">
        <v>136</v>
      </c>
      <c r="M1643" t="s">
        <v>137</v>
      </c>
      <c r="N1643" t="s">
        <v>2253</v>
      </c>
      <c r="O1643" t="s">
        <v>82</v>
      </c>
      <c r="P1643" t="str">
        <f>"4170038642                    "</f>
        <v xml:space="preserve">4170038642                    </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0</v>
      </c>
      <c r="AL1643">
        <v>0</v>
      </c>
      <c r="AM1643">
        <v>0</v>
      </c>
      <c r="AN1643">
        <v>0</v>
      </c>
      <c r="AO1643">
        <v>0</v>
      </c>
      <c r="AP1643">
        <v>0</v>
      </c>
      <c r="AQ1643">
        <v>21.38</v>
      </c>
      <c r="AR1643">
        <v>0</v>
      </c>
      <c r="AS1643">
        <v>0</v>
      </c>
      <c r="AT1643">
        <v>0</v>
      </c>
      <c r="AU1643">
        <v>0</v>
      </c>
      <c r="AV1643">
        <v>0</v>
      </c>
      <c r="AW1643">
        <v>0</v>
      </c>
      <c r="AX1643">
        <v>0</v>
      </c>
      <c r="AY1643">
        <v>0</v>
      </c>
      <c r="AZ1643">
        <v>0</v>
      </c>
      <c r="BA1643">
        <v>0</v>
      </c>
      <c r="BB1643">
        <v>0</v>
      </c>
      <c r="BC1643">
        <v>0</v>
      </c>
      <c r="BD1643">
        <v>0</v>
      </c>
      <c r="BE1643">
        <v>0</v>
      </c>
      <c r="BF1643">
        <v>0</v>
      </c>
      <c r="BG1643">
        <v>0</v>
      </c>
      <c r="BH1643">
        <v>1</v>
      </c>
      <c r="BI1643">
        <v>1</v>
      </c>
      <c r="BJ1643">
        <v>0.2</v>
      </c>
      <c r="BK1643">
        <v>1</v>
      </c>
      <c r="BL1643">
        <v>69.98</v>
      </c>
      <c r="BM1643">
        <v>10.5</v>
      </c>
      <c r="BN1643">
        <v>80.48</v>
      </c>
      <c r="BO1643">
        <v>80.48</v>
      </c>
      <c r="BQ1643" t="s">
        <v>2254</v>
      </c>
      <c r="BR1643" t="s">
        <v>84</v>
      </c>
      <c r="BS1643" s="3">
        <v>45793</v>
      </c>
      <c r="BT1643" s="4">
        <v>0.4861111111111111</v>
      </c>
      <c r="BU1643" t="s">
        <v>2255</v>
      </c>
      <c r="BV1643" t="s">
        <v>86</v>
      </c>
      <c r="BY1643">
        <v>1200</v>
      </c>
      <c r="CA1643" t="s">
        <v>2256</v>
      </c>
      <c r="CC1643" t="s">
        <v>137</v>
      </c>
      <c r="CD1643" s="5" t="s">
        <v>895</v>
      </c>
      <c r="CE1643" t="s">
        <v>88</v>
      </c>
      <c r="CF1643" s="3">
        <v>45793</v>
      </c>
      <c r="CI1643">
        <v>1</v>
      </c>
      <c r="CJ1643">
        <v>1</v>
      </c>
      <c r="CK1643">
        <v>21</v>
      </c>
      <c r="CL1643" t="s">
        <v>89</v>
      </c>
    </row>
    <row r="1644" spans="1:90" x14ac:dyDescent="0.3">
      <c r="A1644" t="s">
        <v>72</v>
      </c>
      <c r="B1644" t="s">
        <v>73</v>
      </c>
      <c r="C1644" t="s">
        <v>74</v>
      </c>
      <c r="E1644" t="str">
        <f>"080065389281"</f>
        <v>080065389281</v>
      </c>
      <c r="F1644" s="3">
        <v>45792</v>
      </c>
      <c r="G1644">
        <v>202602</v>
      </c>
      <c r="H1644" t="s">
        <v>75</v>
      </c>
      <c r="I1644" t="s">
        <v>76</v>
      </c>
      <c r="J1644" t="s">
        <v>77</v>
      </c>
      <c r="K1644" t="s">
        <v>78</v>
      </c>
      <c r="L1644" t="s">
        <v>1885</v>
      </c>
      <c r="M1644" t="s">
        <v>1886</v>
      </c>
      <c r="N1644" t="s">
        <v>1887</v>
      </c>
      <c r="O1644" t="s">
        <v>82</v>
      </c>
      <c r="P1644" t="str">
        <f>"4170038651                    "</f>
        <v xml:space="preserve">4170038651                    </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0</v>
      </c>
      <c r="AL1644">
        <v>0</v>
      </c>
      <c r="AM1644">
        <v>0</v>
      </c>
      <c r="AN1644">
        <v>0</v>
      </c>
      <c r="AO1644">
        <v>0</v>
      </c>
      <c r="AP1644">
        <v>0</v>
      </c>
      <c r="AQ1644">
        <v>41.43</v>
      </c>
      <c r="AR1644">
        <v>0</v>
      </c>
      <c r="AS1644">
        <v>0</v>
      </c>
      <c r="AT1644">
        <v>0</v>
      </c>
      <c r="AU1644">
        <v>0</v>
      </c>
      <c r="AV1644">
        <v>0</v>
      </c>
      <c r="AW1644">
        <v>0</v>
      </c>
      <c r="AX1644">
        <v>0</v>
      </c>
      <c r="AY1644">
        <v>0</v>
      </c>
      <c r="AZ1644">
        <v>0</v>
      </c>
      <c r="BA1644">
        <v>0</v>
      </c>
      <c r="BB1644">
        <v>0</v>
      </c>
      <c r="BC1644">
        <v>0</v>
      </c>
      <c r="BD1644">
        <v>0</v>
      </c>
      <c r="BE1644">
        <v>0</v>
      </c>
      <c r="BF1644">
        <v>0</v>
      </c>
      <c r="BG1644">
        <v>0</v>
      </c>
      <c r="BH1644">
        <v>1</v>
      </c>
      <c r="BI1644">
        <v>1</v>
      </c>
      <c r="BJ1644">
        <v>0.9</v>
      </c>
      <c r="BK1644">
        <v>1</v>
      </c>
      <c r="BL1644">
        <v>135.59</v>
      </c>
      <c r="BM1644">
        <v>20.34</v>
      </c>
      <c r="BN1644">
        <v>155.93</v>
      </c>
      <c r="BO1644">
        <v>155.93</v>
      </c>
      <c r="BQ1644" t="s">
        <v>1888</v>
      </c>
      <c r="BR1644" t="s">
        <v>84</v>
      </c>
      <c r="BS1644" s="3">
        <v>45793</v>
      </c>
      <c r="BT1644" s="4">
        <v>0.41666666666666669</v>
      </c>
      <c r="BU1644" t="s">
        <v>1889</v>
      </c>
      <c r="BV1644" t="s">
        <v>86</v>
      </c>
      <c r="BY1644">
        <v>4275</v>
      </c>
      <c r="CC1644" t="s">
        <v>1886</v>
      </c>
      <c r="CD1644">
        <v>3310</v>
      </c>
      <c r="CE1644" t="s">
        <v>116</v>
      </c>
      <c r="CF1644" s="3">
        <v>45794</v>
      </c>
      <c r="CI1644">
        <v>1</v>
      </c>
      <c r="CJ1644">
        <v>1</v>
      </c>
      <c r="CK1644">
        <v>23</v>
      </c>
      <c r="CL1644" t="s">
        <v>89</v>
      </c>
    </row>
    <row r="1645" spans="1:90" x14ac:dyDescent="0.3">
      <c r="A1645" t="s">
        <v>72</v>
      </c>
      <c r="B1645" t="s">
        <v>73</v>
      </c>
      <c r="C1645" t="s">
        <v>74</v>
      </c>
      <c r="E1645" t="str">
        <f>"080065389337"</f>
        <v>080065389337</v>
      </c>
      <c r="F1645" s="3">
        <v>45792</v>
      </c>
      <c r="G1645">
        <v>202602</v>
      </c>
      <c r="H1645" t="s">
        <v>75</v>
      </c>
      <c r="I1645" t="s">
        <v>76</v>
      </c>
      <c r="J1645" t="s">
        <v>77</v>
      </c>
      <c r="K1645" t="s">
        <v>78</v>
      </c>
      <c r="L1645" t="s">
        <v>725</v>
      </c>
      <c r="M1645" t="s">
        <v>726</v>
      </c>
      <c r="N1645" t="s">
        <v>727</v>
      </c>
      <c r="O1645" t="s">
        <v>82</v>
      </c>
      <c r="P1645" t="str">
        <f>"4170038605                    "</f>
        <v xml:space="preserve">4170038605                    </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41.43</v>
      </c>
      <c r="AR1645">
        <v>0</v>
      </c>
      <c r="AS1645">
        <v>0</v>
      </c>
      <c r="AT1645">
        <v>0</v>
      </c>
      <c r="AU1645">
        <v>0</v>
      </c>
      <c r="AV1645">
        <v>0</v>
      </c>
      <c r="AW1645">
        <v>0</v>
      </c>
      <c r="AX1645">
        <v>0</v>
      </c>
      <c r="AY1645">
        <v>0</v>
      </c>
      <c r="AZ1645">
        <v>0</v>
      </c>
      <c r="BA1645">
        <v>0</v>
      </c>
      <c r="BB1645">
        <v>0</v>
      </c>
      <c r="BC1645">
        <v>0</v>
      </c>
      <c r="BD1645">
        <v>0</v>
      </c>
      <c r="BE1645">
        <v>0</v>
      </c>
      <c r="BF1645">
        <v>0</v>
      </c>
      <c r="BG1645">
        <v>0</v>
      </c>
      <c r="BH1645">
        <v>1</v>
      </c>
      <c r="BI1645">
        <v>1</v>
      </c>
      <c r="BJ1645">
        <v>0.2</v>
      </c>
      <c r="BK1645">
        <v>1</v>
      </c>
      <c r="BL1645">
        <v>135.59</v>
      </c>
      <c r="BM1645">
        <v>20.34</v>
      </c>
      <c r="BN1645">
        <v>155.93</v>
      </c>
      <c r="BO1645">
        <v>155.93</v>
      </c>
      <c r="BQ1645" t="s">
        <v>728</v>
      </c>
      <c r="BR1645" t="s">
        <v>84</v>
      </c>
      <c r="BS1645" s="3">
        <v>45793</v>
      </c>
      <c r="BT1645" s="4">
        <v>0.47569444444444442</v>
      </c>
      <c r="BU1645" t="s">
        <v>2257</v>
      </c>
      <c r="BV1645" t="s">
        <v>86</v>
      </c>
      <c r="BY1645">
        <v>1200</v>
      </c>
      <c r="CA1645" t="s">
        <v>730</v>
      </c>
      <c r="CC1645" t="s">
        <v>726</v>
      </c>
      <c r="CD1645">
        <v>2380</v>
      </c>
      <c r="CE1645" t="s">
        <v>88</v>
      </c>
      <c r="CF1645" s="3">
        <v>45796</v>
      </c>
      <c r="CI1645">
        <v>1</v>
      </c>
      <c r="CJ1645">
        <v>1</v>
      </c>
      <c r="CK1645">
        <v>23</v>
      </c>
      <c r="CL1645" t="s">
        <v>89</v>
      </c>
    </row>
    <row r="1646" spans="1:90" x14ac:dyDescent="0.3">
      <c r="A1646" t="s">
        <v>72</v>
      </c>
      <c r="B1646" t="s">
        <v>73</v>
      </c>
      <c r="C1646" t="s">
        <v>74</v>
      </c>
      <c r="E1646" t="str">
        <f>"080065389353"</f>
        <v>080065389353</v>
      </c>
      <c r="F1646" s="3">
        <v>45792</v>
      </c>
      <c r="G1646">
        <v>202602</v>
      </c>
      <c r="H1646" t="s">
        <v>75</v>
      </c>
      <c r="I1646" t="s">
        <v>76</v>
      </c>
      <c r="J1646" t="s">
        <v>77</v>
      </c>
      <c r="K1646" t="s">
        <v>78</v>
      </c>
      <c r="L1646" t="s">
        <v>463</v>
      </c>
      <c r="M1646" t="s">
        <v>464</v>
      </c>
      <c r="N1646" t="s">
        <v>585</v>
      </c>
      <c r="O1646" t="s">
        <v>82</v>
      </c>
      <c r="P1646" t="str">
        <f>"4170038638                    "</f>
        <v xml:space="preserve">4170038638                    </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0</v>
      </c>
      <c r="AK1646">
        <v>0</v>
      </c>
      <c r="AL1646">
        <v>0</v>
      </c>
      <c r="AM1646">
        <v>0</v>
      </c>
      <c r="AN1646">
        <v>0</v>
      </c>
      <c r="AO1646">
        <v>0</v>
      </c>
      <c r="AP1646">
        <v>0</v>
      </c>
      <c r="AQ1646">
        <v>21.38</v>
      </c>
      <c r="AR1646">
        <v>0</v>
      </c>
      <c r="AS1646">
        <v>0</v>
      </c>
      <c r="AT1646">
        <v>0</v>
      </c>
      <c r="AU1646">
        <v>0</v>
      </c>
      <c r="AV1646">
        <v>0</v>
      </c>
      <c r="AW1646">
        <v>0</v>
      </c>
      <c r="AX1646">
        <v>0</v>
      </c>
      <c r="AY1646">
        <v>0</v>
      </c>
      <c r="AZ1646">
        <v>0</v>
      </c>
      <c r="BA1646">
        <v>0</v>
      </c>
      <c r="BB1646">
        <v>0</v>
      </c>
      <c r="BC1646">
        <v>0</v>
      </c>
      <c r="BD1646">
        <v>0</v>
      </c>
      <c r="BE1646">
        <v>0</v>
      </c>
      <c r="BF1646">
        <v>0</v>
      </c>
      <c r="BG1646">
        <v>0</v>
      </c>
      <c r="BH1646">
        <v>1</v>
      </c>
      <c r="BI1646">
        <v>1</v>
      </c>
      <c r="BJ1646">
        <v>0.2</v>
      </c>
      <c r="BK1646">
        <v>1</v>
      </c>
      <c r="BL1646">
        <v>69.98</v>
      </c>
      <c r="BM1646">
        <v>10.5</v>
      </c>
      <c r="BN1646">
        <v>80.48</v>
      </c>
      <c r="BO1646">
        <v>80.48</v>
      </c>
      <c r="BQ1646" t="s">
        <v>586</v>
      </c>
      <c r="BR1646" t="s">
        <v>84</v>
      </c>
      <c r="BS1646" s="3">
        <v>45793</v>
      </c>
      <c r="BT1646" s="4">
        <v>0.4513888888888889</v>
      </c>
      <c r="BU1646" t="s">
        <v>2214</v>
      </c>
      <c r="BV1646" t="s">
        <v>89</v>
      </c>
      <c r="BW1646" t="s">
        <v>148</v>
      </c>
      <c r="BX1646" t="s">
        <v>2215</v>
      </c>
      <c r="BY1646">
        <v>1200</v>
      </c>
      <c r="CA1646" t="s">
        <v>588</v>
      </c>
      <c r="CC1646" t="s">
        <v>464</v>
      </c>
      <c r="CD1646">
        <v>5200</v>
      </c>
      <c r="CE1646" t="s">
        <v>88</v>
      </c>
      <c r="CF1646" s="3">
        <v>45795</v>
      </c>
      <c r="CI1646">
        <v>1</v>
      </c>
      <c r="CJ1646">
        <v>1</v>
      </c>
      <c r="CK1646">
        <v>21</v>
      </c>
      <c r="CL1646" t="s">
        <v>89</v>
      </c>
    </row>
    <row r="1647" spans="1:90" x14ac:dyDescent="0.3">
      <c r="A1647" t="s">
        <v>72</v>
      </c>
      <c r="B1647" t="s">
        <v>73</v>
      </c>
      <c r="C1647" t="s">
        <v>74</v>
      </c>
      <c r="E1647" t="str">
        <f>"080065389367"</f>
        <v>080065389367</v>
      </c>
      <c r="F1647" s="3">
        <v>45792</v>
      </c>
      <c r="G1647">
        <v>202602</v>
      </c>
      <c r="H1647" t="s">
        <v>75</v>
      </c>
      <c r="I1647" t="s">
        <v>76</v>
      </c>
      <c r="J1647" t="s">
        <v>77</v>
      </c>
      <c r="K1647" t="s">
        <v>78</v>
      </c>
      <c r="L1647" t="s">
        <v>331</v>
      </c>
      <c r="M1647" t="s">
        <v>332</v>
      </c>
      <c r="N1647" t="s">
        <v>499</v>
      </c>
      <c r="O1647" t="s">
        <v>82</v>
      </c>
      <c r="P1647" t="str">
        <f>"4170038652                    "</f>
        <v xml:space="preserve">4170038652                    </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0</v>
      </c>
      <c r="AL1647">
        <v>0</v>
      </c>
      <c r="AM1647">
        <v>0</v>
      </c>
      <c r="AN1647">
        <v>0</v>
      </c>
      <c r="AO1647">
        <v>0</v>
      </c>
      <c r="AP1647">
        <v>0</v>
      </c>
      <c r="AQ1647">
        <v>16.7</v>
      </c>
      <c r="AR1647">
        <v>0</v>
      </c>
      <c r="AS1647">
        <v>0</v>
      </c>
      <c r="AT1647">
        <v>0</v>
      </c>
      <c r="AU1647">
        <v>0</v>
      </c>
      <c r="AV1647">
        <v>0</v>
      </c>
      <c r="AW1647">
        <v>0</v>
      </c>
      <c r="AX1647">
        <v>0</v>
      </c>
      <c r="AY1647">
        <v>0</v>
      </c>
      <c r="AZ1647">
        <v>0</v>
      </c>
      <c r="BA1647">
        <v>0</v>
      </c>
      <c r="BB1647">
        <v>0</v>
      </c>
      <c r="BC1647">
        <v>0</v>
      </c>
      <c r="BD1647">
        <v>0</v>
      </c>
      <c r="BE1647">
        <v>0</v>
      </c>
      <c r="BF1647">
        <v>0</v>
      </c>
      <c r="BG1647">
        <v>0</v>
      </c>
      <c r="BH1647">
        <v>1</v>
      </c>
      <c r="BI1647">
        <v>1</v>
      </c>
      <c r="BJ1647">
        <v>0.2</v>
      </c>
      <c r="BK1647">
        <v>1</v>
      </c>
      <c r="BL1647">
        <v>54.66</v>
      </c>
      <c r="BM1647">
        <v>8.1999999999999993</v>
      </c>
      <c r="BN1647">
        <v>62.86</v>
      </c>
      <c r="BO1647">
        <v>62.86</v>
      </c>
      <c r="BQ1647" t="s">
        <v>500</v>
      </c>
      <c r="BR1647" t="s">
        <v>84</v>
      </c>
      <c r="BS1647" s="3">
        <v>45793</v>
      </c>
      <c r="BT1647" s="4">
        <v>0.35069444444444442</v>
      </c>
      <c r="BU1647" t="s">
        <v>1185</v>
      </c>
      <c r="BV1647" t="s">
        <v>86</v>
      </c>
      <c r="BY1647">
        <v>1200</v>
      </c>
      <c r="CA1647" t="s">
        <v>336</v>
      </c>
      <c r="CC1647" t="s">
        <v>332</v>
      </c>
      <c r="CD1647">
        <v>1451</v>
      </c>
      <c r="CE1647" t="s">
        <v>88</v>
      </c>
      <c r="CF1647" s="3">
        <v>45793</v>
      </c>
      <c r="CI1647">
        <v>1</v>
      </c>
      <c r="CJ1647">
        <v>1</v>
      </c>
      <c r="CK1647">
        <v>22</v>
      </c>
      <c r="CL1647" t="s">
        <v>89</v>
      </c>
    </row>
    <row r="1648" spans="1:90" x14ac:dyDescent="0.3">
      <c r="A1648" t="s">
        <v>72</v>
      </c>
      <c r="B1648" t="s">
        <v>73</v>
      </c>
      <c r="C1648" t="s">
        <v>74</v>
      </c>
      <c r="E1648" t="str">
        <f>"080065389384"</f>
        <v>080065389384</v>
      </c>
      <c r="F1648" s="3">
        <v>45792</v>
      </c>
      <c r="G1648">
        <v>202602</v>
      </c>
      <c r="H1648" t="s">
        <v>75</v>
      </c>
      <c r="I1648" t="s">
        <v>76</v>
      </c>
      <c r="J1648" t="s">
        <v>77</v>
      </c>
      <c r="K1648" t="s">
        <v>78</v>
      </c>
      <c r="L1648" t="s">
        <v>489</v>
      </c>
      <c r="M1648" t="s">
        <v>490</v>
      </c>
      <c r="N1648" t="s">
        <v>491</v>
      </c>
      <c r="O1648" t="s">
        <v>82</v>
      </c>
      <c r="P1648" t="str">
        <f>"4170038688                    "</f>
        <v xml:space="preserve">4170038688                    </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c r="AJ1648">
        <v>0</v>
      </c>
      <c r="AK1648">
        <v>0</v>
      </c>
      <c r="AL1648">
        <v>0</v>
      </c>
      <c r="AM1648">
        <v>0</v>
      </c>
      <c r="AN1648">
        <v>0</v>
      </c>
      <c r="AO1648">
        <v>0</v>
      </c>
      <c r="AP1648">
        <v>0</v>
      </c>
      <c r="AQ1648">
        <v>41.43</v>
      </c>
      <c r="AR1648">
        <v>0</v>
      </c>
      <c r="AS1648">
        <v>0</v>
      </c>
      <c r="AT1648">
        <v>0</v>
      </c>
      <c r="AU1648">
        <v>0</v>
      </c>
      <c r="AV1648">
        <v>0</v>
      </c>
      <c r="AW1648">
        <v>0</v>
      </c>
      <c r="AX1648">
        <v>0</v>
      </c>
      <c r="AY1648">
        <v>0</v>
      </c>
      <c r="AZ1648">
        <v>0</v>
      </c>
      <c r="BA1648">
        <v>0</v>
      </c>
      <c r="BB1648">
        <v>0</v>
      </c>
      <c r="BC1648">
        <v>0</v>
      </c>
      <c r="BD1648">
        <v>0</v>
      </c>
      <c r="BE1648">
        <v>0</v>
      </c>
      <c r="BF1648">
        <v>0</v>
      </c>
      <c r="BG1648">
        <v>0</v>
      </c>
      <c r="BH1648">
        <v>1</v>
      </c>
      <c r="BI1648">
        <v>1</v>
      </c>
      <c r="BJ1648">
        <v>0.2</v>
      </c>
      <c r="BK1648">
        <v>1</v>
      </c>
      <c r="BL1648">
        <v>135.59</v>
      </c>
      <c r="BM1648">
        <v>20.34</v>
      </c>
      <c r="BN1648">
        <v>155.93</v>
      </c>
      <c r="BO1648">
        <v>155.93</v>
      </c>
      <c r="BQ1648" t="s">
        <v>492</v>
      </c>
      <c r="BR1648" t="s">
        <v>84</v>
      </c>
      <c r="BS1648" s="3">
        <v>45793</v>
      </c>
      <c r="BT1648" s="4">
        <v>0.3888888888888889</v>
      </c>
      <c r="BU1648" t="s">
        <v>101</v>
      </c>
      <c r="BV1648" t="s">
        <v>86</v>
      </c>
      <c r="BY1648">
        <v>1200</v>
      </c>
      <c r="CA1648" t="s">
        <v>231</v>
      </c>
      <c r="CC1648" t="s">
        <v>490</v>
      </c>
      <c r="CD1648">
        <v>2740</v>
      </c>
      <c r="CE1648" t="s">
        <v>88</v>
      </c>
      <c r="CF1648" s="3">
        <v>45796</v>
      </c>
      <c r="CI1648">
        <v>1</v>
      </c>
      <c r="CJ1648">
        <v>1</v>
      </c>
      <c r="CK1648">
        <v>23</v>
      </c>
      <c r="CL1648" t="s">
        <v>89</v>
      </c>
    </row>
    <row r="1649" spans="1:90" x14ac:dyDescent="0.3">
      <c r="A1649" t="s">
        <v>72</v>
      </c>
      <c r="B1649" t="s">
        <v>73</v>
      </c>
      <c r="C1649" t="s">
        <v>74</v>
      </c>
      <c r="E1649" t="str">
        <f>"080065389396"</f>
        <v>080065389396</v>
      </c>
      <c r="F1649" s="3">
        <v>45792</v>
      </c>
      <c r="G1649">
        <v>202602</v>
      </c>
      <c r="H1649" t="s">
        <v>75</v>
      </c>
      <c r="I1649" t="s">
        <v>76</v>
      </c>
      <c r="J1649" t="s">
        <v>77</v>
      </c>
      <c r="K1649" t="s">
        <v>78</v>
      </c>
      <c r="L1649" t="s">
        <v>123</v>
      </c>
      <c r="M1649" t="s">
        <v>123</v>
      </c>
      <c r="N1649" t="s">
        <v>1700</v>
      </c>
      <c r="O1649" t="s">
        <v>82</v>
      </c>
      <c r="P1649" t="str">
        <f>"4170038660                    "</f>
        <v xml:space="preserve">4170038660                    </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c r="AJ1649">
        <v>0</v>
      </c>
      <c r="AK1649">
        <v>0</v>
      </c>
      <c r="AL1649">
        <v>0</v>
      </c>
      <c r="AM1649">
        <v>0</v>
      </c>
      <c r="AN1649">
        <v>0</v>
      </c>
      <c r="AO1649">
        <v>0</v>
      </c>
      <c r="AP1649">
        <v>0</v>
      </c>
      <c r="AQ1649">
        <v>41.43</v>
      </c>
      <c r="AR1649">
        <v>0</v>
      </c>
      <c r="AS1649">
        <v>0</v>
      </c>
      <c r="AT1649">
        <v>0</v>
      </c>
      <c r="AU1649">
        <v>0</v>
      </c>
      <c r="AV1649">
        <v>0</v>
      </c>
      <c r="AW1649">
        <v>0</v>
      </c>
      <c r="AX1649">
        <v>0</v>
      </c>
      <c r="AY1649">
        <v>0</v>
      </c>
      <c r="AZ1649">
        <v>0</v>
      </c>
      <c r="BA1649">
        <v>0</v>
      </c>
      <c r="BB1649">
        <v>0</v>
      </c>
      <c r="BC1649">
        <v>0</v>
      </c>
      <c r="BD1649">
        <v>0</v>
      </c>
      <c r="BE1649">
        <v>0</v>
      </c>
      <c r="BF1649">
        <v>0</v>
      </c>
      <c r="BG1649">
        <v>0</v>
      </c>
      <c r="BH1649">
        <v>1</v>
      </c>
      <c r="BI1649">
        <v>1</v>
      </c>
      <c r="BJ1649">
        <v>0.2</v>
      </c>
      <c r="BK1649">
        <v>1</v>
      </c>
      <c r="BL1649">
        <v>135.59</v>
      </c>
      <c r="BM1649">
        <v>20.34</v>
      </c>
      <c r="BN1649">
        <v>155.93</v>
      </c>
      <c r="BO1649">
        <v>155.93</v>
      </c>
      <c r="BQ1649" t="s">
        <v>1701</v>
      </c>
      <c r="BR1649" t="s">
        <v>84</v>
      </c>
      <c r="BS1649" s="3">
        <v>45793</v>
      </c>
      <c r="BT1649" s="4">
        <v>0.53888888888888886</v>
      </c>
      <c r="BU1649" t="s">
        <v>319</v>
      </c>
      <c r="BV1649" t="s">
        <v>86</v>
      </c>
      <c r="BY1649">
        <v>1200</v>
      </c>
      <c r="CA1649" t="s">
        <v>128</v>
      </c>
      <c r="CC1649" t="s">
        <v>123</v>
      </c>
      <c r="CD1649">
        <v>7646</v>
      </c>
      <c r="CE1649" t="s">
        <v>88</v>
      </c>
      <c r="CF1649" s="3">
        <v>45796</v>
      </c>
      <c r="CI1649">
        <v>1</v>
      </c>
      <c r="CJ1649">
        <v>1</v>
      </c>
      <c r="CK1649">
        <v>23</v>
      </c>
      <c r="CL1649" t="s">
        <v>89</v>
      </c>
    </row>
    <row r="1650" spans="1:90" x14ac:dyDescent="0.3">
      <c r="A1650" t="s">
        <v>72</v>
      </c>
      <c r="B1650" t="s">
        <v>73</v>
      </c>
      <c r="C1650" t="s">
        <v>74</v>
      </c>
      <c r="E1650" t="str">
        <f>"080065389406"</f>
        <v>080065389406</v>
      </c>
      <c r="F1650" s="3">
        <v>45792</v>
      </c>
      <c r="G1650">
        <v>202602</v>
      </c>
      <c r="H1650" t="s">
        <v>75</v>
      </c>
      <c r="I1650" t="s">
        <v>76</v>
      </c>
      <c r="J1650" t="s">
        <v>77</v>
      </c>
      <c r="K1650" t="s">
        <v>78</v>
      </c>
      <c r="L1650" t="s">
        <v>97</v>
      </c>
      <c r="M1650" t="s">
        <v>98</v>
      </c>
      <c r="N1650" t="s">
        <v>2242</v>
      </c>
      <c r="O1650" t="s">
        <v>82</v>
      </c>
      <c r="P1650" t="str">
        <f>"4170038687                    "</f>
        <v xml:space="preserve">4170038687                    </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0</v>
      </c>
      <c r="AL1650">
        <v>0</v>
      </c>
      <c r="AM1650">
        <v>0</v>
      </c>
      <c r="AN1650">
        <v>0</v>
      </c>
      <c r="AO1650">
        <v>0</v>
      </c>
      <c r="AP1650">
        <v>0</v>
      </c>
      <c r="AQ1650">
        <v>16.7</v>
      </c>
      <c r="AR1650">
        <v>0</v>
      </c>
      <c r="AS1650">
        <v>0</v>
      </c>
      <c r="AT1650">
        <v>0</v>
      </c>
      <c r="AU1650">
        <v>0</v>
      </c>
      <c r="AV1650">
        <v>0</v>
      </c>
      <c r="AW1650">
        <v>0</v>
      </c>
      <c r="AX1650">
        <v>0</v>
      </c>
      <c r="AY1650">
        <v>0</v>
      </c>
      <c r="AZ1650">
        <v>0</v>
      </c>
      <c r="BA1650">
        <v>0</v>
      </c>
      <c r="BB1650">
        <v>0</v>
      </c>
      <c r="BC1650">
        <v>0</v>
      </c>
      <c r="BD1650">
        <v>0</v>
      </c>
      <c r="BE1650">
        <v>0</v>
      </c>
      <c r="BF1650">
        <v>0</v>
      </c>
      <c r="BG1650">
        <v>0</v>
      </c>
      <c r="BH1650">
        <v>1</v>
      </c>
      <c r="BI1650">
        <v>1</v>
      </c>
      <c r="BJ1650">
        <v>0.2</v>
      </c>
      <c r="BK1650">
        <v>1</v>
      </c>
      <c r="BL1650">
        <v>54.66</v>
      </c>
      <c r="BM1650">
        <v>8.1999999999999993</v>
      </c>
      <c r="BN1650">
        <v>62.86</v>
      </c>
      <c r="BO1650">
        <v>62.86</v>
      </c>
      <c r="BQ1650" t="s">
        <v>2243</v>
      </c>
      <c r="BR1650" t="s">
        <v>84</v>
      </c>
      <c r="BS1650" s="3">
        <v>45793</v>
      </c>
      <c r="BT1650" s="4">
        <v>0.33333333333333331</v>
      </c>
      <c r="BU1650" t="s">
        <v>2244</v>
      </c>
      <c r="BV1650" t="s">
        <v>86</v>
      </c>
      <c r="BY1650">
        <v>1200</v>
      </c>
      <c r="CA1650" t="s">
        <v>279</v>
      </c>
      <c r="CC1650" t="s">
        <v>98</v>
      </c>
      <c r="CD1650">
        <v>1459</v>
      </c>
      <c r="CE1650" t="s">
        <v>88</v>
      </c>
      <c r="CF1650" s="3">
        <v>45793</v>
      </c>
      <c r="CI1650">
        <v>1</v>
      </c>
      <c r="CJ1650">
        <v>1</v>
      </c>
      <c r="CK1650">
        <v>22</v>
      </c>
      <c r="CL1650" t="s">
        <v>89</v>
      </c>
    </row>
    <row r="1651" spans="1:90" x14ac:dyDescent="0.3">
      <c r="A1651" t="s">
        <v>72</v>
      </c>
      <c r="B1651" t="s">
        <v>73</v>
      </c>
      <c r="C1651" t="s">
        <v>74</v>
      </c>
      <c r="E1651" t="str">
        <f>"080065389417"</f>
        <v>080065389417</v>
      </c>
      <c r="F1651" s="3">
        <v>45792</v>
      </c>
      <c r="G1651">
        <v>202602</v>
      </c>
      <c r="H1651" t="s">
        <v>75</v>
      </c>
      <c r="I1651" t="s">
        <v>76</v>
      </c>
      <c r="J1651" t="s">
        <v>77</v>
      </c>
      <c r="K1651" t="s">
        <v>78</v>
      </c>
      <c r="L1651" t="s">
        <v>232</v>
      </c>
      <c r="M1651" t="s">
        <v>233</v>
      </c>
      <c r="N1651" t="s">
        <v>1108</v>
      </c>
      <c r="O1651" t="s">
        <v>82</v>
      </c>
      <c r="P1651" t="str">
        <f>"4170038626                    "</f>
        <v xml:space="preserve">4170038626                    </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0</v>
      </c>
      <c r="AL1651">
        <v>0</v>
      </c>
      <c r="AM1651">
        <v>0</v>
      </c>
      <c r="AN1651">
        <v>0</v>
      </c>
      <c r="AO1651">
        <v>0</v>
      </c>
      <c r="AP1651">
        <v>0</v>
      </c>
      <c r="AQ1651">
        <v>21.38</v>
      </c>
      <c r="AR1651">
        <v>0</v>
      </c>
      <c r="AS1651">
        <v>0</v>
      </c>
      <c r="AT1651">
        <v>0</v>
      </c>
      <c r="AU1651">
        <v>0</v>
      </c>
      <c r="AV1651">
        <v>0</v>
      </c>
      <c r="AW1651">
        <v>0</v>
      </c>
      <c r="AX1651">
        <v>0</v>
      </c>
      <c r="AY1651">
        <v>0</v>
      </c>
      <c r="AZ1651">
        <v>0</v>
      </c>
      <c r="BA1651">
        <v>0</v>
      </c>
      <c r="BB1651">
        <v>0</v>
      </c>
      <c r="BC1651">
        <v>0</v>
      </c>
      <c r="BD1651">
        <v>0</v>
      </c>
      <c r="BE1651">
        <v>0</v>
      </c>
      <c r="BF1651">
        <v>0</v>
      </c>
      <c r="BG1651">
        <v>0</v>
      </c>
      <c r="BH1651">
        <v>1</v>
      </c>
      <c r="BI1651">
        <v>1</v>
      </c>
      <c r="BJ1651">
        <v>0.2</v>
      </c>
      <c r="BK1651">
        <v>1</v>
      </c>
      <c r="BL1651">
        <v>69.98</v>
      </c>
      <c r="BM1651">
        <v>10.5</v>
      </c>
      <c r="BN1651">
        <v>80.48</v>
      </c>
      <c r="BO1651">
        <v>80.48</v>
      </c>
      <c r="BQ1651" t="s">
        <v>1109</v>
      </c>
      <c r="BR1651" t="s">
        <v>84</v>
      </c>
      <c r="BS1651" s="3">
        <v>45793</v>
      </c>
      <c r="BT1651" s="4">
        <v>0.3840277777777778</v>
      </c>
      <c r="BU1651" t="s">
        <v>1068</v>
      </c>
      <c r="BV1651" t="s">
        <v>86</v>
      </c>
      <c r="BY1651">
        <v>1200</v>
      </c>
      <c r="CA1651" t="s">
        <v>237</v>
      </c>
      <c r="CC1651" t="s">
        <v>233</v>
      </c>
      <c r="CD1651" s="5" t="s">
        <v>238</v>
      </c>
      <c r="CE1651" t="s">
        <v>88</v>
      </c>
      <c r="CF1651" s="3">
        <v>45793</v>
      </c>
      <c r="CI1651">
        <v>1</v>
      </c>
      <c r="CJ1651">
        <v>1</v>
      </c>
      <c r="CK1651">
        <v>21</v>
      </c>
      <c r="CL1651" t="s">
        <v>89</v>
      </c>
    </row>
    <row r="1652" spans="1:90" x14ac:dyDescent="0.3">
      <c r="A1652" t="s">
        <v>72</v>
      </c>
      <c r="B1652" t="s">
        <v>73</v>
      </c>
      <c r="C1652" t="s">
        <v>74</v>
      </c>
      <c r="E1652" t="str">
        <f>"080065389427"</f>
        <v>080065389427</v>
      </c>
      <c r="F1652" s="3">
        <v>45792</v>
      </c>
      <c r="G1652">
        <v>202602</v>
      </c>
      <c r="H1652" t="s">
        <v>75</v>
      </c>
      <c r="I1652" t="s">
        <v>76</v>
      </c>
      <c r="J1652" t="s">
        <v>77</v>
      </c>
      <c r="K1652" t="s">
        <v>78</v>
      </c>
      <c r="L1652" t="s">
        <v>136</v>
      </c>
      <c r="M1652" t="s">
        <v>137</v>
      </c>
      <c r="N1652" t="s">
        <v>735</v>
      </c>
      <c r="O1652" t="s">
        <v>82</v>
      </c>
      <c r="P1652" t="str">
        <f>"4170038624                    "</f>
        <v xml:space="preserve">4170038624                    </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0</v>
      </c>
      <c r="AL1652">
        <v>0</v>
      </c>
      <c r="AM1652">
        <v>0</v>
      </c>
      <c r="AN1652">
        <v>0</v>
      </c>
      <c r="AO1652">
        <v>0</v>
      </c>
      <c r="AP1652">
        <v>0</v>
      </c>
      <c r="AQ1652">
        <v>21.38</v>
      </c>
      <c r="AR1652">
        <v>0</v>
      </c>
      <c r="AS1652">
        <v>0</v>
      </c>
      <c r="AT1652">
        <v>0</v>
      </c>
      <c r="AU1652">
        <v>0</v>
      </c>
      <c r="AV1652">
        <v>0</v>
      </c>
      <c r="AW1652">
        <v>0</v>
      </c>
      <c r="AX1652">
        <v>0</v>
      </c>
      <c r="AY1652">
        <v>0</v>
      </c>
      <c r="AZ1652">
        <v>0</v>
      </c>
      <c r="BA1652">
        <v>0</v>
      </c>
      <c r="BB1652">
        <v>0</v>
      </c>
      <c r="BC1652">
        <v>0</v>
      </c>
      <c r="BD1652">
        <v>0</v>
      </c>
      <c r="BE1652">
        <v>0</v>
      </c>
      <c r="BF1652">
        <v>0</v>
      </c>
      <c r="BG1652">
        <v>0</v>
      </c>
      <c r="BH1652">
        <v>1</v>
      </c>
      <c r="BI1652">
        <v>1</v>
      </c>
      <c r="BJ1652">
        <v>0.2</v>
      </c>
      <c r="BK1652">
        <v>1</v>
      </c>
      <c r="BL1652">
        <v>69.98</v>
      </c>
      <c r="BM1652">
        <v>10.5</v>
      </c>
      <c r="BN1652">
        <v>80.48</v>
      </c>
      <c r="BO1652">
        <v>80.48</v>
      </c>
      <c r="BQ1652" t="s">
        <v>736</v>
      </c>
      <c r="BR1652" t="s">
        <v>84</v>
      </c>
      <c r="BS1652" s="3">
        <v>45793</v>
      </c>
      <c r="BT1652" s="4">
        <v>0.35347222222222224</v>
      </c>
      <c r="BU1652" t="s">
        <v>737</v>
      </c>
      <c r="BV1652" t="s">
        <v>86</v>
      </c>
      <c r="BY1652">
        <v>1200</v>
      </c>
      <c r="CA1652" t="s">
        <v>258</v>
      </c>
      <c r="CC1652" t="s">
        <v>137</v>
      </c>
      <c r="CD1652" s="5" t="s">
        <v>738</v>
      </c>
      <c r="CE1652" t="s">
        <v>88</v>
      </c>
      <c r="CF1652" s="3">
        <v>45793</v>
      </c>
      <c r="CI1652">
        <v>1</v>
      </c>
      <c r="CJ1652">
        <v>1</v>
      </c>
      <c r="CK1652">
        <v>21</v>
      </c>
      <c r="CL1652" t="s">
        <v>89</v>
      </c>
    </row>
    <row r="1653" spans="1:90" x14ac:dyDescent="0.3">
      <c r="A1653" t="s">
        <v>72</v>
      </c>
      <c r="B1653" t="s">
        <v>73</v>
      </c>
      <c r="C1653" t="s">
        <v>74</v>
      </c>
      <c r="E1653" t="str">
        <f>"080065389449"</f>
        <v>080065389449</v>
      </c>
      <c r="F1653" s="3">
        <v>45792</v>
      </c>
      <c r="G1653">
        <v>202602</v>
      </c>
      <c r="H1653" t="s">
        <v>75</v>
      </c>
      <c r="I1653" t="s">
        <v>76</v>
      </c>
      <c r="J1653" t="s">
        <v>77</v>
      </c>
      <c r="K1653" t="s">
        <v>78</v>
      </c>
      <c r="L1653" t="s">
        <v>136</v>
      </c>
      <c r="M1653" t="s">
        <v>137</v>
      </c>
      <c r="N1653" t="s">
        <v>1297</v>
      </c>
      <c r="O1653" t="s">
        <v>82</v>
      </c>
      <c r="P1653" t="str">
        <f>"4170038643                    "</f>
        <v xml:space="preserve">4170038643                    </v>
      </c>
      <c r="Q1653">
        <v>0</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c r="AJ1653">
        <v>0</v>
      </c>
      <c r="AK1653">
        <v>0</v>
      </c>
      <c r="AL1653">
        <v>0</v>
      </c>
      <c r="AM1653">
        <v>0</v>
      </c>
      <c r="AN1653">
        <v>0</v>
      </c>
      <c r="AO1653">
        <v>0</v>
      </c>
      <c r="AP1653">
        <v>0</v>
      </c>
      <c r="AQ1653">
        <v>21.38</v>
      </c>
      <c r="AR1653">
        <v>0</v>
      </c>
      <c r="AS1653">
        <v>0</v>
      </c>
      <c r="AT1653">
        <v>0</v>
      </c>
      <c r="AU1653">
        <v>0</v>
      </c>
      <c r="AV1653">
        <v>0</v>
      </c>
      <c r="AW1653">
        <v>0</v>
      </c>
      <c r="AX1653">
        <v>0</v>
      </c>
      <c r="AY1653">
        <v>0</v>
      </c>
      <c r="AZ1653">
        <v>0</v>
      </c>
      <c r="BA1653">
        <v>0</v>
      </c>
      <c r="BB1653">
        <v>0</v>
      </c>
      <c r="BC1653">
        <v>0</v>
      </c>
      <c r="BD1653">
        <v>0</v>
      </c>
      <c r="BE1653">
        <v>0</v>
      </c>
      <c r="BF1653">
        <v>0</v>
      </c>
      <c r="BG1653">
        <v>0</v>
      </c>
      <c r="BH1653">
        <v>1</v>
      </c>
      <c r="BI1653">
        <v>1</v>
      </c>
      <c r="BJ1653">
        <v>0.2</v>
      </c>
      <c r="BK1653">
        <v>1</v>
      </c>
      <c r="BL1653">
        <v>69.98</v>
      </c>
      <c r="BM1653">
        <v>10.5</v>
      </c>
      <c r="BN1653">
        <v>80.48</v>
      </c>
      <c r="BO1653">
        <v>80.48</v>
      </c>
      <c r="BQ1653" t="s">
        <v>1298</v>
      </c>
      <c r="BR1653" t="s">
        <v>84</v>
      </c>
      <c r="BS1653" s="3">
        <v>45793</v>
      </c>
      <c r="BT1653" s="4">
        <v>0.36666666666666664</v>
      </c>
      <c r="BU1653" t="s">
        <v>1299</v>
      </c>
      <c r="BV1653" t="s">
        <v>86</v>
      </c>
      <c r="BY1653">
        <v>1200</v>
      </c>
      <c r="CA1653" t="s">
        <v>141</v>
      </c>
      <c r="CC1653" t="s">
        <v>137</v>
      </c>
      <c r="CD1653" s="5" t="s">
        <v>1239</v>
      </c>
      <c r="CE1653" t="s">
        <v>88</v>
      </c>
      <c r="CF1653" s="3">
        <v>45793</v>
      </c>
      <c r="CI1653">
        <v>1</v>
      </c>
      <c r="CJ1653">
        <v>1</v>
      </c>
      <c r="CK1653">
        <v>21</v>
      </c>
      <c r="CL1653" t="s">
        <v>89</v>
      </c>
    </row>
    <row r="1654" spans="1:90" x14ac:dyDescent="0.3">
      <c r="A1654" t="s">
        <v>72</v>
      </c>
      <c r="B1654" t="s">
        <v>73</v>
      </c>
      <c r="C1654" t="s">
        <v>74</v>
      </c>
      <c r="E1654" t="str">
        <f>"080065389451"</f>
        <v>080065389451</v>
      </c>
      <c r="F1654" s="3">
        <v>45792</v>
      </c>
      <c r="G1654">
        <v>202602</v>
      </c>
      <c r="H1654" t="s">
        <v>75</v>
      </c>
      <c r="I1654" t="s">
        <v>76</v>
      </c>
      <c r="J1654" t="s">
        <v>77</v>
      </c>
      <c r="K1654" t="s">
        <v>78</v>
      </c>
      <c r="L1654" t="s">
        <v>103</v>
      </c>
      <c r="M1654" t="s">
        <v>104</v>
      </c>
      <c r="N1654" t="s">
        <v>105</v>
      </c>
      <c r="O1654" t="s">
        <v>82</v>
      </c>
      <c r="P1654" t="str">
        <f>"4170038668                    "</f>
        <v xml:space="preserve">4170038668                    </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0</v>
      </c>
      <c r="AL1654">
        <v>0</v>
      </c>
      <c r="AM1654">
        <v>0</v>
      </c>
      <c r="AN1654">
        <v>0</v>
      </c>
      <c r="AO1654">
        <v>0</v>
      </c>
      <c r="AP1654">
        <v>0</v>
      </c>
      <c r="AQ1654">
        <v>112.19</v>
      </c>
      <c r="AR1654">
        <v>0</v>
      </c>
      <c r="AS1654">
        <v>0</v>
      </c>
      <c r="AT1654">
        <v>0</v>
      </c>
      <c r="AU1654">
        <v>0</v>
      </c>
      <c r="AV1654">
        <v>0</v>
      </c>
      <c r="AW1654">
        <v>0</v>
      </c>
      <c r="AX1654">
        <v>0</v>
      </c>
      <c r="AY1654">
        <v>0</v>
      </c>
      <c r="AZ1654">
        <v>0</v>
      </c>
      <c r="BA1654">
        <v>0</v>
      </c>
      <c r="BB1654">
        <v>0</v>
      </c>
      <c r="BC1654">
        <v>0</v>
      </c>
      <c r="BD1654">
        <v>0</v>
      </c>
      <c r="BE1654">
        <v>0</v>
      </c>
      <c r="BF1654">
        <v>0</v>
      </c>
      <c r="BG1654">
        <v>0</v>
      </c>
      <c r="BH1654">
        <v>1</v>
      </c>
      <c r="BI1654">
        <v>7</v>
      </c>
      <c r="BJ1654">
        <v>10.1</v>
      </c>
      <c r="BK1654">
        <v>10.5</v>
      </c>
      <c r="BL1654">
        <v>367.17</v>
      </c>
      <c r="BM1654">
        <v>55.08</v>
      </c>
      <c r="BN1654">
        <v>422.25</v>
      </c>
      <c r="BO1654">
        <v>422.25</v>
      </c>
      <c r="BQ1654" t="s">
        <v>106</v>
      </c>
      <c r="BR1654" t="s">
        <v>84</v>
      </c>
      <c r="BS1654" s="3">
        <v>45793</v>
      </c>
      <c r="BT1654" s="4">
        <v>0.41666666666666669</v>
      </c>
      <c r="BU1654" t="s">
        <v>107</v>
      </c>
      <c r="BV1654" t="s">
        <v>86</v>
      </c>
      <c r="BY1654">
        <v>50562</v>
      </c>
      <c r="CA1654" t="s">
        <v>108</v>
      </c>
      <c r="CC1654" t="s">
        <v>104</v>
      </c>
      <c r="CD1654">
        <v>3201</v>
      </c>
      <c r="CE1654" t="s">
        <v>1296</v>
      </c>
      <c r="CF1654" s="3">
        <v>45794</v>
      </c>
      <c r="CI1654">
        <v>1</v>
      </c>
      <c r="CJ1654">
        <v>1</v>
      </c>
      <c r="CK1654">
        <v>21</v>
      </c>
      <c r="CL1654" t="s">
        <v>89</v>
      </c>
    </row>
    <row r="1655" spans="1:90" x14ac:dyDescent="0.3">
      <c r="A1655" t="s">
        <v>72</v>
      </c>
      <c r="B1655" t="s">
        <v>73</v>
      </c>
      <c r="C1655" t="s">
        <v>74</v>
      </c>
      <c r="E1655" t="str">
        <f>"080065389463"</f>
        <v>080065389463</v>
      </c>
      <c r="F1655" s="3">
        <v>45792</v>
      </c>
      <c r="G1655">
        <v>202602</v>
      </c>
      <c r="H1655" t="s">
        <v>75</v>
      </c>
      <c r="I1655" t="s">
        <v>76</v>
      </c>
      <c r="J1655" t="s">
        <v>77</v>
      </c>
      <c r="K1655" t="s">
        <v>78</v>
      </c>
      <c r="L1655" t="s">
        <v>130</v>
      </c>
      <c r="M1655" t="s">
        <v>131</v>
      </c>
      <c r="N1655" t="s">
        <v>343</v>
      </c>
      <c r="O1655" t="s">
        <v>82</v>
      </c>
      <c r="P1655" t="str">
        <f>"4170038664                    "</f>
        <v xml:space="preserve">4170038664                    </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0</v>
      </c>
      <c r="AL1655">
        <v>0</v>
      </c>
      <c r="AM1655">
        <v>0</v>
      </c>
      <c r="AN1655">
        <v>0</v>
      </c>
      <c r="AO1655">
        <v>0</v>
      </c>
      <c r="AP1655">
        <v>0</v>
      </c>
      <c r="AQ1655">
        <v>21.38</v>
      </c>
      <c r="AR1655">
        <v>0</v>
      </c>
      <c r="AS1655">
        <v>0</v>
      </c>
      <c r="AT1655">
        <v>0</v>
      </c>
      <c r="AU1655">
        <v>0</v>
      </c>
      <c r="AV1655">
        <v>0</v>
      </c>
      <c r="AW1655">
        <v>0</v>
      </c>
      <c r="AX1655">
        <v>0</v>
      </c>
      <c r="AY1655">
        <v>0</v>
      </c>
      <c r="AZ1655">
        <v>0</v>
      </c>
      <c r="BA1655">
        <v>0</v>
      </c>
      <c r="BB1655">
        <v>0</v>
      </c>
      <c r="BC1655">
        <v>0</v>
      </c>
      <c r="BD1655">
        <v>0</v>
      </c>
      <c r="BE1655">
        <v>0</v>
      </c>
      <c r="BF1655">
        <v>0</v>
      </c>
      <c r="BG1655">
        <v>0</v>
      </c>
      <c r="BH1655">
        <v>1</v>
      </c>
      <c r="BI1655">
        <v>1</v>
      </c>
      <c r="BJ1655">
        <v>0.2</v>
      </c>
      <c r="BK1655">
        <v>1</v>
      </c>
      <c r="BL1655">
        <v>69.98</v>
      </c>
      <c r="BM1655">
        <v>10.5</v>
      </c>
      <c r="BN1655">
        <v>80.48</v>
      </c>
      <c r="BO1655">
        <v>80.48</v>
      </c>
      <c r="BQ1655" t="s">
        <v>344</v>
      </c>
      <c r="BR1655" t="s">
        <v>84</v>
      </c>
      <c r="BS1655" s="3">
        <v>45793</v>
      </c>
      <c r="BT1655" s="4">
        <v>0.38055555555555554</v>
      </c>
      <c r="BU1655" t="s">
        <v>2219</v>
      </c>
      <c r="BV1655" t="s">
        <v>86</v>
      </c>
      <c r="BY1655">
        <v>1200</v>
      </c>
      <c r="CA1655" t="s">
        <v>242</v>
      </c>
      <c r="CC1655" t="s">
        <v>131</v>
      </c>
      <c r="CD1655">
        <v>7441</v>
      </c>
      <c r="CE1655" t="s">
        <v>88</v>
      </c>
      <c r="CF1655" s="3">
        <v>45796</v>
      </c>
      <c r="CI1655">
        <v>1</v>
      </c>
      <c r="CJ1655">
        <v>1</v>
      </c>
      <c r="CK1655">
        <v>21</v>
      </c>
      <c r="CL1655" t="s">
        <v>89</v>
      </c>
    </row>
    <row r="1656" spans="1:90" x14ac:dyDescent="0.3">
      <c r="A1656" t="s">
        <v>72</v>
      </c>
      <c r="B1656" t="s">
        <v>73</v>
      </c>
      <c r="C1656" t="s">
        <v>74</v>
      </c>
      <c r="E1656" t="str">
        <f>"080065389480"</f>
        <v>080065389480</v>
      </c>
      <c r="F1656" s="3">
        <v>45792</v>
      </c>
      <c r="G1656">
        <v>202602</v>
      </c>
      <c r="H1656" t="s">
        <v>75</v>
      </c>
      <c r="I1656" t="s">
        <v>76</v>
      </c>
      <c r="J1656" t="s">
        <v>77</v>
      </c>
      <c r="K1656" t="s">
        <v>78</v>
      </c>
      <c r="L1656" t="s">
        <v>130</v>
      </c>
      <c r="M1656" t="s">
        <v>131</v>
      </c>
      <c r="N1656" t="s">
        <v>699</v>
      </c>
      <c r="O1656" t="s">
        <v>82</v>
      </c>
      <c r="P1656" t="str">
        <f>"4170038715                    "</f>
        <v xml:space="preserve">4170038715                    </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21.38</v>
      </c>
      <c r="AR1656">
        <v>0</v>
      </c>
      <c r="AS1656">
        <v>0</v>
      </c>
      <c r="AT1656">
        <v>0</v>
      </c>
      <c r="AU1656">
        <v>0</v>
      </c>
      <c r="AV1656">
        <v>0</v>
      </c>
      <c r="AW1656">
        <v>0</v>
      </c>
      <c r="AX1656">
        <v>0</v>
      </c>
      <c r="AY1656">
        <v>0</v>
      </c>
      <c r="AZ1656">
        <v>0</v>
      </c>
      <c r="BA1656">
        <v>0</v>
      </c>
      <c r="BB1656">
        <v>0</v>
      </c>
      <c r="BC1656">
        <v>0</v>
      </c>
      <c r="BD1656">
        <v>0</v>
      </c>
      <c r="BE1656">
        <v>0</v>
      </c>
      <c r="BF1656">
        <v>0</v>
      </c>
      <c r="BG1656">
        <v>0</v>
      </c>
      <c r="BH1656">
        <v>1</v>
      </c>
      <c r="BI1656">
        <v>2</v>
      </c>
      <c r="BJ1656">
        <v>0.9</v>
      </c>
      <c r="BK1656">
        <v>2</v>
      </c>
      <c r="BL1656">
        <v>69.98</v>
      </c>
      <c r="BM1656">
        <v>10.5</v>
      </c>
      <c r="BN1656">
        <v>80.48</v>
      </c>
      <c r="BO1656">
        <v>80.48</v>
      </c>
      <c r="BQ1656" t="s">
        <v>700</v>
      </c>
      <c r="BR1656" t="s">
        <v>84</v>
      </c>
      <c r="BS1656" s="3">
        <v>45793</v>
      </c>
      <c r="BT1656" s="4">
        <v>0.41319444444444442</v>
      </c>
      <c r="BU1656" t="s">
        <v>701</v>
      </c>
      <c r="BV1656" t="s">
        <v>86</v>
      </c>
      <c r="BY1656">
        <v>4256</v>
      </c>
      <c r="CA1656" t="s">
        <v>330</v>
      </c>
      <c r="CC1656" t="s">
        <v>131</v>
      </c>
      <c r="CD1656">
        <v>7480</v>
      </c>
      <c r="CE1656" t="s">
        <v>96</v>
      </c>
      <c r="CF1656" s="3">
        <v>45796</v>
      </c>
      <c r="CI1656">
        <v>1</v>
      </c>
      <c r="CJ1656">
        <v>1</v>
      </c>
      <c r="CK1656">
        <v>21</v>
      </c>
      <c r="CL1656" t="s">
        <v>89</v>
      </c>
    </row>
    <row r="1657" spans="1:90" x14ac:dyDescent="0.3">
      <c r="A1657" t="s">
        <v>72</v>
      </c>
      <c r="B1657" t="s">
        <v>73</v>
      </c>
      <c r="C1657" t="s">
        <v>74</v>
      </c>
      <c r="E1657" t="str">
        <f>"080065389511"</f>
        <v>080065389511</v>
      </c>
      <c r="F1657" s="3">
        <v>45792</v>
      </c>
      <c r="G1657">
        <v>202602</v>
      </c>
      <c r="H1657" t="s">
        <v>75</v>
      </c>
      <c r="I1657" t="s">
        <v>76</v>
      </c>
      <c r="J1657" t="s">
        <v>77</v>
      </c>
      <c r="K1657" t="s">
        <v>78</v>
      </c>
      <c r="L1657" t="s">
        <v>97</v>
      </c>
      <c r="M1657" t="s">
        <v>98</v>
      </c>
      <c r="N1657" t="s">
        <v>2242</v>
      </c>
      <c r="O1657" t="s">
        <v>82</v>
      </c>
      <c r="P1657" t="str">
        <f>"4170038690                    "</f>
        <v xml:space="preserve">4170038690                    </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0</v>
      </c>
      <c r="AL1657">
        <v>0</v>
      </c>
      <c r="AM1657">
        <v>0</v>
      </c>
      <c r="AN1657">
        <v>0</v>
      </c>
      <c r="AO1657">
        <v>0</v>
      </c>
      <c r="AP1657">
        <v>0</v>
      </c>
      <c r="AQ1657">
        <v>16.7</v>
      </c>
      <c r="AR1657">
        <v>0</v>
      </c>
      <c r="AS1657">
        <v>0</v>
      </c>
      <c r="AT1657">
        <v>0</v>
      </c>
      <c r="AU1657">
        <v>0</v>
      </c>
      <c r="AV1657">
        <v>0</v>
      </c>
      <c r="AW1657">
        <v>0</v>
      </c>
      <c r="AX1657">
        <v>0</v>
      </c>
      <c r="AY1657">
        <v>0</v>
      </c>
      <c r="AZ1657">
        <v>0</v>
      </c>
      <c r="BA1657">
        <v>0</v>
      </c>
      <c r="BB1657">
        <v>0</v>
      </c>
      <c r="BC1657">
        <v>0</v>
      </c>
      <c r="BD1657">
        <v>0</v>
      </c>
      <c r="BE1657">
        <v>0</v>
      </c>
      <c r="BF1657">
        <v>0</v>
      </c>
      <c r="BG1657">
        <v>0</v>
      </c>
      <c r="BH1657">
        <v>1</v>
      </c>
      <c r="BI1657">
        <v>1</v>
      </c>
      <c r="BJ1657">
        <v>0.9</v>
      </c>
      <c r="BK1657">
        <v>1</v>
      </c>
      <c r="BL1657">
        <v>54.66</v>
      </c>
      <c r="BM1657">
        <v>8.1999999999999993</v>
      </c>
      <c r="BN1657">
        <v>62.86</v>
      </c>
      <c r="BO1657">
        <v>62.86</v>
      </c>
      <c r="BQ1657" t="s">
        <v>2243</v>
      </c>
      <c r="BR1657" t="s">
        <v>84</v>
      </c>
      <c r="BS1657" s="3">
        <v>45793</v>
      </c>
      <c r="BT1657" s="4">
        <v>0.30625000000000002</v>
      </c>
      <c r="BU1657" t="s">
        <v>2244</v>
      </c>
      <c r="BV1657" t="s">
        <v>86</v>
      </c>
      <c r="BY1657">
        <v>4256</v>
      </c>
      <c r="CA1657" t="s">
        <v>279</v>
      </c>
      <c r="CC1657" t="s">
        <v>98</v>
      </c>
      <c r="CD1657">
        <v>1459</v>
      </c>
      <c r="CE1657" t="s">
        <v>96</v>
      </c>
      <c r="CF1657" s="3">
        <v>45793</v>
      </c>
      <c r="CI1657">
        <v>1</v>
      </c>
      <c r="CJ1657">
        <v>1</v>
      </c>
      <c r="CK1657">
        <v>22</v>
      </c>
      <c r="CL1657" t="s">
        <v>89</v>
      </c>
    </row>
    <row r="1658" spans="1:90" x14ac:dyDescent="0.3">
      <c r="A1658" t="s">
        <v>72</v>
      </c>
      <c r="B1658" t="s">
        <v>73</v>
      </c>
      <c r="C1658" t="s">
        <v>74</v>
      </c>
      <c r="E1658" t="str">
        <f>"080065389538"</f>
        <v>080065389538</v>
      </c>
      <c r="F1658" s="3">
        <v>45792</v>
      </c>
      <c r="G1658">
        <v>202602</v>
      </c>
      <c r="H1658" t="s">
        <v>75</v>
      </c>
      <c r="I1658" t="s">
        <v>76</v>
      </c>
      <c r="J1658" t="s">
        <v>77</v>
      </c>
      <c r="K1658" t="s">
        <v>78</v>
      </c>
      <c r="L1658" t="s">
        <v>79</v>
      </c>
      <c r="M1658" t="s">
        <v>80</v>
      </c>
      <c r="N1658" t="s">
        <v>880</v>
      </c>
      <c r="O1658" t="s">
        <v>82</v>
      </c>
      <c r="P1658" t="str">
        <f>"4170038610                    "</f>
        <v xml:space="preserve">4170038610                    </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0</v>
      </c>
      <c r="AL1658">
        <v>0</v>
      </c>
      <c r="AM1658">
        <v>0</v>
      </c>
      <c r="AN1658">
        <v>0</v>
      </c>
      <c r="AO1658">
        <v>0</v>
      </c>
      <c r="AP1658">
        <v>0</v>
      </c>
      <c r="AQ1658">
        <v>21.38</v>
      </c>
      <c r="AR1658">
        <v>0</v>
      </c>
      <c r="AS1658">
        <v>0</v>
      </c>
      <c r="AT1658">
        <v>0</v>
      </c>
      <c r="AU1658">
        <v>0</v>
      </c>
      <c r="AV1658">
        <v>0</v>
      </c>
      <c r="AW1658">
        <v>0</v>
      </c>
      <c r="AX1658">
        <v>0</v>
      </c>
      <c r="AY1658">
        <v>0</v>
      </c>
      <c r="AZ1658">
        <v>0</v>
      </c>
      <c r="BA1658">
        <v>0</v>
      </c>
      <c r="BB1658">
        <v>0</v>
      </c>
      <c r="BC1658">
        <v>0</v>
      </c>
      <c r="BD1658">
        <v>0</v>
      </c>
      <c r="BE1658">
        <v>0</v>
      </c>
      <c r="BF1658">
        <v>0</v>
      </c>
      <c r="BG1658">
        <v>0</v>
      </c>
      <c r="BH1658">
        <v>1</v>
      </c>
      <c r="BI1658">
        <v>1</v>
      </c>
      <c r="BJ1658">
        <v>1.5</v>
      </c>
      <c r="BK1658">
        <v>1.5</v>
      </c>
      <c r="BL1658">
        <v>69.98</v>
      </c>
      <c r="BM1658">
        <v>10.5</v>
      </c>
      <c r="BN1658">
        <v>80.48</v>
      </c>
      <c r="BO1658">
        <v>80.48</v>
      </c>
      <c r="BQ1658" t="s">
        <v>881</v>
      </c>
      <c r="BR1658" t="s">
        <v>84</v>
      </c>
      <c r="BS1658" s="3">
        <v>45793</v>
      </c>
      <c r="BT1658" s="4">
        <v>0.45763888888888887</v>
      </c>
      <c r="BU1658" t="s">
        <v>882</v>
      </c>
      <c r="BV1658" t="s">
        <v>89</v>
      </c>
      <c r="BW1658" t="s">
        <v>434</v>
      </c>
      <c r="BX1658" t="s">
        <v>1829</v>
      </c>
      <c r="BY1658">
        <v>7540</v>
      </c>
      <c r="CA1658" t="s">
        <v>160</v>
      </c>
      <c r="CC1658" t="s">
        <v>80</v>
      </c>
      <c r="CD1658">
        <v>3620</v>
      </c>
      <c r="CE1658" t="s">
        <v>96</v>
      </c>
      <c r="CF1658" s="3">
        <v>45796</v>
      </c>
      <c r="CI1658">
        <v>1</v>
      </c>
      <c r="CJ1658">
        <v>1</v>
      </c>
      <c r="CK1658">
        <v>21</v>
      </c>
      <c r="CL1658" t="s">
        <v>89</v>
      </c>
    </row>
    <row r="1659" spans="1:90" x14ac:dyDescent="0.3">
      <c r="A1659" t="s">
        <v>72</v>
      </c>
      <c r="B1659" t="s">
        <v>73</v>
      </c>
      <c r="C1659" t="s">
        <v>74</v>
      </c>
      <c r="E1659" t="str">
        <f>"080065389595"</f>
        <v>080065389595</v>
      </c>
      <c r="F1659" s="3">
        <v>45792</v>
      </c>
      <c r="G1659">
        <v>202602</v>
      </c>
      <c r="H1659" t="s">
        <v>75</v>
      </c>
      <c r="I1659" t="s">
        <v>76</v>
      </c>
      <c r="J1659" t="s">
        <v>77</v>
      </c>
      <c r="K1659" t="s">
        <v>78</v>
      </c>
      <c r="L1659" t="s">
        <v>463</v>
      </c>
      <c r="M1659" t="s">
        <v>464</v>
      </c>
      <c r="N1659" t="s">
        <v>744</v>
      </c>
      <c r="O1659" t="s">
        <v>82</v>
      </c>
      <c r="P1659" t="str">
        <f>"4170038609                    "</f>
        <v xml:space="preserve">4170038609                    </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0</v>
      </c>
      <c r="AL1659">
        <v>0</v>
      </c>
      <c r="AM1659">
        <v>0</v>
      </c>
      <c r="AN1659">
        <v>0</v>
      </c>
      <c r="AO1659">
        <v>0</v>
      </c>
      <c r="AP1659">
        <v>0</v>
      </c>
      <c r="AQ1659">
        <v>138.9</v>
      </c>
      <c r="AR1659">
        <v>0</v>
      </c>
      <c r="AS1659">
        <v>0</v>
      </c>
      <c r="AT1659">
        <v>0</v>
      </c>
      <c r="AU1659">
        <v>0</v>
      </c>
      <c r="AV1659">
        <v>0</v>
      </c>
      <c r="AW1659">
        <v>0</v>
      </c>
      <c r="AX1659">
        <v>0</v>
      </c>
      <c r="AY1659">
        <v>0</v>
      </c>
      <c r="AZ1659">
        <v>0</v>
      </c>
      <c r="BA1659">
        <v>0</v>
      </c>
      <c r="BB1659">
        <v>0</v>
      </c>
      <c r="BC1659">
        <v>0</v>
      </c>
      <c r="BD1659">
        <v>0</v>
      </c>
      <c r="BE1659">
        <v>0</v>
      </c>
      <c r="BF1659">
        <v>0</v>
      </c>
      <c r="BG1659">
        <v>0</v>
      </c>
      <c r="BH1659">
        <v>1</v>
      </c>
      <c r="BI1659">
        <v>13</v>
      </c>
      <c r="BJ1659">
        <v>4.0999999999999996</v>
      </c>
      <c r="BK1659">
        <v>13</v>
      </c>
      <c r="BL1659">
        <v>454.58</v>
      </c>
      <c r="BM1659">
        <v>68.19</v>
      </c>
      <c r="BN1659">
        <v>522.77</v>
      </c>
      <c r="BO1659">
        <v>522.77</v>
      </c>
      <c r="BQ1659" t="s">
        <v>745</v>
      </c>
      <c r="BR1659" t="s">
        <v>84</v>
      </c>
      <c r="BS1659" s="3">
        <v>45793</v>
      </c>
      <c r="BT1659" s="4">
        <v>0.4465277777777778</v>
      </c>
      <c r="BU1659" t="s">
        <v>746</v>
      </c>
      <c r="BV1659" t="s">
        <v>89</v>
      </c>
      <c r="BW1659" t="s">
        <v>148</v>
      </c>
      <c r="BX1659" t="s">
        <v>2215</v>
      </c>
      <c r="BY1659">
        <v>20358</v>
      </c>
      <c r="CA1659" t="s">
        <v>588</v>
      </c>
      <c r="CC1659" t="s">
        <v>464</v>
      </c>
      <c r="CD1659">
        <v>5201</v>
      </c>
      <c r="CE1659" t="s">
        <v>96</v>
      </c>
      <c r="CF1659" s="3">
        <v>45795</v>
      </c>
      <c r="CI1659">
        <v>1</v>
      </c>
      <c r="CJ1659">
        <v>1</v>
      </c>
      <c r="CK1659">
        <v>21</v>
      </c>
      <c r="CL1659" t="s">
        <v>89</v>
      </c>
    </row>
    <row r="1660" spans="1:90" x14ac:dyDescent="0.3">
      <c r="A1660" t="s">
        <v>72</v>
      </c>
      <c r="B1660" t="s">
        <v>73</v>
      </c>
      <c r="C1660" t="s">
        <v>74</v>
      </c>
      <c r="E1660" t="str">
        <f>"080065389600"</f>
        <v>080065389600</v>
      </c>
      <c r="F1660" s="3">
        <v>45792</v>
      </c>
      <c r="G1660">
        <v>202602</v>
      </c>
      <c r="H1660" t="s">
        <v>75</v>
      </c>
      <c r="I1660" t="s">
        <v>76</v>
      </c>
      <c r="J1660" t="s">
        <v>77</v>
      </c>
      <c r="K1660" t="s">
        <v>78</v>
      </c>
      <c r="L1660" t="s">
        <v>79</v>
      </c>
      <c r="M1660" t="s">
        <v>80</v>
      </c>
      <c r="N1660" t="s">
        <v>415</v>
      </c>
      <c r="O1660" t="s">
        <v>82</v>
      </c>
      <c r="P1660" t="str">
        <f>"4170038761                    "</f>
        <v xml:space="preserve">4170038761                    </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0</v>
      </c>
      <c r="AL1660">
        <v>0</v>
      </c>
      <c r="AM1660">
        <v>0</v>
      </c>
      <c r="AN1660">
        <v>0</v>
      </c>
      <c r="AO1660">
        <v>0</v>
      </c>
      <c r="AP1660">
        <v>0</v>
      </c>
      <c r="AQ1660">
        <v>21.38</v>
      </c>
      <c r="AR1660">
        <v>0</v>
      </c>
      <c r="AS1660">
        <v>0</v>
      </c>
      <c r="AT1660">
        <v>0</v>
      </c>
      <c r="AU1660">
        <v>0</v>
      </c>
      <c r="AV1660">
        <v>0</v>
      </c>
      <c r="AW1660">
        <v>0</v>
      </c>
      <c r="AX1660">
        <v>0</v>
      </c>
      <c r="AY1660">
        <v>0</v>
      </c>
      <c r="AZ1660">
        <v>0</v>
      </c>
      <c r="BA1660">
        <v>0</v>
      </c>
      <c r="BB1660">
        <v>0</v>
      </c>
      <c r="BC1660">
        <v>0</v>
      </c>
      <c r="BD1660">
        <v>0</v>
      </c>
      <c r="BE1660">
        <v>0</v>
      </c>
      <c r="BF1660">
        <v>0</v>
      </c>
      <c r="BG1660">
        <v>0</v>
      </c>
      <c r="BH1660">
        <v>1</v>
      </c>
      <c r="BI1660">
        <v>1</v>
      </c>
      <c r="BJ1660">
        <v>0.2</v>
      </c>
      <c r="BK1660">
        <v>1</v>
      </c>
      <c r="BL1660">
        <v>69.98</v>
      </c>
      <c r="BM1660">
        <v>10.5</v>
      </c>
      <c r="BN1660">
        <v>80.48</v>
      </c>
      <c r="BO1660">
        <v>80.48</v>
      </c>
      <c r="BQ1660" t="s">
        <v>416</v>
      </c>
      <c r="BR1660" t="s">
        <v>84</v>
      </c>
      <c r="BS1660" s="3">
        <v>45793</v>
      </c>
      <c r="BT1660" s="4">
        <v>0.4375</v>
      </c>
      <c r="BU1660" t="s">
        <v>1152</v>
      </c>
      <c r="BV1660" t="s">
        <v>86</v>
      </c>
      <c r="BY1660">
        <v>1200</v>
      </c>
      <c r="CA1660" t="s">
        <v>87</v>
      </c>
      <c r="CC1660" t="s">
        <v>80</v>
      </c>
      <c r="CD1660">
        <v>3610</v>
      </c>
      <c r="CE1660" t="s">
        <v>88</v>
      </c>
      <c r="CF1660" s="3">
        <v>45794</v>
      </c>
      <c r="CI1660">
        <v>1</v>
      </c>
      <c r="CJ1660">
        <v>1</v>
      </c>
      <c r="CK1660">
        <v>21</v>
      </c>
      <c r="CL1660" t="s">
        <v>89</v>
      </c>
    </row>
    <row r="1661" spans="1:90" x14ac:dyDescent="0.3">
      <c r="A1661" t="s">
        <v>72</v>
      </c>
      <c r="B1661" t="s">
        <v>73</v>
      </c>
      <c r="C1661" t="s">
        <v>74</v>
      </c>
      <c r="E1661" t="str">
        <f>"080065389626"</f>
        <v>080065389626</v>
      </c>
      <c r="F1661" s="3">
        <v>45792</v>
      </c>
      <c r="G1661">
        <v>202602</v>
      </c>
      <c r="H1661" t="s">
        <v>75</v>
      </c>
      <c r="I1661" t="s">
        <v>76</v>
      </c>
      <c r="J1661" t="s">
        <v>77</v>
      </c>
      <c r="K1661" t="s">
        <v>78</v>
      </c>
      <c r="L1661" t="s">
        <v>130</v>
      </c>
      <c r="M1661" t="s">
        <v>131</v>
      </c>
      <c r="N1661" t="s">
        <v>343</v>
      </c>
      <c r="O1661" t="s">
        <v>82</v>
      </c>
      <c r="P1661" t="str">
        <f>"4170038595                    "</f>
        <v xml:space="preserve">4170038595                    </v>
      </c>
      <c r="Q1661">
        <v>0</v>
      </c>
      <c r="R1661">
        <v>0</v>
      </c>
      <c r="S1661">
        <v>0</v>
      </c>
      <c r="T1661">
        <v>0</v>
      </c>
      <c r="U1661">
        <v>0</v>
      </c>
      <c r="V1661">
        <v>0</v>
      </c>
      <c r="W1661">
        <v>0</v>
      </c>
      <c r="X1661">
        <v>0</v>
      </c>
      <c r="Y1661">
        <v>0</v>
      </c>
      <c r="Z1661">
        <v>0</v>
      </c>
      <c r="AA1661">
        <v>0</v>
      </c>
      <c r="AB1661">
        <v>0</v>
      </c>
      <c r="AC1661">
        <v>0</v>
      </c>
      <c r="AD1661">
        <v>0</v>
      </c>
      <c r="AE1661">
        <v>0</v>
      </c>
      <c r="AF1661">
        <v>0</v>
      </c>
      <c r="AG1661">
        <v>0</v>
      </c>
      <c r="AH1661">
        <v>0</v>
      </c>
      <c r="AI1661">
        <v>0</v>
      </c>
      <c r="AJ1661">
        <v>0</v>
      </c>
      <c r="AK1661">
        <v>0</v>
      </c>
      <c r="AL1661">
        <v>0</v>
      </c>
      <c r="AM1661">
        <v>0</v>
      </c>
      <c r="AN1661">
        <v>0</v>
      </c>
      <c r="AO1661">
        <v>0</v>
      </c>
      <c r="AP1661">
        <v>0</v>
      </c>
      <c r="AQ1661">
        <v>21.38</v>
      </c>
      <c r="AR1661">
        <v>0</v>
      </c>
      <c r="AS1661">
        <v>0</v>
      </c>
      <c r="AT1661">
        <v>0</v>
      </c>
      <c r="AU1661">
        <v>0</v>
      </c>
      <c r="AV1661">
        <v>0</v>
      </c>
      <c r="AW1661">
        <v>0</v>
      </c>
      <c r="AX1661">
        <v>0</v>
      </c>
      <c r="AY1661">
        <v>0</v>
      </c>
      <c r="AZ1661">
        <v>0</v>
      </c>
      <c r="BA1661">
        <v>0</v>
      </c>
      <c r="BB1661">
        <v>0</v>
      </c>
      <c r="BC1661">
        <v>0</v>
      </c>
      <c r="BD1661">
        <v>0</v>
      </c>
      <c r="BE1661">
        <v>0</v>
      </c>
      <c r="BF1661">
        <v>0</v>
      </c>
      <c r="BG1661">
        <v>0</v>
      </c>
      <c r="BH1661">
        <v>1</v>
      </c>
      <c r="BI1661">
        <v>1</v>
      </c>
      <c r="BJ1661">
        <v>0.2</v>
      </c>
      <c r="BK1661">
        <v>1</v>
      </c>
      <c r="BL1661">
        <v>69.98</v>
      </c>
      <c r="BM1661">
        <v>10.5</v>
      </c>
      <c r="BN1661">
        <v>80.48</v>
      </c>
      <c r="BO1661">
        <v>80.48</v>
      </c>
      <c r="BQ1661" t="s">
        <v>344</v>
      </c>
      <c r="BR1661" t="s">
        <v>84</v>
      </c>
      <c r="BS1661" s="3">
        <v>45793</v>
      </c>
      <c r="BT1661" s="4">
        <v>0.38055555555555554</v>
      </c>
      <c r="BU1661" t="s">
        <v>2219</v>
      </c>
      <c r="BV1661" t="s">
        <v>86</v>
      </c>
      <c r="BY1661">
        <v>1200</v>
      </c>
      <c r="CA1661" t="s">
        <v>242</v>
      </c>
      <c r="CC1661" t="s">
        <v>131</v>
      </c>
      <c r="CD1661">
        <v>7441</v>
      </c>
      <c r="CE1661" t="s">
        <v>88</v>
      </c>
      <c r="CF1661" s="3">
        <v>45796</v>
      </c>
      <c r="CI1661">
        <v>1</v>
      </c>
      <c r="CJ1661">
        <v>1</v>
      </c>
      <c r="CK1661">
        <v>21</v>
      </c>
      <c r="CL1661" t="s">
        <v>89</v>
      </c>
    </row>
    <row r="1662" spans="1:90" x14ac:dyDescent="0.3">
      <c r="A1662" t="s">
        <v>72</v>
      </c>
      <c r="B1662" t="s">
        <v>73</v>
      </c>
      <c r="C1662" t="s">
        <v>74</v>
      </c>
      <c r="E1662" t="str">
        <f>"080065389672"</f>
        <v>080065389672</v>
      </c>
      <c r="F1662" s="3">
        <v>45792</v>
      </c>
      <c r="G1662">
        <v>202602</v>
      </c>
      <c r="H1662" t="s">
        <v>75</v>
      </c>
      <c r="I1662" t="s">
        <v>76</v>
      </c>
      <c r="J1662" t="s">
        <v>77</v>
      </c>
      <c r="K1662" t="s">
        <v>78</v>
      </c>
      <c r="L1662" t="s">
        <v>350</v>
      </c>
      <c r="M1662" t="s">
        <v>351</v>
      </c>
      <c r="N1662" t="s">
        <v>678</v>
      </c>
      <c r="O1662" t="s">
        <v>82</v>
      </c>
      <c r="P1662" t="str">
        <f>"4170038721                    "</f>
        <v xml:space="preserve">4170038721                    </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21.38</v>
      </c>
      <c r="AR1662">
        <v>0</v>
      </c>
      <c r="AS1662">
        <v>0</v>
      </c>
      <c r="AT1662">
        <v>0</v>
      </c>
      <c r="AU1662">
        <v>0</v>
      </c>
      <c r="AV1662">
        <v>0</v>
      </c>
      <c r="AW1662">
        <v>0</v>
      </c>
      <c r="AX1662">
        <v>0</v>
      </c>
      <c r="AY1662">
        <v>0</v>
      </c>
      <c r="AZ1662">
        <v>0</v>
      </c>
      <c r="BA1662">
        <v>0</v>
      </c>
      <c r="BB1662">
        <v>0</v>
      </c>
      <c r="BC1662">
        <v>0</v>
      </c>
      <c r="BD1662">
        <v>0</v>
      </c>
      <c r="BE1662">
        <v>0</v>
      </c>
      <c r="BF1662">
        <v>0</v>
      </c>
      <c r="BG1662">
        <v>0</v>
      </c>
      <c r="BH1662">
        <v>1</v>
      </c>
      <c r="BI1662">
        <v>1</v>
      </c>
      <c r="BJ1662">
        <v>0.2</v>
      </c>
      <c r="BK1662">
        <v>1</v>
      </c>
      <c r="BL1662">
        <v>69.98</v>
      </c>
      <c r="BM1662">
        <v>10.5</v>
      </c>
      <c r="BN1662">
        <v>80.48</v>
      </c>
      <c r="BO1662">
        <v>80.48</v>
      </c>
      <c r="BQ1662" t="s">
        <v>679</v>
      </c>
      <c r="BR1662" t="s">
        <v>84</v>
      </c>
      <c r="BS1662" s="3">
        <v>45793</v>
      </c>
      <c r="BT1662" s="4">
        <v>0.44027777777777777</v>
      </c>
      <c r="BU1662" t="s">
        <v>2213</v>
      </c>
      <c r="BV1662" t="s">
        <v>89</v>
      </c>
      <c r="BW1662" t="s">
        <v>434</v>
      </c>
      <c r="BX1662" t="s">
        <v>1829</v>
      </c>
      <c r="BY1662">
        <v>1200</v>
      </c>
      <c r="CA1662" t="s">
        <v>879</v>
      </c>
      <c r="CC1662" t="s">
        <v>351</v>
      </c>
      <c r="CD1662">
        <v>4052</v>
      </c>
      <c r="CE1662" t="s">
        <v>88</v>
      </c>
      <c r="CF1662" s="3">
        <v>45796</v>
      </c>
      <c r="CI1662">
        <v>1</v>
      </c>
      <c r="CJ1662">
        <v>1</v>
      </c>
      <c r="CK1662">
        <v>21</v>
      </c>
      <c r="CL1662" t="s">
        <v>89</v>
      </c>
    </row>
    <row r="1663" spans="1:90" x14ac:dyDescent="0.3">
      <c r="A1663" t="s">
        <v>72</v>
      </c>
      <c r="B1663" t="s">
        <v>73</v>
      </c>
      <c r="C1663" t="s">
        <v>74</v>
      </c>
      <c r="E1663" t="str">
        <f>"080065389733"</f>
        <v>080065389733</v>
      </c>
      <c r="F1663" s="3">
        <v>45792</v>
      </c>
      <c r="G1663">
        <v>202602</v>
      </c>
      <c r="H1663" t="s">
        <v>75</v>
      </c>
      <c r="I1663" t="s">
        <v>76</v>
      </c>
      <c r="J1663" t="s">
        <v>77</v>
      </c>
      <c r="K1663" t="s">
        <v>78</v>
      </c>
      <c r="L1663" t="s">
        <v>123</v>
      </c>
      <c r="M1663" t="s">
        <v>123</v>
      </c>
      <c r="N1663" t="s">
        <v>317</v>
      </c>
      <c r="O1663" t="s">
        <v>82</v>
      </c>
      <c r="P1663" t="str">
        <f>"4170038619                    "</f>
        <v xml:space="preserve">4170038619                    </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0</v>
      </c>
      <c r="AL1663">
        <v>0</v>
      </c>
      <c r="AM1663">
        <v>0</v>
      </c>
      <c r="AN1663">
        <v>0</v>
      </c>
      <c r="AO1663">
        <v>0</v>
      </c>
      <c r="AP1663">
        <v>0</v>
      </c>
      <c r="AQ1663">
        <v>41.43</v>
      </c>
      <c r="AR1663">
        <v>0</v>
      </c>
      <c r="AS1663">
        <v>0</v>
      </c>
      <c r="AT1663">
        <v>0</v>
      </c>
      <c r="AU1663">
        <v>0</v>
      </c>
      <c r="AV1663">
        <v>0</v>
      </c>
      <c r="AW1663">
        <v>0</v>
      </c>
      <c r="AX1663">
        <v>0</v>
      </c>
      <c r="AY1663">
        <v>0</v>
      </c>
      <c r="AZ1663">
        <v>0</v>
      </c>
      <c r="BA1663">
        <v>0</v>
      </c>
      <c r="BB1663">
        <v>0</v>
      </c>
      <c r="BC1663">
        <v>0</v>
      </c>
      <c r="BD1663">
        <v>0</v>
      </c>
      <c r="BE1663">
        <v>0</v>
      </c>
      <c r="BF1663">
        <v>0</v>
      </c>
      <c r="BG1663">
        <v>0</v>
      </c>
      <c r="BH1663">
        <v>1</v>
      </c>
      <c r="BI1663">
        <v>1</v>
      </c>
      <c r="BJ1663">
        <v>0.9</v>
      </c>
      <c r="BK1663">
        <v>1</v>
      </c>
      <c r="BL1663">
        <v>135.59</v>
      </c>
      <c r="BM1663">
        <v>20.34</v>
      </c>
      <c r="BN1663">
        <v>155.93</v>
      </c>
      <c r="BO1663">
        <v>155.93</v>
      </c>
      <c r="BQ1663" t="s">
        <v>318</v>
      </c>
      <c r="BR1663" t="s">
        <v>84</v>
      </c>
      <c r="BS1663" s="3">
        <v>45793</v>
      </c>
      <c r="BT1663" s="4">
        <v>0.53888888888888886</v>
      </c>
      <c r="BU1663" t="s">
        <v>319</v>
      </c>
      <c r="BV1663" t="s">
        <v>86</v>
      </c>
      <c r="BY1663">
        <v>4560</v>
      </c>
      <c r="CA1663" t="s">
        <v>128</v>
      </c>
      <c r="CC1663" t="s">
        <v>123</v>
      </c>
      <c r="CD1663">
        <v>7646</v>
      </c>
      <c r="CE1663" t="s">
        <v>116</v>
      </c>
      <c r="CF1663" s="3">
        <v>45796</v>
      </c>
      <c r="CI1663">
        <v>1</v>
      </c>
      <c r="CJ1663">
        <v>1</v>
      </c>
      <c r="CK1663">
        <v>23</v>
      </c>
      <c r="CL1663" t="s">
        <v>89</v>
      </c>
    </row>
    <row r="1664" spans="1:90" x14ac:dyDescent="0.3">
      <c r="A1664" t="s">
        <v>72</v>
      </c>
      <c r="B1664" t="s">
        <v>73</v>
      </c>
      <c r="C1664" t="s">
        <v>74</v>
      </c>
      <c r="E1664" t="str">
        <f>"080065389758"</f>
        <v>080065389758</v>
      </c>
      <c r="F1664" s="3">
        <v>45792</v>
      </c>
      <c r="G1664">
        <v>202602</v>
      </c>
      <c r="H1664" t="s">
        <v>75</v>
      </c>
      <c r="I1664" t="s">
        <v>76</v>
      </c>
      <c r="J1664" t="s">
        <v>77</v>
      </c>
      <c r="K1664" t="s">
        <v>78</v>
      </c>
      <c r="L1664" t="s">
        <v>350</v>
      </c>
      <c r="M1664" t="s">
        <v>351</v>
      </c>
      <c r="N1664" t="s">
        <v>459</v>
      </c>
      <c r="O1664" t="s">
        <v>82</v>
      </c>
      <c r="P1664" t="str">
        <f>"4170038820                    "</f>
        <v xml:space="preserve">4170038820                    </v>
      </c>
      <c r="Q1664">
        <v>0</v>
      </c>
      <c r="R1664">
        <v>0</v>
      </c>
      <c r="S1664">
        <v>0</v>
      </c>
      <c r="T1664">
        <v>0</v>
      </c>
      <c r="U1664">
        <v>0</v>
      </c>
      <c r="V1664">
        <v>0</v>
      </c>
      <c r="W1664">
        <v>0</v>
      </c>
      <c r="X1664">
        <v>0</v>
      </c>
      <c r="Y1664">
        <v>0</v>
      </c>
      <c r="Z1664">
        <v>0</v>
      </c>
      <c r="AA1664">
        <v>0</v>
      </c>
      <c r="AB1664">
        <v>0</v>
      </c>
      <c r="AC1664">
        <v>0</v>
      </c>
      <c r="AD1664">
        <v>0</v>
      </c>
      <c r="AE1664">
        <v>0</v>
      </c>
      <c r="AF1664">
        <v>0</v>
      </c>
      <c r="AG1664">
        <v>0</v>
      </c>
      <c r="AH1664">
        <v>0</v>
      </c>
      <c r="AI1664">
        <v>0</v>
      </c>
      <c r="AJ1664">
        <v>0</v>
      </c>
      <c r="AK1664">
        <v>0</v>
      </c>
      <c r="AL1664">
        <v>0</v>
      </c>
      <c r="AM1664">
        <v>0</v>
      </c>
      <c r="AN1664">
        <v>0</v>
      </c>
      <c r="AO1664">
        <v>0</v>
      </c>
      <c r="AP1664">
        <v>0</v>
      </c>
      <c r="AQ1664">
        <v>21.38</v>
      </c>
      <c r="AR1664">
        <v>0</v>
      </c>
      <c r="AS1664">
        <v>0</v>
      </c>
      <c r="AT1664">
        <v>0</v>
      </c>
      <c r="AU1664">
        <v>0</v>
      </c>
      <c r="AV1664">
        <v>0</v>
      </c>
      <c r="AW1664">
        <v>0</v>
      </c>
      <c r="AX1664">
        <v>0</v>
      </c>
      <c r="AY1664">
        <v>0</v>
      </c>
      <c r="AZ1664">
        <v>0</v>
      </c>
      <c r="BA1664">
        <v>0</v>
      </c>
      <c r="BB1664">
        <v>0</v>
      </c>
      <c r="BC1664">
        <v>0</v>
      </c>
      <c r="BD1664">
        <v>0</v>
      </c>
      <c r="BE1664">
        <v>0</v>
      </c>
      <c r="BF1664">
        <v>0</v>
      </c>
      <c r="BG1664">
        <v>0</v>
      </c>
      <c r="BH1664">
        <v>1</v>
      </c>
      <c r="BI1664">
        <v>1</v>
      </c>
      <c r="BJ1664">
        <v>0.2</v>
      </c>
      <c r="BK1664">
        <v>1</v>
      </c>
      <c r="BL1664">
        <v>69.98</v>
      </c>
      <c r="BM1664">
        <v>10.5</v>
      </c>
      <c r="BN1664">
        <v>80.48</v>
      </c>
      <c r="BO1664">
        <v>80.48</v>
      </c>
      <c r="BQ1664" t="s">
        <v>460</v>
      </c>
      <c r="BR1664" t="s">
        <v>84</v>
      </c>
      <c r="BS1664" s="3">
        <v>45793</v>
      </c>
      <c r="BT1664" s="4">
        <v>0.33680555555555558</v>
      </c>
      <c r="BU1664" t="s">
        <v>2258</v>
      </c>
      <c r="BV1664" t="s">
        <v>86</v>
      </c>
      <c r="BY1664">
        <v>1200</v>
      </c>
      <c r="CA1664" t="s">
        <v>462</v>
      </c>
      <c r="CC1664" t="s">
        <v>351</v>
      </c>
      <c r="CD1664">
        <v>4051</v>
      </c>
      <c r="CE1664" t="s">
        <v>88</v>
      </c>
      <c r="CF1664" s="3">
        <v>45794</v>
      </c>
      <c r="CI1664">
        <v>1</v>
      </c>
      <c r="CJ1664">
        <v>1</v>
      </c>
      <c r="CK1664">
        <v>21</v>
      </c>
      <c r="CL1664" t="s">
        <v>89</v>
      </c>
    </row>
    <row r="1665" spans="1:90" x14ac:dyDescent="0.3">
      <c r="A1665" t="s">
        <v>72</v>
      </c>
      <c r="B1665" t="s">
        <v>73</v>
      </c>
      <c r="C1665" t="s">
        <v>74</v>
      </c>
      <c r="E1665" t="str">
        <f>"080065390784"</f>
        <v>080065390784</v>
      </c>
      <c r="F1665" s="3">
        <v>45792</v>
      </c>
      <c r="G1665">
        <v>202602</v>
      </c>
      <c r="H1665" t="s">
        <v>75</v>
      </c>
      <c r="I1665" t="s">
        <v>76</v>
      </c>
      <c r="J1665" t="s">
        <v>77</v>
      </c>
      <c r="K1665" t="s">
        <v>78</v>
      </c>
      <c r="L1665" t="s">
        <v>143</v>
      </c>
      <c r="M1665" t="s">
        <v>144</v>
      </c>
      <c r="N1665" t="s">
        <v>2259</v>
      </c>
      <c r="O1665" t="s">
        <v>82</v>
      </c>
      <c r="P1665" t="str">
        <f>"4170038615                    "</f>
        <v xml:space="preserve">4170038615                    </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c r="AL1665">
        <v>0</v>
      </c>
      <c r="AM1665">
        <v>0</v>
      </c>
      <c r="AN1665">
        <v>0</v>
      </c>
      <c r="AO1665">
        <v>0</v>
      </c>
      <c r="AP1665">
        <v>0</v>
      </c>
      <c r="AQ1665">
        <v>16.7</v>
      </c>
      <c r="AR1665">
        <v>0</v>
      </c>
      <c r="AS1665">
        <v>0</v>
      </c>
      <c r="AT1665">
        <v>0</v>
      </c>
      <c r="AU1665">
        <v>0</v>
      </c>
      <c r="AV1665">
        <v>0</v>
      </c>
      <c r="AW1665">
        <v>0</v>
      </c>
      <c r="AX1665">
        <v>0</v>
      </c>
      <c r="AY1665">
        <v>0</v>
      </c>
      <c r="AZ1665">
        <v>0</v>
      </c>
      <c r="BA1665">
        <v>0</v>
      </c>
      <c r="BB1665">
        <v>0</v>
      </c>
      <c r="BC1665">
        <v>0</v>
      </c>
      <c r="BD1665">
        <v>0</v>
      </c>
      <c r="BE1665">
        <v>0</v>
      </c>
      <c r="BF1665">
        <v>0</v>
      </c>
      <c r="BG1665">
        <v>0</v>
      </c>
      <c r="BH1665">
        <v>1</v>
      </c>
      <c r="BI1665">
        <v>5</v>
      </c>
      <c r="BJ1665">
        <v>3.4</v>
      </c>
      <c r="BK1665">
        <v>5</v>
      </c>
      <c r="BL1665">
        <v>54.66</v>
      </c>
      <c r="BM1665">
        <v>8.1999999999999993</v>
      </c>
      <c r="BN1665">
        <v>62.86</v>
      </c>
      <c r="BO1665">
        <v>62.86</v>
      </c>
      <c r="BQ1665" t="s">
        <v>2260</v>
      </c>
      <c r="BR1665" t="s">
        <v>84</v>
      </c>
      <c r="BS1665" s="3">
        <v>45793</v>
      </c>
      <c r="BT1665" s="4">
        <v>0.35069444444444442</v>
      </c>
      <c r="BU1665" t="s">
        <v>2261</v>
      </c>
      <c r="BV1665" t="s">
        <v>86</v>
      </c>
      <c r="BY1665">
        <v>16965</v>
      </c>
      <c r="CA1665" t="s">
        <v>2230</v>
      </c>
      <c r="CC1665" t="s">
        <v>144</v>
      </c>
      <c r="CD1665">
        <v>1401</v>
      </c>
      <c r="CE1665" t="s">
        <v>96</v>
      </c>
      <c r="CF1665" s="3">
        <v>45793</v>
      </c>
      <c r="CI1665">
        <v>1</v>
      </c>
      <c r="CJ1665">
        <v>1</v>
      </c>
      <c r="CK1665">
        <v>22</v>
      </c>
      <c r="CL1665" t="s">
        <v>89</v>
      </c>
    </row>
    <row r="1666" spans="1:90" x14ac:dyDescent="0.3">
      <c r="A1666" t="s">
        <v>72</v>
      </c>
      <c r="B1666" t="s">
        <v>73</v>
      </c>
      <c r="C1666" t="s">
        <v>74</v>
      </c>
      <c r="E1666" t="str">
        <f>"080065390823"</f>
        <v>080065390823</v>
      </c>
      <c r="F1666" s="3">
        <v>45792</v>
      </c>
      <c r="G1666">
        <v>202602</v>
      </c>
      <c r="H1666" t="s">
        <v>75</v>
      </c>
      <c r="I1666" t="s">
        <v>76</v>
      </c>
      <c r="J1666" t="s">
        <v>77</v>
      </c>
      <c r="K1666" t="s">
        <v>78</v>
      </c>
      <c r="L1666" t="s">
        <v>136</v>
      </c>
      <c r="M1666" t="s">
        <v>137</v>
      </c>
      <c r="N1666" t="s">
        <v>2262</v>
      </c>
      <c r="O1666" t="s">
        <v>300</v>
      </c>
      <c r="P1666" t="str">
        <f>"4170038617                    "</f>
        <v xml:space="preserve">4170038617                    </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0</v>
      </c>
      <c r="AL1666">
        <v>0</v>
      </c>
      <c r="AM1666">
        <v>0</v>
      </c>
      <c r="AN1666">
        <v>0</v>
      </c>
      <c r="AO1666">
        <v>0</v>
      </c>
      <c r="AP1666">
        <v>0</v>
      </c>
      <c r="AQ1666">
        <v>41.35</v>
      </c>
      <c r="AR1666">
        <v>0</v>
      </c>
      <c r="AS1666">
        <v>0</v>
      </c>
      <c r="AT1666">
        <v>0</v>
      </c>
      <c r="AU1666">
        <v>0</v>
      </c>
      <c r="AV1666">
        <v>0</v>
      </c>
      <c r="AW1666">
        <v>0</v>
      </c>
      <c r="AX1666">
        <v>0</v>
      </c>
      <c r="AY1666">
        <v>0</v>
      </c>
      <c r="AZ1666">
        <v>0</v>
      </c>
      <c r="BA1666">
        <v>0</v>
      </c>
      <c r="BB1666">
        <v>0</v>
      </c>
      <c r="BC1666">
        <v>0</v>
      </c>
      <c r="BD1666">
        <v>0</v>
      </c>
      <c r="BE1666">
        <v>0</v>
      </c>
      <c r="BF1666">
        <v>0</v>
      </c>
      <c r="BG1666">
        <v>0</v>
      </c>
      <c r="BH1666">
        <v>1</v>
      </c>
      <c r="BI1666">
        <v>11</v>
      </c>
      <c r="BJ1666">
        <v>4.5</v>
      </c>
      <c r="BK1666">
        <v>11</v>
      </c>
      <c r="BL1666">
        <v>140.9</v>
      </c>
      <c r="BM1666">
        <v>21.14</v>
      </c>
      <c r="BN1666">
        <v>162.04</v>
      </c>
      <c r="BO1666">
        <v>162.04</v>
      </c>
      <c r="BQ1666" t="s">
        <v>2263</v>
      </c>
      <c r="BR1666" t="s">
        <v>84</v>
      </c>
      <c r="BS1666" s="3">
        <v>45793</v>
      </c>
      <c r="BT1666" s="4">
        <v>0.39166666666666666</v>
      </c>
      <c r="BU1666" t="s">
        <v>2264</v>
      </c>
      <c r="BV1666" t="s">
        <v>86</v>
      </c>
      <c r="BY1666">
        <v>22620</v>
      </c>
      <c r="CA1666" t="s">
        <v>2265</v>
      </c>
      <c r="CC1666" t="s">
        <v>137</v>
      </c>
      <c r="CD1666" s="5" t="s">
        <v>1786</v>
      </c>
      <c r="CE1666" t="s">
        <v>96</v>
      </c>
      <c r="CF1666" s="3">
        <v>45793</v>
      </c>
      <c r="CI1666">
        <v>1</v>
      </c>
      <c r="CJ1666">
        <v>1</v>
      </c>
      <c r="CK1666">
        <v>41</v>
      </c>
      <c r="CL1666" t="s">
        <v>89</v>
      </c>
    </row>
    <row r="1667" spans="1:90" x14ac:dyDescent="0.3">
      <c r="A1667" t="s">
        <v>72</v>
      </c>
      <c r="B1667" t="s">
        <v>73</v>
      </c>
      <c r="C1667" t="s">
        <v>74</v>
      </c>
      <c r="E1667" t="str">
        <f>"080065390833"</f>
        <v>080065390833</v>
      </c>
      <c r="F1667" s="3">
        <v>45792</v>
      </c>
      <c r="G1667">
        <v>202602</v>
      </c>
      <c r="H1667" t="s">
        <v>75</v>
      </c>
      <c r="I1667" t="s">
        <v>76</v>
      </c>
      <c r="J1667" t="s">
        <v>77</v>
      </c>
      <c r="K1667" t="s">
        <v>78</v>
      </c>
      <c r="L1667" t="s">
        <v>90</v>
      </c>
      <c r="M1667" t="s">
        <v>91</v>
      </c>
      <c r="N1667" t="s">
        <v>543</v>
      </c>
      <c r="O1667" t="s">
        <v>82</v>
      </c>
      <c r="P1667" t="str">
        <f>"4170038604                    "</f>
        <v xml:space="preserve">4170038604                    </v>
      </c>
      <c r="Q1667">
        <v>0</v>
      </c>
      <c r="R1667">
        <v>0</v>
      </c>
      <c r="S1667">
        <v>0</v>
      </c>
      <c r="T1667">
        <v>0</v>
      </c>
      <c r="U1667">
        <v>0</v>
      </c>
      <c r="V1667">
        <v>0</v>
      </c>
      <c r="W1667">
        <v>0</v>
      </c>
      <c r="X1667">
        <v>0</v>
      </c>
      <c r="Y1667">
        <v>0</v>
      </c>
      <c r="Z1667">
        <v>0</v>
      </c>
      <c r="AA1667">
        <v>0</v>
      </c>
      <c r="AB1667">
        <v>0</v>
      </c>
      <c r="AC1667">
        <v>0</v>
      </c>
      <c r="AD1667">
        <v>0</v>
      </c>
      <c r="AE1667">
        <v>0</v>
      </c>
      <c r="AF1667">
        <v>0</v>
      </c>
      <c r="AG1667">
        <v>0</v>
      </c>
      <c r="AH1667">
        <v>0</v>
      </c>
      <c r="AI1667">
        <v>0</v>
      </c>
      <c r="AJ1667">
        <v>0</v>
      </c>
      <c r="AK1667">
        <v>0</v>
      </c>
      <c r="AL1667">
        <v>0</v>
      </c>
      <c r="AM1667">
        <v>0</v>
      </c>
      <c r="AN1667">
        <v>0</v>
      </c>
      <c r="AO1667">
        <v>0</v>
      </c>
      <c r="AP1667">
        <v>0</v>
      </c>
      <c r="AQ1667">
        <v>21.38</v>
      </c>
      <c r="AR1667">
        <v>0</v>
      </c>
      <c r="AS1667">
        <v>0</v>
      </c>
      <c r="AT1667">
        <v>0</v>
      </c>
      <c r="AU1667">
        <v>0</v>
      </c>
      <c r="AV1667">
        <v>0</v>
      </c>
      <c r="AW1667">
        <v>0</v>
      </c>
      <c r="AX1667">
        <v>0</v>
      </c>
      <c r="AY1667">
        <v>0</v>
      </c>
      <c r="AZ1667">
        <v>0</v>
      </c>
      <c r="BA1667">
        <v>0</v>
      </c>
      <c r="BB1667">
        <v>0</v>
      </c>
      <c r="BC1667">
        <v>0</v>
      </c>
      <c r="BD1667">
        <v>0</v>
      </c>
      <c r="BE1667">
        <v>0</v>
      </c>
      <c r="BF1667">
        <v>0</v>
      </c>
      <c r="BG1667">
        <v>0</v>
      </c>
      <c r="BH1667">
        <v>1</v>
      </c>
      <c r="BI1667">
        <v>1</v>
      </c>
      <c r="BJ1667">
        <v>0.2</v>
      </c>
      <c r="BK1667">
        <v>1</v>
      </c>
      <c r="BL1667">
        <v>69.98</v>
      </c>
      <c r="BM1667">
        <v>10.5</v>
      </c>
      <c r="BN1667">
        <v>80.48</v>
      </c>
      <c r="BO1667">
        <v>80.48</v>
      </c>
      <c r="BQ1667" t="s">
        <v>544</v>
      </c>
      <c r="BR1667" t="s">
        <v>84</v>
      </c>
      <c r="BS1667" s="3">
        <v>45793</v>
      </c>
      <c r="BT1667" s="4">
        <v>0.34583333333333333</v>
      </c>
      <c r="BU1667" t="s">
        <v>1764</v>
      </c>
      <c r="BV1667" t="s">
        <v>86</v>
      </c>
      <c r="BY1667">
        <v>1200</v>
      </c>
      <c r="CA1667" t="s">
        <v>283</v>
      </c>
      <c r="CC1667" t="s">
        <v>91</v>
      </c>
      <c r="CD1667">
        <v>6001</v>
      </c>
      <c r="CE1667" t="s">
        <v>88</v>
      </c>
      <c r="CF1667" s="3">
        <v>45793</v>
      </c>
      <c r="CI1667">
        <v>1</v>
      </c>
      <c r="CJ1667">
        <v>1</v>
      </c>
      <c r="CK1667">
        <v>21</v>
      </c>
      <c r="CL1667" t="s">
        <v>89</v>
      </c>
    </row>
    <row r="1668" spans="1:90" x14ac:dyDescent="0.3">
      <c r="A1668" t="s">
        <v>72</v>
      </c>
      <c r="B1668" t="s">
        <v>73</v>
      </c>
      <c r="C1668" t="s">
        <v>74</v>
      </c>
      <c r="E1668" t="str">
        <f>"080065390853"</f>
        <v>080065390853</v>
      </c>
      <c r="F1668" s="3">
        <v>45792</v>
      </c>
      <c r="G1668">
        <v>202602</v>
      </c>
      <c r="H1668" t="s">
        <v>75</v>
      </c>
      <c r="I1668" t="s">
        <v>76</v>
      </c>
      <c r="J1668" t="s">
        <v>77</v>
      </c>
      <c r="K1668" t="s">
        <v>78</v>
      </c>
      <c r="L1668" t="s">
        <v>232</v>
      </c>
      <c r="M1668" t="s">
        <v>233</v>
      </c>
      <c r="N1668" t="s">
        <v>834</v>
      </c>
      <c r="O1668" t="s">
        <v>82</v>
      </c>
      <c r="P1668" t="str">
        <f>"4170038645                    "</f>
        <v xml:space="preserve">4170038645                    </v>
      </c>
      <c r="Q1668">
        <v>0</v>
      </c>
      <c r="R1668">
        <v>0</v>
      </c>
      <c r="S1668">
        <v>0</v>
      </c>
      <c r="T1668">
        <v>0</v>
      </c>
      <c r="U1668">
        <v>0</v>
      </c>
      <c r="V1668">
        <v>0</v>
      </c>
      <c r="W1668">
        <v>0</v>
      </c>
      <c r="X1668">
        <v>0</v>
      </c>
      <c r="Y1668">
        <v>0</v>
      </c>
      <c r="Z1668">
        <v>0</v>
      </c>
      <c r="AA1668">
        <v>0</v>
      </c>
      <c r="AB1668">
        <v>0</v>
      </c>
      <c r="AC1668">
        <v>0</v>
      </c>
      <c r="AD1668">
        <v>0</v>
      </c>
      <c r="AE1668">
        <v>0</v>
      </c>
      <c r="AF1668">
        <v>0</v>
      </c>
      <c r="AG1668">
        <v>0</v>
      </c>
      <c r="AH1668">
        <v>0</v>
      </c>
      <c r="AI1668">
        <v>0</v>
      </c>
      <c r="AJ1668">
        <v>0</v>
      </c>
      <c r="AK1668">
        <v>0</v>
      </c>
      <c r="AL1668">
        <v>0</v>
      </c>
      <c r="AM1668">
        <v>0</v>
      </c>
      <c r="AN1668">
        <v>0</v>
      </c>
      <c r="AO1668">
        <v>0</v>
      </c>
      <c r="AP1668">
        <v>0</v>
      </c>
      <c r="AQ1668">
        <v>21.38</v>
      </c>
      <c r="AR1668">
        <v>0</v>
      </c>
      <c r="AS1668">
        <v>0</v>
      </c>
      <c r="AT1668">
        <v>0</v>
      </c>
      <c r="AU1668">
        <v>0</v>
      </c>
      <c r="AV1668">
        <v>0</v>
      </c>
      <c r="AW1668">
        <v>0</v>
      </c>
      <c r="AX1668">
        <v>0</v>
      </c>
      <c r="AY1668">
        <v>0</v>
      </c>
      <c r="AZ1668">
        <v>0</v>
      </c>
      <c r="BA1668">
        <v>0</v>
      </c>
      <c r="BB1668">
        <v>0</v>
      </c>
      <c r="BC1668">
        <v>0</v>
      </c>
      <c r="BD1668">
        <v>0</v>
      </c>
      <c r="BE1668">
        <v>0</v>
      </c>
      <c r="BF1668">
        <v>0</v>
      </c>
      <c r="BG1668">
        <v>0</v>
      </c>
      <c r="BH1668">
        <v>1</v>
      </c>
      <c r="BI1668">
        <v>1</v>
      </c>
      <c r="BJ1668">
        <v>0.2</v>
      </c>
      <c r="BK1668">
        <v>1</v>
      </c>
      <c r="BL1668">
        <v>69.98</v>
      </c>
      <c r="BM1668">
        <v>10.5</v>
      </c>
      <c r="BN1668">
        <v>80.48</v>
      </c>
      <c r="BO1668">
        <v>80.48</v>
      </c>
      <c r="BQ1668" t="s">
        <v>835</v>
      </c>
      <c r="BR1668" t="s">
        <v>84</v>
      </c>
      <c r="BS1668" s="3">
        <v>45793</v>
      </c>
      <c r="BT1668" s="4">
        <v>0.35347222222222224</v>
      </c>
      <c r="BU1668" t="s">
        <v>1302</v>
      </c>
      <c r="BV1668" t="s">
        <v>86</v>
      </c>
      <c r="BY1668">
        <v>1200</v>
      </c>
      <c r="CA1668" t="s">
        <v>258</v>
      </c>
      <c r="CC1668" t="s">
        <v>233</v>
      </c>
      <c r="CD1668" s="5" t="s">
        <v>238</v>
      </c>
      <c r="CE1668" t="s">
        <v>88</v>
      </c>
      <c r="CF1668" s="3">
        <v>45793</v>
      </c>
      <c r="CI1668">
        <v>1</v>
      </c>
      <c r="CJ1668">
        <v>1</v>
      </c>
      <c r="CK1668">
        <v>21</v>
      </c>
      <c r="CL1668" t="s">
        <v>89</v>
      </c>
    </row>
    <row r="1669" spans="1:90" x14ac:dyDescent="0.3">
      <c r="A1669" t="s">
        <v>72</v>
      </c>
      <c r="B1669" t="s">
        <v>73</v>
      </c>
      <c r="C1669" t="s">
        <v>74</v>
      </c>
      <c r="E1669" t="str">
        <f>"080065390869"</f>
        <v>080065390869</v>
      </c>
      <c r="F1669" s="3">
        <v>45792</v>
      </c>
      <c r="G1669">
        <v>202602</v>
      </c>
      <c r="H1669" t="s">
        <v>75</v>
      </c>
      <c r="I1669" t="s">
        <v>76</v>
      </c>
      <c r="J1669" t="s">
        <v>77</v>
      </c>
      <c r="K1669" t="s">
        <v>78</v>
      </c>
      <c r="L1669" t="s">
        <v>75</v>
      </c>
      <c r="M1669" t="s">
        <v>76</v>
      </c>
      <c r="N1669" t="s">
        <v>601</v>
      </c>
      <c r="O1669" t="s">
        <v>82</v>
      </c>
      <c r="P1669" t="str">
        <f>"4170038801                    "</f>
        <v xml:space="preserve">4170038801                    </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0</v>
      </c>
      <c r="AL1669">
        <v>0</v>
      </c>
      <c r="AM1669">
        <v>0</v>
      </c>
      <c r="AN1669">
        <v>0</v>
      </c>
      <c r="AO1669">
        <v>0</v>
      </c>
      <c r="AP1669">
        <v>0</v>
      </c>
      <c r="AQ1669">
        <v>16.7</v>
      </c>
      <c r="AR1669">
        <v>0</v>
      </c>
      <c r="AS1669">
        <v>0</v>
      </c>
      <c r="AT1669">
        <v>0</v>
      </c>
      <c r="AU1669">
        <v>0</v>
      </c>
      <c r="AV1669">
        <v>0</v>
      </c>
      <c r="AW1669">
        <v>0</v>
      </c>
      <c r="AX1669">
        <v>0</v>
      </c>
      <c r="AY1669">
        <v>0</v>
      </c>
      <c r="AZ1669">
        <v>0</v>
      </c>
      <c r="BA1669">
        <v>0</v>
      </c>
      <c r="BB1669">
        <v>0</v>
      </c>
      <c r="BC1669">
        <v>0</v>
      </c>
      <c r="BD1669">
        <v>0</v>
      </c>
      <c r="BE1669">
        <v>0</v>
      </c>
      <c r="BF1669">
        <v>0</v>
      </c>
      <c r="BG1669">
        <v>0</v>
      </c>
      <c r="BH1669">
        <v>1</v>
      </c>
      <c r="BI1669">
        <v>1</v>
      </c>
      <c r="BJ1669">
        <v>0.2</v>
      </c>
      <c r="BK1669">
        <v>1</v>
      </c>
      <c r="BL1669">
        <v>54.66</v>
      </c>
      <c r="BM1669">
        <v>8.1999999999999993</v>
      </c>
      <c r="BN1669">
        <v>62.86</v>
      </c>
      <c r="BO1669">
        <v>62.86</v>
      </c>
      <c r="BQ1669" t="s">
        <v>603</v>
      </c>
      <c r="BR1669" t="s">
        <v>84</v>
      </c>
      <c r="BS1669" s="3">
        <v>45799</v>
      </c>
      <c r="BT1669" s="4">
        <v>0.41666666666666669</v>
      </c>
      <c r="BU1669" t="s">
        <v>155</v>
      </c>
      <c r="BV1669" t="s">
        <v>89</v>
      </c>
      <c r="BW1669" t="s">
        <v>148</v>
      </c>
      <c r="BX1669" t="s">
        <v>2266</v>
      </c>
      <c r="BY1669">
        <v>1200</v>
      </c>
      <c r="CC1669" t="s">
        <v>76</v>
      </c>
      <c r="CD1669">
        <v>1645</v>
      </c>
      <c r="CE1669" t="s">
        <v>88</v>
      </c>
      <c r="CF1669" s="3">
        <v>45799</v>
      </c>
      <c r="CI1669">
        <v>1</v>
      </c>
      <c r="CJ1669">
        <v>5</v>
      </c>
      <c r="CK1669">
        <v>22</v>
      </c>
      <c r="CL1669" t="s">
        <v>89</v>
      </c>
    </row>
    <row r="1670" spans="1:90" x14ac:dyDescent="0.3">
      <c r="A1670" t="s">
        <v>72</v>
      </c>
      <c r="B1670" t="s">
        <v>73</v>
      </c>
      <c r="C1670" t="s">
        <v>74</v>
      </c>
      <c r="E1670" t="str">
        <f>"080065390875"</f>
        <v>080065390875</v>
      </c>
      <c r="F1670" s="3">
        <v>45792</v>
      </c>
      <c r="G1670">
        <v>202602</v>
      </c>
      <c r="H1670" t="s">
        <v>75</v>
      </c>
      <c r="I1670" t="s">
        <v>76</v>
      </c>
      <c r="J1670" t="s">
        <v>77</v>
      </c>
      <c r="K1670" t="s">
        <v>78</v>
      </c>
      <c r="L1670" t="s">
        <v>130</v>
      </c>
      <c r="M1670" t="s">
        <v>131</v>
      </c>
      <c r="N1670" t="s">
        <v>1649</v>
      </c>
      <c r="O1670" t="s">
        <v>82</v>
      </c>
      <c r="P1670" t="str">
        <f>"4170038811                    "</f>
        <v xml:space="preserve">4170038811                    </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0</v>
      </c>
      <c r="AK1670">
        <v>0</v>
      </c>
      <c r="AL1670">
        <v>0</v>
      </c>
      <c r="AM1670">
        <v>0</v>
      </c>
      <c r="AN1670">
        <v>0</v>
      </c>
      <c r="AO1670">
        <v>0</v>
      </c>
      <c r="AP1670">
        <v>0</v>
      </c>
      <c r="AQ1670">
        <v>21.38</v>
      </c>
      <c r="AR1670">
        <v>0</v>
      </c>
      <c r="AS1670">
        <v>0</v>
      </c>
      <c r="AT1670">
        <v>0</v>
      </c>
      <c r="AU1670">
        <v>0</v>
      </c>
      <c r="AV1670">
        <v>0</v>
      </c>
      <c r="AW1670">
        <v>0</v>
      </c>
      <c r="AX1670">
        <v>0</v>
      </c>
      <c r="AY1670">
        <v>0</v>
      </c>
      <c r="AZ1670">
        <v>0</v>
      </c>
      <c r="BA1670">
        <v>0</v>
      </c>
      <c r="BB1670">
        <v>0</v>
      </c>
      <c r="BC1670">
        <v>0</v>
      </c>
      <c r="BD1670">
        <v>0</v>
      </c>
      <c r="BE1670">
        <v>0</v>
      </c>
      <c r="BF1670">
        <v>0</v>
      </c>
      <c r="BG1670">
        <v>0</v>
      </c>
      <c r="BH1670">
        <v>1</v>
      </c>
      <c r="BI1670">
        <v>1</v>
      </c>
      <c r="BJ1670">
        <v>0.9</v>
      </c>
      <c r="BK1670">
        <v>1</v>
      </c>
      <c r="BL1670">
        <v>69.98</v>
      </c>
      <c r="BM1670">
        <v>10.5</v>
      </c>
      <c r="BN1670">
        <v>80.48</v>
      </c>
      <c r="BO1670">
        <v>80.48</v>
      </c>
      <c r="BQ1670" t="s">
        <v>1650</v>
      </c>
      <c r="BR1670" t="s">
        <v>84</v>
      </c>
      <c r="BS1670" s="3">
        <v>45793</v>
      </c>
      <c r="BT1670" s="4">
        <v>0.38333333333333336</v>
      </c>
      <c r="BU1670" t="s">
        <v>1651</v>
      </c>
      <c r="BV1670" t="s">
        <v>86</v>
      </c>
      <c r="BY1670">
        <v>4275</v>
      </c>
      <c r="CA1670" t="s">
        <v>784</v>
      </c>
      <c r="CC1670" t="s">
        <v>131</v>
      </c>
      <c r="CD1670">
        <v>7405</v>
      </c>
      <c r="CE1670" t="s">
        <v>116</v>
      </c>
      <c r="CF1670" s="3">
        <v>45796</v>
      </c>
      <c r="CI1670">
        <v>1</v>
      </c>
      <c r="CJ1670">
        <v>1</v>
      </c>
      <c r="CK1670">
        <v>21</v>
      </c>
      <c r="CL1670" t="s">
        <v>89</v>
      </c>
    </row>
    <row r="1671" spans="1:90" x14ac:dyDescent="0.3">
      <c r="A1671" t="s">
        <v>72</v>
      </c>
      <c r="B1671" t="s">
        <v>73</v>
      </c>
      <c r="C1671" t="s">
        <v>74</v>
      </c>
      <c r="E1671" t="str">
        <f>"080065390880"</f>
        <v>080065390880</v>
      </c>
      <c r="F1671" s="3">
        <v>45792</v>
      </c>
      <c r="G1671">
        <v>202602</v>
      </c>
      <c r="H1671" t="s">
        <v>75</v>
      </c>
      <c r="I1671" t="s">
        <v>76</v>
      </c>
      <c r="J1671" t="s">
        <v>77</v>
      </c>
      <c r="K1671" t="s">
        <v>78</v>
      </c>
      <c r="L1671" t="s">
        <v>844</v>
      </c>
      <c r="M1671" t="s">
        <v>845</v>
      </c>
      <c r="N1671" t="s">
        <v>846</v>
      </c>
      <c r="O1671" t="s">
        <v>82</v>
      </c>
      <c r="P1671" t="str">
        <f>"4170038725                    "</f>
        <v xml:space="preserve">4170038725                    </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0</v>
      </c>
      <c r="AL1671">
        <v>0</v>
      </c>
      <c r="AM1671">
        <v>0</v>
      </c>
      <c r="AN1671">
        <v>0</v>
      </c>
      <c r="AO1671">
        <v>0</v>
      </c>
      <c r="AP1671">
        <v>0</v>
      </c>
      <c r="AQ1671">
        <v>21.38</v>
      </c>
      <c r="AR1671">
        <v>0</v>
      </c>
      <c r="AS1671">
        <v>0</v>
      </c>
      <c r="AT1671">
        <v>0</v>
      </c>
      <c r="AU1671">
        <v>0</v>
      </c>
      <c r="AV1671">
        <v>0</v>
      </c>
      <c r="AW1671">
        <v>0</v>
      </c>
      <c r="AX1671">
        <v>0</v>
      </c>
      <c r="AY1671">
        <v>0</v>
      </c>
      <c r="AZ1671">
        <v>0</v>
      </c>
      <c r="BA1671">
        <v>0</v>
      </c>
      <c r="BB1671">
        <v>0</v>
      </c>
      <c r="BC1671">
        <v>0</v>
      </c>
      <c r="BD1671">
        <v>0</v>
      </c>
      <c r="BE1671">
        <v>0</v>
      </c>
      <c r="BF1671">
        <v>0</v>
      </c>
      <c r="BG1671">
        <v>0</v>
      </c>
      <c r="BH1671">
        <v>1</v>
      </c>
      <c r="BI1671">
        <v>1</v>
      </c>
      <c r="BJ1671">
        <v>0.2</v>
      </c>
      <c r="BK1671">
        <v>1</v>
      </c>
      <c r="BL1671">
        <v>69.98</v>
      </c>
      <c r="BM1671">
        <v>10.5</v>
      </c>
      <c r="BN1671">
        <v>80.48</v>
      </c>
      <c r="BO1671">
        <v>80.48</v>
      </c>
      <c r="BQ1671" t="s">
        <v>847</v>
      </c>
      <c r="BR1671" t="s">
        <v>84</v>
      </c>
      <c r="BS1671" s="3">
        <v>45793</v>
      </c>
      <c r="BT1671" s="4">
        <v>0.37430555555555556</v>
      </c>
      <c r="BU1671" t="s">
        <v>848</v>
      </c>
      <c r="BV1671" t="s">
        <v>86</v>
      </c>
      <c r="BY1671">
        <v>1200</v>
      </c>
      <c r="CA1671" t="s">
        <v>849</v>
      </c>
      <c r="CC1671" t="s">
        <v>845</v>
      </c>
      <c r="CD1671">
        <v>7600</v>
      </c>
      <c r="CE1671" t="s">
        <v>88</v>
      </c>
      <c r="CF1671" s="3">
        <v>45796</v>
      </c>
      <c r="CI1671">
        <v>1</v>
      </c>
      <c r="CJ1671">
        <v>1</v>
      </c>
      <c r="CK1671">
        <v>21</v>
      </c>
      <c r="CL1671" t="s">
        <v>89</v>
      </c>
    </row>
    <row r="1672" spans="1:90" x14ac:dyDescent="0.3">
      <c r="A1672" t="s">
        <v>72</v>
      </c>
      <c r="B1672" t="s">
        <v>73</v>
      </c>
      <c r="C1672" t="s">
        <v>74</v>
      </c>
      <c r="E1672" t="str">
        <f>"080065390897"</f>
        <v>080065390897</v>
      </c>
      <c r="F1672" s="3">
        <v>45792</v>
      </c>
      <c r="G1672">
        <v>202602</v>
      </c>
      <c r="H1672" t="s">
        <v>75</v>
      </c>
      <c r="I1672" t="s">
        <v>76</v>
      </c>
      <c r="J1672" t="s">
        <v>77</v>
      </c>
      <c r="K1672" t="s">
        <v>78</v>
      </c>
      <c r="L1672" t="s">
        <v>1099</v>
      </c>
      <c r="M1672" t="s">
        <v>1100</v>
      </c>
      <c r="N1672" t="s">
        <v>1430</v>
      </c>
      <c r="O1672" t="s">
        <v>82</v>
      </c>
      <c r="P1672" t="str">
        <f>"4170038787                    "</f>
        <v xml:space="preserve">4170038787                    </v>
      </c>
      <c r="Q1672">
        <v>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0</v>
      </c>
      <c r="AL1672">
        <v>0</v>
      </c>
      <c r="AM1672">
        <v>0</v>
      </c>
      <c r="AN1672">
        <v>0</v>
      </c>
      <c r="AO1672">
        <v>0</v>
      </c>
      <c r="AP1672">
        <v>0</v>
      </c>
      <c r="AQ1672">
        <v>41.43</v>
      </c>
      <c r="AR1672">
        <v>0</v>
      </c>
      <c r="AS1672">
        <v>0</v>
      </c>
      <c r="AT1672">
        <v>0</v>
      </c>
      <c r="AU1672">
        <v>0</v>
      </c>
      <c r="AV1672">
        <v>0</v>
      </c>
      <c r="AW1672">
        <v>0</v>
      </c>
      <c r="AX1672">
        <v>0</v>
      </c>
      <c r="AY1672">
        <v>0</v>
      </c>
      <c r="AZ1672">
        <v>0</v>
      </c>
      <c r="BA1672">
        <v>0</v>
      </c>
      <c r="BB1672">
        <v>0</v>
      </c>
      <c r="BC1672">
        <v>0</v>
      </c>
      <c r="BD1672">
        <v>0</v>
      </c>
      <c r="BE1672">
        <v>0</v>
      </c>
      <c r="BF1672">
        <v>0</v>
      </c>
      <c r="BG1672">
        <v>0</v>
      </c>
      <c r="BH1672">
        <v>1</v>
      </c>
      <c r="BI1672">
        <v>1</v>
      </c>
      <c r="BJ1672">
        <v>1.1000000000000001</v>
      </c>
      <c r="BK1672">
        <v>1.5</v>
      </c>
      <c r="BL1672">
        <v>135.59</v>
      </c>
      <c r="BM1672">
        <v>20.34</v>
      </c>
      <c r="BN1672">
        <v>155.93</v>
      </c>
      <c r="BO1672">
        <v>155.93</v>
      </c>
      <c r="BQ1672" t="s">
        <v>1431</v>
      </c>
      <c r="BR1672" t="s">
        <v>84</v>
      </c>
      <c r="BS1672" s="3">
        <v>45793</v>
      </c>
      <c r="BT1672" s="4">
        <v>0.43055555555555558</v>
      </c>
      <c r="BU1672" t="s">
        <v>2084</v>
      </c>
      <c r="BV1672" t="s">
        <v>86</v>
      </c>
      <c r="BY1672">
        <v>5320</v>
      </c>
      <c r="CA1672" t="s">
        <v>2085</v>
      </c>
      <c r="CC1672" t="s">
        <v>1100</v>
      </c>
      <c r="CD1672" s="5" t="s">
        <v>1291</v>
      </c>
      <c r="CE1672" t="s">
        <v>116</v>
      </c>
      <c r="CF1672" s="3">
        <v>45796</v>
      </c>
      <c r="CI1672">
        <v>1</v>
      </c>
      <c r="CJ1672">
        <v>1</v>
      </c>
      <c r="CK1672">
        <v>23</v>
      </c>
      <c r="CL1672" t="s">
        <v>89</v>
      </c>
    </row>
    <row r="1673" spans="1:90" x14ac:dyDescent="0.3">
      <c r="A1673" t="s">
        <v>72</v>
      </c>
      <c r="B1673" t="s">
        <v>73</v>
      </c>
      <c r="C1673" t="s">
        <v>74</v>
      </c>
      <c r="E1673" t="str">
        <f>"080065390902"</f>
        <v>080065390902</v>
      </c>
      <c r="F1673" s="3">
        <v>45792</v>
      </c>
      <c r="G1673">
        <v>202602</v>
      </c>
      <c r="H1673" t="s">
        <v>75</v>
      </c>
      <c r="I1673" t="s">
        <v>76</v>
      </c>
      <c r="J1673" t="s">
        <v>77</v>
      </c>
      <c r="K1673" t="s">
        <v>78</v>
      </c>
      <c r="L1673" t="s">
        <v>136</v>
      </c>
      <c r="M1673" t="s">
        <v>137</v>
      </c>
      <c r="N1673" t="s">
        <v>1514</v>
      </c>
      <c r="O1673" t="s">
        <v>82</v>
      </c>
      <c r="P1673" t="str">
        <f>"4170038743                    "</f>
        <v xml:space="preserve">4170038743                    </v>
      </c>
      <c r="Q1673">
        <v>0</v>
      </c>
      <c r="R1673">
        <v>0</v>
      </c>
      <c r="S1673">
        <v>0</v>
      </c>
      <c r="T1673">
        <v>0</v>
      </c>
      <c r="U1673">
        <v>0</v>
      </c>
      <c r="V1673">
        <v>0</v>
      </c>
      <c r="W1673">
        <v>0</v>
      </c>
      <c r="X1673">
        <v>0</v>
      </c>
      <c r="Y1673">
        <v>0</v>
      </c>
      <c r="Z1673">
        <v>0</v>
      </c>
      <c r="AA1673">
        <v>0</v>
      </c>
      <c r="AB1673">
        <v>0</v>
      </c>
      <c r="AC1673">
        <v>0</v>
      </c>
      <c r="AD1673">
        <v>0</v>
      </c>
      <c r="AE1673">
        <v>0</v>
      </c>
      <c r="AF1673">
        <v>0</v>
      </c>
      <c r="AG1673">
        <v>0</v>
      </c>
      <c r="AH1673">
        <v>0</v>
      </c>
      <c r="AI1673">
        <v>0</v>
      </c>
      <c r="AJ1673">
        <v>0</v>
      </c>
      <c r="AK1673">
        <v>0</v>
      </c>
      <c r="AL1673">
        <v>0</v>
      </c>
      <c r="AM1673">
        <v>0</v>
      </c>
      <c r="AN1673">
        <v>0</v>
      </c>
      <c r="AO1673">
        <v>0</v>
      </c>
      <c r="AP1673">
        <v>0</v>
      </c>
      <c r="AQ1673">
        <v>21.38</v>
      </c>
      <c r="AR1673">
        <v>0</v>
      </c>
      <c r="AS1673">
        <v>0</v>
      </c>
      <c r="AT1673">
        <v>0</v>
      </c>
      <c r="AU1673">
        <v>0</v>
      </c>
      <c r="AV1673">
        <v>0</v>
      </c>
      <c r="AW1673">
        <v>0</v>
      </c>
      <c r="AX1673">
        <v>0</v>
      </c>
      <c r="AY1673">
        <v>0</v>
      </c>
      <c r="AZ1673">
        <v>0</v>
      </c>
      <c r="BA1673">
        <v>0</v>
      </c>
      <c r="BB1673">
        <v>0</v>
      </c>
      <c r="BC1673">
        <v>0</v>
      </c>
      <c r="BD1673">
        <v>0</v>
      </c>
      <c r="BE1673">
        <v>0</v>
      </c>
      <c r="BF1673">
        <v>0</v>
      </c>
      <c r="BG1673">
        <v>0</v>
      </c>
      <c r="BH1673">
        <v>1</v>
      </c>
      <c r="BI1673">
        <v>1</v>
      </c>
      <c r="BJ1673">
        <v>0.2</v>
      </c>
      <c r="BK1673">
        <v>1</v>
      </c>
      <c r="BL1673">
        <v>69.98</v>
      </c>
      <c r="BM1673">
        <v>10.5</v>
      </c>
      <c r="BN1673">
        <v>80.48</v>
      </c>
      <c r="BO1673">
        <v>80.48</v>
      </c>
      <c r="BQ1673" t="s">
        <v>1515</v>
      </c>
      <c r="BR1673" t="s">
        <v>84</v>
      </c>
      <c r="BS1673" s="3">
        <v>45793</v>
      </c>
      <c r="BT1673" s="4">
        <v>0.37569444444444444</v>
      </c>
      <c r="BU1673" t="s">
        <v>542</v>
      </c>
      <c r="BV1673" t="s">
        <v>86</v>
      </c>
      <c r="BY1673">
        <v>1200</v>
      </c>
      <c r="CA1673" t="s">
        <v>141</v>
      </c>
      <c r="CC1673" t="s">
        <v>137</v>
      </c>
      <c r="CD1673" s="5" t="s">
        <v>142</v>
      </c>
      <c r="CE1673" t="s">
        <v>88</v>
      </c>
      <c r="CF1673" s="3">
        <v>45793</v>
      </c>
      <c r="CI1673">
        <v>1</v>
      </c>
      <c r="CJ1673">
        <v>1</v>
      </c>
      <c r="CK1673">
        <v>21</v>
      </c>
      <c r="CL1673" t="s">
        <v>89</v>
      </c>
    </row>
    <row r="1674" spans="1:90" x14ac:dyDescent="0.3">
      <c r="A1674" t="s">
        <v>72</v>
      </c>
      <c r="B1674" t="s">
        <v>73</v>
      </c>
      <c r="C1674" t="s">
        <v>74</v>
      </c>
      <c r="E1674" t="str">
        <f>"080065390930"</f>
        <v>080065390930</v>
      </c>
      <c r="F1674" s="3">
        <v>45792</v>
      </c>
      <c r="G1674">
        <v>202602</v>
      </c>
      <c r="H1674" t="s">
        <v>75</v>
      </c>
      <c r="I1674" t="s">
        <v>76</v>
      </c>
      <c r="J1674" t="s">
        <v>77</v>
      </c>
      <c r="K1674" t="s">
        <v>78</v>
      </c>
      <c r="L1674" t="s">
        <v>117</v>
      </c>
      <c r="M1674" t="s">
        <v>118</v>
      </c>
      <c r="N1674" t="s">
        <v>532</v>
      </c>
      <c r="O1674" t="s">
        <v>300</v>
      </c>
      <c r="P1674" t="str">
        <f>"4170038705                    "</f>
        <v xml:space="preserve">4170038705                    </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c r="AJ1674">
        <v>0</v>
      </c>
      <c r="AK1674">
        <v>0</v>
      </c>
      <c r="AL1674">
        <v>0</v>
      </c>
      <c r="AM1674">
        <v>0</v>
      </c>
      <c r="AN1674">
        <v>0</v>
      </c>
      <c r="AO1674">
        <v>0</v>
      </c>
      <c r="AP1674">
        <v>0</v>
      </c>
      <c r="AQ1674">
        <v>31.91</v>
      </c>
      <c r="AR1674">
        <v>0</v>
      </c>
      <c r="AS1674">
        <v>0</v>
      </c>
      <c r="AT1674">
        <v>0</v>
      </c>
      <c r="AU1674">
        <v>0</v>
      </c>
      <c r="AV1674">
        <v>0</v>
      </c>
      <c r="AW1674">
        <v>0</v>
      </c>
      <c r="AX1674">
        <v>0</v>
      </c>
      <c r="AY1674">
        <v>0</v>
      </c>
      <c r="AZ1674">
        <v>0</v>
      </c>
      <c r="BA1674">
        <v>0</v>
      </c>
      <c r="BB1674">
        <v>0</v>
      </c>
      <c r="BC1674">
        <v>0</v>
      </c>
      <c r="BD1674">
        <v>0</v>
      </c>
      <c r="BE1674">
        <v>0</v>
      </c>
      <c r="BF1674">
        <v>0</v>
      </c>
      <c r="BG1674">
        <v>0</v>
      </c>
      <c r="BH1674">
        <v>1</v>
      </c>
      <c r="BI1674">
        <v>2</v>
      </c>
      <c r="BJ1674">
        <v>1.3</v>
      </c>
      <c r="BK1674">
        <v>2</v>
      </c>
      <c r="BL1674">
        <v>110</v>
      </c>
      <c r="BM1674">
        <v>16.5</v>
      </c>
      <c r="BN1674">
        <v>126.5</v>
      </c>
      <c r="BO1674">
        <v>126.5</v>
      </c>
      <c r="BQ1674" t="s">
        <v>533</v>
      </c>
      <c r="BR1674" t="s">
        <v>84</v>
      </c>
      <c r="BS1674" s="3">
        <v>45793</v>
      </c>
      <c r="BT1674" s="4">
        <v>0.36666666666666664</v>
      </c>
      <c r="BU1674" t="s">
        <v>1316</v>
      </c>
      <c r="BV1674" t="s">
        <v>86</v>
      </c>
      <c r="BY1674">
        <v>6555</v>
      </c>
      <c r="CA1674" t="s">
        <v>535</v>
      </c>
      <c r="CC1674" t="s">
        <v>118</v>
      </c>
      <c r="CD1674">
        <v>2094</v>
      </c>
      <c r="CE1674" t="s">
        <v>1047</v>
      </c>
      <c r="CF1674" s="3">
        <v>45793</v>
      </c>
      <c r="CI1674">
        <v>1</v>
      </c>
      <c r="CJ1674">
        <v>1</v>
      </c>
      <c r="CK1674">
        <v>42</v>
      </c>
      <c r="CL1674" t="s">
        <v>89</v>
      </c>
    </row>
    <row r="1675" spans="1:90" x14ac:dyDescent="0.3">
      <c r="A1675" t="s">
        <v>72</v>
      </c>
      <c r="B1675" t="s">
        <v>73</v>
      </c>
      <c r="C1675" t="s">
        <v>74</v>
      </c>
      <c r="E1675" t="str">
        <f>"080065391013"</f>
        <v>080065391013</v>
      </c>
      <c r="F1675" s="3">
        <v>45792</v>
      </c>
      <c r="G1675">
        <v>202602</v>
      </c>
      <c r="H1675" t="s">
        <v>75</v>
      </c>
      <c r="I1675" t="s">
        <v>76</v>
      </c>
      <c r="J1675" t="s">
        <v>77</v>
      </c>
      <c r="K1675" t="s">
        <v>78</v>
      </c>
      <c r="L1675" t="s">
        <v>117</v>
      </c>
      <c r="M1675" t="s">
        <v>118</v>
      </c>
      <c r="N1675" t="s">
        <v>2267</v>
      </c>
      <c r="O1675" t="s">
        <v>82</v>
      </c>
      <c r="P1675" t="str">
        <f>"4170038606                    "</f>
        <v xml:space="preserve">4170038606                    </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0</v>
      </c>
      <c r="AL1675">
        <v>0</v>
      </c>
      <c r="AM1675">
        <v>0</v>
      </c>
      <c r="AN1675">
        <v>0</v>
      </c>
      <c r="AO1675">
        <v>0</v>
      </c>
      <c r="AP1675">
        <v>0</v>
      </c>
      <c r="AQ1675">
        <v>16.7</v>
      </c>
      <c r="AR1675">
        <v>0</v>
      </c>
      <c r="AS1675">
        <v>0</v>
      </c>
      <c r="AT1675">
        <v>0</v>
      </c>
      <c r="AU1675">
        <v>0</v>
      </c>
      <c r="AV1675">
        <v>0</v>
      </c>
      <c r="AW1675">
        <v>0</v>
      </c>
      <c r="AX1675">
        <v>0</v>
      </c>
      <c r="AY1675">
        <v>0</v>
      </c>
      <c r="AZ1675">
        <v>0</v>
      </c>
      <c r="BA1675">
        <v>0</v>
      </c>
      <c r="BB1675">
        <v>0</v>
      </c>
      <c r="BC1675">
        <v>0</v>
      </c>
      <c r="BD1675">
        <v>0</v>
      </c>
      <c r="BE1675">
        <v>0</v>
      </c>
      <c r="BF1675">
        <v>0</v>
      </c>
      <c r="BG1675">
        <v>0</v>
      </c>
      <c r="BH1675">
        <v>1</v>
      </c>
      <c r="BI1675">
        <v>5</v>
      </c>
      <c r="BJ1675">
        <v>3.4</v>
      </c>
      <c r="BK1675">
        <v>5</v>
      </c>
      <c r="BL1675">
        <v>54.66</v>
      </c>
      <c r="BM1675">
        <v>8.1999999999999993</v>
      </c>
      <c r="BN1675">
        <v>62.86</v>
      </c>
      <c r="BO1675">
        <v>62.86</v>
      </c>
      <c r="BQ1675" t="s">
        <v>2268</v>
      </c>
      <c r="BR1675" t="s">
        <v>84</v>
      </c>
      <c r="BS1675" s="3">
        <v>45793</v>
      </c>
      <c r="BT1675" s="4">
        <v>0.35416666666666669</v>
      </c>
      <c r="BU1675" t="s">
        <v>2269</v>
      </c>
      <c r="BV1675" t="s">
        <v>86</v>
      </c>
      <c r="BY1675">
        <v>16965</v>
      </c>
      <c r="CA1675" t="s">
        <v>1596</v>
      </c>
      <c r="CC1675" t="s">
        <v>118</v>
      </c>
      <c r="CD1675">
        <v>2042</v>
      </c>
      <c r="CE1675" t="s">
        <v>96</v>
      </c>
      <c r="CF1675" s="3">
        <v>45793</v>
      </c>
      <c r="CI1675">
        <v>1</v>
      </c>
      <c r="CJ1675">
        <v>1</v>
      </c>
      <c r="CK1675">
        <v>22</v>
      </c>
      <c r="CL1675" t="s">
        <v>89</v>
      </c>
    </row>
    <row r="1676" spans="1:90" x14ac:dyDescent="0.3">
      <c r="A1676" t="s">
        <v>72</v>
      </c>
      <c r="B1676" t="s">
        <v>73</v>
      </c>
      <c r="C1676" t="s">
        <v>74</v>
      </c>
      <c r="E1676" t="str">
        <f>"080065391045"</f>
        <v>080065391045</v>
      </c>
      <c r="F1676" s="3">
        <v>45792</v>
      </c>
      <c r="G1676">
        <v>202602</v>
      </c>
      <c r="H1676" t="s">
        <v>75</v>
      </c>
      <c r="I1676" t="s">
        <v>76</v>
      </c>
      <c r="J1676" t="s">
        <v>77</v>
      </c>
      <c r="K1676" t="s">
        <v>78</v>
      </c>
      <c r="L1676" t="s">
        <v>672</v>
      </c>
      <c r="M1676" t="s">
        <v>673</v>
      </c>
      <c r="N1676" t="s">
        <v>674</v>
      </c>
      <c r="O1676" t="s">
        <v>82</v>
      </c>
      <c r="P1676" t="str">
        <f>"4170038611                    "</f>
        <v xml:space="preserve">4170038611                    </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0</v>
      </c>
      <c r="AL1676">
        <v>0</v>
      </c>
      <c r="AM1676">
        <v>0</v>
      </c>
      <c r="AN1676">
        <v>0</v>
      </c>
      <c r="AO1676">
        <v>0</v>
      </c>
      <c r="AP1676">
        <v>0</v>
      </c>
      <c r="AQ1676">
        <v>97.56</v>
      </c>
      <c r="AR1676">
        <v>0</v>
      </c>
      <c r="AS1676">
        <v>0</v>
      </c>
      <c r="AT1676">
        <v>0</v>
      </c>
      <c r="AU1676">
        <v>0</v>
      </c>
      <c r="AV1676">
        <v>0</v>
      </c>
      <c r="AW1676">
        <v>0</v>
      </c>
      <c r="AX1676">
        <v>0</v>
      </c>
      <c r="AY1676">
        <v>0</v>
      </c>
      <c r="AZ1676">
        <v>0</v>
      </c>
      <c r="BA1676">
        <v>0</v>
      </c>
      <c r="BB1676">
        <v>0</v>
      </c>
      <c r="BC1676">
        <v>0</v>
      </c>
      <c r="BD1676">
        <v>0</v>
      </c>
      <c r="BE1676">
        <v>0</v>
      </c>
      <c r="BF1676">
        <v>0</v>
      </c>
      <c r="BG1676">
        <v>0</v>
      </c>
      <c r="BH1676">
        <v>1</v>
      </c>
      <c r="BI1676">
        <v>5</v>
      </c>
      <c r="BJ1676">
        <v>1.8</v>
      </c>
      <c r="BK1676">
        <v>5</v>
      </c>
      <c r="BL1676">
        <v>319.27999999999997</v>
      </c>
      <c r="BM1676">
        <v>47.89</v>
      </c>
      <c r="BN1676">
        <v>367.17</v>
      </c>
      <c r="BO1676">
        <v>367.17</v>
      </c>
      <c r="BQ1676" t="s">
        <v>675</v>
      </c>
      <c r="BR1676" t="s">
        <v>84</v>
      </c>
      <c r="BS1676" s="3">
        <v>45793</v>
      </c>
      <c r="BT1676" s="4">
        <v>0.5131944444444444</v>
      </c>
      <c r="BU1676" t="s">
        <v>2210</v>
      </c>
      <c r="BV1676" t="s">
        <v>86</v>
      </c>
      <c r="BY1676">
        <v>8960</v>
      </c>
      <c r="CA1676" t="s">
        <v>2211</v>
      </c>
      <c r="CC1676" t="s">
        <v>673</v>
      </c>
      <c r="CD1676">
        <v>2531</v>
      </c>
      <c r="CE1676" t="s">
        <v>116</v>
      </c>
      <c r="CF1676" s="3">
        <v>45796</v>
      </c>
      <c r="CI1676">
        <v>1</v>
      </c>
      <c r="CJ1676">
        <v>1</v>
      </c>
      <c r="CK1676">
        <v>23</v>
      </c>
      <c r="CL1676" t="s">
        <v>89</v>
      </c>
    </row>
    <row r="1677" spans="1:90" x14ac:dyDescent="0.3">
      <c r="A1677" t="s">
        <v>72</v>
      </c>
      <c r="B1677" t="s">
        <v>73</v>
      </c>
      <c r="C1677" t="s">
        <v>74</v>
      </c>
      <c r="E1677" t="str">
        <f>"080011515851"</f>
        <v>080011515851</v>
      </c>
      <c r="F1677" s="3">
        <v>45792</v>
      </c>
      <c r="G1677">
        <v>202602</v>
      </c>
      <c r="H1677" t="s">
        <v>232</v>
      </c>
      <c r="I1677" t="s">
        <v>233</v>
      </c>
      <c r="J1677" t="s">
        <v>2270</v>
      </c>
      <c r="K1677" t="s">
        <v>78</v>
      </c>
      <c r="L1677" t="s">
        <v>75</v>
      </c>
      <c r="M1677" t="s">
        <v>76</v>
      </c>
      <c r="N1677" t="s">
        <v>1035</v>
      </c>
      <c r="O1677" t="s">
        <v>82</v>
      </c>
      <c r="P1677" t="str">
        <f>"ZA1001377697                  "</f>
        <v xml:space="preserve">ZA1001377697                  </v>
      </c>
      <c r="Q1677">
        <v>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0</v>
      </c>
      <c r="AK1677">
        <v>0</v>
      </c>
      <c r="AL1677">
        <v>0</v>
      </c>
      <c r="AM1677">
        <v>0</v>
      </c>
      <c r="AN1677">
        <v>0</v>
      </c>
      <c r="AO1677">
        <v>0</v>
      </c>
      <c r="AP1677">
        <v>0</v>
      </c>
      <c r="AQ1677">
        <v>21.38</v>
      </c>
      <c r="AR1677">
        <v>0</v>
      </c>
      <c r="AS1677">
        <v>0</v>
      </c>
      <c r="AT1677">
        <v>0</v>
      </c>
      <c r="AU1677">
        <v>0</v>
      </c>
      <c r="AV1677">
        <v>0</v>
      </c>
      <c r="AW1677">
        <v>0</v>
      </c>
      <c r="AX1677">
        <v>0</v>
      </c>
      <c r="AY1677">
        <v>0</v>
      </c>
      <c r="AZ1677">
        <v>0</v>
      </c>
      <c r="BA1677">
        <v>0</v>
      </c>
      <c r="BB1677">
        <v>0</v>
      </c>
      <c r="BC1677">
        <v>0</v>
      </c>
      <c r="BD1677">
        <v>0</v>
      </c>
      <c r="BE1677">
        <v>0</v>
      </c>
      <c r="BF1677">
        <v>0</v>
      </c>
      <c r="BG1677">
        <v>0</v>
      </c>
      <c r="BH1677">
        <v>1</v>
      </c>
      <c r="BI1677">
        <v>1.2</v>
      </c>
      <c r="BJ1677">
        <v>1.2</v>
      </c>
      <c r="BK1677">
        <v>1.5</v>
      </c>
      <c r="BL1677">
        <v>69.98</v>
      </c>
      <c r="BM1677">
        <v>10.5</v>
      </c>
      <c r="BN1677">
        <v>80.48</v>
      </c>
      <c r="BO1677">
        <v>80.48</v>
      </c>
      <c r="BP1677" t="s">
        <v>1540</v>
      </c>
      <c r="BQ1677" t="s">
        <v>1037</v>
      </c>
      <c r="BR1677" t="s">
        <v>2271</v>
      </c>
      <c r="BS1677" s="3">
        <v>45793</v>
      </c>
      <c r="BT1677" s="4">
        <v>0.34791666666666665</v>
      </c>
      <c r="BU1677" t="s">
        <v>1039</v>
      </c>
      <c r="BV1677" t="s">
        <v>86</v>
      </c>
      <c r="BY1677">
        <v>6174</v>
      </c>
      <c r="BZ1677" t="s">
        <v>127</v>
      </c>
      <c r="CA1677" t="s">
        <v>484</v>
      </c>
      <c r="CC1677" t="s">
        <v>76</v>
      </c>
      <c r="CD1677">
        <v>1619</v>
      </c>
      <c r="CE1677" t="s">
        <v>1904</v>
      </c>
      <c r="CF1677" s="3">
        <v>45793</v>
      </c>
      <c r="CI1677">
        <v>1</v>
      </c>
      <c r="CJ1677">
        <v>1</v>
      </c>
      <c r="CK1677">
        <v>21</v>
      </c>
      <c r="CL1677" t="s">
        <v>89</v>
      </c>
    </row>
    <row r="1678" spans="1:90" x14ac:dyDescent="0.3">
      <c r="A1678" t="s">
        <v>72</v>
      </c>
      <c r="B1678" t="s">
        <v>73</v>
      </c>
      <c r="C1678" t="s">
        <v>74</v>
      </c>
      <c r="E1678" t="str">
        <f>"080065391132"</f>
        <v>080065391132</v>
      </c>
      <c r="F1678" s="3">
        <v>45792</v>
      </c>
      <c r="G1678">
        <v>202602</v>
      </c>
      <c r="H1678" t="s">
        <v>75</v>
      </c>
      <c r="I1678" t="s">
        <v>76</v>
      </c>
      <c r="J1678" t="s">
        <v>77</v>
      </c>
      <c r="K1678" t="s">
        <v>78</v>
      </c>
      <c r="L1678" t="s">
        <v>90</v>
      </c>
      <c r="M1678" t="s">
        <v>91</v>
      </c>
      <c r="N1678" t="s">
        <v>371</v>
      </c>
      <c r="O1678" t="s">
        <v>82</v>
      </c>
      <c r="P1678" t="str">
        <f>"4170038710                    "</f>
        <v xml:space="preserve">4170038710                    </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0</v>
      </c>
      <c r="AL1678">
        <v>0</v>
      </c>
      <c r="AM1678">
        <v>0</v>
      </c>
      <c r="AN1678">
        <v>0</v>
      </c>
      <c r="AO1678">
        <v>0</v>
      </c>
      <c r="AP1678">
        <v>0</v>
      </c>
      <c r="AQ1678">
        <v>37.409999999999997</v>
      </c>
      <c r="AR1678">
        <v>0</v>
      </c>
      <c r="AS1678">
        <v>0</v>
      </c>
      <c r="AT1678">
        <v>0</v>
      </c>
      <c r="AU1678">
        <v>0</v>
      </c>
      <c r="AV1678">
        <v>0</v>
      </c>
      <c r="AW1678">
        <v>0</v>
      </c>
      <c r="AX1678">
        <v>0</v>
      </c>
      <c r="AY1678">
        <v>0</v>
      </c>
      <c r="AZ1678">
        <v>0</v>
      </c>
      <c r="BA1678">
        <v>0</v>
      </c>
      <c r="BB1678">
        <v>0</v>
      </c>
      <c r="BC1678">
        <v>0</v>
      </c>
      <c r="BD1678">
        <v>0</v>
      </c>
      <c r="BE1678">
        <v>0</v>
      </c>
      <c r="BF1678">
        <v>0</v>
      </c>
      <c r="BG1678">
        <v>0</v>
      </c>
      <c r="BH1678">
        <v>1</v>
      </c>
      <c r="BI1678">
        <v>2</v>
      </c>
      <c r="BJ1678">
        <v>3.4</v>
      </c>
      <c r="BK1678">
        <v>3.5</v>
      </c>
      <c r="BL1678">
        <v>122.43</v>
      </c>
      <c r="BM1678">
        <v>18.36</v>
      </c>
      <c r="BN1678">
        <v>140.79</v>
      </c>
      <c r="BO1678">
        <v>140.79</v>
      </c>
      <c r="BQ1678" t="s">
        <v>372</v>
      </c>
      <c r="BR1678" t="s">
        <v>84</v>
      </c>
      <c r="BS1678" s="3">
        <v>45793</v>
      </c>
      <c r="BT1678" s="4">
        <v>0.42291666666666666</v>
      </c>
      <c r="BU1678" t="s">
        <v>373</v>
      </c>
      <c r="BV1678" t="s">
        <v>86</v>
      </c>
      <c r="BY1678">
        <v>16965</v>
      </c>
      <c r="CA1678" t="s">
        <v>298</v>
      </c>
      <c r="CC1678" t="s">
        <v>91</v>
      </c>
      <c r="CD1678">
        <v>6001</v>
      </c>
      <c r="CE1678" t="s">
        <v>176</v>
      </c>
      <c r="CF1678" s="3">
        <v>45793</v>
      </c>
      <c r="CI1678">
        <v>1</v>
      </c>
      <c r="CJ1678">
        <v>1</v>
      </c>
      <c r="CK1678">
        <v>21</v>
      </c>
      <c r="CL1678" t="s">
        <v>89</v>
      </c>
    </row>
    <row r="1679" spans="1:90" x14ac:dyDescent="0.3">
      <c r="A1679" t="s">
        <v>72</v>
      </c>
      <c r="B1679" t="s">
        <v>73</v>
      </c>
      <c r="C1679" t="s">
        <v>74</v>
      </c>
      <c r="E1679" t="str">
        <f>"080065391525"</f>
        <v>080065391525</v>
      </c>
      <c r="F1679" s="3">
        <v>45792</v>
      </c>
      <c r="G1679">
        <v>202602</v>
      </c>
      <c r="H1679" t="s">
        <v>75</v>
      </c>
      <c r="I1679" t="s">
        <v>76</v>
      </c>
      <c r="J1679" t="s">
        <v>77</v>
      </c>
      <c r="K1679" t="s">
        <v>78</v>
      </c>
      <c r="L1679" t="s">
        <v>222</v>
      </c>
      <c r="M1679" t="s">
        <v>223</v>
      </c>
      <c r="N1679" t="s">
        <v>589</v>
      </c>
      <c r="O1679" t="s">
        <v>82</v>
      </c>
      <c r="P1679" t="str">
        <f>"4170038602                    "</f>
        <v xml:space="preserve">4170038602                    </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0</v>
      </c>
      <c r="AL1679">
        <v>0</v>
      </c>
      <c r="AM1679">
        <v>0</v>
      </c>
      <c r="AN1679">
        <v>0</v>
      </c>
      <c r="AO1679">
        <v>0</v>
      </c>
      <c r="AP1679">
        <v>0</v>
      </c>
      <c r="AQ1679">
        <v>30.07</v>
      </c>
      <c r="AR1679">
        <v>0</v>
      </c>
      <c r="AS1679">
        <v>0</v>
      </c>
      <c r="AT1679">
        <v>0</v>
      </c>
      <c r="AU1679">
        <v>0</v>
      </c>
      <c r="AV1679">
        <v>0</v>
      </c>
      <c r="AW1679">
        <v>0</v>
      </c>
      <c r="AX1679">
        <v>0</v>
      </c>
      <c r="AY1679">
        <v>0</v>
      </c>
      <c r="AZ1679">
        <v>0</v>
      </c>
      <c r="BA1679">
        <v>0</v>
      </c>
      <c r="BB1679">
        <v>0</v>
      </c>
      <c r="BC1679">
        <v>0</v>
      </c>
      <c r="BD1679">
        <v>0</v>
      </c>
      <c r="BE1679">
        <v>0</v>
      </c>
      <c r="BF1679">
        <v>0</v>
      </c>
      <c r="BG1679">
        <v>0</v>
      </c>
      <c r="BH1679">
        <v>1</v>
      </c>
      <c r="BI1679">
        <v>1</v>
      </c>
      <c r="BJ1679">
        <v>0.2</v>
      </c>
      <c r="BK1679">
        <v>1</v>
      </c>
      <c r="BL1679">
        <v>98.42</v>
      </c>
      <c r="BM1679">
        <v>14.76</v>
      </c>
      <c r="BN1679">
        <v>113.18</v>
      </c>
      <c r="BO1679">
        <v>113.18</v>
      </c>
      <c r="BQ1679" t="s">
        <v>590</v>
      </c>
      <c r="BR1679" t="s">
        <v>84</v>
      </c>
      <c r="BS1679" s="3">
        <v>45793</v>
      </c>
      <c r="BT1679" s="4">
        <v>0.30902777777777779</v>
      </c>
      <c r="BU1679" t="s">
        <v>2167</v>
      </c>
      <c r="BV1679" t="s">
        <v>86</v>
      </c>
      <c r="BY1679">
        <v>1200</v>
      </c>
      <c r="CA1679" t="s">
        <v>592</v>
      </c>
      <c r="CC1679" t="s">
        <v>223</v>
      </c>
      <c r="CD1679">
        <v>1748</v>
      </c>
      <c r="CE1679" t="s">
        <v>88</v>
      </c>
      <c r="CF1679" s="3">
        <v>45794</v>
      </c>
      <c r="CI1679">
        <v>1</v>
      </c>
      <c r="CJ1679">
        <v>1</v>
      </c>
      <c r="CK1679">
        <v>24</v>
      </c>
      <c r="CL1679" t="s">
        <v>89</v>
      </c>
    </row>
    <row r="1680" spans="1:90" x14ac:dyDescent="0.3">
      <c r="A1680" t="s">
        <v>72</v>
      </c>
      <c r="B1680" t="s">
        <v>73</v>
      </c>
      <c r="C1680" t="s">
        <v>74</v>
      </c>
      <c r="E1680" t="str">
        <f>"080065391554"</f>
        <v>080065391554</v>
      </c>
      <c r="F1680" s="3">
        <v>45792</v>
      </c>
      <c r="G1680">
        <v>202602</v>
      </c>
      <c r="H1680" t="s">
        <v>75</v>
      </c>
      <c r="I1680" t="s">
        <v>76</v>
      </c>
      <c r="J1680" t="s">
        <v>77</v>
      </c>
      <c r="K1680" t="s">
        <v>78</v>
      </c>
      <c r="L1680" t="s">
        <v>103</v>
      </c>
      <c r="M1680" t="s">
        <v>104</v>
      </c>
      <c r="N1680" t="s">
        <v>633</v>
      </c>
      <c r="O1680" t="s">
        <v>82</v>
      </c>
      <c r="P1680" t="str">
        <f>"4170038817                    "</f>
        <v xml:space="preserve">4170038817                    </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0</v>
      </c>
      <c r="AL1680">
        <v>0</v>
      </c>
      <c r="AM1680">
        <v>0</v>
      </c>
      <c r="AN1680">
        <v>0</v>
      </c>
      <c r="AO1680">
        <v>0</v>
      </c>
      <c r="AP1680">
        <v>0</v>
      </c>
      <c r="AQ1680">
        <v>21.38</v>
      </c>
      <c r="AR1680">
        <v>0</v>
      </c>
      <c r="AS1680">
        <v>0</v>
      </c>
      <c r="AT1680">
        <v>0</v>
      </c>
      <c r="AU1680">
        <v>0</v>
      </c>
      <c r="AV1680">
        <v>0</v>
      </c>
      <c r="AW1680">
        <v>0</v>
      </c>
      <c r="AX1680">
        <v>0</v>
      </c>
      <c r="AY1680">
        <v>0</v>
      </c>
      <c r="AZ1680">
        <v>0</v>
      </c>
      <c r="BA1680">
        <v>0</v>
      </c>
      <c r="BB1680">
        <v>0</v>
      </c>
      <c r="BC1680">
        <v>0</v>
      </c>
      <c r="BD1680">
        <v>0</v>
      </c>
      <c r="BE1680">
        <v>0</v>
      </c>
      <c r="BF1680">
        <v>0</v>
      </c>
      <c r="BG1680">
        <v>0</v>
      </c>
      <c r="BH1680">
        <v>1</v>
      </c>
      <c r="BI1680">
        <v>1</v>
      </c>
      <c r="BJ1680">
        <v>1.7</v>
      </c>
      <c r="BK1680">
        <v>2</v>
      </c>
      <c r="BL1680">
        <v>69.98</v>
      </c>
      <c r="BM1680">
        <v>10.5</v>
      </c>
      <c r="BN1680">
        <v>80.48</v>
      </c>
      <c r="BO1680">
        <v>80.48</v>
      </c>
      <c r="BQ1680" t="s">
        <v>634</v>
      </c>
      <c r="BR1680" t="s">
        <v>84</v>
      </c>
      <c r="BS1680" s="3">
        <v>45793</v>
      </c>
      <c r="BT1680" s="4">
        <v>0.41666666666666669</v>
      </c>
      <c r="BU1680" t="s">
        <v>2229</v>
      </c>
      <c r="BV1680" t="s">
        <v>86</v>
      </c>
      <c r="BY1680">
        <v>8550</v>
      </c>
      <c r="CA1680" t="s">
        <v>440</v>
      </c>
      <c r="CC1680" t="s">
        <v>104</v>
      </c>
      <c r="CD1680">
        <v>3212</v>
      </c>
      <c r="CE1680" t="s">
        <v>116</v>
      </c>
      <c r="CF1680" s="3">
        <v>45794</v>
      </c>
      <c r="CI1680">
        <v>2</v>
      </c>
      <c r="CJ1680">
        <v>1</v>
      </c>
      <c r="CK1680">
        <v>21</v>
      </c>
      <c r="CL1680" t="s">
        <v>89</v>
      </c>
    </row>
    <row r="1681" spans="1:90" x14ac:dyDescent="0.3">
      <c r="A1681" t="s">
        <v>72</v>
      </c>
      <c r="B1681" t="s">
        <v>73</v>
      </c>
      <c r="C1681" t="s">
        <v>74</v>
      </c>
      <c r="E1681" t="str">
        <f>"080065391572"</f>
        <v>080065391572</v>
      </c>
      <c r="F1681" s="3">
        <v>45792</v>
      </c>
      <c r="G1681">
        <v>202602</v>
      </c>
      <c r="H1681" t="s">
        <v>75</v>
      </c>
      <c r="I1681" t="s">
        <v>76</v>
      </c>
      <c r="J1681" t="s">
        <v>77</v>
      </c>
      <c r="K1681" t="s">
        <v>78</v>
      </c>
      <c r="L1681" t="s">
        <v>350</v>
      </c>
      <c r="M1681" t="s">
        <v>351</v>
      </c>
      <c r="N1681" t="s">
        <v>459</v>
      </c>
      <c r="O1681" t="s">
        <v>82</v>
      </c>
      <c r="P1681" t="str">
        <f>"4170038796                    "</f>
        <v xml:space="preserve">4170038796                    </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21.38</v>
      </c>
      <c r="AR1681">
        <v>0</v>
      </c>
      <c r="AS1681">
        <v>0</v>
      </c>
      <c r="AT1681">
        <v>0</v>
      </c>
      <c r="AU1681">
        <v>0</v>
      </c>
      <c r="AV1681">
        <v>0</v>
      </c>
      <c r="AW1681">
        <v>0</v>
      </c>
      <c r="AX1681">
        <v>0</v>
      </c>
      <c r="AY1681">
        <v>0</v>
      </c>
      <c r="AZ1681">
        <v>0</v>
      </c>
      <c r="BA1681">
        <v>0</v>
      </c>
      <c r="BB1681">
        <v>0</v>
      </c>
      <c r="BC1681">
        <v>0</v>
      </c>
      <c r="BD1681">
        <v>0</v>
      </c>
      <c r="BE1681">
        <v>0</v>
      </c>
      <c r="BF1681">
        <v>0</v>
      </c>
      <c r="BG1681">
        <v>0</v>
      </c>
      <c r="BH1681">
        <v>1</v>
      </c>
      <c r="BI1681">
        <v>1</v>
      </c>
      <c r="BJ1681">
        <v>0.2</v>
      </c>
      <c r="BK1681">
        <v>1</v>
      </c>
      <c r="BL1681">
        <v>69.98</v>
      </c>
      <c r="BM1681">
        <v>10.5</v>
      </c>
      <c r="BN1681">
        <v>80.48</v>
      </c>
      <c r="BO1681">
        <v>80.48</v>
      </c>
      <c r="BQ1681" t="s">
        <v>460</v>
      </c>
      <c r="BR1681" t="s">
        <v>84</v>
      </c>
      <c r="BS1681" s="3">
        <v>45793</v>
      </c>
      <c r="BT1681" s="4">
        <v>0.33680555555555558</v>
      </c>
      <c r="BU1681" t="s">
        <v>2258</v>
      </c>
      <c r="BV1681" t="s">
        <v>86</v>
      </c>
      <c r="BY1681">
        <v>1200</v>
      </c>
      <c r="CA1681" t="s">
        <v>462</v>
      </c>
      <c r="CC1681" t="s">
        <v>351</v>
      </c>
      <c r="CD1681">
        <v>4000</v>
      </c>
      <c r="CE1681" t="s">
        <v>88</v>
      </c>
      <c r="CF1681" s="3">
        <v>45794</v>
      </c>
      <c r="CI1681">
        <v>1</v>
      </c>
      <c r="CJ1681">
        <v>1</v>
      </c>
      <c r="CK1681">
        <v>21</v>
      </c>
      <c r="CL1681" t="s">
        <v>89</v>
      </c>
    </row>
    <row r="1682" spans="1:90" x14ac:dyDescent="0.3">
      <c r="A1682" t="s">
        <v>72</v>
      </c>
      <c r="B1682" t="s">
        <v>73</v>
      </c>
      <c r="C1682" t="s">
        <v>74</v>
      </c>
      <c r="E1682" t="str">
        <f>"080065391606"</f>
        <v>080065391606</v>
      </c>
      <c r="F1682" s="3">
        <v>45792</v>
      </c>
      <c r="G1682">
        <v>202602</v>
      </c>
      <c r="H1682" t="s">
        <v>75</v>
      </c>
      <c r="I1682" t="s">
        <v>76</v>
      </c>
      <c r="J1682" t="s">
        <v>77</v>
      </c>
      <c r="K1682" t="s">
        <v>78</v>
      </c>
      <c r="L1682" t="s">
        <v>206</v>
      </c>
      <c r="M1682" t="s">
        <v>207</v>
      </c>
      <c r="N1682" t="s">
        <v>208</v>
      </c>
      <c r="O1682" t="s">
        <v>82</v>
      </c>
      <c r="P1682" t="str">
        <f>"4170038627                    "</f>
        <v xml:space="preserve">4170038627                    </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0</v>
      </c>
      <c r="AL1682">
        <v>0</v>
      </c>
      <c r="AM1682">
        <v>0</v>
      </c>
      <c r="AN1682">
        <v>0</v>
      </c>
      <c r="AO1682">
        <v>0</v>
      </c>
      <c r="AP1682">
        <v>0</v>
      </c>
      <c r="AQ1682">
        <v>41.43</v>
      </c>
      <c r="AR1682">
        <v>0</v>
      </c>
      <c r="AS1682">
        <v>0</v>
      </c>
      <c r="AT1682">
        <v>0</v>
      </c>
      <c r="AU1682">
        <v>0</v>
      </c>
      <c r="AV1682">
        <v>0</v>
      </c>
      <c r="AW1682">
        <v>0</v>
      </c>
      <c r="AX1682">
        <v>0</v>
      </c>
      <c r="AY1682">
        <v>0</v>
      </c>
      <c r="AZ1682">
        <v>0</v>
      </c>
      <c r="BA1682">
        <v>0</v>
      </c>
      <c r="BB1682">
        <v>0</v>
      </c>
      <c r="BC1682">
        <v>0</v>
      </c>
      <c r="BD1682">
        <v>0</v>
      </c>
      <c r="BE1682">
        <v>0</v>
      </c>
      <c r="BF1682">
        <v>0</v>
      </c>
      <c r="BG1682">
        <v>0</v>
      </c>
      <c r="BH1682">
        <v>1</v>
      </c>
      <c r="BI1682">
        <v>1</v>
      </c>
      <c r="BJ1682">
        <v>0.2</v>
      </c>
      <c r="BK1682">
        <v>1</v>
      </c>
      <c r="BL1682">
        <v>135.59</v>
      </c>
      <c r="BM1682">
        <v>20.34</v>
      </c>
      <c r="BN1682">
        <v>155.93</v>
      </c>
      <c r="BO1682">
        <v>155.93</v>
      </c>
      <c r="BQ1682" t="s">
        <v>209</v>
      </c>
      <c r="BR1682" t="s">
        <v>84</v>
      </c>
      <c r="BS1682" s="3">
        <v>45793</v>
      </c>
      <c r="BT1682" s="4">
        <v>0.60486111111111107</v>
      </c>
      <c r="BU1682" t="s">
        <v>2272</v>
      </c>
      <c r="BV1682" t="s">
        <v>86</v>
      </c>
      <c r="BY1682">
        <v>1200</v>
      </c>
      <c r="CA1682" t="s">
        <v>1295</v>
      </c>
      <c r="CC1682" t="s">
        <v>207</v>
      </c>
      <c r="CD1682">
        <v>1389</v>
      </c>
      <c r="CE1682" t="s">
        <v>88</v>
      </c>
      <c r="CF1682" s="3">
        <v>45793</v>
      </c>
      <c r="CI1682">
        <v>1</v>
      </c>
      <c r="CJ1682">
        <v>1</v>
      </c>
      <c r="CK1682">
        <v>23</v>
      </c>
      <c r="CL1682" t="s">
        <v>89</v>
      </c>
    </row>
    <row r="1683" spans="1:90" x14ac:dyDescent="0.3">
      <c r="A1683" t="s">
        <v>72</v>
      </c>
      <c r="B1683" t="s">
        <v>73</v>
      </c>
      <c r="C1683" t="s">
        <v>74</v>
      </c>
      <c r="E1683" t="str">
        <f>"080065391617"</f>
        <v>080065391617</v>
      </c>
      <c r="F1683" s="3">
        <v>45792</v>
      </c>
      <c r="G1683">
        <v>202602</v>
      </c>
      <c r="H1683" t="s">
        <v>75</v>
      </c>
      <c r="I1683" t="s">
        <v>76</v>
      </c>
      <c r="J1683" t="s">
        <v>77</v>
      </c>
      <c r="K1683" t="s">
        <v>78</v>
      </c>
      <c r="L1683" t="s">
        <v>672</v>
      </c>
      <c r="M1683" t="s">
        <v>673</v>
      </c>
      <c r="N1683" t="s">
        <v>674</v>
      </c>
      <c r="O1683" t="s">
        <v>82</v>
      </c>
      <c r="P1683" t="str">
        <f>"4170038599                    "</f>
        <v xml:space="preserve">4170038599                    </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0</v>
      </c>
      <c r="AL1683">
        <v>0</v>
      </c>
      <c r="AM1683">
        <v>0</v>
      </c>
      <c r="AN1683">
        <v>0</v>
      </c>
      <c r="AO1683">
        <v>0</v>
      </c>
      <c r="AP1683">
        <v>0</v>
      </c>
      <c r="AQ1683">
        <v>60.14</v>
      </c>
      <c r="AR1683">
        <v>0</v>
      </c>
      <c r="AS1683">
        <v>0</v>
      </c>
      <c r="AT1683">
        <v>0</v>
      </c>
      <c r="AU1683">
        <v>0</v>
      </c>
      <c r="AV1683">
        <v>0</v>
      </c>
      <c r="AW1683">
        <v>0</v>
      </c>
      <c r="AX1683">
        <v>0</v>
      </c>
      <c r="AY1683">
        <v>0</v>
      </c>
      <c r="AZ1683">
        <v>0</v>
      </c>
      <c r="BA1683">
        <v>0</v>
      </c>
      <c r="BB1683">
        <v>0</v>
      </c>
      <c r="BC1683">
        <v>0</v>
      </c>
      <c r="BD1683">
        <v>0</v>
      </c>
      <c r="BE1683">
        <v>0</v>
      </c>
      <c r="BF1683">
        <v>0</v>
      </c>
      <c r="BG1683">
        <v>0</v>
      </c>
      <c r="BH1683">
        <v>1</v>
      </c>
      <c r="BI1683">
        <v>3</v>
      </c>
      <c r="BJ1683">
        <v>0.6</v>
      </c>
      <c r="BK1683">
        <v>3</v>
      </c>
      <c r="BL1683">
        <v>196.82</v>
      </c>
      <c r="BM1683">
        <v>29.52</v>
      </c>
      <c r="BN1683">
        <v>226.34</v>
      </c>
      <c r="BO1683">
        <v>226.34</v>
      </c>
      <c r="BQ1683" t="s">
        <v>675</v>
      </c>
      <c r="BR1683" t="s">
        <v>84</v>
      </c>
      <c r="BS1683" s="3">
        <v>45793</v>
      </c>
      <c r="BT1683" s="4">
        <v>0.51388888888888884</v>
      </c>
      <c r="BU1683" t="s">
        <v>2210</v>
      </c>
      <c r="BV1683" t="s">
        <v>86</v>
      </c>
      <c r="BY1683">
        <v>3192</v>
      </c>
      <c r="CA1683" t="s">
        <v>2211</v>
      </c>
      <c r="CC1683" t="s">
        <v>673</v>
      </c>
      <c r="CD1683">
        <v>2531</v>
      </c>
      <c r="CE1683" t="s">
        <v>116</v>
      </c>
      <c r="CF1683" s="3">
        <v>45796</v>
      </c>
      <c r="CI1683">
        <v>1</v>
      </c>
      <c r="CJ1683">
        <v>1</v>
      </c>
      <c r="CK1683">
        <v>23</v>
      </c>
      <c r="CL1683" t="s">
        <v>89</v>
      </c>
    </row>
    <row r="1684" spans="1:90" x14ac:dyDescent="0.3">
      <c r="A1684" t="s">
        <v>72</v>
      </c>
      <c r="B1684" t="s">
        <v>73</v>
      </c>
      <c r="C1684" t="s">
        <v>74</v>
      </c>
      <c r="E1684" t="str">
        <f>"080065391647"</f>
        <v>080065391647</v>
      </c>
      <c r="F1684" s="3">
        <v>45792</v>
      </c>
      <c r="G1684">
        <v>202602</v>
      </c>
      <c r="H1684" t="s">
        <v>75</v>
      </c>
      <c r="I1684" t="s">
        <v>76</v>
      </c>
      <c r="J1684" t="s">
        <v>77</v>
      </c>
      <c r="K1684" t="s">
        <v>78</v>
      </c>
      <c r="L1684" t="s">
        <v>350</v>
      </c>
      <c r="M1684" t="s">
        <v>351</v>
      </c>
      <c r="N1684" t="s">
        <v>678</v>
      </c>
      <c r="O1684" t="s">
        <v>82</v>
      </c>
      <c r="P1684" t="str">
        <f>"4170038612                    "</f>
        <v xml:space="preserve">4170038612                    </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0</v>
      </c>
      <c r="AL1684">
        <v>0</v>
      </c>
      <c r="AM1684">
        <v>0</v>
      </c>
      <c r="AN1684">
        <v>0</v>
      </c>
      <c r="AO1684">
        <v>0</v>
      </c>
      <c r="AP1684">
        <v>0</v>
      </c>
      <c r="AQ1684">
        <v>21.38</v>
      </c>
      <c r="AR1684">
        <v>0</v>
      </c>
      <c r="AS1684">
        <v>0</v>
      </c>
      <c r="AT1684">
        <v>0</v>
      </c>
      <c r="AU1684">
        <v>0</v>
      </c>
      <c r="AV1684">
        <v>0</v>
      </c>
      <c r="AW1684">
        <v>0</v>
      </c>
      <c r="AX1684">
        <v>0</v>
      </c>
      <c r="AY1684">
        <v>0</v>
      </c>
      <c r="AZ1684">
        <v>0</v>
      </c>
      <c r="BA1684">
        <v>0</v>
      </c>
      <c r="BB1684">
        <v>0</v>
      </c>
      <c r="BC1684">
        <v>0</v>
      </c>
      <c r="BD1684">
        <v>0</v>
      </c>
      <c r="BE1684">
        <v>0</v>
      </c>
      <c r="BF1684">
        <v>0</v>
      </c>
      <c r="BG1684">
        <v>0</v>
      </c>
      <c r="BH1684">
        <v>1</v>
      </c>
      <c r="BI1684">
        <v>1</v>
      </c>
      <c r="BJ1684">
        <v>0.2</v>
      </c>
      <c r="BK1684">
        <v>1</v>
      </c>
      <c r="BL1684">
        <v>69.98</v>
      </c>
      <c r="BM1684">
        <v>10.5</v>
      </c>
      <c r="BN1684">
        <v>80.48</v>
      </c>
      <c r="BO1684">
        <v>80.48</v>
      </c>
      <c r="BQ1684" t="s">
        <v>679</v>
      </c>
      <c r="BR1684" t="s">
        <v>84</v>
      </c>
      <c r="BS1684" s="3">
        <v>45793</v>
      </c>
      <c r="BT1684" s="4">
        <v>0.44027777777777777</v>
      </c>
      <c r="BU1684" t="s">
        <v>2213</v>
      </c>
      <c r="BV1684" t="s">
        <v>89</v>
      </c>
      <c r="BW1684" t="s">
        <v>434</v>
      </c>
      <c r="BX1684" t="s">
        <v>1829</v>
      </c>
      <c r="BY1684">
        <v>1200</v>
      </c>
      <c r="CA1684" t="s">
        <v>879</v>
      </c>
      <c r="CC1684" t="s">
        <v>351</v>
      </c>
      <c r="CD1684">
        <v>4052</v>
      </c>
      <c r="CE1684" t="s">
        <v>88</v>
      </c>
      <c r="CF1684" s="3">
        <v>45796</v>
      </c>
      <c r="CI1684">
        <v>1</v>
      </c>
      <c r="CJ1684">
        <v>1</v>
      </c>
      <c r="CK1684">
        <v>21</v>
      </c>
      <c r="CL1684" t="s">
        <v>89</v>
      </c>
    </row>
    <row r="1685" spans="1:90" x14ac:dyDescent="0.3">
      <c r="A1685" t="s">
        <v>72</v>
      </c>
      <c r="B1685" t="s">
        <v>73</v>
      </c>
      <c r="C1685" t="s">
        <v>74</v>
      </c>
      <c r="E1685" t="str">
        <f>"080065391669"</f>
        <v>080065391669</v>
      </c>
      <c r="F1685" s="3">
        <v>45792</v>
      </c>
      <c r="G1685">
        <v>202602</v>
      </c>
      <c r="H1685" t="s">
        <v>75</v>
      </c>
      <c r="I1685" t="s">
        <v>76</v>
      </c>
      <c r="J1685" t="s">
        <v>77</v>
      </c>
      <c r="K1685" t="s">
        <v>78</v>
      </c>
      <c r="L1685" t="s">
        <v>136</v>
      </c>
      <c r="M1685" t="s">
        <v>137</v>
      </c>
      <c r="N1685" t="s">
        <v>441</v>
      </c>
      <c r="O1685" t="s">
        <v>300</v>
      </c>
      <c r="P1685" t="str">
        <f>"4170038621                    "</f>
        <v xml:space="preserve">4170038621                    </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0</v>
      </c>
      <c r="AL1685">
        <v>0</v>
      </c>
      <c r="AM1685">
        <v>0</v>
      </c>
      <c r="AN1685">
        <v>0</v>
      </c>
      <c r="AO1685">
        <v>0</v>
      </c>
      <c r="AP1685">
        <v>0</v>
      </c>
      <c r="AQ1685">
        <v>41.35</v>
      </c>
      <c r="AR1685">
        <v>0</v>
      </c>
      <c r="AS1685">
        <v>0</v>
      </c>
      <c r="AT1685">
        <v>0</v>
      </c>
      <c r="AU1685">
        <v>0</v>
      </c>
      <c r="AV1685">
        <v>0</v>
      </c>
      <c r="AW1685">
        <v>0</v>
      </c>
      <c r="AX1685">
        <v>0</v>
      </c>
      <c r="AY1685">
        <v>0</v>
      </c>
      <c r="AZ1685">
        <v>0</v>
      </c>
      <c r="BA1685">
        <v>0</v>
      </c>
      <c r="BB1685">
        <v>0</v>
      </c>
      <c r="BC1685">
        <v>0</v>
      </c>
      <c r="BD1685">
        <v>0</v>
      </c>
      <c r="BE1685">
        <v>0</v>
      </c>
      <c r="BF1685">
        <v>0</v>
      </c>
      <c r="BG1685">
        <v>0</v>
      </c>
      <c r="BH1685">
        <v>1</v>
      </c>
      <c r="BI1685">
        <v>7</v>
      </c>
      <c r="BJ1685">
        <v>1.7</v>
      </c>
      <c r="BK1685">
        <v>7</v>
      </c>
      <c r="BL1685">
        <v>140.9</v>
      </c>
      <c r="BM1685">
        <v>21.14</v>
      </c>
      <c r="BN1685">
        <v>162.04</v>
      </c>
      <c r="BO1685">
        <v>162.04</v>
      </c>
      <c r="BQ1685" t="s">
        <v>442</v>
      </c>
      <c r="BR1685" t="s">
        <v>84</v>
      </c>
      <c r="BS1685" s="3">
        <v>45793</v>
      </c>
      <c r="BT1685" s="4">
        <v>0.54861111111111116</v>
      </c>
      <c r="BU1685" t="s">
        <v>514</v>
      </c>
      <c r="BV1685" t="s">
        <v>86</v>
      </c>
      <c r="BY1685">
        <v>8512</v>
      </c>
      <c r="CA1685" t="s">
        <v>2273</v>
      </c>
      <c r="CC1685" t="s">
        <v>137</v>
      </c>
      <c r="CD1685" s="5" t="s">
        <v>444</v>
      </c>
      <c r="CE1685" t="s">
        <v>116</v>
      </c>
      <c r="CF1685" s="3">
        <v>45793</v>
      </c>
      <c r="CI1685">
        <v>1</v>
      </c>
      <c r="CJ1685">
        <v>1</v>
      </c>
      <c r="CK1685">
        <v>41</v>
      </c>
      <c r="CL1685" t="s">
        <v>89</v>
      </c>
    </row>
    <row r="1686" spans="1:90" x14ac:dyDescent="0.3">
      <c r="A1686" t="s">
        <v>72</v>
      </c>
      <c r="B1686" t="s">
        <v>73</v>
      </c>
      <c r="C1686" t="s">
        <v>74</v>
      </c>
      <c r="E1686" t="str">
        <f>"080065391690"</f>
        <v>080065391690</v>
      </c>
      <c r="F1686" s="3">
        <v>45792</v>
      </c>
      <c r="G1686">
        <v>202602</v>
      </c>
      <c r="H1686" t="s">
        <v>75</v>
      </c>
      <c r="I1686" t="s">
        <v>76</v>
      </c>
      <c r="J1686" t="s">
        <v>77</v>
      </c>
      <c r="K1686" t="s">
        <v>78</v>
      </c>
      <c r="L1686" t="s">
        <v>130</v>
      </c>
      <c r="M1686" t="s">
        <v>131</v>
      </c>
      <c r="N1686" t="s">
        <v>709</v>
      </c>
      <c r="O1686" t="s">
        <v>82</v>
      </c>
      <c r="P1686" t="str">
        <f>"4170038597                    "</f>
        <v xml:space="preserve">4170038597                    </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21.38</v>
      </c>
      <c r="AR1686">
        <v>0</v>
      </c>
      <c r="AS1686">
        <v>0</v>
      </c>
      <c r="AT1686">
        <v>0</v>
      </c>
      <c r="AU1686">
        <v>0</v>
      </c>
      <c r="AV1686">
        <v>0</v>
      </c>
      <c r="AW1686">
        <v>0</v>
      </c>
      <c r="AX1686">
        <v>0</v>
      </c>
      <c r="AY1686">
        <v>0</v>
      </c>
      <c r="AZ1686">
        <v>0</v>
      </c>
      <c r="BA1686">
        <v>0</v>
      </c>
      <c r="BB1686">
        <v>0</v>
      </c>
      <c r="BC1686">
        <v>0</v>
      </c>
      <c r="BD1686">
        <v>0</v>
      </c>
      <c r="BE1686">
        <v>0</v>
      </c>
      <c r="BF1686">
        <v>0</v>
      </c>
      <c r="BG1686">
        <v>0</v>
      </c>
      <c r="BH1686">
        <v>1</v>
      </c>
      <c r="BI1686">
        <v>1</v>
      </c>
      <c r="BJ1686">
        <v>0.2</v>
      </c>
      <c r="BK1686">
        <v>1</v>
      </c>
      <c r="BL1686">
        <v>69.98</v>
      </c>
      <c r="BM1686">
        <v>10.5</v>
      </c>
      <c r="BN1686">
        <v>80.48</v>
      </c>
      <c r="BO1686">
        <v>80.48</v>
      </c>
      <c r="BQ1686" t="s">
        <v>710</v>
      </c>
      <c r="BR1686" t="s">
        <v>84</v>
      </c>
      <c r="BS1686" s="3">
        <v>45793</v>
      </c>
      <c r="BT1686" s="4">
        <v>0.33611111111111114</v>
      </c>
      <c r="BU1686" t="s">
        <v>1589</v>
      </c>
      <c r="BV1686" t="s">
        <v>86</v>
      </c>
      <c r="BY1686">
        <v>1200</v>
      </c>
      <c r="CA1686" t="s">
        <v>712</v>
      </c>
      <c r="CC1686" t="s">
        <v>131</v>
      </c>
      <c r="CD1686">
        <v>7530</v>
      </c>
      <c r="CE1686" t="s">
        <v>88</v>
      </c>
      <c r="CF1686" s="3">
        <v>45796</v>
      </c>
      <c r="CI1686">
        <v>1</v>
      </c>
      <c r="CJ1686">
        <v>1</v>
      </c>
      <c r="CK1686">
        <v>21</v>
      </c>
      <c r="CL1686" t="s">
        <v>89</v>
      </c>
    </row>
    <row r="1687" spans="1:90" x14ac:dyDescent="0.3">
      <c r="A1687" t="s">
        <v>72</v>
      </c>
      <c r="B1687" t="s">
        <v>73</v>
      </c>
      <c r="C1687" t="s">
        <v>74</v>
      </c>
      <c r="E1687" t="str">
        <f>"080065391725"</f>
        <v>080065391725</v>
      </c>
      <c r="F1687" s="3">
        <v>45792</v>
      </c>
      <c r="G1687">
        <v>202602</v>
      </c>
      <c r="H1687" t="s">
        <v>75</v>
      </c>
      <c r="I1687" t="s">
        <v>76</v>
      </c>
      <c r="J1687" t="s">
        <v>77</v>
      </c>
      <c r="K1687" t="s">
        <v>78</v>
      </c>
      <c r="L1687" t="s">
        <v>90</v>
      </c>
      <c r="M1687" t="s">
        <v>91</v>
      </c>
      <c r="N1687" t="s">
        <v>563</v>
      </c>
      <c r="O1687" t="s">
        <v>82</v>
      </c>
      <c r="P1687" t="str">
        <f>"4170038798                    "</f>
        <v xml:space="preserve">4170038798                    </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21.38</v>
      </c>
      <c r="AR1687">
        <v>0</v>
      </c>
      <c r="AS1687">
        <v>0</v>
      </c>
      <c r="AT1687">
        <v>0</v>
      </c>
      <c r="AU1687">
        <v>0</v>
      </c>
      <c r="AV1687">
        <v>0</v>
      </c>
      <c r="AW1687">
        <v>0</v>
      </c>
      <c r="AX1687">
        <v>0</v>
      </c>
      <c r="AY1687">
        <v>0</v>
      </c>
      <c r="AZ1687">
        <v>0</v>
      </c>
      <c r="BA1687">
        <v>0</v>
      </c>
      <c r="BB1687">
        <v>0</v>
      </c>
      <c r="BC1687">
        <v>0</v>
      </c>
      <c r="BD1687">
        <v>0</v>
      </c>
      <c r="BE1687">
        <v>0</v>
      </c>
      <c r="BF1687">
        <v>0</v>
      </c>
      <c r="BG1687">
        <v>0</v>
      </c>
      <c r="BH1687">
        <v>1</v>
      </c>
      <c r="BI1687">
        <v>1</v>
      </c>
      <c r="BJ1687">
        <v>1.4</v>
      </c>
      <c r="BK1687">
        <v>1.5</v>
      </c>
      <c r="BL1687">
        <v>69.98</v>
      </c>
      <c r="BM1687">
        <v>10.5</v>
      </c>
      <c r="BN1687">
        <v>80.48</v>
      </c>
      <c r="BO1687">
        <v>80.48</v>
      </c>
      <c r="BQ1687" t="s">
        <v>564</v>
      </c>
      <c r="BR1687" t="s">
        <v>84</v>
      </c>
      <c r="BS1687" s="3">
        <v>45793</v>
      </c>
      <c r="BT1687" s="4">
        <v>0.35833333333333334</v>
      </c>
      <c r="BU1687" t="s">
        <v>780</v>
      </c>
      <c r="BV1687" t="s">
        <v>86</v>
      </c>
      <c r="BY1687">
        <v>7000</v>
      </c>
      <c r="CA1687" t="s">
        <v>566</v>
      </c>
      <c r="CC1687" t="s">
        <v>91</v>
      </c>
      <c r="CD1687">
        <v>6001</v>
      </c>
      <c r="CE1687" t="s">
        <v>116</v>
      </c>
      <c r="CF1687" s="3">
        <v>45793</v>
      </c>
      <c r="CI1687">
        <v>1</v>
      </c>
      <c r="CJ1687">
        <v>1</v>
      </c>
      <c r="CK1687">
        <v>21</v>
      </c>
      <c r="CL1687" t="s">
        <v>89</v>
      </c>
    </row>
    <row r="1688" spans="1:90" x14ac:dyDescent="0.3">
      <c r="A1688" t="s">
        <v>72</v>
      </c>
      <c r="B1688" t="s">
        <v>73</v>
      </c>
      <c r="C1688" t="s">
        <v>74</v>
      </c>
      <c r="E1688" t="str">
        <f>"080065391732"</f>
        <v>080065391732</v>
      </c>
      <c r="F1688" s="3">
        <v>45792</v>
      </c>
      <c r="G1688">
        <v>202602</v>
      </c>
      <c r="H1688" t="s">
        <v>75</v>
      </c>
      <c r="I1688" t="s">
        <v>76</v>
      </c>
      <c r="J1688" t="s">
        <v>77</v>
      </c>
      <c r="K1688" t="s">
        <v>78</v>
      </c>
      <c r="L1688" t="s">
        <v>1099</v>
      </c>
      <c r="M1688" t="s">
        <v>1100</v>
      </c>
      <c r="N1688" t="s">
        <v>1101</v>
      </c>
      <c r="O1688" t="s">
        <v>82</v>
      </c>
      <c r="P1688" t="str">
        <f>"4170038723                    "</f>
        <v xml:space="preserve">4170038723                    </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0</v>
      </c>
      <c r="AL1688">
        <v>0</v>
      </c>
      <c r="AM1688">
        <v>0</v>
      </c>
      <c r="AN1688">
        <v>0</v>
      </c>
      <c r="AO1688">
        <v>0</v>
      </c>
      <c r="AP1688">
        <v>0</v>
      </c>
      <c r="AQ1688">
        <v>41.43</v>
      </c>
      <c r="AR1688">
        <v>0</v>
      </c>
      <c r="AS1688">
        <v>0</v>
      </c>
      <c r="AT1688">
        <v>0</v>
      </c>
      <c r="AU1688">
        <v>0</v>
      </c>
      <c r="AV1688">
        <v>0</v>
      </c>
      <c r="AW1688">
        <v>0</v>
      </c>
      <c r="AX1688">
        <v>0</v>
      </c>
      <c r="AY1688">
        <v>0</v>
      </c>
      <c r="AZ1688">
        <v>0</v>
      </c>
      <c r="BA1688">
        <v>0</v>
      </c>
      <c r="BB1688">
        <v>0</v>
      </c>
      <c r="BC1688">
        <v>0</v>
      </c>
      <c r="BD1688">
        <v>0</v>
      </c>
      <c r="BE1688">
        <v>0</v>
      </c>
      <c r="BF1688">
        <v>0</v>
      </c>
      <c r="BG1688">
        <v>0</v>
      </c>
      <c r="BH1688">
        <v>1</v>
      </c>
      <c r="BI1688">
        <v>1</v>
      </c>
      <c r="BJ1688">
        <v>0.2</v>
      </c>
      <c r="BK1688">
        <v>1</v>
      </c>
      <c r="BL1688">
        <v>135.59</v>
      </c>
      <c r="BM1688">
        <v>20.34</v>
      </c>
      <c r="BN1688">
        <v>155.93</v>
      </c>
      <c r="BO1688">
        <v>155.93</v>
      </c>
      <c r="BQ1688" t="s">
        <v>1102</v>
      </c>
      <c r="BR1688" t="s">
        <v>84</v>
      </c>
      <c r="BS1688" s="3">
        <v>45793</v>
      </c>
      <c r="BT1688" s="4">
        <v>0.39930555555555558</v>
      </c>
      <c r="BU1688" t="s">
        <v>2274</v>
      </c>
      <c r="BV1688" t="s">
        <v>86</v>
      </c>
      <c r="BY1688">
        <v>1200</v>
      </c>
      <c r="CA1688" t="s">
        <v>1104</v>
      </c>
      <c r="CC1688" t="s">
        <v>1100</v>
      </c>
      <c r="CD1688" s="5" t="s">
        <v>1105</v>
      </c>
      <c r="CE1688" t="s">
        <v>88</v>
      </c>
      <c r="CF1688" s="3">
        <v>45796</v>
      </c>
      <c r="CI1688">
        <v>1</v>
      </c>
      <c r="CJ1688">
        <v>1</v>
      </c>
      <c r="CK1688">
        <v>23</v>
      </c>
      <c r="CL1688" t="s">
        <v>89</v>
      </c>
    </row>
    <row r="1689" spans="1:90" x14ac:dyDescent="0.3">
      <c r="A1689" t="s">
        <v>72</v>
      </c>
      <c r="B1689" t="s">
        <v>73</v>
      </c>
      <c r="C1689" t="s">
        <v>74</v>
      </c>
      <c r="E1689" t="str">
        <f>"080065391759"</f>
        <v>080065391759</v>
      </c>
      <c r="F1689" s="3">
        <v>45792</v>
      </c>
      <c r="G1689">
        <v>202602</v>
      </c>
      <c r="H1689" t="s">
        <v>75</v>
      </c>
      <c r="I1689" t="s">
        <v>76</v>
      </c>
      <c r="J1689" t="s">
        <v>77</v>
      </c>
      <c r="K1689" t="s">
        <v>78</v>
      </c>
      <c r="L1689" t="s">
        <v>97</v>
      </c>
      <c r="M1689" t="s">
        <v>98</v>
      </c>
      <c r="N1689" t="s">
        <v>1061</v>
      </c>
      <c r="O1689" t="s">
        <v>82</v>
      </c>
      <c r="P1689" t="str">
        <f>"4170038824                    "</f>
        <v xml:space="preserve">4170038824                    </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0</v>
      </c>
      <c r="AL1689">
        <v>0</v>
      </c>
      <c r="AM1689">
        <v>0</v>
      </c>
      <c r="AN1689">
        <v>0</v>
      </c>
      <c r="AO1689">
        <v>0</v>
      </c>
      <c r="AP1689">
        <v>0</v>
      </c>
      <c r="AQ1689">
        <v>16.7</v>
      </c>
      <c r="AR1689">
        <v>0</v>
      </c>
      <c r="AS1689">
        <v>0</v>
      </c>
      <c r="AT1689">
        <v>0</v>
      </c>
      <c r="AU1689">
        <v>0</v>
      </c>
      <c r="AV1689">
        <v>0</v>
      </c>
      <c r="AW1689">
        <v>0</v>
      </c>
      <c r="AX1689">
        <v>0</v>
      </c>
      <c r="AY1689">
        <v>0</v>
      </c>
      <c r="AZ1689">
        <v>0</v>
      </c>
      <c r="BA1689">
        <v>0</v>
      </c>
      <c r="BB1689">
        <v>0</v>
      </c>
      <c r="BC1689">
        <v>0</v>
      </c>
      <c r="BD1689">
        <v>0</v>
      </c>
      <c r="BE1689">
        <v>0</v>
      </c>
      <c r="BF1689">
        <v>0</v>
      </c>
      <c r="BG1689">
        <v>0</v>
      </c>
      <c r="BH1689">
        <v>1</v>
      </c>
      <c r="BI1689">
        <v>1</v>
      </c>
      <c r="BJ1689">
        <v>0.2</v>
      </c>
      <c r="BK1689">
        <v>1</v>
      </c>
      <c r="BL1689">
        <v>54.66</v>
      </c>
      <c r="BM1689">
        <v>8.1999999999999993</v>
      </c>
      <c r="BN1689">
        <v>62.86</v>
      </c>
      <c r="BO1689">
        <v>62.86</v>
      </c>
      <c r="BQ1689" t="s">
        <v>1062</v>
      </c>
      <c r="BR1689" t="s">
        <v>84</v>
      </c>
      <c r="BS1689" s="3">
        <v>45796</v>
      </c>
      <c r="BT1689" s="4">
        <v>0.42708333333333331</v>
      </c>
      <c r="BU1689" t="s">
        <v>2275</v>
      </c>
      <c r="BV1689" t="s">
        <v>89</v>
      </c>
      <c r="BW1689" t="s">
        <v>148</v>
      </c>
      <c r="BX1689" t="s">
        <v>203</v>
      </c>
      <c r="BY1689">
        <v>1200</v>
      </c>
      <c r="CC1689" t="s">
        <v>98</v>
      </c>
      <c r="CD1689">
        <v>1459</v>
      </c>
      <c r="CE1689" t="s">
        <v>88</v>
      </c>
      <c r="CF1689" s="3">
        <v>45797</v>
      </c>
      <c r="CI1689">
        <v>1</v>
      </c>
      <c r="CJ1689">
        <v>2</v>
      </c>
      <c r="CK1689">
        <v>22</v>
      </c>
      <c r="CL1689" t="s">
        <v>89</v>
      </c>
    </row>
    <row r="1690" spans="1:90" x14ac:dyDescent="0.3">
      <c r="A1690" t="s">
        <v>72</v>
      </c>
      <c r="B1690" t="s">
        <v>73</v>
      </c>
      <c r="C1690" t="s">
        <v>74</v>
      </c>
      <c r="E1690" t="str">
        <f>"080065391764"</f>
        <v>080065391764</v>
      </c>
      <c r="F1690" s="3">
        <v>45792</v>
      </c>
      <c r="G1690">
        <v>202602</v>
      </c>
      <c r="H1690" t="s">
        <v>75</v>
      </c>
      <c r="I1690" t="s">
        <v>76</v>
      </c>
      <c r="J1690" t="s">
        <v>77</v>
      </c>
      <c r="K1690" t="s">
        <v>78</v>
      </c>
      <c r="L1690" t="s">
        <v>130</v>
      </c>
      <c r="M1690" t="s">
        <v>131</v>
      </c>
      <c r="N1690" t="s">
        <v>699</v>
      </c>
      <c r="O1690" t="s">
        <v>82</v>
      </c>
      <c r="P1690" t="str">
        <f>"4170038812                    "</f>
        <v xml:space="preserve">4170038812                    </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0</v>
      </c>
      <c r="AL1690">
        <v>0</v>
      </c>
      <c r="AM1690">
        <v>0</v>
      </c>
      <c r="AN1690">
        <v>0</v>
      </c>
      <c r="AO1690">
        <v>0</v>
      </c>
      <c r="AP1690">
        <v>0</v>
      </c>
      <c r="AQ1690">
        <v>21.38</v>
      </c>
      <c r="AR1690">
        <v>0</v>
      </c>
      <c r="AS1690">
        <v>0</v>
      </c>
      <c r="AT1690">
        <v>0</v>
      </c>
      <c r="AU1690">
        <v>0</v>
      </c>
      <c r="AV1690">
        <v>0</v>
      </c>
      <c r="AW1690">
        <v>0</v>
      </c>
      <c r="AX1690">
        <v>0</v>
      </c>
      <c r="AY1690">
        <v>0</v>
      </c>
      <c r="AZ1690">
        <v>0</v>
      </c>
      <c r="BA1690">
        <v>0</v>
      </c>
      <c r="BB1690">
        <v>0</v>
      </c>
      <c r="BC1690">
        <v>0</v>
      </c>
      <c r="BD1690">
        <v>0</v>
      </c>
      <c r="BE1690">
        <v>0</v>
      </c>
      <c r="BF1690">
        <v>0</v>
      </c>
      <c r="BG1690">
        <v>0</v>
      </c>
      <c r="BH1690">
        <v>1</v>
      </c>
      <c r="BI1690">
        <v>1</v>
      </c>
      <c r="BJ1690">
        <v>1.1000000000000001</v>
      </c>
      <c r="BK1690">
        <v>1.5</v>
      </c>
      <c r="BL1690">
        <v>69.98</v>
      </c>
      <c r="BM1690">
        <v>10.5</v>
      </c>
      <c r="BN1690">
        <v>80.48</v>
      </c>
      <c r="BO1690">
        <v>80.48</v>
      </c>
      <c r="BQ1690" t="s">
        <v>700</v>
      </c>
      <c r="BR1690" t="s">
        <v>84</v>
      </c>
      <c r="BS1690" s="3">
        <v>45793</v>
      </c>
      <c r="BT1690" s="4">
        <v>0.41180555555555554</v>
      </c>
      <c r="BU1690" t="s">
        <v>701</v>
      </c>
      <c r="BV1690" t="s">
        <v>86</v>
      </c>
      <c r="BY1690">
        <v>5320</v>
      </c>
      <c r="CC1690" t="s">
        <v>131</v>
      </c>
      <c r="CD1690">
        <v>7480</v>
      </c>
      <c r="CE1690" t="s">
        <v>116</v>
      </c>
      <c r="CF1690" s="3">
        <v>45796</v>
      </c>
      <c r="CI1690">
        <v>1</v>
      </c>
      <c r="CJ1690">
        <v>1</v>
      </c>
      <c r="CK1690">
        <v>21</v>
      </c>
      <c r="CL1690" t="s">
        <v>89</v>
      </c>
    </row>
    <row r="1691" spans="1:90" x14ac:dyDescent="0.3">
      <c r="A1691" t="s">
        <v>72</v>
      </c>
      <c r="B1691" t="s">
        <v>73</v>
      </c>
      <c r="C1691" t="s">
        <v>74</v>
      </c>
      <c r="E1691" t="str">
        <f>"080065391791"</f>
        <v>080065391791</v>
      </c>
      <c r="F1691" s="3">
        <v>45792</v>
      </c>
      <c r="G1691">
        <v>202602</v>
      </c>
      <c r="H1691" t="s">
        <v>75</v>
      </c>
      <c r="I1691" t="s">
        <v>76</v>
      </c>
      <c r="J1691" t="s">
        <v>77</v>
      </c>
      <c r="K1691" t="s">
        <v>78</v>
      </c>
      <c r="L1691" t="s">
        <v>331</v>
      </c>
      <c r="M1691" t="s">
        <v>332</v>
      </c>
      <c r="N1691" t="s">
        <v>333</v>
      </c>
      <c r="O1691" t="s">
        <v>82</v>
      </c>
      <c r="P1691" t="str">
        <f>"4170038773                    "</f>
        <v xml:space="preserve">4170038773                    </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0</v>
      </c>
      <c r="AL1691">
        <v>0</v>
      </c>
      <c r="AM1691">
        <v>0</v>
      </c>
      <c r="AN1691">
        <v>0</v>
      </c>
      <c r="AO1691">
        <v>0</v>
      </c>
      <c r="AP1691">
        <v>0</v>
      </c>
      <c r="AQ1691">
        <v>22.71</v>
      </c>
      <c r="AR1691">
        <v>0</v>
      </c>
      <c r="AS1691">
        <v>0</v>
      </c>
      <c r="AT1691">
        <v>0</v>
      </c>
      <c r="AU1691">
        <v>0</v>
      </c>
      <c r="AV1691">
        <v>0</v>
      </c>
      <c r="AW1691">
        <v>0</v>
      </c>
      <c r="AX1691">
        <v>0</v>
      </c>
      <c r="AY1691">
        <v>0</v>
      </c>
      <c r="AZ1691">
        <v>0</v>
      </c>
      <c r="BA1691">
        <v>0</v>
      </c>
      <c r="BB1691">
        <v>0</v>
      </c>
      <c r="BC1691">
        <v>0</v>
      </c>
      <c r="BD1691">
        <v>0</v>
      </c>
      <c r="BE1691">
        <v>0</v>
      </c>
      <c r="BF1691">
        <v>0</v>
      </c>
      <c r="BG1691">
        <v>0</v>
      </c>
      <c r="BH1691">
        <v>1</v>
      </c>
      <c r="BI1691">
        <v>11</v>
      </c>
      <c r="BJ1691">
        <v>8.9</v>
      </c>
      <c r="BK1691">
        <v>11</v>
      </c>
      <c r="BL1691">
        <v>74.319999999999993</v>
      </c>
      <c r="BM1691">
        <v>11.15</v>
      </c>
      <c r="BN1691">
        <v>85.47</v>
      </c>
      <c r="BO1691">
        <v>85.47</v>
      </c>
      <c r="BQ1691" t="s">
        <v>334</v>
      </c>
      <c r="BR1691" t="s">
        <v>84</v>
      </c>
      <c r="BS1691" s="3">
        <v>45793</v>
      </c>
      <c r="BT1691" s="4">
        <v>0.3611111111111111</v>
      </c>
      <c r="BU1691" t="s">
        <v>335</v>
      </c>
      <c r="BV1691" t="s">
        <v>86</v>
      </c>
      <c r="BY1691">
        <v>44640</v>
      </c>
      <c r="CA1691" t="s">
        <v>336</v>
      </c>
      <c r="CC1691" t="s">
        <v>332</v>
      </c>
      <c r="CD1691">
        <v>1451</v>
      </c>
      <c r="CE1691" t="s">
        <v>96</v>
      </c>
      <c r="CF1691" s="3">
        <v>45793</v>
      </c>
      <c r="CI1691">
        <v>1</v>
      </c>
      <c r="CJ1691">
        <v>1</v>
      </c>
      <c r="CK1691">
        <v>22</v>
      </c>
      <c r="CL1691" t="s">
        <v>89</v>
      </c>
    </row>
    <row r="1692" spans="1:90" x14ac:dyDescent="0.3">
      <c r="A1692" t="s">
        <v>72</v>
      </c>
      <c r="B1692" t="s">
        <v>73</v>
      </c>
      <c r="C1692" t="s">
        <v>74</v>
      </c>
      <c r="E1692" t="str">
        <f>"080065391822"</f>
        <v>080065391822</v>
      </c>
      <c r="F1692" s="3">
        <v>45792</v>
      </c>
      <c r="G1692">
        <v>202602</v>
      </c>
      <c r="H1692" t="s">
        <v>75</v>
      </c>
      <c r="I1692" t="s">
        <v>76</v>
      </c>
      <c r="J1692" t="s">
        <v>77</v>
      </c>
      <c r="K1692" t="s">
        <v>78</v>
      </c>
      <c r="L1692" t="s">
        <v>90</v>
      </c>
      <c r="M1692" t="s">
        <v>91</v>
      </c>
      <c r="N1692" t="s">
        <v>563</v>
      </c>
      <c r="O1692" t="s">
        <v>300</v>
      </c>
      <c r="P1692" t="str">
        <f>"4170038778                    "</f>
        <v xml:space="preserve">4170038778                    </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0</v>
      </c>
      <c r="AL1692">
        <v>0</v>
      </c>
      <c r="AM1692">
        <v>0</v>
      </c>
      <c r="AN1692">
        <v>0</v>
      </c>
      <c r="AO1692">
        <v>0</v>
      </c>
      <c r="AP1692">
        <v>0</v>
      </c>
      <c r="AQ1692">
        <v>77.2</v>
      </c>
      <c r="AR1692">
        <v>0</v>
      </c>
      <c r="AS1692">
        <v>0</v>
      </c>
      <c r="AT1692">
        <v>0</v>
      </c>
      <c r="AU1692">
        <v>0</v>
      </c>
      <c r="AV1692">
        <v>0</v>
      </c>
      <c r="AW1692">
        <v>0</v>
      </c>
      <c r="AX1692">
        <v>0</v>
      </c>
      <c r="AY1692">
        <v>0</v>
      </c>
      <c r="AZ1692">
        <v>0</v>
      </c>
      <c r="BA1692">
        <v>0</v>
      </c>
      <c r="BB1692">
        <v>0</v>
      </c>
      <c r="BC1692">
        <v>0</v>
      </c>
      <c r="BD1692">
        <v>0</v>
      </c>
      <c r="BE1692">
        <v>0</v>
      </c>
      <c r="BF1692">
        <v>0</v>
      </c>
      <c r="BG1692">
        <v>0</v>
      </c>
      <c r="BH1692">
        <v>2</v>
      </c>
      <c r="BI1692">
        <v>34</v>
      </c>
      <c r="BJ1692">
        <v>35.299999999999997</v>
      </c>
      <c r="BK1692">
        <v>36</v>
      </c>
      <c r="BL1692">
        <v>258.23</v>
      </c>
      <c r="BM1692">
        <v>38.729999999999997</v>
      </c>
      <c r="BN1692">
        <v>296.95999999999998</v>
      </c>
      <c r="BO1692">
        <v>296.95999999999998</v>
      </c>
      <c r="BQ1692" t="s">
        <v>564</v>
      </c>
      <c r="BR1692" t="s">
        <v>84</v>
      </c>
      <c r="BS1692" s="3">
        <v>45796</v>
      </c>
      <c r="BT1692" s="4">
        <v>0.34722222222222221</v>
      </c>
      <c r="BU1692" t="s">
        <v>780</v>
      </c>
      <c r="BV1692" t="s">
        <v>86</v>
      </c>
      <c r="BY1692">
        <v>176640</v>
      </c>
      <c r="CA1692" t="s">
        <v>566</v>
      </c>
      <c r="CC1692" t="s">
        <v>91</v>
      </c>
      <c r="CD1692">
        <v>6001</v>
      </c>
      <c r="CE1692" t="s">
        <v>96</v>
      </c>
      <c r="CF1692" s="3">
        <v>45797</v>
      </c>
      <c r="CI1692">
        <v>3</v>
      </c>
      <c r="CJ1692">
        <v>2</v>
      </c>
      <c r="CK1692">
        <v>41</v>
      </c>
      <c r="CL1692" t="s">
        <v>89</v>
      </c>
    </row>
    <row r="1693" spans="1:90" x14ac:dyDescent="0.3">
      <c r="A1693" t="s">
        <v>72</v>
      </c>
      <c r="B1693" t="s">
        <v>73</v>
      </c>
      <c r="C1693" t="s">
        <v>74</v>
      </c>
      <c r="E1693" t="str">
        <f>"080065392089"</f>
        <v>080065392089</v>
      </c>
      <c r="F1693" s="3">
        <v>45792</v>
      </c>
      <c r="G1693">
        <v>202602</v>
      </c>
      <c r="H1693" t="s">
        <v>75</v>
      </c>
      <c r="I1693" t="s">
        <v>76</v>
      </c>
      <c r="J1693" t="s">
        <v>77</v>
      </c>
      <c r="K1693" t="s">
        <v>78</v>
      </c>
      <c r="L1693" t="s">
        <v>350</v>
      </c>
      <c r="M1693" t="s">
        <v>351</v>
      </c>
      <c r="N1693" t="s">
        <v>352</v>
      </c>
      <c r="O1693" t="s">
        <v>82</v>
      </c>
      <c r="P1693" t="str">
        <f>"4170038809                    "</f>
        <v xml:space="preserve">4170038809                    </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v>0</v>
      </c>
      <c r="AM1693">
        <v>0</v>
      </c>
      <c r="AN1693">
        <v>0</v>
      </c>
      <c r="AO1693">
        <v>0</v>
      </c>
      <c r="AP1693">
        <v>0</v>
      </c>
      <c r="AQ1693">
        <v>21.38</v>
      </c>
      <c r="AR1693">
        <v>0</v>
      </c>
      <c r="AS1693">
        <v>0</v>
      </c>
      <c r="AT1693">
        <v>0</v>
      </c>
      <c r="AU1693">
        <v>0</v>
      </c>
      <c r="AV1693">
        <v>0</v>
      </c>
      <c r="AW1693">
        <v>0</v>
      </c>
      <c r="AX1693">
        <v>0</v>
      </c>
      <c r="AY1693">
        <v>0</v>
      </c>
      <c r="AZ1693">
        <v>0</v>
      </c>
      <c r="BA1693">
        <v>0</v>
      </c>
      <c r="BB1693">
        <v>0</v>
      </c>
      <c r="BC1693">
        <v>0</v>
      </c>
      <c r="BD1693">
        <v>0</v>
      </c>
      <c r="BE1693">
        <v>0</v>
      </c>
      <c r="BF1693">
        <v>0</v>
      </c>
      <c r="BG1693">
        <v>0</v>
      </c>
      <c r="BH1693">
        <v>1</v>
      </c>
      <c r="BI1693">
        <v>1</v>
      </c>
      <c r="BJ1693">
        <v>0.2</v>
      </c>
      <c r="BK1693">
        <v>1</v>
      </c>
      <c r="BL1693">
        <v>69.98</v>
      </c>
      <c r="BM1693">
        <v>10.5</v>
      </c>
      <c r="BN1693">
        <v>80.48</v>
      </c>
      <c r="BO1693">
        <v>80.48</v>
      </c>
      <c r="BQ1693" t="s">
        <v>353</v>
      </c>
      <c r="BR1693" t="s">
        <v>84</v>
      </c>
      <c r="BS1693" s="3">
        <v>45793</v>
      </c>
      <c r="BT1693" s="4">
        <v>0.47222222222222221</v>
      </c>
      <c r="BU1693" t="s">
        <v>623</v>
      </c>
      <c r="BV1693" t="s">
        <v>89</v>
      </c>
      <c r="BW1693" t="s">
        <v>434</v>
      </c>
      <c r="BX1693" t="s">
        <v>1829</v>
      </c>
      <c r="BY1693">
        <v>1200</v>
      </c>
      <c r="CA1693" t="s">
        <v>160</v>
      </c>
      <c r="CC1693" t="s">
        <v>351</v>
      </c>
      <c r="CD1693">
        <v>4000</v>
      </c>
      <c r="CE1693" t="s">
        <v>88</v>
      </c>
      <c r="CF1693" s="3">
        <v>45796</v>
      </c>
      <c r="CI1693">
        <v>1</v>
      </c>
      <c r="CJ1693">
        <v>1</v>
      </c>
      <c r="CK1693">
        <v>21</v>
      </c>
      <c r="CL1693" t="s">
        <v>89</v>
      </c>
    </row>
    <row r="1694" spans="1:90" x14ac:dyDescent="0.3">
      <c r="A1694" t="s">
        <v>72</v>
      </c>
      <c r="B1694" t="s">
        <v>73</v>
      </c>
      <c r="C1694" t="s">
        <v>74</v>
      </c>
      <c r="E1694" t="str">
        <f>"080065392206"</f>
        <v>080065392206</v>
      </c>
      <c r="F1694" s="3">
        <v>45792</v>
      </c>
      <c r="G1694">
        <v>202602</v>
      </c>
      <c r="H1694" t="s">
        <v>75</v>
      </c>
      <c r="I1694" t="s">
        <v>76</v>
      </c>
      <c r="J1694" t="s">
        <v>77</v>
      </c>
      <c r="K1694" t="s">
        <v>78</v>
      </c>
      <c r="L1694" t="s">
        <v>90</v>
      </c>
      <c r="M1694" t="s">
        <v>91</v>
      </c>
      <c r="N1694" t="s">
        <v>563</v>
      </c>
      <c r="O1694" t="s">
        <v>82</v>
      </c>
      <c r="P1694" t="str">
        <f>"4170038657                    "</f>
        <v xml:space="preserve">4170038657                    </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c r="AJ1694">
        <v>0</v>
      </c>
      <c r="AK1694">
        <v>0</v>
      </c>
      <c r="AL1694">
        <v>0</v>
      </c>
      <c r="AM1694">
        <v>0</v>
      </c>
      <c r="AN1694">
        <v>0</v>
      </c>
      <c r="AO1694">
        <v>0</v>
      </c>
      <c r="AP1694">
        <v>0</v>
      </c>
      <c r="AQ1694">
        <v>21.38</v>
      </c>
      <c r="AR1694">
        <v>0</v>
      </c>
      <c r="AS1694">
        <v>0</v>
      </c>
      <c r="AT1694">
        <v>0</v>
      </c>
      <c r="AU1694">
        <v>0</v>
      </c>
      <c r="AV1694">
        <v>0</v>
      </c>
      <c r="AW1694">
        <v>0</v>
      </c>
      <c r="AX1694">
        <v>0</v>
      </c>
      <c r="AY1694">
        <v>0</v>
      </c>
      <c r="AZ1694">
        <v>0</v>
      </c>
      <c r="BA1694">
        <v>0</v>
      </c>
      <c r="BB1694">
        <v>0</v>
      </c>
      <c r="BC1694">
        <v>0</v>
      </c>
      <c r="BD1694">
        <v>0</v>
      </c>
      <c r="BE1694">
        <v>0</v>
      </c>
      <c r="BF1694">
        <v>0</v>
      </c>
      <c r="BG1694">
        <v>0</v>
      </c>
      <c r="BH1694">
        <v>1</v>
      </c>
      <c r="BI1694">
        <v>1</v>
      </c>
      <c r="BJ1694">
        <v>0.6</v>
      </c>
      <c r="BK1694">
        <v>1</v>
      </c>
      <c r="BL1694">
        <v>69.98</v>
      </c>
      <c r="BM1694">
        <v>10.5</v>
      </c>
      <c r="BN1694">
        <v>80.48</v>
      </c>
      <c r="BO1694">
        <v>80.48</v>
      </c>
      <c r="BQ1694" t="s">
        <v>564</v>
      </c>
      <c r="BR1694" t="s">
        <v>84</v>
      </c>
      <c r="BS1694" s="3">
        <v>45793</v>
      </c>
      <c r="BT1694" s="4">
        <v>0.35625000000000001</v>
      </c>
      <c r="BU1694" t="s">
        <v>780</v>
      </c>
      <c r="BV1694" t="s">
        <v>86</v>
      </c>
      <c r="BY1694">
        <v>3192</v>
      </c>
      <c r="CA1694" t="s">
        <v>566</v>
      </c>
      <c r="CC1694" t="s">
        <v>91</v>
      </c>
      <c r="CD1694">
        <v>6001</v>
      </c>
      <c r="CE1694" t="s">
        <v>116</v>
      </c>
      <c r="CF1694" s="3">
        <v>45793</v>
      </c>
      <c r="CI1694">
        <v>1</v>
      </c>
      <c r="CJ1694">
        <v>1</v>
      </c>
      <c r="CK1694">
        <v>21</v>
      </c>
      <c r="CL1694" t="s">
        <v>89</v>
      </c>
    </row>
    <row r="1695" spans="1:90" x14ac:dyDescent="0.3">
      <c r="A1695" t="s">
        <v>72</v>
      </c>
      <c r="B1695" t="s">
        <v>73</v>
      </c>
      <c r="C1695" t="s">
        <v>74</v>
      </c>
      <c r="E1695" t="str">
        <f>"080065392469"</f>
        <v>080065392469</v>
      </c>
      <c r="F1695" s="3">
        <v>45792</v>
      </c>
      <c r="G1695">
        <v>202602</v>
      </c>
      <c r="H1695" t="s">
        <v>75</v>
      </c>
      <c r="I1695" t="s">
        <v>76</v>
      </c>
      <c r="J1695" t="s">
        <v>77</v>
      </c>
      <c r="K1695" t="s">
        <v>78</v>
      </c>
      <c r="L1695" t="s">
        <v>463</v>
      </c>
      <c r="M1695" t="s">
        <v>464</v>
      </c>
      <c r="N1695" t="s">
        <v>744</v>
      </c>
      <c r="O1695" t="s">
        <v>82</v>
      </c>
      <c r="P1695" t="str">
        <f>"4170038751                    "</f>
        <v xml:space="preserve">4170038751                    </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0</v>
      </c>
      <c r="AL1695">
        <v>0</v>
      </c>
      <c r="AM1695">
        <v>0</v>
      </c>
      <c r="AN1695">
        <v>0</v>
      </c>
      <c r="AO1695">
        <v>0</v>
      </c>
      <c r="AP1695">
        <v>0</v>
      </c>
      <c r="AQ1695">
        <v>170.95</v>
      </c>
      <c r="AR1695">
        <v>0</v>
      </c>
      <c r="AS1695">
        <v>0</v>
      </c>
      <c r="AT1695">
        <v>0</v>
      </c>
      <c r="AU1695">
        <v>0</v>
      </c>
      <c r="AV1695">
        <v>0</v>
      </c>
      <c r="AW1695">
        <v>0</v>
      </c>
      <c r="AX1695">
        <v>0</v>
      </c>
      <c r="AY1695">
        <v>0</v>
      </c>
      <c r="AZ1695">
        <v>0</v>
      </c>
      <c r="BA1695">
        <v>0</v>
      </c>
      <c r="BB1695">
        <v>0</v>
      </c>
      <c r="BC1695">
        <v>0</v>
      </c>
      <c r="BD1695">
        <v>0</v>
      </c>
      <c r="BE1695">
        <v>0</v>
      </c>
      <c r="BF1695">
        <v>0</v>
      </c>
      <c r="BG1695">
        <v>0</v>
      </c>
      <c r="BH1695">
        <v>1</v>
      </c>
      <c r="BI1695">
        <v>16</v>
      </c>
      <c r="BJ1695">
        <v>6</v>
      </c>
      <c r="BK1695">
        <v>16</v>
      </c>
      <c r="BL1695">
        <v>559.47</v>
      </c>
      <c r="BM1695">
        <v>83.92</v>
      </c>
      <c r="BN1695">
        <v>643.39</v>
      </c>
      <c r="BO1695">
        <v>643.39</v>
      </c>
      <c r="BQ1695" t="s">
        <v>745</v>
      </c>
      <c r="BR1695" t="s">
        <v>84</v>
      </c>
      <c r="BS1695" s="3">
        <v>45793</v>
      </c>
      <c r="BT1695" s="4">
        <v>0.4861111111111111</v>
      </c>
      <c r="BU1695" t="s">
        <v>746</v>
      </c>
      <c r="BV1695" t="s">
        <v>89</v>
      </c>
      <c r="BW1695" t="s">
        <v>148</v>
      </c>
      <c r="BX1695" t="s">
        <v>2215</v>
      </c>
      <c r="BY1695">
        <v>29808</v>
      </c>
      <c r="CA1695" t="s">
        <v>588</v>
      </c>
      <c r="CC1695" t="s">
        <v>464</v>
      </c>
      <c r="CD1695">
        <v>5201</v>
      </c>
      <c r="CE1695" t="s">
        <v>221</v>
      </c>
      <c r="CF1695" s="3">
        <v>45795</v>
      </c>
      <c r="CI1695">
        <v>1</v>
      </c>
      <c r="CJ1695">
        <v>1</v>
      </c>
      <c r="CK1695">
        <v>21</v>
      </c>
      <c r="CL1695" t="s">
        <v>89</v>
      </c>
    </row>
    <row r="1696" spans="1:90" x14ac:dyDescent="0.3">
      <c r="A1696" t="s">
        <v>72</v>
      </c>
      <c r="B1696" t="s">
        <v>73</v>
      </c>
      <c r="C1696" t="s">
        <v>74</v>
      </c>
      <c r="E1696" t="str">
        <f>"080065392598"</f>
        <v>080065392598</v>
      </c>
      <c r="F1696" s="3">
        <v>45792</v>
      </c>
      <c r="G1696">
        <v>202602</v>
      </c>
      <c r="H1696" t="s">
        <v>75</v>
      </c>
      <c r="I1696" t="s">
        <v>76</v>
      </c>
      <c r="J1696" t="s">
        <v>77</v>
      </c>
      <c r="K1696" t="s">
        <v>78</v>
      </c>
      <c r="L1696" t="s">
        <v>123</v>
      </c>
      <c r="M1696" t="s">
        <v>123</v>
      </c>
      <c r="N1696" t="s">
        <v>766</v>
      </c>
      <c r="O1696" t="s">
        <v>82</v>
      </c>
      <c r="P1696" t="str">
        <f>"4170038792                    "</f>
        <v xml:space="preserve">4170038792                    </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0</v>
      </c>
      <c r="AL1696">
        <v>0</v>
      </c>
      <c r="AM1696">
        <v>0</v>
      </c>
      <c r="AN1696">
        <v>0</v>
      </c>
      <c r="AO1696">
        <v>0</v>
      </c>
      <c r="AP1696">
        <v>0</v>
      </c>
      <c r="AQ1696">
        <v>78.849999999999994</v>
      </c>
      <c r="AR1696">
        <v>0</v>
      </c>
      <c r="AS1696">
        <v>0</v>
      </c>
      <c r="AT1696">
        <v>0</v>
      </c>
      <c r="AU1696">
        <v>0</v>
      </c>
      <c r="AV1696">
        <v>0</v>
      </c>
      <c r="AW1696">
        <v>0</v>
      </c>
      <c r="AX1696">
        <v>0</v>
      </c>
      <c r="AY1696">
        <v>0</v>
      </c>
      <c r="AZ1696">
        <v>0</v>
      </c>
      <c r="BA1696">
        <v>0</v>
      </c>
      <c r="BB1696">
        <v>0</v>
      </c>
      <c r="BC1696">
        <v>0</v>
      </c>
      <c r="BD1696">
        <v>0</v>
      </c>
      <c r="BE1696">
        <v>0</v>
      </c>
      <c r="BF1696">
        <v>0</v>
      </c>
      <c r="BG1696">
        <v>0</v>
      </c>
      <c r="BH1696">
        <v>1</v>
      </c>
      <c r="BI1696">
        <v>4</v>
      </c>
      <c r="BJ1696">
        <v>1.5</v>
      </c>
      <c r="BK1696">
        <v>4</v>
      </c>
      <c r="BL1696">
        <v>258.05</v>
      </c>
      <c r="BM1696">
        <v>38.71</v>
      </c>
      <c r="BN1696">
        <v>296.76</v>
      </c>
      <c r="BO1696">
        <v>296.76</v>
      </c>
      <c r="BQ1696" t="s">
        <v>767</v>
      </c>
      <c r="BR1696" t="s">
        <v>84</v>
      </c>
      <c r="BS1696" s="3">
        <v>45793</v>
      </c>
      <c r="BT1696" s="4">
        <v>0.53263888888888888</v>
      </c>
      <c r="BU1696" t="s">
        <v>768</v>
      </c>
      <c r="BV1696" t="s">
        <v>86</v>
      </c>
      <c r="BY1696">
        <v>7252</v>
      </c>
      <c r="CA1696" t="s">
        <v>128</v>
      </c>
      <c r="CC1696" t="s">
        <v>123</v>
      </c>
      <c r="CD1696">
        <v>7646</v>
      </c>
      <c r="CE1696" t="s">
        <v>221</v>
      </c>
      <c r="CF1696" s="3">
        <v>45796</v>
      </c>
      <c r="CI1696">
        <v>0</v>
      </c>
      <c r="CJ1696">
        <v>0</v>
      </c>
      <c r="CK1696">
        <v>23</v>
      </c>
      <c r="CL1696" t="s">
        <v>89</v>
      </c>
    </row>
    <row r="1697" spans="1:90" x14ac:dyDescent="0.3">
      <c r="A1697" t="s">
        <v>72</v>
      </c>
      <c r="B1697" t="s">
        <v>73</v>
      </c>
      <c r="C1697" t="s">
        <v>74</v>
      </c>
      <c r="E1697" t="str">
        <f>"080065392692"</f>
        <v>080065392692</v>
      </c>
      <c r="F1697" s="3">
        <v>45792</v>
      </c>
      <c r="G1697">
        <v>202602</v>
      </c>
      <c r="H1697" t="s">
        <v>75</v>
      </c>
      <c r="I1697" t="s">
        <v>76</v>
      </c>
      <c r="J1697" t="s">
        <v>77</v>
      </c>
      <c r="K1697" t="s">
        <v>78</v>
      </c>
      <c r="L1697" t="s">
        <v>177</v>
      </c>
      <c r="M1697" t="s">
        <v>178</v>
      </c>
      <c r="N1697" t="s">
        <v>393</v>
      </c>
      <c r="O1697" t="s">
        <v>82</v>
      </c>
      <c r="P1697" t="str">
        <f>"4170038781                    "</f>
        <v xml:space="preserve">4170038781                    </v>
      </c>
      <c r="Q1697">
        <v>0</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0</v>
      </c>
      <c r="AL1697">
        <v>0</v>
      </c>
      <c r="AM1697">
        <v>0</v>
      </c>
      <c r="AN1697">
        <v>0</v>
      </c>
      <c r="AO1697">
        <v>0</v>
      </c>
      <c r="AP1697">
        <v>0</v>
      </c>
      <c r="AQ1697">
        <v>21.38</v>
      </c>
      <c r="AR1697">
        <v>0</v>
      </c>
      <c r="AS1697">
        <v>0</v>
      </c>
      <c r="AT1697">
        <v>0</v>
      </c>
      <c r="AU1697">
        <v>0</v>
      </c>
      <c r="AV1697">
        <v>0</v>
      </c>
      <c r="AW1697">
        <v>0</v>
      </c>
      <c r="AX1697">
        <v>0</v>
      </c>
      <c r="AY1697">
        <v>0</v>
      </c>
      <c r="AZ1697">
        <v>0</v>
      </c>
      <c r="BA1697">
        <v>0</v>
      </c>
      <c r="BB1697">
        <v>0</v>
      </c>
      <c r="BC1697">
        <v>0</v>
      </c>
      <c r="BD1697">
        <v>0</v>
      </c>
      <c r="BE1697">
        <v>0</v>
      </c>
      <c r="BF1697">
        <v>0</v>
      </c>
      <c r="BG1697">
        <v>0</v>
      </c>
      <c r="BH1697">
        <v>1</v>
      </c>
      <c r="BI1697">
        <v>1</v>
      </c>
      <c r="BJ1697">
        <v>1.1000000000000001</v>
      </c>
      <c r="BK1697">
        <v>1.5</v>
      </c>
      <c r="BL1697">
        <v>69.98</v>
      </c>
      <c r="BM1697">
        <v>10.5</v>
      </c>
      <c r="BN1697">
        <v>80.48</v>
      </c>
      <c r="BO1697">
        <v>80.48</v>
      </c>
      <c r="BQ1697" t="s">
        <v>394</v>
      </c>
      <c r="BR1697" t="s">
        <v>84</v>
      </c>
      <c r="BS1697" s="3">
        <v>45793</v>
      </c>
      <c r="BT1697" s="4">
        <v>0.3347222222222222</v>
      </c>
      <c r="BU1697" t="s">
        <v>2120</v>
      </c>
      <c r="BV1697" t="s">
        <v>86</v>
      </c>
      <c r="BY1697">
        <v>5320</v>
      </c>
      <c r="CA1697" t="s">
        <v>182</v>
      </c>
      <c r="CC1697" t="s">
        <v>178</v>
      </c>
      <c r="CD1697">
        <v>6230</v>
      </c>
      <c r="CE1697" t="s">
        <v>116</v>
      </c>
      <c r="CF1697" s="3">
        <v>45793</v>
      </c>
      <c r="CI1697">
        <v>1</v>
      </c>
      <c r="CJ1697">
        <v>1</v>
      </c>
      <c r="CK1697">
        <v>21</v>
      </c>
      <c r="CL1697" t="s">
        <v>89</v>
      </c>
    </row>
    <row r="1698" spans="1:90" x14ac:dyDescent="0.3">
      <c r="A1698" t="s">
        <v>72</v>
      </c>
      <c r="B1698" t="s">
        <v>73</v>
      </c>
      <c r="C1698" t="s">
        <v>74</v>
      </c>
      <c r="E1698" t="str">
        <f>"080065392752"</f>
        <v>080065392752</v>
      </c>
      <c r="F1698" s="3">
        <v>45792</v>
      </c>
      <c r="G1698">
        <v>202602</v>
      </c>
      <c r="H1698" t="s">
        <v>75</v>
      </c>
      <c r="I1698" t="s">
        <v>76</v>
      </c>
      <c r="J1698" t="s">
        <v>77</v>
      </c>
      <c r="K1698" t="s">
        <v>78</v>
      </c>
      <c r="L1698" t="s">
        <v>1553</v>
      </c>
      <c r="M1698" t="s">
        <v>1554</v>
      </c>
      <c r="N1698" t="s">
        <v>192</v>
      </c>
      <c r="O1698" t="s">
        <v>82</v>
      </c>
      <c r="P1698" t="str">
        <f>"4170038658                    "</f>
        <v xml:space="preserve">4170038658                    </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0</v>
      </c>
      <c r="AL1698">
        <v>0</v>
      </c>
      <c r="AM1698">
        <v>0</v>
      </c>
      <c r="AN1698">
        <v>0</v>
      </c>
      <c r="AO1698">
        <v>0</v>
      </c>
      <c r="AP1698">
        <v>0</v>
      </c>
      <c r="AQ1698">
        <v>21.38</v>
      </c>
      <c r="AR1698">
        <v>0</v>
      </c>
      <c r="AS1698">
        <v>0</v>
      </c>
      <c r="AT1698">
        <v>0</v>
      </c>
      <c r="AU1698">
        <v>0</v>
      </c>
      <c r="AV1698">
        <v>0</v>
      </c>
      <c r="AW1698">
        <v>0</v>
      </c>
      <c r="AX1698">
        <v>0</v>
      </c>
      <c r="AY1698">
        <v>0</v>
      </c>
      <c r="AZ1698">
        <v>0</v>
      </c>
      <c r="BA1698">
        <v>0</v>
      </c>
      <c r="BB1698">
        <v>0</v>
      </c>
      <c r="BC1698">
        <v>0</v>
      </c>
      <c r="BD1698">
        <v>0</v>
      </c>
      <c r="BE1698">
        <v>0</v>
      </c>
      <c r="BF1698">
        <v>0</v>
      </c>
      <c r="BG1698">
        <v>0</v>
      </c>
      <c r="BH1698">
        <v>1</v>
      </c>
      <c r="BI1698">
        <v>1</v>
      </c>
      <c r="BJ1698">
        <v>0.6</v>
      </c>
      <c r="BK1698">
        <v>1</v>
      </c>
      <c r="BL1698">
        <v>69.98</v>
      </c>
      <c r="BM1698">
        <v>10.5</v>
      </c>
      <c r="BN1698">
        <v>80.48</v>
      </c>
      <c r="BO1698">
        <v>80.48</v>
      </c>
      <c r="BQ1698" t="s">
        <v>193</v>
      </c>
      <c r="BR1698" t="s">
        <v>84</v>
      </c>
      <c r="BS1698" s="3">
        <v>45793</v>
      </c>
      <c r="BT1698" s="4">
        <v>0.39583333333333331</v>
      </c>
      <c r="BU1698" t="s">
        <v>2276</v>
      </c>
      <c r="BV1698" t="s">
        <v>86</v>
      </c>
      <c r="BY1698">
        <v>3192</v>
      </c>
      <c r="CA1698" t="s">
        <v>1558</v>
      </c>
      <c r="CC1698" t="s">
        <v>1554</v>
      </c>
      <c r="CD1698" s="5" t="s">
        <v>2277</v>
      </c>
      <c r="CE1698" t="s">
        <v>116</v>
      </c>
      <c r="CF1698" s="3">
        <v>45793</v>
      </c>
      <c r="CI1698">
        <v>1</v>
      </c>
      <c r="CJ1698">
        <v>1</v>
      </c>
      <c r="CK1698">
        <v>21</v>
      </c>
      <c r="CL1698" t="s">
        <v>89</v>
      </c>
    </row>
    <row r="1699" spans="1:90" x14ac:dyDescent="0.3">
      <c r="A1699" t="s">
        <v>72</v>
      </c>
      <c r="B1699" t="s">
        <v>73</v>
      </c>
      <c r="C1699" t="s">
        <v>74</v>
      </c>
      <c r="E1699" t="str">
        <f>"080065392764"</f>
        <v>080065392764</v>
      </c>
      <c r="F1699" s="3">
        <v>45792</v>
      </c>
      <c r="G1699">
        <v>202602</v>
      </c>
      <c r="H1699" t="s">
        <v>75</v>
      </c>
      <c r="I1699" t="s">
        <v>76</v>
      </c>
      <c r="J1699" t="s">
        <v>77</v>
      </c>
      <c r="K1699" t="s">
        <v>78</v>
      </c>
      <c r="L1699" t="s">
        <v>2278</v>
      </c>
      <c r="M1699" t="s">
        <v>2279</v>
      </c>
      <c r="N1699" t="s">
        <v>2280</v>
      </c>
      <c r="O1699" t="s">
        <v>82</v>
      </c>
      <c r="P1699" t="str">
        <f>"4170038823                    "</f>
        <v xml:space="preserve">4170038823                    </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0</v>
      </c>
      <c r="AL1699">
        <v>0</v>
      </c>
      <c r="AM1699">
        <v>0</v>
      </c>
      <c r="AN1699">
        <v>0</v>
      </c>
      <c r="AO1699">
        <v>0</v>
      </c>
      <c r="AP1699">
        <v>0</v>
      </c>
      <c r="AQ1699">
        <v>21.38</v>
      </c>
      <c r="AR1699">
        <v>0</v>
      </c>
      <c r="AS1699">
        <v>0</v>
      </c>
      <c r="AT1699">
        <v>0</v>
      </c>
      <c r="AU1699">
        <v>0</v>
      </c>
      <c r="AV1699">
        <v>0</v>
      </c>
      <c r="AW1699">
        <v>0</v>
      </c>
      <c r="AX1699">
        <v>0</v>
      </c>
      <c r="AY1699">
        <v>0</v>
      </c>
      <c r="AZ1699">
        <v>0</v>
      </c>
      <c r="BA1699">
        <v>0</v>
      </c>
      <c r="BB1699">
        <v>0</v>
      </c>
      <c r="BC1699">
        <v>0</v>
      </c>
      <c r="BD1699">
        <v>0</v>
      </c>
      <c r="BE1699">
        <v>0</v>
      </c>
      <c r="BF1699">
        <v>0</v>
      </c>
      <c r="BG1699">
        <v>0</v>
      </c>
      <c r="BH1699">
        <v>1</v>
      </c>
      <c r="BI1699">
        <v>1</v>
      </c>
      <c r="BJ1699">
        <v>0.2</v>
      </c>
      <c r="BK1699">
        <v>1</v>
      </c>
      <c r="BL1699">
        <v>69.98</v>
      </c>
      <c r="BM1699">
        <v>10.5</v>
      </c>
      <c r="BN1699">
        <v>80.48</v>
      </c>
      <c r="BO1699">
        <v>80.48</v>
      </c>
      <c r="BQ1699" t="s">
        <v>2281</v>
      </c>
      <c r="BR1699" t="s">
        <v>84</v>
      </c>
      <c r="BS1699" s="3">
        <v>45793</v>
      </c>
      <c r="BT1699" s="4">
        <v>0.42916666666666664</v>
      </c>
      <c r="BU1699" t="s">
        <v>2282</v>
      </c>
      <c r="BV1699" t="s">
        <v>86</v>
      </c>
      <c r="BY1699">
        <v>1200</v>
      </c>
      <c r="CA1699" t="s">
        <v>2241</v>
      </c>
      <c r="CC1699" t="s">
        <v>2279</v>
      </c>
      <c r="CD1699">
        <v>4026</v>
      </c>
      <c r="CE1699" t="s">
        <v>88</v>
      </c>
      <c r="CF1699" s="3">
        <v>45794</v>
      </c>
      <c r="CI1699">
        <v>1</v>
      </c>
      <c r="CJ1699">
        <v>1</v>
      </c>
      <c r="CK1699">
        <v>21</v>
      </c>
      <c r="CL1699" t="s">
        <v>89</v>
      </c>
    </row>
    <row r="1700" spans="1:90" x14ac:dyDescent="0.3">
      <c r="A1700" t="s">
        <v>72</v>
      </c>
      <c r="B1700" t="s">
        <v>73</v>
      </c>
      <c r="C1700" t="s">
        <v>74</v>
      </c>
      <c r="E1700" t="str">
        <f>"080065392790"</f>
        <v>080065392790</v>
      </c>
      <c r="F1700" s="3">
        <v>45792</v>
      </c>
      <c r="G1700">
        <v>202602</v>
      </c>
      <c r="H1700" t="s">
        <v>75</v>
      </c>
      <c r="I1700" t="s">
        <v>76</v>
      </c>
      <c r="J1700" t="s">
        <v>77</v>
      </c>
      <c r="K1700" t="s">
        <v>78</v>
      </c>
      <c r="L1700" t="s">
        <v>103</v>
      </c>
      <c r="M1700" t="s">
        <v>104</v>
      </c>
      <c r="N1700" t="s">
        <v>633</v>
      </c>
      <c r="O1700" t="s">
        <v>82</v>
      </c>
      <c r="P1700" t="str">
        <f>"4170038797                    "</f>
        <v xml:space="preserve">4170038797                    </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0</v>
      </c>
      <c r="AL1700">
        <v>0</v>
      </c>
      <c r="AM1700">
        <v>0</v>
      </c>
      <c r="AN1700">
        <v>0</v>
      </c>
      <c r="AO1700">
        <v>0</v>
      </c>
      <c r="AP1700">
        <v>0</v>
      </c>
      <c r="AQ1700">
        <v>21.38</v>
      </c>
      <c r="AR1700">
        <v>0</v>
      </c>
      <c r="AS1700">
        <v>0</v>
      </c>
      <c r="AT1700">
        <v>0</v>
      </c>
      <c r="AU1700">
        <v>0</v>
      </c>
      <c r="AV1700">
        <v>0</v>
      </c>
      <c r="AW1700">
        <v>0</v>
      </c>
      <c r="AX1700">
        <v>0</v>
      </c>
      <c r="AY1700">
        <v>0</v>
      </c>
      <c r="AZ1700">
        <v>0</v>
      </c>
      <c r="BA1700">
        <v>0</v>
      </c>
      <c r="BB1700">
        <v>0</v>
      </c>
      <c r="BC1700">
        <v>0</v>
      </c>
      <c r="BD1700">
        <v>0</v>
      </c>
      <c r="BE1700">
        <v>0</v>
      </c>
      <c r="BF1700">
        <v>0</v>
      </c>
      <c r="BG1700">
        <v>0</v>
      </c>
      <c r="BH1700">
        <v>1</v>
      </c>
      <c r="BI1700">
        <v>1</v>
      </c>
      <c r="BJ1700">
        <v>1.7</v>
      </c>
      <c r="BK1700">
        <v>2</v>
      </c>
      <c r="BL1700">
        <v>69.98</v>
      </c>
      <c r="BM1700">
        <v>10.5</v>
      </c>
      <c r="BN1700">
        <v>80.48</v>
      </c>
      <c r="BO1700">
        <v>80.48</v>
      </c>
      <c r="BQ1700" t="s">
        <v>634</v>
      </c>
      <c r="BR1700" t="s">
        <v>84</v>
      </c>
      <c r="BS1700" s="3">
        <v>45793</v>
      </c>
      <c r="BT1700" s="4">
        <v>0.41666666666666669</v>
      </c>
      <c r="BU1700" t="s">
        <v>635</v>
      </c>
      <c r="BV1700" t="s">
        <v>86</v>
      </c>
      <c r="BY1700">
        <v>8512</v>
      </c>
      <c r="CA1700" t="s">
        <v>440</v>
      </c>
      <c r="CC1700" t="s">
        <v>104</v>
      </c>
      <c r="CD1700">
        <v>3212</v>
      </c>
      <c r="CE1700" t="s">
        <v>116</v>
      </c>
      <c r="CF1700" s="3">
        <v>45794</v>
      </c>
      <c r="CI1700">
        <v>2</v>
      </c>
      <c r="CJ1700">
        <v>1</v>
      </c>
      <c r="CK1700">
        <v>21</v>
      </c>
      <c r="CL1700" t="s">
        <v>89</v>
      </c>
    </row>
    <row r="1701" spans="1:90" x14ac:dyDescent="0.3">
      <c r="A1701" t="s">
        <v>72</v>
      </c>
      <c r="B1701" t="s">
        <v>73</v>
      </c>
      <c r="C1701" t="s">
        <v>74</v>
      </c>
      <c r="E1701" t="str">
        <f>"080065392787"</f>
        <v>080065392787</v>
      </c>
      <c r="F1701" s="3">
        <v>45792</v>
      </c>
      <c r="G1701">
        <v>202602</v>
      </c>
      <c r="H1701" t="s">
        <v>75</v>
      </c>
      <c r="I1701" t="s">
        <v>76</v>
      </c>
      <c r="J1701" t="s">
        <v>77</v>
      </c>
      <c r="K1701" t="s">
        <v>78</v>
      </c>
      <c r="L1701" t="s">
        <v>103</v>
      </c>
      <c r="M1701" t="s">
        <v>104</v>
      </c>
      <c r="N1701" t="s">
        <v>105</v>
      </c>
      <c r="O1701" t="s">
        <v>82</v>
      </c>
      <c r="P1701" t="str">
        <f>"4170038695                    "</f>
        <v xml:space="preserve">4170038695                    </v>
      </c>
      <c r="Q1701">
        <v>0</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c r="AJ1701">
        <v>0</v>
      </c>
      <c r="AK1701">
        <v>0</v>
      </c>
      <c r="AL1701">
        <v>0</v>
      </c>
      <c r="AM1701">
        <v>0</v>
      </c>
      <c r="AN1701">
        <v>0</v>
      </c>
      <c r="AO1701">
        <v>0</v>
      </c>
      <c r="AP1701">
        <v>0</v>
      </c>
      <c r="AQ1701">
        <v>21.38</v>
      </c>
      <c r="AR1701">
        <v>0</v>
      </c>
      <c r="AS1701">
        <v>0</v>
      </c>
      <c r="AT1701">
        <v>0</v>
      </c>
      <c r="AU1701">
        <v>0</v>
      </c>
      <c r="AV1701">
        <v>0</v>
      </c>
      <c r="AW1701">
        <v>0</v>
      </c>
      <c r="AX1701">
        <v>0</v>
      </c>
      <c r="AY1701">
        <v>0</v>
      </c>
      <c r="AZ1701">
        <v>0</v>
      </c>
      <c r="BA1701">
        <v>0</v>
      </c>
      <c r="BB1701">
        <v>0</v>
      </c>
      <c r="BC1701">
        <v>0</v>
      </c>
      <c r="BD1701">
        <v>0</v>
      </c>
      <c r="BE1701">
        <v>0</v>
      </c>
      <c r="BF1701">
        <v>0</v>
      </c>
      <c r="BG1701">
        <v>0</v>
      </c>
      <c r="BH1701">
        <v>1</v>
      </c>
      <c r="BI1701">
        <v>1</v>
      </c>
      <c r="BJ1701">
        <v>0.2</v>
      </c>
      <c r="BK1701">
        <v>1</v>
      </c>
      <c r="BL1701">
        <v>69.98</v>
      </c>
      <c r="BM1701">
        <v>10.5</v>
      </c>
      <c r="BN1701">
        <v>80.48</v>
      </c>
      <c r="BO1701">
        <v>80.48</v>
      </c>
      <c r="BQ1701" t="s">
        <v>106</v>
      </c>
      <c r="BR1701" t="s">
        <v>84</v>
      </c>
      <c r="BS1701" s="3">
        <v>45793</v>
      </c>
      <c r="BT1701" s="4">
        <v>0.41666666666666669</v>
      </c>
      <c r="BU1701" t="s">
        <v>107</v>
      </c>
      <c r="BV1701" t="s">
        <v>86</v>
      </c>
      <c r="BY1701">
        <v>1200</v>
      </c>
      <c r="CA1701" t="s">
        <v>108</v>
      </c>
      <c r="CC1701" t="s">
        <v>104</v>
      </c>
      <c r="CD1701">
        <v>3201</v>
      </c>
      <c r="CE1701" t="s">
        <v>88</v>
      </c>
      <c r="CF1701" s="3">
        <v>45794</v>
      </c>
      <c r="CI1701">
        <v>1</v>
      </c>
      <c r="CJ1701">
        <v>1</v>
      </c>
      <c r="CK1701">
        <v>21</v>
      </c>
      <c r="CL1701" t="s">
        <v>89</v>
      </c>
    </row>
    <row r="1702" spans="1:90" x14ac:dyDescent="0.3">
      <c r="A1702" t="s">
        <v>72</v>
      </c>
      <c r="B1702" t="s">
        <v>73</v>
      </c>
      <c r="C1702" t="s">
        <v>74</v>
      </c>
      <c r="E1702" t="str">
        <f>"080065392834"</f>
        <v>080065392834</v>
      </c>
      <c r="F1702" s="3">
        <v>45792</v>
      </c>
      <c r="G1702">
        <v>202602</v>
      </c>
      <c r="H1702" t="s">
        <v>75</v>
      </c>
      <c r="I1702" t="s">
        <v>76</v>
      </c>
      <c r="J1702" t="s">
        <v>77</v>
      </c>
      <c r="K1702" t="s">
        <v>78</v>
      </c>
      <c r="L1702" t="s">
        <v>350</v>
      </c>
      <c r="M1702" t="s">
        <v>351</v>
      </c>
      <c r="N1702" t="s">
        <v>1186</v>
      </c>
      <c r="O1702" t="s">
        <v>82</v>
      </c>
      <c r="P1702" t="str">
        <f>"4170038793                    "</f>
        <v xml:space="preserve">4170038793                    </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0</v>
      </c>
      <c r="AL1702">
        <v>0</v>
      </c>
      <c r="AM1702">
        <v>0</v>
      </c>
      <c r="AN1702">
        <v>0</v>
      </c>
      <c r="AO1702">
        <v>0</v>
      </c>
      <c r="AP1702">
        <v>0</v>
      </c>
      <c r="AQ1702">
        <v>21.38</v>
      </c>
      <c r="AR1702">
        <v>0</v>
      </c>
      <c r="AS1702">
        <v>0</v>
      </c>
      <c r="AT1702">
        <v>0</v>
      </c>
      <c r="AU1702">
        <v>0</v>
      </c>
      <c r="AV1702">
        <v>0</v>
      </c>
      <c r="AW1702">
        <v>0</v>
      </c>
      <c r="AX1702">
        <v>0</v>
      </c>
      <c r="AY1702">
        <v>0</v>
      </c>
      <c r="AZ1702">
        <v>0</v>
      </c>
      <c r="BA1702">
        <v>0</v>
      </c>
      <c r="BB1702">
        <v>0</v>
      </c>
      <c r="BC1702">
        <v>0</v>
      </c>
      <c r="BD1702">
        <v>0</v>
      </c>
      <c r="BE1702">
        <v>0</v>
      </c>
      <c r="BF1702">
        <v>0</v>
      </c>
      <c r="BG1702">
        <v>0</v>
      </c>
      <c r="BH1702">
        <v>1</v>
      </c>
      <c r="BI1702">
        <v>1</v>
      </c>
      <c r="BJ1702">
        <v>0.2</v>
      </c>
      <c r="BK1702">
        <v>1</v>
      </c>
      <c r="BL1702">
        <v>69.98</v>
      </c>
      <c r="BM1702">
        <v>10.5</v>
      </c>
      <c r="BN1702">
        <v>80.48</v>
      </c>
      <c r="BO1702">
        <v>80.48</v>
      </c>
      <c r="BQ1702" t="s">
        <v>1187</v>
      </c>
      <c r="BR1702" t="s">
        <v>84</v>
      </c>
      <c r="BS1702" s="3">
        <v>45793</v>
      </c>
      <c r="BT1702" s="4">
        <v>0.41666666666666669</v>
      </c>
      <c r="BU1702" t="s">
        <v>1932</v>
      </c>
      <c r="BV1702" t="s">
        <v>86</v>
      </c>
      <c r="BY1702">
        <v>1200</v>
      </c>
      <c r="CA1702" t="s">
        <v>1085</v>
      </c>
      <c r="CC1702" t="s">
        <v>351</v>
      </c>
      <c r="CD1702">
        <v>4001</v>
      </c>
      <c r="CE1702" t="s">
        <v>88</v>
      </c>
      <c r="CF1702" s="3">
        <v>45796</v>
      </c>
      <c r="CI1702">
        <v>1</v>
      </c>
      <c r="CJ1702">
        <v>1</v>
      </c>
      <c r="CK1702">
        <v>21</v>
      </c>
      <c r="CL1702" t="s">
        <v>89</v>
      </c>
    </row>
    <row r="1703" spans="1:90" x14ac:dyDescent="0.3">
      <c r="A1703" t="s">
        <v>72</v>
      </c>
      <c r="B1703" t="s">
        <v>73</v>
      </c>
      <c r="C1703" t="s">
        <v>74</v>
      </c>
      <c r="E1703" t="str">
        <f>"080065392838"</f>
        <v>080065392838</v>
      </c>
      <c r="F1703" s="3">
        <v>45792</v>
      </c>
      <c r="G1703">
        <v>202602</v>
      </c>
      <c r="H1703" t="s">
        <v>75</v>
      </c>
      <c r="I1703" t="s">
        <v>76</v>
      </c>
      <c r="J1703" t="s">
        <v>77</v>
      </c>
      <c r="K1703" t="s">
        <v>78</v>
      </c>
      <c r="L1703" t="s">
        <v>97</v>
      </c>
      <c r="M1703" t="s">
        <v>98</v>
      </c>
      <c r="N1703" t="s">
        <v>1859</v>
      </c>
      <c r="O1703" t="s">
        <v>82</v>
      </c>
      <c r="P1703" t="str">
        <f>"4170038661                    "</f>
        <v xml:space="preserve">4170038661                    </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16.7</v>
      </c>
      <c r="AR1703">
        <v>0</v>
      </c>
      <c r="AS1703">
        <v>0</v>
      </c>
      <c r="AT1703">
        <v>0</v>
      </c>
      <c r="AU1703">
        <v>0</v>
      </c>
      <c r="AV1703">
        <v>0</v>
      </c>
      <c r="AW1703">
        <v>0</v>
      </c>
      <c r="AX1703">
        <v>0</v>
      </c>
      <c r="AY1703">
        <v>0</v>
      </c>
      <c r="AZ1703">
        <v>0</v>
      </c>
      <c r="BA1703">
        <v>0</v>
      </c>
      <c r="BB1703">
        <v>0</v>
      </c>
      <c r="BC1703">
        <v>0</v>
      </c>
      <c r="BD1703">
        <v>0</v>
      </c>
      <c r="BE1703">
        <v>0</v>
      </c>
      <c r="BF1703">
        <v>0</v>
      </c>
      <c r="BG1703">
        <v>0</v>
      </c>
      <c r="BH1703">
        <v>1</v>
      </c>
      <c r="BI1703">
        <v>2</v>
      </c>
      <c r="BJ1703">
        <v>1.9</v>
      </c>
      <c r="BK1703">
        <v>2</v>
      </c>
      <c r="BL1703">
        <v>54.66</v>
      </c>
      <c r="BM1703">
        <v>8.1999999999999993</v>
      </c>
      <c r="BN1703">
        <v>62.86</v>
      </c>
      <c r="BO1703">
        <v>62.86</v>
      </c>
      <c r="BQ1703" t="s">
        <v>1860</v>
      </c>
      <c r="BR1703" t="s">
        <v>84</v>
      </c>
      <c r="BS1703" s="3">
        <v>45793</v>
      </c>
      <c r="BT1703" s="4">
        <v>0.38333333333333336</v>
      </c>
      <c r="BU1703" t="s">
        <v>2283</v>
      </c>
      <c r="BV1703" t="s">
        <v>86</v>
      </c>
      <c r="BY1703">
        <v>9600</v>
      </c>
      <c r="CA1703" t="s">
        <v>175</v>
      </c>
      <c r="CC1703" t="s">
        <v>98</v>
      </c>
      <c r="CD1703">
        <v>1459</v>
      </c>
      <c r="CE1703" t="s">
        <v>96</v>
      </c>
      <c r="CF1703" s="3">
        <v>45793</v>
      </c>
      <c r="CI1703">
        <v>1</v>
      </c>
      <c r="CJ1703">
        <v>1</v>
      </c>
      <c r="CK1703">
        <v>22</v>
      </c>
      <c r="CL1703" t="s">
        <v>89</v>
      </c>
    </row>
    <row r="1704" spans="1:90" x14ac:dyDescent="0.3">
      <c r="A1704" t="s">
        <v>72</v>
      </c>
      <c r="B1704" t="s">
        <v>73</v>
      </c>
      <c r="C1704" t="s">
        <v>74</v>
      </c>
      <c r="E1704" t="str">
        <f>"080065392882"</f>
        <v>080065392882</v>
      </c>
      <c r="F1704" s="3">
        <v>45792</v>
      </c>
      <c r="G1704">
        <v>202602</v>
      </c>
      <c r="H1704" t="s">
        <v>75</v>
      </c>
      <c r="I1704" t="s">
        <v>76</v>
      </c>
      <c r="J1704" t="s">
        <v>77</v>
      </c>
      <c r="K1704" t="s">
        <v>78</v>
      </c>
      <c r="L1704" t="s">
        <v>75</v>
      </c>
      <c r="M1704" t="s">
        <v>76</v>
      </c>
      <c r="N1704" t="s">
        <v>183</v>
      </c>
      <c r="O1704" t="s">
        <v>82</v>
      </c>
      <c r="P1704" t="str">
        <f>"4170038800                    "</f>
        <v xml:space="preserve">4170038800                    </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0</v>
      </c>
      <c r="AJ1704">
        <v>0</v>
      </c>
      <c r="AK1704">
        <v>0</v>
      </c>
      <c r="AL1704">
        <v>0</v>
      </c>
      <c r="AM1704">
        <v>0</v>
      </c>
      <c r="AN1704">
        <v>0</v>
      </c>
      <c r="AO1704">
        <v>0</v>
      </c>
      <c r="AP1704">
        <v>0</v>
      </c>
      <c r="AQ1704">
        <v>16.7</v>
      </c>
      <c r="AR1704">
        <v>0</v>
      </c>
      <c r="AS1704">
        <v>0</v>
      </c>
      <c r="AT1704">
        <v>0</v>
      </c>
      <c r="AU1704">
        <v>0</v>
      </c>
      <c r="AV1704">
        <v>0</v>
      </c>
      <c r="AW1704">
        <v>0</v>
      </c>
      <c r="AX1704">
        <v>0</v>
      </c>
      <c r="AY1704">
        <v>0</v>
      </c>
      <c r="AZ1704">
        <v>0</v>
      </c>
      <c r="BA1704">
        <v>0</v>
      </c>
      <c r="BB1704">
        <v>0</v>
      </c>
      <c r="BC1704">
        <v>0</v>
      </c>
      <c r="BD1704">
        <v>0</v>
      </c>
      <c r="BE1704">
        <v>0</v>
      </c>
      <c r="BF1704">
        <v>0</v>
      </c>
      <c r="BG1704">
        <v>0</v>
      </c>
      <c r="BH1704">
        <v>1</v>
      </c>
      <c r="BI1704">
        <v>1</v>
      </c>
      <c r="BJ1704">
        <v>0.2</v>
      </c>
      <c r="BK1704">
        <v>1</v>
      </c>
      <c r="BL1704">
        <v>54.66</v>
      </c>
      <c r="BM1704">
        <v>8.1999999999999993</v>
      </c>
      <c r="BN1704">
        <v>62.86</v>
      </c>
      <c r="BO1704">
        <v>62.86</v>
      </c>
      <c r="BQ1704" t="s">
        <v>184</v>
      </c>
      <c r="BR1704" t="s">
        <v>84</v>
      </c>
      <c r="BS1704" s="3">
        <v>45793</v>
      </c>
      <c r="BT1704" s="4">
        <v>0.32291666666666669</v>
      </c>
      <c r="BU1704" t="s">
        <v>185</v>
      </c>
      <c r="BV1704" t="s">
        <v>86</v>
      </c>
      <c r="BY1704">
        <v>1200</v>
      </c>
      <c r="CA1704" t="s">
        <v>115</v>
      </c>
      <c r="CC1704" t="s">
        <v>76</v>
      </c>
      <c r="CD1704">
        <v>1600</v>
      </c>
      <c r="CE1704" t="s">
        <v>88</v>
      </c>
      <c r="CF1704" s="3">
        <v>45793</v>
      </c>
      <c r="CI1704">
        <v>1</v>
      </c>
      <c r="CJ1704">
        <v>1</v>
      </c>
      <c r="CK1704">
        <v>22</v>
      </c>
      <c r="CL1704" t="s">
        <v>89</v>
      </c>
    </row>
    <row r="1705" spans="1:90" x14ac:dyDescent="0.3">
      <c r="A1705" t="s">
        <v>72</v>
      </c>
      <c r="B1705" t="s">
        <v>73</v>
      </c>
      <c r="C1705" t="s">
        <v>74</v>
      </c>
      <c r="E1705" t="str">
        <f>"080065392906"</f>
        <v>080065392906</v>
      </c>
      <c r="F1705" s="3">
        <v>45792</v>
      </c>
      <c r="G1705">
        <v>202602</v>
      </c>
      <c r="H1705" t="s">
        <v>75</v>
      </c>
      <c r="I1705" t="s">
        <v>76</v>
      </c>
      <c r="J1705" t="s">
        <v>77</v>
      </c>
      <c r="K1705" t="s">
        <v>78</v>
      </c>
      <c r="L1705" t="s">
        <v>463</v>
      </c>
      <c r="M1705" t="s">
        <v>464</v>
      </c>
      <c r="N1705" t="s">
        <v>2284</v>
      </c>
      <c r="O1705" t="s">
        <v>82</v>
      </c>
      <c r="P1705" t="str">
        <f>"4170038728                    "</f>
        <v xml:space="preserve">4170038728                    </v>
      </c>
      <c r="Q1705">
        <v>0</v>
      </c>
      <c r="R1705">
        <v>0</v>
      </c>
      <c r="S1705">
        <v>0</v>
      </c>
      <c r="T1705">
        <v>0</v>
      </c>
      <c r="U1705">
        <v>0</v>
      </c>
      <c r="V1705">
        <v>0</v>
      </c>
      <c r="W1705">
        <v>0</v>
      </c>
      <c r="X1705">
        <v>0</v>
      </c>
      <c r="Y1705">
        <v>0</v>
      </c>
      <c r="Z1705">
        <v>0</v>
      </c>
      <c r="AA1705">
        <v>0</v>
      </c>
      <c r="AB1705">
        <v>0</v>
      </c>
      <c r="AC1705">
        <v>0</v>
      </c>
      <c r="AD1705">
        <v>0</v>
      </c>
      <c r="AE1705">
        <v>0</v>
      </c>
      <c r="AF1705">
        <v>0</v>
      </c>
      <c r="AG1705">
        <v>0</v>
      </c>
      <c r="AH1705">
        <v>0</v>
      </c>
      <c r="AI1705">
        <v>0</v>
      </c>
      <c r="AJ1705">
        <v>0</v>
      </c>
      <c r="AK1705">
        <v>0</v>
      </c>
      <c r="AL1705">
        <v>0</v>
      </c>
      <c r="AM1705">
        <v>0</v>
      </c>
      <c r="AN1705">
        <v>0</v>
      </c>
      <c r="AO1705">
        <v>0</v>
      </c>
      <c r="AP1705">
        <v>0</v>
      </c>
      <c r="AQ1705">
        <v>21.38</v>
      </c>
      <c r="AR1705">
        <v>0</v>
      </c>
      <c r="AS1705">
        <v>0</v>
      </c>
      <c r="AT1705">
        <v>0</v>
      </c>
      <c r="AU1705">
        <v>0</v>
      </c>
      <c r="AV1705">
        <v>0</v>
      </c>
      <c r="AW1705">
        <v>0</v>
      </c>
      <c r="AX1705">
        <v>0</v>
      </c>
      <c r="AY1705">
        <v>0</v>
      </c>
      <c r="AZ1705">
        <v>0</v>
      </c>
      <c r="BA1705">
        <v>0</v>
      </c>
      <c r="BB1705">
        <v>0</v>
      </c>
      <c r="BC1705">
        <v>0</v>
      </c>
      <c r="BD1705">
        <v>0</v>
      </c>
      <c r="BE1705">
        <v>0</v>
      </c>
      <c r="BF1705">
        <v>0</v>
      </c>
      <c r="BG1705">
        <v>0</v>
      </c>
      <c r="BH1705">
        <v>1</v>
      </c>
      <c r="BI1705">
        <v>1</v>
      </c>
      <c r="BJ1705">
        <v>0.2</v>
      </c>
      <c r="BK1705">
        <v>1</v>
      </c>
      <c r="BL1705">
        <v>69.98</v>
      </c>
      <c r="BM1705">
        <v>10.5</v>
      </c>
      <c r="BN1705">
        <v>80.48</v>
      </c>
      <c r="BO1705">
        <v>80.48</v>
      </c>
      <c r="BQ1705" t="s">
        <v>2285</v>
      </c>
      <c r="BR1705" t="s">
        <v>84</v>
      </c>
      <c r="BS1705" s="3">
        <v>45793</v>
      </c>
      <c r="BT1705" s="4">
        <v>0.4548611111111111</v>
      </c>
      <c r="BU1705" t="s">
        <v>2286</v>
      </c>
      <c r="BV1705" t="s">
        <v>89</v>
      </c>
      <c r="BW1705" t="s">
        <v>148</v>
      </c>
      <c r="BX1705" t="s">
        <v>2287</v>
      </c>
      <c r="BY1705">
        <v>1200</v>
      </c>
      <c r="CA1705" t="s">
        <v>468</v>
      </c>
      <c r="CC1705" t="s">
        <v>464</v>
      </c>
      <c r="CD1705">
        <v>5200</v>
      </c>
      <c r="CE1705" t="s">
        <v>88</v>
      </c>
      <c r="CF1705" s="3">
        <v>45795</v>
      </c>
      <c r="CI1705">
        <v>1</v>
      </c>
      <c r="CJ1705">
        <v>1</v>
      </c>
      <c r="CK1705">
        <v>21</v>
      </c>
      <c r="CL1705" t="s">
        <v>89</v>
      </c>
    </row>
    <row r="1706" spans="1:90" x14ac:dyDescent="0.3">
      <c r="A1706" t="s">
        <v>72</v>
      </c>
      <c r="B1706" t="s">
        <v>73</v>
      </c>
      <c r="C1706" t="s">
        <v>74</v>
      </c>
      <c r="E1706" t="str">
        <f>"080065392918"</f>
        <v>080065392918</v>
      </c>
      <c r="F1706" s="3">
        <v>45792</v>
      </c>
      <c r="G1706">
        <v>202602</v>
      </c>
      <c r="H1706" t="s">
        <v>75</v>
      </c>
      <c r="I1706" t="s">
        <v>76</v>
      </c>
      <c r="J1706" t="s">
        <v>77</v>
      </c>
      <c r="K1706" t="s">
        <v>78</v>
      </c>
      <c r="L1706" t="s">
        <v>374</v>
      </c>
      <c r="M1706" t="s">
        <v>375</v>
      </c>
      <c r="N1706" t="s">
        <v>376</v>
      </c>
      <c r="O1706" t="s">
        <v>82</v>
      </c>
      <c r="P1706" t="str">
        <f>"4170038799                    "</f>
        <v xml:space="preserve">4170038799                    </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c r="AJ1706">
        <v>0</v>
      </c>
      <c r="AK1706">
        <v>0</v>
      </c>
      <c r="AL1706">
        <v>0</v>
      </c>
      <c r="AM1706">
        <v>0</v>
      </c>
      <c r="AN1706">
        <v>0</v>
      </c>
      <c r="AO1706">
        <v>0</v>
      </c>
      <c r="AP1706">
        <v>0</v>
      </c>
      <c r="AQ1706">
        <v>41.43</v>
      </c>
      <c r="AR1706">
        <v>0</v>
      </c>
      <c r="AS1706">
        <v>0</v>
      </c>
      <c r="AT1706">
        <v>0</v>
      </c>
      <c r="AU1706">
        <v>0</v>
      </c>
      <c r="AV1706">
        <v>0</v>
      </c>
      <c r="AW1706">
        <v>0</v>
      </c>
      <c r="AX1706">
        <v>0</v>
      </c>
      <c r="AY1706">
        <v>0</v>
      </c>
      <c r="AZ1706">
        <v>0</v>
      </c>
      <c r="BA1706">
        <v>0</v>
      </c>
      <c r="BB1706">
        <v>0</v>
      </c>
      <c r="BC1706">
        <v>0</v>
      </c>
      <c r="BD1706">
        <v>0</v>
      </c>
      <c r="BE1706">
        <v>0</v>
      </c>
      <c r="BF1706">
        <v>0</v>
      </c>
      <c r="BG1706">
        <v>0</v>
      </c>
      <c r="BH1706">
        <v>1</v>
      </c>
      <c r="BI1706">
        <v>1</v>
      </c>
      <c r="BJ1706">
        <v>0.2</v>
      </c>
      <c r="BK1706">
        <v>1</v>
      </c>
      <c r="BL1706">
        <v>135.59</v>
      </c>
      <c r="BM1706">
        <v>20.34</v>
      </c>
      <c r="BN1706">
        <v>155.93</v>
      </c>
      <c r="BO1706">
        <v>155.93</v>
      </c>
      <c r="BQ1706" t="s">
        <v>377</v>
      </c>
      <c r="BR1706" t="s">
        <v>84</v>
      </c>
      <c r="BS1706" s="3">
        <v>45793</v>
      </c>
      <c r="BT1706" s="4">
        <v>0.39374999999999999</v>
      </c>
      <c r="BU1706" t="s">
        <v>2288</v>
      </c>
      <c r="BV1706" t="s">
        <v>86</v>
      </c>
      <c r="BY1706">
        <v>1200</v>
      </c>
      <c r="CC1706" t="s">
        <v>375</v>
      </c>
      <c r="CD1706">
        <v>7130</v>
      </c>
      <c r="CE1706" t="s">
        <v>1193</v>
      </c>
      <c r="CF1706" s="3">
        <v>45796</v>
      </c>
      <c r="CI1706">
        <v>1</v>
      </c>
      <c r="CJ1706">
        <v>1</v>
      </c>
      <c r="CK1706">
        <v>23</v>
      </c>
      <c r="CL1706" t="s">
        <v>89</v>
      </c>
    </row>
    <row r="1707" spans="1:90" x14ac:dyDescent="0.3">
      <c r="A1707" t="s">
        <v>72</v>
      </c>
      <c r="B1707" t="s">
        <v>73</v>
      </c>
      <c r="C1707" t="s">
        <v>74</v>
      </c>
      <c r="E1707" t="str">
        <f>"080065392971"</f>
        <v>080065392971</v>
      </c>
      <c r="F1707" s="3">
        <v>45792</v>
      </c>
      <c r="G1707">
        <v>202602</v>
      </c>
      <c r="H1707" t="s">
        <v>75</v>
      </c>
      <c r="I1707" t="s">
        <v>76</v>
      </c>
      <c r="J1707" t="s">
        <v>77</v>
      </c>
      <c r="K1707" t="s">
        <v>78</v>
      </c>
      <c r="L1707" t="s">
        <v>526</v>
      </c>
      <c r="M1707" t="s">
        <v>527</v>
      </c>
      <c r="N1707" t="s">
        <v>528</v>
      </c>
      <c r="O1707" t="s">
        <v>82</v>
      </c>
      <c r="P1707" t="str">
        <f>"4170038639                    "</f>
        <v xml:space="preserve">4170038639                    </v>
      </c>
      <c r="Q1707">
        <v>0</v>
      </c>
      <c r="R1707">
        <v>0</v>
      </c>
      <c r="S1707">
        <v>0</v>
      </c>
      <c r="T1707">
        <v>0</v>
      </c>
      <c r="U1707">
        <v>0</v>
      </c>
      <c r="V1707">
        <v>0</v>
      </c>
      <c r="W1707">
        <v>0</v>
      </c>
      <c r="X1707">
        <v>0</v>
      </c>
      <c r="Y1707">
        <v>0</v>
      </c>
      <c r="Z1707">
        <v>0</v>
      </c>
      <c r="AA1707">
        <v>0</v>
      </c>
      <c r="AB1707">
        <v>0</v>
      </c>
      <c r="AC1707">
        <v>0</v>
      </c>
      <c r="AD1707">
        <v>0</v>
      </c>
      <c r="AE1707">
        <v>0</v>
      </c>
      <c r="AF1707">
        <v>0</v>
      </c>
      <c r="AG1707">
        <v>0</v>
      </c>
      <c r="AH1707">
        <v>0</v>
      </c>
      <c r="AI1707">
        <v>0</v>
      </c>
      <c r="AJ1707">
        <v>0</v>
      </c>
      <c r="AK1707">
        <v>0</v>
      </c>
      <c r="AL1707">
        <v>0</v>
      </c>
      <c r="AM1707">
        <v>0</v>
      </c>
      <c r="AN1707">
        <v>0</v>
      </c>
      <c r="AO1707">
        <v>0</v>
      </c>
      <c r="AP1707">
        <v>0</v>
      </c>
      <c r="AQ1707">
        <v>30.07</v>
      </c>
      <c r="AR1707">
        <v>0</v>
      </c>
      <c r="AS1707">
        <v>0</v>
      </c>
      <c r="AT1707">
        <v>0</v>
      </c>
      <c r="AU1707">
        <v>0</v>
      </c>
      <c r="AV1707">
        <v>0</v>
      </c>
      <c r="AW1707">
        <v>0</v>
      </c>
      <c r="AX1707">
        <v>0</v>
      </c>
      <c r="AY1707">
        <v>0</v>
      </c>
      <c r="AZ1707">
        <v>0</v>
      </c>
      <c r="BA1707">
        <v>0</v>
      </c>
      <c r="BB1707">
        <v>0</v>
      </c>
      <c r="BC1707">
        <v>0</v>
      </c>
      <c r="BD1707">
        <v>0</v>
      </c>
      <c r="BE1707">
        <v>0</v>
      </c>
      <c r="BF1707">
        <v>0</v>
      </c>
      <c r="BG1707">
        <v>0</v>
      </c>
      <c r="BH1707">
        <v>1</v>
      </c>
      <c r="BI1707">
        <v>1</v>
      </c>
      <c r="BJ1707">
        <v>0.2</v>
      </c>
      <c r="BK1707">
        <v>1</v>
      </c>
      <c r="BL1707">
        <v>98.42</v>
      </c>
      <c r="BM1707">
        <v>14.76</v>
      </c>
      <c r="BN1707">
        <v>113.18</v>
      </c>
      <c r="BO1707">
        <v>113.18</v>
      </c>
      <c r="BQ1707" t="s">
        <v>529</v>
      </c>
      <c r="BR1707" t="s">
        <v>84</v>
      </c>
      <c r="BS1707" s="3">
        <v>45796</v>
      </c>
      <c r="BT1707" s="4">
        <v>0.45277777777777778</v>
      </c>
      <c r="BU1707" t="s">
        <v>2289</v>
      </c>
      <c r="BV1707" t="s">
        <v>89</v>
      </c>
      <c r="BW1707" t="s">
        <v>148</v>
      </c>
      <c r="BX1707" t="s">
        <v>2290</v>
      </c>
      <c r="BY1707">
        <v>1200</v>
      </c>
      <c r="CA1707" t="s">
        <v>2080</v>
      </c>
      <c r="CC1707" t="s">
        <v>527</v>
      </c>
      <c r="CD1707">
        <v>1760</v>
      </c>
      <c r="CE1707" t="s">
        <v>88</v>
      </c>
      <c r="CF1707" s="3">
        <v>45796</v>
      </c>
      <c r="CI1707">
        <v>1</v>
      </c>
      <c r="CJ1707">
        <v>2</v>
      </c>
      <c r="CK1707">
        <v>24</v>
      </c>
      <c r="CL1707" t="s">
        <v>89</v>
      </c>
    </row>
    <row r="1708" spans="1:90" x14ac:dyDescent="0.3">
      <c r="A1708" t="s">
        <v>72</v>
      </c>
      <c r="B1708" t="s">
        <v>73</v>
      </c>
      <c r="C1708" t="s">
        <v>74</v>
      </c>
      <c r="E1708" t="str">
        <f>"080065393031"</f>
        <v>080065393031</v>
      </c>
      <c r="F1708" s="3">
        <v>45792</v>
      </c>
      <c r="G1708">
        <v>202602</v>
      </c>
      <c r="H1708" t="s">
        <v>75</v>
      </c>
      <c r="I1708" t="s">
        <v>76</v>
      </c>
      <c r="J1708" t="s">
        <v>77</v>
      </c>
      <c r="K1708" t="s">
        <v>78</v>
      </c>
      <c r="L1708" t="s">
        <v>130</v>
      </c>
      <c r="M1708" t="s">
        <v>131</v>
      </c>
      <c r="N1708" t="s">
        <v>2204</v>
      </c>
      <c r="O1708" t="s">
        <v>82</v>
      </c>
      <c r="P1708" t="str">
        <f>"4170038767                    "</f>
        <v xml:space="preserve">4170038767                    </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c r="AJ1708">
        <v>0</v>
      </c>
      <c r="AK1708">
        <v>0</v>
      </c>
      <c r="AL1708">
        <v>0</v>
      </c>
      <c r="AM1708">
        <v>0</v>
      </c>
      <c r="AN1708">
        <v>0</v>
      </c>
      <c r="AO1708">
        <v>0</v>
      </c>
      <c r="AP1708">
        <v>0</v>
      </c>
      <c r="AQ1708">
        <v>21.38</v>
      </c>
      <c r="AR1708">
        <v>0</v>
      </c>
      <c r="AS1708">
        <v>0</v>
      </c>
      <c r="AT1708">
        <v>0</v>
      </c>
      <c r="AU1708">
        <v>0</v>
      </c>
      <c r="AV1708">
        <v>0</v>
      </c>
      <c r="AW1708">
        <v>0</v>
      </c>
      <c r="AX1708">
        <v>0</v>
      </c>
      <c r="AY1708">
        <v>0</v>
      </c>
      <c r="AZ1708">
        <v>0</v>
      </c>
      <c r="BA1708">
        <v>0</v>
      </c>
      <c r="BB1708">
        <v>0</v>
      </c>
      <c r="BC1708">
        <v>0</v>
      </c>
      <c r="BD1708">
        <v>0</v>
      </c>
      <c r="BE1708">
        <v>0</v>
      </c>
      <c r="BF1708">
        <v>0</v>
      </c>
      <c r="BG1708">
        <v>0</v>
      </c>
      <c r="BH1708">
        <v>1</v>
      </c>
      <c r="BI1708">
        <v>1</v>
      </c>
      <c r="BJ1708">
        <v>0.2</v>
      </c>
      <c r="BK1708">
        <v>1</v>
      </c>
      <c r="BL1708">
        <v>69.98</v>
      </c>
      <c r="BM1708">
        <v>10.5</v>
      </c>
      <c r="BN1708">
        <v>80.48</v>
      </c>
      <c r="BO1708">
        <v>80.48</v>
      </c>
      <c r="BQ1708" t="s">
        <v>2291</v>
      </c>
      <c r="BR1708" t="s">
        <v>84</v>
      </c>
      <c r="BS1708" s="3">
        <v>45793</v>
      </c>
      <c r="BT1708" s="4">
        <v>0.43680555555555556</v>
      </c>
      <c r="BU1708" t="s">
        <v>2292</v>
      </c>
      <c r="BV1708" t="s">
        <v>86</v>
      </c>
      <c r="BY1708">
        <v>1200</v>
      </c>
      <c r="CC1708" t="s">
        <v>131</v>
      </c>
      <c r="CD1708">
        <v>7460</v>
      </c>
      <c r="CE1708" t="s">
        <v>88</v>
      </c>
      <c r="CF1708" s="3">
        <v>45796</v>
      </c>
      <c r="CI1708">
        <v>1</v>
      </c>
      <c r="CJ1708">
        <v>1</v>
      </c>
      <c r="CK1708">
        <v>21</v>
      </c>
      <c r="CL1708" t="s">
        <v>89</v>
      </c>
    </row>
    <row r="1709" spans="1:90" x14ac:dyDescent="0.3">
      <c r="A1709" t="s">
        <v>72</v>
      </c>
      <c r="B1709" t="s">
        <v>73</v>
      </c>
      <c r="C1709" t="s">
        <v>74</v>
      </c>
      <c r="E1709" t="str">
        <f>"080065393034"</f>
        <v>080065393034</v>
      </c>
      <c r="F1709" s="3">
        <v>45792</v>
      </c>
      <c r="G1709">
        <v>202602</v>
      </c>
      <c r="H1709" t="s">
        <v>75</v>
      </c>
      <c r="I1709" t="s">
        <v>76</v>
      </c>
      <c r="J1709" t="s">
        <v>77</v>
      </c>
      <c r="K1709" t="s">
        <v>78</v>
      </c>
      <c r="L1709" t="s">
        <v>136</v>
      </c>
      <c r="M1709" t="s">
        <v>137</v>
      </c>
      <c r="N1709" t="s">
        <v>2293</v>
      </c>
      <c r="O1709" t="s">
        <v>82</v>
      </c>
      <c r="P1709" t="str">
        <f>"4170038722                    "</f>
        <v xml:space="preserve">4170038722                    </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0</v>
      </c>
      <c r="AL1709">
        <v>0</v>
      </c>
      <c r="AM1709">
        <v>0</v>
      </c>
      <c r="AN1709">
        <v>0</v>
      </c>
      <c r="AO1709">
        <v>0</v>
      </c>
      <c r="AP1709">
        <v>0</v>
      </c>
      <c r="AQ1709">
        <v>21.38</v>
      </c>
      <c r="AR1709">
        <v>0</v>
      </c>
      <c r="AS1709">
        <v>0</v>
      </c>
      <c r="AT1709">
        <v>0</v>
      </c>
      <c r="AU1709">
        <v>0</v>
      </c>
      <c r="AV1709">
        <v>0</v>
      </c>
      <c r="AW1709">
        <v>0</v>
      </c>
      <c r="AX1709">
        <v>0</v>
      </c>
      <c r="AY1709">
        <v>0</v>
      </c>
      <c r="AZ1709">
        <v>0</v>
      </c>
      <c r="BA1709">
        <v>0</v>
      </c>
      <c r="BB1709">
        <v>0</v>
      </c>
      <c r="BC1709">
        <v>0</v>
      </c>
      <c r="BD1709">
        <v>0</v>
      </c>
      <c r="BE1709">
        <v>0</v>
      </c>
      <c r="BF1709">
        <v>0</v>
      </c>
      <c r="BG1709">
        <v>0</v>
      </c>
      <c r="BH1709">
        <v>1</v>
      </c>
      <c r="BI1709">
        <v>1</v>
      </c>
      <c r="BJ1709">
        <v>0.2</v>
      </c>
      <c r="BK1709">
        <v>1</v>
      </c>
      <c r="BL1709">
        <v>69.98</v>
      </c>
      <c r="BM1709">
        <v>10.5</v>
      </c>
      <c r="BN1709">
        <v>80.48</v>
      </c>
      <c r="BO1709">
        <v>80.48</v>
      </c>
      <c r="BQ1709" t="s">
        <v>2294</v>
      </c>
      <c r="BR1709" t="s">
        <v>84</v>
      </c>
      <c r="BS1709" s="3">
        <v>45793</v>
      </c>
      <c r="BT1709" s="4">
        <v>0.44722222222222224</v>
      </c>
      <c r="BU1709" t="s">
        <v>1403</v>
      </c>
      <c r="BV1709" t="s">
        <v>89</v>
      </c>
      <c r="BW1709" t="s">
        <v>148</v>
      </c>
      <c r="BX1709" t="s">
        <v>1386</v>
      </c>
      <c r="BY1709">
        <v>1200</v>
      </c>
      <c r="CA1709" t="s">
        <v>2273</v>
      </c>
      <c r="CC1709" t="s">
        <v>137</v>
      </c>
      <c r="CD1709" s="5" t="s">
        <v>2197</v>
      </c>
      <c r="CE1709" t="s">
        <v>88</v>
      </c>
      <c r="CF1709" s="3">
        <v>45793</v>
      </c>
      <c r="CI1709">
        <v>1</v>
      </c>
      <c r="CJ1709">
        <v>1</v>
      </c>
      <c r="CK1709">
        <v>21</v>
      </c>
      <c r="CL1709" t="s">
        <v>89</v>
      </c>
    </row>
    <row r="1710" spans="1:90" x14ac:dyDescent="0.3">
      <c r="A1710" t="s">
        <v>72</v>
      </c>
      <c r="B1710" t="s">
        <v>73</v>
      </c>
      <c r="C1710" t="s">
        <v>74</v>
      </c>
      <c r="E1710" t="str">
        <f>"080065393093"</f>
        <v>080065393093</v>
      </c>
      <c r="F1710" s="3">
        <v>45792</v>
      </c>
      <c r="G1710">
        <v>202602</v>
      </c>
      <c r="H1710" t="s">
        <v>75</v>
      </c>
      <c r="I1710" t="s">
        <v>76</v>
      </c>
      <c r="J1710" t="s">
        <v>77</v>
      </c>
      <c r="K1710" t="s">
        <v>78</v>
      </c>
      <c r="L1710" t="s">
        <v>526</v>
      </c>
      <c r="M1710" t="s">
        <v>527</v>
      </c>
      <c r="N1710" t="s">
        <v>528</v>
      </c>
      <c r="O1710" t="s">
        <v>82</v>
      </c>
      <c r="P1710" t="str">
        <f>"4170038589                    "</f>
        <v xml:space="preserve">4170038589                    </v>
      </c>
      <c r="Q1710">
        <v>0</v>
      </c>
      <c r="R1710">
        <v>0</v>
      </c>
      <c r="S1710">
        <v>0</v>
      </c>
      <c r="T1710">
        <v>0</v>
      </c>
      <c r="U1710">
        <v>0</v>
      </c>
      <c r="V1710">
        <v>0</v>
      </c>
      <c r="W1710">
        <v>0</v>
      </c>
      <c r="X1710">
        <v>0</v>
      </c>
      <c r="Y1710">
        <v>0</v>
      </c>
      <c r="Z1710">
        <v>0</v>
      </c>
      <c r="AA1710">
        <v>0</v>
      </c>
      <c r="AB1710">
        <v>0</v>
      </c>
      <c r="AC1710">
        <v>0</v>
      </c>
      <c r="AD1710">
        <v>0</v>
      </c>
      <c r="AE1710">
        <v>0</v>
      </c>
      <c r="AF1710">
        <v>0</v>
      </c>
      <c r="AG1710">
        <v>0</v>
      </c>
      <c r="AH1710">
        <v>0</v>
      </c>
      <c r="AI1710">
        <v>0</v>
      </c>
      <c r="AJ1710">
        <v>0</v>
      </c>
      <c r="AK1710">
        <v>0</v>
      </c>
      <c r="AL1710">
        <v>0</v>
      </c>
      <c r="AM1710">
        <v>0</v>
      </c>
      <c r="AN1710">
        <v>0</v>
      </c>
      <c r="AO1710">
        <v>0</v>
      </c>
      <c r="AP1710">
        <v>0</v>
      </c>
      <c r="AQ1710">
        <v>30.07</v>
      </c>
      <c r="AR1710">
        <v>0</v>
      </c>
      <c r="AS1710">
        <v>0</v>
      </c>
      <c r="AT1710">
        <v>0</v>
      </c>
      <c r="AU1710">
        <v>0</v>
      </c>
      <c r="AV1710">
        <v>0</v>
      </c>
      <c r="AW1710">
        <v>0</v>
      </c>
      <c r="AX1710">
        <v>0</v>
      </c>
      <c r="AY1710">
        <v>0</v>
      </c>
      <c r="AZ1710">
        <v>0</v>
      </c>
      <c r="BA1710">
        <v>0</v>
      </c>
      <c r="BB1710">
        <v>0</v>
      </c>
      <c r="BC1710">
        <v>0</v>
      </c>
      <c r="BD1710">
        <v>0</v>
      </c>
      <c r="BE1710">
        <v>0</v>
      </c>
      <c r="BF1710">
        <v>0</v>
      </c>
      <c r="BG1710">
        <v>0</v>
      </c>
      <c r="BH1710">
        <v>1</v>
      </c>
      <c r="BI1710">
        <v>1</v>
      </c>
      <c r="BJ1710">
        <v>0.2</v>
      </c>
      <c r="BK1710">
        <v>1</v>
      </c>
      <c r="BL1710">
        <v>98.42</v>
      </c>
      <c r="BM1710">
        <v>14.76</v>
      </c>
      <c r="BN1710">
        <v>113.18</v>
      </c>
      <c r="BO1710">
        <v>113.18</v>
      </c>
      <c r="BQ1710" t="s">
        <v>529</v>
      </c>
      <c r="BR1710" t="s">
        <v>84</v>
      </c>
      <c r="BS1710" s="3">
        <v>45793</v>
      </c>
      <c r="BT1710" s="4">
        <v>0.45069444444444445</v>
      </c>
      <c r="BU1710" t="s">
        <v>2295</v>
      </c>
      <c r="BV1710" t="s">
        <v>86</v>
      </c>
      <c r="BY1710">
        <v>1200</v>
      </c>
      <c r="CA1710" t="s">
        <v>2080</v>
      </c>
      <c r="CC1710" t="s">
        <v>527</v>
      </c>
      <c r="CD1710">
        <v>1760</v>
      </c>
      <c r="CE1710" t="s">
        <v>176</v>
      </c>
      <c r="CF1710" s="3">
        <v>45793</v>
      </c>
      <c r="CI1710">
        <v>1</v>
      </c>
      <c r="CJ1710">
        <v>1</v>
      </c>
      <c r="CK1710">
        <v>24</v>
      </c>
      <c r="CL1710" t="s">
        <v>89</v>
      </c>
    </row>
    <row r="1711" spans="1:90" x14ac:dyDescent="0.3">
      <c r="A1711" t="s">
        <v>72</v>
      </c>
      <c r="B1711" t="s">
        <v>73</v>
      </c>
      <c r="C1711" t="s">
        <v>74</v>
      </c>
      <c r="E1711" t="str">
        <f>"080065393098"</f>
        <v>080065393098</v>
      </c>
      <c r="F1711" s="3">
        <v>45792</v>
      </c>
      <c r="G1711">
        <v>202602</v>
      </c>
      <c r="H1711" t="s">
        <v>75</v>
      </c>
      <c r="I1711" t="s">
        <v>76</v>
      </c>
      <c r="J1711" t="s">
        <v>77</v>
      </c>
      <c r="K1711" t="s">
        <v>78</v>
      </c>
      <c r="L1711" t="s">
        <v>130</v>
      </c>
      <c r="M1711" t="s">
        <v>131</v>
      </c>
      <c r="N1711" t="s">
        <v>337</v>
      </c>
      <c r="O1711" t="s">
        <v>82</v>
      </c>
      <c r="P1711" t="str">
        <f>"4170038754                    "</f>
        <v xml:space="preserve">4170038754                    </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0</v>
      </c>
      <c r="AL1711">
        <v>0</v>
      </c>
      <c r="AM1711">
        <v>0</v>
      </c>
      <c r="AN1711">
        <v>0</v>
      </c>
      <c r="AO1711">
        <v>0</v>
      </c>
      <c r="AP1711">
        <v>0</v>
      </c>
      <c r="AQ1711">
        <v>21.38</v>
      </c>
      <c r="AR1711">
        <v>0</v>
      </c>
      <c r="AS1711">
        <v>0</v>
      </c>
      <c r="AT1711">
        <v>0</v>
      </c>
      <c r="AU1711">
        <v>0</v>
      </c>
      <c r="AV1711">
        <v>0</v>
      </c>
      <c r="AW1711">
        <v>0</v>
      </c>
      <c r="AX1711">
        <v>0</v>
      </c>
      <c r="AY1711">
        <v>0</v>
      </c>
      <c r="AZ1711">
        <v>0</v>
      </c>
      <c r="BA1711">
        <v>0</v>
      </c>
      <c r="BB1711">
        <v>0</v>
      </c>
      <c r="BC1711">
        <v>0</v>
      </c>
      <c r="BD1711">
        <v>0</v>
      </c>
      <c r="BE1711">
        <v>0</v>
      </c>
      <c r="BF1711">
        <v>0</v>
      </c>
      <c r="BG1711">
        <v>0</v>
      </c>
      <c r="BH1711">
        <v>1</v>
      </c>
      <c r="BI1711">
        <v>1</v>
      </c>
      <c r="BJ1711">
        <v>0.2</v>
      </c>
      <c r="BK1711">
        <v>1</v>
      </c>
      <c r="BL1711">
        <v>69.98</v>
      </c>
      <c r="BM1711">
        <v>10.5</v>
      </c>
      <c r="BN1711">
        <v>80.48</v>
      </c>
      <c r="BO1711">
        <v>80.48</v>
      </c>
      <c r="BQ1711" t="s">
        <v>338</v>
      </c>
      <c r="BR1711" t="s">
        <v>84</v>
      </c>
      <c r="BS1711" s="3">
        <v>45793</v>
      </c>
      <c r="BT1711" s="4">
        <v>0.64861111111111114</v>
      </c>
      <c r="BU1711" t="s">
        <v>2296</v>
      </c>
      <c r="BV1711" t="s">
        <v>89</v>
      </c>
      <c r="BW1711" t="s">
        <v>340</v>
      </c>
      <c r="BX1711" t="s">
        <v>618</v>
      </c>
      <c r="BY1711">
        <v>1200</v>
      </c>
      <c r="CC1711" t="s">
        <v>131</v>
      </c>
      <c r="CD1711">
        <v>7800</v>
      </c>
      <c r="CE1711" t="s">
        <v>176</v>
      </c>
      <c r="CF1711" s="3">
        <v>45798</v>
      </c>
      <c r="CI1711">
        <v>1</v>
      </c>
      <c r="CJ1711">
        <v>1</v>
      </c>
      <c r="CK1711">
        <v>21</v>
      </c>
      <c r="CL1711" t="s">
        <v>89</v>
      </c>
    </row>
    <row r="1712" spans="1:90" x14ac:dyDescent="0.3">
      <c r="A1712" t="s">
        <v>72</v>
      </c>
      <c r="B1712" t="s">
        <v>73</v>
      </c>
      <c r="C1712" t="s">
        <v>74</v>
      </c>
      <c r="E1712" t="str">
        <f>"080065393170"</f>
        <v>080065393170</v>
      </c>
      <c r="F1712" s="3">
        <v>45792</v>
      </c>
      <c r="G1712">
        <v>202602</v>
      </c>
      <c r="H1712" t="s">
        <v>75</v>
      </c>
      <c r="I1712" t="s">
        <v>76</v>
      </c>
      <c r="J1712" t="s">
        <v>77</v>
      </c>
      <c r="K1712" t="s">
        <v>78</v>
      </c>
      <c r="L1712" t="s">
        <v>463</v>
      </c>
      <c r="M1712" t="s">
        <v>464</v>
      </c>
      <c r="N1712" t="s">
        <v>585</v>
      </c>
      <c r="O1712" t="s">
        <v>82</v>
      </c>
      <c r="P1712" t="str">
        <f>"4170038713                    "</f>
        <v xml:space="preserve">4170038713                    </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0</v>
      </c>
      <c r="AL1712">
        <v>0</v>
      </c>
      <c r="AM1712">
        <v>0</v>
      </c>
      <c r="AN1712">
        <v>0</v>
      </c>
      <c r="AO1712">
        <v>0</v>
      </c>
      <c r="AP1712">
        <v>0</v>
      </c>
      <c r="AQ1712">
        <v>21.38</v>
      </c>
      <c r="AR1712">
        <v>0</v>
      </c>
      <c r="AS1712">
        <v>0</v>
      </c>
      <c r="AT1712">
        <v>0</v>
      </c>
      <c r="AU1712">
        <v>0</v>
      </c>
      <c r="AV1712">
        <v>0</v>
      </c>
      <c r="AW1712">
        <v>0</v>
      </c>
      <c r="AX1712">
        <v>0</v>
      </c>
      <c r="AY1712">
        <v>0</v>
      </c>
      <c r="AZ1712">
        <v>0</v>
      </c>
      <c r="BA1712">
        <v>0</v>
      </c>
      <c r="BB1712">
        <v>0</v>
      </c>
      <c r="BC1712">
        <v>0</v>
      </c>
      <c r="BD1712">
        <v>0</v>
      </c>
      <c r="BE1712">
        <v>0</v>
      </c>
      <c r="BF1712">
        <v>0</v>
      </c>
      <c r="BG1712">
        <v>0</v>
      </c>
      <c r="BH1712">
        <v>1</v>
      </c>
      <c r="BI1712">
        <v>1</v>
      </c>
      <c r="BJ1712">
        <v>0.2</v>
      </c>
      <c r="BK1712">
        <v>1</v>
      </c>
      <c r="BL1712">
        <v>69.98</v>
      </c>
      <c r="BM1712">
        <v>10.5</v>
      </c>
      <c r="BN1712">
        <v>80.48</v>
      </c>
      <c r="BO1712">
        <v>80.48</v>
      </c>
      <c r="BQ1712" t="s">
        <v>586</v>
      </c>
      <c r="BR1712" t="s">
        <v>84</v>
      </c>
      <c r="BS1712" s="3">
        <v>45793</v>
      </c>
      <c r="BT1712" s="4">
        <v>0.45208333333333334</v>
      </c>
      <c r="BU1712" t="s">
        <v>2297</v>
      </c>
      <c r="BV1712" t="s">
        <v>89</v>
      </c>
      <c r="BW1712" t="s">
        <v>148</v>
      </c>
      <c r="BX1712" t="s">
        <v>2215</v>
      </c>
      <c r="BY1712">
        <v>1200</v>
      </c>
      <c r="CA1712" t="s">
        <v>588</v>
      </c>
      <c r="CC1712" t="s">
        <v>464</v>
      </c>
      <c r="CD1712">
        <v>5200</v>
      </c>
      <c r="CE1712" t="s">
        <v>176</v>
      </c>
      <c r="CF1712" s="3">
        <v>45795</v>
      </c>
      <c r="CI1712">
        <v>1</v>
      </c>
      <c r="CJ1712">
        <v>1</v>
      </c>
      <c r="CK1712">
        <v>21</v>
      </c>
      <c r="CL1712" t="s">
        <v>89</v>
      </c>
    </row>
    <row r="1713" spans="1:90" x14ac:dyDescent="0.3">
      <c r="A1713" t="s">
        <v>72</v>
      </c>
      <c r="B1713" t="s">
        <v>73</v>
      </c>
      <c r="C1713" t="s">
        <v>74</v>
      </c>
      <c r="E1713" t="str">
        <f>"080065393196"</f>
        <v>080065393196</v>
      </c>
      <c r="F1713" s="3">
        <v>45792</v>
      </c>
      <c r="G1713">
        <v>202602</v>
      </c>
      <c r="H1713" t="s">
        <v>75</v>
      </c>
      <c r="I1713" t="s">
        <v>76</v>
      </c>
      <c r="J1713" t="s">
        <v>77</v>
      </c>
      <c r="K1713" t="s">
        <v>78</v>
      </c>
      <c r="L1713" t="s">
        <v>287</v>
      </c>
      <c r="M1713" t="s">
        <v>288</v>
      </c>
      <c r="N1713" t="s">
        <v>289</v>
      </c>
      <c r="O1713" t="s">
        <v>82</v>
      </c>
      <c r="P1713" t="str">
        <f>"4170038699                    "</f>
        <v xml:space="preserve">4170038699                    </v>
      </c>
      <c r="Q1713">
        <v>0</v>
      </c>
      <c r="R1713">
        <v>0</v>
      </c>
      <c r="S1713">
        <v>0</v>
      </c>
      <c r="T1713">
        <v>0</v>
      </c>
      <c r="U1713">
        <v>0</v>
      </c>
      <c r="V1713">
        <v>0</v>
      </c>
      <c r="W1713">
        <v>0</v>
      </c>
      <c r="X1713">
        <v>0</v>
      </c>
      <c r="Y1713">
        <v>0</v>
      </c>
      <c r="Z1713">
        <v>0</v>
      </c>
      <c r="AA1713">
        <v>0</v>
      </c>
      <c r="AB1713">
        <v>0</v>
      </c>
      <c r="AC1713">
        <v>0</v>
      </c>
      <c r="AD1713">
        <v>0</v>
      </c>
      <c r="AE1713">
        <v>0</v>
      </c>
      <c r="AF1713">
        <v>0</v>
      </c>
      <c r="AG1713">
        <v>0</v>
      </c>
      <c r="AH1713">
        <v>0</v>
      </c>
      <c r="AI1713">
        <v>0</v>
      </c>
      <c r="AJ1713">
        <v>0</v>
      </c>
      <c r="AK1713">
        <v>0</v>
      </c>
      <c r="AL1713">
        <v>0</v>
      </c>
      <c r="AM1713">
        <v>0</v>
      </c>
      <c r="AN1713">
        <v>0</v>
      </c>
      <c r="AO1713">
        <v>0</v>
      </c>
      <c r="AP1713">
        <v>0</v>
      </c>
      <c r="AQ1713">
        <v>41.43</v>
      </c>
      <c r="AR1713">
        <v>0</v>
      </c>
      <c r="AS1713">
        <v>0</v>
      </c>
      <c r="AT1713">
        <v>0</v>
      </c>
      <c r="AU1713">
        <v>0</v>
      </c>
      <c r="AV1713">
        <v>0</v>
      </c>
      <c r="AW1713">
        <v>0</v>
      </c>
      <c r="AX1713">
        <v>0</v>
      </c>
      <c r="AY1713">
        <v>0</v>
      </c>
      <c r="AZ1713">
        <v>0</v>
      </c>
      <c r="BA1713">
        <v>0</v>
      </c>
      <c r="BB1713">
        <v>0</v>
      </c>
      <c r="BC1713">
        <v>0</v>
      </c>
      <c r="BD1713">
        <v>0</v>
      </c>
      <c r="BE1713">
        <v>0</v>
      </c>
      <c r="BF1713">
        <v>0</v>
      </c>
      <c r="BG1713">
        <v>0</v>
      </c>
      <c r="BH1713">
        <v>1</v>
      </c>
      <c r="BI1713">
        <v>1</v>
      </c>
      <c r="BJ1713">
        <v>0.2</v>
      </c>
      <c r="BK1713">
        <v>1</v>
      </c>
      <c r="BL1713">
        <v>135.59</v>
      </c>
      <c r="BM1713">
        <v>20.34</v>
      </c>
      <c r="BN1713">
        <v>155.93</v>
      </c>
      <c r="BO1713">
        <v>155.93</v>
      </c>
      <c r="BQ1713" t="s">
        <v>290</v>
      </c>
      <c r="BR1713" t="s">
        <v>84</v>
      </c>
      <c r="BS1713" s="3">
        <v>45793</v>
      </c>
      <c r="BT1713" s="4">
        <v>0.5083333333333333</v>
      </c>
      <c r="BU1713" t="s">
        <v>291</v>
      </c>
      <c r="BV1713" t="s">
        <v>86</v>
      </c>
      <c r="BY1713">
        <v>1240</v>
      </c>
      <c r="CA1713" t="s">
        <v>292</v>
      </c>
      <c r="CC1713" t="s">
        <v>288</v>
      </c>
      <c r="CD1713">
        <v>6715</v>
      </c>
      <c r="CE1713" t="s">
        <v>176</v>
      </c>
      <c r="CF1713" s="3">
        <v>45796</v>
      </c>
      <c r="CI1713">
        <v>2</v>
      </c>
      <c r="CJ1713">
        <v>1</v>
      </c>
      <c r="CK1713">
        <v>23</v>
      </c>
      <c r="CL1713" t="s">
        <v>89</v>
      </c>
    </row>
    <row r="1714" spans="1:90" x14ac:dyDescent="0.3">
      <c r="A1714" t="s">
        <v>72</v>
      </c>
      <c r="B1714" t="s">
        <v>73</v>
      </c>
      <c r="C1714" t="s">
        <v>74</v>
      </c>
      <c r="E1714" t="str">
        <f>"080065393212"</f>
        <v>080065393212</v>
      </c>
      <c r="F1714" s="3">
        <v>45792</v>
      </c>
      <c r="G1714">
        <v>202602</v>
      </c>
      <c r="H1714" t="s">
        <v>75</v>
      </c>
      <c r="I1714" t="s">
        <v>76</v>
      </c>
      <c r="J1714" t="s">
        <v>77</v>
      </c>
      <c r="K1714" t="s">
        <v>78</v>
      </c>
      <c r="L1714" t="s">
        <v>90</v>
      </c>
      <c r="M1714" t="s">
        <v>91</v>
      </c>
      <c r="N1714" t="s">
        <v>385</v>
      </c>
      <c r="O1714" t="s">
        <v>82</v>
      </c>
      <c r="P1714" t="str">
        <f>"4170038740                    "</f>
        <v xml:space="preserve">4170038740                    </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0</v>
      </c>
      <c r="AK1714">
        <v>0</v>
      </c>
      <c r="AL1714">
        <v>0</v>
      </c>
      <c r="AM1714">
        <v>0</v>
      </c>
      <c r="AN1714">
        <v>0</v>
      </c>
      <c r="AO1714">
        <v>0</v>
      </c>
      <c r="AP1714">
        <v>0</v>
      </c>
      <c r="AQ1714">
        <v>21.38</v>
      </c>
      <c r="AR1714">
        <v>0</v>
      </c>
      <c r="AS1714">
        <v>0</v>
      </c>
      <c r="AT1714">
        <v>0</v>
      </c>
      <c r="AU1714">
        <v>0</v>
      </c>
      <c r="AV1714">
        <v>0</v>
      </c>
      <c r="AW1714">
        <v>0</v>
      </c>
      <c r="AX1714">
        <v>0</v>
      </c>
      <c r="AY1714">
        <v>0</v>
      </c>
      <c r="AZ1714">
        <v>0</v>
      </c>
      <c r="BA1714">
        <v>0</v>
      </c>
      <c r="BB1714">
        <v>0</v>
      </c>
      <c r="BC1714">
        <v>0</v>
      </c>
      <c r="BD1714">
        <v>0</v>
      </c>
      <c r="BE1714">
        <v>0</v>
      </c>
      <c r="BF1714">
        <v>0</v>
      </c>
      <c r="BG1714">
        <v>0</v>
      </c>
      <c r="BH1714">
        <v>1</v>
      </c>
      <c r="BI1714">
        <v>1</v>
      </c>
      <c r="BJ1714">
        <v>0.2</v>
      </c>
      <c r="BK1714">
        <v>1</v>
      </c>
      <c r="BL1714">
        <v>69.98</v>
      </c>
      <c r="BM1714">
        <v>10.5</v>
      </c>
      <c r="BN1714">
        <v>80.48</v>
      </c>
      <c r="BO1714">
        <v>80.48</v>
      </c>
      <c r="BQ1714" t="s">
        <v>386</v>
      </c>
      <c r="BR1714" t="s">
        <v>84</v>
      </c>
      <c r="BS1714" s="3">
        <v>45793</v>
      </c>
      <c r="BT1714" s="4">
        <v>0.43194444444444446</v>
      </c>
      <c r="BU1714" t="s">
        <v>387</v>
      </c>
      <c r="BV1714" t="s">
        <v>86</v>
      </c>
      <c r="BY1714">
        <v>1200</v>
      </c>
      <c r="CA1714" t="s">
        <v>95</v>
      </c>
      <c r="CC1714" t="s">
        <v>91</v>
      </c>
      <c r="CD1714">
        <v>6056</v>
      </c>
      <c r="CE1714" t="s">
        <v>176</v>
      </c>
      <c r="CF1714" s="3">
        <v>45793</v>
      </c>
      <c r="CI1714">
        <v>1</v>
      </c>
      <c r="CJ1714">
        <v>1</v>
      </c>
      <c r="CK1714">
        <v>21</v>
      </c>
      <c r="CL1714" t="s">
        <v>89</v>
      </c>
    </row>
    <row r="1715" spans="1:90" x14ac:dyDescent="0.3">
      <c r="A1715" t="s">
        <v>72</v>
      </c>
      <c r="B1715" t="s">
        <v>73</v>
      </c>
      <c r="C1715" t="s">
        <v>74</v>
      </c>
      <c r="E1715" t="str">
        <f>"080065393250"</f>
        <v>080065393250</v>
      </c>
      <c r="F1715" s="3">
        <v>45792</v>
      </c>
      <c r="G1715">
        <v>202602</v>
      </c>
      <c r="H1715" t="s">
        <v>75</v>
      </c>
      <c r="I1715" t="s">
        <v>76</v>
      </c>
      <c r="J1715" t="s">
        <v>77</v>
      </c>
      <c r="K1715" t="s">
        <v>78</v>
      </c>
      <c r="L1715" t="s">
        <v>103</v>
      </c>
      <c r="M1715" t="s">
        <v>104</v>
      </c>
      <c r="N1715" t="s">
        <v>633</v>
      </c>
      <c r="O1715" t="s">
        <v>82</v>
      </c>
      <c r="P1715" t="str">
        <f>"4170038786                    "</f>
        <v xml:space="preserve">4170038786                    </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c r="AJ1715">
        <v>0</v>
      </c>
      <c r="AK1715">
        <v>0</v>
      </c>
      <c r="AL1715">
        <v>0</v>
      </c>
      <c r="AM1715">
        <v>0</v>
      </c>
      <c r="AN1715">
        <v>0</v>
      </c>
      <c r="AO1715">
        <v>0</v>
      </c>
      <c r="AP1715">
        <v>0</v>
      </c>
      <c r="AQ1715">
        <v>32.07</v>
      </c>
      <c r="AR1715">
        <v>0</v>
      </c>
      <c r="AS1715">
        <v>0</v>
      </c>
      <c r="AT1715">
        <v>0</v>
      </c>
      <c r="AU1715">
        <v>0</v>
      </c>
      <c r="AV1715">
        <v>0</v>
      </c>
      <c r="AW1715">
        <v>0</v>
      </c>
      <c r="AX1715">
        <v>0</v>
      </c>
      <c r="AY1715">
        <v>0</v>
      </c>
      <c r="AZ1715">
        <v>0</v>
      </c>
      <c r="BA1715">
        <v>0</v>
      </c>
      <c r="BB1715">
        <v>0</v>
      </c>
      <c r="BC1715">
        <v>0</v>
      </c>
      <c r="BD1715">
        <v>0</v>
      </c>
      <c r="BE1715">
        <v>0</v>
      </c>
      <c r="BF1715">
        <v>0</v>
      </c>
      <c r="BG1715">
        <v>0</v>
      </c>
      <c r="BH1715">
        <v>1</v>
      </c>
      <c r="BI1715">
        <v>3</v>
      </c>
      <c r="BJ1715">
        <v>1.9</v>
      </c>
      <c r="BK1715">
        <v>3</v>
      </c>
      <c r="BL1715">
        <v>104.95</v>
      </c>
      <c r="BM1715">
        <v>15.74</v>
      </c>
      <c r="BN1715">
        <v>120.69</v>
      </c>
      <c r="BO1715">
        <v>120.69</v>
      </c>
      <c r="BQ1715" t="s">
        <v>634</v>
      </c>
      <c r="BR1715" t="s">
        <v>84</v>
      </c>
      <c r="BS1715" s="3">
        <v>45793</v>
      </c>
      <c r="BT1715" s="4">
        <v>0.41666666666666669</v>
      </c>
      <c r="BU1715" t="s">
        <v>2229</v>
      </c>
      <c r="BV1715" t="s">
        <v>86</v>
      </c>
      <c r="BY1715">
        <v>9600</v>
      </c>
      <c r="CA1715" t="s">
        <v>440</v>
      </c>
      <c r="CC1715" t="s">
        <v>104</v>
      </c>
      <c r="CD1715">
        <v>3212</v>
      </c>
      <c r="CE1715" t="s">
        <v>176</v>
      </c>
      <c r="CF1715" s="3">
        <v>45794</v>
      </c>
      <c r="CI1715">
        <v>2</v>
      </c>
      <c r="CJ1715">
        <v>1</v>
      </c>
      <c r="CK1715">
        <v>21</v>
      </c>
      <c r="CL1715" t="s">
        <v>89</v>
      </c>
    </row>
    <row r="1716" spans="1:90" x14ac:dyDescent="0.3">
      <c r="A1716" t="s">
        <v>72</v>
      </c>
      <c r="B1716" t="s">
        <v>73</v>
      </c>
      <c r="C1716" t="s">
        <v>74</v>
      </c>
      <c r="E1716" t="str">
        <f>"080065393261"</f>
        <v>080065393261</v>
      </c>
      <c r="F1716" s="3">
        <v>45792</v>
      </c>
      <c r="G1716">
        <v>202602</v>
      </c>
      <c r="H1716" t="s">
        <v>75</v>
      </c>
      <c r="I1716" t="s">
        <v>76</v>
      </c>
      <c r="J1716" t="s">
        <v>77</v>
      </c>
      <c r="K1716" t="s">
        <v>78</v>
      </c>
      <c r="L1716" t="s">
        <v>136</v>
      </c>
      <c r="M1716" t="s">
        <v>137</v>
      </c>
      <c r="N1716" t="s">
        <v>735</v>
      </c>
      <c r="O1716" t="s">
        <v>82</v>
      </c>
      <c r="P1716" t="str">
        <f>"4170038682                    "</f>
        <v xml:space="preserve">4170038682                    </v>
      </c>
      <c r="Q1716">
        <v>0</v>
      </c>
      <c r="R1716">
        <v>0</v>
      </c>
      <c r="S1716">
        <v>0</v>
      </c>
      <c r="T1716">
        <v>0</v>
      </c>
      <c r="U1716">
        <v>0</v>
      </c>
      <c r="V1716">
        <v>0</v>
      </c>
      <c r="W1716">
        <v>0</v>
      </c>
      <c r="X1716">
        <v>0</v>
      </c>
      <c r="Y1716">
        <v>0</v>
      </c>
      <c r="Z1716">
        <v>0</v>
      </c>
      <c r="AA1716">
        <v>0</v>
      </c>
      <c r="AB1716">
        <v>0</v>
      </c>
      <c r="AC1716">
        <v>0</v>
      </c>
      <c r="AD1716">
        <v>0</v>
      </c>
      <c r="AE1716">
        <v>0</v>
      </c>
      <c r="AF1716">
        <v>0</v>
      </c>
      <c r="AG1716">
        <v>0</v>
      </c>
      <c r="AH1716">
        <v>0</v>
      </c>
      <c r="AI1716">
        <v>0</v>
      </c>
      <c r="AJ1716">
        <v>0</v>
      </c>
      <c r="AK1716">
        <v>0</v>
      </c>
      <c r="AL1716">
        <v>0</v>
      </c>
      <c r="AM1716">
        <v>0</v>
      </c>
      <c r="AN1716">
        <v>0</v>
      </c>
      <c r="AO1716">
        <v>0</v>
      </c>
      <c r="AP1716">
        <v>0</v>
      </c>
      <c r="AQ1716">
        <v>21.38</v>
      </c>
      <c r="AR1716">
        <v>0</v>
      </c>
      <c r="AS1716">
        <v>0</v>
      </c>
      <c r="AT1716">
        <v>0</v>
      </c>
      <c r="AU1716">
        <v>0</v>
      </c>
      <c r="AV1716">
        <v>0</v>
      </c>
      <c r="AW1716">
        <v>0</v>
      </c>
      <c r="AX1716">
        <v>0</v>
      </c>
      <c r="AY1716">
        <v>0</v>
      </c>
      <c r="AZ1716">
        <v>0</v>
      </c>
      <c r="BA1716">
        <v>0</v>
      </c>
      <c r="BB1716">
        <v>0</v>
      </c>
      <c r="BC1716">
        <v>0</v>
      </c>
      <c r="BD1716">
        <v>0</v>
      </c>
      <c r="BE1716">
        <v>0</v>
      </c>
      <c r="BF1716">
        <v>0</v>
      </c>
      <c r="BG1716">
        <v>0</v>
      </c>
      <c r="BH1716">
        <v>1</v>
      </c>
      <c r="BI1716">
        <v>1</v>
      </c>
      <c r="BJ1716">
        <v>0.2</v>
      </c>
      <c r="BK1716">
        <v>1</v>
      </c>
      <c r="BL1716">
        <v>69.98</v>
      </c>
      <c r="BM1716">
        <v>10.5</v>
      </c>
      <c r="BN1716">
        <v>80.48</v>
      </c>
      <c r="BO1716">
        <v>80.48</v>
      </c>
      <c r="BQ1716" t="s">
        <v>736</v>
      </c>
      <c r="BR1716" t="s">
        <v>84</v>
      </c>
      <c r="BS1716" s="3">
        <v>45793</v>
      </c>
      <c r="BT1716" s="4">
        <v>0.35416666666666669</v>
      </c>
      <c r="BU1716" t="s">
        <v>737</v>
      </c>
      <c r="BV1716" t="s">
        <v>86</v>
      </c>
      <c r="BY1716">
        <v>1200</v>
      </c>
      <c r="CA1716" t="s">
        <v>258</v>
      </c>
      <c r="CC1716" t="s">
        <v>137</v>
      </c>
      <c r="CD1716" s="5" t="s">
        <v>738</v>
      </c>
      <c r="CE1716" t="s">
        <v>176</v>
      </c>
      <c r="CF1716" s="3">
        <v>45793</v>
      </c>
      <c r="CI1716">
        <v>1</v>
      </c>
      <c r="CJ1716">
        <v>1</v>
      </c>
      <c r="CK1716">
        <v>21</v>
      </c>
      <c r="CL1716" t="s">
        <v>89</v>
      </c>
    </row>
    <row r="1717" spans="1:90" x14ac:dyDescent="0.3">
      <c r="A1717" t="s">
        <v>72</v>
      </c>
      <c r="B1717" t="s">
        <v>73</v>
      </c>
      <c r="C1717" t="s">
        <v>74</v>
      </c>
      <c r="E1717" t="str">
        <f>"080065393308"</f>
        <v>080065393308</v>
      </c>
      <c r="F1717" s="3">
        <v>45792</v>
      </c>
      <c r="G1717">
        <v>202602</v>
      </c>
      <c r="H1717" t="s">
        <v>75</v>
      </c>
      <c r="I1717" t="s">
        <v>76</v>
      </c>
      <c r="J1717" t="s">
        <v>77</v>
      </c>
      <c r="K1717" t="s">
        <v>78</v>
      </c>
      <c r="L1717" t="s">
        <v>350</v>
      </c>
      <c r="M1717" t="s">
        <v>351</v>
      </c>
      <c r="N1717" t="s">
        <v>678</v>
      </c>
      <c r="O1717" t="s">
        <v>82</v>
      </c>
      <c r="P1717" t="str">
        <f>"4170038685                    "</f>
        <v xml:space="preserve">4170038685                    </v>
      </c>
      <c r="Q1717">
        <v>0</v>
      </c>
      <c r="R1717">
        <v>0</v>
      </c>
      <c r="S1717">
        <v>0</v>
      </c>
      <c r="T1717">
        <v>0</v>
      </c>
      <c r="U1717">
        <v>0</v>
      </c>
      <c r="V1717">
        <v>0</v>
      </c>
      <c r="W1717">
        <v>0</v>
      </c>
      <c r="X1717">
        <v>0</v>
      </c>
      <c r="Y1717">
        <v>0</v>
      </c>
      <c r="Z1717">
        <v>0</v>
      </c>
      <c r="AA1717">
        <v>0</v>
      </c>
      <c r="AB1717">
        <v>0</v>
      </c>
      <c r="AC1717">
        <v>0</v>
      </c>
      <c r="AD1717">
        <v>0</v>
      </c>
      <c r="AE1717">
        <v>0</v>
      </c>
      <c r="AF1717">
        <v>0</v>
      </c>
      <c r="AG1717">
        <v>0</v>
      </c>
      <c r="AH1717">
        <v>0</v>
      </c>
      <c r="AI1717">
        <v>0</v>
      </c>
      <c r="AJ1717">
        <v>0</v>
      </c>
      <c r="AK1717">
        <v>0</v>
      </c>
      <c r="AL1717">
        <v>0</v>
      </c>
      <c r="AM1717">
        <v>0</v>
      </c>
      <c r="AN1717">
        <v>0</v>
      </c>
      <c r="AO1717">
        <v>0</v>
      </c>
      <c r="AP1717">
        <v>0</v>
      </c>
      <c r="AQ1717">
        <v>21.38</v>
      </c>
      <c r="AR1717">
        <v>0</v>
      </c>
      <c r="AS1717">
        <v>0</v>
      </c>
      <c r="AT1717">
        <v>0</v>
      </c>
      <c r="AU1717">
        <v>0</v>
      </c>
      <c r="AV1717">
        <v>0</v>
      </c>
      <c r="AW1717">
        <v>0</v>
      </c>
      <c r="AX1717">
        <v>0</v>
      </c>
      <c r="AY1717">
        <v>0</v>
      </c>
      <c r="AZ1717">
        <v>0</v>
      </c>
      <c r="BA1717">
        <v>0</v>
      </c>
      <c r="BB1717">
        <v>0</v>
      </c>
      <c r="BC1717">
        <v>0</v>
      </c>
      <c r="BD1717">
        <v>0</v>
      </c>
      <c r="BE1717">
        <v>0</v>
      </c>
      <c r="BF1717">
        <v>0</v>
      </c>
      <c r="BG1717">
        <v>0</v>
      </c>
      <c r="BH1717">
        <v>1</v>
      </c>
      <c r="BI1717">
        <v>1</v>
      </c>
      <c r="BJ1717">
        <v>0.2</v>
      </c>
      <c r="BK1717">
        <v>1</v>
      </c>
      <c r="BL1717">
        <v>69.98</v>
      </c>
      <c r="BM1717">
        <v>10.5</v>
      </c>
      <c r="BN1717">
        <v>80.48</v>
      </c>
      <c r="BO1717">
        <v>80.48</v>
      </c>
      <c r="BQ1717" t="s">
        <v>679</v>
      </c>
      <c r="BR1717" t="s">
        <v>84</v>
      </c>
      <c r="BS1717" s="3">
        <v>45793</v>
      </c>
      <c r="BT1717" s="4">
        <v>0.44027777777777777</v>
      </c>
      <c r="BU1717" t="s">
        <v>2213</v>
      </c>
      <c r="BV1717" t="s">
        <v>89</v>
      </c>
      <c r="BW1717" t="s">
        <v>434</v>
      </c>
      <c r="BX1717" t="s">
        <v>1829</v>
      </c>
      <c r="BY1717">
        <v>1200</v>
      </c>
      <c r="CA1717" t="s">
        <v>879</v>
      </c>
      <c r="CC1717" t="s">
        <v>351</v>
      </c>
      <c r="CD1717">
        <v>4052</v>
      </c>
      <c r="CE1717" t="s">
        <v>176</v>
      </c>
      <c r="CF1717" s="3">
        <v>45796</v>
      </c>
      <c r="CI1717">
        <v>1</v>
      </c>
      <c r="CJ1717">
        <v>1</v>
      </c>
      <c r="CK1717">
        <v>21</v>
      </c>
      <c r="CL1717" t="s">
        <v>89</v>
      </c>
    </row>
    <row r="1718" spans="1:90" x14ac:dyDescent="0.3">
      <c r="A1718" t="s">
        <v>72</v>
      </c>
      <c r="B1718" t="s">
        <v>73</v>
      </c>
      <c r="C1718" t="s">
        <v>74</v>
      </c>
      <c r="E1718" t="str">
        <f>"080065393325"</f>
        <v>080065393325</v>
      </c>
      <c r="F1718" s="3">
        <v>45792</v>
      </c>
      <c r="G1718">
        <v>202602</v>
      </c>
      <c r="H1718" t="s">
        <v>75</v>
      </c>
      <c r="I1718" t="s">
        <v>76</v>
      </c>
      <c r="J1718" t="s">
        <v>77</v>
      </c>
      <c r="K1718" t="s">
        <v>78</v>
      </c>
      <c r="L1718" t="s">
        <v>320</v>
      </c>
      <c r="M1718" t="s">
        <v>321</v>
      </c>
      <c r="N1718" t="s">
        <v>499</v>
      </c>
      <c r="O1718" t="s">
        <v>82</v>
      </c>
      <c r="P1718" t="str">
        <f>"4170038789                    "</f>
        <v xml:space="preserve">4170038789                    </v>
      </c>
      <c r="Q1718">
        <v>0</v>
      </c>
      <c r="R1718">
        <v>0</v>
      </c>
      <c r="S1718">
        <v>0</v>
      </c>
      <c r="T1718">
        <v>0</v>
      </c>
      <c r="U1718">
        <v>0</v>
      </c>
      <c r="V1718">
        <v>0</v>
      </c>
      <c r="W1718">
        <v>0</v>
      </c>
      <c r="X1718">
        <v>0</v>
      </c>
      <c r="Y1718">
        <v>0</v>
      </c>
      <c r="Z1718">
        <v>0</v>
      </c>
      <c r="AA1718">
        <v>0</v>
      </c>
      <c r="AB1718">
        <v>0</v>
      </c>
      <c r="AC1718">
        <v>0</v>
      </c>
      <c r="AD1718">
        <v>0</v>
      </c>
      <c r="AE1718">
        <v>0</v>
      </c>
      <c r="AF1718">
        <v>0</v>
      </c>
      <c r="AG1718">
        <v>0</v>
      </c>
      <c r="AH1718">
        <v>0</v>
      </c>
      <c r="AI1718">
        <v>0</v>
      </c>
      <c r="AJ1718">
        <v>0</v>
      </c>
      <c r="AK1718">
        <v>0</v>
      </c>
      <c r="AL1718">
        <v>0</v>
      </c>
      <c r="AM1718">
        <v>0</v>
      </c>
      <c r="AN1718">
        <v>0</v>
      </c>
      <c r="AO1718">
        <v>0</v>
      </c>
      <c r="AP1718">
        <v>0</v>
      </c>
      <c r="AQ1718">
        <v>21.38</v>
      </c>
      <c r="AR1718">
        <v>0</v>
      </c>
      <c r="AS1718">
        <v>0</v>
      </c>
      <c r="AT1718">
        <v>0</v>
      </c>
      <c r="AU1718">
        <v>0</v>
      </c>
      <c r="AV1718">
        <v>0</v>
      </c>
      <c r="AW1718">
        <v>0</v>
      </c>
      <c r="AX1718">
        <v>0</v>
      </c>
      <c r="AY1718">
        <v>0</v>
      </c>
      <c r="AZ1718">
        <v>0</v>
      </c>
      <c r="BA1718">
        <v>0</v>
      </c>
      <c r="BB1718">
        <v>0</v>
      </c>
      <c r="BC1718">
        <v>0</v>
      </c>
      <c r="BD1718">
        <v>0</v>
      </c>
      <c r="BE1718">
        <v>0</v>
      </c>
      <c r="BF1718">
        <v>0</v>
      </c>
      <c r="BG1718">
        <v>0</v>
      </c>
      <c r="BH1718">
        <v>1</v>
      </c>
      <c r="BI1718">
        <v>2</v>
      </c>
      <c r="BJ1718">
        <v>1.1000000000000001</v>
      </c>
      <c r="BK1718">
        <v>2</v>
      </c>
      <c r="BL1718">
        <v>69.98</v>
      </c>
      <c r="BM1718">
        <v>10.5</v>
      </c>
      <c r="BN1718">
        <v>80.48</v>
      </c>
      <c r="BO1718">
        <v>80.48</v>
      </c>
      <c r="BQ1718" t="s">
        <v>500</v>
      </c>
      <c r="BR1718" t="s">
        <v>84</v>
      </c>
      <c r="BS1718" s="3">
        <v>45793</v>
      </c>
      <c r="BT1718" s="4">
        <v>0.5</v>
      </c>
      <c r="BU1718" t="s">
        <v>2298</v>
      </c>
      <c r="BV1718" t="s">
        <v>89</v>
      </c>
      <c r="BW1718" t="s">
        <v>296</v>
      </c>
      <c r="BX1718" t="s">
        <v>1365</v>
      </c>
      <c r="BY1718">
        <v>5400</v>
      </c>
      <c r="CA1718" t="s">
        <v>231</v>
      </c>
      <c r="CC1718" t="s">
        <v>321</v>
      </c>
      <c r="CD1718">
        <v>4133</v>
      </c>
      <c r="CE1718" t="s">
        <v>116</v>
      </c>
      <c r="CF1718" s="3">
        <v>45794</v>
      </c>
      <c r="CI1718">
        <v>1</v>
      </c>
      <c r="CJ1718">
        <v>1</v>
      </c>
      <c r="CK1718">
        <v>21</v>
      </c>
      <c r="CL1718" t="s">
        <v>89</v>
      </c>
    </row>
    <row r="1719" spans="1:90" x14ac:dyDescent="0.3">
      <c r="A1719" t="s">
        <v>72</v>
      </c>
      <c r="B1719" t="s">
        <v>73</v>
      </c>
      <c r="C1719" t="s">
        <v>74</v>
      </c>
      <c r="E1719" t="str">
        <f>"080065393344"</f>
        <v>080065393344</v>
      </c>
      <c r="F1719" s="3">
        <v>45792</v>
      </c>
      <c r="G1719">
        <v>202602</v>
      </c>
      <c r="H1719" t="s">
        <v>75</v>
      </c>
      <c r="I1719" t="s">
        <v>76</v>
      </c>
      <c r="J1719" t="s">
        <v>77</v>
      </c>
      <c r="K1719" t="s">
        <v>78</v>
      </c>
      <c r="L1719" t="s">
        <v>222</v>
      </c>
      <c r="M1719" t="s">
        <v>223</v>
      </c>
      <c r="N1719" t="s">
        <v>589</v>
      </c>
      <c r="O1719" t="s">
        <v>82</v>
      </c>
      <c r="P1719" t="str">
        <f>"4170038802                    "</f>
        <v xml:space="preserve">4170038802                    </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c r="AJ1719">
        <v>0</v>
      </c>
      <c r="AK1719">
        <v>0</v>
      </c>
      <c r="AL1719">
        <v>0</v>
      </c>
      <c r="AM1719">
        <v>0</v>
      </c>
      <c r="AN1719">
        <v>0</v>
      </c>
      <c r="AO1719">
        <v>0</v>
      </c>
      <c r="AP1719">
        <v>0</v>
      </c>
      <c r="AQ1719">
        <v>30.07</v>
      </c>
      <c r="AR1719">
        <v>0</v>
      </c>
      <c r="AS1719">
        <v>0</v>
      </c>
      <c r="AT1719">
        <v>0</v>
      </c>
      <c r="AU1719">
        <v>0</v>
      </c>
      <c r="AV1719">
        <v>0</v>
      </c>
      <c r="AW1719">
        <v>0</v>
      </c>
      <c r="AX1719">
        <v>0</v>
      </c>
      <c r="AY1719">
        <v>0</v>
      </c>
      <c r="AZ1719">
        <v>0</v>
      </c>
      <c r="BA1719">
        <v>0</v>
      </c>
      <c r="BB1719">
        <v>0</v>
      </c>
      <c r="BC1719">
        <v>0</v>
      </c>
      <c r="BD1719">
        <v>0</v>
      </c>
      <c r="BE1719">
        <v>0</v>
      </c>
      <c r="BF1719">
        <v>0</v>
      </c>
      <c r="BG1719">
        <v>0</v>
      </c>
      <c r="BH1719">
        <v>1</v>
      </c>
      <c r="BI1719">
        <v>1</v>
      </c>
      <c r="BJ1719">
        <v>0.2</v>
      </c>
      <c r="BK1719">
        <v>1</v>
      </c>
      <c r="BL1719">
        <v>98.42</v>
      </c>
      <c r="BM1719">
        <v>14.76</v>
      </c>
      <c r="BN1719">
        <v>113.18</v>
      </c>
      <c r="BO1719">
        <v>113.18</v>
      </c>
      <c r="BQ1719" t="s">
        <v>590</v>
      </c>
      <c r="BR1719" t="s">
        <v>84</v>
      </c>
      <c r="BS1719" s="3">
        <v>45793</v>
      </c>
      <c r="BT1719" s="4">
        <v>0.30972222222222223</v>
      </c>
      <c r="BU1719" t="s">
        <v>2167</v>
      </c>
      <c r="BV1719" t="s">
        <v>86</v>
      </c>
      <c r="BY1719">
        <v>1200</v>
      </c>
      <c r="CA1719" t="s">
        <v>592</v>
      </c>
      <c r="CC1719" t="s">
        <v>223</v>
      </c>
      <c r="CD1719">
        <v>1748</v>
      </c>
      <c r="CE1719" t="s">
        <v>88</v>
      </c>
      <c r="CF1719" s="3">
        <v>45794</v>
      </c>
      <c r="CI1719">
        <v>1</v>
      </c>
      <c r="CJ1719">
        <v>1</v>
      </c>
      <c r="CK1719">
        <v>24</v>
      </c>
      <c r="CL1719" t="s">
        <v>89</v>
      </c>
    </row>
    <row r="1720" spans="1:90" x14ac:dyDescent="0.3">
      <c r="A1720" t="s">
        <v>72</v>
      </c>
      <c r="B1720" t="s">
        <v>73</v>
      </c>
      <c r="C1720" t="s">
        <v>74</v>
      </c>
      <c r="E1720" t="str">
        <f>"080065393374"</f>
        <v>080065393374</v>
      </c>
      <c r="F1720" s="3">
        <v>45792</v>
      </c>
      <c r="G1720">
        <v>202602</v>
      </c>
      <c r="H1720" t="s">
        <v>75</v>
      </c>
      <c r="I1720" t="s">
        <v>76</v>
      </c>
      <c r="J1720" t="s">
        <v>77</v>
      </c>
      <c r="K1720" t="s">
        <v>78</v>
      </c>
      <c r="L1720" t="s">
        <v>103</v>
      </c>
      <c r="M1720" t="s">
        <v>104</v>
      </c>
      <c r="N1720" t="s">
        <v>105</v>
      </c>
      <c r="O1720" t="s">
        <v>82</v>
      </c>
      <c r="P1720" t="str">
        <f>"4170038694                    "</f>
        <v xml:space="preserve">4170038694                    </v>
      </c>
      <c r="Q1720">
        <v>0</v>
      </c>
      <c r="R1720">
        <v>0</v>
      </c>
      <c r="S1720">
        <v>0</v>
      </c>
      <c r="T1720">
        <v>0</v>
      </c>
      <c r="U1720">
        <v>0</v>
      </c>
      <c r="V1720">
        <v>0</v>
      </c>
      <c r="W1720">
        <v>0</v>
      </c>
      <c r="X1720">
        <v>0</v>
      </c>
      <c r="Y1720">
        <v>0</v>
      </c>
      <c r="Z1720">
        <v>0</v>
      </c>
      <c r="AA1720">
        <v>0</v>
      </c>
      <c r="AB1720">
        <v>0</v>
      </c>
      <c r="AC1720">
        <v>0</v>
      </c>
      <c r="AD1720">
        <v>0</v>
      </c>
      <c r="AE1720">
        <v>0</v>
      </c>
      <c r="AF1720">
        <v>0</v>
      </c>
      <c r="AG1720">
        <v>0</v>
      </c>
      <c r="AH1720">
        <v>0</v>
      </c>
      <c r="AI1720">
        <v>0</v>
      </c>
      <c r="AJ1720">
        <v>0</v>
      </c>
      <c r="AK1720">
        <v>0</v>
      </c>
      <c r="AL1720">
        <v>0</v>
      </c>
      <c r="AM1720">
        <v>0</v>
      </c>
      <c r="AN1720">
        <v>0</v>
      </c>
      <c r="AO1720">
        <v>0</v>
      </c>
      <c r="AP1720">
        <v>0</v>
      </c>
      <c r="AQ1720">
        <v>21.38</v>
      </c>
      <c r="AR1720">
        <v>0</v>
      </c>
      <c r="AS1720">
        <v>0</v>
      </c>
      <c r="AT1720">
        <v>0</v>
      </c>
      <c r="AU1720">
        <v>0</v>
      </c>
      <c r="AV1720">
        <v>0</v>
      </c>
      <c r="AW1720">
        <v>0</v>
      </c>
      <c r="AX1720">
        <v>0</v>
      </c>
      <c r="AY1720">
        <v>0</v>
      </c>
      <c r="AZ1720">
        <v>0</v>
      </c>
      <c r="BA1720">
        <v>0</v>
      </c>
      <c r="BB1720">
        <v>0</v>
      </c>
      <c r="BC1720">
        <v>0</v>
      </c>
      <c r="BD1720">
        <v>0</v>
      </c>
      <c r="BE1720">
        <v>0</v>
      </c>
      <c r="BF1720">
        <v>0</v>
      </c>
      <c r="BG1720">
        <v>0</v>
      </c>
      <c r="BH1720">
        <v>1</v>
      </c>
      <c r="BI1720">
        <v>1</v>
      </c>
      <c r="BJ1720">
        <v>0.2</v>
      </c>
      <c r="BK1720">
        <v>1</v>
      </c>
      <c r="BL1720">
        <v>69.98</v>
      </c>
      <c r="BM1720">
        <v>10.5</v>
      </c>
      <c r="BN1720">
        <v>80.48</v>
      </c>
      <c r="BO1720">
        <v>80.48</v>
      </c>
      <c r="BQ1720" t="s">
        <v>106</v>
      </c>
      <c r="BR1720" t="s">
        <v>84</v>
      </c>
      <c r="BS1720" s="3">
        <v>45793</v>
      </c>
      <c r="BT1720" s="4">
        <v>0.41666666666666669</v>
      </c>
      <c r="BU1720" t="s">
        <v>107</v>
      </c>
      <c r="BV1720" t="s">
        <v>86</v>
      </c>
      <c r="BY1720">
        <v>1200</v>
      </c>
      <c r="CA1720" t="s">
        <v>108</v>
      </c>
      <c r="CC1720" t="s">
        <v>104</v>
      </c>
      <c r="CD1720">
        <v>3201</v>
      </c>
      <c r="CE1720" t="s">
        <v>88</v>
      </c>
      <c r="CF1720" s="3">
        <v>45794</v>
      </c>
      <c r="CI1720">
        <v>1</v>
      </c>
      <c r="CJ1720">
        <v>1</v>
      </c>
      <c r="CK1720">
        <v>21</v>
      </c>
      <c r="CL1720" t="s">
        <v>89</v>
      </c>
    </row>
    <row r="1721" spans="1:90" x14ac:dyDescent="0.3">
      <c r="A1721" t="s">
        <v>72</v>
      </c>
      <c r="B1721" t="s">
        <v>73</v>
      </c>
      <c r="C1721" t="s">
        <v>74</v>
      </c>
      <c r="E1721" t="str">
        <f>"080065393388"</f>
        <v>080065393388</v>
      </c>
      <c r="F1721" s="3">
        <v>45792</v>
      </c>
      <c r="G1721">
        <v>202602</v>
      </c>
      <c r="H1721" t="s">
        <v>75</v>
      </c>
      <c r="I1721" t="s">
        <v>76</v>
      </c>
      <c r="J1721" t="s">
        <v>77</v>
      </c>
      <c r="K1721" t="s">
        <v>78</v>
      </c>
      <c r="L1721" t="s">
        <v>972</v>
      </c>
      <c r="M1721" t="s">
        <v>973</v>
      </c>
      <c r="N1721" t="s">
        <v>2299</v>
      </c>
      <c r="O1721" t="s">
        <v>82</v>
      </c>
      <c r="P1721" t="str">
        <f>"4170038821                    "</f>
        <v xml:space="preserve">4170038821                    </v>
      </c>
      <c r="Q1721">
        <v>0</v>
      </c>
      <c r="R1721">
        <v>0</v>
      </c>
      <c r="S1721">
        <v>0</v>
      </c>
      <c r="T1721">
        <v>0</v>
      </c>
      <c r="U1721">
        <v>0</v>
      </c>
      <c r="V1721">
        <v>0</v>
      </c>
      <c r="W1721">
        <v>0</v>
      </c>
      <c r="X1721">
        <v>0</v>
      </c>
      <c r="Y1721">
        <v>0</v>
      </c>
      <c r="Z1721">
        <v>0</v>
      </c>
      <c r="AA1721">
        <v>0</v>
      </c>
      <c r="AB1721">
        <v>0</v>
      </c>
      <c r="AC1721">
        <v>0</v>
      </c>
      <c r="AD1721">
        <v>0</v>
      </c>
      <c r="AE1721">
        <v>0</v>
      </c>
      <c r="AF1721">
        <v>0</v>
      </c>
      <c r="AG1721">
        <v>0</v>
      </c>
      <c r="AH1721">
        <v>0</v>
      </c>
      <c r="AI1721">
        <v>0</v>
      </c>
      <c r="AJ1721">
        <v>0</v>
      </c>
      <c r="AK1721">
        <v>0</v>
      </c>
      <c r="AL1721">
        <v>0</v>
      </c>
      <c r="AM1721">
        <v>0</v>
      </c>
      <c r="AN1721">
        <v>0</v>
      </c>
      <c r="AO1721">
        <v>0</v>
      </c>
      <c r="AP1721">
        <v>0</v>
      </c>
      <c r="AQ1721">
        <v>16.7</v>
      </c>
      <c r="AR1721">
        <v>0</v>
      </c>
      <c r="AS1721">
        <v>0</v>
      </c>
      <c r="AT1721">
        <v>0</v>
      </c>
      <c r="AU1721">
        <v>0</v>
      </c>
      <c r="AV1721">
        <v>0</v>
      </c>
      <c r="AW1721">
        <v>0</v>
      </c>
      <c r="AX1721">
        <v>0</v>
      </c>
      <c r="AY1721">
        <v>0</v>
      </c>
      <c r="AZ1721">
        <v>0</v>
      </c>
      <c r="BA1721">
        <v>0</v>
      </c>
      <c r="BB1721">
        <v>0</v>
      </c>
      <c r="BC1721">
        <v>0</v>
      </c>
      <c r="BD1721">
        <v>0</v>
      </c>
      <c r="BE1721">
        <v>0</v>
      </c>
      <c r="BF1721">
        <v>0</v>
      </c>
      <c r="BG1721">
        <v>0</v>
      </c>
      <c r="BH1721">
        <v>1</v>
      </c>
      <c r="BI1721">
        <v>1</v>
      </c>
      <c r="BJ1721">
        <v>0.2</v>
      </c>
      <c r="BK1721">
        <v>1</v>
      </c>
      <c r="BL1721">
        <v>54.66</v>
      </c>
      <c r="BM1721">
        <v>8.1999999999999993</v>
      </c>
      <c r="BN1721">
        <v>62.86</v>
      </c>
      <c r="BO1721">
        <v>62.86</v>
      </c>
      <c r="BQ1721" t="s">
        <v>2300</v>
      </c>
      <c r="BR1721" t="s">
        <v>84</v>
      </c>
      <c r="BS1721" s="3">
        <v>45793</v>
      </c>
      <c r="BT1721" s="4">
        <v>0.37638888888888888</v>
      </c>
      <c r="BU1721" t="s">
        <v>2301</v>
      </c>
      <c r="BV1721" t="s">
        <v>86</v>
      </c>
      <c r="BY1721">
        <v>1200</v>
      </c>
      <c r="CA1721" t="s">
        <v>1596</v>
      </c>
      <c r="CC1721" t="s">
        <v>973</v>
      </c>
      <c r="CD1721">
        <v>1709</v>
      </c>
      <c r="CE1721" t="s">
        <v>88</v>
      </c>
      <c r="CF1721" s="3">
        <v>45793</v>
      </c>
      <c r="CI1721">
        <v>1</v>
      </c>
      <c r="CJ1721">
        <v>1</v>
      </c>
      <c r="CK1721">
        <v>22</v>
      </c>
      <c r="CL1721" t="s">
        <v>89</v>
      </c>
    </row>
    <row r="1722" spans="1:90" x14ac:dyDescent="0.3">
      <c r="A1722" t="s">
        <v>72</v>
      </c>
      <c r="B1722" t="s">
        <v>73</v>
      </c>
      <c r="C1722" t="s">
        <v>74</v>
      </c>
      <c r="E1722" t="str">
        <f>"080065393414"</f>
        <v>080065393414</v>
      </c>
      <c r="F1722" s="3">
        <v>45792</v>
      </c>
      <c r="G1722">
        <v>202602</v>
      </c>
      <c r="H1722" t="s">
        <v>75</v>
      </c>
      <c r="I1722" t="s">
        <v>76</v>
      </c>
      <c r="J1722" t="s">
        <v>77</v>
      </c>
      <c r="K1722" t="s">
        <v>78</v>
      </c>
      <c r="L1722" t="s">
        <v>143</v>
      </c>
      <c r="M1722" t="s">
        <v>144</v>
      </c>
      <c r="N1722" t="s">
        <v>2158</v>
      </c>
      <c r="O1722" t="s">
        <v>82</v>
      </c>
      <c r="P1722" t="str">
        <f>"4170038620                    "</f>
        <v xml:space="preserve">4170038620                    </v>
      </c>
      <c r="Q1722">
        <v>0</v>
      </c>
      <c r="R1722">
        <v>0</v>
      </c>
      <c r="S1722">
        <v>0</v>
      </c>
      <c r="T1722">
        <v>0</v>
      </c>
      <c r="U1722">
        <v>0</v>
      </c>
      <c r="V1722">
        <v>0</v>
      </c>
      <c r="W1722">
        <v>0</v>
      </c>
      <c r="X1722">
        <v>0</v>
      </c>
      <c r="Y1722">
        <v>0</v>
      </c>
      <c r="Z1722">
        <v>0</v>
      </c>
      <c r="AA1722">
        <v>0</v>
      </c>
      <c r="AB1722">
        <v>0</v>
      </c>
      <c r="AC1722">
        <v>0</v>
      </c>
      <c r="AD1722">
        <v>0</v>
      </c>
      <c r="AE1722">
        <v>0</v>
      </c>
      <c r="AF1722">
        <v>0</v>
      </c>
      <c r="AG1722">
        <v>0</v>
      </c>
      <c r="AH1722">
        <v>0</v>
      </c>
      <c r="AI1722">
        <v>0</v>
      </c>
      <c r="AJ1722">
        <v>0</v>
      </c>
      <c r="AK1722">
        <v>0</v>
      </c>
      <c r="AL1722">
        <v>0</v>
      </c>
      <c r="AM1722">
        <v>0</v>
      </c>
      <c r="AN1722">
        <v>0</v>
      </c>
      <c r="AO1722">
        <v>0</v>
      </c>
      <c r="AP1722">
        <v>0</v>
      </c>
      <c r="AQ1722">
        <v>16.7</v>
      </c>
      <c r="AR1722">
        <v>0</v>
      </c>
      <c r="AS1722">
        <v>0</v>
      </c>
      <c r="AT1722">
        <v>0</v>
      </c>
      <c r="AU1722">
        <v>0</v>
      </c>
      <c r="AV1722">
        <v>0</v>
      </c>
      <c r="AW1722">
        <v>0</v>
      </c>
      <c r="AX1722">
        <v>0</v>
      </c>
      <c r="AY1722">
        <v>0</v>
      </c>
      <c r="AZ1722">
        <v>0</v>
      </c>
      <c r="BA1722">
        <v>0</v>
      </c>
      <c r="BB1722">
        <v>0</v>
      </c>
      <c r="BC1722">
        <v>0</v>
      </c>
      <c r="BD1722">
        <v>0</v>
      </c>
      <c r="BE1722">
        <v>0</v>
      </c>
      <c r="BF1722">
        <v>0</v>
      </c>
      <c r="BG1722">
        <v>0</v>
      </c>
      <c r="BH1722">
        <v>1</v>
      </c>
      <c r="BI1722">
        <v>1</v>
      </c>
      <c r="BJ1722">
        <v>0.2</v>
      </c>
      <c r="BK1722">
        <v>1</v>
      </c>
      <c r="BL1722">
        <v>54.66</v>
      </c>
      <c r="BM1722">
        <v>8.1999999999999993</v>
      </c>
      <c r="BN1722">
        <v>62.86</v>
      </c>
      <c r="BO1722">
        <v>62.86</v>
      </c>
      <c r="BQ1722" t="s">
        <v>2159</v>
      </c>
      <c r="BR1722" t="s">
        <v>84</v>
      </c>
      <c r="BS1722" s="3">
        <v>45793</v>
      </c>
      <c r="BT1722" s="4">
        <v>0.40763888888888888</v>
      </c>
      <c r="BU1722" t="s">
        <v>2160</v>
      </c>
      <c r="BV1722" t="s">
        <v>86</v>
      </c>
      <c r="BY1722">
        <v>1200</v>
      </c>
      <c r="CA1722" t="s">
        <v>765</v>
      </c>
      <c r="CC1722" t="s">
        <v>144</v>
      </c>
      <c r="CD1722">
        <v>1422</v>
      </c>
      <c r="CE1722" t="s">
        <v>88</v>
      </c>
      <c r="CF1722" s="3">
        <v>45794</v>
      </c>
      <c r="CI1722">
        <v>1</v>
      </c>
      <c r="CJ1722">
        <v>1</v>
      </c>
      <c r="CK1722">
        <v>22</v>
      </c>
      <c r="CL1722" t="s">
        <v>89</v>
      </c>
    </row>
    <row r="1723" spans="1:90" x14ac:dyDescent="0.3">
      <c r="A1723" t="s">
        <v>72</v>
      </c>
      <c r="B1723" t="s">
        <v>73</v>
      </c>
      <c r="C1723" t="s">
        <v>74</v>
      </c>
      <c r="E1723" t="str">
        <f>"080065393900"</f>
        <v>080065393900</v>
      </c>
      <c r="F1723" s="3">
        <v>45792</v>
      </c>
      <c r="G1723">
        <v>202602</v>
      </c>
      <c r="H1723" t="s">
        <v>75</v>
      </c>
      <c r="I1723" t="s">
        <v>76</v>
      </c>
      <c r="J1723" t="s">
        <v>77</v>
      </c>
      <c r="K1723" t="s">
        <v>78</v>
      </c>
      <c r="L1723" t="s">
        <v>130</v>
      </c>
      <c r="M1723" t="s">
        <v>131</v>
      </c>
      <c r="N1723" t="s">
        <v>1066</v>
      </c>
      <c r="O1723" t="s">
        <v>82</v>
      </c>
      <c r="P1723" t="str">
        <f>"4170038737                    "</f>
        <v xml:space="preserve">4170038737                    </v>
      </c>
      <c r="Q1723">
        <v>0</v>
      </c>
      <c r="R1723">
        <v>0</v>
      </c>
      <c r="S1723">
        <v>0</v>
      </c>
      <c r="T1723">
        <v>0</v>
      </c>
      <c r="U1723">
        <v>0</v>
      </c>
      <c r="V1723">
        <v>0</v>
      </c>
      <c r="W1723">
        <v>0</v>
      </c>
      <c r="X1723">
        <v>0</v>
      </c>
      <c r="Y1723">
        <v>0</v>
      </c>
      <c r="Z1723">
        <v>0</v>
      </c>
      <c r="AA1723">
        <v>0</v>
      </c>
      <c r="AB1723">
        <v>0</v>
      </c>
      <c r="AC1723">
        <v>0</v>
      </c>
      <c r="AD1723">
        <v>0</v>
      </c>
      <c r="AE1723">
        <v>0</v>
      </c>
      <c r="AF1723">
        <v>0</v>
      </c>
      <c r="AG1723">
        <v>0</v>
      </c>
      <c r="AH1723">
        <v>0</v>
      </c>
      <c r="AI1723">
        <v>0</v>
      </c>
      <c r="AJ1723">
        <v>0</v>
      </c>
      <c r="AK1723">
        <v>0</v>
      </c>
      <c r="AL1723">
        <v>0</v>
      </c>
      <c r="AM1723">
        <v>0</v>
      </c>
      <c r="AN1723">
        <v>0</v>
      </c>
      <c r="AO1723">
        <v>0</v>
      </c>
      <c r="AP1723">
        <v>0</v>
      </c>
      <c r="AQ1723">
        <v>21.38</v>
      </c>
      <c r="AR1723">
        <v>0</v>
      </c>
      <c r="AS1723">
        <v>0</v>
      </c>
      <c r="AT1723">
        <v>0</v>
      </c>
      <c r="AU1723">
        <v>0</v>
      </c>
      <c r="AV1723">
        <v>0</v>
      </c>
      <c r="AW1723">
        <v>0</v>
      </c>
      <c r="AX1723">
        <v>0</v>
      </c>
      <c r="AY1723">
        <v>0</v>
      </c>
      <c r="AZ1723">
        <v>0</v>
      </c>
      <c r="BA1723">
        <v>0</v>
      </c>
      <c r="BB1723">
        <v>0</v>
      </c>
      <c r="BC1723">
        <v>0</v>
      </c>
      <c r="BD1723">
        <v>0</v>
      </c>
      <c r="BE1723">
        <v>0</v>
      </c>
      <c r="BF1723">
        <v>0</v>
      </c>
      <c r="BG1723">
        <v>0</v>
      </c>
      <c r="BH1723">
        <v>1</v>
      </c>
      <c r="BI1723">
        <v>1</v>
      </c>
      <c r="BJ1723">
        <v>0.2</v>
      </c>
      <c r="BK1723">
        <v>1</v>
      </c>
      <c r="BL1723">
        <v>69.98</v>
      </c>
      <c r="BM1723">
        <v>10.5</v>
      </c>
      <c r="BN1723">
        <v>80.48</v>
      </c>
      <c r="BO1723">
        <v>80.48</v>
      </c>
      <c r="BQ1723" t="s">
        <v>1067</v>
      </c>
      <c r="BR1723" t="s">
        <v>84</v>
      </c>
      <c r="BS1723" s="3">
        <v>45793</v>
      </c>
      <c r="BT1723" s="4">
        <v>0.42222222222222222</v>
      </c>
      <c r="BU1723" t="s">
        <v>1068</v>
      </c>
      <c r="BV1723" t="s">
        <v>86</v>
      </c>
      <c r="BY1723">
        <v>1200</v>
      </c>
      <c r="CA1723" t="s">
        <v>712</v>
      </c>
      <c r="CC1723" t="s">
        <v>131</v>
      </c>
      <c r="CD1723">
        <v>7561</v>
      </c>
      <c r="CE1723" t="s">
        <v>88</v>
      </c>
      <c r="CF1723" s="3">
        <v>45796</v>
      </c>
      <c r="CI1723">
        <v>1</v>
      </c>
      <c r="CJ1723">
        <v>1</v>
      </c>
      <c r="CK1723">
        <v>21</v>
      </c>
      <c r="CL1723" t="s">
        <v>89</v>
      </c>
    </row>
    <row r="1724" spans="1:90" x14ac:dyDescent="0.3">
      <c r="A1724" t="s">
        <v>72</v>
      </c>
      <c r="B1724" t="s">
        <v>73</v>
      </c>
      <c r="C1724" t="s">
        <v>74</v>
      </c>
      <c r="E1724" t="str">
        <f>"080065393945"</f>
        <v>080065393945</v>
      </c>
      <c r="F1724" s="3">
        <v>45792</v>
      </c>
      <c r="G1724">
        <v>202602</v>
      </c>
      <c r="H1724" t="s">
        <v>75</v>
      </c>
      <c r="I1724" t="s">
        <v>76</v>
      </c>
      <c r="J1724" t="s">
        <v>77</v>
      </c>
      <c r="K1724" t="s">
        <v>78</v>
      </c>
      <c r="L1724" t="s">
        <v>90</v>
      </c>
      <c r="M1724" t="s">
        <v>91</v>
      </c>
      <c r="N1724" t="s">
        <v>371</v>
      </c>
      <c r="O1724" t="s">
        <v>82</v>
      </c>
      <c r="P1724" t="str">
        <f>"4170038790                    "</f>
        <v xml:space="preserve">4170038790                    </v>
      </c>
      <c r="Q1724">
        <v>0</v>
      </c>
      <c r="R1724">
        <v>0</v>
      </c>
      <c r="S1724">
        <v>0</v>
      </c>
      <c r="T1724">
        <v>0</v>
      </c>
      <c r="U1724">
        <v>0</v>
      </c>
      <c r="V1724">
        <v>0</v>
      </c>
      <c r="W1724">
        <v>0</v>
      </c>
      <c r="X1724">
        <v>0</v>
      </c>
      <c r="Y1724">
        <v>0</v>
      </c>
      <c r="Z1724">
        <v>0</v>
      </c>
      <c r="AA1724">
        <v>0</v>
      </c>
      <c r="AB1724">
        <v>0</v>
      </c>
      <c r="AC1724">
        <v>0</v>
      </c>
      <c r="AD1724">
        <v>0</v>
      </c>
      <c r="AE1724">
        <v>0</v>
      </c>
      <c r="AF1724">
        <v>0</v>
      </c>
      <c r="AG1724">
        <v>0</v>
      </c>
      <c r="AH1724">
        <v>0</v>
      </c>
      <c r="AI1724">
        <v>0</v>
      </c>
      <c r="AJ1724">
        <v>0</v>
      </c>
      <c r="AK1724">
        <v>0</v>
      </c>
      <c r="AL1724">
        <v>0</v>
      </c>
      <c r="AM1724">
        <v>0</v>
      </c>
      <c r="AN1724">
        <v>0</v>
      </c>
      <c r="AO1724">
        <v>0</v>
      </c>
      <c r="AP1724">
        <v>0</v>
      </c>
      <c r="AQ1724">
        <v>21.38</v>
      </c>
      <c r="AR1724">
        <v>0</v>
      </c>
      <c r="AS1724">
        <v>0</v>
      </c>
      <c r="AT1724">
        <v>0</v>
      </c>
      <c r="AU1724">
        <v>0</v>
      </c>
      <c r="AV1724">
        <v>0</v>
      </c>
      <c r="AW1724">
        <v>0</v>
      </c>
      <c r="AX1724">
        <v>0</v>
      </c>
      <c r="AY1724">
        <v>0</v>
      </c>
      <c r="AZ1724">
        <v>0</v>
      </c>
      <c r="BA1724">
        <v>0</v>
      </c>
      <c r="BB1724">
        <v>0</v>
      </c>
      <c r="BC1724">
        <v>0</v>
      </c>
      <c r="BD1724">
        <v>0</v>
      </c>
      <c r="BE1724">
        <v>0</v>
      </c>
      <c r="BF1724">
        <v>0</v>
      </c>
      <c r="BG1724">
        <v>0</v>
      </c>
      <c r="BH1724">
        <v>1</v>
      </c>
      <c r="BI1724">
        <v>1</v>
      </c>
      <c r="BJ1724">
        <v>0.2</v>
      </c>
      <c r="BK1724">
        <v>1</v>
      </c>
      <c r="BL1724">
        <v>69.98</v>
      </c>
      <c r="BM1724">
        <v>10.5</v>
      </c>
      <c r="BN1724">
        <v>80.48</v>
      </c>
      <c r="BO1724">
        <v>80.48</v>
      </c>
      <c r="BQ1724" t="s">
        <v>372</v>
      </c>
      <c r="BR1724" t="s">
        <v>84</v>
      </c>
      <c r="BS1724" s="3">
        <v>45793</v>
      </c>
      <c r="BT1724" s="4">
        <v>0.42291666666666666</v>
      </c>
      <c r="BU1724" t="s">
        <v>373</v>
      </c>
      <c r="BV1724" t="s">
        <v>86</v>
      </c>
      <c r="BY1724">
        <v>1200</v>
      </c>
      <c r="CA1724" t="s">
        <v>298</v>
      </c>
      <c r="CC1724" t="s">
        <v>91</v>
      </c>
      <c r="CD1724">
        <v>6001</v>
      </c>
      <c r="CE1724" t="s">
        <v>88</v>
      </c>
      <c r="CF1724" s="3">
        <v>45793</v>
      </c>
      <c r="CI1724">
        <v>1</v>
      </c>
      <c r="CJ1724">
        <v>1</v>
      </c>
      <c r="CK1724">
        <v>21</v>
      </c>
      <c r="CL1724" t="s">
        <v>89</v>
      </c>
    </row>
    <row r="1725" spans="1:90" x14ac:dyDescent="0.3">
      <c r="A1725" t="s">
        <v>72</v>
      </c>
      <c r="B1725" t="s">
        <v>73</v>
      </c>
      <c r="C1725" t="s">
        <v>74</v>
      </c>
      <c r="E1725" t="str">
        <f>"080065394076"</f>
        <v>080065394076</v>
      </c>
      <c r="F1725" s="3">
        <v>45792</v>
      </c>
      <c r="G1725">
        <v>202602</v>
      </c>
      <c r="H1725" t="s">
        <v>75</v>
      </c>
      <c r="I1725" t="s">
        <v>76</v>
      </c>
      <c r="J1725" t="s">
        <v>77</v>
      </c>
      <c r="K1725" t="s">
        <v>78</v>
      </c>
      <c r="L1725" t="s">
        <v>130</v>
      </c>
      <c r="M1725" t="s">
        <v>131</v>
      </c>
      <c r="N1725" t="s">
        <v>1066</v>
      </c>
      <c r="O1725" t="s">
        <v>82</v>
      </c>
      <c r="P1725" t="str">
        <f>"4170038736                    "</f>
        <v xml:space="preserve">4170038736                    </v>
      </c>
      <c r="Q1725">
        <v>0</v>
      </c>
      <c r="R1725">
        <v>0</v>
      </c>
      <c r="S1725">
        <v>0</v>
      </c>
      <c r="T1725">
        <v>0</v>
      </c>
      <c r="U1725">
        <v>0</v>
      </c>
      <c r="V1725">
        <v>0</v>
      </c>
      <c r="W1725">
        <v>0</v>
      </c>
      <c r="X1725">
        <v>0</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53.43</v>
      </c>
      <c r="AR1725">
        <v>0</v>
      </c>
      <c r="AS1725">
        <v>0</v>
      </c>
      <c r="AT1725">
        <v>0</v>
      </c>
      <c r="AU1725">
        <v>0</v>
      </c>
      <c r="AV1725">
        <v>0</v>
      </c>
      <c r="AW1725">
        <v>0</v>
      </c>
      <c r="AX1725">
        <v>0</v>
      </c>
      <c r="AY1725">
        <v>0</v>
      </c>
      <c r="AZ1725">
        <v>0</v>
      </c>
      <c r="BA1725">
        <v>0</v>
      </c>
      <c r="BB1725">
        <v>0</v>
      </c>
      <c r="BC1725">
        <v>0</v>
      </c>
      <c r="BD1725">
        <v>0</v>
      </c>
      <c r="BE1725">
        <v>0</v>
      </c>
      <c r="BF1725">
        <v>0</v>
      </c>
      <c r="BG1725">
        <v>0</v>
      </c>
      <c r="BH1725">
        <v>1</v>
      </c>
      <c r="BI1725">
        <v>5</v>
      </c>
      <c r="BJ1725">
        <v>3</v>
      </c>
      <c r="BK1725">
        <v>5</v>
      </c>
      <c r="BL1725">
        <v>174.87</v>
      </c>
      <c r="BM1725">
        <v>26.23</v>
      </c>
      <c r="BN1725">
        <v>201.1</v>
      </c>
      <c r="BO1725">
        <v>201.1</v>
      </c>
      <c r="BQ1725" t="s">
        <v>1067</v>
      </c>
      <c r="BR1725" t="s">
        <v>84</v>
      </c>
      <c r="BS1725" s="3">
        <v>45793</v>
      </c>
      <c r="BT1725" s="4">
        <v>0.42222222222222222</v>
      </c>
      <c r="BU1725" t="s">
        <v>1068</v>
      </c>
      <c r="BV1725" t="s">
        <v>86</v>
      </c>
      <c r="BY1725">
        <v>14976</v>
      </c>
      <c r="CA1725" t="s">
        <v>712</v>
      </c>
      <c r="CC1725" t="s">
        <v>131</v>
      </c>
      <c r="CD1725">
        <v>7561</v>
      </c>
      <c r="CE1725" t="s">
        <v>221</v>
      </c>
      <c r="CF1725" s="3">
        <v>45796</v>
      </c>
      <c r="CI1725">
        <v>1</v>
      </c>
      <c r="CJ1725">
        <v>1</v>
      </c>
      <c r="CK1725">
        <v>21</v>
      </c>
      <c r="CL1725" t="s">
        <v>89</v>
      </c>
    </row>
    <row r="1726" spans="1:90" x14ac:dyDescent="0.3">
      <c r="A1726" t="s">
        <v>72</v>
      </c>
      <c r="B1726" t="s">
        <v>73</v>
      </c>
      <c r="C1726" t="s">
        <v>74</v>
      </c>
      <c r="E1726" t="str">
        <f>"080065394123"</f>
        <v>080065394123</v>
      </c>
      <c r="F1726" s="3">
        <v>45792</v>
      </c>
      <c r="G1726">
        <v>202602</v>
      </c>
      <c r="H1726" t="s">
        <v>75</v>
      </c>
      <c r="I1726" t="s">
        <v>76</v>
      </c>
      <c r="J1726" t="s">
        <v>77</v>
      </c>
      <c r="K1726" t="s">
        <v>78</v>
      </c>
      <c r="L1726" t="s">
        <v>463</v>
      </c>
      <c r="M1726" t="s">
        <v>464</v>
      </c>
      <c r="N1726" t="s">
        <v>585</v>
      </c>
      <c r="O1726" t="s">
        <v>82</v>
      </c>
      <c r="P1726" t="str">
        <f>"4170038711                    "</f>
        <v xml:space="preserve">4170038711                    </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c r="AI1726">
        <v>0</v>
      </c>
      <c r="AJ1726">
        <v>0</v>
      </c>
      <c r="AK1726">
        <v>0</v>
      </c>
      <c r="AL1726">
        <v>0</v>
      </c>
      <c r="AM1726">
        <v>0</v>
      </c>
      <c r="AN1726">
        <v>0</v>
      </c>
      <c r="AO1726">
        <v>0</v>
      </c>
      <c r="AP1726">
        <v>0</v>
      </c>
      <c r="AQ1726">
        <v>74.8</v>
      </c>
      <c r="AR1726">
        <v>0</v>
      </c>
      <c r="AS1726">
        <v>0</v>
      </c>
      <c r="AT1726">
        <v>0</v>
      </c>
      <c r="AU1726">
        <v>0</v>
      </c>
      <c r="AV1726">
        <v>0</v>
      </c>
      <c r="AW1726">
        <v>0</v>
      </c>
      <c r="AX1726">
        <v>0</v>
      </c>
      <c r="AY1726">
        <v>0</v>
      </c>
      <c r="AZ1726">
        <v>0</v>
      </c>
      <c r="BA1726">
        <v>0</v>
      </c>
      <c r="BB1726">
        <v>0</v>
      </c>
      <c r="BC1726">
        <v>0</v>
      </c>
      <c r="BD1726">
        <v>0</v>
      </c>
      <c r="BE1726">
        <v>0</v>
      </c>
      <c r="BF1726">
        <v>0</v>
      </c>
      <c r="BG1726">
        <v>0</v>
      </c>
      <c r="BH1726">
        <v>1</v>
      </c>
      <c r="BI1726">
        <v>7</v>
      </c>
      <c r="BJ1726">
        <v>3.1</v>
      </c>
      <c r="BK1726">
        <v>7</v>
      </c>
      <c r="BL1726">
        <v>244.8</v>
      </c>
      <c r="BM1726">
        <v>36.72</v>
      </c>
      <c r="BN1726">
        <v>281.52</v>
      </c>
      <c r="BO1726">
        <v>281.52</v>
      </c>
      <c r="BQ1726" t="s">
        <v>586</v>
      </c>
      <c r="BR1726" t="s">
        <v>84</v>
      </c>
      <c r="BS1726" s="3">
        <v>45793</v>
      </c>
      <c r="BT1726" s="4">
        <v>0.45208333333333334</v>
      </c>
      <c r="BU1726" t="s">
        <v>2214</v>
      </c>
      <c r="BV1726" t="s">
        <v>89</v>
      </c>
      <c r="BW1726" t="s">
        <v>148</v>
      </c>
      <c r="BX1726" t="s">
        <v>2215</v>
      </c>
      <c r="BY1726">
        <v>15552</v>
      </c>
      <c r="CA1726" t="s">
        <v>588</v>
      </c>
      <c r="CC1726" t="s">
        <v>464</v>
      </c>
      <c r="CD1726">
        <v>5201</v>
      </c>
      <c r="CE1726" t="s">
        <v>221</v>
      </c>
      <c r="CF1726" s="3">
        <v>45795</v>
      </c>
      <c r="CI1726">
        <v>1</v>
      </c>
      <c r="CJ1726">
        <v>1</v>
      </c>
      <c r="CK1726">
        <v>21</v>
      </c>
      <c r="CL1726" t="s">
        <v>89</v>
      </c>
    </row>
    <row r="1727" spans="1:90" x14ac:dyDescent="0.3">
      <c r="A1727" t="s">
        <v>72</v>
      </c>
      <c r="B1727" t="s">
        <v>73</v>
      </c>
      <c r="C1727" t="s">
        <v>74</v>
      </c>
      <c r="E1727" t="str">
        <f>"080065394176"</f>
        <v>080065394176</v>
      </c>
      <c r="F1727" s="3">
        <v>45792</v>
      </c>
      <c r="G1727">
        <v>202602</v>
      </c>
      <c r="H1727" t="s">
        <v>75</v>
      </c>
      <c r="I1727" t="s">
        <v>76</v>
      </c>
      <c r="J1727" t="s">
        <v>77</v>
      </c>
      <c r="K1727" t="s">
        <v>78</v>
      </c>
      <c r="L1727" t="s">
        <v>350</v>
      </c>
      <c r="M1727" t="s">
        <v>351</v>
      </c>
      <c r="N1727" t="s">
        <v>678</v>
      </c>
      <c r="O1727" t="s">
        <v>82</v>
      </c>
      <c r="P1727" t="str">
        <f>"4170038791                    "</f>
        <v xml:space="preserve">4170038791                    </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c r="AJ1727">
        <v>0</v>
      </c>
      <c r="AK1727">
        <v>0</v>
      </c>
      <c r="AL1727">
        <v>0</v>
      </c>
      <c r="AM1727">
        <v>0</v>
      </c>
      <c r="AN1727">
        <v>0</v>
      </c>
      <c r="AO1727">
        <v>0</v>
      </c>
      <c r="AP1727">
        <v>0</v>
      </c>
      <c r="AQ1727">
        <v>32.07</v>
      </c>
      <c r="AR1727">
        <v>0</v>
      </c>
      <c r="AS1727">
        <v>0</v>
      </c>
      <c r="AT1727">
        <v>0</v>
      </c>
      <c r="AU1727">
        <v>0</v>
      </c>
      <c r="AV1727">
        <v>0</v>
      </c>
      <c r="AW1727">
        <v>0</v>
      </c>
      <c r="AX1727">
        <v>0</v>
      </c>
      <c r="AY1727">
        <v>0</v>
      </c>
      <c r="AZ1727">
        <v>0</v>
      </c>
      <c r="BA1727">
        <v>0</v>
      </c>
      <c r="BB1727">
        <v>0</v>
      </c>
      <c r="BC1727">
        <v>0</v>
      </c>
      <c r="BD1727">
        <v>0</v>
      </c>
      <c r="BE1727">
        <v>0</v>
      </c>
      <c r="BF1727">
        <v>0</v>
      </c>
      <c r="BG1727">
        <v>0</v>
      </c>
      <c r="BH1727">
        <v>1</v>
      </c>
      <c r="BI1727">
        <v>3</v>
      </c>
      <c r="BJ1727">
        <v>1.3</v>
      </c>
      <c r="BK1727">
        <v>3</v>
      </c>
      <c r="BL1727">
        <v>104.95</v>
      </c>
      <c r="BM1727">
        <v>15.74</v>
      </c>
      <c r="BN1727">
        <v>120.69</v>
      </c>
      <c r="BO1727">
        <v>120.69</v>
      </c>
      <c r="BQ1727" t="s">
        <v>679</v>
      </c>
      <c r="BR1727" t="s">
        <v>84</v>
      </c>
      <c r="BS1727" s="3">
        <v>45793</v>
      </c>
      <c r="BT1727" s="4">
        <v>0.35416666666666669</v>
      </c>
      <c r="BU1727" t="s">
        <v>2302</v>
      </c>
      <c r="BV1727" t="s">
        <v>86</v>
      </c>
      <c r="BY1727">
        <v>6336</v>
      </c>
      <c r="CA1727" t="s">
        <v>879</v>
      </c>
      <c r="CC1727" t="s">
        <v>351</v>
      </c>
      <c r="CD1727">
        <v>4052</v>
      </c>
      <c r="CE1727" t="s">
        <v>221</v>
      </c>
      <c r="CF1727" s="3">
        <v>45796</v>
      </c>
      <c r="CI1727">
        <v>1</v>
      </c>
      <c r="CJ1727">
        <v>1</v>
      </c>
      <c r="CK1727">
        <v>21</v>
      </c>
      <c r="CL1727" t="s">
        <v>89</v>
      </c>
    </row>
    <row r="1728" spans="1:90" x14ac:dyDescent="0.3">
      <c r="A1728" t="s">
        <v>72</v>
      </c>
      <c r="B1728" t="s">
        <v>73</v>
      </c>
      <c r="C1728" t="s">
        <v>74</v>
      </c>
      <c r="E1728" t="str">
        <f>"080065394228"</f>
        <v>080065394228</v>
      </c>
      <c r="F1728" s="3">
        <v>45792</v>
      </c>
      <c r="G1728">
        <v>202602</v>
      </c>
      <c r="H1728" t="s">
        <v>75</v>
      </c>
      <c r="I1728" t="s">
        <v>76</v>
      </c>
      <c r="J1728" t="s">
        <v>77</v>
      </c>
      <c r="K1728" t="s">
        <v>78</v>
      </c>
      <c r="L1728" t="s">
        <v>1628</v>
      </c>
      <c r="M1728" t="s">
        <v>1629</v>
      </c>
      <c r="N1728" t="s">
        <v>1630</v>
      </c>
      <c r="O1728" t="s">
        <v>82</v>
      </c>
      <c r="P1728" t="str">
        <f>"4170038822                    "</f>
        <v xml:space="preserve">4170038822                    </v>
      </c>
      <c r="Q1728">
        <v>0</v>
      </c>
      <c r="R1728">
        <v>0</v>
      </c>
      <c r="S1728">
        <v>0</v>
      </c>
      <c r="T1728">
        <v>0</v>
      </c>
      <c r="U1728">
        <v>0</v>
      </c>
      <c r="V1728">
        <v>0</v>
      </c>
      <c r="W1728">
        <v>0</v>
      </c>
      <c r="X1728">
        <v>0</v>
      </c>
      <c r="Y1728">
        <v>0</v>
      </c>
      <c r="Z1728">
        <v>0</v>
      </c>
      <c r="AA1728">
        <v>0</v>
      </c>
      <c r="AB1728">
        <v>0</v>
      </c>
      <c r="AC1728">
        <v>0</v>
      </c>
      <c r="AD1728">
        <v>0</v>
      </c>
      <c r="AE1728">
        <v>0</v>
      </c>
      <c r="AF1728">
        <v>0</v>
      </c>
      <c r="AG1728">
        <v>0</v>
      </c>
      <c r="AH1728">
        <v>0</v>
      </c>
      <c r="AI1728">
        <v>0</v>
      </c>
      <c r="AJ1728">
        <v>0</v>
      </c>
      <c r="AK1728">
        <v>0</v>
      </c>
      <c r="AL1728">
        <v>0</v>
      </c>
      <c r="AM1728">
        <v>0</v>
      </c>
      <c r="AN1728">
        <v>0</v>
      </c>
      <c r="AO1728">
        <v>0</v>
      </c>
      <c r="AP1728">
        <v>0</v>
      </c>
      <c r="AQ1728">
        <v>41.43</v>
      </c>
      <c r="AR1728">
        <v>0</v>
      </c>
      <c r="AS1728">
        <v>0</v>
      </c>
      <c r="AT1728">
        <v>0</v>
      </c>
      <c r="AU1728">
        <v>0</v>
      </c>
      <c r="AV1728">
        <v>0</v>
      </c>
      <c r="AW1728">
        <v>0</v>
      </c>
      <c r="AX1728">
        <v>0</v>
      </c>
      <c r="AY1728">
        <v>0</v>
      </c>
      <c r="AZ1728">
        <v>0</v>
      </c>
      <c r="BA1728">
        <v>0</v>
      </c>
      <c r="BB1728">
        <v>0</v>
      </c>
      <c r="BC1728">
        <v>0</v>
      </c>
      <c r="BD1728">
        <v>0</v>
      </c>
      <c r="BE1728">
        <v>0</v>
      </c>
      <c r="BF1728">
        <v>0</v>
      </c>
      <c r="BG1728">
        <v>0</v>
      </c>
      <c r="BH1728">
        <v>1</v>
      </c>
      <c r="BI1728">
        <v>1</v>
      </c>
      <c r="BJ1728">
        <v>1.8</v>
      </c>
      <c r="BK1728">
        <v>2</v>
      </c>
      <c r="BL1728">
        <v>135.59</v>
      </c>
      <c r="BM1728">
        <v>20.34</v>
      </c>
      <c r="BN1728">
        <v>155.93</v>
      </c>
      <c r="BO1728">
        <v>155.93</v>
      </c>
      <c r="BQ1728" t="s">
        <v>1631</v>
      </c>
      <c r="BR1728" t="s">
        <v>84</v>
      </c>
      <c r="BS1728" s="3">
        <v>45796</v>
      </c>
      <c r="BT1728" s="4">
        <v>0.37013888888888891</v>
      </c>
      <c r="BU1728" t="s">
        <v>2303</v>
      </c>
      <c r="BV1728" t="s">
        <v>86</v>
      </c>
      <c r="BY1728">
        <v>8928</v>
      </c>
      <c r="CC1728" t="s">
        <v>1629</v>
      </c>
      <c r="CD1728">
        <v>5320</v>
      </c>
      <c r="CE1728" t="s">
        <v>221</v>
      </c>
      <c r="CF1728" s="3">
        <v>45796</v>
      </c>
      <c r="CI1728">
        <v>5</v>
      </c>
      <c r="CJ1728">
        <v>2</v>
      </c>
      <c r="CK1728">
        <v>23</v>
      </c>
      <c r="CL1728" t="s">
        <v>89</v>
      </c>
    </row>
    <row r="1729" spans="1:90" x14ac:dyDescent="0.3">
      <c r="A1729" t="s">
        <v>72</v>
      </c>
      <c r="B1729" t="s">
        <v>73</v>
      </c>
      <c r="C1729" t="s">
        <v>74</v>
      </c>
      <c r="E1729" t="str">
        <f>"080065394304"</f>
        <v>080065394304</v>
      </c>
      <c r="F1729" s="3">
        <v>45792</v>
      </c>
      <c r="G1729">
        <v>202602</v>
      </c>
      <c r="H1729" t="s">
        <v>75</v>
      </c>
      <c r="I1729" t="s">
        <v>76</v>
      </c>
      <c r="J1729" t="s">
        <v>77</v>
      </c>
      <c r="K1729" t="s">
        <v>78</v>
      </c>
      <c r="L1729" t="s">
        <v>90</v>
      </c>
      <c r="M1729" t="s">
        <v>91</v>
      </c>
      <c r="N1729" t="s">
        <v>865</v>
      </c>
      <c r="O1729" t="s">
        <v>82</v>
      </c>
      <c r="P1729" t="str">
        <f>"4170038720                    "</f>
        <v xml:space="preserve">4170038720                    </v>
      </c>
      <c r="Q1729">
        <v>0</v>
      </c>
      <c r="R1729">
        <v>0</v>
      </c>
      <c r="S1729">
        <v>0</v>
      </c>
      <c r="T1729">
        <v>0</v>
      </c>
      <c r="U1729">
        <v>0</v>
      </c>
      <c r="V1729">
        <v>0</v>
      </c>
      <c r="W1729">
        <v>0</v>
      </c>
      <c r="X1729">
        <v>0</v>
      </c>
      <c r="Y1729">
        <v>0</v>
      </c>
      <c r="Z1729">
        <v>0</v>
      </c>
      <c r="AA1729">
        <v>0</v>
      </c>
      <c r="AB1729">
        <v>0</v>
      </c>
      <c r="AC1729">
        <v>0</v>
      </c>
      <c r="AD1729">
        <v>0</v>
      </c>
      <c r="AE1729">
        <v>0</v>
      </c>
      <c r="AF1729">
        <v>0</v>
      </c>
      <c r="AG1729">
        <v>0</v>
      </c>
      <c r="AH1729">
        <v>0</v>
      </c>
      <c r="AI1729">
        <v>0</v>
      </c>
      <c r="AJ1729">
        <v>0</v>
      </c>
      <c r="AK1729">
        <v>0</v>
      </c>
      <c r="AL1729">
        <v>0</v>
      </c>
      <c r="AM1729">
        <v>0</v>
      </c>
      <c r="AN1729">
        <v>0</v>
      </c>
      <c r="AO1729">
        <v>0</v>
      </c>
      <c r="AP1729">
        <v>0</v>
      </c>
      <c r="AQ1729">
        <v>112.19</v>
      </c>
      <c r="AR1729">
        <v>0</v>
      </c>
      <c r="AS1729">
        <v>0</v>
      </c>
      <c r="AT1729">
        <v>0</v>
      </c>
      <c r="AU1729">
        <v>0</v>
      </c>
      <c r="AV1729">
        <v>0</v>
      </c>
      <c r="AW1729">
        <v>0</v>
      </c>
      <c r="AX1729">
        <v>0</v>
      </c>
      <c r="AY1729">
        <v>0</v>
      </c>
      <c r="AZ1729">
        <v>0</v>
      </c>
      <c r="BA1729">
        <v>0</v>
      </c>
      <c r="BB1729">
        <v>0</v>
      </c>
      <c r="BC1729">
        <v>0</v>
      </c>
      <c r="BD1729">
        <v>0</v>
      </c>
      <c r="BE1729">
        <v>0</v>
      </c>
      <c r="BF1729">
        <v>0</v>
      </c>
      <c r="BG1729">
        <v>0</v>
      </c>
      <c r="BH1729">
        <v>1</v>
      </c>
      <c r="BI1729">
        <v>5</v>
      </c>
      <c r="BJ1729">
        <v>10.4</v>
      </c>
      <c r="BK1729">
        <v>10.5</v>
      </c>
      <c r="BL1729">
        <v>367.17</v>
      </c>
      <c r="BM1729">
        <v>55.08</v>
      </c>
      <c r="BN1729">
        <v>422.25</v>
      </c>
      <c r="BO1729">
        <v>422.25</v>
      </c>
      <c r="BQ1729" t="s">
        <v>866</v>
      </c>
      <c r="BR1729" t="s">
        <v>84</v>
      </c>
      <c r="BS1729" s="3">
        <v>45793</v>
      </c>
      <c r="BT1729" s="4">
        <v>0.41666666666666669</v>
      </c>
      <c r="BU1729" t="s">
        <v>2304</v>
      </c>
      <c r="BV1729" t="s">
        <v>86</v>
      </c>
      <c r="BY1729">
        <v>52000</v>
      </c>
      <c r="CA1729" t="s">
        <v>824</v>
      </c>
      <c r="CC1729" t="s">
        <v>91</v>
      </c>
      <c r="CD1729">
        <v>6001</v>
      </c>
      <c r="CE1729" t="s">
        <v>221</v>
      </c>
      <c r="CF1729" s="3">
        <v>45793</v>
      </c>
      <c r="CI1729">
        <v>1</v>
      </c>
      <c r="CJ1729">
        <v>1</v>
      </c>
      <c r="CK1729">
        <v>21</v>
      </c>
      <c r="CL1729" t="s">
        <v>89</v>
      </c>
    </row>
    <row r="1730" spans="1:90" x14ac:dyDescent="0.3">
      <c r="A1730" t="s">
        <v>72</v>
      </c>
      <c r="B1730" t="s">
        <v>73</v>
      </c>
      <c r="C1730" t="s">
        <v>74</v>
      </c>
      <c r="E1730" t="str">
        <f>"080065394367"</f>
        <v>080065394367</v>
      </c>
      <c r="F1730" s="3">
        <v>45792</v>
      </c>
      <c r="G1730">
        <v>202602</v>
      </c>
      <c r="H1730" t="s">
        <v>75</v>
      </c>
      <c r="I1730" t="s">
        <v>76</v>
      </c>
      <c r="J1730" t="s">
        <v>77</v>
      </c>
      <c r="K1730" t="s">
        <v>78</v>
      </c>
      <c r="L1730" t="s">
        <v>642</v>
      </c>
      <c r="M1730" t="s">
        <v>643</v>
      </c>
      <c r="N1730" t="s">
        <v>644</v>
      </c>
      <c r="O1730" t="s">
        <v>82</v>
      </c>
      <c r="P1730" t="str">
        <f>"4170038608                    "</f>
        <v xml:space="preserve">4170038608                    </v>
      </c>
      <c r="Q1730">
        <v>0</v>
      </c>
      <c r="R1730">
        <v>0</v>
      </c>
      <c r="S1730">
        <v>0</v>
      </c>
      <c r="T1730">
        <v>0</v>
      </c>
      <c r="U1730">
        <v>0</v>
      </c>
      <c r="V1730">
        <v>0</v>
      </c>
      <c r="W1730">
        <v>0</v>
      </c>
      <c r="X1730">
        <v>0</v>
      </c>
      <c r="Y1730">
        <v>0</v>
      </c>
      <c r="Z1730">
        <v>0</v>
      </c>
      <c r="AA1730">
        <v>0</v>
      </c>
      <c r="AB1730">
        <v>0</v>
      </c>
      <c r="AC1730">
        <v>0</v>
      </c>
      <c r="AD1730">
        <v>0</v>
      </c>
      <c r="AE1730">
        <v>0</v>
      </c>
      <c r="AF1730">
        <v>0</v>
      </c>
      <c r="AG1730">
        <v>0</v>
      </c>
      <c r="AH1730">
        <v>0</v>
      </c>
      <c r="AI1730">
        <v>0</v>
      </c>
      <c r="AJ1730">
        <v>0</v>
      </c>
      <c r="AK1730">
        <v>0</v>
      </c>
      <c r="AL1730">
        <v>0</v>
      </c>
      <c r="AM1730">
        <v>0</v>
      </c>
      <c r="AN1730">
        <v>0</v>
      </c>
      <c r="AO1730">
        <v>0</v>
      </c>
      <c r="AP1730">
        <v>0</v>
      </c>
      <c r="AQ1730">
        <v>41.43</v>
      </c>
      <c r="AR1730">
        <v>0</v>
      </c>
      <c r="AS1730">
        <v>0</v>
      </c>
      <c r="AT1730">
        <v>0</v>
      </c>
      <c r="AU1730">
        <v>0</v>
      </c>
      <c r="AV1730">
        <v>0</v>
      </c>
      <c r="AW1730">
        <v>0</v>
      </c>
      <c r="AX1730">
        <v>0</v>
      </c>
      <c r="AY1730">
        <v>0</v>
      </c>
      <c r="AZ1730">
        <v>0</v>
      </c>
      <c r="BA1730">
        <v>0</v>
      </c>
      <c r="BB1730">
        <v>0</v>
      </c>
      <c r="BC1730">
        <v>0</v>
      </c>
      <c r="BD1730">
        <v>0</v>
      </c>
      <c r="BE1730">
        <v>0</v>
      </c>
      <c r="BF1730">
        <v>0</v>
      </c>
      <c r="BG1730">
        <v>0</v>
      </c>
      <c r="BH1730">
        <v>1</v>
      </c>
      <c r="BI1730">
        <v>2</v>
      </c>
      <c r="BJ1730">
        <v>1.4</v>
      </c>
      <c r="BK1730">
        <v>2</v>
      </c>
      <c r="BL1730">
        <v>135.59</v>
      </c>
      <c r="BM1730">
        <v>20.34</v>
      </c>
      <c r="BN1730">
        <v>155.93</v>
      </c>
      <c r="BO1730">
        <v>155.93</v>
      </c>
      <c r="BQ1730" t="s">
        <v>645</v>
      </c>
      <c r="BR1730" t="s">
        <v>84</v>
      </c>
      <c r="BS1730" s="3">
        <v>45793</v>
      </c>
      <c r="BT1730" s="4">
        <v>0.41666666666666669</v>
      </c>
      <c r="BU1730" t="s">
        <v>646</v>
      </c>
      <c r="BV1730" t="s">
        <v>86</v>
      </c>
      <c r="BY1730">
        <v>7000</v>
      </c>
      <c r="BZ1730" t="s">
        <v>35</v>
      </c>
      <c r="CA1730" t="s">
        <v>647</v>
      </c>
      <c r="CC1730" t="s">
        <v>643</v>
      </c>
      <c r="CD1730">
        <v>3236</v>
      </c>
      <c r="CE1730" t="s">
        <v>116</v>
      </c>
      <c r="CF1730" s="3">
        <v>45794</v>
      </c>
      <c r="CI1730">
        <v>5</v>
      </c>
      <c r="CJ1730">
        <v>1</v>
      </c>
      <c r="CK1730">
        <v>23</v>
      </c>
      <c r="CL1730" t="s">
        <v>89</v>
      </c>
    </row>
    <row r="1731" spans="1:90" x14ac:dyDescent="0.3">
      <c r="A1731" t="s">
        <v>72</v>
      </c>
      <c r="B1731" t="s">
        <v>73</v>
      </c>
      <c r="C1731" t="s">
        <v>74</v>
      </c>
      <c r="E1731" t="str">
        <f>"080065394540"</f>
        <v>080065394540</v>
      </c>
      <c r="F1731" s="3">
        <v>45792</v>
      </c>
      <c r="G1731">
        <v>202602</v>
      </c>
      <c r="H1731" t="s">
        <v>75</v>
      </c>
      <c r="I1731" t="s">
        <v>76</v>
      </c>
      <c r="J1731" t="s">
        <v>77</v>
      </c>
      <c r="K1731" t="s">
        <v>78</v>
      </c>
      <c r="L1731" t="s">
        <v>320</v>
      </c>
      <c r="M1731" t="s">
        <v>321</v>
      </c>
      <c r="N1731" t="s">
        <v>499</v>
      </c>
      <c r="O1731" t="s">
        <v>82</v>
      </c>
      <c r="P1731" t="str">
        <f>"4170038696                    "</f>
        <v xml:space="preserve">4170038696                    </v>
      </c>
      <c r="Q1731">
        <v>0</v>
      </c>
      <c r="R1731">
        <v>0</v>
      </c>
      <c r="S1731">
        <v>0</v>
      </c>
      <c r="T1731">
        <v>0</v>
      </c>
      <c r="U1731">
        <v>0</v>
      </c>
      <c r="V1731">
        <v>0</v>
      </c>
      <c r="W1731">
        <v>0</v>
      </c>
      <c r="X1731">
        <v>0</v>
      </c>
      <c r="Y1731">
        <v>0</v>
      </c>
      <c r="Z1731">
        <v>0</v>
      </c>
      <c r="AA1731">
        <v>0</v>
      </c>
      <c r="AB1731">
        <v>0</v>
      </c>
      <c r="AC1731">
        <v>0</v>
      </c>
      <c r="AD1731">
        <v>0</v>
      </c>
      <c r="AE1731">
        <v>0</v>
      </c>
      <c r="AF1731">
        <v>0</v>
      </c>
      <c r="AG1731">
        <v>0</v>
      </c>
      <c r="AH1731">
        <v>0</v>
      </c>
      <c r="AI1731">
        <v>0</v>
      </c>
      <c r="AJ1731">
        <v>0</v>
      </c>
      <c r="AK1731">
        <v>0</v>
      </c>
      <c r="AL1731">
        <v>0</v>
      </c>
      <c r="AM1731">
        <v>0</v>
      </c>
      <c r="AN1731">
        <v>0</v>
      </c>
      <c r="AO1731">
        <v>0</v>
      </c>
      <c r="AP1731">
        <v>0</v>
      </c>
      <c r="AQ1731">
        <v>21.38</v>
      </c>
      <c r="AR1731">
        <v>0</v>
      </c>
      <c r="AS1731">
        <v>0</v>
      </c>
      <c r="AT1731">
        <v>0</v>
      </c>
      <c r="AU1731">
        <v>0</v>
      </c>
      <c r="AV1731">
        <v>0</v>
      </c>
      <c r="AW1731">
        <v>0</v>
      </c>
      <c r="AX1731">
        <v>0</v>
      </c>
      <c r="AY1731">
        <v>0</v>
      </c>
      <c r="AZ1731">
        <v>0</v>
      </c>
      <c r="BA1731">
        <v>0</v>
      </c>
      <c r="BB1731">
        <v>0</v>
      </c>
      <c r="BC1731">
        <v>0</v>
      </c>
      <c r="BD1731">
        <v>0</v>
      </c>
      <c r="BE1731">
        <v>0</v>
      </c>
      <c r="BF1731">
        <v>0</v>
      </c>
      <c r="BG1731">
        <v>0</v>
      </c>
      <c r="BH1731">
        <v>1</v>
      </c>
      <c r="BI1731">
        <v>1</v>
      </c>
      <c r="BJ1731">
        <v>0.2</v>
      </c>
      <c r="BK1731">
        <v>1</v>
      </c>
      <c r="BL1731">
        <v>69.98</v>
      </c>
      <c r="BM1731">
        <v>10.5</v>
      </c>
      <c r="BN1731">
        <v>80.48</v>
      </c>
      <c r="BO1731">
        <v>80.48</v>
      </c>
      <c r="BQ1731" t="s">
        <v>500</v>
      </c>
      <c r="BR1731" t="s">
        <v>84</v>
      </c>
      <c r="BS1731" s="3">
        <v>45793</v>
      </c>
      <c r="BT1731" s="4">
        <v>0.5</v>
      </c>
      <c r="BU1731" t="s">
        <v>2305</v>
      </c>
      <c r="BV1731" t="s">
        <v>89</v>
      </c>
      <c r="BW1731" t="s">
        <v>296</v>
      </c>
      <c r="BX1731" t="s">
        <v>1365</v>
      </c>
      <c r="BY1731">
        <v>1200</v>
      </c>
      <c r="CA1731" t="s">
        <v>2241</v>
      </c>
      <c r="CC1731" t="s">
        <v>321</v>
      </c>
      <c r="CD1731">
        <v>4133</v>
      </c>
      <c r="CE1731" t="s">
        <v>88</v>
      </c>
      <c r="CF1731" s="3">
        <v>45794</v>
      </c>
      <c r="CI1731">
        <v>1</v>
      </c>
      <c r="CJ1731">
        <v>1</v>
      </c>
      <c r="CK1731">
        <v>21</v>
      </c>
      <c r="CL1731" t="s">
        <v>89</v>
      </c>
    </row>
    <row r="1732" spans="1:90" x14ac:dyDescent="0.3">
      <c r="A1732" t="s">
        <v>72</v>
      </c>
      <c r="B1732" t="s">
        <v>73</v>
      </c>
      <c r="C1732" t="s">
        <v>74</v>
      </c>
      <c r="E1732" t="str">
        <f>"080065394655"</f>
        <v>080065394655</v>
      </c>
      <c r="F1732" s="3">
        <v>45792</v>
      </c>
      <c r="G1732">
        <v>202602</v>
      </c>
      <c r="H1732" t="s">
        <v>75</v>
      </c>
      <c r="I1732" t="s">
        <v>76</v>
      </c>
      <c r="J1732" t="s">
        <v>77</v>
      </c>
      <c r="K1732" t="s">
        <v>78</v>
      </c>
      <c r="L1732" t="s">
        <v>130</v>
      </c>
      <c r="M1732" t="s">
        <v>131</v>
      </c>
      <c r="N1732" t="s">
        <v>239</v>
      </c>
      <c r="O1732" t="s">
        <v>82</v>
      </c>
      <c r="P1732" t="str">
        <f>"4170038684                    "</f>
        <v xml:space="preserve">4170038684                    </v>
      </c>
      <c r="Q1732">
        <v>0</v>
      </c>
      <c r="R1732">
        <v>0</v>
      </c>
      <c r="S1732">
        <v>0</v>
      </c>
      <c r="T1732">
        <v>0</v>
      </c>
      <c r="U1732">
        <v>0</v>
      </c>
      <c r="V1732">
        <v>0</v>
      </c>
      <c r="W1732">
        <v>0</v>
      </c>
      <c r="X1732">
        <v>0</v>
      </c>
      <c r="Y1732">
        <v>0</v>
      </c>
      <c r="Z1732">
        <v>0</v>
      </c>
      <c r="AA1732">
        <v>0</v>
      </c>
      <c r="AB1732">
        <v>0</v>
      </c>
      <c r="AC1732">
        <v>0</v>
      </c>
      <c r="AD1732">
        <v>0</v>
      </c>
      <c r="AE1732">
        <v>0</v>
      </c>
      <c r="AF1732">
        <v>0</v>
      </c>
      <c r="AG1732">
        <v>0</v>
      </c>
      <c r="AH1732">
        <v>0</v>
      </c>
      <c r="AI1732">
        <v>0</v>
      </c>
      <c r="AJ1732">
        <v>0</v>
      </c>
      <c r="AK1732">
        <v>0</v>
      </c>
      <c r="AL1732">
        <v>0</v>
      </c>
      <c r="AM1732">
        <v>0</v>
      </c>
      <c r="AN1732">
        <v>0</v>
      </c>
      <c r="AO1732">
        <v>0</v>
      </c>
      <c r="AP1732">
        <v>0</v>
      </c>
      <c r="AQ1732">
        <v>21.38</v>
      </c>
      <c r="AR1732">
        <v>0</v>
      </c>
      <c r="AS1732">
        <v>0</v>
      </c>
      <c r="AT1732">
        <v>0</v>
      </c>
      <c r="AU1732">
        <v>0</v>
      </c>
      <c r="AV1732">
        <v>0</v>
      </c>
      <c r="AW1732">
        <v>0</v>
      </c>
      <c r="AX1732">
        <v>0</v>
      </c>
      <c r="AY1732">
        <v>0</v>
      </c>
      <c r="AZ1732">
        <v>0</v>
      </c>
      <c r="BA1732">
        <v>0</v>
      </c>
      <c r="BB1732">
        <v>0</v>
      </c>
      <c r="BC1732">
        <v>0</v>
      </c>
      <c r="BD1732">
        <v>0</v>
      </c>
      <c r="BE1732">
        <v>0</v>
      </c>
      <c r="BF1732">
        <v>0</v>
      </c>
      <c r="BG1732">
        <v>0</v>
      </c>
      <c r="BH1732">
        <v>1</v>
      </c>
      <c r="BI1732">
        <v>1</v>
      </c>
      <c r="BJ1732">
        <v>0.2</v>
      </c>
      <c r="BK1732">
        <v>1</v>
      </c>
      <c r="BL1732">
        <v>69.98</v>
      </c>
      <c r="BM1732">
        <v>10.5</v>
      </c>
      <c r="BN1732">
        <v>80.48</v>
      </c>
      <c r="BO1732">
        <v>80.48</v>
      </c>
      <c r="BQ1732" t="s">
        <v>240</v>
      </c>
      <c r="BR1732" t="s">
        <v>84</v>
      </c>
      <c r="BS1732" s="3">
        <v>45793</v>
      </c>
      <c r="BT1732" s="4">
        <v>0.38750000000000001</v>
      </c>
      <c r="BU1732" t="s">
        <v>241</v>
      </c>
      <c r="BV1732" t="s">
        <v>86</v>
      </c>
      <c r="BY1732">
        <v>1200</v>
      </c>
      <c r="CA1732" t="s">
        <v>242</v>
      </c>
      <c r="CC1732" t="s">
        <v>131</v>
      </c>
      <c r="CD1732">
        <v>7441</v>
      </c>
      <c r="CE1732" t="s">
        <v>88</v>
      </c>
      <c r="CF1732" s="3">
        <v>45796</v>
      </c>
      <c r="CI1732">
        <v>1</v>
      </c>
      <c r="CJ1732">
        <v>1</v>
      </c>
      <c r="CK1732">
        <v>21</v>
      </c>
      <c r="CL1732" t="s">
        <v>89</v>
      </c>
    </row>
    <row r="1733" spans="1:90" x14ac:dyDescent="0.3">
      <c r="A1733" t="s">
        <v>72</v>
      </c>
      <c r="B1733" t="s">
        <v>73</v>
      </c>
      <c r="C1733" t="s">
        <v>74</v>
      </c>
      <c r="E1733" t="str">
        <f>"080065394672"</f>
        <v>080065394672</v>
      </c>
      <c r="F1733" s="3">
        <v>45792</v>
      </c>
      <c r="G1733">
        <v>202602</v>
      </c>
      <c r="H1733" t="s">
        <v>75</v>
      </c>
      <c r="I1733" t="s">
        <v>76</v>
      </c>
      <c r="J1733" t="s">
        <v>77</v>
      </c>
      <c r="K1733" t="s">
        <v>78</v>
      </c>
      <c r="L1733" t="s">
        <v>136</v>
      </c>
      <c r="M1733" t="s">
        <v>137</v>
      </c>
      <c r="N1733" t="s">
        <v>161</v>
      </c>
      <c r="O1733" t="s">
        <v>82</v>
      </c>
      <c r="P1733" t="str">
        <f>"4170038765                    "</f>
        <v xml:space="preserve">4170038765                    </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c r="AJ1733">
        <v>0</v>
      </c>
      <c r="AK1733">
        <v>0</v>
      </c>
      <c r="AL1733">
        <v>0</v>
      </c>
      <c r="AM1733">
        <v>0</v>
      </c>
      <c r="AN1733">
        <v>0</v>
      </c>
      <c r="AO1733">
        <v>0</v>
      </c>
      <c r="AP1733">
        <v>0</v>
      </c>
      <c r="AQ1733">
        <v>21.38</v>
      </c>
      <c r="AR1733">
        <v>0</v>
      </c>
      <c r="AS1733">
        <v>0</v>
      </c>
      <c r="AT1733">
        <v>0</v>
      </c>
      <c r="AU1733">
        <v>0</v>
      </c>
      <c r="AV1733">
        <v>0</v>
      </c>
      <c r="AW1733">
        <v>0</v>
      </c>
      <c r="AX1733">
        <v>0</v>
      </c>
      <c r="AY1733">
        <v>0</v>
      </c>
      <c r="AZ1733">
        <v>0</v>
      </c>
      <c r="BA1733">
        <v>0</v>
      </c>
      <c r="BB1733">
        <v>0</v>
      </c>
      <c r="BC1733">
        <v>0</v>
      </c>
      <c r="BD1733">
        <v>0</v>
      </c>
      <c r="BE1733">
        <v>0</v>
      </c>
      <c r="BF1733">
        <v>0</v>
      </c>
      <c r="BG1733">
        <v>0</v>
      </c>
      <c r="BH1733">
        <v>1</v>
      </c>
      <c r="BI1733">
        <v>1</v>
      </c>
      <c r="BJ1733">
        <v>1.1000000000000001</v>
      </c>
      <c r="BK1733">
        <v>1.5</v>
      </c>
      <c r="BL1733">
        <v>69.98</v>
      </c>
      <c r="BM1733">
        <v>10.5</v>
      </c>
      <c r="BN1733">
        <v>80.48</v>
      </c>
      <c r="BO1733">
        <v>80.48</v>
      </c>
      <c r="BQ1733" t="s">
        <v>162</v>
      </c>
      <c r="BR1733" t="s">
        <v>84</v>
      </c>
      <c r="BS1733" s="3">
        <v>45793</v>
      </c>
      <c r="BT1733" s="4">
        <v>0.39583333333333331</v>
      </c>
      <c r="BU1733" t="s">
        <v>2196</v>
      </c>
      <c r="BV1733" t="s">
        <v>86</v>
      </c>
      <c r="BY1733">
        <v>5320</v>
      </c>
      <c r="CA1733" t="s">
        <v>2273</v>
      </c>
      <c r="CC1733" t="s">
        <v>137</v>
      </c>
      <c r="CD1733" s="5" t="s">
        <v>165</v>
      </c>
      <c r="CE1733" t="s">
        <v>116</v>
      </c>
      <c r="CF1733" s="3">
        <v>45793</v>
      </c>
      <c r="CI1733">
        <v>1</v>
      </c>
      <c r="CJ1733">
        <v>1</v>
      </c>
      <c r="CK1733">
        <v>21</v>
      </c>
      <c r="CL1733" t="s">
        <v>89</v>
      </c>
    </row>
    <row r="1734" spans="1:90" x14ac:dyDescent="0.3">
      <c r="A1734" t="s">
        <v>72</v>
      </c>
      <c r="B1734" t="s">
        <v>73</v>
      </c>
      <c r="C1734" t="s">
        <v>74</v>
      </c>
      <c r="E1734" t="str">
        <f>"080065394734"</f>
        <v>080065394734</v>
      </c>
      <c r="F1734" s="3">
        <v>45792</v>
      </c>
      <c r="G1734">
        <v>202602</v>
      </c>
      <c r="H1734" t="s">
        <v>75</v>
      </c>
      <c r="I1734" t="s">
        <v>76</v>
      </c>
      <c r="J1734" t="s">
        <v>77</v>
      </c>
      <c r="K1734" t="s">
        <v>78</v>
      </c>
      <c r="L1734" t="s">
        <v>103</v>
      </c>
      <c r="M1734" t="s">
        <v>104</v>
      </c>
      <c r="N1734" t="s">
        <v>686</v>
      </c>
      <c r="O1734" t="s">
        <v>82</v>
      </c>
      <c r="P1734" t="str">
        <f>"4170038816                    "</f>
        <v xml:space="preserve">4170038816                    </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0</v>
      </c>
      <c r="AK1734">
        <v>0</v>
      </c>
      <c r="AL1734">
        <v>0</v>
      </c>
      <c r="AM1734">
        <v>0</v>
      </c>
      <c r="AN1734">
        <v>0</v>
      </c>
      <c r="AO1734">
        <v>0</v>
      </c>
      <c r="AP1734">
        <v>0</v>
      </c>
      <c r="AQ1734">
        <v>21.38</v>
      </c>
      <c r="AR1734">
        <v>0</v>
      </c>
      <c r="AS1734">
        <v>0</v>
      </c>
      <c r="AT1734">
        <v>0</v>
      </c>
      <c r="AU1734">
        <v>0</v>
      </c>
      <c r="AV1734">
        <v>0</v>
      </c>
      <c r="AW1734">
        <v>0</v>
      </c>
      <c r="AX1734">
        <v>0</v>
      </c>
      <c r="AY1734">
        <v>0</v>
      </c>
      <c r="AZ1734">
        <v>0</v>
      </c>
      <c r="BA1734">
        <v>0</v>
      </c>
      <c r="BB1734">
        <v>0</v>
      </c>
      <c r="BC1734">
        <v>0</v>
      </c>
      <c r="BD1734">
        <v>0</v>
      </c>
      <c r="BE1734">
        <v>0</v>
      </c>
      <c r="BF1734">
        <v>0</v>
      </c>
      <c r="BG1734">
        <v>0</v>
      </c>
      <c r="BH1734">
        <v>1</v>
      </c>
      <c r="BI1734">
        <v>1</v>
      </c>
      <c r="BJ1734">
        <v>0.2</v>
      </c>
      <c r="BK1734">
        <v>1</v>
      </c>
      <c r="BL1734">
        <v>69.98</v>
      </c>
      <c r="BM1734">
        <v>10.5</v>
      </c>
      <c r="BN1734">
        <v>80.48</v>
      </c>
      <c r="BO1734">
        <v>80.48</v>
      </c>
      <c r="BQ1734" t="s">
        <v>687</v>
      </c>
      <c r="BR1734" t="s">
        <v>84</v>
      </c>
      <c r="BS1734" s="3">
        <v>45793</v>
      </c>
      <c r="BT1734" s="4">
        <v>0.41666666666666669</v>
      </c>
      <c r="BU1734" t="s">
        <v>2306</v>
      </c>
      <c r="BV1734" t="s">
        <v>86</v>
      </c>
      <c r="BY1734">
        <v>1200</v>
      </c>
      <c r="CA1734" t="s">
        <v>1169</v>
      </c>
      <c r="CC1734" t="s">
        <v>104</v>
      </c>
      <c r="CD1734">
        <v>3201</v>
      </c>
      <c r="CE1734" t="s">
        <v>88</v>
      </c>
      <c r="CF1734" s="3">
        <v>45794</v>
      </c>
      <c r="CI1734">
        <v>1</v>
      </c>
      <c r="CJ1734">
        <v>1</v>
      </c>
      <c r="CK1734">
        <v>21</v>
      </c>
      <c r="CL1734" t="s">
        <v>89</v>
      </c>
    </row>
    <row r="1735" spans="1:90" x14ac:dyDescent="0.3">
      <c r="A1735" t="s">
        <v>72</v>
      </c>
      <c r="B1735" t="s">
        <v>73</v>
      </c>
      <c r="C1735" t="s">
        <v>74</v>
      </c>
      <c r="E1735" t="str">
        <f>"080065394762"</f>
        <v>080065394762</v>
      </c>
      <c r="F1735" s="3">
        <v>45792</v>
      </c>
      <c r="G1735">
        <v>202602</v>
      </c>
      <c r="H1735" t="s">
        <v>75</v>
      </c>
      <c r="I1735" t="s">
        <v>76</v>
      </c>
      <c r="J1735" t="s">
        <v>77</v>
      </c>
      <c r="K1735" t="s">
        <v>78</v>
      </c>
      <c r="L1735" t="s">
        <v>90</v>
      </c>
      <c r="M1735" t="s">
        <v>91</v>
      </c>
      <c r="N1735" t="s">
        <v>748</v>
      </c>
      <c r="O1735" t="s">
        <v>300</v>
      </c>
      <c r="P1735" t="str">
        <f>"4170038271                    "</f>
        <v xml:space="preserve">4170038271                    </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0</v>
      </c>
      <c r="AK1735">
        <v>0</v>
      </c>
      <c r="AL1735">
        <v>0</v>
      </c>
      <c r="AM1735">
        <v>0</v>
      </c>
      <c r="AN1735">
        <v>0</v>
      </c>
      <c r="AO1735">
        <v>0</v>
      </c>
      <c r="AP1735">
        <v>0</v>
      </c>
      <c r="AQ1735">
        <v>227.44</v>
      </c>
      <c r="AR1735">
        <v>0</v>
      </c>
      <c r="AS1735">
        <v>0</v>
      </c>
      <c r="AT1735">
        <v>0</v>
      </c>
      <c r="AU1735">
        <v>0</v>
      </c>
      <c r="AV1735">
        <v>0</v>
      </c>
      <c r="AW1735">
        <v>0</v>
      </c>
      <c r="AX1735">
        <v>0</v>
      </c>
      <c r="AY1735">
        <v>0</v>
      </c>
      <c r="AZ1735">
        <v>0</v>
      </c>
      <c r="BA1735">
        <v>0</v>
      </c>
      <c r="BB1735">
        <v>0</v>
      </c>
      <c r="BC1735">
        <v>0</v>
      </c>
      <c r="BD1735">
        <v>0</v>
      </c>
      <c r="BE1735">
        <v>0</v>
      </c>
      <c r="BF1735">
        <v>0</v>
      </c>
      <c r="BG1735">
        <v>0</v>
      </c>
      <c r="BH1735">
        <v>1</v>
      </c>
      <c r="BI1735">
        <v>56</v>
      </c>
      <c r="BJ1735">
        <v>123.5</v>
      </c>
      <c r="BK1735">
        <v>124</v>
      </c>
      <c r="BL1735">
        <v>749.91</v>
      </c>
      <c r="BM1735">
        <v>112.49</v>
      </c>
      <c r="BN1735">
        <v>862.4</v>
      </c>
      <c r="BO1735">
        <v>862.4</v>
      </c>
      <c r="BQ1735" t="s">
        <v>749</v>
      </c>
      <c r="BR1735" t="s">
        <v>84</v>
      </c>
      <c r="BS1735" s="3">
        <v>45796</v>
      </c>
      <c r="BT1735" s="4">
        <v>0.43541666666666667</v>
      </c>
      <c r="BU1735" t="s">
        <v>2307</v>
      </c>
      <c r="BV1735" t="s">
        <v>86</v>
      </c>
      <c r="BY1735">
        <v>617706</v>
      </c>
      <c r="CC1735" t="s">
        <v>91</v>
      </c>
      <c r="CD1735">
        <v>6045</v>
      </c>
      <c r="CE1735" t="s">
        <v>546</v>
      </c>
      <c r="CF1735" s="3">
        <v>45796</v>
      </c>
      <c r="CI1735">
        <v>3</v>
      </c>
      <c r="CJ1735">
        <v>2</v>
      </c>
      <c r="CK1735">
        <v>41</v>
      </c>
      <c r="CL1735" t="s">
        <v>89</v>
      </c>
    </row>
    <row r="1736" spans="1:90" x14ac:dyDescent="0.3">
      <c r="A1736" t="s">
        <v>72</v>
      </c>
      <c r="B1736" t="s">
        <v>73</v>
      </c>
      <c r="C1736" t="s">
        <v>74</v>
      </c>
      <c r="E1736" t="str">
        <f>"080065394804"</f>
        <v>080065394804</v>
      </c>
      <c r="F1736" s="3">
        <v>45792</v>
      </c>
      <c r="G1736">
        <v>202602</v>
      </c>
      <c r="H1736" t="s">
        <v>75</v>
      </c>
      <c r="I1736" t="s">
        <v>76</v>
      </c>
      <c r="J1736" t="s">
        <v>77</v>
      </c>
      <c r="K1736" t="s">
        <v>78</v>
      </c>
      <c r="L1736" t="s">
        <v>350</v>
      </c>
      <c r="M1736" t="s">
        <v>351</v>
      </c>
      <c r="N1736" t="s">
        <v>678</v>
      </c>
      <c r="O1736" t="s">
        <v>82</v>
      </c>
      <c r="P1736" t="str">
        <f>"4170038775                    "</f>
        <v xml:space="preserve">4170038775                    </v>
      </c>
      <c r="Q1736">
        <v>0</v>
      </c>
      <c r="R1736">
        <v>0</v>
      </c>
      <c r="S1736">
        <v>0</v>
      </c>
      <c r="T1736">
        <v>0</v>
      </c>
      <c r="U1736">
        <v>0</v>
      </c>
      <c r="V1736">
        <v>0</v>
      </c>
      <c r="W1736">
        <v>0</v>
      </c>
      <c r="X1736">
        <v>0</v>
      </c>
      <c r="Y1736">
        <v>0</v>
      </c>
      <c r="Z1736">
        <v>0</v>
      </c>
      <c r="AA1736">
        <v>0</v>
      </c>
      <c r="AB1736">
        <v>0</v>
      </c>
      <c r="AC1736">
        <v>0</v>
      </c>
      <c r="AD1736">
        <v>0</v>
      </c>
      <c r="AE1736">
        <v>0</v>
      </c>
      <c r="AF1736">
        <v>0</v>
      </c>
      <c r="AG1736">
        <v>0</v>
      </c>
      <c r="AH1736">
        <v>0</v>
      </c>
      <c r="AI1736">
        <v>0</v>
      </c>
      <c r="AJ1736">
        <v>0</v>
      </c>
      <c r="AK1736">
        <v>0</v>
      </c>
      <c r="AL1736">
        <v>0</v>
      </c>
      <c r="AM1736">
        <v>0</v>
      </c>
      <c r="AN1736">
        <v>0</v>
      </c>
      <c r="AO1736">
        <v>0</v>
      </c>
      <c r="AP1736">
        <v>0</v>
      </c>
      <c r="AQ1736">
        <v>21.38</v>
      </c>
      <c r="AR1736">
        <v>0</v>
      </c>
      <c r="AS1736">
        <v>0</v>
      </c>
      <c r="AT1736">
        <v>0</v>
      </c>
      <c r="AU1736">
        <v>0</v>
      </c>
      <c r="AV1736">
        <v>0</v>
      </c>
      <c r="AW1736">
        <v>0</v>
      </c>
      <c r="AX1736">
        <v>0</v>
      </c>
      <c r="AY1736">
        <v>0</v>
      </c>
      <c r="AZ1736">
        <v>0</v>
      </c>
      <c r="BA1736">
        <v>0</v>
      </c>
      <c r="BB1736">
        <v>0</v>
      </c>
      <c r="BC1736">
        <v>0</v>
      </c>
      <c r="BD1736">
        <v>0</v>
      </c>
      <c r="BE1736">
        <v>0</v>
      </c>
      <c r="BF1736">
        <v>0</v>
      </c>
      <c r="BG1736">
        <v>0</v>
      </c>
      <c r="BH1736">
        <v>1</v>
      </c>
      <c r="BI1736">
        <v>2</v>
      </c>
      <c r="BJ1736">
        <v>1.4</v>
      </c>
      <c r="BK1736">
        <v>2</v>
      </c>
      <c r="BL1736">
        <v>69.98</v>
      </c>
      <c r="BM1736">
        <v>10.5</v>
      </c>
      <c r="BN1736">
        <v>80.48</v>
      </c>
      <c r="BO1736">
        <v>80.48</v>
      </c>
      <c r="BQ1736" t="s">
        <v>679</v>
      </c>
      <c r="BR1736" t="s">
        <v>84</v>
      </c>
      <c r="BS1736" s="3">
        <v>45793</v>
      </c>
      <c r="BT1736" s="4">
        <v>0.4375</v>
      </c>
      <c r="BU1736" t="s">
        <v>2213</v>
      </c>
      <c r="BV1736" t="s">
        <v>86</v>
      </c>
      <c r="BY1736">
        <v>7000</v>
      </c>
      <c r="CA1736" t="s">
        <v>879</v>
      </c>
      <c r="CC1736" t="s">
        <v>351</v>
      </c>
      <c r="CD1736">
        <v>4052</v>
      </c>
      <c r="CE1736" t="s">
        <v>96</v>
      </c>
      <c r="CF1736" s="3">
        <v>45796</v>
      </c>
      <c r="CI1736">
        <v>1</v>
      </c>
      <c r="CJ1736">
        <v>1</v>
      </c>
      <c r="CK1736">
        <v>21</v>
      </c>
      <c r="CL1736" t="s">
        <v>89</v>
      </c>
    </row>
    <row r="1737" spans="1:90" x14ac:dyDescent="0.3">
      <c r="A1737" t="s">
        <v>72</v>
      </c>
      <c r="B1737" t="s">
        <v>73</v>
      </c>
      <c r="C1737" t="s">
        <v>74</v>
      </c>
      <c r="E1737" t="str">
        <f>"080065394846"</f>
        <v>080065394846</v>
      </c>
      <c r="F1737" s="3">
        <v>45792</v>
      </c>
      <c r="G1737">
        <v>202602</v>
      </c>
      <c r="H1737" t="s">
        <v>75</v>
      </c>
      <c r="I1737" t="s">
        <v>76</v>
      </c>
      <c r="J1737" t="s">
        <v>77</v>
      </c>
      <c r="K1737" t="s">
        <v>78</v>
      </c>
      <c r="L1737" t="s">
        <v>103</v>
      </c>
      <c r="M1737" t="s">
        <v>104</v>
      </c>
      <c r="N1737" t="s">
        <v>633</v>
      </c>
      <c r="O1737" t="s">
        <v>82</v>
      </c>
      <c r="P1737" t="str">
        <f>"4170038747                    "</f>
        <v xml:space="preserve">4170038747                    </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c r="AK1737">
        <v>0</v>
      </c>
      <c r="AL1737">
        <v>0</v>
      </c>
      <c r="AM1737">
        <v>0</v>
      </c>
      <c r="AN1737">
        <v>0</v>
      </c>
      <c r="AO1737">
        <v>0</v>
      </c>
      <c r="AP1737">
        <v>0</v>
      </c>
      <c r="AQ1737">
        <v>21.38</v>
      </c>
      <c r="AR1737">
        <v>0</v>
      </c>
      <c r="AS1737">
        <v>0</v>
      </c>
      <c r="AT1737">
        <v>0</v>
      </c>
      <c r="AU1737">
        <v>0</v>
      </c>
      <c r="AV1737">
        <v>0</v>
      </c>
      <c r="AW1737">
        <v>0</v>
      </c>
      <c r="AX1737">
        <v>0</v>
      </c>
      <c r="AY1737">
        <v>0</v>
      </c>
      <c r="AZ1737">
        <v>0</v>
      </c>
      <c r="BA1737">
        <v>0</v>
      </c>
      <c r="BB1737">
        <v>0</v>
      </c>
      <c r="BC1737">
        <v>0</v>
      </c>
      <c r="BD1737">
        <v>0</v>
      </c>
      <c r="BE1737">
        <v>0</v>
      </c>
      <c r="BF1737">
        <v>0</v>
      </c>
      <c r="BG1737">
        <v>0</v>
      </c>
      <c r="BH1737">
        <v>1</v>
      </c>
      <c r="BI1737">
        <v>2</v>
      </c>
      <c r="BJ1737">
        <v>1.4</v>
      </c>
      <c r="BK1737">
        <v>2</v>
      </c>
      <c r="BL1737">
        <v>69.98</v>
      </c>
      <c r="BM1737">
        <v>10.5</v>
      </c>
      <c r="BN1737">
        <v>80.48</v>
      </c>
      <c r="BO1737">
        <v>80.48</v>
      </c>
      <c r="BQ1737" t="s">
        <v>634</v>
      </c>
      <c r="BR1737" t="s">
        <v>84</v>
      </c>
      <c r="BS1737" s="3">
        <v>45793</v>
      </c>
      <c r="BT1737" s="4">
        <v>0.41666666666666669</v>
      </c>
      <c r="BU1737" t="s">
        <v>2229</v>
      </c>
      <c r="BV1737" t="s">
        <v>86</v>
      </c>
      <c r="BY1737">
        <v>7000</v>
      </c>
      <c r="CA1737" t="s">
        <v>440</v>
      </c>
      <c r="CC1737" t="s">
        <v>104</v>
      </c>
      <c r="CD1737">
        <v>3212</v>
      </c>
      <c r="CE1737" t="s">
        <v>96</v>
      </c>
      <c r="CF1737" s="3">
        <v>45794</v>
      </c>
      <c r="CI1737">
        <v>2</v>
      </c>
      <c r="CJ1737">
        <v>1</v>
      </c>
      <c r="CK1737">
        <v>21</v>
      </c>
      <c r="CL1737" t="s">
        <v>89</v>
      </c>
    </row>
    <row r="1738" spans="1:90" x14ac:dyDescent="0.3">
      <c r="A1738" t="s">
        <v>72</v>
      </c>
      <c r="B1738" t="s">
        <v>73</v>
      </c>
      <c r="C1738" t="s">
        <v>74</v>
      </c>
      <c r="E1738" t="str">
        <f>"080065394917"</f>
        <v>080065394917</v>
      </c>
      <c r="F1738" s="3">
        <v>45792</v>
      </c>
      <c r="G1738">
        <v>202602</v>
      </c>
      <c r="H1738" t="s">
        <v>75</v>
      </c>
      <c r="I1738" t="s">
        <v>76</v>
      </c>
      <c r="J1738" t="s">
        <v>77</v>
      </c>
      <c r="K1738" t="s">
        <v>78</v>
      </c>
      <c r="L1738" t="s">
        <v>130</v>
      </c>
      <c r="M1738" t="s">
        <v>131</v>
      </c>
      <c r="N1738" t="s">
        <v>709</v>
      </c>
      <c r="O1738" t="s">
        <v>82</v>
      </c>
      <c r="P1738" t="str">
        <f>"4170038698                    "</f>
        <v xml:space="preserve">4170038698                    </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v>0</v>
      </c>
      <c r="AM1738">
        <v>0</v>
      </c>
      <c r="AN1738">
        <v>0</v>
      </c>
      <c r="AO1738">
        <v>0</v>
      </c>
      <c r="AP1738">
        <v>0</v>
      </c>
      <c r="AQ1738">
        <v>21.38</v>
      </c>
      <c r="AR1738">
        <v>0</v>
      </c>
      <c r="AS1738">
        <v>0</v>
      </c>
      <c r="AT1738">
        <v>0</v>
      </c>
      <c r="AU1738">
        <v>0</v>
      </c>
      <c r="AV1738">
        <v>0</v>
      </c>
      <c r="AW1738">
        <v>0</v>
      </c>
      <c r="AX1738">
        <v>0</v>
      </c>
      <c r="AY1738">
        <v>0</v>
      </c>
      <c r="AZ1738">
        <v>0</v>
      </c>
      <c r="BA1738">
        <v>0</v>
      </c>
      <c r="BB1738">
        <v>0</v>
      </c>
      <c r="BC1738">
        <v>0</v>
      </c>
      <c r="BD1738">
        <v>0</v>
      </c>
      <c r="BE1738">
        <v>0</v>
      </c>
      <c r="BF1738">
        <v>0</v>
      </c>
      <c r="BG1738">
        <v>0</v>
      </c>
      <c r="BH1738">
        <v>1</v>
      </c>
      <c r="BI1738">
        <v>1</v>
      </c>
      <c r="BJ1738">
        <v>0.2</v>
      </c>
      <c r="BK1738">
        <v>1</v>
      </c>
      <c r="BL1738">
        <v>69.98</v>
      </c>
      <c r="BM1738">
        <v>10.5</v>
      </c>
      <c r="BN1738">
        <v>80.48</v>
      </c>
      <c r="BO1738">
        <v>80.48</v>
      </c>
      <c r="BQ1738" t="s">
        <v>710</v>
      </c>
      <c r="BR1738" t="s">
        <v>84</v>
      </c>
      <c r="BS1738" s="3">
        <v>45793</v>
      </c>
      <c r="BT1738" s="4">
        <v>0.3347222222222222</v>
      </c>
      <c r="BU1738" t="s">
        <v>1589</v>
      </c>
      <c r="BV1738" t="s">
        <v>86</v>
      </c>
      <c r="BY1738">
        <v>1200</v>
      </c>
      <c r="CA1738" t="s">
        <v>712</v>
      </c>
      <c r="CC1738" t="s">
        <v>131</v>
      </c>
      <c r="CD1738">
        <v>7530</v>
      </c>
      <c r="CE1738" t="s">
        <v>88</v>
      </c>
      <c r="CF1738" s="3">
        <v>45796</v>
      </c>
      <c r="CI1738">
        <v>1</v>
      </c>
      <c r="CJ1738">
        <v>1</v>
      </c>
      <c r="CK1738">
        <v>21</v>
      </c>
      <c r="CL1738" t="s">
        <v>89</v>
      </c>
    </row>
    <row r="1739" spans="1:90" x14ac:dyDescent="0.3">
      <c r="A1739" t="s">
        <v>72</v>
      </c>
      <c r="B1739" t="s">
        <v>73</v>
      </c>
      <c r="C1739" t="s">
        <v>74</v>
      </c>
      <c r="E1739" t="str">
        <f>"080065394938"</f>
        <v>080065394938</v>
      </c>
      <c r="F1739" s="3">
        <v>45792</v>
      </c>
      <c r="G1739">
        <v>202602</v>
      </c>
      <c r="H1739" t="s">
        <v>75</v>
      </c>
      <c r="I1739" t="s">
        <v>76</v>
      </c>
      <c r="J1739" t="s">
        <v>77</v>
      </c>
      <c r="K1739" t="s">
        <v>78</v>
      </c>
      <c r="L1739" t="s">
        <v>136</v>
      </c>
      <c r="M1739" t="s">
        <v>137</v>
      </c>
      <c r="N1739" t="s">
        <v>735</v>
      </c>
      <c r="O1739" t="s">
        <v>82</v>
      </c>
      <c r="P1739" t="str">
        <f>"4170038646                    "</f>
        <v xml:space="preserve">4170038646                    </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0</v>
      </c>
      <c r="AJ1739">
        <v>0</v>
      </c>
      <c r="AK1739">
        <v>0</v>
      </c>
      <c r="AL1739">
        <v>0</v>
      </c>
      <c r="AM1739">
        <v>0</v>
      </c>
      <c r="AN1739">
        <v>0</v>
      </c>
      <c r="AO1739">
        <v>0</v>
      </c>
      <c r="AP1739">
        <v>0</v>
      </c>
      <c r="AQ1739">
        <v>21.38</v>
      </c>
      <c r="AR1739">
        <v>0</v>
      </c>
      <c r="AS1739">
        <v>0</v>
      </c>
      <c r="AT1739">
        <v>0</v>
      </c>
      <c r="AU1739">
        <v>0</v>
      </c>
      <c r="AV1739">
        <v>0</v>
      </c>
      <c r="AW1739">
        <v>0</v>
      </c>
      <c r="AX1739">
        <v>0</v>
      </c>
      <c r="AY1739">
        <v>0</v>
      </c>
      <c r="AZ1739">
        <v>0</v>
      </c>
      <c r="BA1739">
        <v>0</v>
      </c>
      <c r="BB1739">
        <v>0</v>
      </c>
      <c r="BC1739">
        <v>0</v>
      </c>
      <c r="BD1739">
        <v>0</v>
      </c>
      <c r="BE1739">
        <v>0</v>
      </c>
      <c r="BF1739">
        <v>0</v>
      </c>
      <c r="BG1739">
        <v>0</v>
      </c>
      <c r="BH1739">
        <v>1</v>
      </c>
      <c r="BI1739">
        <v>1</v>
      </c>
      <c r="BJ1739">
        <v>0.2</v>
      </c>
      <c r="BK1739">
        <v>1</v>
      </c>
      <c r="BL1739">
        <v>69.98</v>
      </c>
      <c r="BM1739">
        <v>10.5</v>
      </c>
      <c r="BN1739">
        <v>80.48</v>
      </c>
      <c r="BO1739">
        <v>80.48</v>
      </c>
      <c r="BQ1739" t="s">
        <v>736</v>
      </c>
      <c r="BR1739" t="s">
        <v>84</v>
      </c>
      <c r="BS1739" s="3">
        <v>45793</v>
      </c>
      <c r="BT1739" s="4">
        <v>0.35347222222222224</v>
      </c>
      <c r="BU1739" t="s">
        <v>739</v>
      </c>
      <c r="BV1739" t="s">
        <v>86</v>
      </c>
      <c r="BY1739">
        <v>1200</v>
      </c>
      <c r="CA1739" t="s">
        <v>258</v>
      </c>
      <c r="CC1739" t="s">
        <v>137</v>
      </c>
      <c r="CD1739" s="5" t="s">
        <v>738</v>
      </c>
      <c r="CE1739" t="s">
        <v>88</v>
      </c>
      <c r="CF1739" s="3">
        <v>45793</v>
      </c>
      <c r="CI1739">
        <v>1</v>
      </c>
      <c r="CJ1739">
        <v>1</v>
      </c>
      <c r="CK1739">
        <v>21</v>
      </c>
      <c r="CL1739" t="s">
        <v>89</v>
      </c>
    </row>
    <row r="1740" spans="1:90" x14ac:dyDescent="0.3">
      <c r="A1740" t="s">
        <v>72</v>
      </c>
      <c r="B1740" t="s">
        <v>73</v>
      </c>
      <c r="C1740" t="s">
        <v>74</v>
      </c>
      <c r="E1740" t="str">
        <f>"080065394953"</f>
        <v>080065394953</v>
      </c>
      <c r="F1740" s="3">
        <v>45792</v>
      </c>
      <c r="G1740">
        <v>202602</v>
      </c>
      <c r="H1740" t="s">
        <v>75</v>
      </c>
      <c r="I1740" t="s">
        <v>76</v>
      </c>
      <c r="J1740" t="s">
        <v>77</v>
      </c>
      <c r="K1740" t="s">
        <v>78</v>
      </c>
      <c r="L1740" t="s">
        <v>350</v>
      </c>
      <c r="M1740" t="s">
        <v>351</v>
      </c>
      <c r="N1740" t="s">
        <v>678</v>
      </c>
      <c r="O1740" t="s">
        <v>82</v>
      </c>
      <c r="P1740" t="str">
        <f>"4170038686                    "</f>
        <v xml:space="preserve">4170038686                    </v>
      </c>
      <c r="Q1740">
        <v>0</v>
      </c>
      <c r="R1740">
        <v>0</v>
      </c>
      <c r="S1740">
        <v>0</v>
      </c>
      <c r="T1740">
        <v>0</v>
      </c>
      <c r="U1740">
        <v>0</v>
      </c>
      <c r="V1740">
        <v>0</v>
      </c>
      <c r="W1740">
        <v>0</v>
      </c>
      <c r="X1740">
        <v>0</v>
      </c>
      <c r="Y1740">
        <v>0</v>
      </c>
      <c r="Z1740">
        <v>0</v>
      </c>
      <c r="AA1740">
        <v>0</v>
      </c>
      <c r="AB1740">
        <v>0</v>
      </c>
      <c r="AC1740">
        <v>0</v>
      </c>
      <c r="AD1740">
        <v>0</v>
      </c>
      <c r="AE1740">
        <v>0</v>
      </c>
      <c r="AF1740">
        <v>0</v>
      </c>
      <c r="AG1740">
        <v>0</v>
      </c>
      <c r="AH1740">
        <v>0</v>
      </c>
      <c r="AI1740">
        <v>0</v>
      </c>
      <c r="AJ1740">
        <v>0</v>
      </c>
      <c r="AK1740">
        <v>0</v>
      </c>
      <c r="AL1740">
        <v>0</v>
      </c>
      <c r="AM1740">
        <v>0</v>
      </c>
      <c r="AN1740">
        <v>0</v>
      </c>
      <c r="AO1740">
        <v>0</v>
      </c>
      <c r="AP1740">
        <v>0</v>
      </c>
      <c r="AQ1740">
        <v>21.38</v>
      </c>
      <c r="AR1740">
        <v>0</v>
      </c>
      <c r="AS1740">
        <v>0</v>
      </c>
      <c r="AT1740">
        <v>0</v>
      </c>
      <c r="AU1740">
        <v>0</v>
      </c>
      <c r="AV1740">
        <v>0</v>
      </c>
      <c r="AW1740">
        <v>0</v>
      </c>
      <c r="AX1740">
        <v>0</v>
      </c>
      <c r="AY1740">
        <v>0</v>
      </c>
      <c r="AZ1740">
        <v>0</v>
      </c>
      <c r="BA1740">
        <v>0</v>
      </c>
      <c r="BB1740">
        <v>0</v>
      </c>
      <c r="BC1740">
        <v>0</v>
      </c>
      <c r="BD1740">
        <v>0</v>
      </c>
      <c r="BE1740">
        <v>0</v>
      </c>
      <c r="BF1740">
        <v>0</v>
      </c>
      <c r="BG1740">
        <v>0</v>
      </c>
      <c r="BH1740">
        <v>1</v>
      </c>
      <c r="BI1740">
        <v>1</v>
      </c>
      <c r="BJ1740">
        <v>0.2</v>
      </c>
      <c r="BK1740">
        <v>1</v>
      </c>
      <c r="BL1740">
        <v>69.98</v>
      </c>
      <c r="BM1740">
        <v>10.5</v>
      </c>
      <c r="BN1740">
        <v>80.48</v>
      </c>
      <c r="BO1740">
        <v>80.48</v>
      </c>
      <c r="BQ1740" t="s">
        <v>679</v>
      </c>
      <c r="BR1740" t="s">
        <v>84</v>
      </c>
      <c r="BS1740" s="3">
        <v>45793</v>
      </c>
      <c r="BT1740" s="4">
        <v>0.44027777777777777</v>
      </c>
      <c r="BU1740" t="s">
        <v>2213</v>
      </c>
      <c r="BV1740" t="s">
        <v>89</v>
      </c>
      <c r="BW1740" t="s">
        <v>434</v>
      </c>
      <c r="BX1740" t="s">
        <v>1829</v>
      </c>
      <c r="BY1740">
        <v>1200</v>
      </c>
      <c r="CA1740" t="s">
        <v>879</v>
      </c>
      <c r="CC1740" t="s">
        <v>351</v>
      </c>
      <c r="CD1740">
        <v>4052</v>
      </c>
      <c r="CE1740" t="s">
        <v>88</v>
      </c>
      <c r="CF1740" s="3">
        <v>45796</v>
      </c>
      <c r="CI1740">
        <v>1</v>
      </c>
      <c r="CJ1740">
        <v>1</v>
      </c>
      <c r="CK1740">
        <v>21</v>
      </c>
      <c r="CL1740" t="s">
        <v>89</v>
      </c>
    </row>
    <row r="1741" spans="1:90" x14ac:dyDescent="0.3">
      <c r="A1741" t="s">
        <v>72</v>
      </c>
      <c r="B1741" t="s">
        <v>73</v>
      </c>
      <c r="C1741" t="s">
        <v>74</v>
      </c>
      <c r="E1741" t="str">
        <f>"080065395030"</f>
        <v>080065395030</v>
      </c>
      <c r="F1741" s="3">
        <v>45792</v>
      </c>
      <c r="G1741">
        <v>202602</v>
      </c>
      <c r="H1741" t="s">
        <v>75</v>
      </c>
      <c r="I1741" t="s">
        <v>76</v>
      </c>
      <c r="J1741" t="s">
        <v>77</v>
      </c>
      <c r="K1741" t="s">
        <v>78</v>
      </c>
      <c r="L1741" t="s">
        <v>130</v>
      </c>
      <c r="M1741" t="s">
        <v>131</v>
      </c>
      <c r="N1741" t="s">
        <v>2308</v>
      </c>
      <c r="O1741" t="s">
        <v>82</v>
      </c>
      <c r="P1741" t="str">
        <f>"4170038718                    "</f>
        <v xml:space="preserve">4170038718                    </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c r="AJ1741">
        <v>0</v>
      </c>
      <c r="AK1741">
        <v>0</v>
      </c>
      <c r="AL1741">
        <v>0</v>
      </c>
      <c r="AM1741">
        <v>0</v>
      </c>
      <c r="AN1741">
        <v>0</v>
      </c>
      <c r="AO1741">
        <v>0</v>
      </c>
      <c r="AP1741">
        <v>0</v>
      </c>
      <c r="AQ1741">
        <v>21.38</v>
      </c>
      <c r="AR1741">
        <v>0</v>
      </c>
      <c r="AS1741">
        <v>0</v>
      </c>
      <c r="AT1741">
        <v>0</v>
      </c>
      <c r="AU1741">
        <v>0</v>
      </c>
      <c r="AV1741">
        <v>0</v>
      </c>
      <c r="AW1741">
        <v>0</v>
      </c>
      <c r="AX1741">
        <v>0</v>
      </c>
      <c r="AY1741">
        <v>0</v>
      </c>
      <c r="AZ1741">
        <v>0</v>
      </c>
      <c r="BA1741">
        <v>0</v>
      </c>
      <c r="BB1741">
        <v>0</v>
      </c>
      <c r="BC1741">
        <v>0</v>
      </c>
      <c r="BD1741">
        <v>0</v>
      </c>
      <c r="BE1741">
        <v>0</v>
      </c>
      <c r="BF1741">
        <v>0</v>
      </c>
      <c r="BG1741">
        <v>0</v>
      </c>
      <c r="BH1741">
        <v>1</v>
      </c>
      <c r="BI1741">
        <v>1</v>
      </c>
      <c r="BJ1741">
        <v>1.1000000000000001</v>
      </c>
      <c r="BK1741">
        <v>1.5</v>
      </c>
      <c r="BL1741">
        <v>69.98</v>
      </c>
      <c r="BM1741">
        <v>10.5</v>
      </c>
      <c r="BN1741">
        <v>80.48</v>
      </c>
      <c r="BO1741">
        <v>80.48</v>
      </c>
      <c r="BQ1741" t="s">
        <v>2309</v>
      </c>
      <c r="BR1741" t="s">
        <v>84</v>
      </c>
      <c r="BS1741" s="3">
        <v>45793</v>
      </c>
      <c r="BT1741" s="4">
        <v>0.4284722222222222</v>
      </c>
      <c r="BU1741" t="s">
        <v>2310</v>
      </c>
      <c r="BV1741" t="s">
        <v>86</v>
      </c>
      <c r="BY1741">
        <v>5320</v>
      </c>
      <c r="CA1741" t="s">
        <v>389</v>
      </c>
      <c r="CC1741" t="s">
        <v>131</v>
      </c>
      <c r="CD1741">
        <v>7530</v>
      </c>
      <c r="CE1741" t="s">
        <v>96</v>
      </c>
      <c r="CF1741" s="3">
        <v>45796</v>
      </c>
      <c r="CI1741">
        <v>1</v>
      </c>
      <c r="CJ1741">
        <v>1</v>
      </c>
      <c r="CK1741">
        <v>21</v>
      </c>
      <c r="CL1741" t="s">
        <v>89</v>
      </c>
    </row>
    <row r="1742" spans="1:90" x14ac:dyDescent="0.3">
      <c r="A1742" t="s">
        <v>72</v>
      </c>
      <c r="B1742" t="s">
        <v>73</v>
      </c>
      <c r="C1742" t="s">
        <v>74</v>
      </c>
      <c r="E1742" t="str">
        <f>"080065395172"</f>
        <v>080065395172</v>
      </c>
      <c r="F1742" s="3">
        <v>45792</v>
      </c>
      <c r="G1742">
        <v>202602</v>
      </c>
      <c r="H1742" t="s">
        <v>75</v>
      </c>
      <c r="I1742" t="s">
        <v>76</v>
      </c>
      <c r="J1742" t="s">
        <v>77</v>
      </c>
      <c r="K1742" t="s">
        <v>78</v>
      </c>
      <c r="L1742" t="s">
        <v>136</v>
      </c>
      <c r="M1742" t="s">
        <v>137</v>
      </c>
      <c r="N1742" t="s">
        <v>776</v>
      </c>
      <c r="O1742" t="s">
        <v>300</v>
      </c>
      <c r="P1742" t="str">
        <f>"4170038759                    "</f>
        <v xml:space="preserve">4170038759                    </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c r="AI1742">
        <v>0</v>
      </c>
      <c r="AJ1742">
        <v>0</v>
      </c>
      <c r="AK1742">
        <v>0</v>
      </c>
      <c r="AL1742">
        <v>0</v>
      </c>
      <c r="AM1742">
        <v>0</v>
      </c>
      <c r="AN1742">
        <v>0</v>
      </c>
      <c r="AO1742">
        <v>0</v>
      </c>
      <c r="AP1742">
        <v>0</v>
      </c>
      <c r="AQ1742">
        <v>101.1</v>
      </c>
      <c r="AR1742">
        <v>0</v>
      </c>
      <c r="AS1742">
        <v>0</v>
      </c>
      <c r="AT1742">
        <v>0</v>
      </c>
      <c r="AU1742">
        <v>0</v>
      </c>
      <c r="AV1742">
        <v>0</v>
      </c>
      <c r="AW1742">
        <v>0</v>
      </c>
      <c r="AX1742">
        <v>0</v>
      </c>
      <c r="AY1742">
        <v>0</v>
      </c>
      <c r="AZ1742">
        <v>0</v>
      </c>
      <c r="BA1742">
        <v>0</v>
      </c>
      <c r="BB1742">
        <v>0</v>
      </c>
      <c r="BC1742">
        <v>0</v>
      </c>
      <c r="BD1742">
        <v>0</v>
      </c>
      <c r="BE1742">
        <v>0</v>
      </c>
      <c r="BF1742">
        <v>0</v>
      </c>
      <c r="BG1742">
        <v>0</v>
      </c>
      <c r="BH1742">
        <v>5</v>
      </c>
      <c r="BI1742">
        <v>50</v>
      </c>
      <c r="BJ1742">
        <v>43.7</v>
      </c>
      <c r="BK1742">
        <v>50</v>
      </c>
      <c r="BL1742">
        <v>336.45</v>
      </c>
      <c r="BM1742">
        <v>50.47</v>
      </c>
      <c r="BN1742">
        <v>386.92</v>
      </c>
      <c r="BO1742">
        <v>386.92</v>
      </c>
      <c r="BQ1742" t="s">
        <v>777</v>
      </c>
      <c r="BR1742" t="s">
        <v>84</v>
      </c>
      <c r="BS1742" s="3">
        <v>45793</v>
      </c>
      <c r="BT1742" s="4">
        <v>0.60138888888888886</v>
      </c>
      <c r="BU1742" t="s">
        <v>778</v>
      </c>
      <c r="BV1742" t="s">
        <v>86</v>
      </c>
      <c r="BY1742">
        <v>43740</v>
      </c>
      <c r="CA1742" t="s">
        <v>2311</v>
      </c>
      <c r="CC1742" t="s">
        <v>137</v>
      </c>
      <c r="CD1742" s="5" t="s">
        <v>738</v>
      </c>
      <c r="CE1742" t="s">
        <v>511</v>
      </c>
      <c r="CF1742" s="3">
        <v>45793</v>
      </c>
      <c r="CI1742">
        <v>1</v>
      </c>
      <c r="CJ1742">
        <v>1</v>
      </c>
      <c r="CK1742">
        <v>41</v>
      </c>
      <c r="CL1742" t="s">
        <v>89</v>
      </c>
    </row>
    <row r="1743" spans="1:90" x14ac:dyDescent="0.3">
      <c r="A1743" t="s">
        <v>72</v>
      </c>
      <c r="B1743" t="s">
        <v>73</v>
      </c>
      <c r="C1743" t="s">
        <v>74</v>
      </c>
      <c r="E1743" t="str">
        <f>"080065395242"</f>
        <v>080065395242</v>
      </c>
      <c r="F1743" s="3">
        <v>45792</v>
      </c>
      <c r="G1743">
        <v>202602</v>
      </c>
      <c r="H1743" t="s">
        <v>75</v>
      </c>
      <c r="I1743" t="s">
        <v>76</v>
      </c>
      <c r="J1743" t="s">
        <v>77</v>
      </c>
      <c r="K1743" t="s">
        <v>78</v>
      </c>
      <c r="L1743" t="s">
        <v>479</v>
      </c>
      <c r="M1743" t="s">
        <v>480</v>
      </c>
      <c r="N1743" t="s">
        <v>793</v>
      </c>
      <c r="O1743" t="s">
        <v>300</v>
      </c>
      <c r="P1743" t="str">
        <f>"4170038826                    "</f>
        <v xml:space="preserve">4170038826                    </v>
      </c>
      <c r="Q1743">
        <v>0</v>
      </c>
      <c r="R1743">
        <v>0</v>
      </c>
      <c r="S1743">
        <v>0</v>
      </c>
      <c r="T1743">
        <v>0</v>
      </c>
      <c r="U1743">
        <v>0</v>
      </c>
      <c r="V1743">
        <v>0</v>
      </c>
      <c r="W1743">
        <v>0</v>
      </c>
      <c r="X1743">
        <v>0</v>
      </c>
      <c r="Y1743">
        <v>0</v>
      </c>
      <c r="Z1743">
        <v>0</v>
      </c>
      <c r="AA1743">
        <v>0</v>
      </c>
      <c r="AB1743">
        <v>0</v>
      </c>
      <c r="AC1743">
        <v>0</v>
      </c>
      <c r="AD1743">
        <v>0</v>
      </c>
      <c r="AE1743">
        <v>0</v>
      </c>
      <c r="AF1743">
        <v>0</v>
      </c>
      <c r="AG1743">
        <v>0</v>
      </c>
      <c r="AH1743">
        <v>0</v>
      </c>
      <c r="AI1743">
        <v>0</v>
      </c>
      <c r="AJ1743">
        <v>0</v>
      </c>
      <c r="AK1743">
        <v>0</v>
      </c>
      <c r="AL1743">
        <v>0</v>
      </c>
      <c r="AM1743">
        <v>0</v>
      </c>
      <c r="AN1743">
        <v>0</v>
      </c>
      <c r="AO1743">
        <v>0</v>
      </c>
      <c r="AP1743">
        <v>0</v>
      </c>
      <c r="AQ1743">
        <v>49.63</v>
      </c>
      <c r="AR1743">
        <v>0</v>
      </c>
      <c r="AS1743">
        <v>0</v>
      </c>
      <c r="AT1743">
        <v>0</v>
      </c>
      <c r="AU1743">
        <v>0</v>
      </c>
      <c r="AV1743">
        <v>0</v>
      </c>
      <c r="AW1743">
        <v>0</v>
      </c>
      <c r="AX1743">
        <v>0</v>
      </c>
      <c r="AY1743">
        <v>0</v>
      </c>
      <c r="AZ1743">
        <v>0</v>
      </c>
      <c r="BA1743">
        <v>0</v>
      </c>
      <c r="BB1743">
        <v>0</v>
      </c>
      <c r="BC1743">
        <v>0</v>
      </c>
      <c r="BD1743">
        <v>0</v>
      </c>
      <c r="BE1743">
        <v>0</v>
      </c>
      <c r="BF1743">
        <v>0</v>
      </c>
      <c r="BG1743">
        <v>0</v>
      </c>
      <c r="BH1743">
        <v>1</v>
      </c>
      <c r="BI1743">
        <v>34</v>
      </c>
      <c r="BJ1743">
        <v>17.7</v>
      </c>
      <c r="BK1743">
        <v>34</v>
      </c>
      <c r="BL1743">
        <v>168</v>
      </c>
      <c r="BM1743">
        <v>25.2</v>
      </c>
      <c r="BN1743">
        <v>193.2</v>
      </c>
      <c r="BO1743">
        <v>193.2</v>
      </c>
      <c r="BQ1743" t="s">
        <v>794</v>
      </c>
      <c r="BR1743" t="s">
        <v>84</v>
      </c>
      <c r="BS1743" s="3">
        <v>45793</v>
      </c>
      <c r="BT1743" s="4">
        <v>0.44305555555555554</v>
      </c>
      <c r="BU1743" t="s">
        <v>1884</v>
      </c>
      <c r="BV1743" t="s">
        <v>86</v>
      </c>
      <c r="BY1743">
        <v>88320</v>
      </c>
      <c r="CA1743" t="s">
        <v>1443</v>
      </c>
      <c r="CC1743" t="s">
        <v>480</v>
      </c>
      <c r="CD1743">
        <v>2163</v>
      </c>
      <c r="CE1743" t="s">
        <v>96</v>
      </c>
      <c r="CF1743" s="3">
        <v>45794</v>
      </c>
      <c r="CI1743">
        <v>1</v>
      </c>
      <c r="CJ1743">
        <v>1</v>
      </c>
      <c r="CK1743">
        <v>42</v>
      </c>
      <c r="CL1743" t="s">
        <v>89</v>
      </c>
    </row>
    <row r="1744" spans="1:90" x14ac:dyDescent="0.3">
      <c r="A1744" t="s">
        <v>72</v>
      </c>
      <c r="B1744" t="s">
        <v>73</v>
      </c>
      <c r="C1744" t="s">
        <v>74</v>
      </c>
      <c r="E1744" t="str">
        <f>"080065395615"</f>
        <v>080065395615</v>
      </c>
      <c r="F1744" s="3">
        <v>45792</v>
      </c>
      <c r="G1744">
        <v>202602</v>
      </c>
      <c r="H1744" t="s">
        <v>75</v>
      </c>
      <c r="I1744" t="s">
        <v>76</v>
      </c>
      <c r="J1744" t="s">
        <v>77</v>
      </c>
      <c r="K1744" t="s">
        <v>78</v>
      </c>
      <c r="L1744" t="s">
        <v>103</v>
      </c>
      <c r="M1744" t="s">
        <v>104</v>
      </c>
      <c r="N1744" t="s">
        <v>437</v>
      </c>
      <c r="O1744" t="s">
        <v>82</v>
      </c>
      <c r="P1744" t="str">
        <f>"4170038662                    "</f>
        <v xml:space="preserve">4170038662                    </v>
      </c>
      <c r="Q1744">
        <v>0</v>
      </c>
      <c r="R1744">
        <v>0</v>
      </c>
      <c r="S1744">
        <v>0</v>
      </c>
      <c r="T1744">
        <v>0</v>
      </c>
      <c r="U1744">
        <v>0</v>
      </c>
      <c r="V1744">
        <v>0</v>
      </c>
      <c r="W1744">
        <v>0</v>
      </c>
      <c r="X1744">
        <v>0</v>
      </c>
      <c r="Y1744">
        <v>0</v>
      </c>
      <c r="Z1744">
        <v>0</v>
      </c>
      <c r="AA1744">
        <v>0</v>
      </c>
      <c r="AB1744">
        <v>0</v>
      </c>
      <c r="AC1744">
        <v>0</v>
      </c>
      <c r="AD1744">
        <v>0</v>
      </c>
      <c r="AE1744">
        <v>0</v>
      </c>
      <c r="AF1744">
        <v>0</v>
      </c>
      <c r="AG1744">
        <v>0</v>
      </c>
      <c r="AH1744">
        <v>0</v>
      </c>
      <c r="AI1744">
        <v>0</v>
      </c>
      <c r="AJ1744">
        <v>0</v>
      </c>
      <c r="AK1744">
        <v>0</v>
      </c>
      <c r="AL1744">
        <v>0</v>
      </c>
      <c r="AM1744">
        <v>0</v>
      </c>
      <c r="AN1744">
        <v>0</v>
      </c>
      <c r="AO1744">
        <v>0</v>
      </c>
      <c r="AP1744">
        <v>0</v>
      </c>
      <c r="AQ1744">
        <v>96.17</v>
      </c>
      <c r="AR1744">
        <v>0</v>
      </c>
      <c r="AS1744">
        <v>0</v>
      </c>
      <c r="AT1744">
        <v>0</v>
      </c>
      <c r="AU1744">
        <v>0</v>
      </c>
      <c r="AV1744">
        <v>0</v>
      </c>
      <c r="AW1744">
        <v>0</v>
      </c>
      <c r="AX1744">
        <v>0</v>
      </c>
      <c r="AY1744">
        <v>0</v>
      </c>
      <c r="AZ1744">
        <v>0</v>
      </c>
      <c r="BA1744">
        <v>0</v>
      </c>
      <c r="BB1744">
        <v>0</v>
      </c>
      <c r="BC1744">
        <v>0</v>
      </c>
      <c r="BD1744">
        <v>0</v>
      </c>
      <c r="BE1744">
        <v>0</v>
      </c>
      <c r="BF1744">
        <v>0</v>
      </c>
      <c r="BG1744">
        <v>0</v>
      </c>
      <c r="BH1744">
        <v>1</v>
      </c>
      <c r="BI1744">
        <v>9</v>
      </c>
      <c r="BJ1744">
        <v>3.5</v>
      </c>
      <c r="BK1744">
        <v>9</v>
      </c>
      <c r="BL1744">
        <v>314.73</v>
      </c>
      <c r="BM1744">
        <v>47.21</v>
      </c>
      <c r="BN1744">
        <v>361.94</v>
      </c>
      <c r="BO1744">
        <v>361.94</v>
      </c>
      <c r="BQ1744" t="s">
        <v>438</v>
      </c>
      <c r="BR1744" t="s">
        <v>84</v>
      </c>
      <c r="BS1744" s="3">
        <v>45793</v>
      </c>
      <c r="BT1744" s="4">
        <v>0.41666666666666669</v>
      </c>
      <c r="BU1744" t="s">
        <v>1863</v>
      </c>
      <c r="BV1744" t="s">
        <v>86</v>
      </c>
      <c r="BY1744">
        <v>17400</v>
      </c>
      <c r="CA1744" t="s">
        <v>440</v>
      </c>
      <c r="CC1744" t="s">
        <v>104</v>
      </c>
      <c r="CD1744">
        <v>3212</v>
      </c>
      <c r="CE1744" t="s">
        <v>1799</v>
      </c>
      <c r="CF1744" s="3">
        <v>45794</v>
      </c>
      <c r="CI1744">
        <v>2</v>
      </c>
      <c r="CJ1744">
        <v>1</v>
      </c>
      <c r="CK1744">
        <v>21</v>
      </c>
      <c r="CL1744" t="s">
        <v>89</v>
      </c>
    </row>
    <row r="1745" spans="1:90" x14ac:dyDescent="0.3">
      <c r="A1745" t="s">
        <v>72</v>
      </c>
      <c r="B1745" t="s">
        <v>73</v>
      </c>
      <c r="C1745" t="s">
        <v>74</v>
      </c>
      <c r="E1745" t="str">
        <f>"080065395713"</f>
        <v>080065395713</v>
      </c>
      <c r="F1745" s="3">
        <v>45792</v>
      </c>
      <c r="G1745">
        <v>202602</v>
      </c>
      <c r="H1745" t="s">
        <v>75</v>
      </c>
      <c r="I1745" t="s">
        <v>76</v>
      </c>
      <c r="J1745" t="s">
        <v>77</v>
      </c>
      <c r="K1745" t="s">
        <v>78</v>
      </c>
      <c r="L1745" t="s">
        <v>79</v>
      </c>
      <c r="M1745" t="s">
        <v>80</v>
      </c>
      <c r="N1745" t="s">
        <v>415</v>
      </c>
      <c r="O1745" t="s">
        <v>300</v>
      </c>
      <c r="P1745" t="str">
        <f>"4170038758                    "</f>
        <v xml:space="preserve">4170038758                    </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c r="AI1745">
        <v>0</v>
      </c>
      <c r="AJ1745">
        <v>0</v>
      </c>
      <c r="AK1745">
        <v>0</v>
      </c>
      <c r="AL1745">
        <v>0</v>
      </c>
      <c r="AM1745">
        <v>0</v>
      </c>
      <c r="AN1745">
        <v>0</v>
      </c>
      <c r="AO1745">
        <v>0</v>
      </c>
      <c r="AP1745">
        <v>0</v>
      </c>
      <c r="AQ1745">
        <v>78.91</v>
      </c>
      <c r="AR1745">
        <v>0</v>
      </c>
      <c r="AS1745">
        <v>0</v>
      </c>
      <c r="AT1745">
        <v>0</v>
      </c>
      <c r="AU1745">
        <v>0</v>
      </c>
      <c r="AV1745">
        <v>0</v>
      </c>
      <c r="AW1745">
        <v>0</v>
      </c>
      <c r="AX1745">
        <v>0</v>
      </c>
      <c r="AY1745">
        <v>0</v>
      </c>
      <c r="AZ1745">
        <v>0</v>
      </c>
      <c r="BA1745">
        <v>0</v>
      </c>
      <c r="BB1745">
        <v>0</v>
      </c>
      <c r="BC1745">
        <v>0</v>
      </c>
      <c r="BD1745">
        <v>0</v>
      </c>
      <c r="BE1745">
        <v>0</v>
      </c>
      <c r="BF1745">
        <v>0</v>
      </c>
      <c r="BG1745">
        <v>0</v>
      </c>
      <c r="BH1745">
        <v>2</v>
      </c>
      <c r="BI1745">
        <v>37</v>
      </c>
      <c r="BJ1745">
        <v>36.5</v>
      </c>
      <c r="BK1745">
        <v>37</v>
      </c>
      <c r="BL1745">
        <v>263.82</v>
      </c>
      <c r="BM1745">
        <v>39.57</v>
      </c>
      <c r="BN1745">
        <v>303.39</v>
      </c>
      <c r="BO1745">
        <v>303.39</v>
      </c>
      <c r="BQ1745" t="s">
        <v>416</v>
      </c>
      <c r="BR1745" t="s">
        <v>84</v>
      </c>
      <c r="BS1745" s="3">
        <v>45793</v>
      </c>
      <c r="BT1745" s="4">
        <v>0.66666666666666663</v>
      </c>
      <c r="BU1745" t="s">
        <v>2312</v>
      </c>
      <c r="BV1745" t="s">
        <v>86</v>
      </c>
      <c r="BY1745">
        <v>182528</v>
      </c>
      <c r="CC1745" t="s">
        <v>80</v>
      </c>
      <c r="CD1745">
        <v>3610</v>
      </c>
      <c r="CE1745" t="s">
        <v>96</v>
      </c>
      <c r="CF1745" s="3">
        <v>45796</v>
      </c>
      <c r="CI1745">
        <v>1</v>
      </c>
      <c r="CJ1745">
        <v>1</v>
      </c>
      <c r="CK1745">
        <v>41</v>
      </c>
      <c r="CL1745" t="s">
        <v>89</v>
      </c>
    </row>
    <row r="1746" spans="1:90" x14ac:dyDescent="0.3">
      <c r="A1746" t="s">
        <v>72</v>
      </c>
      <c r="B1746" t="s">
        <v>73</v>
      </c>
      <c r="C1746" t="s">
        <v>74</v>
      </c>
      <c r="E1746" t="str">
        <f>"080065395867"</f>
        <v>080065395867</v>
      </c>
      <c r="F1746" s="3">
        <v>45792</v>
      </c>
      <c r="G1746">
        <v>202602</v>
      </c>
      <c r="H1746" t="s">
        <v>75</v>
      </c>
      <c r="I1746" t="s">
        <v>76</v>
      </c>
      <c r="J1746" t="s">
        <v>77</v>
      </c>
      <c r="K1746" t="s">
        <v>78</v>
      </c>
      <c r="L1746" t="s">
        <v>90</v>
      </c>
      <c r="M1746" t="s">
        <v>91</v>
      </c>
      <c r="N1746" t="s">
        <v>476</v>
      </c>
      <c r="O1746" t="s">
        <v>82</v>
      </c>
      <c r="P1746" t="str">
        <f>"4170038892                    "</f>
        <v xml:space="preserve">4170038892                    </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c r="AJ1746">
        <v>0</v>
      </c>
      <c r="AK1746">
        <v>0</v>
      </c>
      <c r="AL1746">
        <v>0</v>
      </c>
      <c r="AM1746">
        <v>0</v>
      </c>
      <c r="AN1746">
        <v>0</v>
      </c>
      <c r="AO1746">
        <v>0</v>
      </c>
      <c r="AP1746">
        <v>0</v>
      </c>
      <c r="AQ1746">
        <v>181.63</v>
      </c>
      <c r="AR1746">
        <v>0</v>
      </c>
      <c r="AS1746">
        <v>0</v>
      </c>
      <c r="AT1746">
        <v>0</v>
      </c>
      <c r="AU1746">
        <v>0</v>
      </c>
      <c r="AV1746">
        <v>0</v>
      </c>
      <c r="AW1746">
        <v>0</v>
      </c>
      <c r="AX1746">
        <v>0</v>
      </c>
      <c r="AY1746">
        <v>0</v>
      </c>
      <c r="AZ1746">
        <v>0</v>
      </c>
      <c r="BA1746">
        <v>0</v>
      </c>
      <c r="BB1746">
        <v>0</v>
      </c>
      <c r="BC1746">
        <v>0</v>
      </c>
      <c r="BD1746">
        <v>0</v>
      </c>
      <c r="BE1746">
        <v>0</v>
      </c>
      <c r="BF1746">
        <v>0</v>
      </c>
      <c r="BG1746">
        <v>0</v>
      </c>
      <c r="BH1746">
        <v>1</v>
      </c>
      <c r="BI1746">
        <v>17</v>
      </c>
      <c r="BJ1746">
        <v>3.4</v>
      </c>
      <c r="BK1746">
        <v>17</v>
      </c>
      <c r="BL1746">
        <v>594.42999999999995</v>
      </c>
      <c r="BM1746">
        <v>89.16</v>
      </c>
      <c r="BN1746">
        <v>683.59</v>
      </c>
      <c r="BO1746">
        <v>683.59</v>
      </c>
      <c r="BQ1746" t="s">
        <v>477</v>
      </c>
      <c r="BR1746" t="s">
        <v>84</v>
      </c>
      <c r="BS1746" s="3">
        <v>45793</v>
      </c>
      <c r="BT1746" s="4">
        <v>0.59375</v>
      </c>
      <c r="BU1746" t="s">
        <v>2313</v>
      </c>
      <c r="BV1746" t="s">
        <v>89</v>
      </c>
      <c r="BY1746">
        <v>16965</v>
      </c>
      <c r="CA1746" t="s">
        <v>1648</v>
      </c>
      <c r="CC1746" t="s">
        <v>91</v>
      </c>
      <c r="CD1746">
        <v>6001</v>
      </c>
      <c r="CE1746" t="s">
        <v>96</v>
      </c>
      <c r="CF1746" s="3">
        <v>45793</v>
      </c>
      <c r="CI1746">
        <v>1</v>
      </c>
      <c r="CJ1746">
        <v>1</v>
      </c>
      <c r="CK1746">
        <v>21</v>
      </c>
      <c r="CL1746" t="s">
        <v>89</v>
      </c>
    </row>
    <row r="1747" spans="1:90" x14ac:dyDescent="0.3">
      <c r="A1747" t="s">
        <v>72</v>
      </c>
      <c r="B1747" t="s">
        <v>73</v>
      </c>
      <c r="C1747" t="s">
        <v>74</v>
      </c>
      <c r="E1747" t="str">
        <f>"080065395908"</f>
        <v>080065395908</v>
      </c>
      <c r="F1747" s="3">
        <v>45792</v>
      </c>
      <c r="G1747">
        <v>202602</v>
      </c>
      <c r="H1747" t="s">
        <v>75</v>
      </c>
      <c r="I1747" t="s">
        <v>76</v>
      </c>
      <c r="J1747" t="s">
        <v>77</v>
      </c>
      <c r="K1747" t="s">
        <v>78</v>
      </c>
      <c r="L1747" t="s">
        <v>90</v>
      </c>
      <c r="M1747" t="s">
        <v>91</v>
      </c>
      <c r="N1747" t="s">
        <v>476</v>
      </c>
      <c r="O1747" t="s">
        <v>300</v>
      </c>
      <c r="P1747" t="str">
        <f>"4170038891                    "</f>
        <v xml:space="preserve">4170038891                    </v>
      </c>
      <c r="Q1747">
        <v>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c r="AJ1747">
        <v>0</v>
      </c>
      <c r="AK1747">
        <v>0</v>
      </c>
      <c r="AL1747">
        <v>0</v>
      </c>
      <c r="AM1747">
        <v>0</v>
      </c>
      <c r="AN1747">
        <v>0</v>
      </c>
      <c r="AO1747">
        <v>0</v>
      </c>
      <c r="AP1747">
        <v>0</v>
      </c>
      <c r="AQ1747">
        <v>65.25</v>
      </c>
      <c r="AR1747">
        <v>0</v>
      </c>
      <c r="AS1747">
        <v>0</v>
      </c>
      <c r="AT1747">
        <v>0</v>
      </c>
      <c r="AU1747">
        <v>0</v>
      </c>
      <c r="AV1747">
        <v>0</v>
      </c>
      <c r="AW1747">
        <v>0</v>
      </c>
      <c r="AX1747">
        <v>0</v>
      </c>
      <c r="AY1747">
        <v>0</v>
      </c>
      <c r="AZ1747">
        <v>0</v>
      </c>
      <c r="BA1747">
        <v>0</v>
      </c>
      <c r="BB1747">
        <v>0</v>
      </c>
      <c r="BC1747">
        <v>0</v>
      </c>
      <c r="BD1747">
        <v>0</v>
      </c>
      <c r="BE1747">
        <v>0</v>
      </c>
      <c r="BF1747">
        <v>0</v>
      </c>
      <c r="BG1747">
        <v>0</v>
      </c>
      <c r="BH1747">
        <v>1</v>
      </c>
      <c r="BI1747">
        <v>29</v>
      </c>
      <c r="BJ1747">
        <v>15.4</v>
      </c>
      <c r="BK1747">
        <v>29</v>
      </c>
      <c r="BL1747">
        <v>219.12</v>
      </c>
      <c r="BM1747">
        <v>32.869999999999997</v>
      </c>
      <c r="BN1747">
        <v>251.99</v>
      </c>
      <c r="BO1747">
        <v>251.99</v>
      </c>
      <c r="BQ1747" t="s">
        <v>477</v>
      </c>
      <c r="BR1747" t="s">
        <v>84</v>
      </c>
      <c r="BS1747" s="3">
        <v>45796</v>
      </c>
      <c r="BT1747" s="4">
        <v>0.75</v>
      </c>
      <c r="BU1747" t="s">
        <v>2314</v>
      </c>
      <c r="BV1747" t="s">
        <v>86</v>
      </c>
      <c r="BY1747">
        <v>76800</v>
      </c>
      <c r="CA1747" t="s">
        <v>2315</v>
      </c>
      <c r="CC1747" t="s">
        <v>91</v>
      </c>
      <c r="CD1747">
        <v>6001</v>
      </c>
      <c r="CE1747" t="s">
        <v>96</v>
      </c>
      <c r="CF1747" s="3">
        <v>45796</v>
      </c>
      <c r="CI1747">
        <v>3</v>
      </c>
      <c r="CJ1747">
        <v>2</v>
      </c>
      <c r="CK1747">
        <v>41</v>
      </c>
      <c r="CL1747" t="s">
        <v>89</v>
      </c>
    </row>
    <row r="1748" spans="1:90" x14ac:dyDescent="0.3">
      <c r="A1748" t="s">
        <v>72</v>
      </c>
      <c r="B1748" t="s">
        <v>73</v>
      </c>
      <c r="C1748" t="s">
        <v>74</v>
      </c>
      <c r="E1748" t="str">
        <f>"080065396052"</f>
        <v>080065396052</v>
      </c>
      <c r="F1748" s="3">
        <v>45792</v>
      </c>
      <c r="G1748">
        <v>202602</v>
      </c>
      <c r="H1748" t="s">
        <v>75</v>
      </c>
      <c r="I1748" t="s">
        <v>76</v>
      </c>
      <c r="J1748" t="s">
        <v>77</v>
      </c>
      <c r="K1748" t="s">
        <v>78</v>
      </c>
      <c r="L1748" t="s">
        <v>90</v>
      </c>
      <c r="M1748" t="s">
        <v>91</v>
      </c>
      <c r="N1748" t="s">
        <v>476</v>
      </c>
      <c r="O1748" t="s">
        <v>300</v>
      </c>
      <c r="P1748" t="str">
        <f>"4170038892                    "</f>
        <v xml:space="preserve">4170038892                    </v>
      </c>
      <c r="Q1748">
        <v>0</v>
      </c>
      <c r="R1748">
        <v>0</v>
      </c>
      <c r="S1748">
        <v>0</v>
      </c>
      <c r="T1748">
        <v>0</v>
      </c>
      <c r="U1748">
        <v>0</v>
      </c>
      <c r="V1748">
        <v>0</v>
      </c>
      <c r="W1748">
        <v>0</v>
      </c>
      <c r="X1748">
        <v>0</v>
      </c>
      <c r="Y1748">
        <v>0</v>
      </c>
      <c r="Z1748">
        <v>0</v>
      </c>
      <c r="AA1748">
        <v>0</v>
      </c>
      <c r="AB1748">
        <v>0</v>
      </c>
      <c r="AC1748">
        <v>0</v>
      </c>
      <c r="AD1748">
        <v>0</v>
      </c>
      <c r="AE1748">
        <v>0</v>
      </c>
      <c r="AF1748">
        <v>0</v>
      </c>
      <c r="AG1748">
        <v>0</v>
      </c>
      <c r="AH1748">
        <v>0</v>
      </c>
      <c r="AI1748">
        <v>0</v>
      </c>
      <c r="AJ1748">
        <v>0</v>
      </c>
      <c r="AK1748">
        <v>0</v>
      </c>
      <c r="AL1748">
        <v>0</v>
      </c>
      <c r="AM1748">
        <v>0</v>
      </c>
      <c r="AN1748">
        <v>0</v>
      </c>
      <c r="AO1748">
        <v>0</v>
      </c>
      <c r="AP1748">
        <v>0</v>
      </c>
      <c r="AQ1748">
        <v>118.18</v>
      </c>
      <c r="AR1748">
        <v>0</v>
      </c>
      <c r="AS1748">
        <v>0</v>
      </c>
      <c r="AT1748">
        <v>0</v>
      </c>
      <c r="AU1748">
        <v>0</v>
      </c>
      <c r="AV1748">
        <v>0</v>
      </c>
      <c r="AW1748">
        <v>0</v>
      </c>
      <c r="AX1748">
        <v>0</v>
      </c>
      <c r="AY1748">
        <v>0</v>
      </c>
      <c r="AZ1748">
        <v>0</v>
      </c>
      <c r="BA1748">
        <v>0</v>
      </c>
      <c r="BB1748">
        <v>0</v>
      </c>
      <c r="BC1748">
        <v>0</v>
      </c>
      <c r="BD1748">
        <v>0</v>
      </c>
      <c r="BE1748">
        <v>0</v>
      </c>
      <c r="BF1748">
        <v>0</v>
      </c>
      <c r="BG1748">
        <v>0</v>
      </c>
      <c r="BH1748">
        <v>1</v>
      </c>
      <c r="BI1748">
        <v>44</v>
      </c>
      <c r="BJ1748">
        <v>59.3</v>
      </c>
      <c r="BK1748">
        <v>60</v>
      </c>
      <c r="BL1748">
        <v>392.33</v>
      </c>
      <c r="BM1748">
        <v>58.85</v>
      </c>
      <c r="BN1748">
        <v>451.18</v>
      </c>
      <c r="BO1748">
        <v>451.18</v>
      </c>
      <c r="BQ1748" t="s">
        <v>477</v>
      </c>
      <c r="BR1748" t="s">
        <v>84</v>
      </c>
      <c r="BS1748" s="3">
        <v>45796</v>
      </c>
      <c r="BT1748" s="4">
        <v>0.56805555555555554</v>
      </c>
      <c r="BU1748" t="s">
        <v>2316</v>
      </c>
      <c r="BV1748" t="s">
        <v>86</v>
      </c>
      <c r="BY1748">
        <v>296460</v>
      </c>
      <c r="CC1748" t="s">
        <v>91</v>
      </c>
      <c r="CD1748">
        <v>6001</v>
      </c>
      <c r="CE1748" t="s">
        <v>1434</v>
      </c>
      <c r="CF1748" s="3">
        <v>45796</v>
      </c>
      <c r="CI1748">
        <v>3</v>
      </c>
      <c r="CJ1748">
        <v>2</v>
      </c>
      <c r="CK1748">
        <v>41</v>
      </c>
      <c r="CL1748" t="s">
        <v>89</v>
      </c>
    </row>
    <row r="1749" spans="1:90" x14ac:dyDescent="0.3">
      <c r="A1749" t="s">
        <v>72</v>
      </c>
      <c r="B1749" t="s">
        <v>73</v>
      </c>
      <c r="C1749" t="s">
        <v>74</v>
      </c>
      <c r="E1749" t="str">
        <f>"080065396112"</f>
        <v>080065396112</v>
      </c>
      <c r="F1749" s="3">
        <v>45792</v>
      </c>
      <c r="G1749">
        <v>202602</v>
      </c>
      <c r="H1749" t="s">
        <v>75</v>
      </c>
      <c r="I1749" t="s">
        <v>76</v>
      </c>
      <c r="J1749" t="s">
        <v>77</v>
      </c>
      <c r="K1749" t="s">
        <v>78</v>
      </c>
      <c r="L1749" t="s">
        <v>90</v>
      </c>
      <c r="M1749" t="s">
        <v>91</v>
      </c>
      <c r="N1749" t="s">
        <v>476</v>
      </c>
      <c r="O1749" t="s">
        <v>300</v>
      </c>
      <c r="P1749" t="str">
        <f>"4170038890                    "</f>
        <v xml:space="preserve">4170038890                    </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c r="AI1749">
        <v>0</v>
      </c>
      <c r="AJ1749">
        <v>0</v>
      </c>
      <c r="AK1749">
        <v>0</v>
      </c>
      <c r="AL1749">
        <v>0</v>
      </c>
      <c r="AM1749">
        <v>0</v>
      </c>
      <c r="AN1749">
        <v>0</v>
      </c>
      <c r="AO1749">
        <v>0</v>
      </c>
      <c r="AP1749">
        <v>0</v>
      </c>
      <c r="AQ1749">
        <v>304.26</v>
      </c>
      <c r="AR1749">
        <v>0</v>
      </c>
      <c r="AS1749">
        <v>0</v>
      </c>
      <c r="AT1749">
        <v>0</v>
      </c>
      <c r="AU1749">
        <v>0</v>
      </c>
      <c r="AV1749">
        <v>0</v>
      </c>
      <c r="AW1749">
        <v>0</v>
      </c>
      <c r="AX1749">
        <v>0</v>
      </c>
      <c r="AY1749">
        <v>0</v>
      </c>
      <c r="AZ1749">
        <v>0</v>
      </c>
      <c r="BA1749">
        <v>0</v>
      </c>
      <c r="BB1749">
        <v>0</v>
      </c>
      <c r="BC1749">
        <v>0</v>
      </c>
      <c r="BD1749">
        <v>0</v>
      </c>
      <c r="BE1749">
        <v>0</v>
      </c>
      <c r="BF1749">
        <v>0</v>
      </c>
      <c r="BG1749">
        <v>0</v>
      </c>
      <c r="BH1749">
        <v>1</v>
      </c>
      <c r="BI1749">
        <v>169</v>
      </c>
      <c r="BJ1749">
        <v>125.5</v>
      </c>
      <c r="BK1749">
        <v>169</v>
      </c>
      <c r="BL1749">
        <v>1001.33</v>
      </c>
      <c r="BM1749">
        <v>150.19999999999999</v>
      </c>
      <c r="BN1749">
        <v>1151.53</v>
      </c>
      <c r="BO1749">
        <v>1151.53</v>
      </c>
      <c r="BQ1749" t="s">
        <v>477</v>
      </c>
      <c r="BR1749" t="s">
        <v>84</v>
      </c>
      <c r="BS1749" s="3">
        <v>45796</v>
      </c>
      <c r="BT1749" s="4">
        <v>0.56805555555555554</v>
      </c>
      <c r="BU1749" t="s">
        <v>2316</v>
      </c>
      <c r="BV1749" t="s">
        <v>86</v>
      </c>
      <c r="BY1749">
        <v>627669</v>
      </c>
      <c r="CC1749" t="s">
        <v>91</v>
      </c>
      <c r="CD1749">
        <v>6001</v>
      </c>
      <c r="CE1749" t="s">
        <v>546</v>
      </c>
      <c r="CF1749" s="3">
        <v>45796</v>
      </c>
      <c r="CI1749">
        <v>3</v>
      </c>
      <c r="CJ1749">
        <v>2</v>
      </c>
      <c r="CK1749">
        <v>41</v>
      </c>
      <c r="CL1749" t="s">
        <v>89</v>
      </c>
    </row>
    <row r="1750" spans="1:90" x14ac:dyDescent="0.3">
      <c r="A1750" t="s">
        <v>72</v>
      </c>
      <c r="B1750" t="s">
        <v>73</v>
      </c>
      <c r="C1750" t="s">
        <v>74</v>
      </c>
      <c r="E1750" t="str">
        <f>"080065396337"</f>
        <v>080065396337</v>
      </c>
      <c r="F1750" s="3">
        <v>45792</v>
      </c>
      <c r="G1750">
        <v>202602</v>
      </c>
      <c r="H1750" t="s">
        <v>75</v>
      </c>
      <c r="I1750" t="s">
        <v>76</v>
      </c>
      <c r="J1750" t="s">
        <v>77</v>
      </c>
      <c r="K1750" t="s">
        <v>78</v>
      </c>
      <c r="L1750" t="s">
        <v>123</v>
      </c>
      <c r="M1750" t="s">
        <v>123</v>
      </c>
      <c r="N1750" t="s">
        <v>766</v>
      </c>
      <c r="O1750" t="s">
        <v>82</v>
      </c>
      <c r="P1750" t="str">
        <f>"4170038766                    "</f>
        <v xml:space="preserve">4170038766                    </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0</v>
      </c>
      <c r="AJ1750">
        <v>0</v>
      </c>
      <c r="AK1750">
        <v>0</v>
      </c>
      <c r="AL1750">
        <v>0</v>
      </c>
      <c r="AM1750">
        <v>0</v>
      </c>
      <c r="AN1750">
        <v>0</v>
      </c>
      <c r="AO1750">
        <v>0</v>
      </c>
      <c r="AP1750">
        <v>0</v>
      </c>
      <c r="AQ1750">
        <v>41.43</v>
      </c>
      <c r="AR1750">
        <v>0</v>
      </c>
      <c r="AS1750">
        <v>0</v>
      </c>
      <c r="AT1750">
        <v>0</v>
      </c>
      <c r="AU1750">
        <v>0</v>
      </c>
      <c r="AV1750">
        <v>0</v>
      </c>
      <c r="AW1750">
        <v>0</v>
      </c>
      <c r="AX1750">
        <v>0</v>
      </c>
      <c r="AY1750">
        <v>0</v>
      </c>
      <c r="AZ1750">
        <v>0</v>
      </c>
      <c r="BA1750">
        <v>0</v>
      </c>
      <c r="BB1750">
        <v>0</v>
      </c>
      <c r="BC1750">
        <v>0</v>
      </c>
      <c r="BD1750">
        <v>0</v>
      </c>
      <c r="BE1750">
        <v>0</v>
      </c>
      <c r="BF1750">
        <v>0</v>
      </c>
      <c r="BG1750">
        <v>0</v>
      </c>
      <c r="BH1750">
        <v>1</v>
      </c>
      <c r="BI1750">
        <v>1</v>
      </c>
      <c r="BJ1750">
        <v>1.1000000000000001</v>
      </c>
      <c r="BK1750">
        <v>1.5</v>
      </c>
      <c r="BL1750">
        <v>135.59</v>
      </c>
      <c r="BM1750">
        <v>20.34</v>
      </c>
      <c r="BN1750">
        <v>155.93</v>
      </c>
      <c r="BO1750">
        <v>155.93</v>
      </c>
      <c r="BQ1750" t="s">
        <v>767</v>
      </c>
      <c r="BR1750" t="s">
        <v>84</v>
      </c>
      <c r="BS1750" s="3">
        <v>45793</v>
      </c>
      <c r="BT1750" s="4">
        <v>0.53263888888888888</v>
      </c>
      <c r="BU1750" t="s">
        <v>768</v>
      </c>
      <c r="BV1750" t="s">
        <v>86</v>
      </c>
      <c r="BY1750">
        <v>5320</v>
      </c>
      <c r="CA1750" t="s">
        <v>128</v>
      </c>
      <c r="CC1750" t="s">
        <v>123</v>
      </c>
      <c r="CD1750">
        <v>7646</v>
      </c>
      <c r="CE1750" t="s">
        <v>116</v>
      </c>
      <c r="CF1750" s="3">
        <v>45796</v>
      </c>
      <c r="CI1750">
        <v>1</v>
      </c>
      <c r="CJ1750">
        <v>1</v>
      </c>
      <c r="CK1750">
        <v>23</v>
      </c>
      <c r="CL1750" t="s">
        <v>89</v>
      </c>
    </row>
    <row r="1751" spans="1:90" x14ac:dyDescent="0.3">
      <c r="A1751" t="s">
        <v>72</v>
      </c>
      <c r="B1751" t="s">
        <v>73</v>
      </c>
      <c r="C1751" t="s">
        <v>74</v>
      </c>
      <c r="E1751" t="str">
        <f>"080065396358"</f>
        <v>080065396358</v>
      </c>
      <c r="F1751" s="3">
        <v>45792</v>
      </c>
      <c r="G1751">
        <v>202602</v>
      </c>
      <c r="H1751" t="s">
        <v>75</v>
      </c>
      <c r="I1751" t="s">
        <v>76</v>
      </c>
      <c r="J1751" t="s">
        <v>77</v>
      </c>
      <c r="K1751" t="s">
        <v>78</v>
      </c>
      <c r="L1751" t="s">
        <v>130</v>
      </c>
      <c r="M1751" t="s">
        <v>131</v>
      </c>
      <c r="N1751" t="s">
        <v>343</v>
      </c>
      <c r="O1751" t="s">
        <v>82</v>
      </c>
      <c r="P1751" t="str">
        <f>"4170038738                    "</f>
        <v xml:space="preserve">4170038738                    </v>
      </c>
      <c r="Q1751">
        <v>0</v>
      </c>
      <c r="R1751">
        <v>0</v>
      </c>
      <c r="S1751">
        <v>0</v>
      </c>
      <c r="T1751">
        <v>0</v>
      </c>
      <c r="U1751">
        <v>0</v>
      </c>
      <c r="V1751">
        <v>0</v>
      </c>
      <c r="W1751">
        <v>0</v>
      </c>
      <c r="X1751">
        <v>0</v>
      </c>
      <c r="Y1751">
        <v>0</v>
      </c>
      <c r="Z1751">
        <v>0</v>
      </c>
      <c r="AA1751">
        <v>0</v>
      </c>
      <c r="AB1751">
        <v>0</v>
      </c>
      <c r="AC1751">
        <v>0</v>
      </c>
      <c r="AD1751">
        <v>0</v>
      </c>
      <c r="AE1751">
        <v>0</v>
      </c>
      <c r="AF1751">
        <v>0</v>
      </c>
      <c r="AG1751">
        <v>0</v>
      </c>
      <c r="AH1751">
        <v>0</v>
      </c>
      <c r="AI1751">
        <v>0</v>
      </c>
      <c r="AJ1751">
        <v>0</v>
      </c>
      <c r="AK1751">
        <v>0</v>
      </c>
      <c r="AL1751">
        <v>0</v>
      </c>
      <c r="AM1751">
        <v>0</v>
      </c>
      <c r="AN1751">
        <v>0</v>
      </c>
      <c r="AO1751">
        <v>0</v>
      </c>
      <c r="AP1751">
        <v>0</v>
      </c>
      <c r="AQ1751">
        <v>21.38</v>
      </c>
      <c r="AR1751">
        <v>0</v>
      </c>
      <c r="AS1751">
        <v>0</v>
      </c>
      <c r="AT1751">
        <v>0</v>
      </c>
      <c r="AU1751">
        <v>0</v>
      </c>
      <c r="AV1751">
        <v>0</v>
      </c>
      <c r="AW1751">
        <v>0</v>
      </c>
      <c r="AX1751">
        <v>0</v>
      </c>
      <c r="AY1751">
        <v>0</v>
      </c>
      <c r="AZ1751">
        <v>0</v>
      </c>
      <c r="BA1751">
        <v>0</v>
      </c>
      <c r="BB1751">
        <v>0</v>
      </c>
      <c r="BC1751">
        <v>0</v>
      </c>
      <c r="BD1751">
        <v>0</v>
      </c>
      <c r="BE1751">
        <v>0</v>
      </c>
      <c r="BF1751">
        <v>0</v>
      </c>
      <c r="BG1751">
        <v>0</v>
      </c>
      <c r="BH1751">
        <v>1</v>
      </c>
      <c r="BI1751">
        <v>1</v>
      </c>
      <c r="BJ1751">
        <v>1.7</v>
      </c>
      <c r="BK1751">
        <v>2</v>
      </c>
      <c r="BL1751">
        <v>69.98</v>
      </c>
      <c r="BM1751">
        <v>10.5</v>
      </c>
      <c r="BN1751">
        <v>80.48</v>
      </c>
      <c r="BO1751">
        <v>80.48</v>
      </c>
      <c r="BQ1751" t="s">
        <v>344</v>
      </c>
      <c r="BR1751" t="s">
        <v>84</v>
      </c>
      <c r="BS1751" s="3">
        <v>45793</v>
      </c>
      <c r="BT1751" s="4">
        <v>0.38055555555555554</v>
      </c>
      <c r="BU1751" t="s">
        <v>2219</v>
      </c>
      <c r="BV1751" t="s">
        <v>86</v>
      </c>
      <c r="BY1751">
        <v>8512</v>
      </c>
      <c r="CA1751" t="s">
        <v>242</v>
      </c>
      <c r="CC1751" t="s">
        <v>131</v>
      </c>
      <c r="CD1751">
        <v>7441</v>
      </c>
      <c r="CE1751" t="s">
        <v>116</v>
      </c>
      <c r="CF1751" s="3">
        <v>45796</v>
      </c>
      <c r="CI1751">
        <v>1</v>
      </c>
      <c r="CJ1751">
        <v>1</v>
      </c>
      <c r="CK1751">
        <v>21</v>
      </c>
      <c r="CL1751" t="s">
        <v>89</v>
      </c>
    </row>
    <row r="1752" spans="1:90" x14ac:dyDescent="0.3">
      <c r="A1752" t="s">
        <v>72</v>
      </c>
      <c r="B1752" t="s">
        <v>73</v>
      </c>
      <c r="C1752" t="s">
        <v>74</v>
      </c>
      <c r="E1752" t="str">
        <f>"080065396361"</f>
        <v>080065396361</v>
      </c>
      <c r="F1752" s="3">
        <v>45792</v>
      </c>
      <c r="G1752">
        <v>202602</v>
      </c>
      <c r="H1752" t="s">
        <v>75</v>
      </c>
      <c r="I1752" t="s">
        <v>76</v>
      </c>
      <c r="J1752" t="s">
        <v>77</v>
      </c>
      <c r="K1752" t="s">
        <v>78</v>
      </c>
      <c r="L1752" t="s">
        <v>130</v>
      </c>
      <c r="M1752" t="s">
        <v>131</v>
      </c>
      <c r="N1752" t="s">
        <v>709</v>
      </c>
      <c r="O1752" t="s">
        <v>82</v>
      </c>
      <c r="P1752" t="str">
        <f>"4170038596                    "</f>
        <v xml:space="preserve">4170038596                    </v>
      </c>
      <c r="Q1752">
        <v>0</v>
      </c>
      <c r="R1752">
        <v>0</v>
      </c>
      <c r="S1752">
        <v>0</v>
      </c>
      <c r="T1752">
        <v>0</v>
      </c>
      <c r="U1752">
        <v>0</v>
      </c>
      <c r="V1752">
        <v>0</v>
      </c>
      <c r="W1752">
        <v>0</v>
      </c>
      <c r="X1752">
        <v>0</v>
      </c>
      <c r="Y1752">
        <v>0</v>
      </c>
      <c r="Z1752">
        <v>0</v>
      </c>
      <c r="AA1752">
        <v>0</v>
      </c>
      <c r="AB1752">
        <v>0</v>
      </c>
      <c r="AC1752">
        <v>0</v>
      </c>
      <c r="AD1752">
        <v>0</v>
      </c>
      <c r="AE1752">
        <v>0</v>
      </c>
      <c r="AF1752">
        <v>0</v>
      </c>
      <c r="AG1752">
        <v>0</v>
      </c>
      <c r="AH1752">
        <v>0</v>
      </c>
      <c r="AI1752">
        <v>0</v>
      </c>
      <c r="AJ1752">
        <v>0</v>
      </c>
      <c r="AK1752">
        <v>0</v>
      </c>
      <c r="AL1752">
        <v>0</v>
      </c>
      <c r="AM1752">
        <v>0</v>
      </c>
      <c r="AN1752">
        <v>0</v>
      </c>
      <c r="AO1752">
        <v>0</v>
      </c>
      <c r="AP1752">
        <v>0</v>
      </c>
      <c r="AQ1752">
        <v>21.38</v>
      </c>
      <c r="AR1752">
        <v>0</v>
      </c>
      <c r="AS1752">
        <v>0</v>
      </c>
      <c r="AT1752">
        <v>0</v>
      </c>
      <c r="AU1752">
        <v>0</v>
      </c>
      <c r="AV1752">
        <v>0</v>
      </c>
      <c r="AW1752">
        <v>0</v>
      </c>
      <c r="AX1752">
        <v>0</v>
      </c>
      <c r="AY1752">
        <v>0</v>
      </c>
      <c r="AZ1752">
        <v>0</v>
      </c>
      <c r="BA1752">
        <v>0</v>
      </c>
      <c r="BB1752">
        <v>0</v>
      </c>
      <c r="BC1752">
        <v>0</v>
      </c>
      <c r="BD1752">
        <v>0</v>
      </c>
      <c r="BE1752">
        <v>0</v>
      </c>
      <c r="BF1752">
        <v>0</v>
      </c>
      <c r="BG1752">
        <v>0</v>
      </c>
      <c r="BH1752">
        <v>1</v>
      </c>
      <c r="BI1752">
        <v>1</v>
      </c>
      <c r="BJ1752">
        <v>0.2</v>
      </c>
      <c r="BK1752">
        <v>1</v>
      </c>
      <c r="BL1752">
        <v>69.98</v>
      </c>
      <c r="BM1752">
        <v>10.5</v>
      </c>
      <c r="BN1752">
        <v>80.48</v>
      </c>
      <c r="BO1752">
        <v>80.48</v>
      </c>
      <c r="BQ1752" t="s">
        <v>710</v>
      </c>
      <c r="BR1752" t="s">
        <v>84</v>
      </c>
      <c r="BS1752" s="3">
        <v>45793</v>
      </c>
      <c r="BT1752" s="4">
        <v>0.33611111111111114</v>
      </c>
      <c r="BU1752" t="s">
        <v>1589</v>
      </c>
      <c r="BV1752" t="s">
        <v>86</v>
      </c>
      <c r="BY1752">
        <v>1200</v>
      </c>
      <c r="CA1752" t="s">
        <v>712</v>
      </c>
      <c r="CC1752" t="s">
        <v>131</v>
      </c>
      <c r="CD1752">
        <v>7530</v>
      </c>
      <c r="CE1752" t="s">
        <v>88</v>
      </c>
      <c r="CF1752" s="3">
        <v>45796</v>
      </c>
      <c r="CI1752">
        <v>1</v>
      </c>
      <c r="CJ1752">
        <v>1</v>
      </c>
      <c r="CK1752">
        <v>21</v>
      </c>
      <c r="CL1752" t="s">
        <v>89</v>
      </c>
    </row>
    <row r="1753" spans="1:90" x14ac:dyDescent="0.3">
      <c r="A1753" t="s">
        <v>72</v>
      </c>
      <c r="B1753" t="s">
        <v>73</v>
      </c>
      <c r="C1753" t="s">
        <v>74</v>
      </c>
      <c r="E1753" t="str">
        <f>"080065396378"</f>
        <v>080065396378</v>
      </c>
      <c r="F1753" s="3">
        <v>45792</v>
      </c>
      <c r="G1753">
        <v>202602</v>
      </c>
      <c r="H1753" t="s">
        <v>75</v>
      </c>
      <c r="I1753" t="s">
        <v>76</v>
      </c>
      <c r="J1753" t="s">
        <v>77</v>
      </c>
      <c r="K1753" t="s">
        <v>78</v>
      </c>
      <c r="L1753" t="s">
        <v>350</v>
      </c>
      <c r="M1753" t="s">
        <v>351</v>
      </c>
      <c r="N1753" t="s">
        <v>459</v>
      </c>
      <c r="O1753" t="s">
        <v>82</v>
      </c>
      <c r="P1753" t="str">
        <f>"4170038774                    "</f>
        <v xml:space="preserve">4170038774                    </v>
      </c>
      <c r="Q1753">
        <v>0</v>
      </c>
      <c r="R1753">
        <v>0</v>
      </c>
      <c r="S1753">
        <v>0</v>
      </c>
      <c r="T1753">
        <v>0</v>
      </c>
      <c r="U1753">
        <v>0</v>
      </c>
      <c r="V1753">
        <v>0</v>
      </c>
      <c r="W1753">
        <v>0</v>
      </c>
      <c r="X1753">
        <v>0</v>
      </c>
      <c r="Y1753">
        <v>0</v>
      </c>
      <c r="Z1753">
        <v>0</v>
      </c>
      <c r="AA1753">
        <v>0</v>
      </c>
      <c r="AB1753">
        <v>0</v>
      </c>
      <c r="AC1753">
        <v>0</v>
      </c>
      <c r="AD1753">
        <v>0</v>
      </c>
      <c r="AE1753">
        <v>0</v>
      </c>
      <c r="AF1753">
        <v>0</v>
      </c>
      <c r="AG1753">
        <v>0</v>
      </c>
      <c r="AH1753">
        <v>0</v>
      </c>
      <c r="AI1753">
        <v>0</v>
      </c>
      <c r="AJ1753">
        <v>0</v>
      </c>
      <c r="AK1753">
        <v>0</v>
      </c>
      <c r="AL1753">
        <v>0</v>
      </c>
      <c r="AM1753">
        <v>0</v>
      </c>
      <c r="AN1753">
        <v>0</v>
      </c>
      <c r="AO1753">
        <v>0</v>
      </c>
      <c r="AP1753">
        <v>0</v>
      </c>
      <c r="AQ1753">
        <v>21.38</v>
      </c>
      <c r="AR1753">
        <v>0</v>
      </c>
      <c r="AS1753">
        <v>0</v>
      </c>
      <c r="AT1753">
        <v>0</v>
      </c>
      <c r="AU1753">
        <v>0</v>
      </c>
      <c r="AV1753">
        <v>0</v>
      </c>
      <c r="AW1753">
        <v>0</v>
      </c>
      <c r="AX1753">
        <v>0</v>
      </c>
      <c r="AY1753">
        <v>0</v>
      </c>
      <c r="AZ1753">
        <v>0</v>
      </c>
      <c r="BA1753">
        <v>0</v>
      </c>
      <c r="BB1753">
        <v>0</v>
      </c>
      <c r="BC1753">
        <v>0</v>
      </c>
      <c r="BD1753">
        <v>0</v>
      </c>
      <c r="BE1753">
        <v>0</v>
      </c>
      <c r="BF1753">
        <v>0</v>
      </c>
      <c r="BG1753">
        <v>0</v>
      </c>
      <c r="BH1753">
        <v>1</v>
      </c>
      <c r="BI1753">
        <v>1</v>
      </c>
      <c r="BJ1753">
        <v>0.2</v>
      </c>
      <c r="BK1753">
        <v>1</v>
      </c>
      <c r="BL1753">
        <v>69.98</v>
      </c>
      <c r="BM1753">
        <v>10.5</v>
      </c>
      <c r="BN1753">
        <v>80.48</v>
      </c>
      <c r="BO1753">
        <v>80.48</v>
      </c>
      <c r="BQ1753" t="s">
        <v>460</v>
      </c>
      <c r="BR1753" t="s">
        <v>84</v>
      </c>
      <c r="BS1753" s="3">
        <v>45793</v>
      </c>
      <c r="BT1753" s="4">
        <v>0.33680555555555558</v>
      </c>
      <c r="BU1753" t="s">
        <v>2258</v>
      </c>
      <c r="BV1753" t="s">
        <v>86</v>
      </c>
      <c r="BY1753">
        <v>1200</v>
      </c>
      <c r="CA1753" t="s">
        <v>462</v>
      </c>
      <c r="CC1753" t="s">
        <v>351</v>
      </c>
      <c r="CD1753">
        <v>4000</v>
      </c>
      <c r="CE1753" t="s">
        <v>88</v>
      </c>
      <c r="CF1753" s="3">
        <v>45794</v>
      </c>
      <c r="CI1753">
        <v>1</v>
      </c>
      <c r="CJ1753">
        <v>1</v>
      </c>
      <c r="CK1753">
        <v>21</v>
      </c>
      <c r="CL1753" t="s">
        <v>89</v>
      </c>
    </row>
    <row r="1754" spans="1:90" x14ac:dyDescent="0.3">
      <c r="A1754" t="s">
        <v>72</v>
      </c>
      <c r="B1754" t="s">
        <v>73</v>
      </c>
      <c r="C1754" t="s">
        <v>74</v>
      </c>
      <c r="E1754" t="str">
        <f>"080065396389"</f>
        <v>080065396389</v>
      </c>
      <c r="F1754" s="3">
        <v>45792</v>
      </c>
      <c r="G1754">
        <v>202602</v>
      </c>
      <c r="H1754" t="s">
        <v>75</v>
      </c>
      <c r="I1754" t="s">
        <v>76</v>
      </c>
      <c r="J1754" t="s">
        <v>77</v>
      </c>
      <c r="K1754" t="s">
        <v>78</v>
      </c>
      <c r="L1754" t="s">
        <v>117</v>
      </c>
      <c r="M1754" t="s">
        <v>118</v>
      </c>
      <c r="N1754" t="s">
        <v>2317</v>
      </c>
      <c r="O1754" t="s">
        <v>82</v>
      </c>
      <c r="P1754" t="str">
        <f>"4170038828                    "</f>
        <v xml:space="preserve">4170038828                    </v>
      </c>
      <c r="Q1754">
        <v>0</v>
      </c>
      <c r="R1754">
        <v>0</v>
      </c>
      <c r="S1754">
        <v>0</v>
      </c>
      <c r="T1754">
        <v>0</v>
      </c>
      <c r="U1754">
        <v>0</v>
      </c>
      <c r="V1754">
        <v>0</v>
      </c>
      <c r="W1754">
        <v>0</v>
      </c>
      <c r="X1754">
        <v>0</v>
      </c>
      <c r="Y1754">
        <v>0</v>
      </c>
      <c r="Z1754">
        <v>0</v>
      </c>
      <c r="AA1754">
        <v>0</v>
      </c>
      <c r="AB1754">
        <v>0</v>
      </c>
      <c r="AC1754">
        <v>0</v>
      </c>
      <c r="AD1754">
        <v>0</v>
      </c>
      <c r="AE1754">
        <v>0</v>
      </c>
      <c r="AF1754">
        <v>0</v>
      </c>
      <c r="AG1754">
        <v>0</v>
      </c>
      <c r="AH1754">
        <v>0</v>
      </c>
      <c r="AI1754">
        <v>0</v>
      </c>
      <c r="AJ1754">
        <v>0</v>
      </c>
      <c r="AK1754">
        <v>0</v>
      </c>
      <c r="AL1754">
        <v>0</v>
      </c>
      <c r="AM1754">
        <v>0</v>
      </c>
      <c r="AN1754">
        <v>0</v>
      </c>
      <c r="AO1754">
        <v>0</v>
      </c>
      <c r="AP1754">
        <v>0</v>
      </c>
      <c r="AQ1754">
        <v>16.7</v>
      </c>
      <c r="AR1754">
        <v>0</v>
      </c>
      <c r="AS1754">
        <v>0</v>
      </c>
      <c r="AT1754">
        <v>0</v>
      </c>
      <c r="AU1754">
        <v>0</v>
      </c>
      <c r="AV1754">
        <v>0</v>
      </c>
      <c r="AW1754">
        <v>0</v>
      </c>
      <c r="AX1754">
        <v>0</v>
      </c>
      <c r="AY1754">
        <v>0</v>
      </c>
      <c r="AZ1754">
        <v>0</v>
      </c>
      <c r="BA1754">
        <v>0</v>
      </c>
      <c r="BB1754">
        <v>0</v>
      </c>
      <c r="BC1754">
        <v>0</v>
      </c>
      <c r="BD1754">
        <v>0</v>
      </c>
      <c r="BE1754">
        <v>0</v>
      </c>
      <c r="BF1754">
        <v>0</v>
      </c>
      <c r="BG1754">
        <v>0</v>
      </c>
      <c r="BH1754">
        <v>1</v>
      </c>
      <c r="BI1754">
        <v>3</v>
      </c>
      <c r="BJ1754">
        <v>1.4</v>
      </c>
      <c r="BK1754">
        <v>3</v>
      </c>
      <c r="BL1754">
        <v>54.66</v>
      </c>
      <c r="BM1754">
        <v>8.1999999999999993</v>
      </c>
      <c r="BN1754">
        <v>62.86</v>
      </c>
      <c r="BO1754">
        <v>62.86</v>
      </c>
      <c r="BQ1754" t="s">
        <v>2318</v>
      </c>
      <c r="BR1754" t="s">
        <v>84</v>
      </c>
      <c r="BS1754" s="3">
        <v>45793</v>
      </c>
      <c r="BT1754" s="4">
        <v>0.41666666666666669</v>
      </c>
      <c r="BU1754" t="s">
        <v>2319</v>
      </c>
      <c r="BV1754" t="s">
        <v>86</v>
      </c>
      <c r="BY1754">
        <v>7000</v>
      </c>
      <c r="CA1754" t="s">
        <v>2320</v>
      </c>
      <c r="CC1754" t="s">
        <v>118</v>
      </c>
      <c r="CD1754">
        <v>2008</v>
      </c>
      <c r="CE1754" t="s">
        <v>96</v>
      </c>
      <c r="CF1754" s="3">
        <v>45794</v>
      </c>
      <c r="CI1754">
        <v>1</v>
      </c>
      <c r="CJ1754">
        <v>1</v>
      </c>
      <c r="CK1754">
        <v>22</v>
      </c>
      <c r="CL1754" t="s">
        <v>89</v>
      </c>
    </row>
    <row r="1755" spans="1:90" x14ac:dyDescent="0.3">
      <c r="A1755" t="s">
        <v>72</v>
      </c>
      <c r="B1755" t="s">
        <v>73</v>
      </c>
      <c r="C1755" t="s">
        <v>74</v>
      </c>
      <c r="E1755" t="str">
        <f>"080065396393"</f>
        <v>080065396393</v>
      </c>
      <c r="F1755" s="3">
        <v>45792</v>
      </c>
      <c r="G1755">
        <v>202602</v>
      </c>
      <c r="H1755" t="s">
        <v>75</v>
      </c>
      <c r="I1755" t="s">
        <v>76</v>
      </c>
      <c r="J1755" t="s">
        <v>77</v>
      </c>
      <c r="K1755" t="s">
        <v>78</v>
      </c>
      <c r="L1755" t="s">
        <v>130</v>
      </c>
      <c r="M1755" t="s">
        <v>131</v>
      </c>
      <c r="N1755" t="s">
        <v>681</v>
      </c>
      <c r="O1755" t="s">
        <v>82</v>
      </c>
      <c r="P1755" t="str">
        <f>"4170038594                    "</f>
        <v xml:space="preserve">4170038594                    </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c r="AI1755">
        <v>0</v>
      </c>
      <c r="AJ1755">
        <v>0</v>
      </c>
      <c r="AK1755">
        <v>0</v>
      </c>
      <c r="AL1755">
        <v>0</v>
      </c>
      <c r="AM1755">
        <v>0</v>
      </c>
      <c r="AN1755">
        <v>0</v>
      </c>
      <c r="AO1755">
        <v>0</v>
      </c>
      <c r="AP1755">
        <v>0</v>
      </c>
      <c r="AQ1755">
        <v>21.38</v>
      </c>
      <c r="AR1755">
        <v>0</v>
      </c>
      <c r="AS1755">
        <v>0</v>
      </c>
      <c r="AT1755">
        <v>0</v>
      </c>
      <c r="AU1755">
        <v>0</v>
      </c>
      <c r="AV1755">
        <v>0</v>
      </c>
      <c r="AW1755">
        <v>0</v>
      </c>
      <c r="AX1755">
        <v>0</v>
      </c>
      <c r="AY1755">
        <v>0</v>
      </c>
      <c r="AZ1755">
        <v>0</v>
      </c>
      <c r="BA1755">
        <v>0</v>
      </c>
      <c r="BB1755">
        <v>0</v>
      </c>
      <c r="BC1755">
        <v>0</v>
      </c>
      <c r="BD1755">
        <v>0</v>
      </c>
      <c r="BE1755">
        <v>0</v>
      </c>
      <c r="BF1755">
        <v>0</v>
      </c>
      <c r="BG1755">
        <v>0</v>
      </c>
      <c r="BH1755">
        <v>1</v>
      </c>
      <c r="BI1755">
        <v>1</v>
      </c>
      <c r="BJ1755">
        <v>0.2</v>
      </c>
      <c r="BK1755">
        <v>1</v>
      </c>
      <c r="BL1755">
        <v>69.98</v>
      </c>
      <c r="BM1755">
        <v>10.5</v>
      </c>
      <c r="BN1755">
        <v>80.48</v>
      </c>
      <c r="BO1755">
        <v>80.48</v>
      </c>
      <c r="BQ1755" t="s">
        <v>682</v>
      </c>
      <c r="BR1755" t="s">
        <v>84</v>
      </c>
      <c r="BS1755" s="3">
        <v>45793</v>
      </c>
      <c r="BT1755" s="4">
        <v>0.42986111111111114</v>
      </c>
      <c r="BU1755" t="s">
        <v>683</v>
      </c>
      <c r="BV1755" t="s">
        <v>86</v>
      </c>
      <c r="BY1755">
        <v>1200</v>
      </c>
      <c r="CA1755" t="s">
        <v>684</v>
      </c>
      <c r="CC1755" t="s">
        <v>131</v>
      </c>
      <c r="CD1755">
        <v>7800</v>
      </c>
      <c r="CE1755" t="s">
        <v>88</v>
      </c>
      <c r="CF1755" s="3">
        <v>45796</v>
      </c>
      <c r="CI1755">
        <v>1</v>
      </c>
      <c r="CJ1755">
        <v>1</v>
      </c>
      <c r="CK1755">
        <v>21</v>
      </c>
      <c r="CL1755" t="s">
        <v>89</v>
      </c>
    </row>
    <row r="1756" spans="1:90" x14ac:dyDescent="0.3">
      <c r="A1756" t="s">
        <v>72</v>
      </c>
      <c r="B1756" t="s">
        <v>73</v>
      </c>
      <c r="C1756" t="s">
        <v>74</v>
      </c>
      <c r="E1756" t="str">
        <f>"080065396408"</f>
        <v>080065396408</v>
      </c>
      <c r="F1756" s="3">
        <v>45792</v>
      </c>
      <c r="G1756">
        <v>202602</v>
      </c>
      <c r="H1756" t="s">
        <v>75</v>
      </c>
      <c r="I1756" t="s">
        <v>76</v>
      </c>
      <c r="J1756" t="s">
        <v>77</v>
      </c>
      <c r="K1756" t="s">
        <v>78</v>
      </c>
      <c r="L1756" t="s">
        <v>79</v>
      </c>
      <c r="M1756" t="s">
        <v>80</v>
      </c>
      <c r="N1756" t="s">
        <v>157</v>
      </c>
      <c r="O1756" t="s">
        <v>82</v>
      </c>
      <c r="P1756" t="str">
        <f>"4170038741                    "</f>
        <v xml:space="preserve">4170038741                    </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0</v>
      </c>
      <c r="AJ1756">
        <v>0</v>
      </c>
      <c r="AK1756">
        <v>0</v>
      </c>
      <c r="AL1756">
        <v>0</v>
      </c>
      <c r="AM1756">
        <v>0</v>
      </c>
      <c r="AN1756">
        <v>0</v>
      </c>
      <c r="AO1756">
        <v>0</v>
      </c>
      <c r="AP1756">
        <v>0</v>
      </c>
      <c r="AQ1756">
        <v>21.38</v>
      </c>
      <c r="AR1756">
        <v>0</v>
      </c>
      <c r="AS1756">
        <v>0</v>
      </c>
      <c r="AT1756">
        <v>0</v>
      </c>
      <c r="AU1756">
        <v>0</v>
      </c>
      <c r="AV1756">
        <v>0</v>
      </c>
      <c r="AW1756">
        <v>0</v>
      </c>
      <c r="AX1756">
        <v>0</v>
      </c>
      <c r="AY1756">
        <v>0</v>
      </c>
      <c r="AZ1756">
        <v>0</v>
      </c>
      <c r="BA1756">
        <v>0</v>
      </c>
      <c r="BB1756">
        <v>0</v>
      </c>
      <c r="BC1756">
        <v>0</v>
      </c>
      <c r="BD1756">
        <v>0</v>
      </c>
      <c r="BE1756">
        <v>0</v>
      </c>
      <c r="BF1756">
        <v>0</v>
      </c>
      <c r="BG1756">
        <v>0</v>
      </c>
      <c r="BH1756">
        <v>1</v>
      </c>
      <c r="BI1756">
        <v>1</v>
      </c>
      <c r="BJ1756">
        <v>0.2</v>
      </c>
      <c r="BK1756">
        <v>1</v>
      </c>
      <c r="BL1756">
        <v>69.98</v>
      </c>
      <c r="BM1756">
        <v>10.5</v>
      </c>
      <c r="BN1756">
        <v>80.48</v>
      </c>
      <c r="BO1756">
        <v>80.48</v>
      </c>
      <c r="BQ1756" t="s">
        <v>158</v>
      </c>
      <c r="BR1756" t="s">
        <v>84</v>
      </c>
      <c r="BS1756" s="3">
        <v>45793</v>
      </c>
      <c r="BT1756" s="4">
        <v>0.44513888888888886</v>
      </c>
      <c r="BU1756" t="s">
        <v>159</v>
      </c>
      <c r="BV1756" t="s">
        <v>86</v>
      </c>
      <c r="BY1756">
        <v>1200</v>
      </c>
      <c r="CA1756" t="s">
        <v>160</v>
      </c>
      <c r="CC1756" t="s">
        <v>80</v>
      </c>
      <c r="CD1756">
        <v>3610</v>
      </c>
      <c r="CE1756" t="s">
        <v>88</v>
      </c>
      <c r="CF1756" s="3">
        <v>45796</v>
      </c>
      <c r="CI1756">
        <v>1</v>
      </c>
      <c r="CJ1756">
        <v>1</v>
      </c>
      <c r="CK1756">
        <v>21</v>
      </c>
      <c r="CL1756" t="s">
        <v>89</v>
      </c>
    </row>
    <row r="1757" spans="1:90" x14ac:dyDescent="0.3">
      <c r="A1757" t="s">
        <v>72</v>
      </c>
      <c r="B1757" t="s">
        <v>73</v>
      </c>
      <c r="C1757" t="s">
        <v>74</v>
      </c>
      <c r="E1757" t="str">
        <f>"080065396425"</f>
        <v>080065396425</v>
      </c>
      <c r="F1757" s="3">
        <v>45792</v>
      </c>
      <c r="G1757">
        <v>202602</v>
      </c>
      <c r="H1757" t="s">
        <v>75</v>
      </c>
      <c r="I1757" t="s">
        <v>76</v>
      </c>
      <c r="J1757" t="s">
        <v>77</v>
      </c>
      <c r="K1757" t="s">
        <v>78</v>
      </c>
      <c r="L1757" t="s">
        <v>123</v>
      </c>
      <c r="M1757" t="s">
        <v>123</v>
      </c>
      <c r="N1757" t="s">
        <v>766</v>
      </c>
      <c r="O1757" t="s">
        <v>82</v>
      </c>
      <c r="P1757" t="str">
        <f>"4170038794                    "</f>
        <v xml:space="preserve">4170038794                    </v>
      </c>
      <c r="Q1757">
        <v>0</v>
      </c>
      <c r="R1757">
        <v>0</v>
      </c>
      <c r="S1757">
        <v>0</v>
      </c>
      <c r="T1757">
        <v>0</v>
      </c>
      <c r="U1757">
        <v>0</v>
      </c>
      <c r="V1757">
        <v>0</v>
      </c>
      <c r="W1757">
        <v>0</v>
      </c>
      <c r="X1757">
        <v>0</v>
      </c>
      <c r="Y1757">
        <v>0</v>
      </c>
      <c r="Z1757">
        <v>0</v>
      </c>
      <c r="AA1757">
        <v>0</v>
      </c>
      <c r="AB1757">
        <v>0</v>
      </c>
      <c r="AC1757">
        <v>0</v>
      </c>
      <c r="AD1757">
        <v>0</v>
      </c>
      <c r="AE1757">
        <v>0</v>
      </c>
      <c r="AF1757">
        <v>0</v>
      </c>
      <c r="AG1757">
        <v>0</v>
      </c>
      <c r="AH1757">
        <v>0</v>
      </c>
      <c r="AI1757">
        <v>0</v>
      </c>
      <c r="AJ1757">
        <v>0</v>
      </c>
      <c r="AK1757">
        <v>0</v>
      </c>
      <c r="AL1757">
        <v>0</v>
      </c>
      <c r="AM1757">
        <v>0</v>
      </c>
      <c r="AN1757">
        <v>0</v>
      </c>
      <c r="AO1757">
        <v>0</v>
      </c>
      <c r="AP1757">
        <v>0</v>
      </c>
      <c r="AQ1757">
        <v>41.43</v>
      </c>
      <c r="AR1757">
        <v>0</v>
      </c>
      <c r="AS1757">
        <v>0</v>
      </c>
      <c r="AT1757">
        <v>0</v>
      </c>
      <c r="AU1757">
        <v>0</v>
      </c>
      <c r="AV1757">
        <v>0</v>
      </c>
      <c r="AW1757">
        <v>0</v>
      </c>
      <c r="AX1757">
        <v>0</v>
      </c>
      <c r="AY1757">
        <v>0</v>
      </c>
      <c r="AZ1757">
        <v>0</v>
      </c>
      <c r="BA1757">
        <v>0</v>
      </c>
      <c r="BB1757">
        <v>0</v>
      </c>
      <c r="BC1757">
        <v>0</v>
      </c>
      <c r="BD1757">
        <v>0</v>
      </c>
      <c r="BE1757">
        <v>0</v>
      </c>
      <c r="BF1757">
        <v>0</v>
      </c>
      <c r="BG1757">
        <v>0</v>
      </c>
      <c r="BH1757">
        <v>1</v>
      </c>
      <c r="BI1757">
        <v>1</v>
      </c>
      <c r="BJ1757">
        <v>0.2</v>
      </c>
      <c r="BK1757">
        <v>1</v>
      </c>
      <c r="BL1757">
        <v>135.59</v>
      </c>
      <c r="BM1757">
        <v>20.34</v>
      </c>
      <c r="BN1757">
        <v>155.93</v>
      </c>
      <c r="BO1757">
        <v>155.93</v>
      </c>
      <c r="BQ1757" t="s">
        <v>767</v>
      </c>
      <c r="BR1757" t="s">
        <v>84</v>
      </c>
      <c r="BS1757" s="3">
        <v>45793</v>
      </c>
      <c r="BT1757" s="4">
        <v>0.53263888888888888</v>
      </c>
      <c r="BU1757" t="s">
        <v>768</v>
      </c>
      <c r="BV1757" t="s">
        <v>86</v>
      </c>
      <c r="BY1757">
        <v>1200</v>
      </c>
      <c r="CA1757" t="s">
        <v>128</v>
      </c>
      <c r="CC1757" t="s">
        <v>123</v>
      </c>
      <c r="CD1757">
        <v>7646</v>
      </c>
      <c r="CE1757" t="s">
        <v>88</v>
      </c>
      <c r="CF1757" s="3">
        <v>45796</v>
      </c>
      <c r="CI1757">
        <v>1</v>
      </c>
      <c r="CJ1757">
        <v>1</v>
      </c>
      <c r="CK1757">
        <v>23</v>
      </c>
      <c r="CL1757" t="s">
        <v>89</v>
      </c>
    </row>
    <row r="1758" spans="1:90" x14ac:dyDescent="0.3">
      <c r="A1758" t="s">
        <v>72</v>
      </c>
      <c r="B1758" t="s">
        <v>73</v>
      </c>
      <c r="C1758" t="s">
        <v>74</v>
      </c>
      <c r="E1758" t="str">
        <f>"080065396437"</f>
        <v>080065396437</v>
      </c>
      <c r="F1758" s="3">
        <v>45792</v>
      </c>
      <c r="G1758">
        <v>202602</v>
      </c>
      <c r="H1758" t="s">
        <v>75</v>
      </c>
      <c r="I1758" t="s">
        <v>76</v>
      </c>
      <c r="J1758" t="s">
        <v>77</v>
      </c>
      <c r="K1758" t="s">
        <v>78</v>
      </c>
      <c r="L1758" t="s">
        <v>103</v>
      </c>
      <c r="M1758" t="s">
        <v>104</v>
      </c>
      <c r="N1758" t="s">
        <v>105</v>
      </c>
      <c r="O1758" t="s">
        <v>82</v>
      </c>
      <c r="P1758" t="str">
        <f>"4170038835                    "</f>
        <v xml:space="preserve">4170038835                    </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c r="AJ1758">
        <v>0</v>
      </c>
      <c r="AK1758">
        <v>0</v>
      </c>
      <c r="AL1758">
        <v>0</v>
      </c>
      <c r="AM1758">
        <v>0</v>
      </c>
      <c r="AN1758">
        <v>0</v>
      </c>
      <c r="AO1758">
        <v>0</v>
      </c>
      <c r="AP1758">
        <v>0</v>
      </c>
      <c r="AQ1758">
        <v>53.43</v>
      </c>
      <c r="AR1758">
        <v>0</v>
      </c>
      <c r="AS1758">
        <v>0</v>
      </c>
      <c r="AT1758">
        <v>0</v>
      </c>
      <c r="AU1758">
        <v>0</v>
      </c>
      <c r="AV1758">
        <v>0</v>
      </c>
      <c r="AW1758">
        <v>0</v>
      </c>
      <c r="AX1758">
        <v>0</v>
      </c>
      <c r="AY1758">
        <v>0</v>
      </c>
      <c r="AZ1758">
        <v>0</v>
      </c>
      <c r="BA1758">
        <v>0</v>
      </c>
      <c r="BB1758">
        <v>0</v>
      </c>
      <c r="BC1758">
        <v>0</v>
      </c>
      <c r="BD1758">
        <v>0</v>
      </c>
      <c r="BE1758">
        <v>0</v>
      </c>
      <c r="BF1758">
        <v>0</v>
      </c>
      <c r="BG1758">
        <v>0</v>
      </c>
      <c r="BH1758">
        <v>1</v>
      </c>
      <c r="BI1758">
        <v>5</v>
      </c>
      <c r="BJ1758">
        <v>2.2000000000000002</v>
      </c>
      <c r="BK1758">
        <v>5</v>
      </c>
      <c r="BL1758">
        <v>174.87</v>
      </c>
      <c r="BM1758">
        <v>26.23</v>
      </c>
      <c r="BN1758">
        <v>201.1</v>
      </c>
      <c r="BO1758">
        <v>201.1</v>
      </c>
      <c r="BQ1758" t="s">
        <v>106</v>
      </c>
      <c r="BR1758" t="s">
        <v>84</v>
      </c>
      <c r="BS1758" s="3">
        <v>45793</v>
      </c>
      <c r="BT1758" s="4">
        <v>0.47916666666666669</v>
      </c>
      <c r="BU1758" t="s">
        <v>2321</v>
      </c>
      <c r="BV1758" t="s">
        <v>86</v>
      </c>
      <c r="BY1758">
        <v>10868</v>
      </c>
      <c r="CC1758" t="s">
        <v>104</v>
      </c>
      <c r="CD1758">
        <v>3201</v>
      </c>
      <c r="CE1758" t="s">
        <v>96</v>
      </c>
      <c r="CF1758" s="3">
        <v>45794</v>
      </c>
      <c r="CI1758">
        <v>1</v>
      </c>
      <c r="CJ1758">
        <v>1</v>
      </c>
      <c r="CK1758">
        <v>21</v>
      </c>
      <c r="CL1758" t="s">
        <v>89</v>
      </c>
    </row>
    <row r="1759" spans="1:90" x14ac:dyDescent="0.3">
      <c r="A1759" t="s">
        <v>72</v>
      </c>
      <c r="B1759" t="s">
        <v>73</v>
      </c>
      <c r="C1759" t="s">
        <v>74</v>
      </c>
      <c r="E1759" t="str">
        <f>"080065396446"</f>
        <v>080065396446</v>
      </c>
      <c r="F1759" s="3">
        <v>45792</v>
      </c>
      <c r="G1759">
        <v>202602</v>
      </c>
      <c r="H1759" t="s">
        <v>75</v>
      </c>
      <c r="I1759" t="s">
        <v>76</v>
      </c>
      <c r="J1759" t="s">
        <v>77</v>
      </c>
      <c r="K1759" t="s">
        <v>78</v>
      </c>
      <c r="L1759" t="s">
        <v>130</v>
      </c>
      <c r="M1759" t="s">
        <v>131</v>
      </c>
      <c r="N1759" t="s">
        <v>1066</v>
      </c>
      <c r="O1759" t="s">
        <v>82</v>
      </c>
      <c r="P1759" t="str">
        <f>"4170038733                    "</f>
        <v xml:space="preserve">4170038733                    </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0</v>
      </c>
      <c r="AK1759">
        <v>0</v>
      </c>
      <c r="AL1759">
        <v>0</v>
      </c>
      <c r="AM1759">
        <v>0</v>
      </c>
      <c r="AN1759">
        <v>0</v>
      </c>
      <c r="AO1759">
        <v>0</v>
      </c>
      <c r="AP1759">
        <v>0</v>
      </c>
      <c r="AQ1759">
        <v>21.38</v>
      </c>
      <c r="AR1759">
        <v>0</v>
      </c>
      <c r="AS1759">
        <v>0</v>
      </c>
      <c r="AT1759">
        <v>0</v>
      </c>
      <c r="AU1759">
        <v>0</v>
      </c>
      <c r="AV1759">
        <v>0</v>
      </c>
      <c r="AW1759">
        <v>0</v>
      </c>
      <c r="AX1759">
        <v>0</v>
      </c>
      <c r="AY1759">
        <v>0</v>
      </c>
      <c r="AZ1759">
        <v>0</v>
      </c>
      <c r="BA1759">
        <v>0</v>
      </c>
      <c r="BB1759">
        <v>0</v>
      </c>
      <c r="BC1759">
        <v>0</v>
      </c>
      <c r="BD1759">
        <v>0</v>
      </c>
      <c r="BE1759">
        <v>0</v>
      </c>
      <c r="BF1759">
        <v>0</v>
      </c>
      <c r="BG1759">
        <v>0</v>
      </c>
      <c r="BH1759">
        <v>1</v>
      </c>
      <c r="BI1759">
        <v>1</v>
      </c>
      <c r="BJ1759">
        <v>0.2</v>
      </c>
      <c r="BK1759">
        <v>1</v>
      </c>
      <c r="BL1759">
        <v>69.98</v>
      </c>
      <c r="BM1759">
        <v>10.5</v>
      </c>
      <c r="BN1759">
        <v>80.48</v>
      </c>
      <c r="BO1759">
        <v>80.48</v>
      </c>
      <c r="BQ1759" t="s">
        <v>1067</v>
      </c>
      <c r="BR1759" t="s">
        <v>84</v>
      </c>
      <c r="BS1759" s="3">
        <v>45793</v>
      </c>
      <c r="BT1759" s="4">
        <v>0.4201388888888889</v>
      </c>
      <c r="BU1759" t="s">
        <v>1068</v>
      </c>
      <c r="BV1759" t="s">
        <v>86</v>
      </c>
      <c r="BY1759">
        <v>1200</v>
      </c>
      <c r="CA1759" t="s">
        <v>712</v>
      </c>
      <c r="CC1759" t="s">
        <v>131</v>
      </c>
      <c r="CD1759">
        <v>7561</v>
      </c>
      <c r="CE1759" t="s">
        <v>88</v>
      </c>
      <c r="CF1759" s="3">
        <v>45796</v>
      </c>
      <c r="CI1759">
        <v>1</v>
      </c>
      <c r="CJ1759">
        <v>1</v>
      </c>
      <c r="CK1759">
        <v>21</v>
      </c>
      <c r="CL1759" t="s">
        <v>89</v>
      </c>
    </row>
    <row r="1760" spans="1:90" x14ac:dyDescent="0.3">
      <c r="A1760" t="s">
        <v>72</v>
      </c>
      <c r="B1760" t="s">
        <v>73</v>
      </c>
      <c r="C1760" t="s">
        <v>74</v>
      </c>
      <c r="E1760" t="str">
        <f>"080065396465"</f>
        <v>080065396465</v>
      </c>
      <c r="F1760" s="3">
        <v>45792</v>
      </c>
      <c r="G1760">
        <v>202602</v>
      </c>
      <c r="H1760" t="s">
        <v>75</v>
      </c>
      <c r="I1760" t="s">
        <v>76</v>
      </c>
      <c r="J1760" t="s">
        <v>77</v>
      </c>
      <c r="K1760" t="s">
        <v>78</v>
      </c>
      <c r="L1760" t="s">
        <v>97</v>
      </c>
      <c r="M1760" t="s">
        <v>98</v>
      </c>
      <c r="N1760" t="s">
        <v>99</v>
      </c>
      <c r="O1760" t="s">
        <v>82</v>
      </c>
      <c r="P1760" t="str">
        <f>"4170038840                    "</f>
        <v xml:space="preserve">4170038840                    </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c r="AJ1760">
        <v>0</v>
      </c>
      <c r="AK1760">
        <v>0</v>
      </c>
      <c r="AL1760">
        <v>0</v>
      </c>
      <c r="AM1760">
        <v>0</v>
      </c>
      <c r="AN1760">
        <v>0</v>
      </c>
      <c r="AO1760">
        <v>0</v>
      </c>
      <c r="AP1760">
        <v>0</v>
      </c>
      <c r="AQ1760">
        <v>16.7</v>
      </c>
      <c r="AR1760">
        <v>0</v>
      </c>
      <c r="AS1760">
        <v>0</v>
      </c>
      <c r="AT1760">
        <v>0</v>
      </c>
      <c r="AU1760">
        <v>0</v>
      </c>
      <c r="AV1760">
        <v>0</v>
      </c>
      <c r="AW1760">
        <v>0</v>
      </c>
      <c r="AX1760">
        <v>0</v>
      </c>
      <c r="AY1760">
        <v>0</v>
      </c>
      <c r="AZ1760">
        <v>0</v>
      </c>
      <c r="BA1760">
        <v>0</v>
      </c>
      <c r="BB1760">
        <v>0</v>
      </c>
      <c r="BC1760">
        <v>0</v>
      </c>
      <c r="BD1760">
        <v>0</v>
      </c>
      <c r="BE1760">
        <v>0</v>
      </c>
      <c r="BF1760">
        <v>0</v>
      </c>
      <c r="BG1760">
        <v>0</v>
      </c>
      <c r="BH1760">
        <v>1</v>
      </c>
      <c r="BI1760">
        <v>1</v>
      </c>
      <c r="BJ1760">
        <v>0.2</v>
      </c>
      <c r="BK1760">
        <v>1</v>
      </c>
      <c r="BL1760">
        <v>54.66</v>
      </c>
      <c r="BM1760">
        <v>8.1999999999999993</v>
      </c>
      <c r="BN1760">
        <v>62.86</v>
      </c>
      <c r="BO1760">
        <v>62.86</v>
      </c>
      <c r="BQ1760" t="s">
        <v>100</v>
      </c>
      <c r="BR1760" t="s">
        <v>84</v>
      </c>
      <c r="BS1760" s="3">
        <v>45793</v>
      </c>
      <c r="BT1760" s="4">
        <v>0.37569444444444444</v>
      </c>
      <c r="BU1760" t="s">
        <v>1310</v>
      </c>
      <c r="BV1760" t="s">
        <v>86</v>
      </c>
      <c r="BY1760">
        <v>1200</v>
      </c>
      <c r="CA1760" t="s">
        <v>279</v>
      </c>
      <c r="CC1760" t="s">
        <v>98</v>
      </c>
      <c r="CD1760">
        <v>1459</v>
      </c>
      <c r="CE1760" t="s">
        <v>88</v>
      </c>
      <c r="CF1760" s="3">
        <v>45793</v>
      </c>
      <c r="CI1760">
        <v>1</v>
      </c>
      <c r="CJ1760">
        <v>1</v>
      </c>
      <c r="CK1760">
        <v>22</v>
      </c>
      <c r="CL1760" t="s">
        <v>89</v>
      </c>
    </row>
    <row r="1761" spans="1:90" x14ac:dyDescent="0.3">
      <c r="A1761" t="s">
        <v>72</v>
      </c>
      <c r="B1761" t="s">
        <v>73</v>
      </c>
      <c r="C1761" t="s">
        <v>74</v>
      </c>
      <c r="E1761" t="str">
        <f>"080065396507"</f>
        <v>080065396507</v>
      </c>
      <c r="F1761" s="3">
        <v>45792</v>
      </c>
      <c r="G1761">
        <v>202602</v>
      </c>
      <c r="H1761" t="s">
        <v>75</v>
      </c>
      <c r="I1761" t="s">
        <v>76</v>
      </c>
      <c r="J1761" t="s">
        <v>77</v>
      </c>
      <c r="K1761" t="s">
        <v>78</v>
      </c>
      <c r="L1761" t="s">
        <v>123</v>
      </c>
      <c r="M1761" t="s">
        <v>123</v>
      </c>
      <c r="N1761" t="s">
        <v>1877</v>
      </c>
      <c r="O1761" t="s">
        <v>82</v>
      </c>
      <c r="P1761" t="str">
        <f>"4170038887                    "</f>
        <v xml:space="preserve">4170038887                    </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0</v>
      </c>
      <c r="AJ1761">
        <v>0</v>
      </c>
      <c r="AK1761">
        <v>0</v>
      </c>
      <c r="AL1761">
        <v>0</v>
      </c>
      <c r="AM1761">
        <v>0</v>
      </c>
      <c r="AN1761">
        <v>0</v>
      </c>
      <c r="AO1761">
        <v>0</v>
      </c>
      <c r="AP1761">
        <v>0</v>
      </c>
      <c r="AQ1761">
        <v>41.43</v>
      </c>
      <c r="AR1761">
        <v>0</v>
      </c>
      <c r="AS1761">
        <v>0</v>
      </c>
      <c r="AT1761">
        <v>0</v>
      </c>
      <c r="AU1761">
        <v>0</v>
      </c>
      <c r="AV1761">
        <v>0</v>
      </c>
      <c r="AW1761">
        <v>0</v>
      </c>
      <c r="AX1761">
        <v>0</v>
      </c>
      <c r="AY1761">
        <v>0</v>
      </c>
      <c r="AZ1761">
        <v>0</v>
      </c>
      <c r="BA1761">
        <v>0</v>
      </c>
      <c r="BB1761">
        <v>0</v>
      </c>
      <c r="BC1761">
        <v>0</v>
      </c>
      <c r="BD1761">
        <v>0</v>
      </c>
      <c r="BE1761">
        <v>0</v>
      </c>
      <c r="BF1761">
        <v>0</v>
      </c>
      <c r="BG1761">
        <v>0</v>
      </c>
      <c r="BH1761">
        <v>1</v>
      </c>
      <c r="BI1761">
        <v>1</v>
      </c>
      <c r="BJ1761">
        <v>0.2</v>
      </c>
      <c r="BK1761">
        <v>1</v>
      </c>
      <c r="BL1761">
        <v>135.59</v>
      </c>
      <c r="BM1761">
        <v>20.34</v>
      </c>
      <c r="BN1761">
        <v>155.93</v>
      </c>
      <c r="BO1761">
        <v>155.93</v>
      </c>
      <c r="BQ1761" t="s">
        <v>1878</v>
      </c>
      <c r="BR1761" t="s">
        <v>84</v>
      </c>
      <c r="BS1761" s="3">
        <v>45793</v>
      </c>
      <c r="BT1761" s="4">
        <v>0.5395833333333333</v>
      </c>
      <c r="BU1761" t="s">
        <v>2322</v>
      </c>
      <c r="BV1761" t="s">
        <v>86</v>
      </c>
      <c r="BY1761">
        <v>1200</v>
      </c>
      <c r="CA1761" t="s">
        <v>128</v>
      </c>
      <c r="CC1761" t="s">
        <v>123</v>
      </c>
      <c r="CD1761">
        <v>7646</v>
      </c>
      <c r="CE1761" t="s">
        <v>88</v>
      </c>
      <c r="CF1761" s="3">
        <v>45796</v>
      </c>
      <c r="CI1761">
        <v>1</v>
      </c>
      <c r="CJ1761">
        <v>1</v>
      </c>
      <c r="CK1761">
        <v>23</v>
      </c>
      <c r="CL1761" t="s">
        <v>89</v>
      </c>
    </row>
    <row r="1762" spans="1:90" x14ac:dyDescent="0.3">
      <c r="A1762" t="s">
        <v>72</v>
      </c>
      <c r="B1762" t="s">
        <v>73</v>
      </c>
      <c r="C1762" t="s">
        <v>74</v>
      </c>
      <c r="E1762" t="str">
        <f>"080065396508"</f>
        <v>080065396508</v>
      </c>
      <c r="F1762" s="3">
        <v>45792</v>
      </c>
      <c r="G1762">
        <v>202602</v>
      </c>
      <c r="H1762" t="s">
        <v>75</v>
      </c>
      <c r="I1762" t="s">
        <v>76</v>
      </c>
      <c r="J1762" t="s">
        <v>77</v>
      </c>
      <c r="K1762" t="s">
        <v>78</v>
      </c>
      <c r="L1762" t="s">
        <v>79</v>
      </c>
      <c r="M1762" t="s">
        <v>80</v>
      </c>
      <c r="N1762" t="s">
        <v>157</v>
      </c>
      <c r="O1762" t="s">
        <v>82</v>
      </c>
      <c r="P1762" t="str">
        <f>"4170038777                    "</f>
        <v xml:space="preserve">4170038777                    </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c r="AJ1762">
        <v>0</v>
      </c>
      <c r="AK1762">
        <v>0</v>
      </c>
      <c r="AL1762">
        <v>0</v>
      </c>
      <c r="AM1762">
        <v>0</v>
      </c>
      <c r="AN1762">
        <v>0</v>
      </c>
      <c r="AO1762">
        <v>0</v>
      </c>
      <c r="AP1762">
        <v>0</v>
      </c>
      <c r="AQ1762">
        <v>21.38</v>
      </c>
      <c r="AR1762">
        <v>0</v>
      </c>
      <c r="AS1762">
        <v>0</v>
      </c>
      <c r="AT1762">
        <v>0</v>
      </c>
      <c r="AU1762">
        <v>0</v>
      </c>
      <c r="AV1762">
        <v>0</v>
      </c>
      <c r="AW1762">
        <v>0</v>
      </c>
      <c r="AX1762">
        <v>0</v>
      </c>
      <c r="AY1762">
        <v>0</v>
      </c>
      <c r="AZ1762">
        <v>0</v>
      </c>
      <c r="BA1762">
        <v>0</v>
      </c>
      <c r="BB1762">
        <v>0</v>
      </c>
      <c r="BC1762">
        <v>0</v>
      </c>
      <c r="BD1762">
        <v>0</v>
      </c>
      <c r="BE1762">
        <v>0</v>
      </c>
      <c r="BF1762">
        <v>0</v>
      </c>
      <c r="BG1762">
        <v>0</v>
      </c>
      <c r="BH1762">
        <v>1</v>
      </c>
      <c r="BI1762">
        <v>1</v>
      </c>
      <c r="BJ1762">
        <v>0.2</v>
      </c>
      <c r="BK1762">
        <v>1</v>
      </c>
      <c r="BL1762">
        <v>69.98</v>
      </c>
      <c r="BM1762">
        <v>10.5</v>
      </c>
      <c r="BN1762">
        <v>80.48</v>
      </c>
      <c r="BO1762">
        <v>80.48</v>
      </c>
      <c r="BQ1762" t="s">
        <v>158</v>
      </c>
      <c r="BR1762" t="s">
        <v>84</v>
      </c>
      <c r="BS1762" s="3">
        <v>45793</v>
      </c>
      <c r="BT1762" s="4">
        <v>0.44513888888888886</v>
      </c>
      <c r="BU1762" t="s">
        <v>159</v>
      </c>
      <c r="BV1762" t="s">
        <v>86</v>
      </c>
      <c r="BY1762">
        <v>1200</v>
      </c>
      <c r="CA1762" t="s">
        <v>160</v>
      </c>
      <c r="CC1762" t="s">
        <v>80</v>
      </c>
      <c r="CD1762">
        <v>3610</v>
      </c>
      <c r="CE1762" t="s">
        <v>88</v>
      </c>
      <c r="CF1762" s="3">
        <v>45796</v>
      </c>
      <c r="CI1762">
        <v>1</v>
      </c>
      <c r="CJ1762">
        <v>1</v>
      </c>
      <c r="CK1762">
        <v>21</v>
      </c>
      <c r="CL1762" t="s">
        <v>89</v>
      </c>
    </row>
    <row r="1763" spans="1:90" x14ac:dyDescent="0.3">
      <c r="A1763" t="s">
        <v>72</v>
      </c>
      <c r="B1763" t="s">
        <v>73</v>
      </c>
      <c r="C1763" t="s">
        <v>74</v>
      </c>
      <c r="E1763" t="str">
        <f>"080065396481"</f>
        <v>080065396481</v>
      </c>
      <c r="F1763" s="3">
        <v>45792</v>
      </c>
      <c r="G1763">
        <v>202602</v>
      </c>
      <c r="H1763" t="s">
        <v>75</v>
      </c>
      <c r="I1763" t="s">
        <v>76</v>
      </c>
      <c r="J1763" t="s">
        <v>77</v>
      </c>
      <c r="K1763" t="s">
        <v>78</v>
      </c>
      <c r="L1763" t="s">
        <v>117</v>
      </c>
      <c r="M1763" t="s">
        <v>118</v>
      </c>
      <c r="N1763" t="s">
        <v>1679</v>
      </c>
      <c r="O1763" t="s">
        <v>82</v>
      </c>
      <c r="P1763" t="str">
        <f>"4170038834                    "</f>
        <v xml:space="preserve">4170038834                    </v>
      </c>
      <c r="Q1763">
        <v>0</v>
      </c>
      <c r="R1763">
        <v>0</v>
      </c>
      <c r="S1763">
        <v>0</v>
      </c>
      <c r="T1763">
        <v>0</v>
      </c>
      <c r="U1763">
        <v>0</v>
      </c>
      <c r="V1763">
        <v>0</v>
      </c>
      <c r="W1763">
        <v>0</v>
      </c>
      <c r="X1763">
        <v>0</v>
      </c>
      <c r="Y1763">
        <v>0</v>
      </c>
      <c r="Z1763">
        <v>0</v>
      </c>
      <c r="AA1763">
        <v>0</v>
      </c>
      <c r="AB1763">
        <v>0</v>
      </c>
      <c r="AC1763">
        <v>0</v>
      </c>
      <c r="AD1763">
        <v>0</v>
      </c>
      <c r="AE1763">
        <v>0</v>
      </c>
      <c r="AF1763">
        <v>0</v>
      </c>
      <c r="AG1763">
        <v>0</v>
      </c>
      <c r="AH1763">
        <v>0</v>
      </c>
      <c r="AI1763">
        <v>0</v>
      </c>
      <c r="AJ1763">
        <v>0</v>
      </c>
      <c r="AK1763">
        <v>0</v>
      </c>
      <c r="AL1763">
        <v>0</v>
      </c>
      <c r="AM1763">
        <v>0</v>
      </c>
      <c r="AN1763">
        <v>0</v>
      </c>
      <c r="AO1763">
        <v>0</v>
      </c>
      <c r="AP1763">
        <v>0</v>
      </c>
      <c r="AQ1763">
        <v>16.7</v>
      </c>
      <c r="AR1763">
        <v>0</v>
      </c>
      <c r="AS1763">
        <v>0</v>
      </c>
      <c r="AT1763">
        <v>0</v>
      </c>
      <c r="AU1763">
        <v>0</v>
      </c>
      <c r="AV1763">
        <v>0</v>
      </c>
      <c r="AW1763">
        <v>0</v>
      </c>
      <c r="AX1763">
        <v>0</v>
      </c>
      <c r="AY1763">
        <v>0</v>
      </c>
      <c r="AZ1763">
        <v>0</v>
      </c>
      <c r="BA1763">
        <v>0</v>
      </c>
      <c r="BB1763">
        <v>0</v>
      </c>
      <c r="BC1763">
        <v>0</v>
      </c>
      <c r="BD1763">
        <v>0</v>
      </c>
      <c r="BE1763">
        <v>0</v>
      </c>
      <c r="BF1763">
        <v>0</v>
      </c>
      <c r="BG1763">
        <v>0</v>
      </c>
      <c r="BH1763">
        <v>1</v>
      </c>
      <c r="BI1763">
        <v>1</v>
      </c>
      <c r="BJ1763">
        <v>0.2</v>
      </c>
      <c r="BK1763">
        <v>1</v>
      </c>
      <c r="BL1763">
        <v>54.66</v>
      </c>
      <c r="BM1763">
        <v>8.1999999999999993</v>
      </c>
      <c r="BN1763">
        <v>62.86</v>
      </c>
      <c r="BO1763">
        <v>62.86</v>
      </c>
      <c r="BQ1763" t="s">
        <v>1680</v>
      </c>
      <c r="BR1763" t="s">
        <v>84</v>
      </c>
      <c r="BS1763" s="3">
        <v>45797</v>
      </c>
      <c r="BT1763" s="4">
        <v>0.51041666666666663</v>
      </c>
      <c r="BU1763" t="s">
        <v>2323</v>
      </c>
      <c r="BV1763" t="s">
        <v>89</v>
      </c>
      <c r="BY1763">
        <v>1200</v>
      </c>
      <c r="CA1763" t="s">
        <v>2324</v>
      </c>
      <c r="CC1763" t="s">
        <v>118</v>
      </c>
      <c r="CD1763">
        <v>2092</v>
      </c>
      <c r="CE1763" t="s">
        <v>88</v>
      </c>
      <c r="CF1763" s="3">
        <v>45798</v>
      </c>
      <c r="CI1763">
        <v>1</v>
      </c>
      <c r="CJ1763">
        <v>3</v>
      </c>
      <c r="CK1763">
        <v>22</v>
      </c>
      <c r="CL1763" t="s">
        <v>89</v>
      </c>
    </row>
    <row r="1764" spans="1:90" x14ac:dyDescent="0.3">
      <c r="A1764" t="s">
        <v>72</v>
      </c>
      <c r="B1764" t="s">
        <v>73</v>
      </c>
      <c r="C1764" t="s">
        <v>74</v>
      </c>
      <c r="E1764" t="str">
        <f>"080065396496"</f>
        <v>080065396496</v>
      </c>
      <c r="F1764" s="3">
        <v>45792</v>
      </c>
      <c r="G1764">
        <v>202602</v>
      </c>
      <c r="H1764" t="s">
        <v>75</v>
      </c>
      <c r="I1764" t="s">
        <v>76</v>
      </c>
      <c r="J1764" t="s">
        <v>77</v>
      </c>
      <c r="K1764" t="s">
        <v>78</v>
      </c>
      <c r="L1764" t="s">
        <v>79</v>
      </c>
      <c r="M1764" t="s">
        <v>80</v>
      </c>
      <c r="N1764" t="s">
        <v>157</v>
      </c>
      <c r="O1764" t="s">
        <v>82</v>
      </c>
      <c r="P1764" t="str">
        <f>"4170038808                    "</f>
        <v xml:space="preserve">4170038808                    </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c r="AJ1764">
        <v>0</v>
      </c>
      <c r="AK1764">
        <v>0</v>
      </c>
      <c r="AL1764">
        <v>0</v>
      </c>
      <c r="AM1764">
        <v>0</v>
      </c>
      <c r="AN1764">
        <v>0</v>
      </c>
      <c r="AO1764">
        <v>0</v>
      </c>
      <c r="AP1764">
        <v>0</v>
      </c>
      <c r="AQ1764">
        <v>21.38</v>
      </c>
      <c r="AR1764">
        <v>0</v>
      </c>
      <c r="AS1764">
        <v>0</v>
      </c>
      <c r="AT1764">
        <v>0</v>
      </c>
      <c r="AU1764">
        <v>0</v>
      </c>
      <c r="AV1764">
        <v>0</v>
      </c>
      <c r="AW1764">
        <v>0</v>
      </c>
      <c r="AX1764">
        <v>0</v>
      </c>
      <c r="AY1764">
        <v>0</v>
      </c>
      <c r="AZ1764">
        <v>0</v>
      </c>
      <c r="BA1764">
        <v>0</v>
      </c>
      <c r="BB1764">
        <v>0</v>
      </c>
      <c r="BC1764">
        <v>0</v>
      </c>
      <c r="BD1764">
        <v>0</v>
      </c>
      <c r="BE1764">
        <v>0</v>
      </c>
      <c r="BF1764">
        <v>0</v>
      </c>
      <c r="BG1764">
        <v>0</v>
      </c>
      <c r="BH1764">
        <v>1</v>
      </c>
      <c r="BI1764">
        <v>1</v>
      </c>
      <c r="BJ1764">
        <v>0.2</v>
      </c>
      <c r="BK1764">
        <v>1</v>
      </c>
      <c r="BL1764">
        <v>69.98</v>
      </c>
      <c r="BM1764">
        <v>10.5</v>
      </c>
      <c r="BN1764">
        <v>80.48</v>
      </c>
      <c r="BO1764">
        <v>80.48</v>
      </c>
      <c r="BQ1764" t="s">
        <v>158</v>
      </c>
      <c r="BR1764" t="s">
        <v>84</v>
      </c>
      <c r="BS1764" s="3">
        <v>45793</v>
      </c>
      <c r="BT1764" s="4">
        <v>0.44513888888888886</v>
      </c>
      <c r="BU1764" t="s">
        <v>159</v>
      </c>
      <c r="BV1764" t="s">
        <v>86</v>
      </c>
      <c r="BY1764">
        <v>1200</v>
      </c>
      <c r="CA1764" t="s">
        <v>160</v>
      </c>
      <c r="CC1764" t="s">
        <v>80</v>
      </c>
      <c r="CD1764">
        <v>3610</v>
      </c>
      <c r="CE1764" t="s">
        <v>88</v>
      </c>
      <c r="CF1764" s="3">
        <v>45796</v>
      </c>
      <c r="CI1764">
        <v>1</v>
      </c>
      <c r="CJ1764">
        <v>1</v>
      </c>
      <c r="CK1764">
        <v>21</v>
      </c>
      <c r="CL1764" t="s">
        <v>89</v>
      </c>
    </row>
    <row r="1765" spans="1:90" x14ac:dyDescent="0.3">
      <c r="A1765" t="s">
        <v>72</v>
      </c>
      <c r="B1765" t="s">
        <v>73</v>
      </c>
      <c r="C1765" t="s">
        <v>74</v>
      </c>
      <c r="E1765" t="str">
        <f>"080065396516"</f>
        <v>080065396516</v>
      </c>
      <c r="F1765" s="3">
        <v>45792</v>
      </c>
      <c r="G1765">
        <v>202602</v>
      </c>
      <c r="H1765" t="s">
        <v>75</v>
      </c>
      <c r="I1765" t="s">
        <v>76</v>
      </c>
      <c r="J1765" t="s">
        <v>77</v>
      </c>
      <c r="K1765" t="s">
        <v>78</v>
      </c>
      <c r="L1765" t="s">
        <v>97</v>
      </c>
      <c r="M1765" t="s">
        <v>98</v>
      </c>
      <c r="N1765" t="s">
        <v>2325</v>
      </c>
      <c r="O1765" t="s">
        <v>82</v>
      </c>
      <c r="P1765" t="str">
        <f>"4170038745                    "</f>
        <v xml:space="preserve">4170038745                    </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c r="AJ1765">
        <v>0</v>
      </c>
      <c r="AK1765">
        <v>0</v>
      </c>
      <c r="AL1765">
        <v>0</v>
      </c>
      <c r="AM1765">
        <v>0</v>
      </c>
      <c r="AN1765">
        <v>0</v>
      </c>
      <c r="AO1765">
        <v>0</v>
      </c>
      <c r="AP1765">
        <v>0</v>
      </c>
      <c r="AQ1765">
        <v>16.7</v>
      </c>
      <c r="AR1765">
        <v>0</v>
      </c>
      <c r="AS1765">
        <v>0</v>
      </c>
      <c r="AT1765">
        <v>0</v>
      </c>
      <c r="AU1765">
        <v>0</v>
      </c>
      <c r="AV1765">
        <v>0</v>
      </c>
      <c r="AW1765">
        <v>0</v>
      </c>
      <c r="AX1765">
        <v>0</v>
      </c>
      <c r="AY1765">
        <v>0</v>
      </c>
      <c r="AZ1765">
        <v>0</v>
      </c>
      <c r="BA1765">
        <v>0</v>
      </c>
      <c r="BB1765">
        <v>0</v>
      </c>
      <c r="BC1765">
        <v>0</v>
      </c>
      <c r="BD1765">
        <v>0</v>
      </c>
      <c r="BE1765">
        <v>0</v>
      </c>
      <c r="BF1765">
        <v>0</v>
      </c>
      <c r="BG1765">
        <v>0</v>
      </c>
      <c r="BH1765">
        <v>1</v>
      </c>
      <c r="BI1765">
        <v>1</v>
      </c>
      <c r="BJ1765">
        <v>0.2</v>
      </c>
      <c r="BK1765">
        <v>1</v>
      </c>
      <c r="BL1765">
        <v>54.66</v>
      </c>
      <c r="BM1765">
        <v>8.1999999999999993</v>
      </c>
      <c r="BN1765">
        <v>62.86</v>
      </c>
      <c r="BO1765">
        <v>62.86</v>
      </c>
      <c r="BQ1765" t="s">
        <v>2326</v>
      </c>
      <c r="BR1765" t="s">
        <v>84</v>
      </c>
      <c r="BS1765" s="3">
        <v>45793</v>
      </c>
      <c r="BT1765" s="4">
        <v>0.36805555555555558</v>
      </c>
      <c r="BU1765" t="s">
        <v>2327</v>
      </c>
      <c r="BV1765" t="s">
        <v>86</v>
      </c>
      <c r="BY1765">
        <v>1200</v>
      </c>
      <c r="CA1765" t="s">
        <v>279</v>
      </c>
      <c r="CC1765" t="s">
        <v>98</v>
      </c>
      <c r="CD1765">
        <v>1460</v>
      </c>
      <c r="CE1765" t="s">
        <v>88</v>
      </c>
      <c r="CF1765" s="3">
        <v>45793</v>
      </c>
      <c r="CI1765">
        <v>1</v>
      </c>
      <c r="CJ1765">
        <v>1</v>
      </c>
      <c r="CK1765">
        <v>22</v>
      </c>
      <c r="CL1765" t="s">
        <v>89</v>
      </c>
    </row>
    <row r="1766" spans="1:90" x14ac:dyDescent="0.3">
      <c r="A1766" t="s">
        <v>72</v>
      </c>
      <c r="B1766" t="s">
        <v>73</v>
      </c>
      <c r="C1766" t="s">
        <v>74</v>
      </c>
      <c r="E1766" t="str">
        <f>"080065396515"</f>
        <v>080065396515</v>
      </c>
      <c r="F1766" s="3">
        <v>45792</v>
      </c>
      <c r="G1766">
        <v>202602</v>
      </c>
      <c r="H1766" t="s">
        <v>75</v>
      </c>
      <c r="I1766" t="s">
        <v>76</v>
      </c>
      <c r="J1766" t="s">
        <v>77</v>
      </c>
      <c r="K1766" t="s">
        <v>78</v>
      </c>
      <c r="L1766" t="s">
        <v>123</v>
      </c>
      <c r="M1766" t="s">
        <v>123</v>
      </c>
      <c r="N1766" t="s">
        <v>593</v>
      </c>
      <c r="O1766" t="s">
        <v>82</v>
      </c>
      <c r="P1766" t="str">
        <f>"4170038857                    "</f>
        <v xml:space="preserve">4170038857                    </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c r="AJ1766">
        <v>0</v>
      </c>
      <c r="AK1766">
        <v>0</v>
      </c>
      <c r="AL1766">
        <v>0</v>
      </c>
      <c r="AM1766">
        <v>0</v>
      </c>
      <c r="AN1766">
        <v>0</v>
      </c>
      <c r="AO1766">
        <v>0</v>
      </c>
      <c r="AP1766">
        <v>0</v>
      </c>
      <c r="AQ1766">
        <v>41.43</v>
      </c>
      <c r="AR1766">
        <v>0</v>
      </c>
      <c r="AS1766">
        <v>0</v>
      </c>
      <c r="AT1766">
        <v>0</v>
      </c>
      <c r="AU1766">
        <v>0</v>
      </c>
      <c r="AV1766">
        <v>0</v>
      </c>
      <c r="AW1766">
        <v>0</v>
      </c>
      <c r="AX1766">
        <v>0</v>
      </c>
      <c r="AY1766">
        <v>0</v>
      </c>
      <c r="AZ1766">
        <v>0</v>
      </c>
      <c r="BA1766">
        <v>0</v>
      </c>
      <c r="BB1766">
        <v>0</v>
      </c>
      <c r="BC1766">
        <v>0</v>
      </c>
      <c r="BD1766">
        <v>0</v>
      </c>
      <c r="BE1766">
        <v>0</v>
      </c>
      <c r="BF1766">
        <v>0</v>
      </c>
      <c r="BG1766">
        <v>0</v>
      </c>
      <c r="BH1766">
        <v>1</v>
      </c>
      <c r="BI1766">
        <v>1</v>
      </c>
      <c r="BJ1766">
        <v>0.2</v>
      </c>
      <c r="BK1766">
        <v>1</v>
      </c>
      <c r="BL1766">
        <v>135.59</v>
      </c>
      <c r="BM1766">
        <v>20.34</v>
      </c>
      <c r="BN1766">
        <v>155.93</v>
      </c>
      <c r="BO1766">
        <v>155.93</v>
      </c>
      <c r="BQ1766" t="s">
        <v>594</v>
      </c>
      <c r="BR1766" t="s">
        <v>84</v>
      </c>
      <c r="BS1766" s="3">
        <v>45793</v>
      </c>
      <c r="BT1766" s="4">
        <v>0.54027777777777775</v>
      </c>
      <c r="BU1766" t="s">
        <v>2328</v>
      </c>
      <c r="BV1766" t="s">
        <v>86</v>
      </c>
      <c r="BY1766">
        <v>1200</v>
      </c>
      <c r="CA1766" t="s">
        <v>128</v>
      </c>
      <c r="CC1766" t="s">
        <v>123</v>
      </c>
      <c r="CD1766">
        <v>7646</v>
      </c>
      <c r="CE1766" t="s">
        <v>88</v>
      </c>
      <c r="CF1766" s="3">
        <v>45796</v>
      </c>
      <c r="CI1766">
        <v>1</v>
      </c>
      <c r="CJ1766">
        <v>1</v>
      </c>
      <c r="CK1766">
        <v>23</v>
      </c>
      <c r="CL1766" t="s">
        <v>89</v>
      </c>
    </row>
    <row r="1767" spans="1:90" x14ac:dyDescent="0.3">
      <c r="A1767" t="s">
        <v>72</v>
      </c>
      <c r="B1767" t="s">
        <v>73</v>
      </c>
      <c r="C1767" t="s">
        <v>74</v>
      </c>
      <c r="E1767" t="str">
        <f>"080065396527"</f>
        <v>080065396527</v>
      </c>
      <c r="F1767" s="3">
        <v>45792</v>
      </c>
      <c r="G1767">
        <v>202602</v>
      </c>
      <c r="H1767" t="s">
        <v>75</v>
      </c>
      <c r="I1767" t="s">
        <v>76</v>
      </c>
      <c r="J1767" t="s">
        <v>77</v>
      </c>
      <c r="K1767" t="s">
        <v>78</v>
      </c>
      <c r="L1767" t="s">
        <v>360</v>
      </c>
      <c r="M1767" t="s">
        <v>361</v>
      </c>
      <c r="N1767" t="s">
        <v>362</v>
      </c>
      <c r="O1767" t="s">
        <v>82</v>
      </c>
      <c r="P1767" t="str">
        <f>"4170038858                    "</f>
        <v xml:space="preserve">4170038858                    </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0</v>
      </c>
      <c r="AK1767">
        <v>0</v>
      </c>
      <c r="AL1767">
        <v>0</v>
      </c>
      <c r="AM1767">
        <v>0</v>
      </c>
      <c r="AN1767">
        <v>0</v>
      </c>
      <c r="AO1767">
        <v>0</v>
      </c>
      <c r="AP1767">
        <v>0</v>
      </c>
      <c r="AQ1767">
        <v>41.43</v>
      </c>
      <c r="AR1767">
        <v>0</v>
      </c>
      <c r="AS1767">
        <v>0</v>
      </c>
      <c r="AT1767">
        <v>0</v>
      </c>
      <c r="AU1767">
        <v>0</v>
      </c>
      <c r="AV1767">
        <v>0</v>
      </c>
      <c r="AW1767">
        <v>0</v>
      </c>
      <c r="AX1767">
        <v>0</v>
      </c>
      <c r="AY1767">
        <v>0</v>
      </c>
      <c r="AZ1767">
        <v>0</v>
      </c>
      <c r="BA1767">
        <v>0</v>
      </c>
      <c r="BB1767">
        <v>0</v>
      </c>
      <c r="BC1767">
        <v>0</v>
      </c>
      <c r="BD1767">
        <v>0</v>
      </c>
      <c r="BE1767">
        <v>0</v>
      </c>
      <c r="BF1767">
        <v>0</v>
      </c>
      <c r="BG1767">
        <v>0</v>
      </c>
      <c r="BH1767">
        <v>1</v>
      </c>
      <c r="BI1767">
        <v>1</v>
      </c>
      <c r="BJ1767">
        <v>0.2</v>
      </c>
      <c r="BK1767">
        <v>1</v>
      </c>
      <c r="BL1767">
        <v>135.59</v>
      </c>
      <c r="BM1767">
        <v>20.34</v>
      </c>
      <c r="BN1767">
        <v>155.93</v>
      </c>
      <c r="BO1767">
        <v>155.93</v>
      </c>
      <c r="BQ1767" t="s">
        <v>363</v>
      </c>
      <c r="BR1767" t="s">
        <v>84</v>
      </c>
      <c r="BS1767" s="3">
        <v>45793</v>
      </c>
      <c r="BT1767" s="4">
        <v>0.66666666666666663</v>
      </c>
      <c r="BU1767" t="s">
        <v>1246</v>
      </c>
      <c r="BV1767" t="s">
        <v>86</v>
      </c>
      <c r="BY1767">
        <v>1200</v>
      </c>
      <c r="CA1767" t="s">
        <v>365</v>
      </c>
      <c r="CC1767" t="s">
        <v>361</v>
      </c>
      <c r="CD1767">
        <v>7300</v>
      </c>
      <c r="CE1767" t="s">
        <v>88</v>
      </c>
      <c r="CF1767" s="3">
        <v>45796</v>
      </c>
      <c r="CI1767">
        <v>1</v>
      </c>
      <c r="CJ1767">
        <v>1</v>
      </c>
      <c r="CK1767">
        <v>23</v>
      </c>
      <c r="CL1767" t="s">
        <v>89</v>
      </c>
    </row>
    <row r="1768" spans="1:90" x14ac:dyDescent="0.3">
      <c r="A1768" t="s">
        <v>72</v>
      </c>
      <c r="B1768" t="s">
        <v>73</v>
      </c>
      <c r="C1768" t="s">
        <v>74</v>
      </c>
      <c r="E1768" t="str">
        <f>"080065396538"</f>
        <v>080065396538</v>
      </c>
      <c r="F1768" s="3">
        <v>45792</v>
      </c>
      <c r="G1768">
        <v>202602</v>
      </c>
      <c r="H1768" t="s">
        <v>75</v>
      </c>
      <c r="I1768" t="s">
        <v>76</v>
      </c>
      <c r="J1768" t="s">
        <v>77</v>
      </c>
      <c r="K1768" t="s">
        <v>78</v>
      </c>
      <c r="L1768" t="s">
        <v>350</v>
      </c>
      <c r="M1768" t="s">
        <v>351</v>
      </c>
      <c r="N1768" t="s">
        <v>459</v>
      </c>
      <c r="O1768" t="s">
        <v>82</v>
      </c>
      <c r="P1768" t="str">
        <f>"4170038846                    "</f>
        <v xml:space="preserve">4170038846                    </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0</v>
      </c>
      <c r="AK1768">
        <v>0</v>
      </c>
      <c r="AL1768">
        <v>0</v>
      </c>
      <c r="AM1768">
        <v>0</v>
      </c>
      <c r="AN1768">
        <v>0</v>
      </c>
      <c r="AO1768">
        <v>0</v>
      </c>
      <c r="AP1768">
        <v>0</v>
      </c>
      <c r="AQ1768">
        <v>21.38</v>
      </c>
      <c r="AR1768">
        <v>0</v>
      </c>
      <c r="AS1768">
        <v>0</v>
      </c>
      <c r="AT1768">
        <v>0</v>
      </c>
      <c r="AU1768">
        <v>0</v>
      </c>
      <c r="AV1768">
        <v>0</v>
      </c>
      <c r="AW1768">
        <v>0</v>
      </c>
      <c r="AX1768">
        <v>0</v>
      </c>
      <c r="AY1768">
        <v>0</v>
      </c>
      <c r="AZ1768">
        <v>0</v>
      </c>
      <c r="BA1768">
        <v>0</v>
      </c>
      <c r="BB1768">
        <v>0</v>
      </c>
      <c r="BC1768">
        <v>0</v>
      </c>
      <c r="BD1768">
        <v>0</v>
      </c>
      <c r="BE1768">
        <v>0</v>
      </c>
      <c r="BF1768">
        <v>0</v>
      </c>
      <c r="BG1768">
        <v>0</v>
      </c>
      <c r="BH1768">
        <v>1</v>
      </c>
      <c r="BI1768">
        <v>1</v>
      </c>
      <c r="BJ1768">
        <v>0.2</v>
      </c>
      <c r="BK1768">
        <v>1</v>
      </c>
      <c r="BL1768">
        <v>69.98</v>
      </c>
      <c r="BM1768">
        <v>10.5</v>
      </c>
      <c r="BN1768">
        <v>80.48</v>
      </c>
      <c r="BO1768">
        <v>80.48</v>
      </c>
      <c r="BQ1768" t="s">
        <v>460</v>
      </c>
      <c r="BR1768" t="s">
        <v>84</v>
      </c>
      <c r="BS1768" s="3">
        <v>45793</v>
      </c>
      <c r="BT1768" s="4">
        <v>0.33680555555555558</v>
      </c>
      <c r="BU1768" t="s">
        <v>2258</v>
      </c>
      <c r="BV1768" t="s">
        <v>86</v>
      </c>
      <c r="BY1768">
        <v>1200</v>
      </c>
      <c r="CA1768" t="s">
        <v>462</v>
      </c>
      <c r="CC1768" t="s">
        <v>351</v>
      </c>
      <c r="CD1768">
        <v>4051</v>
      </c>
      <c r="CE1768" t="s">
        <v>88</v>
      </c>
      <c r="CF1768" s="3">
        <v>45794</v>
      </c>
      <c r="CI1768">
        <v>1</v>
      </c>
      <c r="CJ1768">
        <v>1</v>
      </c>
      <c r="CK1768">
        <v>21</v>
      </c>
      <c r="CL1768" t="s">
        <v>89</v>
      </c>
    </row>
    <row r="1769" spans="1:90" x14ac:dyDescent="0.3">
      <c r="A1769" t="s">
        <v>72</v>
      </c>
      <c r="B1769" t="s">
        <v>73</v>
      </c>
      <c r="C1769" t="s">
        <v>74</v>
      </c>
      <c r="E1769" t="str">
        <f>"080065396547"</f>
        <v>080065396547</v>
      </c>
      <c r="F1769" s="3">
        <v>45792</v>
      </c>
      <c r="G1769">
        <v>202602</v>
      </c>
      <c r="H1769" t="s">
        <v>75</v>
      </c>
      <c r="I1769" t="s">
        <v>76</v>
      </c>
      <c r="J1769" t="s">
        <v>77</v>
      </c>
      <c r="K1769" t="s">
        <v>78</v>
      </c>
      <c r="L1769" t="s">
        <v>350</v>
      </c>
      <c r="M1769" t="s">
        <v>351</v>
      </c>
      <c r="N1769" t="s">
        <v>459</v>
      </c>
      <c r="O1769" t="s">
        <v>82</v>
      </c>
      <c r="P1769" t="str">
        <f>"4170038843                    "</f>
        <v xml:space="preserve">4170038843                    </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c r="AI1769">
        <v>0</v>
      </c>
      <c r="AJ1769">
        <v>0</v>
      </c>
      <c r="AK1769">
        <v>0</v>
      </c>
      <c r="AL1769">
        <v>0</v>
      </c>
      <c r="AM1769">
        <v>0</v>
      </c>
      <c r="AN1769">
        <v>0</v>
      </c>
      <c r="AO1769">
        <v>0</v>
      </c>
      <c r="AP1769">
        <v>0</v>
      </c>
      <c r="AQ1769">
        <v>21.38</v>
      </c>
      <c r="AR1769">
        <v>0</v>
      </c>
      <c r="AS1769">
        <v>0</v>
      </c>
      <c r="AT1769">
        <v>0</v>
      </c>
      <c r="AU1769">
        <v>0</v>
      </c>
      <c r="AV1769">
        <v>0</v>
      </c>
      <c r="AW1769">
        <v>0</v>
      </c>
      <c r="AX1769">
        <v>0</v>
      </c>
      <c r="AY1769">
        <v>0</v>
      </c>
      <c r="AZ1769">
        <v>0</v>
      </c>
      <c r="BA1769">
        <v>0</v>
      </c>
      <c r="BB1769">
        <v>0</v>
      </c>
      <c r="BC1769">
        <v>0</v>
      </c>
      <c r="BD1769">
        <v>0</v>
      </c>
      <c r="BE1769">
        <v>0</v>
      </c>
      <c r="BF1769">
        <v>0</v>
      </c>
      <c r="BG1769">
        <v>0</v>
      </c>
      <c r="BH1769">
        <v>1</v>
      </c>
      <c r="BI1769">
        <v>1</v>
      </c>
      <c r="BJ1769">
        <v>0.2</v>
      </c>
      <c r="BK1769">
        <v>1</v>
      </c>
      <c r="BL1769">
        <v>69.98</v>
      </c>
      <c r="BM1769">
        <v>10.5</v>
      </c>
      <c r="BN1769">
        <v>80.48</v>
      </c>
      <c r="BO1769">
        <v>80.48</v>
      </c>
      <c r="BQ1769" t="s">
        <v>460</v>
      </c>
      <c r="BR1769" t="s">
        <v>84</v>
      </c>
      <c r="BS1769" s="3">
        <v>45793</v>
      </c>
      <c r="BT1769" s="4">
        <v>0.33680555555555558</v>
      </c>
      <c r="BU1769" t="s">
        <v>2258</v>
      </c>
      <c r="BV1769" t="s">
        <v>86</v>
      </c>
      <c r="BY1769">
        <v>1200</v>
      </c>
      <c r="CA1769" t="s">
        <v>462</v>
      </c>
      <c r="CC1769" t="s">
        <v>351</v>
      </c>
      <c r="CD1769">
        <v>4051</v>
      </c>
      <c r="CE1769" t="s">
        <v>2329</v>
      </c>
      <c r="CF1769" s="3">
        <v>45794</v>
      </c>
      <c r="CI1769">
        <v>1</v>
      </c>
      <c r="CJ1769">
        <v>1</v>
      </c>
      <c r="CK1769">
        <v>21</v>
      </c>
      <c r="CL1769" t="s">
        <v>89</v>
      </c>
    </row>
    <row r="1770" spans="1:90" x14ac:dyDescent="0.3">
      <c r="A1770" t="s">
        <v>72</v>
      </c>
      <c r="B1770" t="s">
        <v>73</v>
      </c>
      <c r="C1770" t="s">
        <v>74</v>
      </c>
      <c r="E1770" t="str">
        <f>"080065396577"</f>
        <v>080065396577</v>
      </c>
      <c r="F1770" s="3">
        <v>45792</v>
      </c>
      <c r="G1770">
        <v>202602</v>
      </c>
      <c r="H1770" t="s">
        <v>75</v>
      </c>
      <c r="I1770" t="s">
        <v>76</v>
      </c>
      <c r="J1770" t="s">
        <v>77</v>
      </c>
      <c r="K1770" t="s">
        <v>78</v>
      </c>
      <c r="L1770" t="s">
        <v>755</v>
      </c>
      <c r="M1770" t="s">
        <v>756</v>
      </c>
      <c r="N1770" t="s">
        <v>2330</v>
      </c>
      <c r="O1770" t="s">
        <v>82</v>
      </c>
      <c r="P1770" t="str">
        <f>"4170038755                    "</f>
        <v xml:space="preserve">4170038755                    </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c r="AJ1770">
        <v>0</v>
      </c>
      <c r="AK1770">
        <v>0</v>
      </c>
      <c r="AL1770">
        <v>0</v>
      </c>
      <c r="AM1770">
        <v>0</v>
      </c>
      <c r="AN1770">
        <v>0</v>
      </c>
      <c r="AO1770">
        <v>0</v>
      </c>
      <c r="AP1770">
        <v>0</v>
      </c>
      <c r="AQ1770">
        <v>16.7</v>
      </c>
      <c r="AR1770">
        <v>0</v>
      </c>
      <c r="AS1770">
        <v>0</v>
      </c>
      <c r="AT1770">
        <v>0</v>
      </c>
      <c r="AU1770">
        <v>0</v>
      </c>
      <c r="AV1770">
        <v>0</v>
      </c>
      <c r="AW1770">
        <v>0</v>
      </c>
      <c r="AX1770">
        <v>0</v>
      </c>
      <c r="AY1770">
        <v>0</v>
      </c>
      <c r="AZ1770">
        <v>0</v>
      </c>
      <c r="BA1770">
        <v>0</v>
      </c>
      <c r="BB1770">
        <v>0</v>
      </c>
      <c r="BC1770">
        <v>0</v>
      </c>
      <c r="BD1770">
        <v>0</v>
      </c>
      <c r="BE1770">
        <v>0</v>
      </c>
      <c r="BF1770">
        <v>0</v>
      </c>
      <c r="BG1770">
        <v>0</v>
      </c>
      <c r="BH1770">
        <v>1</v>
      </c>
      <c r="BI1770">
        <v>1</v>
      </c>
      <c r="BJ1770">
        <v>1.1000000000000001</v>
      </c>
      <c r="BK1770">
        <v>2</v>
      </c>
      <c r="BL1770">
        <v>54.66</v>
      </c>
      <c r="BM1770">
        <v>8.1999999999999993</v>
      </c>
      <c r="BN1770">
        <v>62.86</v>
      </c>
      <c r="BO1770">
        <v>62.86</v>
      </c>
      <c r="BQ1770" t="s">
        <v>2331</v>
      </c>
      <c r="BR1770" t="s">
        <v>84</v>
      </c>
      <c r="BS1770" s="3">
        <v>45793</v>
      </c>
      <c r="BT1770" s="4">
        <v>0.3888888888888889</v>
      </c>
      <c r="BU1770" t="s">
        <v>2332</v>
      </c>
      <c r="BV1770" t="s">
        <v>86</v>
      </c>
      <c r="BY1770">
        <v>5320</v>
      </c>
      <c r="CA1770" t="s">
        <v>246</v>
      </c>
      <c r="CC1770" t="s">
        <v>756</v>
      </c>
      <c r="CD1770">
        <v>1682</v>
      </c>
      <c r="CE1770" t="s">
        <v>96</v>
      </c>
      <c r="CF1770" s="3">
        <v>45793</v>
      </c>
      <c r="CI1770">
        <v>1</v>
      </c>
      <c r="CJ1770">
        <v>1</v>
      </c>
      <c r="CK1770">
        <v>22</v>
      </c>
      <c r="CL1770" t="s">
        <v>89</v>
      </c>
    </row>
    <row r="1771" spans="1:90" x14ac:dyDescent="0.3">
      <c r="A1771" t="s">
        <v>72</v>
      </c>
      <c r="B1771" t="s">
        <v>73</v>
      </c>
      <c r="C1771" t="s">
        <v>74</v>
      </c>
      <c r="E1771" t="str">
        <f>"080065396582"</f>
        <v>080065396582</v>
      </c>
      <c r="F1771" s="3">
        <v>45792</v>
      </c>
      <c r="G1771">
        <v>202602</v>
      </c>
      <c r="H1771" t="s">
        <v>75</v>
      </c>
      <c r="I1771" t="s">
        <v>76</v>
      </c>
      <c r="J1771" t="s">
        <v>77</v>
      </c>
      <c r="K1771" t="s">
        <v>78</v>
      </c>
      <c r="L1771" t="s">
        <v>130</v>
      </c>
      <c r="M1771" t="s">
        <v>131</v>
      </c>
      <c r="N1771" t="s">
        <v>343</v>
      </c>
      <c r="O1771" t="s">
        <v>300</v>
      </c>
      <c r="P1771" t="str">
        <f>"4170038769                    "</f>
        <v xml:space="preserve">4170038769                    </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c r="AI1771">
        <v>0</v>
      </c>
      <c r="AJ1771">
        <v>0</v>
      </c>
      <c r="AK1771">
        <v>0</v>
      </c>
      <c r="AL1771">
        <v>0</v>
      </c>
      <c r="AM1771">
        <v>0</v>
      </c>
      <c r="AN1771">
        <v>0</v>
      </c>
      <c r="AO1771">
        <v>0</v>
      </c>
      <c r="AP1771">
        <v>0</v>
      </c>
      <c r="AQ1771">
        <v>111.35</v>
      </c>
      <c r="AR1771">
        <v>0</v>
      </c>
      <c r="AS1771">
        <v>0</v>
      </c>
      <c r="AT1771">
        <v>0</v>
      </c>
      <c r="AU1771">
        <v>0</v>
      </c>
      <c r="AV1771">
        <v>0</v>
      </c>
      <c r="AW1771">
        <v>0</v>
      </c>
      <c r="AX1771">
        <v>0</v>
      </c>
      <c r="AY1771">
        <v>0</v>
      </c>
      <c r="AZ1771">
        <v>0</v>
      </c>
      <c r="BA1771">
        <v>0</v>
      </c>
      <c r="BB1771">
        <v>0</v>
      </c>
      <c r="BC1771">
        <v>0</v>
      </c>
      <c r="BD1771">
        <v>0</v>
      </c>
      <c r="BE1771">
        <v>0</v>
      </c>
      <c r="BF1771">
        <v>0</v>
      </c>
      <c r="BG1771">
        <v>0</v>
      </c>
      <c r="BH1771">
        <v>1</v>
      </c>
      <c r="BI1771">
        <v>56</v>
      </c>
      <c r="BJ1771">
        <v>43.2</v>
      </c>
      <c r="BK1771">
        <v>56</v>
      </c>
      <c r="BL1771">
        <v>369.98</v>
      </c>
      <c r="BM1771">
        <v>55.5</v>
      </c>
      <c r="BN1771">
        <v>425.48</v>
      </c>
      <c r="BO1771">
        <v>425.48</v>
      </c>
      <c r="BQ1771" t="s">
        <v>344</v>
      </c>
      <c r="BR1771" t="s">
        <v>84</v>
      </c>
      <c r="BS1771" s="3">
        <v>45797</v>
      </c>
      <c r="BT1771" s="4">
        <v>0.45</v>
      </c>
      <c r="BU1771" t="s">
        <v>2333</v>
      </c>
      <c r="BV1771" t="s">
        <v>86</v>
      </c>
      <c r="BY1771">
        <v>216000</v>
      </c>
      <c r="CA1771" t="s">
        <v>2334</v>
      </c>
      <c r="CC1771" t="s">
        <v>131</v>
      </c>
      <c r="CD1771">
        <v>7441</v>
      </c>
      <c r="CE1771" t="s">
        <v>546</v>
      </c>
      <c r="CF1771" s="3">
        <v>45798</v>
      </c>
      <c r="CI1771">
        <v>3</v>
      </c>
      <c r="CJ1771">
        <v>3</v>
      </c>
      <c r="CK1771">
        <v>41</v>
      </c>
      <c r="CL1771" t="s">
        <v>89</v>
      </c>
    </row>
    <row r="1772" spans="1:90" x14ac:dyDescent="0.3">
      <c r="A1772" t="s">
        <v>72</v>
      </c>
      <c r="B1772" t="s">
        <v>73</v>
      </c>
      <c r="C1772" t="s">
        <v>74</v>
      </c>
      <c r="E1772" t="str">
        <f>"080065396593"</f>
        <v>080065396593</v>
      </c>
      <c r="F1772" s="3">
        <v>45792</v>
      </c>
      <c r="G1772">
        <v>202602</v>
      </c>
      <c r="H1772" t="s">
        <v>75</v>
      </c>
      <c r="I1772" t="s">
        <v>76</v>
      </c>
      <c r="J1772" t="s">
        <v>77</v>
      </c>
      <c r="K1772" t="s">
        <v>78</v>
      </c>
      <c r="L1772" t="s">
        <v>567</v>
      </c>
      <c r="M1772" t="s">
        <v>568</v>
      </c>
      <c r="N1772" t="s">
        <v>1990</v>
      </c>
      <c r="O1772" t="s">
        <v>82</v>
      </c>
      <c r="P1772" t="str">
        <f>"4170038867                    "</f>
        <v xml:space="preserve">4170038867                    </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0</v>
      </c>
      <c r="AJ1772">
        <v>0</v>
      </c>
      <c r="AK1772">
        <v>0</v>
      </c>
      <c r="AL1772">
        <v>0</v>
      </c>
      <c r="AM1772">
        <v>0</v>
      </c>
      <c r="AN1772">
        <v>0</v>
      </c>
      <c r="AO1772">
        <v>0</v>
      </c>
      <c r="AP1772">
        <v>0</v>
      </c>
      <c r="AQ1772">
        <v>41.43</v>
      </c>
      <c r="AR1772">
        <v>0</v>
      </c>
      <c r="AS1772">
        <v>0</v>
      </c>
      <c r="AT1772">
        <v>0</v>
      </c>
      <c r="AU1772">
        <v>0</v>
      </c>
      <c r="AV1772">
        <v>0</v>
      </c>
      <c r="AW1772">
        <v>0</v>
      </c>
      <c r="AX1772">
        <v>0</v>
      </c>
      <c r="AY1772">
        <v>0</v>
      </c>
      <c r="AZ1772">
        <v>0</v>
      </c>
      <c r="BA1772">
        <v>0</v>
      </c>
      <c r="BB1772">
        <v>0</v>
      </c>
      <c r="BC1772">
        <v>0</v>
      </c>
      <c r="BD1772">
        <v>0</v>
      </c>
      <c r="BE1772">
        <v>0</v>
      </c>
      <c r="BF1772">
        <v>0</v>
      </c>
      <c r="BG1772">
        <v>0</v>
      </c>
      <c r="BH1772">
        <v>1</v>
      </c>
      <c r="BI1772">
        <v>2</v>
      </c>
      <c r="BJ1772">
        <v>1.5</v>
      </c>
      <c r="BK1772">
        <v>2</v>
      </c>
      <c r="BL1772">
        <v>135.59</v>
      </c>
      <c r="BM1772">
        <v>20.34</v>
      </c>
      <c r="BN1772">
        <v>155.93</v>
      </c>
      <c r="BO1772">
        <v>155.93</v>
      </c>
      <c r="BQ1772" t="s">
        <v>2335</v>
      </c>
      <c r="BR1772" t="s">
        <v>84</v>
      </c>
      <c r="BS1772" s="3">
        <v>45793</v>
      </c>
      <c r="BT1772" s="4">
        <v>0.43055555555555558</v>
      </c>
      <c r="BU1772" t="s">
        <v>2336</v>
      </c>
      <c r="BV1772" t="s">
        <v>86</v>
      </c>
      <c r="BY1772">
        <v>7600</v>
      </c>
      <c r="CC1772" t="s">
        <v>568</v>
      </c>
      <c r="CD1772" s="5" t="s">
        <v>573</v>
      </c>
      <c r="CE1772" t="s">
        <v>221</v>
      </c>
      <c r="CF1772" s="3">
        <v>45796</v>
      </c>
      <c r="CI1772">
        <v>1</v>
      </c>
      <c r="CJ1772">
        <v>1</v>
      </c>
      <c r="CK1772">
        <v>23</v>
      </c>
      <c r="CL1772" t="s">
        <v>89</v>
      </c>
    </row>
    <row r="1773" spans="1:90" x14ac:dyDescent="0.3">
      <c r="A1773" t="s">
        <v>72</v>
      </c>
      <c r="B1773" t="s">
        <v>73</v>
      </c>
      <c r="C1773" t="s">
        <v>74</v>
      </c>
      <c r="E1773" t="str">
        <f>"080065396599"</f>
        <v>080065396599</v>
      </c>
      <c r="F1773" s="3">
        <v>45792</v>
      </c>
      <c r="G1773">
        <v>202602</v>
      </c>
      <c r="H1773" t="s">
        <v>75</v>
      </c>
      <c r="I1773" t="s">
        <v>76</v>
      </c>
      <c r="J1773" t="s">
        <v>77</v>
      </c>
      <c r="K1773" t="s">
        <v>78</v>
      </c>
      <c r="L1773" t="s">
        <v>1214</v>
      </c>
      <c r="M1773" t="s">
        <v>1215</v>
      </c>
      <c r="N1773" t="s">
        <v>1216</v>
      </c>
      <c r="O1773" t="s">
        <v>82</v>
      </c>
      <c r="P1773" t="str">
        <f>"4170038734                    "</f>
        <v xml:space="preserve">4170038734                    </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0</v>
      </c>
      <c r="AK1773">
        <v>0</v>
      </c>
      <c r="AL1773">
        <v>0</v>
      </c>
      <c r="AM1773">
        <v>0</v>
      </c>
      <c r="AN1773">
        <v>0</v>
      </c>
      <c r="AO1773">
        <v>0</v>
      </c>
      <c r="AP1773">
        <v>0</v>
      </c>
      <c r="AQ1773">
        <v>37.409999999999997</v>
      </c>
      <c r="AR1773">
        <v>0</v>
      </c>
      <c r="AS1773">
        <v>0</v>
      </c>
      <c r="AT1773">
        <v>0</v>
      </c>
      <c r="AU1773">
        <v>0</v>
      </c>
      <c r="AV1773">
        <v>0</v>
      </c>
      <c r="AW1773">
        <v>0</v>
      </c>
      <c r="AX1773">
        <v>0</v>
      </c>
      <c r="AY1773">
        <v>0</v>
      </c>
      <c r="AZ1773">
        <v>0</v>
      </c>
      <c r="BA1773">
        <v>0</v>
      </c>
      <c r="BB1773">
        <v>0</v>
      </c>
      <c r="BC1773">
        <v>0</v>
      </c>
      <c r="BD1773">
        <v>0</v>
      </c>
      <c r="BE1773">
        <v>0</v>
      </c>
      <c r="BF1773">
        <v>0</v>
      </c>
      <c r="BG1773">
        <v>0</v>
      </c>
      <c r="BH1773">
        <v>1</v>
      </c>
      <c r="BI1773">
        <v>3</v>
      </c>
      <c r="BJ1773">
        <v>3.4</v>
      </c>
      <c r="BK1773">
        <v>3.5</v>
      </c>
      <c r="BL1773">
        <v>122.43</v>
      </c>
      <c r="BM1773">
        <v>18.36</v>
      </c>
      <c r="BN1773">
        <v>140.79</v>
      </c>
      <c r="BO1773">
        <v>140.79</v>
      </c>
      <c r="BQ1773" t="s">
        <v>1217</v>
      </c>
      <c r="BR1773" t="s">
        <v>84</v>
      </c>
      <c r="BS1773" s="3">
        <v>45793</v>
      </c>
      <c r="BT1773" s="4">
        <v>0.3923611111111111</v>
      </c>
      <c r="BU1773" t="s">
        <v>2337</v>
      </c>
      <c r="BV1773" t="s">
        <v>86</v>
      </c>
      <c r="BY1773">
        <v>16965</v>
      </c>
      <c r="CA1773" t="s">
        <v>1219</v>
      </c>
      <c r="CC1773" t="s">
        <v>1215</v>
      </c>
      <c r="CD1773">
        <v>4302</v>
      </c>
      <c r="CE1773" t="s">
        <v>96</v>
      </c>
      <c r="CF1773" s="3">
        <v>45794</v>
      </c>
      <c r="CI1773">
        <v>1</v>
      </c>
      <c r="CJ1773">
        <v>1</v>
      </c>
      <c r="CK1773">
        <v>21</v>
      </c>
      <c r="CL1773" t="s">
        <v>89</v>
      </c>
    </row>
    <row r="1774" spans="1:90" x14ac:dyDescent="0.3">
      <c r="A1774" t="s">
        <v>72</v>
      </c>
      <c r="B1774" t="s">
        <v>73</v>
      </c>
      <c r="C1774" t="s">
        <v>74</v>
      </c>
      <c r="E1774" t="str">
        <f>"080065396626"</f>
        <v>080065396626</v>
      </c>
      <c r="F1774" s="3">
        <v>45792</v>
      </c>
      <c r="G1774">
        <v>202602</v>
      </c>
      <c r="H1774" t="s">
        <v>75</v>
      </c>
      <c r="I1774" t="s">
        <v>76</v>
      </c>
      <c r="J1774" t="s">
        <v>77</v>
      </c>
      <c r="K1774" t="s">
        <v>78</v>
      </c>
      <c r="L1774" t="s">
        <v>844</v>
      </c>
      <c r="M1774" t="s">
        <v>845</v>
      </c>
      <c r="N1774" t="s">
        <v>1807</v>
      </c>
      <c r="O1774" t="s">
        <v>82</v>
      </c>
      <c r="P1774" t="str">
        <f>"4170038760                    "</f>
        <v xml:space="preserve">4170038760                    </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0</v>
      </c>
      <c r="AL1774">
        <v>0</v>
      </c>
      <c r="AM1774">
        <v>0</v>
      </c>
      <c r="AN1774">
        <v>0</v>
      </c>
      <c r="AO1774">
        <v>0</v>
      </c>
      <c r="AP1774">
        <v>0</v>
      </c>
      <c r="AQ1774">
        <v>21.38</v>
      </c>
      <c r="AR1774">
        <v>0</v>
      </c>
      <c r="AS1774">
        <v>0</v>
      </c>
      <c r="AT1774">
        <v>0</v>
      </c>
      <c r="AU1774">
        <v>0</v>
      </c>
      <c r="AV1774">
        <v>0</v>
      </c>
      <c r="AW1774">
        <v>0</v>
      </c>
      <c r="AX1774">
        <v>0</v>
      </c>
      <c r="AY1774">
        <v>0</v>
      </c>
      <c r="AZ1774">
        <v>0</v>
      </c>
      <c r="BA1774">
        <v>0</v>
      </c>
      <c r="BB1774">
        <v>0</v>
      </c>
      <c r="BC1774">
        <v>0</v>
      </c>
      <c r="BD1774">
        <v>0</v>
      </c>
      <c r="BE1774">
        <v>0</v>
      </c>
      <c r="BF1774">
        <v>0</v>
      </c>
      <c r="BG1774">
        <v>0</v>
      </c>
      <c r="BH1774">
        <v>1</v>
      </c>
      <c r="BI1774">
        <v>1</v>
      </c>
      <c r="BJ1774">
        <v>1.9</v>
      </c>
      <c r="BK1774">
        <v>2</v>
      </c>
      <c r="BL1774">
        <v>69.98</v>
      </c>
      <c r="BM1774">
        <v>10.5</v>
      </c>
      <c r="BN1774">
        <v>80.48</v>
      </c>
      <c r="BO1774">
        <v>80.48</v>
      </c>
      <c r="BQ1774" t="s">
        <v>1808</v>
      </c>
      <c r="BR1774" t="s">
        <v>84</v>
      </c>
      <c r="BS1774" s="3">
        <v>45793</v>
      </c>
      <c r="BT1774" s="4">
        <v>0.3888888888888889</v>
      </c>
      <c r="BU1774" t="s">
        <v>1809</v>
      </c>
      <c r="BV1774" t="s">
        <v>86</v>
      </c>
      <c r="BY1774">
        <v>9600</v>
      </c>
      <c r="CA1774" t="s">
        <v>849</v>
      </c>
      <c r="CC1774" t="s">
        <v>845</v>
      </c>
      <c r="CD1774">
        <v>7600</v>
      </c>
      <c r="CE1774" t="s">
        <v>96</v>
      </c>
      <c r="CF1774" s="3">
        <v>45796</v>
      </c>
      <c r="CI1774">
        <v>1</v>
      </c>
      <c r="CJ1774">
        <v>1</v>
      </c>
      <c r="CK1774">
        <v>21</v>
      </c>
      <c r="CL1774" t="s">
        <v>89</v>
      </c>
    </row>
    <row r="1775" spans="1:90" x14ac:dyDescent="0.3">
      <c r="A1775" t="s">
        <v>72</v>
      </c>
      <c r="B1775" t="s">
        <v>73</v>
      </c>
      <c r="C1775" t="s">
        <v>74</v>
      </c>
      <c r="E1775" t="str">
        <f>"080065396651"</f>
        <v>080065396651</v>
      </c>
      <c r="F1775" s="3">
        <v>45792</v>
      </c>
      <c r="G1775">
        <v>202602</v>
      </c>
      <c r="H1775" t="s">
        <v>75</v>
      </c>
      <c r="I1775" t="s">
        <v>76</v>
      </c>
      <c r="J1775" t="s">
        <v>77</v>
      </c>
      <c r="K1775" t="s">
        <v>78</v>
      </c>
      <c r="L1775" t="s">
        <v>97</v>
      </c>
      <c r="M1775" t="s">
        <v>98</v>
      </c>
      <c r="N1775" t="s">
        <v>2056</v>
      </c>
      <c r="O1775" t="s">
        <v>82</v>
      </c>
      <c r="P1775" t="str">
        <f>"4170038906                    "</f>
        <v xml:space="preserve">4170038906                    </v>
      </c>
      <c r="Q1775">
        <v>0</v>
      </c>
      <c r="R1775">
        <v>0</v>
      </c>
      <c r="S1775">
        <v>0</v>
      </c>
      <c r="T1775">
        <v>0</v>
      </c>
      <c r="U1775">
        <v>0</v>
      </c>
      <c r="V1775">
        <v>0</v>
      </c>
      <c r="W1775">
        <v>0</v>
      </c>
      <c r="X1775">
        <v>0</v>
      </c>
      <c r="Y1775">
        <v>0</v>
      </c>
      <c r="Z1775">
        <v>0</v>
      </c>
      <c r="AA1775">
        <v>0</v>
      </c>
      <c r="AB1775">
        <v>0</v>
      </c>
      <c r="AC1775">
        <v>0</v>
      </c>
      <c r="AD1775">
        <v>0</v>
      </c>
      <c r="AE1775">
        <v>0</v>
      </c>
      <c r="AF1775">
        <v>0</v>
      </c>
      <c r="AG1775">
        <v>0</v>
      </c>
      <c r="AH1775">
        <v>0</v>
      </c>
      <c r="AI1775">
        <v>0</v>
      </c>
      <c r="AJ1775">
        <v>0</v>
      </c>
      <c r="AK1775">
        <v>0</v>
      </c>
      <c r="AL1775">
        <v>0</v>
      </c>
      <c r="AM1775">
        <v>0</v>
      </c>
      <c r="AN1775">
        <v>0</v>
      </c>
      <c r="AO1775">
        <v>0</v>
      </c>
      <c r="AP1775">
        <v>0</v>
      </c>
      <c r="AQ1775">
        <v>22.71</v>
      </c>
      <c r="AR1775">
        <v>0</v>
      </c>
      <c r="AS1775">
        <v>0</v>
      </c>
      <c r="AT1775">
        <v>0</v>
      </c>
      <c r="AU1775">
        <v>0</v>
      </c>
      <c r="AV1775">
        <v>0</v>
      </c>
      <c r="AW1775">
        <v>0</v>
      </c>
      <c r="AX1775">
        <v>0</v>
      </c>
      <c r="AY1775">
        <v>0</v>
      </c>
      <c r="AZ1775">
        <v>0</v>
      </c>
      <c r="BA1775">
        <v>0</v>
      </c>
      <c r="BB1775">
        <v>0</v>
      </c>
      <c r="BC1775">
        <v>0</v>
      </c>
      <c r="BD1775">
        <v>0</v>
      </c>
      <c r="BE1775">
        <v>0</v>
      </c>
      <c r="BF1775">
        <v>0</v>
      </c>
      <c r="BG1775">
        <v>0</v>
      </c>
      <c r="BH1775">
        <v>1</v>
      </c>
      <c r="BI1775">
        <v>11</v>
      </c>
      <c r="BJ1775">
        <v>7.3</v>
      </c>
      <c r="BK1775">
        <v>11</v>
      </c>
      <c r="BL1775">
        <v>74.319999999999993</v>
      </c>
      <c r="BM1775">
        <v>11.15</v>
      </c>
      <c r="BN1775">
        <v>85.47</v>
      </c>
      <c r="BO1775">
        <v>85.47</v>
      </c>
      <c r="BQ1775" t="s">
        <v>2057</v>
      </c>
      <c r="BR1775" t="s">
        <v>84</v>
      </c>
      <c r="BS1775" s="3">
        <v>45793</v>
      </c>
      <c r="BT1775" s="4">
        <v>0.31805555555555554</v>
      </c>
      <c r="BU1775" t="s">
        <v>2058</v>
      </c>
      <c r="BV1775" t="s">
        <v>86</v>
      </c>
      <c r="BY1775">
        <v>36450</v>
      </c>
      <c r="CA1775" t="s">
        <v>279</v>
      </c>
      <c r="CC1775" t="s">
        <v>98</v>
      </c>
      <c r="CD1775">
        <v>1460</v>
      </c>
      <c r="CE1775" t="s">
        <v>1296</v>
      </c>
      <c r="CF1775" s="3">
        <v>45793</v>
      </c>
      <c r="CI1775">
        <v>1</v>
      </c>
      <c r="CJ1775">
        <v>1</v>
      </c>
      <c r="CK1775">
        <v>22</v>
      </c>
      <c r="CL1775" t="s">
        <v>89</v>
      </c>
    </row>
    <row r="1776" spans="1:90" x14ac:dyDescent="0.3">
      <c r="A1776" t="s">
        <v>72</v>
      </c>
      <c r="B1776" t="s">
        <v>73</v>
      </c>
      <c r="C1776" t="s">
        <v>74</v>
      </c>
      <c r="E1776" t="str">
        <f>"080065396652"</f>
        <v>080065396652</v>
      </c>
      <c r="F1776" s="3">
        <v>45792</v>
      </c>
      <c r="G1776">
        <v>202602</v>
      </c>
      <c r="H1776" t="s">
        <v>75</v>
      </c>
      <c r="I1776" t="s">
        <v>76</v>
      </c>
      <c r="J1776" t="s">
        <v>77</v>
      </c>
      <c r="K1776" t="s">
        <v>78</v>
      </c>
      <c r="L1776" t="s">
        <v>350</v>
      </c>
      <c r="M1776" t="s">
        <v>351</v>
      </c>
      <c r="N1776" t="s">
        <v>1186</v>
      </c>
      <c r="O1776" t="s">
        <v>82</v>
      </c>
      <c r="P1776" t="str">
        <f>"4170038748                    "</f>
        <v xml:space="preserve">4170038748                    </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c r="AI1776">
        <v>0</v>
      </c>
      <c r="AJ1776">
        <v>0</v>
      </c>
      <c r="AK1776">
        <v>0</v>
      </c>
      <c r="AL1776">
        <v>0</v>
      </c>
      <c r="AM1776">
        <v>0</v>
      </c>
      <c r="AN1776">
        <v>0</v>
      </c>
      <c r="AO1776">
        <v>0</v>
      </c>
      <c r="AP1776">
        <v>0</v>
      </c>
      <c r="AQ1776">
        <v>42.75</v>
      </c>
      <c r="AR1776">
        <v>0</v>
      </c>
      <c r="AS1776">
        <v>0</v>
      </c>
      <c r="AT1776">
        <v>0</v>
      </c>
      <c r="AU1776">
        <v>0</v>
      </c>
      <c r="AV1776">
        <v>0</v>
      </c>
      <c r="AW1776">
        <v>0</v>
      </c>
      <c r="AX1776">
        <v>0</v>
      </c>
      <c r="AY1776">
        <v>0</v>
      </c>
      <c r="AZ1776">
        <v>0</v>
      </c>
      <c r="BA1776">
        <v>0</v>
      </c>
      <c r="BB1776">
        <v>0</v>
      </c>
      <c r="BC1776">
        <v>0</v>
      </c>
      <c r="BD1776">
        <v>0</v>
      </c>
      <c r="BE1776">
        <v>0</v>
      </c>
      <c r="BF1776">
        <v>0</v>
      </c>
      <c r="BG1776">
        <v>0</v>
      </c>
      <c r="BH1776">
        <v>1</v>
      </c>
      <c r="BI1776">
        <v>4</v>
      </c>
      <c r="BJ1776">
        <v>3.5</v>
      </c>
      <c r="BK1776">
        <v>4</v>
      </c>
      <c r="BL1776">
        <v>139.91</v>
      </c>
      <c r="BM1776">
        <v>20.99</v>
      </c>
      <c r="BN1776">
        <v>160.9</v>
      </c>
      <c r="BO1776">
        <v>160.9</v>
      </c>
      <c r="BQ1776" t="s">
        <v>1187</v>
      </c>
      <c r="BR1776" t="s">
        <v>84</v>
      </c>
      <c r="BS1776" s="3">
        <v>45793</v>
      </c>
      <c r="BT1776" s="4">
        <v>0.41458333333333336</v>
      </c>
      <c r="BU1776" t="s">
        <v>2338</v>
      </c>
      <c r="BV1776" t="s">
        <v>86</v>
      </c>
      <c r="BY1776">
        <v>17280</v>
      </c>
      <c r="CA1776" t="s">
        <v>879</v>
      </c>
      <c r="CC1776" t="s">
        <v>351</v>
      </c>
      <c r="CD1776">
        <v>4001</v>
      </c>
      <c r="CE1776" t="s">
        <v>221</v>
      </c>
      <c r="CF1776" s="3">
        <v>45796</v>
      </c>
      <c r="CI1776">
        <v>1</v>
      </c>
      <c r="CJ1776">
        <v>1</v>
      </c>
      <c r="CK1776">
        <v>21</v>
      </c>
      <c r="CL1776" t="s">
        <v>89</v>
      </c>
    </row>
    <row r="1777" spans="1:90" x14ac:dyDescent="0.3">
      <c r="A1777" t="s">
        <v>72</v>
      </c>
      <c r="B1777" t="s">
        <v>73</v>
      </c>
      <c r="C1777" t="s">
        <v>74</v>
      </c>
      <c r="E1777" t="str">
        <f>"080065396669"</f>
        <v>080065396669</v>
      </c>
      <c r="F1777" s="3">
        <v>45792</v>
      </c>
      <c r="G1777">
        <v>202602</v>
      </c>
      <c r="H1777" t="s">
        <v>75</v>
      </c>
      <c r="I1777" t="s">
        <v>76</v>
      </c>
      <c r="J1777" t="s">
        <v>77</v>
      </c>
      <c r="K1777" t="s">
        <v>78</v>
      </c>
      <c r="L1777" t="s">
        <v>123</v>
      </c>
      <c r="M1777" t="s">
        <v>123</v>
      </c>
      <c r="N1777" t="s">
        <v>1700</v>
      </c>
      <c r="O1777" t="s">
        <v>82</v>
      </c>
      <c r="P1777" t="str">
        <f>"4170038693                    "</f>
        <v xml:space="preserve">4170038693                    </v>
      </c>
      <c r="Q1777">
        <v>0</v>
      </c>
      <c r="R1777">
        <v>0</v>
      </c>
      <c r="S1777">
        <v>0</v>
      </c>
      <c r="T1777">
        <v>0</v>
      </c>
      <c r="U1777">
        <v>0</v>
      </c>
      <c r="V1777">
        <v>0</v>
      </c>
      <c r="W1777">
        <v>0</v>
      </c>
      <c r="X1777">
        <v>0</v>
      </c>
      <c r="Y1777">
        <v>0</v>
      </c>
      <c r="Z1777">
        <v>0</v>
      </c>
      <c r="AA1777">
        <v>0</v>
      </c>
      <c r="AB1777">
        <v>0</v>
      </c>
      <c r="AC1777">
        <v>0</v>
      </c>
      <c r="AD1777">
        <v>0</v>
      </c>
      <c r="AE1777">
        <v>0</v>
      </c>
      <c r="AF1777">
        <v>0</v>
      </c>
      <c r="AG1777">
        <v>0</v>
      </c>
      <c r="AH1777">
        <v>0</v>
      </c>
      <c r="AI1777">
        <v>0</v>
      </c>
      <c r="AJ1777">
        <v>0</v>
      </c>
      <c r="AK1777">
        <v>0</v>
      </c>
      <c r="AL1777">
        <v>0</v>
      </c>
      <c r="AM1777">
        <v>0</v>
      </c>
      <c r="AN1777">
        <v>0</v>
      </c>
      <c r="AO1777">
        <v>0</v>
      </c>
      <c r="AP1777">
        <v>0</v>
      </c>
      <c r="AQ1777">
        <v>41.43</v>
      </c>
      <c r="AR1777">
        <v>0</v>
      </c>
      <c r="AS1777">
        <v>0</v>
      </c>
      <c r="AT1777">
        <v>0</v>
      </c>
      <c r="AU1777">
        <v>0</v>
      </c>
      <c r="AV1777">
        <v>0</v>
      </c>
      <c r="AW1777">
        <v>0</v>
      </c>
      <c r="AX1777">
        <v>0</v>
      </c>
      <c r="AY1777">
        <v>0</v>
      </c>
      <c r="AZ1777">
        <v>0</v>
      </c>
      <c r="BA1777">
        <v>0</v>
      </c>
      <c r="BB1777">
        <v>0</v>
      </c>
      <c r="BC1777">
        <v>0</v>
      </c>
      <c r="BD1777">
        <v>0</v>
      </c>
      <c r="BE1777">
        <v>0</v>
      </c>
      <c r="BF1777">
        <v>0</v>
      </c>
      <c r="BG1777">
        <v>0</v>
      </c>
      <c r="BH1777">
        <v>1</v>
      </c>
      <c r="BI1777">
        <v>1</v>
      </c>
      <c r="BJ1777">
        <v>0.2</v>
      </c>
      <c r="BK1777">
        <v>1</v>
      </c>
      <c r="BL1777">
        <v>135.59</v>
      </c>
      <c r="BM1777">
        <v>20.34</v>
      </c>
      <c r="BN1777">
        <v>155.93</v>
      </c>
      <c r="BO1777">
        <v>155.93</v>
      </c>
      <c r="BQ1777" t="s">
        <v>1701</v>
      </c>
      <c r="BR1777" t="s">
        <v>84</v>
      </c>
      <c r="BS1777" s="3">
        <v>45793</v>
      </c>
      <c r="BT1777" s="4">
        <v>0.53888888888888886</v>
      </c>
      <c r="BU1777" t="s">
        <v>319</v>
      </c>
      <c r="BV1777" t="s">
        <v>86</v>
      </c>
      <c r="BY1777">
        <v>1200</v>
      </c>
      <c r="CA1777" t="s">
        <v>128</v>
      </c>
      <c r="CC1777" t="s">
        <v>123</v>
      </c>
      <c r="CD1777">
        <v>7646</v>
      </c>
      <c r="CE1777" t="s">
        <v>88</v>
      </c>
      <c r="CF1777" s="3">
        <v>45796</v>
      </c>
      <c r="CI1777">
        <v>1</v>
      </c>
      <c r="CJ1777">
        <v>1</v>
      </c>
      <c r="CK1777">
        <v>23</v>
      </c>
      <c r="CL1777" t="s">
        <v>89</v>
      </c>
    </row>
    <row r="1778" spans="1:90" x14ac:dyDescent="0.3">
      <c r="A1778" t="s">
        <v>72</v>
      </c>
      <c r="B1778" t="s">
        <v>73</v>
      </c>
      <c r="C1778" t="s">
        <v>74</v>
      </c>
      <c r="E1778" t="str">
        <f>"080065396676"</f>
        <v>080065396676</v>
      </c>
      <c r="F1778" s="3">
        <v>45792</v>
      </c>
      <c r="G1778">
        <v>202602</v>
      </c>
      <c r="H1778" t="s">
        <v>75</v>
      </c>
      <c r="I1778" t="s">
        <v>76</v>
      </c>
      <c r="J1778" t="s">
        <v>77</v>
      </c>
      <c r="K1778" t="s">
        <v>78</v>
      </c>
      <c r="L1778" t="s">
        <v>90</v>
      </c>
      <c r="M1778" t="s">
        <v>91</v>
      </c>
      <c r="N1778" t="s">
        <v>1411</v>
      </c>
      <c r="O1778" t="s">
        <v>82</v>
      </c>
      <c r="P1778" t="str">
        <f>"4170038903                    "</f>
        <v xml:space="preserve">4170038903                    </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c r="AJ1778">
        <v>0</v>
      </c>
      <c r="AK1778">
        <v>0</v>
      </c>
      <c r="AL1778">
        <v>0</v>
      </c>
      <c r="AM1778">
        <v>0</v>
      </c>
      <c r="AN1778">
        <v>0</v>
      </c>
      <c r="AO1778">
        <v>0</v>
      </c>
      <c r="AP1778">
        <v>0</v>
      </c>
      <c r="AQ1778">
        <v>117.53</v>
      </c>
      <c r="AR1778">
        <v>0</v>
      </c>
      <c r="AS1778">
        <v>0</v>
      </c>
      <c r="AT1778">
        <v>0</v>
      </c>
      <c r="AU1778">
        <v>0</v>
      </c>
      <c r="AV1778">
        <v>0</v>
      </c>
      <c r="AW1778">
        <v>0</v>
      </c>
      <c r="AX1778">
        <v>0</v>
      </c>
      <c r="AY1778">
        <v>0</v>
      </c>
      <c r="AZ1778">
        <v>0</v>
      </c>
      <c r="BA1778">
        <v>0</v>
      </c>
      <c r="BB1778">
        <v>0</v>
      </c>
      <c r="BC1778">
        <v>0</v>
      </c>
      <c r="BD1778">
        <v>0</v>
      </c>
      <c r="BE1778">
        <v>0</v>
      </c>
      <c r="BF1778">
        <v>0</v>
      </c>
      <c r="BG1778">
        <v>0</v>
      </c>
      <c r="BH1778">
        <v>1</v>
      </c>
      <c r="BI1778">
        <v>11</v>
      </c>
      <c r="BJ1778">
        <v>4.5</v>
      </c>
      <c r="BK1778">
        <v>11</v>
      </c>
      <c r="BL1778">
        <v>384.65</v>
      </c>
      <c r="BM1778">
        <v>57.7</v>
      </c>
      <c r="BN1778">
        <v>442.35</v>
      </c>
      <c r="BO1778">
        <v>442.35</v>
      </c>
      <c r="BQ1778" t="s">
        <v>1412</v>
      </c>
      <c r="BR1778" t="s">
        <v>84</v>
      </c>
      <c r="BS1778" s="3">
        <v>45793</v>
      </c>
      <c r="BT1778" s="4">
        <v>0.35486111111111113</v>
      </c>
      <c r="BU1778" t="s">
        <v>1822</v>
      </c>
      <c r="BV1778" t="s">
        <v>86</v>
      </c>
      <c r="BY1778">
        <v>22620</v>
      </c>
      <c r="CA1778" t="s">
        <v>271</v>
      </c>
      <c r="CC1778" t="s">
        <v>91</v>
      </c>
      <c r="CD1778">
        <v>6001</v>
      </c>
      <c r="CE1778" t="s">
        <v>96</v>
      </c>
      <c r="CF1778" s="3">
        <v>45793</v>
      </c>
      <c r="CI1778">
        <v>1</v>
      </c>
      <c r="CJ1778">
        <v>1</v>
      </c>
      <c r="CK1778">
        <v>21</v>
      </c>
      <c r="CL1778" t="s">
        <v>89</v>
      </c>
    </row>
    <row r="1779" spans="1:90" x14ac:dyDescent="0.3">
      <c r="A1779" t="s">
        <v>72</v>
      </c>
      <c r="B1779" t="s">
        <v>73</v>
      </c>
      <c r="C1779" t="s">
        <v>74</v>
      </c>
      <c r="E1779" t="str">
        <f>"080065396691"</f>
        <v>080065396691</v>
      </c>
      <c r="F1779" s="3">
        <v>45792</v>
      </c>
      <c r="G1779">
        <v>202602</v>
      </c>
      <c r="H1779" t="s">
        <v>75</v>
      </c>
      <c r="I1779" t="s">
        <v>76</v>
      </c>
      <c r="J1779" t="s">
        <v>77</v>
      </c>
      <c r="K1779" t="s">
        <v>78</v>
      </c>
      <c r="L1779" t="s">
        <v>177</v>
      </c>
      <c r="M1779" t="s">
        <v>178</v>
      </c>
      <c r="N1779" t="s">
        <v>393</v>
      </c>
      <c r="O1779" t="s">
        <v>82</v>
      </c>
      <c r="P1779" t="str">
        <f>"4170038783                    "</f>
        <v xml:space="preserve">4170038783                    </v>
      </c>
      <c r="Q1779">
        <v>0</v>
      </c>
      <c r="R1779">
        <v>0</v>
      </c>
      <c r="S1779">
        <v>0</v>
      </c>
      <c r="T1779">
        <v>0</v>
      </c>
      <c r="U1779">
        <v>0</v>
      </c>
      <c r="V1779">
        <v>0</v>
      </c>
      <c r="W1779">
        <v>0</v>
      </c>
      <c r="X1779">
        <v>0</v>
      </c>
      <c r="Y1779">
        <v>0</v>
      </c>
      <c r="Z1779">
        <v>0</v>
      </c>
      <c r="AA1779">
        <v>0</v>
      </c>
      <c r="AB1779">
        <v>0</v>
      </c>
      <c r="AC1779">
        <v>0</v>
      </c>
      <c r="AD1779">
        <v>0</v>
      </c>
      <c r="AE1779">
        <v>0</v>
      </c>
      <c r="AF1779">
        <v>0</v>
      </c>
      <c r="AG1779">
        <v>0</v>
      </c>
      <c r="AH1779">
        <v>0</v>
      </c>
      <c r="AI1779">
        <v>0</v>
      </c>
      <c r="AJ1779">
        <v>0</v>
      </c>
      <c r="AK1779">
        <v>0</v>
      </c>
      <c r="AL1779">
        <v>0</v>
      </c>
      <c r="AM1779">
        <v>0</v>
      </c>
      <c r="AN1779">
        <v>0</v>
      </c>
      <c r="AO1779">
        <v>0</v>
      </c>
      <c r="AP1779">
        <v>0</v>
      </c>
      <c r="AQ1779">
        <v>21.38</v>
      </c>
      <c r="AR1779">
        <v>0</v>
      </c>
      <c r="AS1779">
        <v>0</v>
      </c>
      <c r="AT1779">
        <v>0</v>
      </c>
      <c r="AU1779">
        <v>0</v>
      </c>
      <c r="AV1779">
        <v>0</v>
      </c>
      <c r="AW1779">
        <v>0</v>
      </c>
      <c r="AX1779">
        <v>0</v>
      </c>
      <c r="AY1779">
        <v>0</v>
      </c>
      <c r="AZ1779">
        <v>0</v>
      </c>
      <c r="BA1779">
        <v>0</v>
      </c>
      <c r="BB1779">
        <v>0</v>
      </c>
      <c r="BC1779">
        <v>0</v>
      </c>
      <c r="BD1779">
        <v>0</v>
      </c>
      <c r="BE1779">
        <v>0</v>
      </c>
      <c r="BF1779">
        <v>0</v>
      </c>
      <c r="BG1779">
        <v>0</v>
      </c>
      <c r="BH1779">
        <v>1</v>
      </c>
      <c r="BI1779">
        <v>1</v>
      </c>
      <c r="BJ1779">
        <v>0.2</v>
      </c>
      <c r="BK1779">
        <v>1</v>
      </c>
      <c r="BL1779">
        <v>69.98</v>
      </c>
      <c r="BM1779">
        <v>10.5</v>
      </c>
      <c r="BN1779">
        <v>80.48</v>
      </c>
      <c r="BO1779">
        <v>80.48</v>
      </c>
      <c r="BQ1779" t="s">
        <v>394</v>
      </c>
      <c r="BR1779" t="s">
        <v>84</v>
      </c>
      <c r="BS1779" s="3">
        <v>45793</v>
      </c>
      <c r="BT1779" s="4">
        <v>0.33402777777777776</v>
      </c>
      <c r="BU1779" t="s">
        <v>2120</v>
      </c>
      <c r="BV1779" t="s">
        <v>86</v>
      </c>
      <c r="BY1779">
        <v>1200</v>
      </c>
      <c r="BZ1779" t="s">
        <v>127</v>
      </c>
      <c r="CA1779" t="s">
        <v>182</v>
      </c>
      <c r="CC1779" t="s">
        <v>178</v>
      </c>
      <c r="CD1779">
        <v>6230</v>
      </c>
      <c r="CE1779" t="s">
        <v>129</v>
      </c>
      <c r="CF1779" s="3">
        <v>45793</v>
      </c>
      <c r="CI1779">
        <v>1</v>
      </c>
      <c r="CJ1779">
        <v>1</v>
      </c>
      <c r="CK1779">
        <v>21</v>
      </c>
      <c r="CL1779" t="s">
        <v>89</v>
      </c>
    </row>
    <row r="1780" spans="1:90" x14ac:dyDescent="0.3">
      <c r="A1780" t="s">
        <v>72</v>
      </c>
      <c r="B1780" t="s">
        <v>73</v>
      </c>
      <c r="C1780" t="s">
        <v>74</v>
      </c>
      <c r="E1780" t="str">
        <f>"080065396702"</f>
        <v>080065396702</v>
      </c>
      <c r="F1780" s="3">
        <v>45792</v>
      </c>
      <c r="G1780">
        <v>202602</v>
      </c>
      <c r="H1780" t="s">
        <v>75</v>
      </c>
      <c r="I1780" t="s">
        <v>76</v>
      </c>
      <c r="J1780" t="s">
        <v>77</v>
      </c>
      <c r="K1780" t="s">
        <v>78</v>
      </c>
      <c r="L1780" t="s">
        <v>75</v>
      </c>
      <c r="M1780" t="s">
        <v>76</v>
      </c>
      <c r="N1780" t="s">
        <v>390</v>
      </c>
      <c r="O1780" t="s">
        <v>82</v>
      </c>
      <c r="P1780" t="str">
        <f>"4170038772                    "</f>
        <v xml:space="preserve">4170038772                    </v>
      </c>
      <c r="Q1780">
        <v>0</v>
      </c>
      <c r="R1780">
        <v>0</v>
      </c>
      <c r="S1780">
        <v>0</v>
      </c>
      <c r="T1780">
        <v>0</v>
      </c>
      <c r="U1780">
        <v>0</v>
      </c>
      <c r="V1780">
        <v>0</v>
      </c>
      <c r="W1780">
        <v>0</v>
      </c>
      <c r="X1780">
        <v>0</v>
      </c>
      <c r="Y1780">
        <v>0</v>
      </c>
      <c r="Z1780">
        <v>0</v>
      </c>
      <c r="AA1780">
        <v>0</v>
      </c>
      <c r="AB1780">
        <v>0</v>
      </c>
      <c r="AC1780">
        <v>0</v>
      </c>
      <c r="AD1780">
        <v>0</v>
      </c>
      <c r="AE1780">
        <v>0</v>
      </c>
      <c r="AF1780">
        <v>0</v>
      </c>
      <c r="AG1780">
        <v>0</v>
      </c>
      <c r="AH1780">
        <v>0</v>
      </c>
      <c r="AI1780">
        <v>0</v>
      </c>
      <c r="AJ1780">
        <v>0</v>
      </c>
      <c r="AK1780">
        <v>0</v>
      </c>
      <c r="AL1780">
        <v>0</v>
      </c>
      <c r="AM1780">
        <v>0</v>
      </c>
      <c r="AN1780">
        <v>0</v>
      </c>
      <c r="AO1780">
        <v>0</v>
      </c>
      <c r="AP1780">
        <v>0</v>
      </c>
      <c r="AQ1780">
        <v>16.7</v>
      </c>
      <c r="AR1780">
        <v>0</v>
      </c>
      <c r="AS1780">
        <v>0</v>
      </c>
      <c r="AT1780">
        <v>0</v>
      </c>
      <c r="AU1780">
        <v>0</v>
      </c>
      <c r="AV1780">
        <v>0</v>
      </c>
      <c r="AW1780">
        <v>0</v>
      </c>
      <c r="AX1780">
        <v>0</v>
      </c>
      <c r="AY1780">
        <v>0</v>
      </c>
      <c r="AZ1780">
        <v>0</v>
      </c>
      <c r="BA1780">
        <v>0</v>
      </c>
      <c r="BB1780">
        <v>0</v>
      </c>
      <c r="BC1780">
        <v>0</v>
      </c>
      <c r="BD1780">
        <v>0</v>
      </c>
      <c r="BE1780">
        <v>0</v>
      </c>
      <c r="BF1780">
        <v>0</v>
      </c>
      <c r="BG1780">
        <v>0</v>
      </c>
      <c r="BH1780">
        <v>1</v>
      </c>
      <c r="BI1780">
        <v>4</v>
      </c>
      <c r="BJ1780">
        <v>1.1000000000000001</v>
      </c>
      <c r="BK1780">
        <v>4</v>
      </c>
      <c r="BL1780">
        <v>54.66</v>
      </c>
      <c r="BM1780">
        <v>8.1999999999999993</v>
      </c>
      <c r="BN1780">
        <v>62.86</v>
      </c>
      <c r="BO1780">
        <v>62.86</v>
      </c>
      <c r="BQ1780" t="s">
        <v>391</v>
      </c>
      <c r="BR1780" t="s">
        <v>84</v>
      </c>
      <c r="BS1780" s="3">
        <v>45793</v>
      </c>
      <c r="BT1780" s="4">
        <v>0.34444444444444444</v>
      </c>
      <c r="BU1780" t="s">
        <v>1060</v>
      </c>
      <c r="BV1780" t="s">
        <v>86</v>
      </c>
      <c r="BY1780">
        <v>5320</v>
      </c>
      <c r="CA1780" t="s">
        <v>115</v>
      </c>
      <c r="CC1780" t="s">
        <v>76</v>
      </c>
      <c r="CD1780">
        <v>1600</v>
      </c>
      <c r="CE1780" t="s">
        <v>96</v>
      </c>
      <c r="CF1780" s="3">
        <v>45793</v>
      </c>
      <c r="CI1780">
        <v>1</v>
      </c>
      <c r="CJ1780">
        <v>1</v>
      </c>
      <c r="CK1780">
        <v>22</v>
      </c>
      <c r="CL1780" t="s">
        <v>89</v>
      </c>
    </row>
    <row r="1781" spans="1:90" x14ac:dyDescent="0.3">
      <c r="A1781" t="s">
        <v>72</v>
      </c>
      <c r="B1781" t="s">
        <v>73</v>
      </c>
      <c r="C1781" t="s">
        <v>74</v>
      </c>
      <c r="E1781" t="str">
        <f>"080065396713"</f>
        <v>080065396713</v>
      </c>
      <c r="F1781" s="3">
        <v>45792</v>
      </c>
      <c r="G1781">
        <v>202602</v>
      </c>
      <c r="H1781" t="s">
        <v>75</v>
      </c>
      <c r="I1781" t="s">
        <v>76</v>
      </c>
      <c r="J1781" t="s">
        <v>77</v>
      </c>
      <c r="K1781" t="s">
        <v>78</v>
      </c>
      <c r="L1781" t="s">
        <v>463</v>
      </c>
      <c r="M1781" t="s">
        <v>464</v>
      </c>
      <c r="N1781" t="s">
        <v>744</v>
      </c>
      <c r="O1781" t="s">
        <v>82</v>
      </c>
      <c r="P1781" t="str">
        <f>"4170038768                    "</f>
        <v xml:space="preserve">4170038768                    </v>
      </c>
      <c r="Q1781">
        <v>0</v>
      </c>
      <c r="R1781">
        <v>0</v>
      </c>
      <c r="S1781">
        <v>0</v>
      </c>
      <c r="T1781">
        <v>0</v>
      </c>
      <c r="U1781">
        <v>0</v>
      </c>
      <c r="V1781">
        <v>0</v>
      </c>
      <c r="W1781">
        <v>0</v>
      </c>
      <c r="X1781">
        <v>0</v>
      </c>
      <c r="Y1781">
        <v>0</v>
      </c>
      <c r="Z1781">
        <v>0</v>
      </c>
      <c r="AA1781">
        <v>0</v>
      </c>
      <c r="AB1781">
        <v>0</v>
      </c>
      <c r="AC1781">
        <v>0</v>
      </c>
      <c r="AD1781">
        <v>0</v>
      </c>
      <c r="AE1781">
        <v>0</v>
      </c>
      <c r="AF1781">
        <v>0</v>
      </c>
      <c r="AG1781">
        <v>0</v>
      </c>
      <c r="AH1781">
        <v>0</v>
      </c>
      <c r="AI1781">
        <v>0</v>
      </c>
      <c r="AJ1781">
        <v>0</v>
      </c>
      <c r="AK1781">
        <v>0</v>
      </c>
      <c r="AL1781">
        <v>0</v>
      </c>
      <c r="AM1781">
        <v>0</v>
      </c>
      <c r="AN1781">
        <v>0</v>
      </c>
      <c r="AO1781">
        <v>0</v>
      </c>
      <c r="AP1781">
        <v>0</v>
      </c>
      <c r="AQ1781">
        <v>21.38</v>
      </c>
      <c r="AR1781">
        <v>0</v>
      </c>
      <c r="AS1781">
        <v>0</v>
      </c>
      <c r="AT1781">
        <v>0</v>
      </c>
      <c r="AU1781">
        <v>0</v>
      </c>
      <c r="AV1781">
        <v>0</v>
      </c>
      <c r="AW1781">
        <v>0</v>
      </c>
      <c r="AX1781">
        <v>0</v>
      </c>
      <c r="AY1781">
        <v>0</v>
      </c>
      <c r="AZ1781">
        <v>0</v>
      </c>
      <c r="BA1781">
        <v>0</v>
      </c>
      <c r="BB1781">
        <v>0</v>
      </c>
      <c r="BC1781">
        <v>0</v>
      </c>
      <c r="BD1781">
        <v>0</v>
      </c>
      <c r="BE1781">
        <v>0</v>
      </c>
      <c r="BF1781">
        <v>0</v>
      </c>
      <c r="BG1781">
        <v>0</v>
      </c>
      <c r="BH1781">
        <v>1</v>
      </c>
      <c r="BI1781">
        <v>1</v>
      </c>
      <c r="BJ1781">
        <v>0.2</v>
      </c>
      <c r="BK1781">
        <v>1</v>
      </c>
      <c r="BL1781">
        <v>69.98</v>
      </c>
      <c r="BM1781">
        <v>10.5</v>
      </c>
      <c r="BN1781">
        <v>80.48</v>
      </c>
      <c r="BO1781">
        <v>80.48</v>
      </c>
      <c r="BQ1781" t="s">
        <v>745</v>
      </c>
      <c r="BR1781" t="s">
        <v>84</v>
      </c>
      <c r="BS1781" s="3">
        <v>45793</v>
      </c>
      <c r="BT1781" s="4">
        <v>0.44722222222222224</v>
      </c>
      <c r="BU1781" t="s">
        <v>746</v>
      </c>
      <c r="BV1781" t="s">
        <v>89</v>
      </c>
      <c r="BY1781">
        <v>1200</v>
      </c>
      <c r="CA1781" t="s">
        <v>588</v>
      </c>
      <c r="CC1781" t="s">
        <v>464</v>
      </c>
      <c r="CD1781">
        <v>5201</v>
      </c>
      <c r="CE1781" t="s">
        <v>88</v>
      </c>
      <c r="CF1781" s="3">
        <v>45795</v>
      </c>
      <c r="CI1781">
        <v>1</v>
      </c>
      <c r="CJ1781">
        <v>1</v>
      </c>
      <c r="CK1781">
        <v>21</v>
      </c>
      <c r="CL1781" t="s">
        <v>89</v>
      </c>
    </row>
    <row r="1782" spans="1:90" x14ac:dyDescent="0.3">
      <c r="A1782" t="s">
        <v>72</v>
      </c>
      <c r="B1782" t="s">
        <v>73</v>
      </c>
      <c r="C1782" t="s">
        <v>74</v>
      </c>
      <c r="E1782" t="str">
        <f>"080065396729"</f>
        <v>080065396729</v>
      </c>
      <c r="F1782" s="3">
        <v>45792</v>
      </c>
      <c r="G1782">
        <v>202602</v>
      </c>
      <c r="H1782" t="s">
        <v>75</v>
      </c>
      <c r="I1782" t="s">
        <v>76</v>
      </c>
      <c r="J1782" t="s">
        <v>77</v>
      </c>
      <c r="K1782" t="s">
        <v>78</v>
      </c>
      <c r="L1782" t="s">
        <v>130</v>
      </c>
      <c r="M1782" t="s">
        <v>131</v>
      </c>
      <c r="N1782" t="s">
        <v>343</v>
      </c>
      <c r="O1782" t="s">
        <v>82</v>
      </c>
      <c r="P1782" t="str">
        <f>"4170038587                    "</f>
        <v xml:space="preserve">4170038587                    </v>
      </c>
      <c r="Q1782">
        <v>0</v>
      </c>
      <c r="R1782">
        <v>0</v>
      </c>
      <c r="S1782">
        <v>0</v>
      </c>
      <c r="T1782">
        <v>0</v>
      </c>
      <c r="U1782">
        <v>0</v>
      </c>
      <c r="V1782">
        <v>0</v>
      </c>
      <c r="W1782">
        <v>0</v>
      </c>
      <c r="X1782">
        <v>0</v>
      </c>
      <c r="Y1782">
        <v>0</v>
      </c>
      <c r="Z1782">
        <v>0</v>
      </c>
      <c r="AA1782">
        <v>0</v>
      </c>
      <c r="AB1782">
        <v>0</v>
      </c>
      <c r="AC1782">
        <v>0</v>
      </c>
      <c r="AD1782">
        <v>0</v>
      </c>
      <c r="AE1782">
        <v>0</v>
      </c>
      <c r="AF1782">
        <v>0</v>
      </c>
      <c r="AG1782">
        <v>0</v>
      </c>
      <c r="AH1782">
        <v>0</v>
      </c>
      <c r="AI1782">
        <v>0</v>
      </c>
      <c r="AJ1782">
        <v>0</v>
      </c>
      <c r="AK1782">
        <v>0</v>
      </c>
      <c r="AL1782">
        <v>0</v>
      </c>
      <c r="AM1782">
        <v>0</v>
      </c>
      <c r="AN1782">
        <v>0</v>
      </c>
      <c r="AO1782">
        <v>0</v>
      </c>
      <c r="AP1782">
        <v>0</v>
      </c>
      <c r="AQ1782">
        <v>21.38</v>
      </c>
      <c r="AR1782">
        <v>0</v>
      </c>
      <c r="AS1782">
        <v>0</v>
      </c>
      <c r="AT1782">
        <v>0</v>
      </c>
      <c r="AU1782">
        <v>0</v>
      </c>
      <c r="AV1782">
        <v>0</v>
      </c>
      <c r="AW1782">
        <v>0</v>
      </c>
      <c r="AX1782">
        <v>0</v>
      </c>
      <c r="AY1782">
        <v>0</v>
      </c>
      <c r="AZ1782">
        <v>0</v>
      </c>
      <c r="BA1782">
        <v>0</v>
      </c>
      <c r="BB1782">
        <v>0</v>
      </c>
      <c r="BC1782">
        <v>0</v>
      </c>
      <c r="BD1782">
        <v>0</v>
      </c>
      <c r="BE1782">
        <v>0</v>
      </c>
      <c r="BF1782">
        <v>0</v>
      </c>
      <c r="BG1782">
        <v>0</v>
      </c>
      <c r="BH1782">
        <v>1</v>
      </c>
      <c r="BI1782">
        <v>1</v>
      </c>
      <c r="BJ1782">
        <v>1.4</v>
      </c>
      <c r="BK1782">
        <v>1.5</v>
      </c>
      <c r="BL1782">
        <v>69.98</v>
      </c>
      <c r="BM1782">
        <v>10.5</v>
      </c>
      <c r="BN1782">
        <v>80.48</v>
      </c>
      <c r="BO1782">
        <v>80.48</v>
      </c>
      <c r="BQ1782" t="s">
        <v>344</v>
      </c>
      <c r="BR1782" t="s">
        <v>84</v>
      </c>
      <c r="BS1782" s="3">
        <v>45793</v>
      </c>
      <c r="BT1782" s="4">
        <v>0.38055555555555554</v>
      </c>
      <c r="BU1782" t="s">
        <v>2219</v>
      </c>
      <c r="BV1782" t="s">
        <v>86</v>
      </c>
      <c r="BY1782">
        <v>7000</v>
      </c>
      <c r="CA1782" t="s">
        <v>242</v>
      </c>
      <c r="CC1782" t="s">
        <v>131</v>
      </c>
      <c r="CD1782">
        <v>7441</v>
      </c>
      <c r="CE1782" t="s">
        <v>96</v>
      </c>
      <c r="CF1782" s="3">
        <v>45796</v>
      </c>
      <c r="CI1782">
        <v>1</v>
      </c>
      <c r="CJ1782">
        <v>1</v>
      </c>
      <c r="CK1782">
        <v>21</v>
      </c>
      <c r="CL1782" t="s">
        <v>89</v>
      </c>
    </row>
    <row r="1783" spans="1:90" x14ac:dyDescent="0.3">
      <c r="A1783" t="s">
        <v>72</v>
      </c>
      <c r="B1783" t="s">
        <v>73</v>
      </c>
      <c r="C1783" t="s">
        <v>74</v>
      </c>
      <c r="E1783" t="str">
        <f>"080065396733"</f>
        <v>080065396733</v>
      </c>
      <c r="F1783" s="3">
        <v>45792</v>
      </c>
      <c r="G1783">
        <v>202602</v>
      </c>
      <c r="H1783" t="s">
        <v>75</v>
      </c>
      <c r="I1783" t="s">
        <v>76</v>
      </c>
      <c r="J1783" t="s">
        <v>77</v>
      </c>
      <c r="K1783" t="s">
        <v>78</v>
      </c>
      <c r="L1783" t="s">
        <v>130</v>
      </c>
      <c r="M1783" t="s">
        <v>131</v>
      </c>
      <c r="N1783" t="s">
        <v>709</v>
      </c>
      <c r="O1783" t="s">
        <v>82</v>
      </c>
      <c r="P1783" t="str">
        <f>"4170038750                    "</f>
        <v xml:space="preserve">4170038750                    </v>
      </c>
      <c r="Q1783">
        <v>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c r="AJ1783">
        <v>0</v>
      </c>
      <c r="AK1783">
        <v>0</v>
      </c>
      <c r="AL1783">
        <v>0</v>
      </c>
      <c r="AM1783">
        <v>0</v>
      </c>
      <c r="AN1783">
        <v>0</v>
      </c>
      <c r="AO1783">
        <v>0</v>
      </c>
      <c r="AP1783">
        <v>0</v>
      </c>
      <c r="AQ1783">
        <v>21.38</v>
      </c>
      <c r="AR1783">
        <v>0</v>
      </c>
      <c r="AS1783">
        <v>0</v>
      </c>
      <c r="AT1783">
        <v>0</v>
      </c>
      <c r="AU1783">
        <v>0</v>
      </c>
      <c r="AV1783">
        <v>0</v>
      </c>
      <c r="AW1783">
        <v>0</v>
      </c>
      <c r="AX1783">
        <v>0</v>
      </c>
      <c r="AY1783">
        <v>0</v>
      </c>
      <c r="AZ1783">
        <v>0</v>
      </c>
      <c r="BA1783">
        <v>0</v>
      </c>
      <c r="BB1783">
        <v>0</v>
      </c>
      <c r="BC1783">
        <v>0</v>
      </c>
      <c r="BD1783">
        <v>0</v>
      </c>
      <c r="BE1783">
        <v>0</v>
      </c>
      <c r="BF1783">
        <v>0</v>
      </c>
      <c r="BG1783">
        <v>0</v>
      </c>
      <c r="BH1783">
        <v>1</v>
      </c>
      <c r="BI1783">
        <v>1</v>
      </c>
      <c r="BJ1783">
        <v>0.2</v>
      </c>
      <c r="BK1783">
        <v>1</v>
      </c>
      <c r="BL1783">
        <v>69.98</v>
      </c>
      <c r="BM1783">
        <v>10.5</v>
      </c>
      <c r="BN1783">
        <v>80.48</v>
      </c>
      <c r="BO1783">
        <v>80.48</v>
      </c>
      <c r="BQ1783" t="s">
        <v>710</v>
      </c>
      <c r="BR1783" t="s">
        <v>84</v>
      </c>
      <c r="BS1783" s="3">
        <v>45793</v>
      </c>
      <c r="BT1783" s="4">
        <v>0.33611111111111114</v>
      </c>
      <c r="BU1783" t="s">
        <v>1589</v>
      </c>
      <c r="BV1783" t="s">
        <v>86</v>
      </c>
      <c r="BY1783">
        <v>1200</v>
      </c>
      <c r="CA1783" t="s">
        <v>712</v>
      </c>
      <c r="CC1783" t="s">
        <v>131</v>
      </c>
      <c r="CD1783">
        <v>7530</v>
      </c>
      <c r="CE1783" t="s">
        <v>88</v>
      </c>
      <c r="CF1783" s="3">
        <v>45796</v>
      </c>
      <c r="CI1783">
        <v>1</v>
      </c>
      <c r="CJ1783">
        <v>1</v>
      </c>
      <c r="CK1783">
        <v>21</v>
      </c>
      <c r="CL1783" t="s">
        <v>89</v>
      </c>
    </row>
    <row r="1784" spans="1:90" x14ac:dyDescent="0.3">
      <c r="A1784" t="s">
        <v>72</v>
      </c>
      <c r="B1784" t="s">
        <v>73</v>
      </c>
      <c r="C1784" t="s">
        <v>74</v>
      </c>
      <c r="E1784" t="str">
        <f>"080065396748"</f>
        <v>080065396748</v>
      </c>
      <c r="F1784" s="3">
        <v>45792</v>
      </c>
      <c r="G1784">
        <v>202602</v>
      </c>
      <c r="H1784" t="s">
        <v>75</v>
      </c>
      <c r="I1784" t="s">
        <v>76</v>
      </c>
      <c r="J1784" t="s">
        <v>77</v>
      </c>
      <c r="K1784" t="s">
        <v>78</v>
      </c>
      <c r="L1784" t="s">
        <v>130</v>
      </c>
      <c r="M1784" t="s">
        <v>131</v>
      </c>
      <c r="N1784" t="s">
        <v>1066</v>
      </c>
      <c r="O1784" t="s">
        <v>82</v>
      </c>
      <c r="P1784" t="str">
        <f>"4170038732                    "</f>
        <v xml:space="preserve">4170038732                    </v>
      </c>
      <c r="Q1784">
        <v>0</v>
      </c>
      <c r="R1784">
        <v>0</v>
      </c>
      <c r="S1784">
        <v>0</v>
      </c>
      <c r="T1784">
        <v>0</v>
      </c>
      <c r="U1784">
        <v>0</v>
      </c>
      <c r="V1784">
        <v>0</v>
      </c>
      <c r="W1784">
        <v>0</v>
      </c>
      <c r="X1784">
        <v>0</v>
      </c>
      <c r="Y1784">
        <v>0</v>
      </c>
      <c r="Z1784">
        <v>0</v>
      </c>
      <c r="AA1784">
        <v>0</v>
      </c>
      <c r="AB1784">
        <v>0</v>
      </c>
      <c r="AC1784">
        <v>0</v>
      </c>
      <c r="AD1784">
        <v>0</v>
      </c>
      <c r="AE1784">
        <v>0</v>
      </c>
      <c r="AF1784">
        <v>0</v>
      </c>
      <c r="AG1784">
        <v>0</v>
      </c>
      <c r="AH1784">
        <v>0</v>
      </c>
      <c r="AI1784">
        <v>0</v>
      </c>
      <c r="AJ1784">
        <v>0</v>
      </c>
      <c r="AK1784">
        <v>0</v>
      </c>
      <c r="AL1784">
        <v>0</v>
      </c>
      <c r="AM1784">
        <v>0</v>
      </c>
      <c r="AN1784">
        <v>0</v>
      </c>
      <c r="AO1784">
        <v>0</v>
      </c>
      <c r="AP1784">
        <v>0</v>
      </c>
      <c r="AQ1784">
        <v>21.38</v>
      </c>
      <c r="AR1784">
        <v>0</v>
      </c>
      <c r="AS1784">
        <v>0</v>
      </c>
      <c r="AT1784">
        <v>0</v>
      </c>
      <c r="AU1784">
        <v>0</v>
      </c>
      <c r="AV1784">
        <v>0</v>
      </c>
      <c r="AW1784">
        <v>0</v>
      </c>
      <c r="AX1784">
        <v>0</v>
      </c>
      <c r="AY1784">
        <v>0</v>
      </c>
      <c r="AZ1784">
        <v>0</v>
      </c>
      <c r="BA1784">
        <v>0</v>
      </c>
      <c r="BB1784">
        <v>0</v>
      </c>
      <c r="BC1784">
        <v>0</v>
      </c>
      <c r="BD1784">
        <v>0</v>
      </c>
      <c r="BE1784">
        <v>0</v>
      </c>
      <c r="BF1784">
        <v>0</v>
      </c>
      <c r="BG1784">
        <v>0</v>
      </c>
      <c r="BH1784">
        <v>1</v>
      </c>
      <c r="BI1784">
        <v>1</v>
      </c>
      <c r="BJ1784">
        <v>0.2</v>
      </c>
      <c r="BK1784">
        <v>1</v>
      </c>
      <c r="BL1784">
        <v>69.98</v>
      </c>
      <c r="BM1784">
        <v>10.5</v>
      </c>
      <c r="BN1784">
        <v>80.48</v>
      </c>
      <c r="BO1784">
        <v>80.48</v>
      </c>
      <c r="BQ1784" t="s">
        <v>1067</v>
      </c>
      <c r="BR1784" t="s">
        <v>84</v>
      </c>
      <c r="BS1784" s="3">
        <v>45793</v>
      </c>
      <c r="BT1784" s="4">
        <v>0.42222222222222222</v>
      </c>
      <c r="BU1784" t="s">
        <v>1068</v>
      </c>
      <c r="BV1784" t="s">
        <v>86</v>
      </c>
      <c r="BY1784">
        <v>1200</v>
      </c>
      <c r="CA1784" t="s">
        <v>712</v>
      </c>
      <c r="CC1784" t="s">
        <v>131</v>
      </c>
      <c r="CD1784">
        <v>7561</v>
      </c>
      <c r="CE1784" t="s">
        <v>88</v>
      </c>
      <c r="CF1784" s="3">
        <v>45796</v>
      </c>
      <c r="CI1784">
        <v>1</v>
      </c>
      <c r="CJ1784">
        <v>1</v>
      </c>
      <c r="CK1784">
        <v>21</v>
      </c>
      <c r="CL1784" t="s">
        <v>89</v>
      </c>
    </row>
    <row r="1785" spans="1:90" x14ac:dyDescent="0.3">
      <c r="A1785" t="s">
        <v>72</v>
      </c>
      <c r="B1785" t="s">
        <v>73</v>
      </c>
      <c r="C1785" t="s">
        <v>74</v>
      </c>
      <c r="E1785" t="str">
        <f>"080065396757"</f>
        <v>080065396757</v>
      </c>
      <c r="F1785" s="3">
        <v>45792</v>
      </c>
      <c r="G1785">
        <v>202602</v>
      </c>
      <c r="H1785" t="s">
        <v>75</v>
      </c>
      <c r="I1785" t="s">
        <v>76</v>
      </c>
      <c r="J1785" t="s">
        <v>77</v>
      </c>
      <c r="K1785" t="s">
        <v>78</v>
      </c>
      <c r="L1785" t="s">
        <v>75</v>
      </c>
      <c r="M1785" t="s">
        <v>76</v>
      </c>
      <c r="N1785" t="s">
        <v>601</v>
      </c>
      <c r="O1785" t="s">
        <v>82</v>
      </c>
      <c r="P1785" t="str">
        <f>"4170038770                    "</f>
        <v xml:space="preserve">4170038770                    </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c r="AJ1785">
        <v>0</v>
      </c>
      <c r="AK1785">
        <v>0</v>
      </c>
      <c r="AL1785">
        <v>0</v>
      </c>
      <c r="AM1785">
        <v>0</v>
      </c>
      <c r="AN1785">
        <v>0</v>
      </c>
      <c r="AO1785">
        <v>0</v>
      </c>
      <c r="AP1785">
        <v>0</v>
      </c>
      <c r="AQ1785">
        <v>16.7</v>
      </c>
      <c r="AR1785">
        <v>0</v>
      </c>
      <c r="AS1785">
        <v>0</v>
      </c>
      <c r="AT1785">
        <v>0</v>
      </c>
      <c r="AU1785">
        <v>0</v>
      </c>
      <c r="AV1785">
        <v>0</v>
      </c>
      <c r="AW1785">
        <v>0</v>
      </c>
      <c r="AX1785">
        <v>0</v>
      </c>
      <c r="AY1785">
        <v>0</v>
      </c>
      <c r="AZ1785">
        <v>0</v>
      </c>
      <c r="BA1785">
        <v>0</v>
      </c>
      <c r="BB1785">
        <v>0</v>
      </c>
      <c r="BC1785">
        <v>0</v>
      </c>
      <c r="BD1785">
        <v>0</v>
      </c>
      <c r="BE1785">
        <v>0</v>
      </c>
      <c r="BF1785">
        <v>0</v>
      </c>
      <c r="BG1785">
        <v>0</v>
      </c>
      <c r="BH1785">
        <v>1</v>
      </c>
      <c r="BI1785">
        <v>1</v>
      </c>
      <c r="BJ1785">
        <v>0.2</v>
      </c>
      <c r="BK1785">
        <v>1</v>
      </c>
      <c r="BL1785">
        <v>54.66</v>
      </c>
      <c r="BM1785">
        <v>8.1999999999999993</v>
      </c>
      <c r="BN1785">
        <v>62.86</v>
      </c>
      <c r="BO1785">
        <v>62.86</v>
      </c>
      <c r="BQ1785" t="s">
        <v>603</v>
      </c>
      <c r="BR1785" t="s">
        <v>84</v>
      </c>
      <c r="BS1785" s="3">
        <v>45793</v>
      </c>
      <c r="BT1785" s="4">
        <v>0.35416666666666669</v>
      </c>
      <c r="BU1785" t="s">
        <v>789</v>
      </c>
      <c r="BV1785" t="s">
        <v>86</v>
      </c>
      <c r="BY1785">
        <v>1200</v>
      </c>
      <c r="CA1785" t="s">
        <v>605</v>
      </c>
      <c r="CC1785" t="s">
        <v>76</v>
      </c>
      <c r="CD1785">
        <v>1645</v>
      </c>
      <c r="CE1785" t="s">
        <v>88</v>
      </c>
      <c r="CF1785" s="3">
        <v>45794</v>
      </c>
      <c r="CI1785">
        <v>1</v>
      </c>
      <c r="CJ1785">
        <v>1</v>
      </c>
      <c r="CK1785">
        <v>22</v>
      </c>
      <c r="CL1785" t="s">
        <v>89</v>
      </c>
    </row>
    <row r="1786" spans="1:90" x14ac:dyDescent="0.3">
      <c r="A1786" t="s">
        <v>72</v>
      </c>
      <c r="B1786" t="s">
        <v>73</v>
      </c>
      <c r="C1786" t="s">
        <v>74</v>
      </c>
      <c r="E1786" t="str">
        <f>"080065321486"</f>
        <v>080065321486</v>
      </c>
      <c r="F1786" s="3">
        <v>45789</v>
      </c>
      <c r="G1786">
        <v>202602</v>
      </c>
      <c r="H1786" t="s">
        <v>75</v>
      </c>
      <c r="I1786" t="s">
        <v>76</v>
      </c>
      <c r="J1786" t="s">
        <v>1791</v>
      </c>
      <c r="K1786" t="s">
        <v>78</v>
      </c>
      <c r="L1786" t="s">
        <v>624</v>
      </c>
      <c r="M1786" t="s">
        <v>625</v>
      </c>
      <c r="N1786" t="s">
        <v>626</v>
      </c>
      <c r="O1786" t="s">
        <v>300</v>
      </c>
      <c r="P1786" t="str">
        <f>"4170037741                    "</f>
        <v xml:space="preserve">4170037741                    </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0</v>
      </c>
      <c r="AL1786">
        <v>0</v>
      </c>
      <c r="AM1786">
        <v>0</v>
      </c>
      <c r="AN1786">
        <v>0</v>
      </c>
      <c r="AO1786">
        <v>0</v>
      </c>
      <c r="AP1786">
        <v>0</v>
      </c>
      <c r="AQ1786">
        <v>58.32</v>
      </c>
      <c r="AR1786">
        <v>0</v>
      </c>
      <c r="AS1786">
        <v>0</v>
      </c>
      <c r="AT1786">
        <v>0</v>
      </c>
      <c r="AU1786">
        <v>0</v>
      </c>
      <c r="AV1786">
        <v>0</v>
      </c>
      <c r="AW1786">
        <v>0</v>
      </c>
      <c r="AX1786">
        <v>0</v>
      </c>
      <c r="AY1786">
        <v>0</v>
      </c>
      <c r="AZ1786">
        <v>0</v>
      </c>
      <c r="BA1786">
        <v>0</v>
      </c>
      <c r="BB1786">
        <v>0</v>
      </c>
      <c r="BC1786">
        <v>0</v>
      </c>
      <c r="BD1786">
        <v>0</v>
      </c>
      <c r="BE1786">
        <v>0</v>
      </c>
      <c r="BF1786">
        <v>0</v>
      </c>
      <c r="BG1786">
        <v>0</v>
      </c>
      <c r="BH1786">
        <v>1</v>
      </c>
      <c r="BI1786">
        <v>5</v>
      </c>
      <c r="BJ1786">
        <v>3.3</v>
      </c>
      <c r="BK1786">
        <v>5</v>
      </c>
      <c r="BL1786">
        <v>196.44</v>
      </c>
      <c r="BM1786">
        <v>29.47</v>
      </c>
      <c r="BN1786">
        <v>225.91</v>
      </c>
      <c r="BO1786">
        <v>225.91</v>
      </c>
      <c r="BQ1786" t="s">
        <v>1995</v>
      </c>
      <c r="BR1786" t="s">
        <v>1793</v>
      </c>
      <c r="BS1786" s="3">
        <v>45790</v>
      </c>
      <c r="BT1786" s="4">
        <v>0.34583333333333333</v>
      </c>
      <c r="BU1786" t="s">
        <v>1674</v>
      </c>
      <c r="BV1786" t="s">
        <v>86</v>
      </c>
      <c r="BY1786">
        <v>16704</v>
      </c>
      <c r="BZ1786" t="s">
        <v>1795</v>
      </c>
      <c r="CC1786" t="s">
        <v>625</v>
      </c>
      <c r="CD1786">
        <v>1947</v>
      </c>
      <c r="CE1786" t="s">
        <v>176</v>
      </c>
      <c r="CF1786" s="3">
        <v>45791</v>
      </c>
      <c r="CI1786">
        <v>1</v>
      </c>
      <c r="CJ1786">
        <v>1</v>
      </c>
      <c r="CK1786">
        <v>43</v>
      </c>
      <c r="CL1786" t="s">
        <v>89</v>
      </c>
    </row>
    <row r="1787" spans="1:90" x14ac:dyDescent="0.3">
      <c r="A1787" t="s">
        <v>72</v>
      </c>
      <c r="B1787" t="s">
        <v>73</v>
      </c>
      <c r="C1787" t="s">
        <v>74</v>
      </c>
      <c r="E1787" t="str">
        <f>"080065322805"</f>
        <v>080065322805</v>
      </c>
      <c r="F1787" s="3">
        <v>45789</v>
      </c>
      <c r="G1787">
        <v>202602</v>
      </c>
      <c r="H1787" t="s">
        <v>75</v>
      </c>
      <c r="I1787" t="s">
        <v>76</v>
      </c>
      <c r="J1787" t="s">
        <v>77</v>
      </c>
      <c r="K1787" t="s">
        <v>78</v>
      </c>
      <c r="L1787" t="s">
        <v>222</v>
      </c>
      <c r="M1787" t="s">
        <v>223</v>
      </c>
      <c r="N1787" t="s">
        <v>1369</v>
      </c>
      <c r="O1787" t="s">
        <v>300</v>
      </c>
      <c r="P1787" t="str">
        <f>"4170037735                    "</f>
        <v xml:space="preserve">4170037735                    </v>
      </c>
      <c r="Q1787">
        <v>0</v>
      </c>
      <c r="R1787">
        <v>0</v>
      </c>
      <c r="S1787">
        <v>0</v>
      </c>
      <c r="T1787">
        <v>0</v>
      </c>
      <c r="U1787">
        <v>0</v>
      </c>
      <c r="V1787">
        <v>0</v>
      </c>
      <c r="W1787">
        <v>0</v>
      </c>
      <c r="X1787">
        <v>0</v>
      </c>
      <c r="Y1787">
        <v>0</v>
      </c>
      <c r="Z1787">
        <v>0</v>
      </c>
      <c r="AA1787">
        <v>0</v>
      </c>
      <c r="AB1787">
        <v>0</v>
      </c>
      <c r="AC1787">
        <v>0</v>
      </c>
      <c r="AD1787">
        <v>0</v>
      </c>
      <c r="AE1787">
        <v>0</v>
      </c>
      <c r="AF1787">
        <v>0</v>
      </c>
      <c r="AG1787">
        <v>0</v>
      </c>
      <c r="AH1787">
        <v>0</v>
      </c>
      <c r="AI1787">
        <v>0</v>
      </c>
      <c r="AJ1787">
        <v>0</v>
      </c>
      <c r="AK1787">
        <v>0</v>
      </c>
      <c r="AL1787">
        <v>0</v>
      </c>
      <c r="AM1787">
        <v>0</v>
      </c>
      <c r="AN1787">
        <v>0</v>
      </c>
      <c r="AO1787">
        <v>0</v>
      </c>
      <c r="AP1787">
        <v>0</v>
      </c>
      <c r="AQ1787">
        <v>45.67</v>
      </c>
      <c r="AR1787">
        <v>0</v>
      </c>
      <c r="AS1787">
        <v>0</v>
      </c>
      <c r="AT1787">
        <v>0</v>
      </c>
      <c r="AU1787">
        <v>0</v>
      </c>
      <c r="AV1787">
        <v>0</v>
      </c>
      <c r="AW1787">
        <v>0</v>
      </c>
      <c r="AX1787">
        <v>0</v>
      </c>
      <c r="AY1787">
        <v>0</v>
      </c>
      <c r="AZ1787">
        <v>0</v>
      </c>
      <c r="BA1787">
        <v>0</v>
      </c>
      <c r="BB1787">
        <v>0</v>
      </c>
      <c r="BC1787">
        <v>0</v>
      </c>
      <c r="BD1787">
        <v>0</v>
      </c>
      <c r="BE1787">
        <v>0</v>
      </c>
      <c r="BF1787">
        <v>0</v>
      </c>
      <c r="BG1787">
        <v>0</v>
      </c>
      <c r="BH1787">
        <v>1</v>
      </c>
      <c r="BI1787">
        <v>3</v>
      </c>
      <c r="BJ1787">
        <v>4.0999999999999996</v>
      </c>
      <c r="BK1787">
        <v>5</v>
      </c>
      <c r="BL1787">
        <v>155.03</v>
      </c>
      <c r="BM1787">
        <v>23.25</v>
      </c>
      <c r="BN1787">
        <v>178.28</v>
      </c>
      <c r="BO1787">
        <v>178.28</v>
      </c>
      <c r="BQ1787" t="s">
        <v>1370</v>
      </c>
      <c r="BR1787" t="s">
        <v>84</v>
      </c>
      <c r="BS1787" s="3">
        <v>45790</v>
      </c>
      <c r="BT1787" s="4">
        <v>0.39583333333333331</v>
      </c>
      <c r="BU1787" t="s">
        <v>2339</v>
      </c>
      <c r="BV1787" t="s">
        <v>86</v>
      </c>
      <c r="BY1787">
        <v>20358</v>
      </c>
      <c r="BZ1787" t="s">
        <v>1795</v>
      </c>
      <c r="CA1787" t="s">
        <v>592</v>
      </c>
      <c r="CC1787" t="s">
        <v>223</v>
      </c>
      <c r="CD1787">
        <v>1748</v>
      </c>
      <c r="CE1787" t="s">
        <v>419</v>
      </c>
      <c r="CF1787" s="3">
        <v>45791</v>
      </c>
      <c r="CI1787">
        <v>1</v>
      </c>
      <c r="CJ1787">
        <v>1</v>
      </c>
      <c r="CK1787">
        <v>44</v>
      </c>
      <c r="CL1787" t="s">
        <v>89</v>
      </c>
    </row>
    <row r="1788" spans="1:90" x14ac:dyDescent="0.3">
      <c r="A1788" t="s">
        <v>72</v>
      </c>
      <c r="B1788" t="s">
        <v>73</v>
      </c>
      <c r="C1788" t="s">
        <v>74</v>
      </c>
      <c r="E1788" t="str">
        <f>"080065323168"</f>
        <v>080065323168</v>
      </c>
      <c r="F1788" s="3">
        <v>45789</v>
      </c>
      <c r="G1788">
        <v>202602</v>
      </c>
      <c r="H1788" t="s">
        <v>75</v>
      </c>
      <c r="I1788" t="s">
        <v>76</v>
      </c>
      <c r="J1788" t="s">
        <v>77</v>
      </c>
      <c r="K1788" t="s">
        <v>78</v>
      </c>
      <c r="L1788" t="s">
        <v>136</v>
      </c>
      <c r="M1788" t="s">
        <v>137</v>
      </c>
      <c r="N1788" t="s">
        <v>441</v>
      </c>
      <c r="O1788" t="s">
        <v>300</v>
      </c>
      <c r="P1788" t="str">
        <f>"4170037724                    "</f>
        <v xml:space="preserve">4170037724                    </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c r="AI1788">
        <v>0</v>
      </c>
      <c r="AJ1788">
        <v>0</v>
      </c>
      <c r="AK1788">
        <v>0</v>
      </c>
      <c r="AL1788">
        <v>0</v>
      </c>
      <c r="AM1788">
        <v>0</v>
      </c>
      <c r="AN1788">
        <v>0</v>
      </c>
      <c r="AO1788">
        <v>0</v>
      </c>
      <c r="AP1788">
        <v>0</v>
      </c>
      <c r="AQ1788">
        <v>41.35</v>
      </c>
      <c r="AR1788">
        <v>0</v>
      </c>
      <c r="AS1788">
        <v>0</v>
      </c>
      <c r="AT1788">
        <v>0</v>
      </c>
      <c r="AU1788">
        <v>0</v>
      </c>
      <c r="AV1788">
        <v>0</v>
      </c>
      <c r="AW1788">
        <v>0</v>
      </c>
      <c r="AX1788">
        <v>0</v>
      </c>
      <c r="AY1788">
        <v>0</v>
      </c>
      <c r="AZ1788">
        <v>0</v>
      </c>
      <c r="BA1788">
        <v>0</v>
      </c>
      <c r="BB1788">
        <v>0</v>
      </c>
      <c r="BC1788">
        <v>0</v>
      </c>
      <c r="BD1788">
        <v>0</v>
      </c>
      <c r="BE1788">
        <v>0</v>
      </c>
      <c r="BF1788">
        <v>0</v>
      </c>
      <c r="BG1788">
        <v>0</v>
      </c>
      <c r="BH1788">
        <v>1</v>
      </c>
      <c r="BI1788">
        <v>4</v>
      </c>
      <c r="BJ1788">
        <v>1.5</v>
      </c>
      <c r="BK1788">
        <v>4</v>
      </c>
      <c r="BL1788">
        <v>140.9</v>
      </c>
      <c r="BM1788">
        <v>21.14</v>
      </c>
      <c r="BN1788">
        <v>162.04</v>
      </c>
      <c r="BO1788">
        <v>162.04</v>
      </c>
      <c r="BQ1788" t="s">
        <v>442</v>
      </c>
      <c r="BR1788" t="s">
        <v>84</v>
      </c>
      <c r="BS1788" s="3">
        <v>45790</v>
      </c>
      <c r="BT1788" s="4">
        <v>0.5229166666666667</v>
      </c>
      <c r="BU1788" t="s">
        <v>1361</v>
      </c>
      <c r="BV1788" t="s">
        <v>86</v>
      </c>
      <c r="BY1788">
        <v>7540</v>
      </c>
      <c r="BZ1788" t="s">
        <v>1795</v>
      </c>
      <c r="CA1788" t="s">
        <v>575</v>
      </c>
      <c r="CC1788" t="s">
        <v>137</v>
      </c>
      <c r="CD1788" s="5" t="s">
        <v>444</v>
      </c>
      <c r="CE1788" t="s">
        <v>419</v>
      </c>
      <c r="CF1788" s="3">
        <v>45790</v>
      </c>
      <c r="CI1788">
        <v>1</v>
      </c>
      <c r="CJ1788">
        <v>1</v>
      </c>
      <c r="CK1788">
        <v>41</v>
      </c>
      <c r="CL1788" t="s">
        <v>89</v>
      </c>
    </row>
    <row r="1789" spans="1:90" x14ac:dyDescent="0.3">
      <c r="A1789" t="s">
        <v>72</v>
      </c>
      <c r="B1789" t="s">
        <v>73</v>
      </c>
      <c r="C1789" t="s">
        <v>74</v>
      </c>
      <c r="E1789" t="str">
        <f>"080065323848"</f>
        <v>080065323848</v>
      </c>
      <c r="F1789" s="3">
        <v>45789</v>
      </c>
      <c r="G1789">
        <v>202602</v>
      </c>
      <c r="H1789" t="s">
        <v>75</v>
      </c>
      <c r="I1789" t="s">
        <v>76</v>
      </c>
      <c r="J1789" t="s">
        <v>1791</v>
      </c>
      <c r="K1789" t="s">
        <v>78</v>
      </c>
      <c r="L1789" t="s">
        <v>151</v>
      </c>
      <c r="M1789" t="s">
        <v>152</v>
      </c>
      <c r="N1789" t="s">
        <v>2340</v>
      </c>
      <c r="O1789" t="s">
        <v>300</v>
      </c>
      <c r="P1789" t="str">
        <f>"4170037698                    "</f>
        <v xml:space="preserve">4170037698                    </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0</v>
      </c>
      <c r="AL1789">
        <v>0</v>
      </c>
      <c r="AM1789">
        <v>0</v>
      </c>
      <c r="AN1789">
        <v>0</v>
      </c>
      <c r="AO1789">
        <v>0</v>
      </c>
      <c r="AP1789">
        <v>0</v>
      </c>
      <c r="AQ1789">
        <v>58.32</v>
      </c>
      <c r="AR1789">
        <v>0</v>
      </c>
      <c r="AS1789">
        <v>0</v>
      </c>
      <c r="AT1789">
        <v>0</v>
      </c>
      <c r="AU1789">
        <v>0</v>
      </c>
      <c r="AV1789">
        <v>0</v>
      </c>
      <c r="AW1789">
        <v>0</v>
      </c>
      <c r="AX1789">
        <v>0</v>
      </c>
      <c r="AY1789">
        <v>0</v>
      </c>
      <c r="AZ1789">
        <v>0</v>
      </c>
      <c r="BA1789">
        <v>0</v>
      </c>
      <c r="BB1789">
        <v>0</v>
      </c>
      <c r="BC1789">
        <v>0</v>
      </c>
      <c r="BD1789">
        <v>0</v>
      </c>
      <c r="BE1789">
        <v>0</v>
      </c>
      <c r="BF1789">
        <v>0</v>
      </c>
      <c r="BG1789">
        <v>0</v>
      </c>
      <c r="BH1789">
        <v>1</v>
      </c>
      <c r="BI1789">
        <v>8</v>
      </c>
      <c r="BJ1789">
        <v>3.4</v>
      </c>
      <c r="BK1789">
        <v>8</v>
      </c>
      <c r="BL1789">
        <v>196.44</v>
      </c>
      <c r="BM1789">
        <v>29.47</v>
      </c>
      <c r="BN1789">
        <v>225.91</v>
      </c>
      <c r="BO1789">
        <v>225.91</v>
      </c>
      <c r="BQ1789" t="s">
        <v>2341</v>
      </c>
      <c r="BR1789" t="s">
        <v>1793</v>
      </c>
      <c r="BS1789" s="3">
        <v>45790</v>
      </c>
      <c r="BT1789" s="4">
        <v>0.42777777777777776</v>
      </c>
      <c r="BU1789" t="s">
        <v>2342</v>
      </c>
      <c r="BV1789" t="s">
        <v>86</v>
      </c>
      <c r="BY1789">
        <v>16965</v>
      </c>
      <c r="BZ1789" t="s">
        <v>1795</v>
      </c>
      <c r="CA1789" t="s">
        <v>2343</v>
      </c>
      <c r="CC1789" t="s">
        <v>152</v>
      </c>
      <c r="CD1789">
        <v>1939</v>
      </c>
      <c r="CE1789" t="s">
        <v>419</v>
      </c>
      <c r="CF1789" s="3">
        <v>45791</v>
      </c>
      <c r="CI1789">
        <v>1</v>
      </c>
      <c r="CJ1789">
        <v>1</v>
      </c>
      <c r="CK1789">
        <v>43</v>
      </c>
      <c r="CL1789" t="s">
        <v>89</v>
      </c>
    </row>
    <row r="1790" spans="1:90" x14ac:dyDescent="0.3">
      <c r="A1790" t="s">
        <v>72</v>
      </c>
      <c r="B1790" t="s">
        <v>73</v>
      </c>
      <c r="C1790" t="s">
        <v>74</v>
      </c>
      <c r="E1790" t="str">
        <f>"080065406001"</f>
        <v>080065406001</v>
      </c>
      <c r="F1790" s="3">
        <v>45793</v>
      </c>
      <c r="G1790">
        <v>202602</v>
      </c>
      <c r="H1790" t="s">
        <v>75</v>
      </c>
      <c r="I1790" t="s">
        <v>76</v>
      </c>
      <c r="J1790" t="s">
        <v>77</v>
      </c>
      <c r="K1790" t="s">
        <v>78</v>
      </c>
      <c r="L1790" t="s">
        <v>90</v>
      </c>
      <c r="M1790" t="s">
        <v>91</v>
      </c>
      <c r="N1790" t="s">
        <v>476</v>
      </c>
      <c r="O1790" t="s">
        <v>82</v>
      </c>
      <c r="P1790" t="str">
        <f>"4170038753                    "</f>
        <v xml:space="preserve">4170038753                    </v>
      </c>
      <c r="Q1790">
        <v>0</v>
      </c>
      <c r="R1790">
        <v>0</v>
      </c>
      <c r="S1790">
        <v>0</v>
      </c>
      <c r="T1790">
        <v>0</v>
      </c>
      <c r="U1790">
        <v>0</v>
      </c>
      <c r="V1790">
        <v>0</v>
      </c>
      <c r="W1790">
        <v>0</v>
      </c>
      <c r="X1790">
        <v>0</v>
      </c>
      <c r="Y1790">
        <v>0</v>
      </c>
      <c r="Z1790">
        <v>0</v>
      </c>
      <c r="AA1790">
        <v>0</v>
      </c>
      <c r="AB1790">
        <v>0</v>
      </c>
      <c r="AC1790">
        <v>0</v>
      </c>
      <c r="AD1790">
        <v>0</v>
      </c>
      <c r="AE1790">
        <v>0</v>
      </c>
      <c r="AF1790">
        <v>0</v>
      </c>
      <c r="AG1790">
        <v>0</v>
      </c>
      <c r="AH1790">
        <v>0</v>
      </c>
      <c r="AI1790">
        <v>0</v>
      </c>
      <c r="AJ1790">
        <v>0</v>
      </c>
      <c r="AK1790">
        <v>0</v>
      </c>
      <c r="AL1790">
        <v>0</v>
      </c>
      <c r="AM1790">
        <v>0</v>
      </c>
      <c r="AN1790">
        <v>0</v>
      </c>
      <c r="AO1790">
        <v>0</v>
      </c>
      <c r="AP1790">
        <v>0</v>
      </c>
      <c r="AQ1790">
        <v>21.38</v>
      </c>
      <c r="AR1790">
        <v>0</v>
      </c>
      <c r="AS1790">
        <v>0</v>
      </c>
      <c r="AT1790">
        <v>0</v>
      </c>
      <c r="AU1790">
        <v>0</v>
      </c>
      <c r="AV1790">
        <v>0</v>
      </c>
      <c r="AW1790">
        <v>0</v>
      </c>
      <c r="AX1790">
        <v>0</v>
      </c>
      <c r="AY1790">
        <v>0</v>
      </c>
      <c r="AZ1790">
        <v>0</v>
      </c>
      <c r="BA1790">
        <v>0</v>
      </c>
      <c r="BB1790">
        <v>0</v>
      </c>
      <c r="BC1790">
        <v>0</v>
      </c>
      <c r="BD1790">
        <v>0</v>
      </c>
      <c r="BE1790">
        <v>0</v>
      </c>
      <c r="BF1790">
        <v>0</v>
      </c>
      <c r="BG1790">
        <v>0</v>
      </c>
      <c r="BH1790">
        <v>1</v>
      </c>
      <c r="BI1790">
        <v>1</v>
      </c>
      <c r="BJ1790">
        <v>0.2</v>
      </c>
      <c r="BK1790">
        <v>1</v>
      </c>
      <c r="BL1790">
        <v>69.98</v>
      </c>
      <c r="BM1790">
        <v>10.5</v>
      </c>
      <c r="BN1790">
        <v>80.48</v>
      </c>
      <c r="BO1790">
        <v>80.48</v>
      </c>
      <c r="BQ1790" t="s">
        <v>477</v>
      </c>
      <c r="BR1790" t="s">
        <v>84</v>
      </c>
      <c r="BS1790" s="3">
        <v>45796</v>
      </c>
      <c r="BT1790" s="4">
        <v>0.40625</v>
      </c>
      <c r="BU1790" t="s">
        <v>478</v>
      </c>
      <c r="BV1790" t="s">
        <v>86</v>
      </c>
      <c r="BY1790">
        <v>1200</v>
      </c>
      <c r="CA1790" t="s">
        <v>2344</v>
      </c>
      <c r="CC1790" t="s">
        <v>91</v>
      </c>
      <c r="CD1790">
        <v>6001</v>
      </c>
      <c r="CE1790" t="s">
        <v>88</v>
      </c>
      <c r="CF1790" s="3">
        <v>45796</v>
      </c>
      <c r="CI1790">
        <v>1</v>
      </c>
      <c r="CJ1790">
        <v>1</v>
      </c>
      <c r="CK1790">
        <v>21</v>
      </c>
      <c r="CL1790" t="s">
        <v>89</v>
      </c>
    </row>
    <row r="1791" spans="1:90" x14ac:dyDescent="0.3">
      <c r="A1791" t="s">
        <v>72</v>
      </c>
      <c r="B1791" t="s">
        <v>73</v>
      </c>
      <c r="C1791" t="s">
        <v>74</v>
      </c>
      <c r="E1791" t="str">
        <f>"080065406035"</f>
        <v>080065406035</v>
      </c>
      <c r="F1791" s="3">
        <v>45793</v>
      </c>
      <c r="G1791">
        <v>202602</v>
      </c>
      <c r="H1791" t="s">
        <v>75</v>
      </c>
      <c r="I1791" t="s">
        <v>76</v>
      </c>
      <c r="J1791" t="s">
        <v>77</v>
      </c>
      <c r="K1791" t="s">
        <v>78</v>
      </c>
      <c r="L1791" t="s">
        <v>90</v>
      </c>
      <c r="M1791" t="s">
        <v>91</v>
      </c>
      <c r="N1791" t="s">
        <v>385</v>
      </c>
      <c r="O1791" t="s">
        <v>82</v>
      </c>
      <c r="P1791" t="str">
        <f>"4170038764                    "</f>
        <v xml:space="preserve">4170038764                    </v>
      </c>
      <c r="Q1791">
        <v>0</v>
      </c>
      <c r="R1791">
        <v>0</v>
      </c>
      <c r="S1791">
        <v>0</v>
      </c>
      <c r="T1791">
        <v>0</v>
      </c>
      <c r="U1791">
        <v>0</v>
      </c>
      <c r="V1791">
        <v>0</v>
      </c>
      <c r="W1791">
        <v>0</v>
      </c>
      <c r="X1791">
        <v>0</v>
      </c>
      <c r="Y1791">
        <v>0</v>
      </c>
      <c r="Z1791">
        <v>0</v>
      </c>
      <c r="AA1791">
        <v>0</v>
      </c>
      <c r="AB1791">
        <v>0</v>
      </c>
      <c r="AC1791">
        <v>0</v>
      </c>
      <c r="AD1791">
        <v>0</v>
      </c>
      <c r="AE1791">
        <v>0</v>
      </c>
      <c r="AF1791">
        <v>0</v>
      </c>
      <c r="AG1791">
        <v>0</v>
      </c>
      <c r="AH1791">
        <v>0</v>
      </c>
      <c r="AI1791">
        <v>0</v>
      </c>
      <c r="AJ1791">
        <v>0</v>
      </c>
      <c r="AK1791">
        <v>0</v>
      </c>
      <c r="AL1791">
        <v>0</v>
      </c>
      <c r="AM1791">
        <v>0</v>
      </c>
      <c r="AN1791">
        <v>0</v>
      </c>
      <c r="AO1791">
        <v>0</v>
      </c>
      <c r="AP1791">
        <v>0</v>
      </c>
      <c r="AQ1791">
        <v>21.38</v>
      </c>
      <c r="AR1791">
        <v>0</v>
      </c>
      <c r="AS1791">
        <v>0</v>
      </c>
      <c r="AT1791">
        <v>0</v>
      </c>
      <c r="AU1791">
        <v>0</v>
      </c>
      <c r="AV1791">
        <v>0</v>
      </c>
      <c r="AW1791">
        <v>0</v>
      </c>
      <c r="AX1791">
        <v>0</v>
      </c>
      <c r="AY1791">
        <v>0</v>
      </c>
      <c r="AZ1791">
        <v>0</v>
      </c>
      <c r="BA1791">
        <v>0</v>
      </c>
      <c r="BB1791">
        <v>0</v>
      </c>
      <c r="BC1791">
        <v>0</v>
      </c>
      <c r="BD1791">
        <v>0</v>
      </c>
      <c r="BE1791">
        <v>0</v>
      </c>
      <c r="BF1791">
        <v>0</v>
      </c>
      <c r="BG1791">
        <v>0</v>
      </c>
      <c r="BH1791">
        <v>1</v>
      </c>
      <c r="BI1791">
        <v>1</v>
      </c>
      <c r="BJ1791">
        <v>0.2</v>
      </c>
      <c r="BK1791">
        <v>1</v>
      </c>
      <c r="BL1791">
        <v>69.98</v>
      </c>
      <c r="BM1791">
        <v>10.5</v>
      </c>
      <c r="BN1791">
        <v>80.48</v>
      </c>
      <c r="BO1791">
        <v>80.48</v>
      </c>
      <c r="BQ1791" t="s">
        <v>386</v>
      </c>
      <c r="BR1791" t="s">
        <v>84</v>
      </c>
      <c r="BS1791" s="3">
        <v>45796</v>
      </c>
      <c r="BT1791" s="4">
        <v>0.41666666666666669</v>
      </c>
      <c r="BU1791" t="s">
        <v>387</v>
      </c>
      <c r="BV1791" t="s">
        <v>86</v>
      </c>
      <c r="BY1791">
        <v>1200</v>
      </c>
      <c r="CA1791" t="s">
        <v>95</v>
      </c>
      <c r="CC1791" t="s">
        <v>91</v>
      </c>
      <c r="CD1791">
        <v>6056</v>
      </c>
      <c r="CE1791" t="s">
        <v>88</v>
      </c>
      <c r="CF1791" s="3">
        <v>45797</v>
      </c>
      <c r="CI1791">
        <v>1</v>
      </c>
      <c r="CJ1791">
        <v>1</v>
      </c>
      <c r="CK1791">
        <v>21</v>
      </c>
      <c r="CL1791" t="s">
        <v>89</v>
      </c>
    </row>
    <row r="1792" spans="1:90" x14ac:dyDescent="0.3">
      <c r="A1792" t="s">
        <v>72</v>
      </c>
      <c r="B1792" t="s">
        <v>73</v>
      </c>
      <c r="C1792" t="s">
        <v>74</v>
      </c>
      <c r="E1792" t="str">
        <f>"080065406299"</f>
        <v>080065406299</v>
      </c>
      <c r="F1792" s="3">
        <v>45793</v>
      </c>
      <c r="G1792">
        <v>202602</v>
      </c>
      <c r="H1792" t="s">
        <v>75</v>
      </c>
      <c r="I1792" t="s">
        <v>76</v>
      </c>
      <c r="J1792" t="s">
        <v>77</v>
      </c>
      <c r="K1792" t="s">
        <v>78</v>
      </c>
      <c r="L1792" t="s">
        <v>90</v>
      </c>
      <c r="M1792" t="s">
        <v>91</v>
      </c>
      <c r="N1792" t="s">
        <v>841</v>
      </c>
      <c r="O1792" t="s">
        <v>82</v>
      </c>
      <c r="P1792" t="str">
        <f>"4170038859                    "</f>
        <v xml:space="preserve">4170038859                    </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c r="AJ1792">
        <v>0</v>
      </c>
      <c r="AK1792">
        <v>0</v>
      </c>
      <c r="AL1792">
        <v>0</v>
      </c>
      <c r="AM1792">
        <v>0</v>
      </c>
      <c r="AN1792">
        <v>0</v>
      </c>
      <c r="AO1792">
        <v>0</v>
      </c>
      <c r="AP1792">
        <v>0</v>
      </c>
      <c r="AQ1792">
        <v>21.38</v>
      </c>
      <c r="AR1792">
        <v>0</v>
      </c>
      <c r="AS1792">
        <v>0</v>
      </c>
      <c r="AT1792">
        <v>0</v>
      </c>
      <c r="AU1792">
        <v>0</v>
      </c>
      <c r="AV1792">
        <v>0</v>
      </c>
      <c r="AW1792">
        <v>0</v>
      </c>
      <c r="AX1792">
        <v>0</v>
      </c>
      <c r="AY1792">
        <v>0</v>
      </c>
      <c r="AZ1792">
        <v>0</v>
      </c>
      <c r="BA1792">
        <v>0</v>
      </c>
      <c r="BB1792">
        <v>0</v>
      </c>
      <c r="BC1792">
        <v>0</v>
      </c>
      <c r="BD1792">
        <v>0</v>
      </c>
      <c r="BE1792">
        <v>0</v>
      </c>
      <c r="BF1792">
        <v>0</v>
      </c>
      <c r="BG1792">
        <v>0</v>
      </c>
      <c r="BH1792">
        <v>1</v>
      </c>
      <c r="BI1792">
        <v>1</v>
      </c>
      <c r="BJ1792">
        <v>0.2</v>
      </c>
      <c r="BK1792">
        <v>1</v>
      </c>
      <c r="BL1792">
        <v>69.98</v>
      </c>
      <c r="BM1792">
        <v>10.5</v>
      </c>
      <c r="BN1792">
        <v>80.48</v>
      </c>
      <c r="BO1792">
        <v>80.48</v>
      </c>
      <c r="BQ1792" t="s">
        <v>842</v>
      </c>
      <c r="BR1792" t="s">
        <v>84</v>
      </c>
      <c r="BS1792" s="3">
        <v>45796</v>
      </c>
      <c r="BT1792" s="4">
        <v>0.42152777777777778</v>
      </c>
      <c r="BU1792" t="s">
        <v>1626</v>
      </c>
      <c r="BV1792" t="s">
        <v>86</v>
      </c>
      <c r="BY1792">
        <v>1200</v>
      </c>
      <c r="CC1792" t="s">
        <v>91</v>
      </c>
      <c r="CD1792">
        <v>6001</v>
      </c>
      <c r="CE1792" t="s">
        <v>1193</v>
      </c>
      <c r="CF1792" s="3">
        <v>45796</v>
      </c>
      <c r="CI1792">
        <v>1</v>
      </c>
      <c r="CJ1792">
        <v>1</v>
      </c>
      <c r="CK1792">
        <v>21</v>
      </c>
      <c r="CL1792" t="s">
        <v>89</v>
      </c>
    </row>
    <row r="1793" spans="1:90" x14ac:dyDescent="0.3">
      <c r="A1793" t="s">
        <v>72</v>
      </c>
      <c r="B1793" t="s">
        <v>73</v>
      </c>
      <c r="C1793" t="s">
        <v>74</v>
      </c>
      <c r="E1793" t="str">
        <f>"080065406354"</f>
        <v>080065406354</v>
      </c>
      <c r="F1793" s="3">
        <v>45793</v>
      </c>
      <c r="G1793">
        <v>202602</v>
      </c>
      <c r="H1793" t="s">
        <v>75</v>
      </c>
      <c r="I1793" t="s">
        <v>76</v>
      </c>
      <c r="J1793" t="s">
        <v>77</v>
      </c>
      <c r="K1793" t="s">
        <v>78</v>
      </c>
      <c r="L1793" t="s">
        <v>463</v>
      </c>
      <c r="M1793" t="s">
        <v>464</v>
      </c>
      <c r="N1793" t="s">
        <v>744</v>
      </c>
      <c r="O1793" t="s">
        <v>82</v>
      </c>
      <c r="P1793" t="str">
        <f>"4170038771                    "</f>
        <v xml:space="preserve">4170038771                    </v>
      </c>
      <c r="Q1793">
        <v>0</v>
      </c>
      <c r="R1793">
        <v>0</v>
      </c>
      <c r="S1793">
        <v>0</v>
      </c>
      <c r="T1793">
        <v>0</v>
      </c>
      <c r="U1793">
        <v>0</v>
      </c>
      <c r="V1793">
        <v>0</v>
      </c>
      <c r="W1793">
        <v>0</v>
      </c>
      <c r="X1793">
        <v>0</v>
      </c>
      <c r="Y1793">
        <v>0</v>
      </c>
      <c r="Z1793">
        <v>0</v>
      </c>
      <c r="AA1793">
        <v>0</v>
      </c>
      <c r="AB1793">
        <v>0</v>
      </c>
      <c r="AC1793">
        <v>0</v>
      </c>
      <c r="AD1793">
        <v>0</v>
      </c>
      <c r="AE1793">
        <v>0</v>
      </c>
      <c r="AF1793">
        <v>0</v>
      </c>
      <c r="AG1793">
        <v>0</v>
      </c>
      <c r="AH1793">
        <v>0</v>
      </c>
      <c r="AI1793">
        <v>0</v>
      </c>
      <c r="AJ1793">
        <v>0</v>
      </c>
      <c r="AK1793">
        <v>0</v>
      </c>
      <c r="AL1793">
        <v>0</v>
      </c>
      <c r="AM1793">
        <v>0</v>
      </c>
      <c r="AN1793">
        <v>0</v>
      </c>
      <c r="AO1793">
        <v>0</v>
      </c>
      <c r="AP1793">
        <v>0</v>
      </c>
      <c r="AQ1793">
        <v>21.38</v>
      </c>
      <c r="AR1793">
        <v>0</v>
      </c>
      <c r="AS1793">
        <v>0</v>
      </c>
      <c r="AT1793">
        <v>0</v>
      </c>
      <c r="AU1793">
        <v>0</v>
      </c>
      <c r="AV1793">
        <v>0</v>
      </c>
      <c r="AW1793">
        <v>0</v>
      </c>
      <c r="AX1793">
        <v>0</v>
      </c>
      <c r="AY1793">
        <v>0</v>
      </c>
      <c r="AZ1793">
        <v>0</v>
      </c>
      <c r="BA1793">
        <v>0</v>
      </c>
      <c r="BB1793">
        <v>0</v>
      </c>
      <c r="BC1793">
        <v>0</v>
      </c>
      <c r="BD1793">
        <v>0</v>
      </c>
      <c r="BE1793">
        <v>0</v>
      </c>
      <c r="BF1793">
        <v>0</v>
      </c>
      <c r="BG1793">
        <v>0</v>
      </c>
      <c r="BH1793">
        <v>1</v>
      </c>
      <c r="BI1793">
        <v>1</v>
      </c>
      <c r="BJ1793">
        <v>0.2</v>
      </c>
      <c r="BK1793">
        <v>1</v>
      </c>
      <c r="BL1793">
        <v>69.98</v>
      </c>
      <c r="BM1793">
        <v>10.5</v>
      </c>
      <c r="BN1793">
        <v>80.48</v>
      </c>
      <c r="BO1793">
        <v>80.48</v>
      </c>
      <c r="BQ1793" t="s">
        <v>745</v>
      </c>
      <c r="BR1793" t="s">
        <v>84</v>
      </c>
      <c r="BS1793" s="3">
        <v>45796</v>
      </c>
      <c r="BT1793" s="4">
        <v>0.40972222222222221</v>
      </c>
      <c r="BU1793" t="s">
        <v>746</v>
      </c>
      <c r="BV1793" t="s">
        <v>86</v>
      </c>
      <c r="BY1793">
        <v>1200</v>
      </c>
      <c r="CA1793" t="s">
        <v>588</v>
      </c>
      <c r="CC1793" t="s">
        <v>464</v>
      </c>
      <c r="CD1793">
        <v>5201</v>
      </c>
      <c r="CE1793" t="s">
        <v>88</v>
      </c>
      <c r="CF1793" s="3">
        <v>45797</v>
      </c>
      <c r="CI1793">
        <v>1</v>
      </c>
      <c r="CJ1793">
        <v>1</v>
      </c>
      <c r="CK1793">
        <v>21</v>
      </c>
      <c r="CL1793" t="s">
        <v>89</v>
      </c>
    </row>
    <row r="1794" spans="1:90" x14ac:dyDescent="0.3">
      <c r="A1794" t="s">
        <v>72</v>
      </c>
      <c r="B1794" t="s">
        <v>73</v>
      </c>
      <c r="C1794" t="s">
        <v>74</v>
      </c>
      <c r="E1794" t="str">
        <f>"080065406424"</f>
        <v>080065406424</v>
      </c>
      <c r="F1794" s="3">
        <v>45793</v>
      </c>
      <c r="G1794">
        <v>202602</v>
      </c>
      <c r="H1794" t="s">
        <v>75</v>
      </c>
      <c r="I1794" t="s">
        <v>76</v>
      </c>
      <c r="J1794" t="s">
        <v>77</v>
      </c>
      <c r="K1794" t="s">
        <v>78</v>
      </c>
      <c r="L1794" t="s">
        <v>177</v>
      </c>
      <c r="M1794" t="s">
        <v>178</v>
      </c>
      <c r="N1794" t="s">
        <v>393</v>
      </c>
      <c r="O1794" t="s">
        <v>82</v>
      </c>
      <c r="P1794" t="str">
        <f>"4170038779                    "</f>
        <v xml:space="preserve">4170038779                    </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c r="AJ1794">
        <v>0</v>
      </c>
      <c r="AK1794">
        <v>0</v>
      </c>
      <c r="AL1794">
        <v>0</v>
      </c>
      <c r="AM1794">
        <v>0</v>
      </c>
      <c r="AN1794">
        <v>0</v>
      </c>
      <c r="AO1794">
        <v>0</v>
      </c>
      <c r="AP1794">
        <v>0</v>
      </c>
      <c r="AQ1794">
        <v>21.38</v>
      </c>
      <c r="AR1794">
        <v>0</v>
      </c>
      <c r="AS1794">
        <v>0</v>
      </c>
      <c r="AT1794">
        <v>0</v>
      </c>
      <c r="AU1794">
        <v>0</v>
      </c>
      <c r="AV1794">
        <v>0</v>
      </c>
      <c r="AW1794">
        <v>0</v>
      </c>
      <c r="AX1794">
        <v>0</v>
      </c>
      <c r="AY1794">
        <v>0</v>
      </c>
      <c r="AZ1794">
        <v>0</v>
      </c>
      <c r="BA1794">
        <v>0</v>
      </c>
      <c r="BB1794">
        <v>0</v>
      </c>
      <c r="BC1794">
        <v>0</v>
      </c>
      <c r="BD1794">
        <v>0</v>
      </c>
      <c r="BE1794">
        <v>0</v>
      </c>
      <c r="BF1794">
        <v>0</v>
      </c>
      <c r="BG1794">
        <v>0</v>
      </c>
      <c r="BH1794">
        <v>1</v>
      </c>
      <c r="BI1794">
        <v>1</v>
      </c>
      <c r="BJ1794">
        <v>0.2</v>
      </c>
      <c r="BK1794">
        <v>1</v>
      </c>
      <c r="BL1794">
        <v>69.98</v>
      </c>
      <c r="BM1794">
        <v>10.5</v>
      </c>
      <c r="BN1794">
        <v>80.48</v>
      </c>
      <c r="BO1794">
        <v>80.48</v>
      </c>
      <c r="BQ1794" t="s">
        <v>394</v>
      </c>
      <c r="BR1794" t="s">
        <v>84</v>
      </c>
      <c r="BS1794" s="3">
        <v>45796</v>
      </c>
      <c r="BT1794" s="4">
        <v>0.33958333333333335</v>
      </c>
      <c r="BU1794" t="s">
        <v>2345</v>
      </c>
      <c r="BV1794" t="s">
        <v>86</v>
      </c>
      <c r="BY1794">
        <v>1200</v>
      </c>
      <c r="CA1794" t="s">
        <v>182</v>
      </c>
      <c r="CC1794" t="s">
        <v>178</v>
      </c>
      <c r="CD1794">
        <v>6230</v>
      </c>
      <c r="CE1794" t="s">
        <v>88</v>
      </c>
      <c r="CF1794" s="3">
        <v>45796</v>
      </c>
      <c r="CI1794">
        <v>1</v>
      </c>
      <c r="CJ1794">
        <v>1</v>
      </c>
      <c r="CK1794">
        <v>21</v>
      </c>
      <c r="CL1794" t="s">
        <v>89</v>
      </c>
    </row>
    <row r="1795" spans="1:90" x14ac:dyDescent="0.3">
      <c r="A1795" t="s">
        <v>72</v>
      </c>
      <c r="B1795" t="s">
        <v>73</v>
      </c>
      <c r="C1795" t="s">
        <v>74</v>
      </c>
      <c r="E1795" t="str">
        <f>"080065406479"</f>
        <v>080065406479</v>
      </c>
      <c r="F1795" s="3">
        <v>45793</v>
      </c>
      <c r="G1795">
        <v>202602</v>
      </c>
      <c r="H1795" t="s">
        <v>75</v>
      </c>
      <c r="I1795" t="s">
        <v>76</v>
      </c>
      <c r="J1795" t="s">
        <v>77</v>
      </c>
      <c r="K1795" t="s">
        <v>78</v>
      </c>
      <c r="L1795" t="s">
        <v>90</v>
      </c>
      <c r="M1795" t="s">
        <v>91</v>
      </c>
      <c r="N1795" t="s">
        <v>543</v>
      </c>
      <c r="O1795" t="s">
        <v>82</v>
      </c>
      <c r="P1795" t="str">
        <f>"4170038885                    "</f>
        <v xml:space="preserve">4170038885                    </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0</v>
      </c>
      <c r="AL1795">
        <v>0</v>
      </c>
      <c r="AM1795">
        <v>0</v>
      </c>
      <c r="AN1795">
        <v>0</v>
      </c>
      <c r="AO1795">
        <v>0</v>
      </c>
      <c r="AP1795">
        <v>0</v>
      </c>
      <c r="AQ1795">
        <v>21.38</v>
      </c>
      <c r="AR1795">
        <v>0</v>
      </c>
      <c r="AS1795">
        <v>0</v>
      </c>
      <c r="AT1795">
        <v>0</v>
      </c>
      <c r="AU1795">
        <v>0</v>
      </c>
      <c r="AV1795">
        <v>0</v>
      </c>
      <c r="AW1795">
        <v>0</v>
      </c>
      <c r="AX1795">
        <v>0</v>
      </c>
      <c r="AY1795">
        <v>0</v>
      </c>
      <c r="AZ1795">
        <v>0</v>
      </c>
      <c r="BA1795">
        <v>0</v>
      </c>
      <c r="BB1795">
        <v>0</v>
      </c>
      <c r="BC1795">
        <v>0</v>
      </c>
      <c r="BD1795">
        <v>0</v>
      </c>
      <c r="BE1795">
        <v>0</v>
      </c>
      <c r="BF1795">
        <v>0</v>
      </c>
      <c r="BG1795">
        <v>0</v>
      </c>
      <c r="BH1795">
        <v>1</v>
      </c>
      <c r="BI1795">
        <v>1</v>
      </c>
      <c r="BJ1795">
        <v>0.2</v>
      </c>
      <c r="BK1795">
        <v>1</v>
      </c>
      <c r="BL1795">
        <v>69.98</v>
      </c>
      <c r="BM1795">
        <v>10.5</v>
      </c>
      <c r="BN1795">
        <v>80.48</v>
      </c>
      <c r="BO1795">
        <v>80.48</v>
      </c>
      <c r="BQ1795" t="s">
        <v>544</v>
      </c>
      <c r="BR1795" t="s">
        <v>84</v>
      </c>
      <c r="BS1795" s="3">
        <v>45796</v>
      </c>
      <c r="BT1795" s="4">
        <v>0.37013888888888891</v>
      </c>
      <c r="BU1795" t="s">
        <v>1713</v>
      </c>
      <c r="BV1795" t="s">
        <v>86</v>
      </c>
      <c r="BY1795">
        <v>1200</v>
      </c>
      <c r="CA1795" t="s">
        <v>283</v>
      </c>
      <c r="CC1795" t="s">
        <v>91</v>
      </c>
      <c r="CD1795">
        <v>6001</v>
      </c>
      <c r="CE1795" t="s">
        <v>88</v>
      </c>
      <c r="CF1795" s="3">
        <v>45796</v>
      </c>
      <c r="CI1795">
        <v>1</v>
      </c>
      <c r="CJ1795">
        <v>1</v>
      </c>
      <c r="CK1795">
        <v>21</v>
      </c>
      <c r="CL1795" t="s">
        <v>89</v>
      </c>
    </row>
    <row r="1796" spans="1:90" x14ac:dyDescent="0.3">
      <c r="A1796" t="s">
        <v>72</v>
      </c>
      <c r="B1796" t="s">
        <v>73</v>
      </c>
      <c r="C1796" t="s">
        <v>74</v>
      </c>
      <c r="E1796" t="str">
        <f>"080065406539"</f>
        <v>080065406539</v>
      </c>
      <c r="F1796" s="3">
        <v>45793</v>
      </c>
      <c r="G1796">
        <v>202602</v>
      </c>
      <c r="H1796" t="s">
        <v>75</v>
      </c>
      <c r="I1796" t="s">
        <v>76</v>
      </c>
      <c r="J1796" t="s">
        <v>77</v>
      </c>
      <c r="K1796" t="s">
        <v>78</v>
      </c>
      <c r="L1796" t="s">
        <v>130</v>
      </c>
      <c r="M1796" t="s">
        <v>131</v>
      </c>
      <c r="N1796" t="s">
        <v>709</v>
      </c>
      <c r="O1796" t="s">
        <v>82</v>
      </c>
      <c r="P1796" t="str">
        <f>"4170038869                    "</f>
        <v xml:space="preserve">4170038869                    </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c r="AI1796">
        <v>0</v>
      </c>
      <c r="AJ1796">
        <v>0</v>
      </c>
      <c r="AK1796">
        <v>0</v>
      </c>
      <c r="AL1796">
        <v>0</v>
      </c>
      <c r="AM1796">
        <v>0</v>
      </c>
      <c r="AN1796">
        <v>0</v>
      </c>
      <c r="AO1796">
        <v>0</v>
      </c>
      <c r="AP1796">
        <v>0</v>
      </c>
      <c r="AQ1796">
        <v>21.38</v>
      </c>
      <c r="AR1796">
        <v>0</v>
      </c>
      <c r="AS1796">
        <v>0</v>
      </c>
      <c r="AT1796">
        <v>0</v>
      </c>
      <c r="AU1796">
        <v>0</v>
      </c>
      <c r="AV1796">
        <v>0</v>
      </c>
      <c r="AW1796">
        <v>0</v>
      </c>
      <c r="AX1796">
        <v>0</v>
      </c>
      <c r="AY1796">
        <v>0</v>
      </c>
      <c r="AZ1796">
        <v>0</v>
      </c>
      <c r="BA1796">
        <v>0</v>
      </c>
      <c r="BB1796">
        <v>0</v>
      </c>
      <c r="BC1796">
        <v>0</v>
      </c>
      <c r="BD1796">
        <v>0</v>
      </c>
      <c r="BE1796">
        <v>0</v>
      </c>
      <c r="BF1796">
        <v>0</v>
      </c>
      <c r="BG1796">
        <v>0</v>
      </c>
      <c r="BH1796">
        <v>1</v>
      </c>
      <c r="BI1796">
        <v>1</v>
      </c>
      <c r="BJ1796">
        <v>0.6</v>
      </c>
      <c r="BK1796">
        <v>1</v>
      </c>
      <c r="BL1796">
        <v>69.98</v>
      </c>
      <c r="BM1796">
        <v>10.5</v>
      </c>
      <c r="BN1796">
        <v>80.48</v>
      </c>
      <c r="BO1796">
        <v>80.48</v>
      </c>
      <c r="BQ1796" t="s">
        <v>710</v>
      </c>
      <c r="BR1796" t="s">
        <v>84</v>
      </c>
      <c r="BS1796" s="3">
        <v>45796</v>
      </c>
      <c r="BT1796" s="4">
        <v>0.35625000000000001</v>
      </c>
      <c r="BU1796" t="s">
        <v>711</v>
      </c>
      <c r="BV1796" t="s">
        <v>86</v>
      </c>
      <c r="BY1796">
        <v>3192</v>
      </c>
      <c r="CA1796" t="s">
        <v>712</v>
      </c>
      <c r="CC1796" t="s">
        <v>131</v>
      </c>
      <c r="CD1796">
        <v>7530</v>
      </c>
      <c r="CE1796" t="s">
        <v>116</v>
      </c>
      <c r="CF1796" s="3">
        <v>45797</v>
      </c>
      <c r="CI1796">
        <v>1</v>
      </c>
      <c r="CJ1796">
        <v>1</v>
      </c>
      <c r="CK1796">
        <v>21</v>
      </c>
      <c r="CL1796" t="s">
        <v>89</v>
      </c>
    </row>
    <row r="1797" spans="1:90" x14ac:dyDescent="0.3">
      <c r="A1797" t="s">
        <v>72</v>
      </c>
      <c r="B1797" t="s">
        <v>73</v>
      </c>
      <c r="C1797" t="s">
        <v>74</v>
      </c>
      <c r="E1797" t="str">
        <f>"080065406626"</f>
        <v>080065406626</v>
      </c>
      <c r="F1797" s="3">
        <v>45793</v>
      </c>
      <c r="G1797">
        <v>202602</v>
      </c>
      <c r="H1797" t="s">
        <v>75</v>
      </c>
      <c r="I1797" t="s">
        <v>76</v>
      </c>
      <c r="J1797" t="s">
        <v>77</v>
      </c>
      <c r="K1797" t="s">
        <v>78</v>
      </c>
      <c r="L1797" t="s">
        <v>350</v>
      </c>
      <c r="M1797" t="s">
        <v>351</v>
      </c>
      <c r="N1797" t="s">
        <v>876</v>
      </c>
      <c r="O1797" t="s">
        <v>82</v>
      </c>
      <c r="P1797" t="str">
        <f>"4170038813                    "</f>
        <v xml:space="preserve">4170038813                    </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c r="AJ1797">
        <v>0</v>
      </c>
      <c r="AK1797">
        <v>0</v>
      </c>
      <c r="AL1797">
        <v>0</v>
      </c>
      <c r="AM1797">
        <v>0</v>
      </c>
      <c r="AN1797">
        <v>0</v>
      </c>
      <c r="AO1797">
        <v>0</v>
      </c>
      <c r="AP1797">
        <v>0</v>
      </c>
      <c r="AQ1797">
        <v>21.38</v>
      </c>
      <c r="AR1797">
        <v>0</v>
      </c>
      <c r="AS1797">
        <v>0</v>
      </c>
      <c r="AT1797">
        <v>0</v>
      </c>
      <c r="AU1797">
        <v>0</v>
      </c>
      <c r="AV1797">
        <v>0</v>
      </c>
      <c r="AW1797">
        <v>0</v>
      </c>
      <c r="AX1797">
        <v>0</v>
      </c>
      <c r="AY1797">
        <v>0</v>
      </c>
      <c r="AZ1797">
        <v>0</v>
      </c>
      <c r="BA1797">
        <v>0</v>
      </c>
      <c r="BB1797">
        <v>0</v>
      </c>
      <c r="BC1797">
        <v>0</v>
      </c>
      <c r="BD1797">
        <v>0</v>
      </c>
      <c r="BE1797">
        <v>0</v>
      </c>
      <c r="BF1797">
        <v>0</v>
      </c>
      <c r="BG1797">
        <v>0</v>
      </c>
      <c r="BH1797">
        <v>1</v>
      </c>
      <c r="BI1797">
        <v>2</v>
      </c>
      <c r="BJ1797">
        <v>1.4</v>
      </c>
      <c r="BK1797">
        <v>2</v>
      </c>
      <c r="BL1797">
        <v>69.98</v>
      </c>
      <c r="BM1797">
        <v>10.5</v>
      </c>
      <c r="BN1797">
        <v>80.48</v>
      </c>
      <c r="BO1797">
        <v>80.48</v>
      </c>
      <c r="BQ1797" t="s">
        <v>1409</v>
      </c>
      <c r="BR1797" t="s">
        <v>84</v>
      </c>
      <c r="BS1797" s="3">
        <v>45796</v>
      </c>
      <c r="BT1797" s="4">
        <v>0.41666666666666669</v>
      </c>
      <c r="BU1797" t="s">
        <v>2346</v>
      </c>
      <c r="BV1797" t="s">
        <v>86</v>
      </c>
      <c r="BY1797">
        <v>7000</v>
      </c>
      <c r="CA1797" t="s">
        <v>1410</v>
      </c>
      <c r="CC1797" t="s">
        <v>351</v>
      </c>
      <c r="CD1797">
        <v>4001</v>
      </c>
      <c r="CE1797" t="s">
        <v>96</v>
      </c>
      <c r="CF1797" s="3">
        <v>45796</v>
      </c>
      <c r="CI1797">
        <v>1</v>
      </c>
      <c r="CJ1797">
        <v>1</v>
      </c>
      <c r="CK1797">
        <v>21</v>
      </c>
      <c r="CL1797" t="s">
        <v>89</v>
      </c>
    </row>
    <row r="1798" spans="1:90" x14ac:dyDescent="0.3">
      <c r="A1798" t="s">
        <v>72</v>
      </c>
      <c r="B1798" t="s">
        <v>73</v>
      </c>
      <c r="C1798" t="s">
        <v>74</v>
      </c>
      <c r="E1798" t="str">
        <f>"080065406689"</f>
        <v>080065406689</v>
      </c>
      <c r="F1798" s="3">
        <v>45793</v>
      </c>
      <c r="G1798">
        <v>202602</v>
      </c>
      <c r="H1798" t="s">
        <v>75</v>
      </c>
      <c r="I1798" t="s">
        <v>76</v>
      </c>
      <c r="J1798" t="s">
        <v>77</v>
      </c>
      <c r="K1798" t="s">
        <v>78</v>
      </c>
      <c r="L1798" t="s">
        <v>90</v>
      </c>
      <c r="M1798" t="s">
        <v>91</v>
      </c>
      <c r="N1798" t="s">
        <v>385</v>
      </c>
      <c r="O1798" t="s">
        <v>82</v>
      </c>
      <c r="P1798" t="str">
        <f>"4170038591                    "</f>
        <v xml:space="preserve">4170038591                    </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0</v>
      </c>
      <c r="AL1798">
        <v>0</v>
      </c>
      <c r="AM1798">
        <v>0</v>
      </c>
      <c r="AN1798">
        <v>0</v>
      </c>
      <c r="AO1798">
        <v>0</v>
      </c>
      <c r="AP1798">
        <v>0</v>
      </c>
      <c r="AQ1798">
        <v>106.85</v>
      </c>
      <c r="AR1798">
        <v>0</v>
      </c>
      <c r="AS1798">
        <v>0</v>
      </c>
      <c r="AT1798">
        <v>0</v>
      </c>
      <c r="AU1798">
        <v>0</v>
      </c>
      <c r="AV1798">
        <v>0</v>
      </c>
      <c r="AW1798">
        <v>0</v>
      </c>
      <c r="AX1798">
        <v>0</v>
      </c>
      <c r="AY1798">
        <v>0</v>
      </c>
      <c r="AZ1798">
        <v>0</v>
      </c>
      <c r="BA1798">
        <v>0</v>
      </c>
      <c r="BB1798">
        <v>0</v>
      </c>
      <c r="BC1798">
        <v>0</v>
      </c>
      <c r="BD1798">
        <v>0</v>
      </c>
      <c r="BE1798">
        <v>0</v>
      </c>
      <c r="BF1798">
        <v>0</v>
      </c>
      <c r="BG1798">
        <v>0</v>
      </c>
      <c r="BH1798">
        <v>1</v>
      </c>
      <c r="BI1798">
        <v>10</v>
      </c>
      <c r="BJ1798">
        <v>3.4</v>
      </c>
      <c r="BK1798">
        <v>10</v>
      </c>
      <c r="BL1798">
        <v>349.69</v>
      </c>
      <c r="BM1798">
        <v>52.45</v>
      </c>
      <c r="BN1798">
        <v>402.14</v>
      </c>
      <c r="BO1798">
        <v>402.14</v>
      </c>
      <c r="BQ1798" t="s">
        <v>386</v>
      </c>
      <c r="BR1798" t="s">
        <v>84</v>
      </c>
      <c r="BS1798" s="3">
        <v>45796</v>
      </c>
      <c r="BT1798" s="4">
        <v>0.41666666666666669</v>
      </c>
      <c r="BU1798" t="s">
        <v>387</v>
      </c>
      <c r="BV1798" t="s">
        <v>86</v>
      </c>
      <c r="BY1798">
        <v>16965</v>
      </c>
      <c r="CA1798" t="s">
        <v>95</v>
      </c>
      <c r="CC1798" t="s">
        <v>91</v>
      </c>
      <c r="CD1798">
        <v>6056</v>
      </c>
      <c r="CE1798" t="s">
        <v>96</v>
      </c>
      <c r="CF1798" s="3">
        <v>45797</v>
      </c>
      <c r="CI1798">
        <v>1</v>
      </c>
      <c r="CJ1798">
        <v>1</v>
      </c>
      <c r="CK1798">
        <v>21</v>
      </c>
      <c r="CL1798" t="s">
        <v>89</v>
      </c>
    </row>
    <row r="1799" spans="1:90" x14ac:dyDescent="0.3">
      <c r="A1799" t="s">
        <v>72</v>
      </c>
      <c r="B1799" t="s">
        <v>73</v>
      </c>
      <c r="C1799" t="s">
        <v>74</v>
      </c>
      <c r="E1799" t="str">
        <f>"080065407070"</f>
        <v>080065407070</v>
      </c>
      <c r="F1799" s="3">
        <v>45793</v>
      </c>
      <c r="G1799">
        <v>202602</v>
      </c>
      <c r="H1799" t="s">
        <v>75</v>
      </c>
      <c r="I1799" t="s">
        <v>76</v>
      </c>
      <c r="J1799" t="s">
        <v>77</v>
      </c>
      <c r="K1799" t="s">
        <v>78</v>
      </c>
      <c r="L1799" t="s">
        <v>136</v>
      </c>
      <c r="M1799" t="s">
        <v>137</v>
      </c>
      <c r="N1799" t="s">
        <v>161</v>
      </c>
      <c r="O1799" t="s">
        <v>82</v>
      </c>
      <c r="P1799" t="str">
        <f>"4170038776                    "</f>
        <v xml:space="preserve">4170038776                    </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c r="AK1799">
        <v>0</v>
      </c>
      <c r="AL1799">
        <v>0</v>
      </c>
      <c r="AM1799">
        <v>0</v>
      </c>
      <c r="AN1799">
        <v>0</v>
      </c>
      <c r="AO1799">
        <v>0</v>
      </c>
      <c r="AP1799">
        <v>0</v>
      </c>
      <c r="AQ1799">
        <v>37.409999999999997</v>
      </c>
      <c r="AR1799">
        <v>0</v>
      </c>
      <c r="AS1799">
        <v>0</v>
      </c>
      <c r="AT1799">
        <v>0</v>
      </c>
      <c r="AU1799">
        <v>0</v>
      </c>
      <c r="AV1799">
        <v>0</v>
      </c>
      <c r="AW1799">
        <v>0</v>
      </c>
      <c r="AX1799">
        <v>0</v>
      </c>
      <c r="AY1799">
        <v>0</v>
      </c>
      <c r="AZ1799">
        <v>0</v>
      </c>
      <c r="BA1799">
        <v>0</v>
      </c>
      <c r="BB1799">
        <v>0</v>
      </c>
      <c r="BC1799">
        <v>0</v>
      </c>
      <c r="BD1799">
        <v>0</v>
      </c>
      <c r="BE1799">
        <v>0</v>
      </c>
      <c r="BF1799">
        <v>0</v>
      </c>
      <c r="BG1799">
        <v>0</v>
      </c>
      <c r="BH1799">
        <v>1</v>
      </c>
      <c r="BI1799">
        <v>1</v>
      </c>
      <c r="BJ1799">
        <v>3.4</v>
      </c>
      <c r="BK1799">
        <v>3.5</v>
      </c>
      <c r="BL1799">
        <v>122.43</v>
      </c>
      <c r="BM1799">
        <v>18.36</v>
      </c>
      <c r="BN1799">
        <v>140.79</v>
      </c>
      <c r="BO1799">
        <v>140.79</v>
      </c>
      <c r="BQ1799" t="s">
        <v>162</v>
      </c>
      <c r="BR1799" t="s">
        <v>84</v>
      </c>
      <c r="BS1799" s="3">
        <v>45796</v>
      </c>
      <c r="BT1799" s="4">
        <v>0.38333333333333336</v>
      </c>
      <c r="BU1799" t="s">
        <v>2347</v>
      </c>
      <c r="BV1799" t="s">
        <v>86</v>
      </c>
      <c r="BY1799">
        <v>16965</v>
      </c>
      <c r="CC1799" t="s">
        <v>137</v>
      </c>
      <c r="CD1799" s="5" t="s">
        <v>165</v>
      </c>
      <c r="CE1799" t="s">
        <v>96</v>
      </c>
      <c r="CF1799" s="3">
        <v>45796</v>
      </c>
      <c r="CI1799">
        <v>1</v>
      </c>
      <c r="CJ1799">
        <v>1</v>
      </c>
      <c r="CK1799">
        <v>21</v>
      </c>
      <c r="CL1799" t="s">
        <v>89</v>
      </c>
    </row>
    <row r="1800" spans="1:90" x14ac:dyDescent="0.3">
      <c r="A1800" t="s">
        <v>72</v>
      </c>
      <c r="B1800" t="s">
        <v>73</v>
      </c>
      <c r="C1800" t="s">
        <v>74</v>
      </c>
      <c r="E1800" t="str">
        <f>"080065407118"</f>
        <v>080065407118</v>
      </c>
      <c r="F1800" s="3">
        <v>45793</v>
      </c>
      <c r="G1800">
        <v>202602</v>
      </c>
      <c r="H1800" t="s">
        <v>75</v>
      </c>
      <c r="I1800" t="s">
        <v>76</v>
      </c>
      <c r="J1800" t="s">
        <v>77</v>
      </c>
      <c r="K1800" t="s">
        <v>78</v>
      </c>
      <c r="L1800" t="s">
        <v>75</v>
      </c>
      <c r="M1800" t="s">
        <v>76</v>
      </c>
      <c r="N1800" t="s">
        <v>803</v>
      </c>
      <c r="O1800" t="s">
        <v>82</v>
      </c>
      <c r="P1800" t="str">
        <f>"4170038763                    "</f>
        <v xml:space="preserve">4170038763                    </v>
      </c>
      <c r="Q1800">
        <v>0</v>
      </c>
      <c r="R1800">
        <v>0</v>
      </c>
      <c r="S1800">
        <v>0</v>
      </c>
      <c r="T1800">
        <v>0</v>
      </c>
      <c r="U1800">
        <v>0</v>
      </c>
      <c r="V1800">
        <v>0</v>
      </c>
      <c r="W1800">
        <v>0</v>
      </c>
      <c r="X1800">
        <v>0</v>
      </c>
      <c r="Y1800">
        <v>0</v>
      </c>
      <c r="Z1800">
        <v>0</v>
      </c>
      <c r="AA1800">
        <v>0</v>
      </c>
      <c r="AB1800">
        <v>0</v>
      </c>
      <c r="AC1800">
        <v>0</v>
      </c>
      <c r="AD1800">
        <v>0</v>
      </c>
      <c r="AE1800">
        <v>0</v>
      </c>
      <c r="AF1800">
        <v>0</v>
      </c>
      <c r="AG1800">
        <v>0</v>
      </c>
      <c r="AH1800">
        <v>0</v>
      </c>
      <c r="AI1800">
        <v>0</v>
      </c>
      <c r="AJ1800">
        <v>0</v>
      </c>
      <c r="AK1800">
        <v>0</v>
      </c>
      <c r="AL1800">
        <v>0</v>
      </c>
      <c r="AM1800">
        <v>0</v>
      </c>
      <c r="AN1800">
        <v>0</v>
      </c>
      <c r="AO1800">
        <v>0</v>
      </c>
      <c r="AP1800">
        <v>0</v>
      </c>
      <c r="AQ1800">
        <v>16.7</v>
      </c>
      <c r="AR1800">
        <v>0</v>
      </c>
      <c r="AS1800">
        <v>0</v>
      </c>
      <c r="AT1800">
        <v>0</v>
      </c>
      <c r="AU1800">
        <v>0</v>
      </c>
      <c r="AV1800">
        <v>0</v>
      </c>
      <c r="AW1800">
        <v>0</v>
      </c>
      <c r="AX1800">
        <v>0</v>
      </c>
      <c r="AY1800">
        <v>0</v>
      </c>
      <c r="AZ1800">
        <v>0</v>
      </c>
      <c r="BA1800">
        <v>0</v>
      </c>
      <c r="BB1800">
        <v>0</v>
      </c>
      <c r="BC1800">
        <v>0</v>
      </c>
      <c r="BD1800">
        <v>0</v>
      </c>
      <c r="BE1800">
        <v>0</v>
      </c>
      <c r="BF1800">
        <v>0</v>
      </c>
      <c r="BG1800">
        <v>0</v>
      </c>
      <c r="BH1800">
        <v>1</v>
      </c>
      <c r="BI1800">
        <v>3</v>
      </c>
      <c r="BJ1800">
        <v>1.1000000000000001</v>
      </c>
      <c r="BK1800">
        <v>3</v>
      </c>
      <c r="BL1800">
        <v>54.66</v>
      </c>
      <c r="BM1800">
        <v>8.1999999999999993</v>
      </c>
      <c r="BN1800">
        <v>62.86</v>
      </c>
      <c r="BO1800">
        <v>62.86</v>
      </c>
      <c r="BQ1800" t="s">
        <v>804</v>
      </c>
      <c r="BR1800" t="s">
        <v>84</v>
      </c>
      <c r="BS1800" s="3">
        <v>45796</v>
      </c>
      <c r="BT1800" s="4">
        <v>0.39930555555555558</v>
      </c>
      <c r="BU1800" t="s">
        <v>1545</v>
      </c>
      <c r="BV1800" t="s">
        <v>86</v>
      </c>
      <c r="BY1800">
        <v>5320</v>
      </c>
      <c r="CA1800" t="s">
        <v>484</v>
      </c>
      <c r="CC1800" t="s">
        <v>76</v>
      </c>
      <c r="CD1800">
        <v>1619</v>
      </c>
      <c r="CE1800" t="s">
        <v>116</v>
      </c>
      <c r="CF1800" s="3">
        <v>45796</v>
      </c>
      <c r="CI1800">
        <v>1</v>
      </c>
      <c r="CJ1800">
        <v>1</v>
      </c>
      <c r="CK1800">
        <v>22</v>
      </c>
      <c r="CL1800" t="s">
        <v>89</v>
      </c>
    </row>
    <row r="1801" spans="1:90" x14ac:dyDescent="0.3">
      <c r="A1801" t="s">
        <v>72</v>
      </c>
      <c r="B1801" t="s">
        <v>73</v>
      </c>
      <c r="C1801" t="s">
        <v>74</v>
      </c>
      <c r="E1801" t="str">
        <f>"080065408234"</f>
        <v>080065408234</v>
      </c>
      <c r="F1801" s="3">
        <v>45793</v>
      </c>
      <c r="G1801">
        <v>202602</v>
      </c>
      <c r="H1801" t="s">
        <v>75</v>
      </c>
      <c r="I1801" t="s">
        <v>76</v>
      </c>
      <c r="J1801" t="s">
        <v>77</v>
      </c>
      <c r="K1801" t="s">
        <v>78</v>
      </c>
      <c r="L1801" t="s">
        <v>489</v>
      </c>
      <c r="M1801" t="s">
        <v>490</v>
      </c>
      <c r="N1801" t="s">
        <v>491</v>
      </c>
      <c r="O1801" t="s">
        <v>82</v>
      </c>
      <c r="P1801" t="str">
        <f>"4170038852                    "</f>
        <v xml:space="preserve">4170038852                    </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0</v>
      </c>
      <c r="AK1801">
        <v>0</v>
      </c>
      <c r="AL1801">
        <v>0</v>
      </c>
      <c r="AM1801">
        <v>0</v>
      </c>
      <c r="AN1801">
        <v>0</v>
      </c>
      <c r="AO1801">
        <v>0</v>
      </c>
      <c r="AP1801">
        <v>0</v>
      </c>
      <c r="AQ1801">
        <v>60.14</v>
      </c>
      <c r="AR1801">
        <v>0</v>
      </c>
      <c r="AS1801">
        <v>0</v>
      </c>
      <c r="AT1801">
        <v>0</v>
      </c>
      <c r="AU1801">
        <v>0</v>
      </c>
      <c r="AV1801">
        <v>0</v>
      </c>
      <c r="AW1801">
        <v>0</v>
      </c>
      <c r="AX1801">
        <v>0</v>
      </c>
      <c r="AY1801">
        <v>0</v>
      </c>
      <c r="AZ1801">
        <v>0</v>
      </c>
      <c r="BA1801">
        <v>0</v>
      </c>
      <c r="BB1801">
        <v>0</v>
      </c>
      <c r="BC1801">
        <v>0</v>
      </c>
      <c r="BD1801">
        <v>0</v>
      </c>
      <c r="BE1801">
        <v>0</v>
      </c>
      <c r="BF1801">
        <v>0</v>
      </c>
      <c r="BG1801">
        <v>0</v>
      </c>
      <c r="BH1801">
        <v>1</v>
      </c>
      <c r="BI1801">
        <v>3</v>
      </c>
      <c r="BJ1801">
        <v>1.7</v>
      </c>
      <c r="BK1801">
        <v>3</v>
      </c>
      <c r="BL1801">
        <v>196.82</v>
      </c>
      <c r="BM1801">
        <v>29.52</v>
      </c>
      <c r="BN1801">
        <v>226.34</v>
      </c>
      <c r="BO1801">
        <v>226.34</v>
      </c>
      <c r="BQ1801" t="s">
        <v>492</v>
      </c>
      <c r="BR1801" t="s">
        <v>84</v>
      </c>
      <c r="BS1801" s="3">
        <v>45796</v>
      </c>
      <c r="BT1801" s="4">
        <v>0.33333333333333331</v>
      </c>
      <c r="BU1801" t="s">
        <v>493</v>
      </c>
      <c r="BV1801" t="s">
        <v>86</v>
      </c>
      <c r="BY1801">
        <v>8550</v>
      </c>
      <c r="CC1801" t="s">
        <v>490</v>
      </c>
      <c r="CD1801">
        <v>2740</v>
      </c>
      <c r="CE1801" t="s">
        <v>116</v>
      </c>
      <c r="CF1801" s="3">
        <v>45797</v>
      </c>
      <c r="CI1801">
        <v>1</v>
      </c>
      <c r="CJ1801">
        <v>1</v>
      </c>
      <c r="CK1801">
        <v>23</v>
      </c>
      <c r="CL1801" t="s">
        <v>89</v>
      </c>
    </row>
    <row r="1802" spans="1:90" x14ac:dyDescent="0.3">
      <c r="A1802" t="s">
        <v>72</v>
      </c>
      <c r="B1802" t="s">
        <v>73</v>
      </c>
      <c r="C1802" t="s">
        <v>74</v>
      </c>
      <c r="E1802" t="str">
        <f>"080065408298"</f>
        <v>080065408298</v>
      </c>
      <c r="F1802" s="3">
        <v>45793</v>
      </c>
      <c r="G1802">
        <v>202602</v>
      </c>
      <c r="H1802" t="s">
        <v>75</v>
      </c>
      <c r="I1802" t="s">
        <v>76</v>
      </c>
      <c r="J1802" t="s">
        <v>77</v>
      </c>
      <c r="K1802" t="s">
        <v>78</v>
      </c>
      <c r="L1802" t="s">
        <v>350</v>
      </c>
      <c r="M1802" t="s">
        <v>351</v>
      </c>
      <c r="N1802" t="s">
        <v>876</v>
      </c>
      <c r="O1802" t="s">
        <v>300</v>
      </c>
      <c r="P1802" t="str">
        <f>"4170038697                    "</f>
        <v xml:space="preserve">4170038697                    </v>
      </c>
      <c r="Q1802">
        <v>0</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c r="AJ1802">
        <v>0</v>
      </c>
      <c r="AK1802">
        <v>0</v>
      </c>
      <c r="AL1802">
        <v>0</v>
      </c>
      <c r="AM1802">
        <v>0</v>
      </c>
      <c r="AN1802">
        <v>0</v>
      </c>
      <c r="AO1802">
        <v>0</v>
      </c>
      <c r="AP1802">
        <v>0</v>
      </c>
      <c r="AQ1802">
        <v>70.37</v>
      </c>
      <c r="AR1802">
        <v>0</v>
      </c>
      <c r="AS1802">
        <v>0</v>
      </c>
      <c r="AT1802">
        <v>0</v>
      </c>
      <c r="AU1802">
        <v>0</v>
      </c>
      <c r="AV1802">
        <v>0</v>
      </c>
      <c r="AW1802">
        <v>0</v>
      </c>
      <c r="AX1802">
        <v>0</v>
      </c>
      <c r="AY1802">
        <v>0</v>
      </c>
      <c r="AZ1802">
        <v>0</v>
      </c>
      <c r="BA1802">
        <v>0</v>
      </c>
      <c r="BB1802">
        <v>0</v>
      </c>
      <c r="BC1802">
        <v>0</v>
      </c>
      <c r="BD1802">
        <v>0</v>
      </c>
      <c r="BE1802">
        <v>0</v>
      </c>
      <c r="BF1802">
        <v>0</v>
      </c>
      <c r="BG1802">
        <v>0</v>
      </c>
      <c r="BH1802">
        <v>1</v>
      </c>
      <c r="BI1802">
        <v>13</v>
      </c>
      <c r="BJ1802">
        <v>31.5</v>
      </c>
      <c r="BK1802">
        <v>32</v>
      </c>
      <c r="BL1802">
        <v>235.88</v>
      </c>
      <c r="BM1802">
        <v>35.380000000000003</v>
      </c>
      <c r="BN1802">
        <v>271.26</v>
      </c>
      <c r="BO1802">
        <v>271.26</v>
      </c>
      <c r="BQ1802" t="s">
        <v>1409</v>
      </c>
      <c r="BR1802" t="s">
        <v>84</v>
      </c>
      <c r="BS1802" s="3">
        <v>45796</v>
      </c>
      <c r="BT1802" s="4">
        <v>0.41666666666666669</v>
      </c>
      <c r="BU1802" t="s">
        <v>2346</v>
      </c>
      <c r="BV1802" t="s">
        <v>86</v>
      </c>
      <c r="BY1802">
        <v>157320</v>
      </c>
      <c r="CA1802" t="s">
        <v>1410</v>
      </c>
      <c r="CC1802" t="s">
        <v>351</v>
      </c>
      <c r="CD1802">
        <v>4001</v>
      </c>
      <c r="CE1802" t="s">
        <v>96</v>
      </c>
      <c r="CF1802" s="3">
        <v>45796</v>
      </c>
      <c r="CI1802">
        <v>1</v>
      </c>
      <c r="CJ1802">
        <v>1</v>
      </c>
      <c r="CK1802">
        <v>41</v>
      </c>
      <c r="CL1802" t="s">
        <v>89</v>
      </c>
    </row>
    <row r="1803" spans="1:90" x14ac:dyDescent="0.3">
      <c r="A1803" t="s">
        <v>72</v>
      </c>
      <c r="B1803" t="s">
        <v>73</v>
      </c>
      <c r="C1803" t="s">
        <v>74</v>
      </c>
      <c r="E1803" t="str">
        <f>"080065408771"</f>
        <v>080065408771</v>
      </c>
      <c r="F1803" s="3">
        <v>45793</v>
      </c>
      <c r="G1803">
        <v>202602</v>
      </c>
      <c r="H1803" t="s">
        <v>75</v>
      </c>
      <c r="I1803" t="s">
        <v>76</v>
      </c>
      <c r="J1803" t="s">
        <v>77</v>
      </c>
      <c r="K1803" t="s">
        <v>78</v>
      </c>
      <c r="L1803" t="s">
        <v>90</v>
      </c>
      <c r="M1803" t="s">
        <v>91</v>
      </c>
      <c r="N1803" t="s">
        <v>563</v>
      </c>
      <c r="O1803" t="s">
        <v>82</v>
      </c>
      <c r="P1803" t="str">
        <f>"4170038818                    "</f>
        <v xml:space="preserve">4170038818                    </v>
      </c>
      <c r="Q1803">
        <v>0</v>
      </c>
      <c r="R1803">
        <v>0</v>
      </c>
      <c r="S1803">
        <v>0</v>
      </c>
      <c r="T1803">
        <v>0</v>
      </c>
      <c r="U1803">
        <v>0</v>
      </c>
      <c r="V1803">
        <v>0</v>
      </c>
      <c r="W1803">
        <v>0</v>
      </c>
      <c r="X1803">
        <v>0</v>
      </c>
      <c r="Y1803">
        <v>0</v>
      </c>
      <c r="Z1803">
        <v>0</v>
      </c>
      <c r="AA1803">
        <v>0</v>
      </c>
      <c r="AB1803">
        <v>0</v>
      </c>
      <c r="AC1803">
        <v>0</v>
      </c>
      <c r="AD1803">
        <v>0</v>
      </c>
      <c r="AE1803">
        <v>0</v>
      </c>
      <c r="AF1803">
        <v>0</v>
      </c>
      <c r="AG1803">
        <v>0</v>
      </c>
      <c r="AH1803">
        <v>0</v>
      </c>
      <c r="AI1803">
        <v>0</v>
      </c>
      <c r="AJ1803">
        <v>0</v>
      </c>
      <c r="AK1803">
        <v>0</v>
      </c>
      <c r="AL1803">
        <v>0</v>
      </c>
      <c r="AM1803">
        <v>0</v>
      </c>
      <c r="AN1803">
        <v>0</v>
      </c>
      <c r="AO1803">
        <v>0</v>
      </c>
      <c r="AP1803">
        <v>0</v>
      </c>
      <c r="AQ1803">
        <v>21.38</v>
      </c>
      <c r="AR1803">
        <v>0</v>
      </c>
      <c r="AS1803">
        <v>0</v>
      </c>
      <c r="AT1803">
        <v>0</v>
      </c>
      <c r="AU1803">
        <v>0</v>
      </c>
      <c r="AV1803">
        <v>0</v>
      </c>
      <c r="AW1803">
        <v>0</v>
      </c>
      <c r="AX1803">
        <v>0</v>
      </c>
      <c r="AY1803">
        <v>0</v>
      </c>
      <c r="AZ1803">
        <v>0</v>
      </c>
      <c r="BA1803">
        <v>0</v>
      </c>
      <c r="BB1803">
        <v>0</v>
      </c>
      <c r="BC1803">
        <v>0</v>
      </c>
      <c r="BD1803">
        <v>0</v>
      </c>
      <c r="BE1803">
        <v>0</v>
      </c>
      <c r="BF1803">
        <v>0</v>
      </c>
      <c r="BG1803">
        <v>0</v>
      </c>
      <c r="BH1803">
        <v>1</v>
      </c>
      <c r="BI1803">
        <v>1</v>
      </c>
      <c r="BJ1803">
        <v>1.7</v>
      </c>
      <c r="BK1803">
        <v>2</v>
      </c>
      <c r="BL1803">
        <v>69.98</v>
      </c>
      <c r="BM1803">
        <v>10.5</v>
      </c>
      <c r="BN1803">
        <v>80.48</v>
      </c>
      <c r="BO1803">
        <v>80.48</v>
      </c>
      <c r="BQ1803" t="s">
        <v>564</v>
      </c>
      <c r="BR1803" t="s">
        <v>84</v>
      </c>
      <c r="BS1803" s="3">
        <v>45796</v>
      </c>
      <c r="BT1803" s="4">
        <v>0.34722222222222221</v>
      </c>
      <c r="BU1803" t="s">
        <v>780</v>
      </c>
      <c r="BV1803" t="s">
        <v>86</v>
      </c>
      <c r="BY1803">
        <v>8512</v>
      </c>
      <c r="CA1803" t="s">
        <v>566</v>
      </c>
      <c r="CC1803" t="s">
        <v>91</v>
      </c>
      <c r="CD1803">
        <v>6001</v>
      </c>
      <c r="CE1803" t="s">
        <v>116</v>
      </c>
      <c r="CF1803" s="3">
        <v>45797</v>
      </c>
      <c r="CI1803">
        <v>1</v>
      </c>
      <c r="CJ1803">
        <v>1</v>
      </c>
      <c r="CK1803">
        <v>21</v>
      </c>
      <c r="CL1803" t="s">
        <v>89</v>
      </c>
    </row>
    <row r="1804" spans="1:90" x14ac:dyDescent="0.3">
      <c r="A1804" t="s">
        <v>72</v>
      </c>
      <c r="B1804" t="s">
        <v>73</v>
      </c>
      <c r="C1804" t="s">
        <v>74</v>
      </c>
      <c r="E1804" t="str">
        <f>"080065408797"</f>
        <v>080065408797</v>
      </c>
      <c r="F1804" s="3">
        <v>45793</v>
      </c>
      <c r="G1804">
        <v>202602</v>
      </c>
      <c r="H1804" t="s">
        <v>75</v>
      </c>
      <c r="I1804" t="s">
        <v>76</v>
      </c>
      <c r="J1804" t="s">
        <v>77</v>
      </c>
      <c r="K1804" t="s">
        <v>78</v>
      </c>
      <c r="L1804" t="s">
        <v>350</v>
      </c>
      <c r="M1804" t="s">
        <v>351</v>
      </c>
      <c r="N1804" t="s">
        <v>876</v>
      </c>
      <c r="O1804" t="s">
        <v>82</v>
      </c>
      <c r="P1804" t="str">
        <f>"4170038851                    "</f>
        <v xml:space="preserve">4170038851                    </v>
      </c>
      <c r="Q1804">
        <v>0</v>
      </c>
      <c r="R1804">
        <v>0</v>
      </c>
      <c r="S1804">
        <v>0</v>
      </c>
      <c r="T1804">
        <v>0</v>
      </c>
      <c r="U1804">
        <v>0</v>
      </c>
      <c r="V1804">
        <v>0</v>
      </c>
      <c r="W1804">
        <v>0</v>
      </c>
      <c r="X1804">
        <v>0</v>
      </c>
      <c r="Y1804">
        <v>0</v>
      </c>
      <c r="Z1804">
        <v>0</v>
      </c>
      <c r="AA1804">
        <v>0</v>
      </c>
      <c r="AB1804">
        <v>0</v>
      </c>
      <c r="AC1804">
        <v>0</v>
      </c>
      <c r="AD1804">
        <v>0</v>
      </c>
      <c r="AE1804">
        <v>0</v>
      </c>
      <c r="AF1804">
        <v>0</v>
      </c>
      <c r="AG1804">
        <v>0</v>
      </c>
      <c r="AH1804">
        <v>0</v>
      </c>
      <c r="AI1804">
        <v>0</v>
      </c>
      <c r="AJ1804">
        <v>0</v>
      </c>
      <c r="AK1804">
        <v>0</v>
      </c>
      <c r="AL1804">
        <v>0</v>
      </c>
      <c r="AM1804">
        <v>0</v>
      </c>
      <c r="AN1804">
        <v>0</v>
      </c>
      <c r="AO1804">
        <v>0</v>
      </c>
      <c r="AP1804">
        <v>0</v>
      </c>
      <c r="AQ1804">
        <v>21.38</v>
      </c>
      <c r="AR1804">
        <v>0</v>
      </c>
      <c r="AS1804">
        <v>0</v>
      </c>
      <c r="AT1804">
        <v>0</v>
      </c>
      <c r="AU1804">
        <v>0</v>
      </c>
      <c r="AV1804">
        <v>0</v>
      </c>
      <c r="AW1804">
        <v>0</v>
      </c>
      <c r="AX1804">
        <v>0</v>
      </c>
      <c r="AY1804">
        <v>0</v>
      </c>
      <c r="AZ1804">
        <v>0</v>
      </c>
      <c r="BA1804">
        <v>0</v>
      </c>
      <c r="BB1804">
        <v>0</v>
      </c>
      <c r="BC1804">
        <v>0</v>
      </c>
      <c r="BD1804">
        <v>0</v>
      </c>
      <c r="BE1804">
        <v>0</v>
      </c>
      <c r="BF1804">
        <v>0</v>
      </c>
      <c r="BG1804">
        <v>0</v>
      </c>
      <c r="BH1804">
        <v>1</v>
      </c>
      <c r="BI1804">
        <v>1</v>
      </c>
      <c r="BJ1804">
        <v>0.9</v>
      </c>
      <c r="BK1804">
        <v>1</v>
      </c>
      <c r="BL1804">
        <v>69.98</v>
      </c>
      <c r="BM1804">
        <v>10.5</v>
      </c>
      <c r="BN1804">
        <v>80.48</v>
      </c>
      <c r="BO1804">
        <v>80.48</v>
      </c>
      <c r="BQ1804" t="s">
        <v>877</v>
      </c>
      <c r="BR1804" t="s">
        <v>84</v>
      </c>
      <c r="BS1804" s="3">
        <v>45796</v>
      </c>
      <c r="BT1804" s="4">
        <v>0.40486111111111112</v>
      </c>
      <c r="BU1804" t="s">
        <v>878</v>
      </c>
      <c r="BV1804" t="s">
        <v>86</v>
      </c>
      <c r="BY1804">
        <v>4560</v>
      </c>
      <c r="CA1804" t="s">
        <v>879</v>
      </c>
      <c r="CC1804" t="s">
        <v>351</v>
      </c>
      <c r="CD1804">
        <v>4001</v>
      </c>
      <c r="CE1804" t="s">
        <v>116</v>
      </c>
      <c r="CF1804" s="3">
        <v>45796</v>
      </c>
      <c r="CI1804">
        <v>1</v>
      </c>
      <c r="CJ1804">
        <v>1</v>
      </c>
      <c r="CK1804">
        <v>21</v>
      </c>
      <c r="CL1804" t="s">
        <v>89</v>
      </c>
    </row>
    <row r="1805" spans="1:90" x14ac:dyDescent="0.3">
      <c r="A1805" t="s">
        <v>72</v>
      </c>
      <c r="B1805" t="s">
        <v>73</v>
      </c>
      <c r="C1805" t="s">
        <v>74</v>
      </c>
      <c r="E1805" t="str">
        <f>"080065408821"</f>
        <v>080065408821</v>
      </c>
      <c r="F1805" s="3">
        <v>45793</v>
      </c>
      <c r="G1805">
        <v>202602</v>
      </c>
      <c r="H1805" t="s">
        <v>75</v>
      </c>
      <c r="I1805" t="s">
        <v>76</v>
      </c>
      <c r="J1805" t="s">
        <v>77</v>
      </c>
      <c r="K1805" t="s">
        <v>78</v>
      </c>
      <c r="L1805" t="s">
        <v>90</v>
      </c>
      <c r="M1805" t="s">
        <v>91</v>
      </c>
      <c r="N1805" t="s">
        <v>2348</v>
      </c>
      <c r="O1805" t="s">
        <v>82</v>
      </c>
      <c r="P1805" t="str">
        <f>"4170038875                    "</f>
        <v xml:space="preserve">4170038875                    </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c r="AI1805">
        <v>0</v>
      </c>
      <c r="AJ1805">
        <v>0</v>
      </c>
      <c r="AK1805">
        <v>0</v>
      </c>
      <c r="AL1805">
        <v>0</v>
      </c>
      <c r="AM1805">
        <v>0</v>
      </c>
      <c r="AN1805">
        <v>0</v>
      </c>
      <c r="AO1805">
        <v>0</v>
      </c>
      <c r="AP1805">
        <v>0</v>
      </c>
      <c r="AQ1805">
        <v>21.38</v>
      </c>
      <c r="AR1805">
        <v>0</v>
      </c>
      <c r="AS1805">
        <v>0</v>
      </c>
      <c r="AT1805">
        <v>0</v>
      </c>
      <c r="AU1805">
        <v>0</v>
      </c>
      <c r="AV1805">
        <v>0</v>
      </c>
      <c r="AW1805">
        <v>0</v>
      </c>
      <c r="AX1805">
        <v>0</v>
      </c>
      <c r="AY1805">
        <v>0</v>
      </c>
      <c r="AZ1805">
        <v>0</v>
      </c>
      <c r="BA1805">
        <v>0</v>
      </c>
      <c r="BB1805">
        <v>0</v>
      </c>
      <c r="BC1805">
        <v>0</v>
      </c>
      <c r="BD1805">
        <v>0</v>
      </c>
      <c r="BE1805">
        <v>0</v>
      </c>
      <c r="BF1805">
        <v>0</v>
      </c>
      <c r="BG1805">
        <v>0</v>
      </c>
      <c r="BH1805">
        <v>1</v>
      </c>
      <c r="BI1805">
        <v>2</v>
      </c>
      <c r="BJ1805">
        <v>1.1000000000000001</v>
      </c>
      <c r="BK1805">
        <v>2</v>
      </c>
      <c r="BL1805">
        <v>69.98</v>
      </c>
      <c r="BM1805">
        <v>10.5</v>
      </c>
      <c r="BN1805">
        <v>80.48</v>
      </c>
      <c r="BO1805">
        <v>80.48</v>
      </c>
      <c r="BQ1805" t="s">
        <v>2349</v>
      </c>
      <c r="BR1805" t="s">
        <v>84</v>
      </c>
      <c r="BS1805" s="3">
        <v>45796</v>
      </c>
      <c r="BT1805" s="4">
        <v>0.40138888888888891</v>
      </c>
      <c r="BU1805" t="s">
        <v>2350</v>
      </c>
      <c r="BV1805" t="s">
        <v>86</v>
      </c>
      <c r="BY1805">
        <v>5320</v>
      </c>
      <c r="CA1805" t="s">
        <v>95</v>
      </c>
      <c r="CC1805" t="s">
        <v>91</v>
      </c>
      <c r="CD1805">
        <v>6056</v>
      </c>
      <c r="CE1805" t="s">
        <v>116</v>
      </c>
      <c r="CF1805" s="3">
        <v>45797</v>
      </c>
      <c r="CI1805">
        <v>1</v>
      </c>
      <c r="CJ1805">
        <v>1</v>
      </c>
      <c r="CK1805">
        <v>21</v>
      </c>
      <c r="CL1805" t="s">
        <v>89</v>
      </c>
    </row>
    <row r="1806" spans="1:90" x14ac:dyDescent="0.3">
      <c r="A1806" t="s">
        <v>72</v>
      </c>
      <c r="B1806" t="s">
        <v>73</v>
      </c>
      <c r="C1806" t="s">
        <v>74</v>
      </c>
      <c r="E1806" t="str">
        <f>"080065408903"</f>
        <v>080065408903</v>
      </c>
      <c r="F1806" s="3">
        <v>45793</v>
      </c>
      <c r="G1806">
        <v>202602</v>
      </c>
      <c r="H1806" t="s">
        <v>75</v>
      </c>
      <c r="I1806" t="s">
        <v>76</v>
      </c>
      <c r="J1806" t="s">
        <v>77</v>
      </c>
      <c r="K1806" t="s">
        <v>78</v>
      </c>
      <c r="L1806" t="s">
        <v>972</v>
      </c>
      <c r="M1806" t="s">
        <v>973</v>
      </c>
      <c r="N1806" t="s">
        <v>2351</v>
      </c>
      <c r="O1806" t="s">
        <v>82</v>
      </c>
      <c r="P1806" t="str">
        <f>"4170038827                    "</f>
        <v xml:space="preserve">4170038827                    </v>
      </c>
      <c r="Q1806">
        <v>0</v>
      </c>
      <c r="R1806">
        <v>0</v>
      </c>
      <c r="S1806">
        <v>0</v>
      </c>
      <c r="T1806">
        <v>0</v>
      </c>
      <c r="U1806">
        <v>0</v>
      </c>
      <c r="V1806">
        <v>0</v>
      </c>
      <c r="W1806">
        <v>0</v>
      </c>
      <c r="X1806">
        <v>0</v>
      </c>
      <c r="Y1806">
        <v>0</v>
      </c>
      <c r="Z1806">
        <v>0</v>
      </c>
      <c r="AA1806">
        <v>0</v>
      </c>
      <c r="AB1806">
        <v>0</v>
      </c>
      <c r="AC1806">
        <v>0</v>
      </c>
      <c r="AD1806">
        <v>0</v>
      </c>
      <c r="AE1806">
        <v>0</v>
      </c>
      <c r="AF1806">
        <v>0</v>
      </c>
      <c r="AG1806">
        <v>0</v>
      </c>
      <c r="AH1806">
        <v>0</v>
      </c>
      <c r="AI1806">
        <v>0</v>
      </c>
      <c r="AJ1806">
        <v>0</v>
      </c>
      <c r="AK1806">
        <v>0</v>
      </c>
      <c r="AL1806">
        <v>0</v>
      </c>
      <c r="AM1806">
        <v>0</v>
      </c>
      <c r="AN1806">
        <v>0</v>
      </c>
      <c r="AO1806">
        <v>0</v>
      </c>
      <c r="AP1806">
        <v>0</v>
      </c>
      <c r="AQ1806">
        <v>16.7</v>
      </c>
      <c r="AR1806">
        <v>0</v>
      </c>
      <c r="AS1806">
        <v>0</v>
      </c>
      <c r="AT1806">
        <v>0</v>
      </c>
      <c r="AU1806">
        <v>0</v>
      </c>
      <c r="AV1806">
        <v>0</v>
      </c>
      <c r="AW1806">
        <v>0</v>
      </c>
      <c r="AX1806">
        <v>0</v>
      </c>
      <c r="AY1806">
        <v>0</v>
      </c>
      <c r="AZ1806">
        <v>0</v>
      </c>
      <c r="BA1806">
        <v>0</v>
      </c>
      <c r="BB1806">
        <v>0</v>
      </c>
      <c r="BC1806">
        <v>0</v>
      </c>
      <c r="BD1806">
        <v>0</v>
      </c>
      <c r="BE1806">
        <v>0</v>
      </c>
      <c r="BF1806">
        <v>0</v>
      </c>
      <c r="BG1806">
        <v>0</v>
      </c>
      <c r="BH1806">
        <v>1</v>
      </c>
      <c r="BI1806">
        <v>1</v>
      </c>
      <c r="BJ1806">
        <v>1.7</v>
      </c>
      <c r="BK1806">
        <v>2</v>
      </c>
      <c r="BL1806">
        <v>54.66</v>
      </c>
      <c r="BM1806">
        <v>8.1999999999999993</v>
      </c>
      <c r="BN1806">
        <v>62.86</v>
      </c>
      <c r="BO1806">
        <v>62.86</v>
      </c>
      <c r="BQ1806" t="s">
        <v>2352</v>
      </c>
      <c r="BR1806" t="s">
        <v>84</v>
      </c>
      <c r="BS1806" s="3">
        <v>45796</v>
      </c>
      <c r="BT1806" s="4">
        <v>0.41319444444444442</v>
      </c>
      <c r="BU1806" t="s">
        <v>768</v>
      </c>
      <c r="BV1806" t="s">
        <v>86</v>
      </c>
      <c r="BY1806">
        <v>8512</v>
      </c>
      <c r="CA1806" t="s">
        <v>1596</v>
      </c>
      <c r="CC1806" t="s">
        <v>973</v>
      </c>
      <c r="CD1806">
        <v>1724</v>
      </c>
      <c r="CE1806" t="s">
        <v>116</v>
      </c>
      <c r="CF1806" s="3">
        <v>45796</v>
      </c>
      <c r="CI1806">
        <v>1</v>
      </c>
      <c r="CJ1806">
        <v>1</v>
      </c>
      <c r="CK1806">
        <v>22</v>
      </c>
      <c r="CL1806" t="s">
        <v>89</v>
      </c>
    </row>
    <row r="1807" spans="1:90" x14ac:dyDescent="0.3">
      <c r="A1807" t="s">
        <v>72</v>
      </c>
      <c r="B1807" t="s">
        <v>73</v>
      </c>
      <c r="C1807" t="s">
        <v>74</v>
      </c>
      <c r="E1807" t="str">
        <f>"080065409092"</f>
        <v>080065409092</v>
      </c>
      <c r="F1807" s="3">
        <v>45793</v>
      </c>
      <c r="G1807">
        <v>202602</v>
      </c>
      <c r="H1807" t="s">
        <v>75</v>
      </c>
      <c r="I1807" t="s">
        <v>76</v>
      </c>
      <c r="J1807" t="s">
        <v>77</v>
      </c>
      <c r="K1807" t="s">
        <v>78</v>
      </c>
      <c r="L1807" t="s">
        <v>136</v>
      </c>
      <c r="M1807" t="s">
        <v>137</v>
      </c>
      <c r="N1807" t="s">
        <v>1297</v>
      </c>
      <c r="O1807" t="s">
        <v>300</v>
      </c>
      <c r="P1807" t="str">
        <f>"4170038871                    "</f>
        <v xml:space="preserve">4170038871                    </v>
      </c>
      <c r="Q1807">
        <v>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c r="AJ1807">
        <v>0</v>
      </c>
      <c r="AK1807">
        <v>0</v>
      </c>
      <c r="AL1807">
        <v>0</v>
      </c>
      <c r="AM1807">
        <v>0</v>
      </c>
      <c r="AN1807">
        <v>0</v>
      </c>
      <c r="AO1807">
        <v>0</v>
      </c>
      <c r="AP1807">
        <v>0</v>
      </c>
      <c r="AQ1807">
        <v>41.35</v>
      </c>
      <c r="AR1807">
        <v>0</v>
      </c>
      <c r="AS1807">
        <v>0</v>
      </c>
      <c r="AT1807">
        <v>0</v>
      </c>
      <c r="AU1807">
        <v>0</v>
      </c>
      <c r="AV1807">
        <v>0</v>
      </c>
      <c r="AW1807">
        <v>0</v>
      </c>
      <c r="AX1807">
        <v>0</v>
      </c>
      <c r="AY1807">
        <v>0</v>
      </c>
      <c r="AZ1807">
        <v>0</v>
      </c>
      <c r="BA1807">
        <v>0</v>
      </c>
      <c r="BB1807">
        <v>0</v>
      </c>
      <c r="BC1807">
        <v>0</v>
      </c>
      <c r="BD1807">
        <v>0</v>
      </c>
      <c r="BE1807">
        <v>0</v>
      </c>
      <c r="BF1807">
        <v>0</v>
      </c>
      <c r="BG1807">
        <v>0</v>
      </c>
      <c r="BH1807">
        <v>1</v>
      </c>
      <c r="BI1807">
        <v>8</v>
      </c>
      <c r="BJ1807">
        <v>1.1000000000000001</v>
      </c>
      <c r="BK1807">
        <v>8</v>
      </c>
      <c r="BL1807">
        <v>140.9</v>
      </c>
      <c r="BM1807">
        <v>21.14</v>
      </c>
      <c r="BN1807">
        <v>162.04</v>
      </c>
      <c r="BO1807">
        <v>162.04</v>
      </c>
      <c r="BQ1807" t="s">
        <v>1298</v>
      </c>
      <c r="BR1807" t="s">
        <v>84</v>
      </c>
      <c r="BS1807" s="3">
        <v>45796</v>
      </c>
      <c r="BT1807" s="4">
        <v>0.38680555555555557</v>
      </c>
      <c r="BU1807" t="s">
        <v>2353</v>
      </c>
      <c r="BV1807" t="s">
        <v>86</v>
      </c>
      <c r="BY1807">
        <v>5320</v>
      </c>
      <c r="CA1807" t="s">
        <v>141</v>
      </c>
      <c r="CC1807" t="s">
        <v>137</v>
      </c>
      <c r="CD1807" s="5" t="s">
        <v>1239</v>
      </c>
      <c r="CE1807" t="s">
        <v>176</v>
      </c>
      <c r="CF1807" s="3">
        <v>45796</v>
      </c>
      <c r="CI1807">
        <v>1</v>
      </c>
      <c r="CJ1807">
        <v>1</v>
      </c>
      <c r="CK1807">
        <v>41</v>
      </c>
      <c r="CL1807" t="s">
        <v>89</v>
      </c>
    </row>
    <row r="1808" spans="1:90" x14ac:dyDescent="0.3">
      <c r="A1808" t="s">
        <v>72</v>
      </c>
      <c r="B1808" t="s">
        <v>73</v>
      </c>
      <c r="C1808" t="s">
        <v>74</v>
      </c>
      <c r="E1808" t="str">
        <f>"080065409162"</f>
        <v>080065409162</v>
      </c>
      <c r="F1808" s="3">
        <v>45793</v>
      </c>
      <c r="G1808">
        <v>202602</v>
      </c>
      <c r="H1808" t="s">
        <v>75</v>
      </c>
      <c r="I1808" t="s">
        <v>76</v>
      </c>
      <c r="J1808" t="s">
        <v>77</v>
      </c>
      <c r="K1808" t="s">
        <v>78</v>
      </c>
      <c r="L1808" t="s">
        <v>90</v>
      </c>
      <c r="M1808" t="s">
        <v>91</v>
      </c>
      <c r="N1808" t="s">
        <v>476</v>
      </c>
      <c r="O1808" t="s">
        <v>300</v>
      </c>
      <c r="P1808" t="str">
        <f>"4170038805                    "</f>
        <v xml:space="preserve">4170038805                    </v>
      </c>
      <c r="Q1808">
        <v>0</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c r="AJ1808">
        <v>0</v>
      </c>
      <c r="AK1808">
        <v>0</v>
      </c>
      <c r="AL1808">
        <v>0</v>
      </c>
      <c r="AM1808">
        <v>0</v>
      </c>
      <c r="AN1808">
        <v>0</v>
      </c>
      <c r="AO1808">
        <v>0</v>
      </c>
      <c r="AP1808">
        <v>0</v>
      </c>
      <c r="AQ1808">
        <v>48.18</v>
      </c>
      <c r="AR1808">
        <v>0</v>
      </c>
      <c r="AS1808">
        <v>0</v>
      </c>
      <c r="AT1808">
        <v>0</v>
      </c>
      <c r="AU1808">
        <v>0</v>
      </c>
      <c r="AV1808">
        <v>0</v>
      </c>
      <c r="AW1808">
        <v>0</v>
      </c>
      <c r="AX1808">
        <v>0</v>
      </c>
      <c r="AY1808">
        <v>0</v>
      </c>
      <c r="AZ1808">
        <v>0</v>
      </c>
      <c r="BA1808">
        <v>0</v>
      </c>
      <c r="BB1808">
        <v>0</v>
      </c>
      <c r="BC1808">
        <v>0</v>
      </c>
      <c r="BD1808">
        <v>0</v>
      </c>
      <c r="BE1808">
        <v>0</v>
      </c>
      <c r="BF1808">
        <v>0</v>
      </c>
      <c r="BG1808">
        <v>0</v>
      </c>
      <c r="BH1808">
        <v>2</v>
      </c>
      <c r="BI1808">
        <v>19</v>
      </c>
      <c r="BJ1808">
        <v>7.5</v>
      </c>
      <c r="BK1808">
        <v>19</v>
      </c>
      <c r="BL1808">
        <v>163.25</v>
      </c>
      <c r="BM1808">
        <v>24.49</v>
      </c>
      <c r="BN1808">
        <v>187.74</v>
      </c>
      <c r="BO1808">
        <v>187.74</v>
      </c>
      <c r="BQ1808" t="s">
        <v>477</v>
      </c>
      <c r="BR1808" t="s">
        <v>84</v>
      </c>
      <c r="BS1808" s="3">
        <v>45796</v>
      </c>
      <c r="BT1808" s="4">
        <v>0.40625</v>
      </c>
      <c r="BU1808" t="s">
        <v>478</v>
      </c>
      <c r="BV1808" t="s">
        <v>86</v>
      </c>
      <c r="BY1808">
        <v>37323</v>
      </c>
      <c r="CA1808" t="s">
        <v>2344</v>
      </c>
      <c r="CC1808" t="s">
        <v>91</v>
      </c>
      <c r="CD1808">
        <v>6001</v>
      </c>
      <c r="CE1808" t="s">
        <v>96</v>
      </c>
      <c r="CF1808" s="3">
        <v>45796</v>
      </c>
      <c r="CI1808">
        <v>3</v>
      </c>
      <c r="CJ1808">
        <v>1</v>
      </c>
      <c r="CK1808">
        <v>41</v>
      </c>
      <c r="CL1808" t="s">
        <v>89</v>
      </c>
    </row>
    <row r="1809" spans="1:90" x14ac:dyDescent="0.3">
      <c r="A1809" t="s">
        <v>72</v>
      </c>
      <c r="B1809" t="s">
        <v>73</v>
      </c>
      <c r="C1809" t="s">
        <v>74</v>
      </c>
      <c r="E1809" t="str">
        <f>"080065409168"</f>
        <v>080065409168</v>
      </c>
      <c r="F1809" s="3">
        <v>45793</v>
      </c>
      <c r="G1809">
        <v>202602</v>
      </c>
      <c r="H1809" t="s">
        <v>75</v>
      </c>
      <c r="I1809" t="s">
        <v>76</v>
      </c>
      <c r="J1809" t="s">
        <v>77</v>
      </c>
      <c r="K1809" t="s">
        <v>78</v>
      </c>
      <c r="L1809" t="s">
        <v>75</v>
      </c>
      <c r="M1809" t="s">
        <v>76</v>
      </c>
      <c r="N1809" t="s">
        <v>601</v>
      </c>
      <c r="O1809" t="s">
        <v>82</v>
      </c>
      <c r="P1809" t="str">
        <f>"4170038883                    "</f>
        <v xml:space="preserve">4170038883                    </v>
      </c>
      <c r="Q1809">
        <v>0</v>
      </c>
      <c r="R1809">
        <v>0</v>
      </c>
      <c r="S1809">
        <v>0</v>
      </c>
      <c r="T1809">
        <v>0</v>
      </c>
      <c r="U1809">
        <v>0</v>
      </c>
      <c r="V1809">
        <v>0</v>
      </c>
      <c r="W1809">
        <v>0</v>
      </c>
      <c r="X1809">
        <v>0</v>
      </c>
      <c r="Y1809">
        <v>0</v>
      </c>
      <c r="Z1809">
        <v>0</v>
      </c>
      <c r="AA1809">
        <v>0</v>
      </c>
      <c r="AB1809">
        <v>0</v>
      </c>
      <c r="AC1809">
        <v>0</v>
      </c>
      <c r="AD1809">
        <v>0</v>
      </c>
      <c r="AE1809">
        <v>0</v>
      </c>
      <c r="AF1809">
        <v>0</v>
      </c>
      <c r="AG1809">
        <v>0</v>
      </c>
      <c r="AH1809">
        <v>0</v>
      </c>
      <c r="AI1809">
        <v>0</v>
      </c>
      <c r="AJ1809">
        <v>0</v>
      </c>
      <c r="AK1809">
        <v>0</v>
      </c>
      <c r="AL1809">
        <v>0</v>
      </c>
      <c r="AM1809">
        <v>0</v>
      </c>
      <c r="AN1809">
        <v>0</v>
      </c>
      <c r="AO1809">
        <v>0</v>
      </c>
      <c r="AP1809">
        <v>0</v>
      </c>
      <c r="AQ1809">
        <v>16.7</v>
      </c>
      <c r="AR1809">
        <v>0</v>
      </c>
      <c r="AS1809">
        <v>0</v>
      </c>
      <c r="AT1809">
        <v>0</v>
      </c>
      <c r="AU1809">
        <v>0</v>
      </c>
      <c r="AV1809">
        <v>0</v>
      </c>
      <c r="AW1809">
        <v>0</v>
      </c>
      <c r="AX1809">
        <v>0</v>
      </c>
      <c r="AY1809">
        <v>0</v>
      </c>
      <c r="AZ1809">
        <v>0</v>
      </c>
      <c r="BA1809">
        <v>0</v>
      </c>
      <c r="BB1809">
        <v>0</v>
      </c>
      <c r="BC1809">
        <v>0</v>
      </c>
      <c r="BD1809">
        <v>0</v>
      </c>
      <c r="BE1809">
        <v>0</v>
      </c>
      <c r="BF1809">
        <v>0</v>
      </c>
      <c r="BG1809">
        <v>0</v>
      </c>
      <c r="BH1809">
        <v>1</v>
      </c>
      <c r="BI1809">
        <v>1</v>
      </c>
      <c r="BJ1809">
        <v>0.2</v>
      </c>
      <c r="BK1809">
        <v>1</v>
      </c>
      <c r="BL1809">
        <v>54.66</v>
      </c>
      <c r="BM1809">
        <v>8.1999999999999993</v>
      </c>
      <c r="BN1809">
        <v>62.86</v>
      </c>
      <c r="BO1809">
        <v>62.86</v>
      </c>
      <c r="BQ1809" t="s">
        <v>603</v>
      </c>
      <c r="BR1809" t="s">
        <v>84</v>
      </c>
      <c r="BS1809" s="3">
        <v>45796</v>
      </c>
      <c r="BT1809" s="4">
        <v>0.375</v>
      </c>
      <c r="BU1809" t="s">
        <v>2354</v>
      </c>
      <c r="BV1809" t="s">
        <v>86</v>
      </c>
      <c r="BY1809">
        <v>1200</v>
      </c>
      <c r="CA1809" t="s">
        <v>475</v>
      </c>
      <c r="CC1809" t="s">
        <v>76</v>
      </c>
      <c r="CD1809">
        <v>1645</v>
      </c>
      <c r="CE1809" t="s">
        <v>88</v>
      </c>
      <c r="CF1809" s="3">
        <v>45797</v>
      </c>
      <c r="CI1809">
        <v>1</v>
      </c>
      <c r="CJ1809">
        <v>1</v>
      </c>
      <c r="CK1809">
        <v>22</v>
      </c>
      <c r="CL1809" t="s">
        <v>89</v>
      </c>
    </row>
    <row r="1810" spans="1:90" x14ac:dyDescent="0.3">
      <c r="A1810" t="s">
        <v>72</v>
      </c>
      <c r="B1810" t="s">
        <v>73</v>
      </c>
      <c r="C1810" t="s">
        <v>74</v>
      </c>
      <c r="E1810" t="str">
        <f>"080065409197"</f>
        <v>080065409197</v>
      </c>
      <c r="F1810" s="3">
        <v>45793</v>
      </c>
      <c r="G1810">
        <v>202602</v>
      </c>
      <c r="H1810" t="s">
        <v>75</v>
      </c>
      <c r="I1810" t="s">
        <v>76</v>
      </c>
      <c r="J1810" t="s">
        <v>77</v>
      </c>
      <c r="K1810" t="s">
        <v>78</v>
      </c>
      <c r="L1810" t="s">
        <v>130</v>
      </c>
      <c r="M1810" t="s">
        <v>131</v>
      </c>
      <c r="N1810" t="s">
        <v>343</v>
      </c>
      <c r="O1810" t="s">
        <v>82</v>
      </c>
      <c r="P1810" t="str">
        <f>"4170038856                    "</f>
        <v xml:space="preserve">4170038856                    </v>
      </c>
      <c r="Q1810">
        <v>0</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c r="AJ1810">
        <v>0</v>
      </c>
      <c r="AK1810">
        <v>0</v>
      </c>
      <c r="AL1810">
        <v>0</v>
      </c>
      <c r="AM1810">
        <v>0</v>
      </c>
      <c r="AN1810">
        <v>0</v>
      </c>
      <c r="AO1810">
        <v>0</v>
      </c>
      <c r="AP1810">
        <v>0</v>
      </c>
      <c r="AQ1810">
        <v>21.38</v>
      </c>
      <c r="AR1810">
        <v>0</v>
      </c>
      <c r="AS1810">
        <v>0</v>
      </c>
      <c r="AT1810">
        <v>0</v>
      </c>
      <c r="AU1810">
        <v>0</v>
      </c>
      <c r="AV1810">
        <v>0</v>
      </c>
      <c r="AW1810">
        <v>0</v>
      </c>
      <c r="AX1810">
        <v>0</v>
      </c>
      <c r="AY1810">
        <v>0</v>
      </c>
      <c r="AZ1810">
        <v>0</v>
      </c>
      <c r="BA1810">
        <v>0</v>
      </c>
      <c r="BB1810">
        <v>0</v>
      </c>
      <c r="BC1810">
        <v>0</v>
      </c>
      <c r="BD1810">
        <v>0</v>
      </c>
      <c r="BE1810">
        <v>0</v>
      </c>
      <c r="BF1810">
        <v>0</v>
      </c>
      <c r="BG1810">
        <v>0</v>
      </c>
      <c r="BH1810">
        <v>1</v>
      </c>
      <c r="BI1810">
        <v>1</v>
      </c>
      <c r="BJ1810">
        <v>0.2</v>
      </c>
      <c r="BK1810">
        <v>1</v>
      </c>
      <c r="BL1810">
        <v>69.98</v>
      </c>
      <c r="BM1810">
        <v>10.5</v>
      </c>
      <c r="BN1810">
        <v>80.48</v>
      </c>
      <c r="BO1810">
        <v>80.48</v>
      </c>
      <c r="BQ1810" t="s">
        <v>344</v>
      </c>
      <c r="BR1810" t="s">
        <v>84</v>
      </c>
      <c r="BS1810" s="3">
        <v>45797</v>
      </c>
      <c r="BT1810" s="4">
        <v>0.40625</v>
      </c>
      <c r="BU1810" t="s">
        <v>1427</v>
      </c>
      <c r="BV1810" t="s">
        <v>89</v>
      </c>
      <c r="BW1810" t="s">
        <v>340</v>
      </c>
      <c r="BX1810" t="s">
        <v>2355</v>
      </c>
      <c r="BY1810">
        <v>1200</v>
      </c>
      <c r="CA1810" t="s">
        <v>242</v>
      </c>
      <c r="CC1810" t="s">
        <v>131</v>
      </c>
      <c r="CD1810">
        <v>7441</v>
      </c>
      <c r="CE1810" t="s">
        <v>88</v>
      </c>
      <c r="CF1810" s="3">
        <v>45798</v>
      </c>
      <c r="CI1810">
        <v>1</v>
      </c>
      <c r="CJ1810">
        <v>2</v>
      </c>
      <c r="CK1810">
        <v>21</v>
      </c>
      <c r="CL1810" t="s">
        <v>89</v>
      </c>
    </row>
    <row r="1811" spans="1:90" x14ac:dyDescent="0.3">
      <c r="A1811" t="s">
        <v>72</v>
      </c>
      <c r="B1811" t="s">
        <v>73</v>
      </c>
      <c r="C1811" t="s">
        <v>74</v>
      </c>
      <c r="E1811" t="str">
        <f>"080065409210"</f>
        <v>080065409210</v>
      </c>
      <c r="F1811" s="3">
        <v>45793</v>
      </c>
      <c r="G1811">
        <v>202602</v>
      </c>
      <c r="H1811" t="s">
        <v>75</v>
      </c>
      <c r="I1811" t="s">
        <v>76</v>
      </c>
      <c r="J1811" t="s">
        <v>77</v>
      </c>
      <c r="K1811" t="s">
        <v>78</v>
      </c>
      <c r="L1811" t="s">
        <v>75</v>
      </c>
      <c r="M1811" t="s">
        <v>76</v>
      </c>
      <c r="N1811" t="s">
        <v>822</v>
      </c>
      <c r="O1811" t="s">
        <v>82</v>
      </c>
      <c r="P1811" t="str">
        <f>"4170038878                    "</f>
        <v xml:space="preserve">4170038878                    </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c r="AJ1811">
        <v>0</v>
      </c>
      <c r="AK1811">
        <v>0</v>
      </c>
      <c r="AL1811">
        <v>0</v>
      </c>
      <c r="AM1811">
        <v>0</v>
      </c>
      <c r="AN1811">
        <v>0</v>
      </c>
      <c r="AO1811">
        <v>0</v>
      </c>
      <c r="AP1811">
        <v>0</v>
      </c>
      <c r="AQ1811">
        <v>16.7</v>
      </c>
      <c r="AR1811">
        <v>0</v>
      </c>
      <c r="AS1811">
        <v>0</v>
      </c>
      <c r="AT1811">
        <v>0</v>
      </c>
      <c r="AU1811">
        <v>0</v>
      </c>
      <c r="AV1811">
        <v>0</v>
      </c>
      <c r="AW1811">
        <v>0</v>
      </c>
      <c r="AX1811">
        <v>0</v>
      </c>
      <c r="AY1811">
        <v>0</v>
      </c>
      <c r="AZ1811">
        <v>0</v>
      </c>
      <c r="BA1811">
        <v>0</v>
      </c>
      <c r="BB1811">
        <v>0</v>
      </c>
      <c r="BC1811">
        <v>0</v>
      </c>
      <c r="BD1811">
        <v>0</v>
      </c>
      <c r="BE1811">
        <v>0</v>
      </c>
      <c r="BF1811">
        <v>0</v>
      </c>
      <c r="BG1811">
        <v>0</v>
      </c>
      <c r="BH1811">
        <v>1</v>
      </c>
      <c r="BI1811">
        <v>2</v>
      </c>
      <c r="BJ1811">
        <v>3.2</v>
      </c>
      <c r="BK1811">
        <v>4</v>
      </c>
      <c r="BL1811">
        <v>54.66</v>
      </c>
      <c r="BM1811">
        <v>8.1999999999999993</v>
      </c>
      <c r="BN1811">
        <v>62.86</v>
      </c>
      <c r="BO1811">
        <v>62.86</v>
      </c>
      <c r="BQ1811" t="s">
        <v>823</v>
      </c>
      <c r="BR1811" t="s">
        <v>84</v>
      </c>
      <c r="BS1811" s="3">
        <v>45796</v>
      </c>
      <c r="BT1811" s="4">
        <v>0.41319444444444442</v>
      </c>
      <c r="BU1811" t="s">
        <v>1532</v>
      </c>
      <c r="BV1811" t="s">
        <v>86</v>
      </c>
      <c r="BY1811">
        <v>16128</v>
      </c>
      <c r="CA1811" t="s">
        <v>1012</v>
      </c>
      <c r="CC1811" t="s">
        <v>76</v>
      </c>
      <c r="CD1811">
        <v>1614</v>
      </c>
      <c r="CE1811" t="s">
        <v>221</v>
      </c>
      <c r="CF1811" s="3">
        <v>45796</v>
      </c>
      <c r="CI1811">
        <v>1</v>
      </c>
      <c r="CJ1811">
        <v>1</v>
      </c>
      <c r="CK1811">
        <v>22</v>
      </c>
      <c r="CL1811" t="s">
        <v>89</v>
      </c>
    </row>
    <row r="1812" spans="1:90" x14ac:dyDescent="0.3">
      <c r="A1812" t="s">
        <v>72</v>
      </c>
      <c r="B1812" t="s">
        <v>73</v>
      </c>
      <c r="C1812" t="s">
        <v>74</v>
      </c>
      <c r="E1812" t="str">
        <f>"080065409251"</f>
        <v>080065409251</v>
      </c>
      <c r="F1812" s="3">
        <v>45793</v>
      </c>
      <c r="G1812">
        <v>202602</v>
      </c>
      <c r="H1812" t="s">
        <v>75</v>
      </c>
      <c r="I1812" t="s">
        <v>76</v>
      </c>
      <c r="J1812" t="s">
        <v>77</v>
      </c>
      <c r="K1812" t="s">
        <v>78</v>
      </c>
      <c r="L1812" t="s">
        <v>143</v>
      </c>
      <c r="M1812" t="s">
        <v>144</v>
      </c>
      <c r="N1812" t="s">
        <v>2158</v>
      </c>
      <c r="O1812" t="s">
        <v>82</v>
      </c>
      <c r="P1812" t="str">
        <f>"4170038879                    "</f>
        <v xml:space="preserve">4170038879                    </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c r="AJ1812">
        <v>0</v>
      </c>
      <c r="AK1812">
        <v>0</v>
      </c>
      <c r="AL1812">
        <v>0</v>
      </c>
      <c r="AM1812">
        <v>0</v>
      </c>
      <c r="AN1812">
        <v>0</v>
      </c>
      <c r="AO1812">
        <v>0</v>
      </c>
      <c r="AP1812">
        <v>0</v>
      </c>
      <c r="AQ1812">
        <v>16.7</v>
      </c>
      <c r="AR1812">
        <v>0</v>
      </c>
      <c r="AS1812">
        <v>0</v>
      </c>
      <c r="AT1812">
        <v>0</v>
      </c>
      <c r="AU1812">
        <v>0</v>
      </c>
      <c r="AV1812">
        <v>0</v>
      </c>
      <c r="AW1812">
        <v>0</v>
      </c>
      <c r="AX1812">
        <v>0</v>
      </c>
      <c r="AY1812">
        <v>0</v>
      </c>
      <c r="AZ1812">
        <v>0</v>
      </c>
      <c r="BA1812">
        <v>0</v>
      </c>
      <c r="BB1812">
        <v>0</v>
      </c>
      <c r="BC1812">
        <v>0</v>
      </c>
      <c r="BD1812">
        <v>0</v>
      </c>
      <c r="BE1812">
        <v>0</v>
      </c>
      <c r="BF1812">
        <v>0</v>
      </c>
      <c r="BG1812">
        <v>0</v>
      </c>
      <c r="BH1812">
        <v>1</v>
      </c>
      <c r="BI1812">
        <v>1</v>
      </c>
      <c r="BJ1812">
        <v>1.1000000000000001</v>
      </c>
      <c r="BK1812">
        <v>2</v>
      </c>
      <c r="BL1812">
        <v>54.66</v>
      </c>
      <c r="BM1812">
        <v>8.1999999999999993</v>
      </c>
      <c r="BN1812">
        <v>62.86</v>
      </c>
      <c r="BO1812">
        <v>62.86</v>
      </c>
      <c r="BQ1812" t="s">
        <v>2159</v>
      </c>
      <c r="BR1812" t="s">
        <v>84</v>
      </c>
      <c r="BS1812" s="3">
        <v>45796</v>
      </c>
      <c r="BT1812" s="4">
        <v>0.36666666666666664</v>
      </c>
      <c r="BU1812" t="s">
        <v>2160</v>
      </c>
      <c r="BV1812" t="s">
        <v>86</v>
      </c>
      <c r="BY1812">
        <v>5320</v>
      </c>
      <c r="CA1812" t="s">
        <v>765</v>
      </c>
      <c r="CC1812" t="s">
        <v>144</v>
      </c>
      <c r="CD1812">
        <v>1422</v>
      </c>
      <c r="CE1812" t="s">
        <v>116</v>
      </c>
      <c r="CF1812" s="3">
        <v>45796</v>
      </c>
      <c r="CI1812">
        <v>1</v>
      </c>
      <c r="CJ1812">
        <v>1</v>
      </c>
      <c r="CK1812">
        <v>22</v>
      </c>
      <c r="CL1812" t="s">
        <v>89</v>
      </c>
    </row>
    <row r="1813" spans="1:90" x14ac:dyDescent="0.3">
      <c r="A1813" t="s">
        <v>72</v>
      </c>
      <c r="B1813" t="s">
        <v>73</v>
      </c>
      <c r="C1813" t="s">
        <v>74</v>
      </c>
      <c r="E1813" t="str">
        <f>"080065409299"</f>
        <v>080065409299</v>
      </c>
      <c r="F1813" s="3">
        <v>45793</v>
      </c>
      <c r="G1813">
        <v>202602</v>
      </c>
      <c r="H1813" t="s">
        <v>75</v>
      </c>
      <c r="I1813" t="s">
        <v>76</v>
      </c>
      <c r="J1813" t="s">
        <v>77</v>
      </c>
      <c r="K1813" t="s">
        <v>78</v>
      </c>
      <c r="L1813" t="s">
        <v>130</v>
      </c>
      <c r="M1813" t="s">
        <v>131</v>
      </c>
      <c r="N1813" t="s">
        <v>2356</v>
      </c>
      <c r="O1813" t="s">
        <v>82</v>
      </c>
      <c r="P1813" t="str">
        <f>"4170038838                    "</f>
        <v xml:space="preserve">4170038838                    </v>
      </c>
      <c r="Q1813">
        <v>0</v>
      </c>
      <c r="R1813">
        <v>0</v>
      </c>
      <c r="S1813">
        <v>0</v>
      </c>
      <c r="T1813">
        <v>0</v>
      </c>
      <c r="U1813">
        <v>0</v>
      </c>
      <c r="V1813">
        <v>0</v>
      </c>
      <c r="W1813">
        <v>0</v>
      </c>
      <c r="X1813">
        <v>0</v>
      </c>
      <c r="Y1813">
        <v>0</v>
      </c>
      <c r="Z1813">
        <v>0</v>
      </c>
      <c r="AA1813">
        <v>0</v>
      </c>
      <c r="AB1813">
        <v>0</v>
      </c>
      <c r="AC1813">
        <v>0</v>
      </c>
      <c r="AD1813">
        <v>0</v>
      </c>
      <c r="AE1813">
        <v>0</v>
      </c>
      <c r="AF1813">
        <v>0</v>
      </c>
      <c r="AG1813">
        <v>0</v>
      </c>
      <c r="AH1813">
        <v>0</v>
      </c>
      <c r="AI1813">
        <v>0</v>
      </c>
      <c r="AJ1813">
        <v>0</v>
      </c>
      <c r="AK1813">
        <v>0</v>
      </c>
      <c r="AL1813">
        <v>0</v>
      </c>
      <c r="AM1813">
        <v>0</v>
      </c>
      <c r="AN1813">
        <v>0</v>
      </c>
      <c r="AO1813">
        <v>0</v>
      </c>
      <c r="AP1813">
        <v>0</v>
      </c>
      <c r="AQ1813">
        <v>21.38</v>
      </c>
      <c r="AR1813">
        <v>0</v>
      </c>
      <c r="AS1813">
        <v>0</v>
      </c>
      <c r="AT1813">
        <v>0</v>
      </c>
      <c r="AU1813">
        <v>0</v>
      </c>
      <c r="AV1813">
        <v>0</v>
      </c>
      <c r="AW1813">
        <v>0</v>
      </c>
      <c r="AX1813">
        <v>0</v>
      </c>
      <c r="AY1813">
        <v>0</v>
      </c>
      <c r="AZ1813">
        <v>0</v>
      </c>
      <c r="BA1813">
        <v>0</v>
      </c>
      <c r="BB1813">
        <v>0</v>
      </c>
      <c r="BC1813">
        <v>0</v>
      </c>
      <c r="BD1813">
        <v>0</v>
      </c>
      <c r="BE1813">
        <v>0</v>
      </c>
      <c r="BF1813">
        <v>0</v>
      </c>
      <c r="BG1813">
        <v>0</v>
      </c>
      <c r="BH1813">
        <v>1</v>
      </c>
      <c r="BI1813">
        <v>1</v>
      </c>
      <c r="BJ1813">
        <v>0.9</v>
      </c>
      <c r="BK1813">
        <v>1</v>
      </c>
      <c r="BL1813">
        <v>69.98</v>
      </c>
      <c r="BM1813">
        <v>10.5</v>
      </c>
      <c r="BN1813">
        <v>80.48</v>
      </c>
      <c r="BO1813">
        <v>80.48</v>
      </c>
      <c r="BQ1813" t="s">
        <v>2357</v>
      </c>
      <c r="BR1813" t="s">
        <v>84</v>
      </c>
      <c r="BS1813" s="3">
        <v>45796</v>
      </c>
      <c r="BT1813" s="4">
        <v>0.38611111111111113</v>
      </c>
      <c r="BU1813" t="s">
        <v>339</v>
      </c>
      <c r="BV1813" t="s">
        <v>86</v>
      </c>
      <c r="BY1813">
        <v>4275</v>
      </c>
      <c r="CA1813" t="s">
        <v>2358</v>
      </c>
      <c r="CC1813" t="s">
        <v>131</v>
      </c>
      <c r="CD1813">
        <v>7925</v>
      </c>
      <c r="CE1813" t="s">
        <v>116</v>
      </c>
      <c r="CF1813" s="3">
        <v>45797</v>
      </c>
      <c r="CI1813">
        <v>1</v>
      </c>
      <c r="CJ1813">
        <v>1</v>
      </c>
      <c r="CK1813">
        <v>21</v>
      </c>
      <c r="CL1813" t="s">
        <v>89</v>
      </c>
    </row>
    <row r="1814" spans="1:90" x14ac:dyDescent="0.3">
      <c r="A1814" t="s">
        <v>72</v>
      </c>
      <c r="B1814" t="s">
        <v>73</v>
      </c>
      <c r="C1814" t="s">
        <v>74</v>
      </c>
      <c r="E1814" t="str">
        <f>"080065409358"</f>
        <v>080065409358</v>
      </c>
      <c r="F1814" s="3">
        <v>45793</v>
      </c>
      <c r="G1814">
        <v>202602</v>
      </c>
      <c r="H1814" t="s">
        <v>75</v>
      </c>
      <c r="I1814" t="s">
        <v>76</v>
      </c>
      <c r="J1814" t="s">
        <v>77</v>
      </c>
      <c r="K1814" t="s">
        <v>78</v>
      </c>
      <c r="L1814" t="s">
        <v>75</v>
      </c>
      <c r="M1814" t="s">
        <v>76</v>
      </c>
      <c r="N1814" t="s">
        <v>112</v>
      </c>
      <c r="O1814" t="s">
        <v>602</v>
      </c>
      <c r="P1814" t="str">
        <f>"4170038742                    "</f>
        <v xml:space="preserve">4170038742                    </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c r="AK1814">
        <v>0</v>
      </c>
      <c r="AL1814">
        <v>0</v>
      </c>
      <c r="AM1814">
        <v>0</v>
      </c>
      <c r="AN1814">
        <v>0</v>
      </c>
      <c r="AO1814">
        <v>0</v>
      </c>
      <c r="AP1814">
        <v>0</v>
      </c>
      <c r="AQ1814">
        <v>27.95</v>
      </c>
      <c r="AR1814">
        <v>0</v>
      </c>
      <c r="AS1814">
        <v>0</v>
      </c>
      <c r="AT1814">
        <v>0</v>
      </c>
      <c r="AU1814">
        <v>0</v>
      </c>
      <c r="AV1814">
        <v>0</v>
      </c>
      <c r="AW1814">
        <v>0</v>
      </c>
      <c r="AX1814">
        <v>0</v>
      </c>
      <c r="AY1814">
        <v>0</v>
      </c>
      <c r="AZ1814">
        <v>0</v>
      </c>
      <c r="BA1814">
        <v>0</v>
      </c>
      <c r="BB1814">
        <v>0</v>
      </c>
      <c r="BC1814">
        <v>0</v>
      </c>
      <c r="BD1814">
        <v>0</v>
      </c>
      <c r="BE1814">
        <v>0</v>
      </c>
      <c r="BF1814">
        <v>0</v>
      </c>
      <c r="BG1814">
        <v>0</v>
      </c>
      <c r="BH1814">
        <v>2</v>
      </c>
      <c r="BI1814">
        <v>6</v>
      </c>
      <c r="BJ1814">
        <v>13.4</v>
      </c>
      <c r="BK1814">
        <v>14</v>
      </c>
      <c r="BL1814">
        <v>91.48</v>
      </c>
      <c r="BM1814">
        <v>13.72</v>
      </c>
      <c r="BN1814">
        <v>105.2</v>
      </c>
      <c r="BO1814">
        <v>105.2</v>
      </c>
      <c r="BQ1814" t="s">
        <v>113</v>
      </c>
      <c r="BR1814" t="s">
        <v>84</v>
      </c>
      <c r="BS1814" s="3">
        <v>45796</v>
      </c>
      <c r="BT1814" s="4">
        <v>0.40833333333333333</v>
      </c>
      <c r="BU1814" t="s">
        <v>2359</v>
      </c>
      <c r="BV1814" t="s">
        <v>86</v>
      </c>
      <c r="BY1814">
        <v>67000</v>
      </c>
      <c r="CA1814" t="s">
        <v>2360</v>
      </c>
      <c r="CC1814" t="s">
        <v>76</v>
      </c>
      <c r="CD1814">
        <v>1624</v>
      </c>
      <c r="CE1814" t="s">
        <v>96</v>
      </c>
      <c r="CF1814" s="3">
        <v>45797</v>
      </c>
      <c r="CI1814">
        <v>1</v>
      </c>
      <c r="CJ1814">
        <v>1</v>
      </c>
      <c r="CK1814">
        <v>32</v>
      </c>
      <c r="CL1814" t="s">
        <v>89</v>
      </c>
    </row>
    <row r="1815" spans="1:90" x14ac:dyDescent="0.3">
      <c r="A1815" t="s">
        <v>72</v>
      </c>
      <c r="B1815" t="s">
        <v>73</v>
      </c>
      <c r="C1815" t="s">
        <v>74</v>
      </c>
      <c r="E1815" t="str">
        <f>"080065409570"</f>
        <v>080065409570</v>
      </c>
      <c r="F1815" s="3">
        <v>45793</v>
      </c>
      <c r="G1815">
        <v>202602</v>
      </c>
      <c r="H1815" t="s">
        <v>75</v>
      </c>
      <c r="I1815" t="s">
        <v>76</v>
      </c>
      <c r="J1815" t="s">
        <v>77</v>
      </c>
      <c r="K1815" t="s">
        <v>78</v>
      </c>
      <c r="L1815" t="s">
        <v>103</v>
      </c>
      <c r="M1815" t="s">
        <v>104</v>
      </c>
      <c r="N1815" t="s">
        <v>105</v>
      </c>
      <c r="O1815" t="s">
        <v>300</v>
      </c>
      <c r="P1815" t="str">
        <f>"4170038814                    "</f>
        <v xml:space="preserve">4170038814                    </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0</v>
      </c>
      <c r="AK1815">
        <v>0</v>
      </c>
      <c r="AL1815">
        <v>0</v>
      </c>
      <c r="AM1815">
        <v>0</v>
      </c>
      <c r="AN1815">
        <v>0</v>
      </c>
      <c r="AO1815">
        <v>0</v>
      </c>
      <c r="AP1815">
        <v>0</v>
      </c>
      <c r="AQ1815">
        <v>49.89</v>
      </c>
      <c r="AR1815">
        <v>0</v>
      </c>
      <c r="AS1815">
        <v>0</v>
      </c>
      <c r="AT1815">
        <v>0</v>
      </c>
      <c r="AU1815">
        <v>0</v>
      </c>
      <c r="AV1815">
        <v>0</v>
      </c>
      <c r="AW1815">
        <v>0</v>
      </c>
      <c r="AX1815">
        <v>0</v>
      </c>
      <c r="AY1815">
        <v>0</v>
      </c>
      <c r="AZ1815">
        <v>0</v>
      </c>
      <c r="BA1815">
        <v>0</v>
      </c>
      <c r="BB1815">
        <v>0</v>
      </c>
      <c r="BC1815">
        <v>0</v>
      </c>
      <c r="BD1815">
        <v>0</v>
      </c>
      <c r="BE1815">
        <v>0</v>
      </c>
      <c r="BF1815">
        <v>0</v>
      </c>
      <c r="BG1815">
        <v>0</v>
      </c>
      <c r="BH1815">
        <v>1</v>
      </c>
      <c r="BI1815">
        <v>20</v>
      </c>
      <c r="BJ1815">
        <v>8.9</v>
      </c>
      <c r="BK1815">
        <v>20</v>
      </c>
      <c r="BL1815">
        <v>168.84</v>
      </c>
      <c r="BM1815">
        <v>25.33</v>
      </c>
      <c r="BN1815">
        <v>194.17</v>
      </c>
      <c r="BO1815">
        <v>194.17</v>
      </c>
      <c r="BQ1815" t="s">
        <v>106</v>
      </c>
      <c r="BR1815" t="s">
        <v>84</v>
      </c>
      <c r="BS1815" s="3">
        <v>45796</v>
      </c>
      <c r="BT1815" s="4">
        <v>0.41666666666666669</v>
      </c>
      <c r="BU1815" t="s">
        <v>2361</v>
      </c>
      <c r="BV1815" t="s">
        <v>86</v>
      </c>
      <c r="BY1815">
        <v>44640</v>
      </c>
      <c r="CC1815" t="s">
        <v>104</v>
      </c>
      <c r="CD1815">
        <v>3201</v>
      </c>
      <c r="CE1815" t="s">
        <v>176</v>
      </c>
      <c r="CF1815" s="3">
        <v>45796</v>
      </c>
      <c r="CI1815">
        <v>2</v>
      </c>
      <c r="CJ1815">
        <v>1</v>
      </c>
      <c r="CK1815">
        <v>41</v>
      </c>
      <c r="CL1815" t="s">
        <v>89</v>
      </c>
    </row>
    <row r="1816" spans="1:90" x14ac:dyDescent="0.3">
      <c r="A1816" t="s">
        <v>72</v>
      </c>
      <c r="B1816" t="s">
        <v>73</v>
      </c>
      <c r="C1816" t="s">
        <v>74</v>
      </c>
      <c r="E1816" t="str">
        <f>"080065409683"</f>
        <v>080065409683</v>
      </c>
      <c r="F1816" s="3">
        <v>45793</v>
      </c>
      <c r="G1816">
        <v>202602</v>
      </c>
      <c r="H1816" t="s">
        <v>75</v>
      </c>
      <c r="I1816" t="s">
        <v>76</v>
      </c>
      <c r="J1816" t="s">
        <v>77</v>
      </c>
      <c r="K1816" t="s">
        <v>78</v>
      </c>
      <c r="L1816" t="s">
        <v>90</v>
      </c>
      <c r="M1816" t="s">
        <v>91</v>
      </c>
      <c r="N1816" t="s">
        <v>543</v>
      </c>
      <c r="O1816" t="s">
        <v>82</v>
      </c>
      <c r="P1816" t="str">
        <f>"4170038886                    "</f>
        <v xml:space="preserve">4170038886                    </v>
      </c>
      <c r="Q1816">
        <v>0</v>
      </c>
      <c r="R1816">
        <v>0</v>
      </c>
      <c r="S1816">
        <v>0</v>
      </c>
      <c r="T1816">
        <v>0</v>
      </c>
      <c r="U1816">
        <v>0</v>
      </c>
      <c r="V1816">
        <v>0</v>
      </c>
      <c r="W1816">
        <v>0</v>
      </c>
      <c r="X1816">
        <v>0</v>
      </c>
      <c r="Y1816">
        <v>0</v>
      </c>
      <c r="Z1816">
        <v>0</v>
      </c>
      <c r="AA1816">
        <v>0</v>
      </c>
      <c r="AB1816">
        <v>0</v>
      </c>
      <c r="AC1816">
        <v>0</v>
      </c>
      <c r="AD1816">
        <v>0</v>
      </c>
      <c r="AE1816">
        <v>0</v>
      </c>
      <c r="AF1816">
        <v>0</v>
      </c>
      <c r="AG1816">
        <v>0</v>
      </c>
      <c r="AH1816">
        <v>0</v>
      </c>
      <c r="AI1816">
        <v>0</v>
      </c>
      <c r="AJ1816">
        <v>0</v>
      </c>
      <c r="AK1816">
        <v>0</v>
      </c>
      <c r="AL1816">
        <v>0</v>
      </c>
      <c r="AM1816">
        <v>0</v>
      </c>
      <c r="AN1816">
        <v>0</v>
      </c>
      <c r="AO1816">
        <v>0</v>
      </c>
      <c r="AP1816">
        <v>0</v>
      </c>
      <c r="AQ1816">
        <v>21.38</v>
      </c>
      <c r="AR1816">
        <v>0</v>
      </c>
      <c r="AS1816">
        <v>0</v>
      </c>
      <c r="AT1816">
        <v>0</v>
      </c>
      <c r="AU1816">
        <v>0</v>
      </c>
      <c r="AV1816">
        <v>0</v>
      </c>
      <c r="AW1816">
        <v>0</v>
      </c>
      <c r="AX1816">
        <v>0</v>
      </c>
      <c r="AY1816">
        <v>0</v>
      </c>
      <c r="AZ1816">
        <v>0</v>
      </c>
      <c r="BA1816">
        <v>0</v>
      </c>
      <c r="BB1816">
        <v>0</v>
      </c>
      <c r="BC1816">
        <v>0</v>
      </c>
      <c r="BD1816">
        <v>0</v>
      </c>
      <c r="BE1816">
        <v>0</v>
      </c>
      <c r="BF1816">
        <v>0</v>
      </c>
      <c r="BG1816">
        <v>0</v>
      </c>
      <c r="BH1816">
        <v>1</v>
      </c>
      <c r="BI1816">
        <v>1</v>
      </c>
      <c r="BJ1816">
        <v>0.2</v>
      </c>
      <c r="BK1816">
        <v>1</v>
      </c>
      <c r="BL1816">
        <v>69.98</v>
      </c>
      <c r="BM1816">
        <v>10.5</v>
      </c>
      <c r="BN1816">
        <v>80.48</v>
      </c>
      <c r="BO1816">
        <v>80.48</v>
      </c>
      <c r="BQ1816" t="s">
        <v>544</v>
      </c>
      <c r="BR1816" t="s">
        <v>84</v>
      </c>
      <c r="BS1816" s="3">
        <v>45796</v>
      </c>
      <c r="BT1816" s="4">
        <v>0.37916666666666665</v>
      </c>
      <c r="BU1816" t="s">
        <v>1713</v>
      </c>
      <c r="BV1816" t="s">
        <v>86</v>
      </c>
      <c r="BY1816">
        <v>1200</v>
      </c>
      <c r="CA1816" t="s">
        <v>283</v>
      </c>
      <c r="CC1816" t="s">
        <v>91</v>
      </c>
      <c r="CD1816">
        <v>6001</v>
      </c>
      <c r="CE1816" t="s">
        <v>88</v>
      </c>
      <c r="CF1816" s="3">
        <v>45796</v>
      </c>
      <c r="CI1816">
        <v>1</v>
      </c>
      <c r="CJ1816">
        <v>1</v>
      </c>
      <c r="CK1816">
        <v>21</v>
      </c>
      <c r="CL1816" t="s">
        <v>89</v>
      </c>
    </row>
    <row r="1817" spans="1:90" x14ac:dyDescent="0.3">
      <c r="A1817" t="s">
        <v>72</v>
      </c>
      <c r="B1817" t="s">
        <v>73</v>
      </c>
      <c r="C1817" t="s">
        <v>74</v>
      </c>
      <c r="E1817" t="str">
        <f>"080065409697"</f>
        <v>080065409697</v>
      </c>
      <c r="F1817" s="3">
        <v>45793</v>
      </c>
      <c r="G1817">
        <v>202602</v>
      </c>
      <c r="H1817" t="s">
        <v>75</v>
      </c>
      <c r="I1817" t="s">
        <v>76</v>
      </c>
      <c r="J1817" t="s">
        <v>77</v>
      </c>
      <c r="K1817" t="s">
        <v>78</v>
      </c>
      <c r="L1817" t="s">
        <v>136</v>
      </c>
      <c r="M1817" t="s">
        <v>137</v>
      </c>
      <c r="N1817" t="s">
        <v>1656</v>
      </c>
      <c r="O1817" t="s">
        <v>82</v>
      </c>
      <c r="P1817" t="str">
        <f>"4170038833                    "</f>
        <v xml:space="preserve">4170038833                    </v>
      </c>
      <c r="Q1817">
        <v>0</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c r="AJ1817">
        <v>0</v>
      </c>
      <c r="AK1817">
        <v>0</v>
      </c>
      <c r="AL1817">
        <v>0</v>
      </c>
      <c r="AM1817">
        <v>0</v>
      </c>
      <c r="AN1817">
        <v>0</v>
      </c>
      <c r="AO1817">
        <v>0</v>
      </c>
      <c r="AP1817">
        <v>0</v>
      </c>
      <c r="AQ1817">
        <v>21.38</v>
      </c>
      <c r="AR1817">
        <v>0</v>
      </c>
      <c r="AS1817">
        <v>0</v>
      </c>
      <c r="AT1817">
        <v>0</v>
      </c>
      <c r="AU1817">
        <v>0</v>
      </c>
      <c r="AV1817">
        <v>0</v>
      </c>
      <c r="AW1817">
        <v>0</v>
      </c>
      <c r="AX1817">
        <v>0</v>
      </c>
      <c r="AY1817">
        <v>0</v>
      </c>
      <c r="AZ1817">
        <v>0</v>
      </c>
      <c r="BA1817">
        <v>0</v>
      </c>
      <c r="BB1817">
        <v>0</v>
      </c>
      <c r="BC1817">
        <v>0</v>
      </c>
      <c r="BD1817">
        <v>0</v>
      </c>
      <c r="BE1817">
        <v>0</v>
      </c>
      <c r="BF1817">
        <v>0</v>
      </c>
      <c r="BG1817">
        <v>0</v>
      </c>
      <c r="BH1817">
        <v>1</v>
      </c>
      <c r="BI1817">
        <v>1</v>
      </c>
      <c r="BJ1817">
        <v>0.2</v>
      </c>
      <c r="BK1817">
        <v>1</v>
      </c>
      <c r="BL1817">
        <v>69.98</v>
      </c>
      <c r="BM1817">
        <v>10.5</v>
      </c>
      <c r="BN1817">
        <v>80.48</v>
      </c>
      <c r="BO1817">
        <v>80.48</v>
      </c>
      <c r="BQ1817" t="s">
        <v>1657</v>
      </c>
      <c r="BR1817" t="s">
        <v>84</v>
      </c>
      <c r="BS1817" s="3">
        <v>45796</v>
      </c>
      <c r="BT1817" s="4">
        <v>0.39305555555555555</v>
      </c>
      <c r="BU1817" t="s">
        <v>2362</v>
      </c>
      <c r="BV1817" t="s">
        <v>86</v>
      </c>
      <c r="BY1817">
        <v>1200</v>
      </c>
      <c r="CC1817" t="s">
        <v>137</v>
      </c>
      <c r="CD1817" s="5" t="s">
        <v>142</v>
      </c>
      <c r="CE1817" t="s">
        <v>88</v>
      </c>
      <c r="CF1817" s="3">
        <v>45796</v>
      </c>
      <c r="CI1817">
        <v>1</v>
      </c>
      <c r="CJ1817">
        <v>1</v>
      </c>
      <c r="CK1817">
        <v>21</v>
      </c>
      <c r="CL1817" t="s">
        <v>89</v>
      </c>
    </row>
    <row r="1818" spans="1:90" x14ac:dyDescent="0.3">
      <c r="A1818" t="s">
        <v>72</v>
      </c>
      <c r="B1818" t="s">
        <v>73</v>
      </c>
      <c r="C1818" t="s">
        <v>74</v>
      </c>
      <c r="E1818" t="str">
        <f>"080065409712"</f>
        <v>080065409712</v>
      </c>
      <c r="F1818" s="3">
        <v>45793</v>
      </c>
      <c r="G1818">
        <v>202602</v>
      </c>
      <c r="H1818" t="s">
        <v>75</v>
      </c>
      <c r="I1818" t="s">
        <v>76</v>
      </c>
      <c r="J1818" t="s">
        <v>77</v>
      </c>
      <c r="K1818" t="s">
        <v>78</v>
      </c>
      <c r="L1818" t="s">
        <v>103</v>
      </c>
      <c r="M1818" t="s">
        <v>104</v>
      </c>
      <c r="N1818" t="s">
        <v>105</v>
      </c>
      <c r="O1818" t="s">
        <v>82</v>
      </c>
      <c r="P1818" t="str">
        <f>"4170038836                    "</f>
        <v xml:space="preserve">4170038836                    </v>
      </c>
      <c r="Q1818">
        <v>0</v>
      </c>
      <c r="R1818">
        <v>0</v>
      </c>
      <c r="S1818">
        <v>0</v>
      </c>
      <c r="T1818">
        <v>0</v>
      </c>
      <c r="U1818">
        <v>0</v>
      </c>
      <c r="V1818">
        <v>0</v>
      </c>
      <c r="W1818">
        <v>0</v>
      </c>
      <c r="X1818">
        <v>0</v>
      </c>
      <c r="Y1818">
        <v>0</v>
      </c>
      <c r="Z1818">
        <v>0</v>
      </c>
      <c r="AA1818">
        <v>0</v>
      </c>
      <c r="AB1818">
        <v>0</v>
      </c>
      <c r="AC1818">
        <v>0</v>
      </c>
      <c r="AD1818">
        <v>0</v>
      </c>
      <c r="AE1818">
        <v>0</v>
      </c>
      <c r="AF1818">
        <v>0</v>
      </c>
      <c r="AG1818">
        <v>0</v>
      </c>
      <c r="AH1818">
        <v>0</v>
      </c>
      <c r="AI1818">
        <v>0</v>
      </c>
      <c r="AJ1818">
        <v>0</v>
      </c>
      <c r="AK1818">
        <v>0</v>
      </c>
      <c r="AL1818">
        <v>0</v>
      </c>
      <c r="AM1818">
        <v>0</v>
      </c>
      <c r="AN1818">
        <v>0</v>
      </c>
      <c r="AO1818">
        <v>0</v>
      </c>
      <c r="AP1818">
        <v>0</v>
      </c>
      <c r="AQ1818">
        <v>21.38</v>
      </c>
      <c r="AR1818">
        <v>0</v>
      </c>
      <c r="AS1818">
        <v>0</v>
      </c>
      <c r="AT1818">
        <v>0</v>
      </c>
      <c r="AU1818">
        <v>0</v>
      </c>
      <c r="AV1818">
        <v>0</v>
      </c>
      <c r="AW1818">
        <v>0</v>
      </c>
      <c r="AX1818">
        <v>0</v>
      </c>
      <c r="AY1818">
        <v>0</v>
      </c>
      <c r="AZ1818">
        <v>0</v>
      </c>
      <c r="BA1818">
        <v>0</v>
      </c>
      <c r="BB1818">
        <v>0</v>
      </c>
      <c r="BC1818">
        <v>0</v>
      </c>
      <c r="BD1818">
        <v>0</v>
      </c>
      <c r="BE1818">
        <v>0</v>
      </c>
      <c r="BF1818">
        <v>0</v>
      </c>
      <c r="BG1818">
        <v>0</v>
      </c>
      <c r="BH1818">
        <v>1</v>
      </c>
      <c r="BI1818">
        <v>1</v>
      </c>
      <c r="BJ1818">
        <v>0.2</v>
      </c>
      <c r="BK1818">
        <v>1</v>
      </c>
      <c r="BL1818">
        <v>69.98</v>
      </c>
      <c r="BM1818">
        <v>10.5</v>
      </c>
      <c r="BN1818">
        <v>80.48</v>
      </c>
      <c r="BO1818">
        <v>80.48</v>
      </c>
      <c r="BQ1818" t="s">
        <v>106</v>
      </c>
      <c r="BR1818" t="s">
        <v>84</v>
      </c>
      <c r="BS1818" s="3">
        <v>45796</v>
      </c>
      <c r="BT1818" s="4">
        <v>0.41666666666666669</v>
      </c>
      <c r="BU1818" t="s">
        <v>1180</v>
      </c>
      <c r="BV1818" t="s">
        <v>86</v>
      </c>
      <c r="BY1818">
        <v>1200</v>
      </c>
      <c r="CC1818" t="s">
        <v>104</v>
      </c>
      <c r="CD1818">
        <v>3201</v>
      </c>
      <c r="CE1818" t="s">
        <v>88</v>
      </c>
      <c r="CF1818" s="3">
        <v>45796</v>
      </c>
      <c r="CI1818">
        <v>1</v>
      </c>
      <c r="CJ1818">
        <v>1</v>
      </c>
      <c r="CK1818">
        <v>21</v>
      </c>
      <c r="CL1818" t="s">
        <v>89</v>
      </c>
    </row>
    <row r="1819" spans="1:90" x14ac:dyDescent="0.3">
      <c r="A1819" t="s">
        <v>72</v>
      </c>
      <c r="B1819" t="s">
        <v>73</v>
      </c>
      <c r="C1819" t="s">
        <v>74</v>
      </c>
      <c r="E1819" t="str">
        <f>"080065409717"</f>
        <v>080065409717</v>
      </c>
      <c r="F1819" s="3">
        <v>45793</v>
      </c>
      <c r="G1819">
        <v>202602</v>
      </c>
      <c r="H1819" t="s">
        <v>75</v>
      </c>
      <c r="I1819" t="s">
        <v>76</v>
      </c>
      <c r="J1819" t="s">
        <v>77</v>
      </c>
      <c r="K1819" t="s">
        <v>78</v>
      </c>
      <c r="L1819" t="s">
        <v>177</v>
      </c>
      <c r="M1819" t="s">
        <v>178</v>
      </c>
      <c r="N1819" t="s">
        <v>393</v>
      </c>
      <c r="O1819" t="s">
        <v>82</v>
      </c>
      <c r="P1819" t="str">
        <f>"4170038819                    "</f>
        <v xml:space="preserve">4170038819                    </v>
      </c>
      <c r="Q1819">
        <v>0</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c r="AJ1819">
        <v>0</v>
      </c>
      <c r="AK1819">
        <v>0</v>
      </c>
      <c r="AL1819">
        <v>0</v>
      </c>
      <c r="AM1819">
        <v>0</v>
      </c>
      <c r="AN1819">
        <v>0</v>
      </c>
      <c r="AO1819">
        <v>0</v>
      </c>
      <c r="AP1819">
        <v>0</v>
      </c>
      <c r="AQ1819">
        <v>21.38</v>
      </c>
      <c r="AR1819">
        <v>0</v>
      </c>
      <c r="AS1819">
        <v>0</v>
      </c>
      <c r="AT1819">
        <v>0</v>
      </c>
      <c r="AU1819">
        <v>0</v>
      </c>
      <c r="AV1819">
        <v>0</v>
      </c>
      <c r="AW1819">
        <v>0</v>
      </c>
      <c r="AX1819">
        <v>0</v>
      </c>
      <c r="AY1819">
        <v>0</v>
      </c>
      <c r="AZ1819">
        <v>0</v>
      </c>
      <c r="BA1819">
        <v>0</v>
      </c>
      <c r="BB1819">
        <v>0</v>
      </c>
      <c r="BC1819">
        <v>0</v>
      </c>
      <c r="BD1819">
        <v>0</v>
      </c>
      <c r="BE1819">
        <v>0</v>
      </c>
      <c r="BF1819">
        <v>0</v>
      </c>
      <c r="BG1819">
        <v>0</v>
      </c>
      <c r="BH1819">
        <v>1</v>
      </c>
      <c r="BI1819">
        <v>1</v>
      </c>
      <c r="BJ1819">
        <v>0.2</v>
      </c>
      <c r="BK1819">
        <v>1</v>
      </c>
      <c r="BL1819">
        <v>69.98</v>
      </c>
      <c r="BM1819">
        <v>10.5</v>
      </c>
      <c r="BN1819">
        <v>80.48</v>
      </c>
      <c r="BO1819">
        <v>80.48</v>
      </c>
      <c r="BQ1819" t="s">
        <v>394</v>
      </c>
      <c r="BR1819" t="s">
        <v>84</v>
      </c>
      <c r="BS1819" s="3">
        <v>45796</v>
      </c>
      <c r="BT1819" s="4">
        <v>0.33680555555555558</v>
      </c>
      <c r="BU1819" t="s">
        <v>2345</v>
      </c>
      <c r="BV1819" t="s">
        <v>86</v>
      </c>
      <c r="BY1819">
        <v>1200</v>
      </c>
      <c r="CC1819" t="s">
        <v>178</v>
      </c>
      <c r="CD1819">
        <v>6230</v>
      </c>
      <c r="CE1819" t="s">
        <v>88</v>
      </c>
      <c r="CF1819" s="3">
        <v>45796</v>
      </c>
      <c r="CI1819">
        <v>1</v>
      </c>
      <c r="CJ1819">
        <v>1</v>
      </c>
      <c r="CK1819">
        <v>21</v>
      </c>
      <c r="CL1819" t="s">
        <v>89</v>
      </c>
    </row>
    <row r="1820" spans="1:90" x14ac:dyDescent="0.3">
      <c r="A1820" t="s">
        <v>72</v>
      </c>
      <c r="B1820" t="s">
        <v>73</v>
      </c>
      <c r="C1820" t="s">
        <v>74</v>
      </c>
      <c r="E1820" t="str">
        <f>"080065409731"</f>
        <v>080065409731</v>
      </c>
      <c r="F1820" s="3">
        <v>45793</v>
      </c>
      <c r="G1820">
        <v>202602</v>
      </c>
      <c r="H1820" t="s">
        <v>75</v>
      </c>
      <c r="I1820" t="s">
        <v>76</v>
      </c>
      <c r="J1820" t="s">
        <v>77</v>
      </c>
      <c r="K1820" t="s">
        <v>78</v>
      </c>
      <c r="L1820" t="s">
        <v>177</v>
      </c>
      <c r="M1820" t="s">
        <v>178</v>
      </c>
      <c r="N1820" t="s">
        <v>1439</v>
      </c>
      <c r="O1820" t="s">
        <v>82</v>
      </c>
      <c r="P1820" t="str">
        <f>"4170038952                    "</f>
        <v xml:space="preserve">4170038952                    </v>
      </c>
      <c r="Q1820">
        <v>0</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c r="AJ1820">
        <v>0</v>
      </c>
      <c r="AK1820">
        <v>0</v>
      </c>
      <c r="AL1820">
        <v>0</v>
      </c>
      <c r="AM1820">
        <v>0</v>
      </c>
      <c r="AN1820">
        <v>0</v>
      </c>
      <c r="AO1820">
        <v>0</v>
      </c>
      <c r="AP1820">
        <v>0</v>
      </c>
      <c r="AQ1820">
        <v>21.38</v>
      </c>
      <c r="AR1820">
        <v>0</v>
      </c>
      <c r="AS1820">
        <v>0</v>
      </c>
      <c r="AT1820">
        <v>0</v>
      </c>
      <c r="AU1820">
        <v>0</v>
      </c>
      <c r="AV1820">
        <v>0</v>
      </c>
      <c r="AW1820">
        <v>0</v>
      </c>
      <c r="AX1820">
        <v>0</v>
      </c>
      <c r="AY1820">
        <v>0</v>
      </c>
      <c r="AZ1820">
        <v>0</v>
      </c>
      <c r="BA1820">
        <v>0</v>
      </c>
      <c r="BB1820">
        <v>0</v>
      </c>
      <c r="BC1820">
        <v>0</v>
      </c>
      <c r="BD1820">
        <v>0</v>
      </c>
      <c r="BE1820">
        <v>0</v>
      </c>
      <c r="BF1820">
        <v>0</v>
      </c>
      <c r="BG1820">
        <v>0</v>
      </c>
      <c r="BH1820">
        <v>1</v>
      </c>
      <c r="BI1820">
        <v>1</v>
      </c>
      <c r="BJ1820">
        <v>0.2</v>
      </c>
      <c r="BK1820">
        <v>1</v>
      </c>
      <c r="BL1820">
        <v>69.98</v>
      </c>
      <c r="BM1820">
        <v>10.5</v>
      </c>
      <c r="BN1820">
        <v>80.48</v>
      </c>
      <c r="BO1820">
        <v>80.48</v>
      </c>
      <c r="BQ1820" t="s">
        <v>1440</v>
      </c>
      <c r="BR1820" t="s">
        <v>84</v>
      </c>
      <c r="BS1820" s="3">
        <v>45796</v>
      </c>
      <c r="BT1820" s="4">
        <v>0.35069444444444442</v>
      </c>
      <c r="BU1820" t="s">
        <v>2363</v>
      </c>
      <c r="BV1820" t="s">
        <v>86</v>
      </c>
      <c r="BY1820">
        <v>1200</v>
      </c>
      <c r="CA1820" t="s">
        <v>182</v>
      </c>
      <c r="CC1820" t="s">
        <v>178</v>
      </c>
      <c r="CD1820">
        <v>6021</v>
      </c>
      <c r="CE1820" t="s">
        <v>88</v>
      </c>
      <c r="CF1820" s="3">
        <v>45796</v>
      </c>
      <c r="CI1820">
        <v>1</v>
      </c>
      <c r="CJ1820">
        <v>1</v>
      </c>
      <c r="CK1820">
        <v>21</v>
      </c>
      <c r="CL1820" t="s">
        <v>89</v>
      </c>
    </row>
    <row r="1821" spans="1:90" x14ac:dyDescent="0.3">
      <c r="A1821" t="s">
        <v>72</v>
      </c>
      <c r="B1821" t="s">
        <v>73</v>
      </c>
      <c r="C1821" t="s">
        <v>74</v>
      </c>
      <c r="E1821" t="str">
        <f>"080065409739"</f>
        <v>080065409739</v>
      </c>
      <c r="F1821" s="3">
        <v>45793</v>
      </c>
      <c r="G1821">
        <v>202602</v>
      </c>
      <c r="H1821" t="s">
        <v>75</v>
      </c>
      <c r="I1821" t="s">
        <v>76</v>
      </c>
      <c r="J1821" t="s">
        <v>77</v>
      </c>
      <c r="K1821" t="s">
        <v>78</v>
      </c>
      <c r="L1821" t="s">
        <v>97</v>
      </c>
      <c r="M1821" t="s">
        <v>98</v>
      </c>
      <c r="N1821" t="s">
        <v>284</v>
      </c>
      <c r="O1821" t="s">
        <v>82</v>
      </c>
      <c r="P1821" t="str">
        <f>"4170038888                    "</f>
        <v xml:space="preserve">4170038888                    </v>
      </c>
      <c r="Q1821">
        <v>0</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c r="AJ1821">
        <v>0</v>
      </c>
      <c r="AK1821">
        <v>0</v>
      </c>
      <c r="AL1821">
        <v>0</v>
      </c>
      <c r="AM1821">
        <v>0</v>
      </c>
      <c r="AN1821">
        <v>0</v>
      </c>
      <c r="AO1821">
        <v>0</v>
      </c>
      <c r="AP1821">
        <v>0</v>
      </c>
      <c r="AQ1821">
        <v>16.7</v>
      </c>
      <c r="AR1821">
        <v>0</v>
      </c>
      <c r="AS1821">
        <v>0</v>
      </c>
      <c r="AT1821">
        <v>0</v>
      </c>
      <c r="AU1821">
        <v>0</v>
      </c>
      <c r="AV1821">
        <v>0</v>
      </c>
      <c r="AW1821">
        <v>0</v>
      </c>
      <c r="AX1821">
        <v>0</v>
      </c>
      <c r="AY1821">
        <v>0</v>
      </c>
      <c r="AZ1821">
        <v>0</v>
      </c>
      <c r="BA1821">
        <v>0</v>
      </c>
      <c r="BB1821">
        <v>0</v>
      </c>
      <c r="BC1821">
        <v>0</v>
      </c>
      <c r="BD1821">
        <v>0</v>
      </c>
      <c r="BE1821">
        <v>0</v>
      </c>
      <c r="BF1821">
        <v>0</v>
      </c>
      <c r="BG1821">
        <v>0</v>
      </c>
      <c r="BH1821">
        <v>1</v>
      </c>
      <c r="BI1821">
        <v>1</v>
      </c>
      <c r="BJ1821">
        <v>0.2</v>
      </c>
      <c r="BK1821">
        <v>1</v>
      </c>
      <c r="BL1821">
        <v>54.66</v>
      </c>
      <c r="BM1821">
        <v>8.1999999999999993</v>
      </c>
      <c r="BN1821">
        <v>62.86</v>
      </c>
      <c r="BO1821">
        <v>62.86</v>
      </c>
      <c r="BQ1821" t="s">
        <v>285</v>
      </c>
      <c r="BR1821" t="s">
        <v>84</v>
      </c>
      <c r="BS1821" s="3">
        <v>45796</v>
      </c>
      <c r="BT1821" s="4">
        <v>0.37083333333333335</v>
      </c>
      <c r="BU1821" t="s">
        <v>2364</v>
      </c>
      <c r="BV1821" t="s">
        <v>86</v>
      </c>
      <c r="BY1821">
        <v>1200</v>
      </c>
      <c r="CA1821" t="s">
        <v>279</v>
      </c>
      <c r="CC1821" t="s">
        <v>98</v>
      </c>
      <c r="CD1821">
        <v>1459</v>
      </c>
      <c r="CE1821" t="s">
        <v>88</v>
      </c>
      <c r="CF1821" s="3">
        <v>45796</v>
      </c>
      <c r="CI1821">
        <v>1</v>
      </c>
      <c r="CJ1821">
        <v>1</v>
      </c>
      <c r="CK1821">
        <v>22</v>
      </c>
      <c r="CL1821" t="s">
        <v>89</v>
      </c>
    </row>
    <row r="1822" spans="1:90" x14ac:dyDescent="0.3">
      <c r="A1822" t="s">
        <v>72</v>
      </c>
      <c r="B1822" t="s">
        <v>73</v>
      </c>
      <c r="C1822" t="s">
        <v>74</v>
      </c>
      <c r="E1822" t="str">
        <f>"080065409744"</f>
        <v>080065409744</v>
      </c>
      <c r="F1822" s="3">
        <v>45793</v>
      </c>
      <c r="G1822">
        <v>202602</v>
      </c>
      <c r="H1822" t="s">
        <v>75</v>
      </c>
      <c r="I1822" t="s">
        <v>76</v>
      </c>
      <c r="J1822" t="s">
        <v>77</v>
      </c>
      <c r="K1822" t="s">
        <v>78</v>
      </c>
      <c r="L1822" t="s">
        <v>366</v>
      </c>
      <c r="M1822" t="s">
        <v>367</v>
      </c>
      <c r="N1822" t="s">
        <v>368</v>
      </c>
      <c r="O1822" t="s">
        <v>82</v>
      </c>
      <c r="P1822" t="str">
        <f>"4170038829                    "</f>
        <v xml:space="preserve">4170038829                    </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c r="AI1822">
        <v>0</v>
      </c>
      <c r="AJ1822">
        <v>0</v>
      </c>
      <c r="AK1822">
        <v>0</v>
      </c>
      <c r="AL1822">
        <v>0</v>
      </c>
      <c r="AM1822">
        <v>0</v>
      </c>
      <c r="AN1822">
        <v>0</v>
      </c>
      <c r="AO1822">
        <v>0</v>
      </c>
      <c r="AP1822">
        <v>0</v>
      </c>
      <c r="AQ1822">
        <v>30.07</v>
      </c>
      <c r="AR1822">
        <v>0</v>
      </c>
      <c r="AS1822">
        <v>0</v>
      </c>
      <c r="AT1822">
        <v>0</v>
      </c>
      <c r="AU1822">
        <v>0</v>
      </c>
      <c r="AV1822">
        <v>0</v>
      </c>
      <c r="AW1822">
        <v>0</v>
      </c>
      <c r="AX1822">
        <v>0</v>
      </c>
      <c r="AY1822">
        <v>0</v>
      </c>
      <c r="AZ1822">
        <v>0</v>
      </c>
      <c r="BA1822">
        <v>0</v>
      </c>
      <c r="BB1822">
        <v>0</v>
      </c>
      <c r="BC1822">
        <v>0</v>
      </c>
      <c r="BD1822">
        <v>0</v>
      </c>
      <c r="BE1822">
        <v>0</v>
      </c>
      <c r="BF1822">
        <v>0</v>
      </c>
      <c r="BG1822">
        <v>0</v>
      </c>
      <c r="BH1822">
        <v>1</v>
      </c>
      <c r="BI1822">
        <v>1</v>
      </c>
      <c r="BJ1822">
        <v>0.2</v>
      </c>
      <c r="BK1822">
        <v>1</v>
      </c>
      <c r="BL1822">
        <v>98.42</v>
      </c>
      <c r="BM1822">
        <v>14.76</v>
      </c>
      <c r="BN1822">
        <v>113.18</v>
      </c>
      <c r="BO1822">
        <v>113.18</v>
      </c>
      <c r="BQ1822" t="s">
        <v>369</v>
      </c>
      <c r="BR1822" t="s">
        <v>84</v>
      </c>
      <c r="BS1822" s="3">
        <v>45796</v>
      </c>
      <c r="BT1822" s="4">
        <v>0.43611111111111112</v>
      </c>
      <c r="BU1822" t="s">
        <v>2365</v>
      </c>
      <c r="BV1822" t="s">
        <v>86</v>
      </c>
      <c r="BY1822">
        <v>1200</v>
      </c>
      <c r="CA1822" t="s">
        <v>971</v>
      </c>
      <c r="CC1822" t="s">
        <v>367</v>
      </c>
      <c r="CD1822">
        <v>1438</v>
      </c>
      <c r="CE1822" t="s">
        <v>88</v>
      </c>
      <c r="CF1822" s="3">
        <v>45796</v>
      </c>
      <c r="CI1822">
        <v>1</v>
      </c>
      <c r="CJ1822">
        <v>1</v>
      </c>
      <c r="CK1822">
        <v>24</v>
      </c>
      <c r="CL1822" t="s">
        <v>89</v>
      </c>
    </row>
    <row r="1823" spans="1:90" x14ac:dyDescent="0.3">
      <c r="A1823" t="s">
        <v>72</v>
      </c>
      <c r="B1823" t="s">
        <v>73</v>
      </c>
      <c r="C1823" t="s">
        <v>74</v>
      </c>
      <c r="E1823" t="str">
        <f>"080065409766"</f>
        <v>080065409766</v>
      </c>
      <c r="F1823" s="3">
        <v>45793</v>
      </c>
      <c r="G1823">
        <v>202602</v>
      </c>
      <c r="H1823" t="s">
        <v>75</v>
      </c>
      <c r="I1823" t="s">
        <v>76</v>
      </c>
      <c r="J1823" t="s">
        <v>77</v>
      </c>
      <c r="K1823" t="s">
        <v>78</v>
      </c>
      <c r="L1823" t="s">
        <v>103</v>
      </c>
      <c r="M1823" t="s">
        <v>104</v>
      </c>
      <c r="N1823" t="s">
        <v>633</v>
      </c>
      <c r="O1823" t="s">
        <v>82</v>
      </c>
      <c r="P1823" t="str">
        <f>"4170038874                    "</f>
        <v xml:space="preserve">4170038874                    </v>
      </c>
      <c r="Q1823">
        <v>0</v>
      </c>
      <c r="R1823">
        <v>0</v>
      </c>
      <c r="S1823">
        <v>0</v>
      </c>
      <c r="T1823">
        <v>0</v>
      </c>
      <c r="U1823">
        <v>0</v>
      </c>
      <c r="V1823">
        <v>0</v>
      </c>
      <c r="W1823">
        <v>0</v>
      </c>
      <c r="X1823">
        <v>0</v>
      </c>
      <c r="Y1823">
        <v>0</v>
      </c>
      <c r="Z1823">
        <v>0</v>
      </c>
      <c r="AA1823">
        <v>0</v>
      </c>
      <c r="AB1823">
        <v>0</v>
      </c>
      <c r="AC1823">
        <v>0</v>
      </c>
      <c r="AD1823">
        <v>0</v>
      </c>
      <c r="AE1823">
        <v>0</v>
      </c>
      <c r="AF1823">
        <v>0</v>
      </c>
      <c r="AG1823">
        <v>0</v>
      </c>
      <c r="AH1823">
        <v>0</v>
      </c>
      <c r="AI1823">
        <v>0</v>
      </c>
      <c r="AJ1823">
        <v>0</v>
      </c>
      <c r="AK1823">
        <v>0</v>
      </c>
      <c r="AL1823">
        <v>0</v>
      </c>
      <c r="AM1823">
        <v>0</v>
      </c>
      <c r="AN1823">
        <v>0</v>
      </c>
      <c r="AO1823">
        <v>0</v>
      </c>
      <c r="AP1823">
        <v>0</v>
      </c>
      <c r="AQ1823">
        <v>21.38</v>
      </c>
      <c r="AR1823">
        <v>0</v>
      </c>
      <c r="AS1823">
        <v>0</v>
      </c>
      <c r="AT1823">
        <v>0</v>
      </c>
      <c r="AU1823">
        <v>0</v>
      </c>
      <c r="AV1823">
        <v>0</v>
      </c>
      <c r="AW1823">
        <v>0</v>
      </c>
      <c r="AX1823">
        <v>0</v>
      </c>
      <c r="AY1823">
        <v>0</v>
      </c>
      <c r="AZ1823">
        <v>0</v>
      </c>
      <c r="BA1823">
        <v>0</v>
      </c>
      <c r="BB1823">
        <v>0</v>
      </c>
      <c r="BC1823">
        <v>0</v>
      </c>
      <c r="BD1823">
        <v>0</v>
      </c>
      <c r="BE1823">
        <v>0</v>
      </c>
      <c r="BF1823">
        <v>0</v>
      </c>
      <c r="BG1823">
        <v>0</v>
      </c>
      <c r="BH1823">
        <v>1</v>
      </c>
      <c r="BI1823">
        <v>1</v>
      </c>
      <c r="BJ1823">
        <v>0.2</v>
      </c>
      <c r="BK1823">
        <v>1</v>
      </c>
      <c r="BL1823">
        <v>69.98</v>
      </c>
      <c r="BM1823">
        <v>10.5</v>
      </c>
      <c r="BN1823">
        <v>80.48</v>
      </c>
      <c r="BO1823">
        <v>80.48</v>
      </c>
      <c r="BQ1823" t="s">
        <v>634</v>
      </c>
      <c r="BR1823" t="s">
        <v>84</v>
      </c>
      <c r="BS1823" s="3">
        <v>45796</v>
      </c>
      <c r="BT1823" s="4">
        <v>0.4861111111111111</v>
      </c>
      <c r="BU1823" t="s">
        <v>2366</v>
      </c>
      <c r="BV1823" t="s">
        <v>86</v>
      </c>
      <c r="BY1823">
        <v>1200</v>
      </c>
      <c r="CA1823" t="s">
        <v>2367</v>
      </c>
      <c r="CC1823" t="s">
        <v>104</v>
      </c>
      <c r="CD1823">
        <v>3212</v>
      </c>
      <c r="CE1823" t="s">
        <v>88</v>
      </c>
      <c r="CF1823" s="3">
        <v>45796</v>
      </c>
      <c r="CI1823">
        <v>2</v>
      </c>
      <c r="CJ1823">
        <v>1</v>
      </c>
      <c r="CK1823">
        <v>21</v>
      </c>
      <c r="CL1823" t="s">
        <v>89</v>
      </c>
    </row>
    <row r="1824" spans="1:90" x14ac:dyDescent="0.3">
      <c r="A1824" t="s">
        <v>72</v>
      </c>
      <c r="B1824" t="s">
        <v>73</v>
      </c>
      <c r="C1824" t="s">
        <v>74</v>
      </c>
      <c r="E1824" t="str">
        <f>"080065409784"</f>
        <v>080065409784</v>
      </c>
      <c r="F1824" s="3">
        <v>45793</v>
      </c>
      <c r="G1824">
        <v>202602</v>
      </c>
      <c r="H1824" t="s">
        <v>75</v>
      </c>
      <c r="I1824" t="s">
        <v>76</v>
      </c>
      <c r="J1824" t="s">
        <v>77</v>
      </c>
      <c r="K1824" t="s">
        <v>78</v>
      </c>
      <c r="L1824" t="s">
        <v>232</v>
      </c>
      <c r="M1824" t="s">
        <v>233</v>
      </c>
      <c r="N1824" t="s">
        <v>1108</v>
      </c>
      <c r="O1824" t="s">
        <v>82</v>
      </c>
      <c r="P1824" t="str">
        <f>"4170038582                    "</f>
        <v xml:space="preserve">4170038582                    </v>
      </c>
      <c r="Q1824">
        <v>0</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c r="AJ1824">
        <v>0</v>
      </c>
      <c r="AK1824">
        <v>0</v>
      </c>
      <c r="AL1824">
        <v>0</v>
      </c>
      <c r="AM1824">
        <v>0</v>
      </c>
      <c r="AN1824">
        <v>0</v>
      </c>
      <c r="AO1824">
        <v>0</v>
      </c>
      <c r="AP1824">
        <v>0</v>
      </c>
      <c r="AQ1824">
        <v>21.38</v>
      </c>
      <c r="AR1824">
        <v>0</v>
      </c>
      <c r="AS1824">
        <v>0</v>
      </c>
      <c r="AT1824">
        <v>0</v>
      </c>
      <c r="AU1824">
        <v>0</v>
      </c>
      <c r="AV1824">
        <v>0</v>
      </c>
      <c r="AW1824">
        <v>0</v>
      </c>
      <c r="AX1824">
        <v>0</v>
      </c>
      <c r="AY1824">
        <v>0</v>
      </c>
      <c r="AZ1824">
        <v>0</v>
      </c>
      <c r="BA1824">
        <v>0</v>
      </c>
      <c r="BB1824">
        <v>0</v>
      </c>
      <c r="BC1824">
        <v>0</v>
      </c>
      <c r="BD1824">
        <v>0</v>
      </c>
      <c r="BE1824">
        <v>0</v>
      </c>
      <c r="BF1824">
        <v>0</v>
      </c>
      <c r="BG1824">
        <v>0</v>
      </c>
      <c r="BH1824">
        <v>1</v>
      </c>
      <c r="BI1824">
        <v>1</v>
      </c>
      <c r="BJ1824">
        <v>0.2</v>
      </c>
      <c r="BK1824">
        <v>1</v>
      </c>
      <c r="BL1824">
        <v>69.98</v>
      </c>
      <c r="BM1824">
        <v>10.5</v>
      </c>
      <c r="BN1824">
        <v>80.48</v>
      </c>
      <c r="BO1824">
        <v>80.48</v>
      </c>
      <c r="BQ1824" t="s">
        <v>1109</v>
      </c>
      <c r="BR1824" t="s">
        <v>84</v>
      </c>
      <c r="BS1824" s="3">
        <v>45796</v>
      </c>
      <c r="BT1824" s="4">
        <v>0.4375</v>
      </c>
      <c r="BU1824" t="s">
        <v>2368</v>
      </c>
      <c r="BV1824" t="s">
        <v>86</v>
      </c>
      <c r="BY1824">
        <v>1200</v>
      </c>
      <c r="CA1824" t="s">
        <v>2369</v>
      </c>
      <c r="CC1824" t="s">
        <v>233</v>
      </c>
      <c r="CD1824" s="5" t="s">
        <v>238</v>
      </c>
      <c r="CE1824" t="s">
        <v>88</v>
      </c>
      <c r="CF1824" s="3">
        <v>45796</v>
      </c>
      <c r="CI1824">
        <v>1</v>
      </c>
      <c r="CJ1824">
        <v>1</v>
      </c>
      <c r="CK1824">
        <v>21</v>
      </c>
      <c r="CL1824" t="s">
        <v>89</v>
      </c>
    </row>
    <row r="1825" spans="1:90" x14ac:dyDescent="0.3">
      <c r="A1825" t="s">
        <v>72</v>
      </c>
      <c r="B1825" t="s">
        <v>73</v>
      </c>
      <c r="C1825" t="s">
        <v>74</v>
      </c>
      <c r="E1825" t="str">
        <f>"080065409793"</f>
        <v>080065409793</v>
      </c>
      <c r="F1825" s="3">
        <v>45793</v>
      </c>
      <c r="G1825">
        <v>202602</v>
      </c>
      <c r="H1825" t="s">
        <v>75</v>
      </c>
      <c r="I1825" t="s">
        <v>76</v>
      </c>
      <c r="J1825" t="s">
        <v>77</v>
      </c>
      <c r="K1825" t="s">
        <v>78</v>
      </c>
      <c r="L1825" t="s">
        <v>136</v>
      </c>
      <c r="M1825" t="s">
        <v>137</v>
      </c>
      <c r="N1825" t="s">
        <v>1090</v>
      </c>
      <c r="O1825" t="s">
        <v>82</v>
      </c>
      <c r="P1825" t="str">
        <f>"4170038785                    "</f>
        <v xml:space="preserve">4170038785                    </v>
      </c>
      <c r="Q1825">
        <v>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0</v>
      </c>
      <c r="AK1825">
        <v>0</v>
      </c>
      <c r="AL1825">
        <v>0</v>
      </c>
      <c r="AM1825">
        <v>0</v>
      </c>
      <c r="AN1825">
        <v>0</v>
      </c>
      <c r="AO1825">
        <v>0</v>
      </c>
      <c r="AP1825">
        <v>0</v>
      </c>
      <c r="AQ1825">
        <v>21.38</v>
      </c>
      <c r="AR1825">
        <v>0</v>
      </c>
      <c r="AS1825">
        <v>0</v>
      </c>
      <c r="AT1825">
        <v>0</v>
      </c>
      <c r="AU1825">
        <v>0</v>
      </c>
      <c r="AV1825">
        <v>0</v>
      </c>
      <c r="AW1825">
        <v>0</v>
      </c>
      <c r="AX1825">
        <v>0</v>
      </c>
      <c r="AY1825">
        <v>0</v>
      </c>
      <c r="AZ1825">
        <v>0</v>
      </c>
      <c r="BA1825">
        <v>0</v>
      </c>
      <c r="BB1825">
        <v>0</v>
      </c>
      <c r="BC1825">
        <v>0</v>
      </c>
      <c r="BD1825">
        <v>0</v>
      </c>
      <c r="BE1825">
        <v>0</v>
      </c>
      <c r="BF1825">
        <v>0</v>
      </c>
      <c r="BG1825">
        <v>0</v>
      </c>
      <c r="BH1825">
        <v>1</v>
      </c>
      <c r="BI1825">
        <v>1</v>
      </c>
      <c r="BJ1825">
        <v>0.2</v>
      </c>
      <c r="BK1825">
        <v>1</v>
      </c>
      <c r="BL1825">
        <v>69.98</v>
      </c>
      <c r="BM1825">
        <v>10.5</v>
      </c>
      <c r="BN1825">
        <v>80.48</v>
      </c>
      <c r="BO1825">
        <v>80.48</v>
      </c>
      <c r="BQ1825" t="s">
        <v>1091</v>
      </c>
      <c r="BR1825" t="s">
        <v>84</v>
      </c>
      <c r="BS1825" s="3">
        <v>45796</v>
      </c>
      <c r="BT1825" s="4">
        <v>0.38055555555555554</v>
      </c>
      <c r="BU1825" t="s">
        <v>1719</v>
      </c>
      <c r="BV1825" t="s">
        <v>86</v>
      </c>
      <c r="BY1825">
        <v>1200</v>
      </c>
      <c r="CA1825" t="s">
        <v>1093</v>
      </c>
      <c r="CC1825" t="s">
        <v>137</v>
      </c>
      <c r="CD1825" s="5" t="s">
        <v>738</v>
      </c>
      <c r="CE1825" t="s">
        <v>88</v>
      </c>
      <c r="CF1825" s="3">
        <v>45796</v>
      </c>
      <c r="CI1825">
        <v>1</v>
      </c>
      <c r="CJ1825">
        <v>1</v>
      </c>
      <c r="CK1825">
        <v>21</v>
      </c>
      <c r="CL1825" t="s">
        <v>89</v>
      </c>
    </row>
    <row r="1826" spans="1:90" x14ac:dyDescent="0.3">
      <c r="A1826" t="s">
        <v>72</v>
      </c>
      <c r="B1826" t="s">
        <v>73</v>
      </c>
      <c r="C1826" t="s">
        <v>74</v>
      </c>
      <c r="E1826" t="str">
        <f>"080065409795"</f>
        <v>080065409795</v>
      </c>
      <c r="F1826" s="3">
        <v>45793</v>
      </c>
      <c r="G1826">
        <v>202602</v>
      </c>
      <c r="H1826" t="s">
        <v>75</v>
      </c>
      <c r="I1826" t="s">
        <v>76</v>
      </c>
      <c r="J1826" t="s">
        <v>77</v>
      </c>
      <c r="K1826" t="s">
        <v>78</v>
      </c>
      <c r="L1826" t="s">
        <v>75</v>
      </c>
      <c r="M1826" t="s">
        <v>76</v>
      </c>
      <c r="N1826" t="s">
        <v>390</v>
      </c>
      <c r="O1826" t="s">
        <v>82</v>
      </c>
      <c r="P1826" t="str">
        <f>"4170038990                    "</f>
        <v xml:space="preserve">4170038990                    </v>
      </c>
      <c r="Q1826">
        <v>0</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c r="AJ1826">
        <v>0</v>
      </c>
      <c r="AK1826">
        <v>0</v>
      </c>
      <c r="AL1826">
        <v>0</v>
      </c>
      <c r="AM1826">
        <v>0</v>
      </c>
      <c r="AN1826">
        <v>0</v>
      </c>
      <c r="AO1826">
        <v>0</v>
      </c>
      <c r="AP1826">
        <v>0</v>
      </c>
      <c r="AQ1826">
        <v>16.7</v>
      </c>
      <c r="AR1826">
        <v>0</v>
      </c>
      <c r="AS1826">
        <v>0</v>
      </c>
      <c r="AT1826">
        <v>0</v>
      </c>
      <c r="AU1826">
        <v>0</v>
      </c>
      <c r="AV1826">
        <v>0</v>
      </c>
      <c r="AW1826">
        <v>0</v>
      </c>
      <c r="AX1826">
        <v>0</v>
      </c>
      <c r="AY1826">
        <v>0</v>
      </c>
      <c r="AZ1826">
        <v>0</v>
      </c>
      <c r="BA1826">
        <v>0</v>
      </c>
      <c r="BB1826">
        <v>0</v>
      </c>
      <c r="BC1826">
        <v>0</v>
      </c>
      <c r="BD1826">
        <v>0</v>
      </c>
      <c r="BE1826">
        <v>0</v>
      </c>
      <c r="BF1826">
        <v>0</v>
      </c>
      <c r="BG1826">
        <v>0</v>
      </c>
      <c r="BH1826">
        <v>1</v>
      </c>
      <c r="BI1826">
        <v>1</v>
      </c>
      <c r="BJ1826">
        <v>0.2</v>
      </c>
      <c r="BK1826">
        <v>1</v>
      </c>
      <c r="BL1826">
        <v>54.66</v>
      </c>
      <c r="BM1826">
        <v>8.1999999999999993</v>
      </c>
      <c r="BN1826">
        <v>62.86</v>
      </c>
      <c r="BO1826">
        <v>62.86</v>
      </c>
      <c r="BQ1826" t="s">
        <v>391</v>
      </c>
      <c r="BR1826" t="s">
        <v>84</v>
      </c>
      <c r="BS1826" s="3">
        <v>45796</v>
      </c>
      <c r="BT1826" s="4">
        <v>0.35</v>
      </c>
      <c r="BU1826" t="s">
        <v>392</v>
      </c>
      <c r="BV1826" t="s">
        <v>86</v>
      </c>
      <c r="BY1826">
        <v>1200</v>
      </c>
      <c r="CA1826" t="s">
        <v>115</v>
      </c>
      <c r="CC1826" t="s">
        <v>76</v>
      </c>
      <c r="CD1826">
        <v>1600</v>
      </c>
      <c r="CE1826" t="s">
        <v>88</v>
      </c>
      <c r="CF1826" s="3">
        <v>45797</v>
      </c>
      <c r="CI1826">
        <v>1</v>
      </c>
      <c r="CJ1826">
        <v>1</v>
      </c>
      <c r="CK1826">
        <v>22</v>
      </c>
      <c r="CL1826" t="s">
        <v>89</v>
      </c>
    </row>
    <row r="1827" spans="1:90" x14ac:dyDescent="0.3">
      <c r="A1827" t="s">
        <v>72</v>
      </c>
      <c r="B1827" t="s">
        <v>73</v>
      </c>
      <c r="C1827" t="s">
        <v>74</v>
      </c>
      <c r="E1827" t="str">
        <f>"080065409811"</f>
        <v>080065409811</v>
      </c>
      <c r="F1827" s="3">
        <v>45793</v>
      </c>
      <c r="G1827">
        <v>202602</v>
      </c>
      <c r="H1827" t="s">
        <v>75</v>
      </c>
      <c r="I1827" t="s">
        <v>76</v>
      </c>
      <c r="J1827" t="s">
        <v>77</v>
      </c>
      <c r="K1827" t="s">
        <v>78</v>
      </c>
      <c r="L1827" t="s">
        <v>130</v>
      </c>
      <c r="M1827" t="s">
        <v>131</v>
      </c>
      <c r="N1827" t="s">
        <v>709</v>
      </c>
      <c r="O1827" t="s">
        <v>82</v>
      </c>
      <c r="P1827" t="str">
        <f>"4170038830                    "</f>
        <v xml:space="preserve">4170038830                    </v>
      </c>
      <c r="Q1827">
        <v>0</v>
      </c>
      <c r="R1827">
        <v>0</v>
      </c>
      <c r="S1827">
        <v>0</v>
      </c>
      <c r="T1827">
        <v>0</v>
      </c>
      <c r="U1827">
        <v>0</v>
      </c>
      <c r="V1827">
        <v>0</v>
      </c>
      <c r="W1827">
        <v>0</v>
      </c>
      <c r="X1827">
        <v>0</v>
      </c>
      <c r="Y1827">
        <v>0</v>
      </c>
      <c r="Z1827">
        <v>0</v>
      </c>
      <c r="AA1827">
        <v>0</v>
      </c>
      <c r="AB1827">
        <v>0</v>
      </c>
      <c r="AC1827">
        <v>0</v>
      </c>
      <c r="AD1827">
        <v>0</v>
      </c>
      <c r="AE1827">
        <v>0</v>
      </c>
      <c r="AF1827">
        <v>0</v>
      </c>
      <c r="AG1827">
        <v>0</v>
      </c>
      <c r="AH1827">
        <v>0</v>
      </c>
      <c r="AI1827">
        <v>0</v>
      </c>
      <c r="AJ1827">
        <v>0</v>
      </c>
      <c r="AK1827">
        <v>0</v>
      </c>
      <c r="AL1827">
        <v>0</v>
      </c>
      <c r="AM1827">
        <v>0</v>
      </c>
      <c r="AN1827">
        <v>0</v>
      </c>
      <c r="AO1827">
        <v>0</v>
      </c>
      <c r="AP1827">
        <v>0</v>
      </c>
      <c r="AQ1827">
        <v>21.38</v>
      </c>
      <c r="AR1827">
        <v>0</v>
      </c>
      <c r="AS1827">
        <v>0</v>
      </c>
      <c r="AT1827">
        <v>0</v>
      </c>
      <c r="AU1827">
        <v>0</v>
      </c>
      <c r="AV1827">
        <v>0</v>
      </c>
      <c r="AW1827">
        <v>0</v>
      </c>
      <c r="AX1827">
        <v>0</v>
      </c>
      <c r="AY1827">
        <v>0</v>
      </c>
      <c r="AZ1827">
        <v>0</v>
      </c>
      <c r="BA1827">
        <v>0</v>
      </c>
      <c r="BB1827">
        <v>0</v>
      </c>
      <c r="BC1827">
        <v>0</v>
      </c>
      <c r="BD1827">
        <v>0</v>
      </c>
      <c r="BE1827">
        <v>0</v>
      </c>
      <c r="BF1827">
        <v>0</v>
      </c>
      <c r="BG1827">
        <v>0</v>
      </c>
      <c r="BH1827">
        <v>1</v>
      </c>
      <c r="BI1827">
        <v>1</v>
      </c>
      <c r="BJ1827">
        <v>0.2</v>
      </c>
      <c r="BK1827">
        <v>1</v>
      </c>
      <c r="BL1827">
        <v>69.98</v>
      </c>
      <c r="BM1827">
        <v>10.5</v>
      </c>
      <c r="BN1827">
        <v>80.48</v>
      </c>
      <c r="BO1827">
        <v>80.48</v>
      </c>
      <c r="BQ1827" t="s">
        <v>710</v>
      </c>
      <c r="BR1827" t="s">
        <v>84</v>
      </c>
      <c r="BS1827" s="3">
        <v>45797</v>
      </c>
      <c r="BT1827" s="4">
        <v>0.34027777777777779</v>
      </c>
      <c r="BU1827" t="s">
        <v>711</v>
      </c>
      <c r="BV1827" t="s">
        <v>89</v>
      </c>
      <c r="BW1827" t="s">
        <v>340</v>
      </c>
      <c r="BX1827" t="s">
        <v>618</v>
      </c>
      <c r="BY1827">
        <v>1200</v>
      </c>
      <c r="CA1827" t="s">
        <v>712</v>
      </c>
      <c r="CC1827" t="s">
        <v>131</v>
      </c>
      <c r="CD1827">
        <v>7530</v>
      </c>
      <c r="CE1827" t="s">
        <v>88</v>
      </c>
      <c r="CF1827" s="3">
        <v>45798</v>
      </c>
      <c r="CI1827">
        <v>1</v>
      </c>
      <c r="CJ1827">
        <v>2</v>
      </c>
      <c r="CK1827">
        <v>21</v>
      </c>
      <c r="CL1827" t="s">
        <v>89</v>
      </c>
    </row>
    <row r="1828" spans="1:90" x14ac:dyDescent="0.3">
      <c r="A1828" t="s">
        <v>72</v>
      </c>
      <c r="B1828" t="s">
        <v>73</v>
      </c>
      <c r="C1828" t="s">
        <v>74</v>
      </c>
      <c r="E1828" t="str">
        <f>"080065409832"</f>
        <v>080065409832</v>
      </c>
      <c r="F1828" s="3">
        <v>45793</v>
      </c>
      <c r="G1828">
        <v>202602</v>
      </c>
      <c r="H1828" t="s">
        <v>75</v>
      </c>
      <c r="I1828" t="s">
        <v>76</v>
      </c>
      <c r="J1828" t="s">
        <v>77</v>
      </c>
      <c r="K1828" t="s">
        <v>78</v>
      </c>
      <c r="L1828" t="s">
        <v>177</v>
      </c>
      <c r="M1828" t="s">
        <v>178</v>
      </c>
      <c r="N1828" t="s">
        <v>393</v>
      </c>
      <c r="O1828" t="s">
        <v>82</v>
      </c>
      <c r="P1828" t="str">
        <f>"4170038837                    "</f>
        <v xml:space="preserve">4170038837                    </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c r="AJ1828">
        <v>0</v>
      </c>
      <c r="AK1828">
        <v>0</v>
      </c>
      <c r="AL1828">
        <v>0</v>
      </c>
      <c r="AM1828">
        <v>0</v>
      </c>
      <c r="AN1828">
        <v>0</v>
      </c>
      <c r="AO1828">
        <v>0</v>
      </c>
      <c r="AP1828">
        <v>0</v>
      </c>
      <c r="AQ1828">
        <v>21.38</v>
      </c>
      <c r="AR1828">
        <v>0</v>
      </c>
      <c r="AS1828">
        <v>0</v>
      </c>
      <c r="AT1828">
        <v>0</v>
      </c>
      <c r="AU1828">
        <v>0</v>
      </c>
      <c r="AV1828">
        <v>0</v>
      </c>
      <c r="AW1828">
        <v>0</v>
      </c>
      <c r="AX1828">
        <v>0</v>
      </c>
      <c r="AY1828">
        <v>0</v>
      </c>
      <c r="AZ1828">
        <v>0</v>
      </c>
      <c r="BA1828">
        <v>0</v>
      </c>
      <c r="BB1828">
        <v>0</v>
      </c>
      <c r="BC1828">
        <v>0</v>
      </c>
      <c r="BD1828">
        <v>0</v>
      </c>
      <c r="BE1828">
        <v>0</v>
      </c>
      <c r="BF1828">
        <v>0</v>
      </c>
      <c r="BG1828">
        <v>0</v>
      </c>
      <c r="BH1828">
        <v>1</v>
      </c>
      <c r="BI1828">
        <v>1</v>
      </c>
      <c r="BJ1828">
        <v>0.2</v>
      </c>
      <c r="BK1828">
        <v>1</v>
      </c>
      <c r="BL1828">
        <v>69.98</v>
      </c>
      <c r="BM1828">
        <v>10.5</v>
      </c>
      <c r="BN1828">
        <v>80.48</v>
      </c>
      <c r="BO1828">
        <v>80.48</v>
      </c>
      <c r="BQ1828" t="s">
        <v>394</v>
      </c>
      <c r="BR1828" t="s">
        <v>84</v>
      </c>
      <c r="BS1828" s="3">
        <v>45796</v>
      </c>
      <c r="BT1828" s="4">
        <v>0.33958333333333335</v>
      </c>
      <c r="BU1828" t="s">
        <v>2345</v>
      </c>
      <c r="BV1828" t="s">
        <v>86</v>
      </c>
      <c r="BY1828">
        <v>1200</v>
      </c>
      <c r="CA1828" t="s">
        <v>182</v>
      </c>
      <c r="CC1828" t="s">
        <v>178</v>
      </c>
      <c r="CD1828">
        <v>6230</v>
      </c>
      <c r="CE1828" t="s">
        <v>88</v>
      </c>
      <c r="CF1828" s="3">
        <v>45796</v>
      </c>
      <c r="CI1828">
        <v>1</v>
      </c>
      <c r="CJ1828">
        <v>1</v>
      </c>
      <c r="CK1828">
        <v>21</v>
      </c>
      <c r="CL1828" t="s">
        <v>89</v>
      </c>
    </row>
    <row r="1829" spans="1:90" x14ac:dyDescent="0.3">
      <c r="A1829" t="s">
        <v>72</v>
      </c>
      <c r="B1829" t="s">
        <v>73</v>
      </c>
      <c r="C1829" t="s">
        <v>74</v>
      </c>
      <c r="E1829" t="str">
        <f>"080065409855"</f>
        <v>080065409855</v>
      </c>
      <c r="F1829" s="3">
        <v>45793</v>
      </c>
      <c r="G1829">
        <v>202602</v>
      </c>
      <c r="H1829" t="s">
        <v>75</v>
      </c>
      <c r="I1829" t="s">
        <v>76</v>
      </c>
      <c r="J1829" t="s">
        <v>77</v>
      </c>
      <c r="K1829" t="s">
        <v>78</v>
      </c>
      <c r="L1829" t="s">
        <v>117</v>
      </c>
      <c r="M1829" t="s">
        <v>118</v>
      </c>
      <c r="N1829" t="s">
        <v>532</v>
      </c>
      <c r="O1829" t="s">
        <v>82</v>
      </c>
      <c r="P1829" t="str">
        <f>"4170039009                    "</f>
        <v xml:space="preserve">4170039009                    </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c r="AI1829">
        <v>0</v>
      </c>
      <c r="AJ1829">
        <v>0</v>
      </c>
      <c r="AK1829">
        <v>0</v>
      </c>
      <c r="AL1829">
        <v>0</v>
      </c>
      <c r="AM1829">
        <v>0</v>
      </c>
      <c r="AN1829">
        <v>0</v>
      </c>
      <c r="AO1829">
        <v>0</v>
      </c>
      <c r="AP1829">
        <v>0</v>
      </c>
      <c r="AQ1829">
        <v>16.7</v>
      </c>
      <c r="AR1829">
        <v>0</v>
      </c>
      <c r="AS1829">
        <v>0</v>
      </c>
      <c r="AT1829">
        <v>0</v>
      </c>
      <c r="AU1829">
        <v>0</v>
      </c>
      <c r="AV1829">
        <v>0</v>
      </c>
      <c r="AW1829">
        <v>0</v>
      </c>
      <c r="AX1829">
        <v>0</v>
      </c>
      <c r="AY1829">
        <v>0</v>
      </c>
      <c r="AZ1829">
        <v>0</v>
      </c>
      <c r="BA1829">
        <v>0</v>
      </c>
      <c r="BB1829">
        <v>0</v>
      </c>
      <c r="BC1829">
        <v>0</v>
      </c>
      <c r="BD1829">
        <v>0</v>
      </c>
      <c r="BE1829">
        <v>0</v>
      </c>
      <c r="BF1829">
        <v>0</v>
      </c>
      <c r="BG1829">
        <v>0</v>
      </c>
      <c r="BH1829">
        <v>1</v>
      </c>
      <c r="BI1829">
        <v>1</v>
      </c>
      <c r="BJ1829">
        <v>0.2</v>
      </c>
      <c r="BK1829">
        <v>1</v>
      </c>
      <c r="BL1829">
        <v>54.66</v>
      </c>
      <c r="BM1829">
        <v>8.1999999999999993</v>
      </c>
      <c r="BN1829">
        <v>62.86</v>
      </c>
      <c r="BO1829">
        <v>62.86</v>
      </c>
      <c r="BQ1829" t="s">
        <v>533</v>
      </c>
      <c r="BR1829" t="s">
        <v>84</v>
      </c>
      <c r="BS1829" s="3">
        <v>45796</v>
      </c>
      <c r="BT1829" s="4">
        <v>0.35069444444444442</v>
      </c>
      <c r="BU1829" t="s">
        <v>542</v>
      </c>
      <c r="BV1829" t="s">
        <v>86</v>
      </c>
      <c r="BY1829">
        <v>1200</v>
      </c>
      <c r="CA1829" t="s">
        <v>535</v>
      </c>
      <c r="CC1829" t="s">
        <v>118</v>
      </c>
      <c r="CD1829">
        <v>2094</v>
      </c>
      <c r="CE1829" t="s">
        <v>88</v>
      </c>
      <c r="CF1829" s="3">
        <v>45796</v>
      </c>
      <c r="CI1829">
        <v>1</v>
      </c>
      <c r="CJ1829">
        <v>1</v>
      </c>
      <c r="CK1829">
        <v>22</v>
      </c>
      <c r="CL1829" t="s">
        <v>89</v>
      </c>
    </row>
    <row r="1830" spans="1:90" x14ac:dyDescent="0.3">
      <c r="A1830" t="s">
        <v>72</v>
      </c>
      <c r="B1830" t="s">
        <v>73</v>
      </c>
      <c r="C1830" t="s">
        <v>74</v>
      </c>
      <c r="E1830" t="str">
        <f>"080065409865"</f>
        <v>080065409865</v>
      </c>
      <c r="F1830" s="3">
        <v>45793</v>
      </c>
      <c r="G1830">
        <v>202602</v>
      </c>
      <c r="H1830" t="s">
        <v>75</v>
      </c>
      <c r="I1830" t="s">
        <v>76</v>
      </c>
      <c r="J1830" t="s">
        <v>77</v>
      </c>
      <c r="K1830" t="s">
        <v>78</v>
      </c>
      <c r="L1830" t="s">
        <v>1328</v>
      </c>
      <c r="M1830" t="s">
        <v>1329</v>
      </c>
      <c r="N1830" t="s">
        <v>1330</v>
      </c>
      <c r="O1830" t="s">
        <v>82</v>
      </c>
      <c r="P1830" t="str">
        <f>"4170038922                    "</f>
        <v xml:space="preserve">4170038922                    </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0</v>
      </c>
      <c r="AK1830">
        <v>0</v>
      </c>
      <c r="AL1830">
        <v>0</v>
      </c>
      <c r="AM1830">
        <v>0</v>
      </c>
      <c r="AN1830">
        <v>0</v>
      </c>
      <c r="AO1830">
        <v>0</v>
      </c>
      <c r="AP1830">
        <v>0</v>
      </c>
      <c r="AQ1830">
        <v>30.07</v>
      </c>
      <c r="AR1830">
        <v>0</v>
      </c>
      <c r="AS1830">
        <v>0</v>
      </c>
      <c r="AT1830">
        <v>0</v>
      </c>
      <c r="AU1830">
        <v>0</v>
      </c>
      <c r="AV1830">
        <v>0</v>
      </c>
      <c r="AW1830">
        <v>0</v>
      </c>
      <c r="AX1830">
        <v>0</v>
      </c>
      <c r="AY1830">
        <v>0</v>
      </c>
      <c r="AZ1830">
        <v>0</v>
      </c>
      <c r="BA1830">
        <v>0</v>
      </c>
      <c r="BB1830">
        <v>0</v>
      </c>
      <c r="BC1830">
        <v>0</v>
      </c>
      <c r="BD1830">
        <v>0</v>
      </c>
      <c r="BE1830">
        <v>0</v>
      </c>
      <c r="BF1830">
        <v>0</v>
      </c>
      <c r="BG1830">
        <v>0</v>
      </c>
      <c r="BH1830">
        <v>1</v>
      </c>
      <c r="BI1830">
        <v>1</v>
      </c>
      <c r="BJ1830">
        <v>0.2</v>
      </c>
      <c r="BK1830">
        <v>1</v>
      </c>
      <c r="BL1830">
        <v>98.42</v>
      </c>
      <c r="BM1830">
        <v>14.76</v>
      </c>
      <c r="BN1830">
        <v>113.18</v>
      </c>
      <c r="BO1830">
        <v>113.18</v>
      </c>
      <c r="BQ1830" t="s">
        <v>1331</v>
      </c>
      <c r="BR1830" t="s">
        <v>84</v>
      </c>
      <c r="BS1830" s="3">
        <v>45796</v>
      </c>
      <c r="BT1830" s="4">
        <v>0.33333333333333331</v>
      </c>
      <c r="BU1830" t="s">
        <v>2370</v>
      </c>
      <c r="BV1830" t="s">
        <v>86</v>
      </c>
      <c r="BY1830">
        <v>1200</v>
      </c>
      <c r="CA1830" t="s">
        <v>231</v>
      </c>
      <c r="CC1830" t="s">
        <v>1329</v>
      </c>
      <c r="CD1830">
        <v>2210</v>
      </c>
      <c r="CE1830" t="s">
        <v>88</v>
      </c>
      <c r="CF1830" s="3">
        <v>45796</v>
      </c>
      <c r="CI1830">
        <v>1</v>
      </c>
      <c r="CJ1830">
        <v>1</v>
      </c>
      <c r="CK1830">
        <v>24</v>
      </c>
      <c r="CL1830" t="s">
        <v>89</v>
      </c>
    </row>
    <row r="1831" spans="1:90" x14ac:dyDescent="0.3">
      <c r="A1831" t="s">
        <v>72</v>
      </c>
      <c r="B1831" t="s">
        <v>73</v>
      </c>
      <c r="C1831" t="s">
        <v>74</v>
      </c>
      <c r="E1831" t="str">
        <f>"080065409899"</f>
        <v>080065409899</v>
      </c>
      <c r="F1831" s="3">
        <v>45793</v>
      </c>
      <c r="G1831">
        <v>202602</v>
      </c>
      <c r="H1831" t="s">
        <v>75</v>
      </c>
      <c r="I1831" t="s">
        <v>76</v>
      </c>
      <c r="J1831" t="s">
        <v>77</v>
      </c>
      <c r="K1831" t="s">
        <v>78</v>
      </c>
      <c r="L1831" t="s">
        <v>624</v>
      </c>
      <c r="M1831" t="s">
        <v>625</v>
      </c>
      <c r="N1831" t="s">
        <v>626</v>
      </c>
      <c r="O1831" t="s">
        <v>82</v>
      </c>
      <c r="P1831" t="str">
        <f>"4170039002                    "</f>
        <v xml:space="preserve">4170039002                    </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c r="AK1831">
        <v>0</v>
      </c>
      <c r="AL1831">
        <v>0</v>
      </c>
      <c r="AM1831">
        <v>0</v>
      </c>
      <c r="AN1831">
        <v>0</v>
      </c>
      <c r="AO1831">
        <v>0</v>
      </c>
      <c r="AP1831">
        <v>0</v>
      </c>
      <c r="AQ1831">
        <v>41.43</v>
      </c>
      <c r="AR1831">
        <v>0</v>
      </c>
      <c r="AS1831">
        <v>0</v>
      </c>
      <c r="AT1831">
        <v>0</v>
      </c>
      <c r="AU1831">
        <v>0</v>
      </c>
      <c r="AV1831">
        <v>0</v>
      </c>
      <c r="AW1831">
        <v>0</v>
      </c>
      <c r="AX1831">
        <v>0</v>
      </c>
      <c r="AY1831">
        <v>0</v>
      </c>
      <c r="AZ1831">
        <v>0</v>
      </c>
      <c r="BA1831">
        <v>0</v>
      </c>
      <c r="BB1831">
        <v>0</v>
      </c>
      <c r="BC1831">
        <v>0</v>
      </c>
      <c r="BD1831">
        <v>0</v>
      </c>
      <c r="BE1831">
        <v>0</v>
      </c>
      <c r="BF1831">
        <v>0</v>
      </c>
      <c r="BG1831">
        <v>0</v>
      </c>
      <c r="BH1831">
        <v>1</v>
      </c>
      <c r="BI1831">
        <v>1</v>
      </c>
      <c r="BJ1831">
        <v>0.2</v>
      </c>
      <c r="BK1831">
        <v>1</v>
      </c>
      <c r="BL1831">
        <v>135.59</v>
      </c>
      <c r="BM1831">
        <v>20.34</v>
      </c>
      <c r="BN1831">
        <v>155.93</v>
      </c>
      <c r="BO1831">
        <v>155.93</v>
      </c>
      <c r="BQ1831" t="s">
        <v>627</v>
      </c>
      <c r="BR1831" t="s">
        <v>84</v>
      </c>
      <c r="BS1831" s="3">
        <v>45796</v>
      </c>
      <c r="BT1831" s="4">
        <v>0.33611111111111114</v>
      </c>
      <c r="BU1831" t="s">
        <v>1674</v>
      </c>
      <c r="BV1831" t="s">
        <v>86</v>
      </c>
      <c r="BY1831">
        <v>1200</v>
      </c>
      <c r="CC1831" t="s">
        <v>625</v>
      </c>
      <c r="CD1831">
        <v>1947</v>
      </c>
      <c r="CE1831" t="s">
        <v>88</v>
      </c>
      <c r="CF1831" s="3">
        <v>45796</v>
      </c>
      <c r="CI1831">
        <v>1</v>
      </c>
      <c r="CJ1831">
        <v>1</v>
      </c>
      <c r="CK1831">
        <v>23</v>
      </c>
      <c r="CL1831" t="s">
        <v>89</v>
      </c>
    </row>
    <row r="1832" spans="1:90" x14ac:dyDescent="0.3">
      <c r="A1832" t="s">
        <v>72</v>
      </c>
      <c r="B1832" t="s">
        <v>73</v>
      </c>
      <c r="C1832" t="s">
        <v>74</v>
      </c>
      <c r="E1832" t="str">
        <f>"080065409905"</f>
        <v>080065409905</v>
      </c>
      <c r="F1832" s="3">
        <v>45793</v>
      </c>
      <c r="G1832">
        <v>202602</v>
      </c>
      <c r="H1832" t="s">
        <v>75</v>
      </c>
      <c r="I1832" t="s">
        <v>76</v>
      </c>
      <c r="J1832" t="s">
        <v>77</v>
      </c>
      <c r="K1832" t="s">
        <v>78</v>
      </c>
      <c r="L1832" t="s">
        <v>75</v>
      </c>
      <c r="M1832" t="s">
        <v>76</v>
      </c>
      <c r="N1832" t="s">
        <v>346</v>
      </c>
      <c r="O1832" t="s">
        <v>82</v>
      </c>
      <c r="P1832" t="str">
        <f>"4170038860                    "</f>
        <v xml:space="preserve">4170038860                    </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c r="AJ1832">
        <v>0</v>
      </c>
      <c r="AK1832">
        <v>0</v>
      </c>
      <c r="AL1832">
        <v>0</v>
      </c>
      <c r="AM1832">
        <v>0</v>
      </c>
      <c r="AN1832">
        <v>0</v>
      </c>
      <c r="AO1832">
        <v>0</v>
      </c>
      <c r="AP1832">
        <v>0</v>
      </c>
      <c r="AQ1832">
        <v>16.7</v>
      </c>
      <c r="AR1832">
        <v>0</v>
      </c>
      <c r="AS1832">
        <v>0</v>
      </c>
      <c r="AT1832">
        <v>0</v>
      </c>
      <c r="AU1832">
        <v>0</v>
      </c>
      <c r="AV1832">
        <v>0</v>
      </c>
      <c r="AW1832">
        <v>0</v>
      </c>
      <c r="AX1832">
        <v>0</v>
      </c>
      <c r="AY1832">
        <v>0</v>
      </c>
      <c r="AZ1832">
        <v>0</v>
      </c>
      <c r="BA1832">
        <v>0</v>
      </c>
      <c r="BB1832">
        <v>0</v>
      </c>
      <c r="BC1832">
        <v>0</v>
      </c>
      <c r="BD1832">
        <v>0</v>
      </c>
      <c r="BE1832">
        <v>0</v>
      </c>
      <c r="BF1832">
        <v>0</v>
      </c>
      <c r="BG1832">
        <v>0</v>
      </c>
      <c r="BH1832">
        <v>1</v>
      </c>
      <c r="BI1832">
        <v>1</v>
      </c>
      <c r="BJ1832">
        <v>0.2</v>
      </c>
      <c r="BK1832">
        <v>1</v>
      </c>
      <c r="BL1832">
        <v>54.66</v>
      </c>
      <c r="BM1832">
        <v>8.1999999999999993</v>
      </c>
      <c r="BN1832">
        <v>62.86</v>
      </c>
      <c r="BO1832">
        <v>62.86</v>
      </c>
      <c r="BQ1832" t="s">
        <v>347</v>
      </c>
      <c r="BR1832" t="s">
        <v>84</v>
      </c>
      <c r="BS1832" s="3">
        <v>45796</v>
      </c>
      <c r="BT1832" s="4">
        <v>0.35625000000000001</v>
      </c>
      <c r="BU1832" t="s">
        <v>348</v>
      </c>
      <c r="BV1832" t="s">
        <v>86</v>
      </c>
      <c r="BY1832">
        <v>1200</v>
      </c>
      <c r="CA1832" t="s">
        <v>349</v>
      </c>
      <c r="CC1832" t="s">
        <v>76</v>
      </c>
      <c r="CD1832">
        <v>1619</v>
      </c>
      <c r="CE1832" t="s">
        <v>88</v>
      </c>
      <c r="CF1832" s="3">
        <v>45796</v>
      </c>
      <c r="CI1832">
        <v>1</v>
      </c>
      <c r="CJ1832">
        <v>1</v>
      </c>
      <c r="CK1832">
        <v>22</v>
      </c>
      <c r="CL1832" t="s">
        <v>89</v>
      </c>
    </row>
    <row r="1833" spans="1:90" x14ac:dyDescent="0.3">
      <c r="A1833" t="s">
        <v>72</v>
      </c>
      <c r="B1833" t="s">
        <v>73</v>
      </c>
      <c r="C1833" t="s">
        <v>74</v>
      </c>
      <c r="E1833" t="str">
        <f>"080065409910"</f>
        <v>080065409910</v>
      </c>
      <c r="F1833" s="3">
        <v>45793</v>
      </c>
      <c r="G1833">
        <v>202602</v>
      </c>
      <c r="H1833" t="s">
        <v>75</v>
      </c>
      <c r="I1833" t="s">
        <v>76</v>
      </c>
      <c r="J1833" t="s">
        <v>77</v>
      </c>
      <c r="K1833" t="s">
        <v>78</v>
      </c>
      <c r="L1833" t="s">
        <v>75</v>
      </c>
      <c r="M1833" t="s">
        <v>76</v>
      </c>
      <c r="N1833" t="s">
        <v>2371</v>
      </c>
      <c r="O1833" t="s">
        <v>82</v>
      </c>
      <c r="P1833" t="str">
        <f>"4170038999                    "</f>
        <v xml:space="preserve">4170038999                    </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0</v>
      </c>
      <c r="AL1833">
        <v>0</v>
      </c>
      <c r="AM1833">
        <v>0</v>
      </c>
      <c r="AN1833">
        <v>0</v>
      </c>
      <c r="AO1833">
        <v>0</v>
      </c>
      <c r="AP1833">
        <v>0</v>
      </c>
      <c r="AQ1833">
        <v>16.7</v>
      </c>
      <c r="AR1833">
        <v>0</v>
      </c>
      <c r="AS1833">
        <v>0</v>
      </c>
      <c r="AT1833">
        <v>0</v>
      </c>
      <c r="AU1833">
        <v>0</v>
      </c>
      <c r="AV1833">
        <v>0</v>
      </c>
      <c r="AW1833">
        <v>0</v>
      </c>
      <c r="AX1833">
        <v>0</v>
      </c>
      <c r="AY1833">
        <v>0</v>
      </c>
      <c r="AZ1833">
        <v>0</v>
      </c>
      <c r="BA1833">
        <v>0</v>
      </c>
      <c r="BB1833">
        <v>0</v>
      </c>
      <c r="BC1833">
        <v>0</v>
      </c>
      <c r="BD1833">
        <v>0</v>
      </c>
      <c r="BE1833">
        <v>0</v>
      </c>
      <c r="BF1833">
        <v>0</v>
      </c>
      <c r="BG1833">
        <v>0</v>
      </c>
      <c r="BH1833">
        <v>1</v>
      </c>
      <c r="BI1833">
        <v>1</v>
      </c>
      <c r="BJ1833">
        <v>0.2</v>
      </c>
      <c r="BK1833">
        <v>1</v>
      </c>
      <c r="BL1833">
        <v>54.66</v>
      </c>
      <c r="BM1833">
        <v>8.1999999999999993</v>
      </c>
      <c r="BN1833">
        <v>62.86</v>
      </c>
      <c r="BO1833">
        <v>62.86</v>
      </c>
      <c r="BQ1833" t="s">
        <v>2372</v>
      </c>
      <c r="BR1833" t="s">
        <v>84</v>
      </c>
      <c r="BS1833" s="3">
        <v>45796</v>
      </c>
      <c r="BT1833" s="4">
        <v>0.41875000000000001</v>
      </c>
      <c r="BU1833" t="s">
        <v>2373</v>
      </c>
      <c r="BV1833" t="s">
        <v>86</v>
      </c>
      <c r="BY1833">
        <v>1200</v>
      </c>
      <c r="CA1833" t="s">
        <v>2360</v>
      </c>
      <c r="CC1833" t="s">
        <v>76</v>
      </c>
      <c r="CD1833">
        <v>1619</v>
      </c>
      <c r="CE1833" t="s">
        <v>88</v>
      </c>
      <c r="CF1833" s="3">
        <v>45797</v>
      </c>
      <c r="CI1833">
        <v>1</v>
      </c>
      <c r="CJ1833">
        <v>1</v>
      </c>
      <c r="CK1833">
        <v>22</v>
      </c>
      <c r="CL1833" t="s">
        <v>89</v>
      </c>
    </row>
    <row r="1834" spans="1:90" x14ac:dyDescent="0.3">
      <c r="A1834" t="s">
        <v>72</v>
      </c>
      <c r="B1834" t="s">
        <v>73</v>
      </c>
      <c r="C1834" t="s">
        <v>74</v>
      </c>
      <c r="E1834" t="str">
        <f>"080065409990"</f>
        <v>080065409990</v>
      </c>
      <c r="F1834" s="3">
        <v>45793</v>
      </c>
      <c r="G1834">
        <v>202602</v>
      </c>
      <c r="H1834" t="s">
        <v>75</v>
      </c>
      <c r="I1834" t="s">
        <v>76</v>
      </c>
      <c r="J1834" t="s">
        <v>77</v>
      </c>
      <c r="K1834" t="s">
        <v>78</v>
      </c>
      <c r="L1834" t="s">
        <v>2278</v>
      </c>
      <c r="M1834" t="s">
        <v>2279</v>
      </c>
      <c r="N1834" t="s">
        <v>2374</v>
      </c>
      <c r="O1834" t="s">
        <v>82</v>
      </c>
      <c r="P1834" t="str">
        <f>"4170038421                    "</f>
        <v xml:space="preserve">4170038421                    </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0</v>
      </c>
      <c r="AL1834">
        <v>0</v>
      </c>
      <c r="AM1834">
        <v>0</v>
      </c>
      <c r="AN1834">
        <v>0</v>
      </c>
      <c r="AO1834">
        <v>0</v>
      </c>
      <c r="AP1834">
        <v>0</v>
      </c>
      <c r="AQ1834">
        <v>21.38</v>
      </c>
      <c r="AR1834">
        <v>0</v>
      </c>
      <c r="AS1834">
        <v>0</v>
      </c>
      <c r="AT1834">
        <v>0</v>
      </c>
      <c r="AU1834">
        <v>0</v>
      </c>
      <c r="AV1834">
        <v>0</v>
      </c>
      <c r="AW1834">
        <v>0</v>
      </c>
      <c r="AX1834">
        <v>0</v>
      </c>
      <c r="AY1834">
        <v>0</v>
      </c>
      <c r="AZ1834">
        <v>0</v>
      </c>
      <c r="BA1834">
        <v>0</v>
      </c>
      <c r="BB1834">
        <v>0</v>
      </c>
      <c r="BC1834">
        <v>0</v>
      </c>
      <c r="BD1834">
        <v>0</v>
      </c>
      <c r="BE1834">
        <v>0</v>
      </c>
      <c r="BF1834">
        <v>0</v>
      </c>
      <c r="BG1834">
        <v>0</v>
      </c>
      <c r="BH1834">
        <v>1</v>
      </c>
      <c r="BI1834">
        <v>1</v>
      </c>
      <c r="BJ1834">
        <v>0.2</v>
      </c>
      <c r="BK1834">
        <v>1</v>
      </c>
      <c r="BL1834">
        <v>69.98</v>
      </c>
      <c r="BM1834">
        <v>10.5</v>
      </c>
      <c r="BN1834">
        <v>80.48</v>
      </c>
      <c r="BO1834">
        <v>80.48</v>
      </c>
      <c r="BQ1834" t="s">
        <v>2375</v>
      </c>
      <c r="BR1834" t="s">
        <v>84</v>
      </c>
      <c r="BS1834" s="3">
        <v>45796</v>
      </c>
      <c r="BT1834" s="4">
        <v>0.37638888888888888</v>
      </c>
      <c r="BU1834" t="s">
        <v>2376</v>
      </c>
      <c r="BV1834" t="s">
        <v>86</v>
      </c>
      <c r="BY1834">
        <v>1200</v>
      </c>
      <c r="CA1834" t="s">
        <v>326</v>
      </c>
      <c r="CC1834" t="s">
        <v>2279</v>
      </c>
      <c r="CD1834">
        <v>4026</v>
      </c>
      <c r="CE1834" t="s">
        <v>88</v>
      </c>
      <c r="CF1834" s="3">
        <v>45797</v>
      </c>
      <c r="CI1834">
        <v>1</v>
      </c>
      <c r="CJ1834">
        <v>1</v>
      </c>
      <c r="CK1834">
        <v>21</v>
      </c>
      <c r="CL1834" t="s">
        <v>89</v>
      </c>
    </row>
    <row r="1835" spans="1:90" x14ac:dyDescent="0.3">
      <c r="A1835" t="s">
        <v>72</v>
      </c>
      <c r="B1835" t="s">
        <v>73</v>
      </c>
      <c r="C1835" t="s">
        <v>74</v>
      </c>
      <c r="E1835" t="str">
        <f>"080065410046"</f>
        <v>080065410046</v>
      </c>
      <c r="F1835" s="3">
        <v>45793</v>
      </c>
      <c r="G1835">
        <v>202602</v>
      </c>
      <c r="H1835" t="s">
        <v>75</v>
      </c>
      <c r="I1835" t="s">
        <v>76</v>
      </c>
      <c r="J1835" t="s">
        <v>77</v>
      </c>
      <c r="K1835" t="s">
        <v>78</v>
      </c>
      <c r="L1835" t="s">
        <v>360</v>
      </c>
      <c r="M1835" t="s">
        <v>361</v>
      </c>
      <c r="N1835" t="s">
        <v>362</v>
      </c>
      <c r="O1835" t="s">
        <v>82</v>
      </c>
      <c r="P1835" t="str">
        <f>"4170039060                    "</f>
        <v xml:space="preserve">4170039060                    </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c r="AJ1835">
        <v>0</v>
      </c>
      <c r="AK1835">
        <v>0</v>
      </c>
      <c r="AL1835">
        <v>0</v>
      </c>
      <c r="AM1835">
        <v>0</v>
      </c>
      <c r="AN1835">
        <v>0</v>
      </c>
      <c r="AO1835">
        <v>0</v>
      </c>
      <c r="AP1835">
        <v>0</v>
      </c>
      <c r="AQ1835">
        <v>41.43</v>
      </c>
      <c r="AR1835">
        <v>0</v>
      </c>
      <c r="AS1835">
        <v>0</v>
      </c>
      <c r="AT1835">
        <v>0</v>
      </c>
      <c r="AU1835">
        <v>0</v>
      </c>
      <c r="AV1835">
        <v>0</v>
      </c>
      <c r="AW1835">
        <v>0</v>
      </c>
      <c r="AX1835">
        <v>0</v>
      </c>
      <c r="AY1835">
        <v>0</v>
      </c>
      <c r="AZ1835">
        <v>0</v>
      </c>
      <c r="BA1835">
        <v>0</v>
      </c>
      <c r="BB1835">
        <v>0</v>
      </c>
      <c r="BC1835">
        <v>0</v>
      </c>
      <c r="BD1835">
        <v>0</v>
      </c>
      <c r="BE1835">
        <v>0</v>
      </c>
      <c r="BF1835">
        <v>0</v>
      </c>
      <c r="BG1835">
        <v>0</v>
      </c>
      <c r="BH1835">
        <v>1</v>
      </c>
      <c r="BI1835">
        <v>1</v>
      </c>
      <c r="BJ1835">
        <v>0.2</v>
      </c>
      <c r="BK1835">
        <v>1</v>
      </c>
      <c r="BL1835">
        <v>135.59</v>
      </c>
      <c r="BM1835">
        <v>20.34</v>
      </c>
      <c r="BN1835">
        <v>155.93</v>
      </c>
      <c r="BO1835">
        <v>155.93</v>
      </c>
      <c r="BQ1835" t="s">
        <v>363</v>
      </c>
      <c r="BR1835" t="s">
        <v>84</v>
      </c>
      <c r="BS1835" s="3">
        <v>45797</v>
      </c>
      <c r="BT1835" s="4">
        <v>0.625</v>
      </c>
      <c r="BU1835" t="s">
        <v>1246</v>
      </c>
      <c r="BV1835" t="s">
        <v>89</v>
      </c>
      <c r="BW1835" t="s">
        <v>340</v>
      </c>
      <c r="BX1835" t="s">
        <v>1315</v>
      </c>
      <c r="BY1835">
        <v>1200</v>
      </c>
      <c r="CA1835" t="s">
        <v>365</v>
      </c>
      <c r="CC1835" t="s">
        <v>361</v>
      </c>
      <c r="CD1835">
        <v>7300</v>
      </c>
      <c r="CE1835" t="s">
        <v>88</v>
      </c>
      <c r="CF1835" s="3">
        <v>45798</v>
      </c>
      <c r="CI1835">
        <v>1</v>
      </c>
      <c r="CJ1835">
        <v>2</v>
      </c>
      <c r="CK1835">
        <v>23</v>
      </c>
      <c r="CL1835" t="s">
        <v>89</v>
      </c>
    </row>
    <row r="1836" spans="1:90" x14ac:dyDescent="0.3">
      <c r="A1836" t="s">
        <v>72</v>
      </c>
      <c r="B1836" t="s">
        <v>73</v>
      </c>
      <c r="C1836" t="s">
        <v>74</v>
      </c>
      <c r="E1836" t="str">
        <f>"080065410057"</f>
        <v>080065410057</v>
      </c>
      <c r="F1836" s="3">
        <v>45793</v>
      </c>
      <c r="G1836">
        <v>202602</v>
      </c>
      <c r="H1836" t="s">
        <v>75</v>
      </c>
      <c r="I1836" t="s">
        <v>76</v>
      </c>
      <c r="J1836" t="s">
        <v>77</v>
      </c>
      <c r="K1836" t="s">
        <v>78</v>
      </c>
      <c r="L1836" t="s">
        <v>79</v>
      </c>
      <c r="M1836" t="s">
        <v>80</v>
      </c>
      <c r="N1836" t="s">
        <v>452</v>
      </c>
      <c r="O1836" t="s">
        <v>82</v>
      </c>
      <c r="P1836" t="str">
        <f>"4170038897                    "</f>
        <v xml:space="preserve">4170038897                    </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0</v>
      </c>
      <c r="AL1836">
        <v>0</v>
      </c>
      <c r="AM1836">
        <v>0</v>
      </c>
      <c r="AN1836">
        <v>0</v>
      </c>
      <c r="AO1836">
        <v>0</v>
      </c>
      <c r="AP1836">
        <v>0</v>
      </c>
      <c r="AQ1836">
        <v>21.38</v>
      </c>
      <c r="AR1836">
        <v>0</v>
      </c>
      <c r="AS1836">
        <v>0</v>
      </c>
      <c r="AT1836">
        <v>0</v>
      </c>
      <c r="AU1836">
        <v>0</v>
      </c>
      <c r="AV1836">
        <v>0</v>
      </c>
      <c r="AW1836">
        <v>0</v>
      </c>
      <c r="AX1836">
        <v>0</v>
      </c>
      <c r="AY1836">
        <v>0</v>
      </c>
      <c r="AZ1836">
        <v>0</v>
      </c>
      <c r="BA1836">
        <v>0</v>
      </c>
      <c r="BB1836">
        <v>0</v>
      </c>
      <c r="BC1836">
        <v>0</v>
      </c>
      <c r="BD1836">
        <v>0</v>
      </c>
      <c r="BE1836">
        <v>0</v>
      </c>
      <c r="BF1836">
        <v>0</v>
      </c>
      <c r="BG1836">
        <v>0</v>
      </c>
      <c r="BH1836">
        <v>1</v>
      </c>
      <c r="BI1836">
        <v>1</v>
      </c>
      <c r="BJ1836">
        <v>0.2</v>
      </c>
      <c r="BK1836">
        <v>1</v>
      </c>
      <c r="BL1836">
        <v>69.98</v>
      </c>
      <c r="BM1836">
        <v>10.5</v>
      </c>
      <c r="BN1836">
        <v>80.48</v>
      </c>
      <c r="BO1836">
        <v>80.48</v>
      </c>
      <c r="BQ1836" t="s">
        <v>453</v>
      </c>
      <c r="BR1836" t="s">
        <v>84</v>
      </c>
      <c r="BS1836" s="3">
        <v>45796</v>
      </c>
      <c r="BT1836" s="4">
        <v>0.41666666666666669</v>
      </c>
      <c r="BU1836" t="s">
        <v>1071</v>
      </c>
      <c r="BV1836" t="s">
        <v>86</v>
      </c>
      <c r="BY1836">
        <v>1200</v>
      </c>
      <c r="CA1836" t="s">
        <v>160</v>
      </c>
      <c r="CC1836" t="s">
        <v>80</v>
      </c>
      <c r="CD1836">
        <v>3610</v>
      </c>
      <c r="CE1836" t="s">
        <v>88</v>
      </c>
      <c r="CF1836" s="3">
        <v>45796</v>
      </c>
      <c r="CI1836">
        <v>1</v>
      </c>
      <c r="CJ1836">
        <v>1</v>
      </c>
      <c r="CK1836">
        <v>21</v>
      </c>
      <c r="CL1836" t="s">
        <v>89</v>
      </c>
    </row>
    <row r="1837" spans="1:90" x14ac:dyDescent="0.3">
      <c r="A1837" t="s">
        <v>72</v>
      </c>
      <c r="B1837" t="s">
        <v>73</v>
      </c>
      <c r="C1837" t="s">
        <v>74</v>
      </c>
      <c r="E1837" t="str">
        <f>"080065410070"</f>
        <v>080065410070</v>
      </c>
      <c r="F1837" s="3">
        <v>45793</v>
      </c>
      <c r="G1837">
        <v>202602</v>
      </c>
      <c r="H1837" t="s">
        <v>75</v>
      </c>
      <c r="I1837" t="s">
        <v>76</v>
      </c>
      <c r="J1837" t="s">
        <v>77</v>
      </c>
      <c r="K1837" t="s">
        <v>78</v>
      </c>
      <c r="L1837" t="s">
        <v>79</v>
      </c>
      <c r="M1837" t="s">
        <v>80</v>
      </c>
      <c r="N1837" t="s">
        <v>452</v>
      </c>
      <c r="O1837" t="s">
        <v>82</v>
      </c>
      <c r="P1837" t="str">
        <f>"4170039015                    "</f>
        <v xml:space="preserve">4170039015                    </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0</v>
      </c>
      <c r="AL1837">
        <v>0</v>
      </c>
      <c r="AM1837">
        <v>0</v>
      </c>
      <c r="AN1837">
        <v>0</v>
      </c>
      <c r="AO1837">
        <v>0</v>
      </c>
      <c r="AP1837">
        <v>0</v>
      </c>
      <c r="AQ1837">
        <v>21.38</v>
      </c>
      <c r="AR1837">
        <v>0</v>
      </c>
      <c r="AS1837">
        <v>0</v>
      </c>
      <c r="AT1837">
        <v>0</v>
      </c>
      <c r="AU1837">
        <v>0</v>
      </c>
      <c r="AV1837">
        <v>0</v>
      </c>
      <c r="AW1837">
        <v>0</v>
      </c>
      <c r="AX1837">
        <v>0</v>
      </c>
      <c r="AY1837">
        <v>0</v>
      </c>
      <c r="AZ1837">
        <v>0</v>
      </c>
      <c r="BA1837">
        <v>0</v>
      </c>
      <c r="BB1837">
        <v>0</v>
      </c>
      <c r="BC1837">
        <v>0</v>
      </c>
      <c r="BD1837">
        <v>0</v>
      </c>
      <c r="BE1837">
        <v>0</v>
      </c>
      <c r="BF1837">
        <v>0</v>
      </c>
      <c r="BG1837">
        <v>0</v>
      </c>
      <c r="BH1837">
        <v>1</v>
      </c>
      <c r="BI1837">
        <v>1</v>
      </c>
      <c r="BJ1837">
        <v>0.2</v>
      </c>
      <c r="BK1837">
        <v>1</v>
      </c>
      <c r="BL1837">
        <v>69.98</v>
      </c>
      <c r="BM1837">
        <v>10.5</v>
      </c>
      <c r="BN1837">
        <v>80.48</v>
      </c>
      <c r="BO1837">
        <v>80.48</v>
      </c>
      <c r="BQ1837" t="s">
        <v>453</v>
      </c>
      <c r="BR1837" t="s">
        <v>84</v>
      </c>
      <c r="BS1837" s="3">
        <v>45796</v>
      </c>
      <c r="BT1837" s="4">
        <v>0.39583333333333331</v>
      </c>
      <c r="BU1837" t="s">
        <v>1071</v>
      </c>
      <c r="BV1837" t="s">
        <v>86</v>
      </c>
      <c r="BY1837">
        <v>1200</v>
      </c>
      <c r="CA1837" t="s">
        <v>160</v>
      </c>
      <c r="CC1837" t="s">
        <v>80</v>
      </c>
      <c r="CD1837">
        <v>3610</v>
      </c>
      <c r="CE1837" t="s">
        <v>88</v>
      </c>
      <c r="CF1837" s="3">
        <v>45796</v>
      </c>
      <c r="CI1837">
        <v>1</v>
      </c>
      <c r="CJ1837">
        <v>1</v>
      </c>
      <c r="CK1837">
        <v>21</v>
      </c>
      <c r="CL1837" t="s">
        <v>89</v>
      </c>
    </row>
    <row r="1838" spans="1:90" x14ac:dyDescent="0.3">
      <c r="A1838" t="s">
        <v>72</v>
      </c>
      <c r="B1838" t="s">
        <v>73</v>
      </c>
      <c r="C1838" t="s">
        <v>74</v>
      </c>
      <c r="E1838" t="str">
        <f>"080065410095"</f>
        <v>080065410095</v>
      </c>
      <c r="F1838" s="3">
        <v>45793</v>
      </c>
      <c r="G1838">
        <v>202602</v>
      </c>
      <c r="H1838" t="s">
        <v>75</v>
      </c>
      <c r="I1838" t="s">
        <v>76</v>
      </c>
      <c r="J1838" t="s">
        <v>77</v>
      </c>
      <c r="K1838" t="s">
        <v>78</v>
      </c>
      <c r="L1838" t="s">
        <v>331</v>
      </c>
      <c r="M1838" t="s">
        <v>332</v>
      </c>
      <c r="N1838" t="s">
        <v>499</v>
      </c>
      <c r="O1838" t="s">
        <v>82</v>
      </c>
      <c r="P1838" t="str">
        <f>"4170038981                    "</f>
        <v xml:space="preserve">4170038981                    </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0</v>
      </c>
      <c r="AL1838">
        <v>0</v>
      </c>
      <c r="AM1838">
        <v>0</v>
      </c>
      <c r="AN1838">
        <v>0</v>
      </c>
      <c r="AO1838">
        <v>0</v>
      </c>
      <c r="AP1838">
        <v>0</v>
      </c>
      <c r="AQ1838">
        <v>16.7</v>
      </c>
      <c r="AR1838">
        <v>0</v>
      </c>
      <c r="AS1838">
        <v>0</v>
      </c>
      <c r="AT1838">
        <v>0</v>
      </c>
      <c r="AU1838">
        <v>0</v>
      </c>
      <c r="AV1838">
        <v>0</v>
      </c>
      <c r="AW1838">
        <v>0</v>
      </c>
      <c r="AX1838">
        <v>0</v>
      </c>
      <c r="AY1838">
        <v>0</v>
      </c>
      <c r="AZ1838">
        <v>0</v>
      </c>
      <c r="BA1838">
        <v>0</v>
      </c>
      <c r="BB1838">
        <v>0</v>
      </c>
      <c r="BC1838">
        <v>0</v>
      </c>
      <c r="BD1838">
        <v>0</v>
      </c>
      <c r="BE1838">
        <v>0</v>
      </c>
      <c r="BF1838">
        <v>0</v>
      </c>
      <c r="BG1838">
        <v>0</v>
      </c>
      <c r="BH1838">
        <v>1</v>
      </c>
      <c r="BI1838">
        <v>1</v>
      </c>
      <c r="BJ1838">
        <v>0.2</v>
      </c>
      <c r="BK1838">
        <v>1</v>
      </c>
      <c r="BL1838">
        <v>54.66</v>
      </c>
      <c r="BM1838">
        <v>8.1999999999999993</v>
      </c>
      <c r="BN1838">
        <v>62.86</v>
      </c>
      <c r="BO1838">
        <v>62.86</v>
      </c>
      <c r="BQ1838" t="s">
        <v>500</v>
      </c>
      <c r="BR1838" t="s">
        <v>84</v>
      </c>
      <c r="BS1838" s="3">
        <v>45797</v>
      </c>
      <c r="BT1838" s="4">
        <v>0.40069444444444446</v>
      </c>
      <c r="BU1838" t="s">
        <v>1185</v>
      </c>
      <c r="BV1838" t="s">
        <v>89</v>
      </c>
      <c r="BW1838" t="s">
        <v>148</v>
      </c>
      <c r="BX1838" t="s">
        <v>1382</v>
      </c>
      <c r="BY1838">
        <v>1200</v>
      </c>
      <c r="CA1838" t="s">
        <v>336</v>
      </c>
      <c r="CC1838" t="s">
        <v>332</v>
      </c>
      <c r="CD1838">
        <v>1451</v>
      </c>
      <c r="CE1838" t="s">
        <v>88</v>
      </c>
      <c r="CF1838" s="3">
        <v>45797</v>
      </c>
      <c r="CI1838">
        <v>1</v>
      </c>
      <c r="CJ1838">
        <v>2</v>
      </c>
      <c r="CK1838">
        <v>22</v>
      </c>
      <c r="CL1838" t="s">
        <v>89</v>
      </c>
    </row>
    <row r="1839" spans="1:90" x14ac:dyDescent="0.3">
      <c r="A1839" t="s">
        <v>72</v>
      </c>
      <c r="B1839" t="s">
        <v>73</v>
      </c>
      <c r="C1839" t="s">
        <v>74</v>
      </c>
      <c r="E1839" t="str">
        <f>"080065410110"</f>
        <v>080065410110</v>
      </c>
      <c r="F1839" s="3">
        <v>45793</v>
      </c>
      <c r="G1839">
        <v>202602</v>
      </c>
      <c r="H1839" t="s">
        <v>75</v>
      </c>
      <c r="I1839" t="s">
        <v>76</v>
      </c>
      <c r="J1839" t="s">
        <v>77</v>
      </c>
      <c r="K1839" t="s">
        <v>78</v>
      </c>
      <c r="L1839" t="s">
        <v>360</v>
      </c>
      <c r="M1839" t="s">
        <v>361</v>
      </c>
      <c r="N1839" t="s">
        <v>362</v>
      </c>
      <c r="O1839" t="s">
        <v>82</v>
      </c>
      <c r="P1839" t="str">
        <f>"4170038780                    "</f>
        <v xml:space="preserve">4170038780                    </v>
      </c>
      <c r="Q1839">
        <v>0</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c r="AJ1839">
        <v>0</v>
      </c>
      <c r="AK1839">
        <v>0</v>
      </c>
      <c r="AL1839">
        <v>0</v>
      </c>
      <c r="AM1839">
        <v>0</v>
      </c>
      <c r="AN1839">
        <v>0</v>
      </c>
      <c r="AO1839">
        <v>0</v>
      </c>
      <c r="AP1839">
        <v>0</v>
      </c>
      <c r="AQ1839">
        <v>41.43</v>
      </c>
      <c r="AR1839">
        <v>0</v>
      </c>
      <c r="AS1839">
        <v>0</v>
      </c>
      <c r="AT1839">
        <v>0</v>
      </c>
      <c r="AU1839">
        <v>0</v>
      </c>
      <c r="AV1839">
        <v>0</v>
      </c>
      <c r="AW1839">
        <v>0</v>
      </c>
      <c r="AX1839">
        <v>0</v>
      </c>
      <c r="AY1839">
        <v>0</v>
      </c>
      <c r="AZ1839">
        <v>0</v>
      </c>
      <c r="BA1839">
        <v>0</v>
      </c>
      <c r="BB1839">
        <v>0</v>
      </c>
      <c r="BC1839">
        <v>0</v>
      </c>
      <c r="BD1839">
        <v>0</v>
      </c>
      <c r="BE1839">
        <v>0</v>
      </c>
      <c r="BF1839">
        <v>0</v>
      </c>
      <c r="BG1839">
        <v>0</v>
      </c>
      <c r="BH1839">
        <v>1</v>
      </c>
      <c r="BI1839">
        <v>1</v>
      </c>
      <c r="BJ1839">
        <v>0.2</v>
      </c>
      <c r="BK1839">
        <v>1</v>
      </c>
      <c r="BL1839">
        <v>135.59</v>
      </c>
      <c r="BM1839">
        <v>20.34</v>
      </c>
      <c r="BN1839">
        <v>155.93</v>
      </c>
      <c r="BO1839">
        <v>155.93</v>
      </c>
      <c r="BQ1839" t="s">
        <v>363</v>
      </c>
      <c r="BR1839" t="s">
        <v>84</v>
      </c>
      <c r="BS1839" s="3">
        <v>45797</v>
      </c>
      <c r="BT1839" s="4">
        <v>0.625</v>
      </c>
      <c r="BU1839" t="s">
        <v>1246</v>
      </c>
      <c r="BV1839" t="s">
        <v>89</v>
      </c>
      <c r="BW1839" t="s">
        <v>340</v>
      </c>
      <c r="BX1839" t="s">
        <v>1315</v>
      </c>
      <c r="BY1839">
        <v>1200</v>
      </c>
      <c r="CA1839" t="s">
        <v>365</v>
      </c>
      <c r="CC1839" t="s">
        <v>361</v>
      </c>
      <c r="CD1839">
        <v>7300</v>
      </c>
      <c r="CE1839" t="s">
        <v>88</v>
      </c>
      <c r="CF1839" s="3">
        <v>45798</v>
      </c>
      <c r="CI1839">
        <v>1</v>
      </c>
      <c r="CJ1839">
        <v>2</v>
      </c>
      <c r="CK1839">
        <v>23</v>
      </c>
      <c r="CL1839" t="s">
        <v>89</v>
      </c>
    </row>
    <row r="1840" spans="1:90" x14ac:dyDescent="0.3">
      <c r="A1840" t="s">
        <v>72</v>
      </c>
      <c r="B1840" t="s">
        <v>73</v>
      </c>
      <c r="C1840" t="s">
        <v>74</v>
      </c>
      <c r="E1840" t="str">
        <f>"080065410129"</f>
        <v>080065410129</v>
      </c>
      <c r="F1840" s="3">
        <v>45793</v>
      </c>
      <c r="G1840">
        <v>202602</v>
      </c>
      <c r="H1840" t="s">
        <v>75</v>
      </c>
      <c r="I1840" t="s">
        <v>76</v>
      </c>
      <c r="J1840" t="s">
        <v>77</v>
      </c>
      <c r="K1840" t="s">
        <v>78</v>
      </c>
      <c r="L1840" t="s">
        <v>90</v>
      </c>
      <c r="M1840" t="s">
        <v>91</v>
      </c>
      <c r="N1840" t="s">
        <v>1211</v>
      </c>
      <c r="O1840" t="s">
        <v>82</v>
      </c>
      <c r="P1840" t="str">
        <f>"4170039032                    "</f>
        <v xml:space="preserve">4170039032                    </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c r="AK1840">
        <v>0</v>
      </c>
      <c r="AL1840">
        <v>0</v>
      </c>
      <c r="AM1840">
        <v>0</v>
      </c>
      <c r="AN1840">
        <v>0</v>
      </c>
      <c r="AO1840">
        <v>0</v>
      </c>
      <c r="AP1840">
        <v>0</v>
      </c>
      <c r="AQ1840">
        <v>21.38</v>
      </c>
      <c r="AR1840">
        <v>0</v>
      </c>
      <c r="AS1840">
        <v>0</v>
      </c>
      <c r="AT1840">
        <v>0</v>
      </c>
      <c r="AU1840">
        <v>0</v>
      </c>
      <c r="AV1840">
        <v>0</v>
      </c>
      <c r="AW1840">
        <v>0</v>
      </c>
      <c r="AX1840">
        <v>0</v>
      </c>
      <c r="AY1840">
        <v>0</v>
      </c>
      <c r="AZ1840">
        <v>0</v>
      </c>
      <c r="BA1840">
        <v>0</v>
      </c>
      <c r="BB1840">
        <v>0</v>
      </c>
      <c r="BC1840">
        <v>0</v>
      </c>
      <c r="BD1840">
        <v>0</v>
      </c>
      <c r="BE1840">
        <v>0</v>
      </c>
      <c r="BF1840">
        <v>0</v>
      </c>
      <c r="BG1840">
        <v>0</v>
      </c>
      <c r="BH1840">
        <v>1</v>
      </c>
      <c r="BI1840">
        <v>1</v>
      </c>
      <c r="BJ1840">
        <v>0.2</v>
      </c>
      <c r="BK1840">
        <v>1</v>
      </c>
      <c r="BL1840">
        <v>69.98</v>
      </c>
      <c r="BM1840">
        <v>10.5</v>
      </c>
      <c r="BN1840">
        <v>80.48</v>
      </c>
      <c r="BO1840">
        <v>80.48</v>
      </c>
      <c r="BQ1840" t="s">
        <v>1212</v>
      </c>
      <c r="BR1840" t="s">
        <v>84</v>
      </c>
      <c r="BS1840" s="3">
        <v>45796</v>
      </c>
      <c r="BT1840" s="4">
        <v>0.42222222222222222</v>
      </c>
      <c r="BU1840" t="s">
        <v>2377</v>
      </c>
      <c r="BV1840" t="s">
        <v>86</v>
      </c>
      <c r="BY1840">
        <v>1200</v>
      </c>
      <c r="CA1840" t="s">
        <v>283</v>
      </c>
      <c r="CC1840" t="s">
        <v>91</v>
      </c>
      <c r="CD1840">
        <v>6012</v>
      </c>
      <c r="CE1840" t="s">
        <v>88</v>
      </c>
      <c r="CF1840" s="3">
        <v>45796</v>
      </c>
      <c r="CI1840">
        <v>1</v>
      </c>
      <c r="CJ1840">
        <v>1</v>
      </c>
      <c r="CK1840">
        <v>21</v>
      </c>
      <c r="CL1840" t="s">
        <v>89</v>
      </c>
    </row>
    <row r="1841" spans="1:90" x14ac:dyDescent="0.3">
      <c r="A1841" t="s">
        <v>72</v>
      </c>
      <c r="B1841" t="s">
        <v>73</v>
      </c>
      <c r="C1841" t="s">
        <v>74</v>
      </c>
      <c r="E1841" t="str">
        <f>"080065410196"</f>
        <v>080065410196</v>
      </c>
      <c r="F1841" s="3">
        <v>45793</v>
      </c>
      <c r="G1841">
        <v>202602</v>
      </c>
      <c r="H1841" t="s">
        <v>75</v>
      </c>
      <c r="I1841" t="s">
        <v>76</v>
      </c>
      <c r="J1841" t="s">
        <v>77</v>
      </c>
      <c r="K1841" t="s">
        <v>78</v>
      </c>
      <c r="L1841" t="s">
        <v>123</v>
      </c>
      <c r="M1841" t="s">
        <v>123</v>
      </c>
      <c r="N1841" t="s">
        <v>2378</v>
      </c>
      <c r="O1841" t="s">
        <v>82</v>
      </c>
      <c r="P1841" t="str">
        <f>"4170038889                    "</f>
        <v xml:space="preserve">4170038889                    </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0</v>
      </c>
      <c r="AL1841">
        <v>0</v>
      </c>
      <c r="AM1841">
        <v>0</v>
      </c>
      <c r="AN1841">
        <v>0</v>
      </c>
      <c r="AO1841">
        <v>0</v>
      </c>
      <c r="AP1841">
        <v>0</v>
      </c>
      <c r="AQ1841">
        <v>134.97</v>
      </c>
      <c r="AR1841">
        <v>0</v>
      </c>
      <c r="AS1841">
        <v>0</v>
      </c>
      <c r="AT1841">
        <v>0</v>
      </c>
      <c r="AU1841">
        <v>0</v>
      </c>
      <c r="AV1841">
        <v>0</v>
      </c>
      <c r="AW1841">
        <v>0</v>
      </c>
      <c r="AX1841">
        <v>0</v>
      </c>
      <c r="AY1841">
        <v>0</v>
      </c>
      <c r="AZ1841">
        <v>0</v>
      </c>
      <c r="BA1841">
        <v>0</v>
      </c>
      <c r="BB1841">
        <v>0</v>
      </c>
      <c r="BC1841">
        <v>0</v>
      </c>
      <c r="BD1841">
        <v>0</v>
      </c>
      <c r="BE1841">
        <v>0</v>
      </c>
      <c r="BF1841">
        <v>0</v>
      </c>
      <c r="BG1841">
        <v>0</v>
      </c>
      <c r="BH1841">
        <v>1</v>
      </c>
      <c r="BI1841">
        <v>7</v>
      </c>
      <c r="BJ1841">
        <v>3.4</v>
      </c>
      <c r="BK1841">
        <v>7</v>
      </c>
      <c r="BL1841">
        <v>441.73</v>
      </c>
      <c r="BM1841">
        <v>66.260000000000005</v>
      </c>
      <c r="BN1841">
        <v>507.99</v>
      </c>
      <c r="BO1841">
        <v>507.99</v>
      </c>
      <c r="BQ1841" t="s">
        <v>2379</v>
      </c>
      <c r="BR1841" t="s">
        <v>84</v>
      </c>
      <c r="BS1841" s="3">
        <v>45796</v>
      </c>
      <c r="BT1841" s="4">
        <v>0.54166666666666663</v>
      </c>
      <c r="BU1841" t="s">
        <v>2380</v>
      </c>
      <c r="BV1841" t="s">
        <v>86</v>
      </c>
      <c r="BY1841">
        <v>16965</v>
      </c>
      <c r="CA1841" t="s">
        <v>2381</v>
      </c>
      <c r="CC1841" t="s">
        <v>123</v>
      </c>
      <c r="CD1841">
        <v>7654</v>
      </c>
      <c r="CE1841" t="s">
        <v>96</v>
      </c>
      <c r="CF1841" s="3">
        <v>45797</v>
      </c>
      <c r="CI1841">
        <v>1</v>
      </c>
      <c r="CJ1841">
        <v>1</v>
      </c>
      <c r="CK1841">
        <v>23</v>
      </c>
      <c r="CL1841" t="s">
        <v>89</v>
      </c>
    </row>
    <row r="1842" spans="1:90" x14ac:dyDescent="0.3">
      <c r="A1842" t="s">
        <v>72</v>
      </c>
      <c r="B1842" t="s">
        <v>73</v>
      </c>
      <c r="C1842" t="s">
        <v>74</v>
      </c>
      <c r="E1842" t="str">
        <f>"080065410225"</f>
        <v>080065410225</v>
      </c>
      <c r="F1842" s="3">
        <v>45793</v>
      </c>
      <c r="G1842">
        <v>202602</v>
      </c>
      <c r="H1842" t="s">
        <v>75</v>
      </c>
      <c r="I1842" t="s">
        <v>76</v>
      </c>
      <c r="J1842" t="s">
        <v>77</v>
      </c>
      <c r="K1842" t="s">
        <v>78</v>
      </c>
      <c r="L1842" t="s">
        <v>350</v>
      </c>
      <c r="M1842" t="s">
        <v>351</v>
      </c>
      <c r="N1842" t="s">
        <v>459</v>
      </c>
      <c r="O1842" t="s">
        <v>82</v>
      </c>
      <c r="P1842" t="str">
        <f>"4170038839                    "</f>
        <v xml:space="preserve">4170038839                    </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c r="AJ1842">
        <v>0</v>
      </c>
      <c r="AK1842">
        <v>0</v>
      </c>
      <c r="AL1842">
        <v>0</v>
      </c>
      <c r="AM1842">
        <v>0</v>
      </c>
      <c r="AN1842">
        <v>0</v>
      </c>
      <c r="AO1842">
        <v>0</v>
      </c>
      <c r="AP1842">
        <v>0</v>
      </c>
      <c r="AQ1842">
        <v>37.409999999999997</v>
      </c>
      <c r="AR1842">
        <v>0</v>
      </c>
      <c r="AS1842">
        <v>0</v>
      </c>
      <c r="AT1842">
        <v>0</v>
      </c>
      <c r="AU1842">
        <v>0</v>
      </c>
      <c r="AV1842">
        <v>0</v>
      </c>
      <c r="AW1842">
        <v>0</v>
      </c>
      <c r="AX1842">
        <v>0</v>
      </c>
      <c r="AY1842">
        <v>0</v>
      </c>
      <c r="AZ1842">
        <v>0</v>
      </c>
      <c r="BA1842">
        <v>0</v>
      </c>
      <c r="BB1842">
        <v>0</v>
      </c>
      <c r="BC1842">
        <v>0</v>
      </c>
      <c r="BD1842">
        <v>0</v>
      </c>
      <c r="BE1842">
        <v>0</v>
      </c>
      <c r="BF1842">
        <v>0</v>
      </c>
      <c r="BG1842">
        <v>0</v>
      </c>
      <c r="BH1842">
        <v>1</v>
      </c>
      <c r="BI1842">
        <v>2</v>
      </c>
      <c r="BJ1842">
        <v>3.4</v>
      </c>
      <c r="BK1842">
        <v>3.5</v>
      </c>
      <c r="BL1842">
        <v>122.43</v>
      </c>
      <c r="BM1842">
        <v>18.36</v>
      </c>
      <c r="BN1842">
        <v>140.79</v>
      </c>
      <c r="BO1842">
        <v>140.79</v>
      </c>
      <c r="BQ1842" t="s">
        <v>460</v>
      </c>
      <c r="BR1842" t="s">
        <v>84</v>
      </c>
      <c r="BS1842" s="3">
        <v>45796</v>
      </c>
      <c r="BT1842" s="4">
        <v>0.32291666666666669</v>
      </c>
      <c r="BU1842" t="s">
        <v>461</v>
      </c>
      <c r="BV1842" t="s">
        <v>86</v>
      </c>
      <c r="BY1842">
        <v>17136</v>
      </c>
      <c r="CA1842" t="s">
        <v>462</v>
      </c>
      <c r="CC1842" t="s">
        <v>351</v>
      </c>
      <c r="CD1842">
        <v>4051</v>
      </c>
      <c r="CE1842" t="s">
        <v>221</v>
      </c>
      <c r="CF1842" s="3">
        <v>45796</v>
      </c>
      <c r="CI1842">
        <v>1</v>
      </c>
      <c r="CJ1842">
        <v>1</v>
      </c>
      <c r="CK1842">
        <v>21</v>
      </c>
      <c r="CL1842" t="s">
        <v>89</v>
      </c>
    </row>
    <row r="1843" spans="1:90" x14ac:dyDescent="0.3">
      <c r="A1843" t="s">
        <v>72</v>
      </c>
      <c r="B1843" t="s">
        <v>73</v>
      </c>
      <c r="C1843" t="s">
        <v>74</v>
      </c>
      <c r="E1843" t="str">
        <f>"080065410260"</f>
        <v>080065410260</v>
      </c>
      <c r="F1843" s="3">
        <v>45793</v>
      </c>
      <c r="G1843">
        <v>202602</v>
      </c>
      <c r="H1843" t="s">
        <v>75</v>
      </c>
      <c r="I1843" t="s">
        <v>76</v>
      </c>
      <c r="J1843" t="s">
        <v>77</v>
      </c>
      <c r="K1843" t="s">
        <v>78</v>
      </c>
      <c r="L1843" t="s">
        <v>90</v>
      </c>
      <c r="M1843" t="s">
        <v>91</v>
      </c>
      <c r="N1843" t="s">
        <v>92</v>
      </c>
      <c r="O1843" t="s">
        <v>300</v>
      </c>
      <c r="P1843" t="str">
        <f>"4170038831                    "</f>
        <v xml:space="preserve">4170038831                    </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c r="AJ1843">
        <v>0</v>
      </c>
      <c r="AK1843">
        <v>0</v>
      </c>
      <c r="AL1843">
        <v>0</v>
      </c>
      <c r="AM1843">
        <v>0</v>
      </c>
      <c r="AN1843">
        <v>0</v>
      </c>
      <c r="AO1843">
        <v>0</v>
      </c>
      <c r="AP1843">
        <v>0</v>
      </c>
      <c r="AQ1843">
        <v>53.3</v>
      </c>
      <c r="AR1843">
        <v>0</v>
      </c>
      <c r="AS1843">
        <v>0</v>
      </c>
      <c r="AT1843">
        <v>0</v>
      </c>
      <c r="AU1843">
        <v>0</v>
      </c>
      <c r="AV1843">
        <v>0</v>
      </c>
      <c r="AW1843">
        <v>0</v>
      </c>
      <c r="AX1843">
        <v>0</v>
      </c>
      <c r="AY1843">
        <v>0</v>
      </c>
      <c r="AZ1843">
        <v>0</v>
      </c>
      <c r="BA1843">
        <v>0</v>
      </c>
      <c r="BB1843">
        <v>0</v>
      </c>
      <c r="BC1843">
        <v>0</v>
      </c>
      <c r="BD1843">
        <v>0</v>
      </c>
      <c r="BE1843">
        <v>0</v>
      </c>
      <c r="BF1843">
        <v>0</v>
      </c>
      <c r="BG1843">
        <v>0</v>
      </c>
      <c r="BH1843">
        <v>2</v>
      </c>
      <c r="BI1843">
        <v>22</v>
      </c>
      <c r="BJ1843">
        <v>15.8</v>
      </c>
      <c r="BK1843">
        <v>22</v>
      </c>
      <c r="BL1843">
        <v>180.01</v>
      </c>
      <c r="BM1843">
        <v>27</v>
      </c>
      <c r="BN1843">
        <v>207.01</v>
      </c>
      <c r="BO1843">
        <v>207.01</v>
      </c>
      <c r="BQ1843" t="s">
        <v>93</v>
      </c>
      <c r="BR1843" t="s">
        <v>84</v>
      </c>
      <c r="BS1843" s="3">
        <v>45796</v>
      </c>
      <c r="BT1843" s="4">
        <v>0.39027777777777778</v>
      </c>
      <c r="BU1843" t="s">
        <v>2033</v>
      </c>
      <c r="BV1843" t="s">
        <v>86</v>
      </c>
      <c r="BY1843">
        <v>79116</v>
      </c>
      <c r="CA1843" t="s">
        <v>95</v>
      </c>
      <c r="CC1843" t="s">
        <v>91</v>
      </c>
      <c r="CD1843">
        <v>6001</v>
      </c>
      <c r="CE1843" t="s">
        <v>96</v>
      </c>
      <c r="CF1843" s="3">
        <v>45797</v>
      </c>
      <c r="CI1843">
        <v>3</v>
      </c>
      <c r="CJ1843">
        <v>1</v>
      </c>
      <c r="CK1843">
        <v>41</v>
      </c>
      <c r="CL1843" t="s">
        <v>89</v>
      </c>
    </row>
    <row r="1844" spans="1:90" x14ac:dyDescent="0.3">
      <c r="A1844" t="s">
        <v>72</v>
      </c>
      <c r="B1844" t="s">
        <v>73</v>
      </c>
      <c r="C1844" t="s">
        <v>74</v>
      </c>
      <c r="E1844" t="str">
        <f>"080065410278"</f>
        <v>080065410278</v>
      </c>
      <c r="F1844" s="3">
        <v>45793</v>
      </c>
      <c r="G1844">
        <v>202602</v>
      </c>
      <c r="H1844" t="s">
        <v>75</v>
      </c>
      <c r="I1844" t="s">
        <v>76</v>
      </c>
      <c r="J1844" t="s">
        <v>77</v>
      </c>
      <c r="K1844" t="s">
        <v>78</v>
      </c>
      <c r="L1844" t="s">
        <v>90</v>
      </c>
      <c r="M1844" t="s">
        <v>91</v>
      </c>
      <c r="N1844" t="s">
        <v>1586</v>
      </c>
      <c r="O1844" t="s">
        <v>82</v>
      </c>
      <c r="P1844" t="str">
        <f>"4170038969                    "</f>
        <v xml:space="preserve">4170038969                    </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c r="AI1844">
        <v>0</v>
      </c>
      <c r="AJ1844">
        <v>0</v>
      </c>
      <c r="AK1844">
        <v>0</v>
      </c>
      <c r="AL1844">
        <v>0</v>
      </c>
      <c r="AM1844">
        <v>0</v>
      </c>
      <c r="AN1844">
        <v>0</v>
      </c>
      <c r="AO1844">
        <v>0</v>
      </c>
      <c r="AP1844">
        <v>0</v>
      </c>
      <c r="AQ1844">
        <v>37.409999999999997</v>
      </c>
      <c r="AR1844">
        <v>0</v>
      </c>
      <c r="AS1844">
        <v>0</v>
      </c>
      <c r="AT1844">
        <v>0</v>
      </c>
      <c r="AU1844">
        <v>0</v>
      </c>
      <c r="AV1844">
        <v>0</v>
      </c>
      <c r="AW1844">
        <v>0</v>
      </c>
      <c r="AX1844">
        <v>0</v>
      </c>
      <c r="AY1844">
        <v>0</v>
      </c>
      <c r="AZ1844">
        <v>0</v>
      </c>
      <c r="BA1844">
        <v>0</v>
      </c>
      <c r="BB1844">
        <v>0</v>
      </c>
      <c r="BC1844">
        <v>0</v>
      </c>
      <c r="BD1844">
        <v>0</v>
      </c>
      <c r="BE1844">
        <v>0</v>
      </c>
      <c r="BF1844">
        <v>0</v>
      </c>
      <c r="BG1844">
        <v>0</v>
      </c>
      <c r="BH1844">
        <v>1</v>
      </c>
      <c r="BI1844">
        <v>1</v>
      </c>
      <c r="BJ1844">
        <v>3.4</v>
      </c>
      <c r="BK1844">
        <v>3.5</v>
      </c>
      <c r="BL1844">
        <v>122.43</v>
      </c>
      <c r="BM1844">
        <v>18.36</v>
      </c>
      <c r="BN1844">
        <v>140.79</v>
      </c>
      <c r="BO1844">
        <v>140.79</v>
      </c>
      <c r="BQ1844" t="s">
        <v>1587</v>
      </c>
      <c r="BR1844" t="s">
        <v>84</v>
      </c>
      <c r="BS1844" s="3">
        <v>45796</v>
      </c>
      <c r="BT1844" s="4">
        <v>0.43541666666666667</v>
      </c>
      <c r="BU1844" t="s">
        <v>1528</v>
      </c>
      <c r="BV1844" t="s">
        <v>86</v>
      </c>
      <c r="BY1844">
        <v>16965</v>
      </c>
      <c r="CA1844" t="s">
        <v>298</v>
      </c>
      <c r="CC1844" t="s">
        <v>91</v>
      </c>
      <c r="CD1844">
        <v>6001</v>
      </c>
      <c r="CE1844" t="s">
        <v>96</v>
      </c>
      <c r="CF1844" s="3">
        <v>45796</v>
      </c>
      <c r="CI1844">
        <v>1</v>
      </c>
      <c r="CJ1844">
        <v>1</v>
      </c>
      <c r="CK1844">
        <v>21</v>
      </c>
      <c r="CL1844" t="s">
        <v>89</v>
      </c>
    </row>
    <row r="1845" spans="1:90" x14ac:dyDescent="0.3">
      <c r="A1845" t="s">
        <v>72</v>
      </c>
      <c r="B1845" t="s">
        <v>73</v>
      </c>
      <c r="C1845" t="s">
        <v>74</v>
      </c>
      <c r="E1845" t="str">
        <f>"080065410312"</f>
        <v>080065410312</v>
      </c>
      <c r="F1845" s="3">
        <v>45793</v>
      </c>
      <c r="G1845">
        <v>202602</v>
      </c>
      <c r="H1845" t="s">
        <v>75</v>
      </c>
      <c r="I1845" t="s">
        <v>76</v>
      </c>
      <c r="J1845" t="s">
        <v>77</v>
      </c>
      <c r="K1845" t="s">
        <v>78</v>
      </c>
      <c r="L1845" t="s">
        <v>103</v>
      </c>
      <c r="M1845" t="s">
        <v>104</v>
      </c>
      <c r="N1845" t="s">
        <v>105</v>
      </c>
      <c r="O1845" t="s">
        <v>82</v>
      </c>
      <c r="P1845" t="str">
        <f>"4170039042                    "</f>
        <v xml:space="preserve">4170039042                    </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c r="AJ1845">
        <v>0</v>
      </c>
      <c r="AK1845">
        <v>0</v>
      </c>
      <c r="AL1845">
        <v>0</v>
      </c>
      <c r="AM1845">
        <v>0</v>
      </c>
      <c r="AN1845">
        <v>0</v>
      </c>
      <c r="AO1845">
        <v>0</v>
      </c>
      <c r="AP1845">
        <v>0</v>
      </c>
      <c r="AQ1845">
        <v>42.75</v>
      </c>
      <c r="AR1845">
        <v>0</v>
      </c>
      <c r="AS1845">
        <v>0</v>
      </c>
      <c r="AT1845">
        <v>0</v>
      </c>
      <c r="AU1845">
        <v>0</v>
      </c>
      <c r="AV1845">
        <v>0</v>
      </c>
      <c r="AW1845">
        <v>0</v>
      </c>
      <c r="AX1845">
        <v>0</v>
      </c>
      <c r="AY1845">
        <v>0</v>
      </c>
      <c r="AZ1845">
        <v>0</v>
      </c>
      <c r="BA1845">
        <v>0</v>
      </c>
      <c r="BB1845">
        <v>0</v>
      </c>
      <c r="BC1845">
        <v>0</v>
      </c>
      <c r="BD1845">
        <v>0</v>
      </c>
      <c r="BE1845">
        <v>0</v>
      </c>
      <c r="BF1845">
        <v>0</v>
      </c>
      <c r="BG1845">
        <v>0</v>
      </c>
      <c r="BH1845">
        <v>1</v>
      </c>
      <c r="BI1845">
        <v>4</v>
      </c>
      <c r="BJ1845">
        <v>1.7</v>
      </c>
      <c r="BK1845">
        <v>4</v>
      </c>
      <c r="BL1845">
        <v>139.91</v>
      </c>
      <c r="BM1845">
        <v>20.99</v>
      </c>
      <c r="BN1845">
        <v>160.9</v>
      </c>
      <c r="BO1845">
        <v>160.9</v>
      </c>
      <c r="BQ1845" t="s">
        <v>106</v>
      </c>
      <c r="BR1845" t="s">
        <v>84</v>
      </c>
      <c r="BS1845" s="3">
        <v>45796</v>
      </c>
      <c r="BT1845" s="4">
        <v>0.41666666666666669</v>
      </c>
      <c r="BU1845" t="s">
        <v>1180</v>
      </c>
      <c r="BV1845" t="s">
        <v>86</v>
      </c>
      <c r="BY1845">
        <v>8512</v>
      </c>
      <c r="CC1845" t="s">
        <v>104</v>
      </c>
      <c r="CD1845">
        <v>3201</v>
      </c>
      <c r="CE1845" t="s">
        <v>116</v>
      </c>
      <c r="CF1845" s="3">
        <v>45796</v>
      </c>
      <c r="CI1845">
        <v>1</v>
      </c>
      <c r="CJ1845">
        <v>1</v>
      </c>
      <c r="CK1845">
        <v>21</v>
      </c>
      <c r="CL1845" t="s">
        <v>89</v>
      </c>
    </row>
    <row r="1846" spans="1:90" x14ac:dyDescent="0.3">
      <c r="A1846" t="s">
        <v>72</v>
      </c>
      <c r="B1846" t="s">
        <v>73</v>
      </c>
      <c r="C1846" t="s">
        <v>74</v>
      </c>
      <c r="E1846" t="str">
        <f>"080065410367"</f>
        <v>080065410367</v>
      </c>
      <c r="F1846" s="3">
        <v>45793</v>
      </c>
      <c r="G1846">
        <v>202602</v>
      </c>
      <c r="H1846" t="s">
        <v>75</v>
      </c>
      <c r="I1846" t="s">
        <v>76</v>
      </c>
      <c r="J1846" t="s">
        <v>77</v>
      </c>
      <c r="K1846" t="s">
        <v>78</v>
      </c>
      <c r="L1846" t="s">
        <v>624</v>
      </c>
      <c r="M1846" t="s">
        <v>625</v>
      </c>
      <c r="N1846" t="s">
        <v>2382</v>
      </c>
      <c r="O1846" t="s">
        <v>82</v>
      </c>
      <c r="P1846" t="str">
        <f>"4170038880                    "</f>
        <v xml:space="preserve">4170038880                    </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0</v>
      </c>
      <c r="AK1846">
        <v>0</v>
      </c>
      <c r="AL1846">
        <v>0</v>
      </c>
      <c r="AM1846">
        <v>0</v>
      </c>
      <c r="AN1846">
        <v>0</v>
      </c>
      <c r="AO1846">
        <v>0</v>
      </c>
      <c r="AP1846">
        <v>0</v>
      </c>
      <c r="AQ1846">
        <v>41.43</v>
      </c>
      <c r="AR1846">
        <v>0</v>
      </c>
      <c r="AS1846">
        <v>0</v>
      </c>
      <c r="AT1846">
        <v>0</v>
      </c>
      <c r="AU1846">
        <v>0</v>
      </c>
      <c r="AV1846">
        <v>0</v>
      </c>
      <c r="AW1846">
        <v>0</v>
      </c>
      <c r="AX1846">
        <v>0</v>
      </c>
      <c r="AY1846">
        <v>0</v>
      </c>
      <c r="AZ1846">
        <v>0</v>
      </c>
      <c r="BA1846">
        <v>0</v>
      </c>
      <c r="BB1846">
        <v>0</v>
      </c>
      <c r="BC1846">
        <v>0</v>
      </c>
      <c r="BD1846">
        <v>0</v>
      </c>
      <c r="BE1846">
        <v>0</v>
      </c>
      <c r="BF1846">
        <v>0</v>
      </c>
      <c r="BG1846">
        <v>0</v>
      </c>
      <c r="BH1846">
        <v>1</v>
      </c>
      <c r="BI1846">
        <v>1</v>
      </c>
      <c r="BJ1846">
        <v>0.2</v>
      </c>
      <c r="BK1846">
        <v>1</v>
      </c>
      <c r="BL1846">
        <v>135.59</v>
      </c>
      <c r="BM1846">
        <v>20.34</v>
      </c>
      <c r="BN1846">
        <v>155.93</v>
      </c>
      <c r="BO1846">
        <v>155.93</v>
      </c>
      <c r="BQ1846" t="s">
        <v>2383</v>
      </c>
      <c r="BR1846" t="s">
        <v>84</v>
      </c>
      <c r="BS1846" s="3">
        <v>45796</v>
      </c>
      <c r="BT1846" s="4">
        <v>0.42291666666666666</v>
      </c>
      <c r="BU1846" t="s">
        <v>2384</v>
      </c>
      <c r="BV1846" t="s">
        <v>86</v>
      </c>
      <c r="BY1846">
        <v>1200</v>
      </c>
      <c r="CC1846" t="s">
        <v>625</v>
      </c>
      <c r="CD1846">
        <v>1947</v>
      </c>
      <c r="CE1846" t="s">
        <v>88</v>
      </c>
      <c r="CF1846" s="3">
        <v>45796</v>
      </c>
      <c r="CI1846">
        <v>1</v>
      </c>
      <c r="CJ1846">
        <v>1</v>
      </c>
      <c r="CK1846">
        <v>23</v>
      </c>
      <c r="CL1846" t="s">
        <v>89</v>
      </c>
    </row>
    <row r="1847" spans="1:90" x14ac:dyDescent="0.3">
      <c r="A1847" t="s">
        <v>72</v>
      </c>
      <c r="B1847" t="s">
        <v>73</v>
      </c>
      <c r="C1847" t="s">
        <v>74</v>
      </c>
      <c r="E1847" t="str">
        <f>"080065410425"</f>
        <v>080065410425</v>
      </c>
      <c r="F1847" s="3">
        <v>45793</v>
      </c>
      <c r="G1847">
        <v>202602</v>
      </c>
      <c r="H1847" t="s">
        <v>75</v>
      </c>
      <c r="I1847" t="s">
        <v>76</v>
      </c>
      <c r="J1847" t="s">
        <v>77</v>
      </c>
      <c r="K1847" t="s">
        <v>78</v>
      </c>
      <c r="L1847" t="s">
        <v>624</v>
      </c>
      <c r="M1847" t="s">
        <v>625</v>
      </c>
      <c r="N1847" t="s">
        <v>2382</v>
      </c>
      <c r="O1847" t="s">
        <v>82</v>
      </c>
      <c r="P1847" t="str">
        <f>"4170038881                    "</f>
        <v xml:space="preserve">4170038881                    </v>
      </c>
      <c r="Q1847">
        <v>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0</v>
      </c>
      <c r="AK1847">
        <v>0</v>
      </c>
      <c r="AL1847">
        <v>0</v>
      </c>
      <c r="AM1847">
        <v>0</v>
      </c>
      <c r="AN1847">
        <v>0</v>
      </c>
      <c r="AO1847">
        <v>0</v>
      </c>
      <c r="AP1847">
        <v>0</v>
      </c>
      <c r="AQ1847">
        <v>41.43</v>
      </c>
      <c r="AR1847">
        <v>0</v>
      </c>
      <c r="AS1847">
        <v>0</v>
      </c>
      <c r="AT1847">
        <v>0</v>
      </c>
      <c r="AU1847">
        <v>0</v>
      </c>
      <c r="AV1847">
        <v>0</v>
      </c>
      <c r="AW1847">
        <v>0</v>
      </c>
      <c r="AX1847">
        <v>0</v>
      </c>
      <c r="AY1847">
        <v>0</v>
      </c>
      <c r="AZ1847">
        <v>0</v>
      </c>
      <c r="BA1847">
        <v>0</v>
      </c>
      <c r="BB1847">
        <v>0</v>
      </c>
      <c r="BC1847">
        <v>0</v>
      </c>
      <c r="BD1847">
        <v>0</v>
      </c>
      <c r="BE1847">
        <v>0</v>
      </c>
      <c r="BF1847">
        <v>0</v>
      </c>
      <c r="BG1847">
        <v>0</v>
      </c>
      <c r="BH1847">
        <v>1</v>
      </c>
      <c r="BI1847">
        <v>1</v>
      </c>
      <c r="BJ1847">
        <v>0.2</v>
      </c>
      <c r="BK1847">
        <v>1</v>
      </c>
      <c r="BL1847">
        <v>135.59</v>
      </c>
      <c r="BM1847">
        <v>20.34</v>
      </c>
      <c r="BN1847">
        <v>155.93</v>
      </c>
      <c r="BO1847">
        <v>155.93</v>
      </c>
      <c r="BQ1847" t="s">
        <v>2383</v>
      </c>
      <c r="BR1847" t="s">
        <v>84</v>
      </c>
      <c r="BS1847" s="3">
        <v>45796</v>
      </c>
      <c r="BT1847" s="4">
        <v>0.42291666666666666</v>
      </c>
      <c r="BU1847" t="s">
        <v>2384</v>
      </c>
      <c r="BV1847" t="s">
        <v>86</v>
      </c>
      <c r="BY1847">
        <v>1200</v>
      </c>
      <c r="CC1847" t="s">
        <v>625</v>
      </c>
      <c r="CD1847">
        <v>1947</v>
      </c>
      <c r="CE1847" t="s">
        <v>88</v>
      </c>
      <c r="CF1847" s="3">
        <v>45796</v>
      </c>
      <c r="CI1847">
        <v>1</v>
      </c>
      <c r="CJ1847">
        <v>1</v>
      </c>
      <c r="CK1847">
        <v>23</v>
      </c>
      <c r="CL1847" t="s">
        <v>89</v>
      </c>
    </row>
    <row r="1848" spans="1:90" x14ac:dyDescent="0.3">
      <c r="A1848" t="s">
        <v>72</v>
      </c>
      <c r="B1848" t="s">
        <v>73</v>
      </c>
      <c r="C1848" t="s">
        <v>74</v>
      </c>
      <c r="E1848" t="str">
        <f>"080065410446"</f>
        <v>080065410446</v>
      </c>
      <c r="F1848" s="3">
        <v>45793</v>
      </c>
      <c r="G1848">
        <v>202602</v>
      </c>
      <c r="H1848" t="s">
        <v>75</v>
      </c>
      <c r="I1848" t="s">
        <v>76</v>
      </c>
      <c r="J1848" t="s">
        <v>77</v>
      </c>
      <c r="K1848" t="s">
        <v>78</v>
      </c>
      <c r="L1848" t="s">
        <v>97</v>
      </c>
      <c r="M1848" t="s">
        <v>98</v>
      </c>
      <c r="N1848" t="s">
        <v>99</v>
      </c>
      <c r="O1848" t="s">
        <v>82</v>
      </c>
      <c r="P1848" t="str">
        <f>"4170038850                    "</f>
        <v xml:space="preserve">4170038850                    </v>
      </c>
      <c r="Q1848">
        <v>0</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c r="AJ1848">
        <v>0</v>
      </c>
      <c r="AK1848">
        <v>0</v>
      </c>
      <c r="AL1848">
        <v>0</v>
      </c>
      <c r="AM1848">
        <v>0</v>
      </c>
      <c r="AN1848">
        <v>0</v>
      </c>
      <c r="AO1848">
        <v>0</v>
      </c>
      <c r="AP1848">
        <v>0</v>
      </c>
      <c r="AQ1848">
        <v>16.7</v>
      </c>
      <c r="AR1848">
        <v>0</v>
      </c>
      <c r="AS1848">
        <v>0</v>
      </c>
      <c r="AT1848">
        <v>0</v>
      </c>
      <c r="AU1848">
        <v>0</v>
      </c>
      <c r="AV1848">
        <v>0</v>
      </c>
      <c r="AW1848">
        <v>0</v>
      </c>
      <c r="AX1848">
        <v>0</v>
      </c>
      <c r="AY1848">
        <v>0</v>
      </c>
      <c r="AZ1848">
        <v>0</v>
      </c>
      <c r="BA1848">
        <v>0</v>
      </c>
      <c r="BB1848">
        <v>0</v>
      </c>
      <c r="BC1848">
        <v>0</v>
      </c>
      <c r="BD1848">
        <v>0</v>
      </c>
      <c r="BE1848">
        <v>0</v>
      </c>
      <c r="BF1848">
        <v>0</v>
      </c>
      <c r="BG1848">
        <v>0</v>
      </c>
      <c r="BH1848">
        <v>1</v>
      </c>
      <c r="BI1848">
        <v>1</v>
      </c>
      <c r="BJ1848">
        <v>0.2</v>
      </c>
      <c r="BK1848">
        <v>1</v>
      </c>
      <c r="BL1848">
        <v>54.66</v>
      </c>
      <c r="BM1848">
        <v>8.1999999999999993</v>
      </c>
      <c r="BN1848">
        <v>62.86</v>
      </c>
      <c r="BO1848">
        <v>62.86</v>
      </c>
      <c r="BQ1848" t="s">
        <v>100</v>
      </c>
      <c r="BR1848" t="s">
        <v>84</v>
      </c>
      <c r="BS1848" s="3">
        <v>45796</v>
      </c>
      <c r="BT1848" s="4">
        <v>0.33124999999999999</v>
      </c>
      <c r="BU1848" t="s">
        <v>286</v>
      </c>
      <c r="BV1848" t="s">
        <v>86</v>
      </c>
      <c r="BY1848">
        <v>1200</v>
      </c>
      <c r="CA1848" t="s">
        <v>279</v>
      </c>
      <c r="CC1848" t="s">
        <v>98</v>
      </c>
      <c r="CD1848">
        <v>1459</v>
      </c>
      <c r="CE1848" t="s">
        <v>88</v>
      </c>
      <c r="CF1848" s="3">
        <v>45796</v>
      </c>
      <c r="CI1848">
        <v>1</v>
      </c>
      <c r="CJ1848">
        <v>1</v>
      </c>
      <c r="CK1848">
        <v>22</v>
      </c>
      <c r="CL1848" t="s">
        <v>89</v>
      </c>
    </row>
    <row r="1849" spans="1:90" x14ac:dyDescent="0.3">
      <c r="A1849" t="s">
        <v>72</v>
      </c>
      <c r="B1849" t="s">
        <v>73</v>
      </c>
      <c r="C1849" t="s">
        <v>74</v>
      </c>
      <c r="E1849" t="str">
        <f>"080065410464"</f>
        <v>080065410464</v>
      </c>
      <c r="F1849" s="3">
        <v>45793</v>
      </c>
      <c r="G1849">
        <v>202602</v>
      </c>
      <c r="H1849" t="s">
        <v>75</v>
      </c>
      <c r="I1849" t="s">
        <v>76</v>
      </c>
      <c r="J1849" t="s">
        <v>77</v>
      </c>
      <c r="K1849" t="s">
        <v>78</v>
      </c>
      <c r="L1849" t="s">
        <v>374</v>
      </c>
      <c r="M1849" t="s">
        <v>375</v>
      </c>
      <c r="N1849" t="s">
        <v>376</v>
      </c>
      <c r="O1849" t="s">
        <v>82</v>
      </c>
      <c r="P1849" t="str">
        <f>"4170039041                    "</f>
        <v xml:space="preserve">4170039041                    </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c r="AI1849">
        <v>0</v>
      </c>
      <c r="AJ1849">
        <v>0</v>
      </c>
      <c r="AK1849">
        <v>0</v>
      </c>
      <c r="AL1849">
        <v>0</v>
      </c>
      <c r="AM1849">
        <v>0</v>
      </c>
      <c r="AN1849">
        <v>0</v>
      </c>
      <c r="AO1849">
        <v>0</v>
      </c>
      <c r="AP1849">
        <v>0</v>
      </c>
      <c r="AQ1849">
        <v>41.43</v>
      </c>
      <c r="AR1849">
        <v>0</v>
      </c>
      <c r="AS1849">
        <v>0</v>
      </c>
      <c r="AT1849">
        <v>0</v>
      </c>
      <c r="AU1849">
        <v>0</v>
      </c>
      <c r="AV1849">
        <v>0</v>
      </c>
      <c r="AW1849">
        <v>0</v>
      </c>
      <c r="AX1849">
        <v>0</v>
      </c>
      <c r="AY1849">
        <v>0</v>
      </c>
      <c r="AZ1849">
        <v>0</v>
      </c>
      <c r="BA1849">
        <v>0</v>
      </c>
      <c r="BB1849">
        <v>0</v>
      </c>
      <c r="BC1849">
        <v>0</v>
      </c>
      <c r="BD1849">
        <v>0</v>
      </c>
      <c r="BE1849">
        <v>0</v>
      </c>
      <c r="BF1849">
        <v>0</v>
      </c>
      <c r="BG1849">
        <v>0</v>
      </c>
      <c r="BH1849">
        <v>1</v>
      </c>
      <c r="BI1849">
        <v>1</v>
      </c>
      <c r="BJ1849">
        <v>0.2</v>
      </c>
      <c r="BK1849">
        <v>1</v>
      </c>
      <c r="BL1849">
        <v>135.59</v>
      </c>
      <c r="BM1849">
        <v>20.34</v>
      </c>
      <c r="BN1849">
        <v>155.93</v>
      </c>
      <c r="BO1849">
        <v>155.93</v>
      </c>
      <c r="BQ1849" t="s">
        <v>377</v>
      </c>
      <c r="BR1849" t="s">
        <v>84</v>
      </c>
      <c r="BS1849" s="3">
        <v>45797</v>
      </c>
      <c r="BT1849" s="4">
        <v>0.40138888888888891</v>
      </c>
      <c r="BU1849" t="s">
        <v>378</v>
      </c>
      <c r="BV1849" t="s">
        <v>89</v>
      </c>
      <c r="BW1849" t="s">
        <v>340</v>
      </c>
      <c r="BX1849" t="s">
        <v>1315</v>
      </c>
      <c r="BY1849">
        <v>1200</v>
      </c>
      <c r="CA1849" t="s">
        <v>379</v>
      </c>
      <c r="CC1849" t="s">
        <v>375</v>
      </c>
      <c r="CD1849">
        <v>7130</v>
      </c>
      <c r="CE1849" t="s">
        <v>88</v>
      </c>
      <c r="CF1849" s="3">
        <v>45798</v>
      </c>
      <c r="CI1849">
        <v>1</v>
      </c>
      <c r="CJ1849">
        <v>2</v>
      </c>
      <c r="CK1849">
        <v>23</v>
      </c>
      <c r="CL1849" t="s">
        <v>89</v>
      </c>
    </row>
    <row r="1850" spans="1:90" x14ac:dyDescent="0.3">
      <c r="A1850" t="s">
        <v>72</v>
      </c>
      <c r="B1850" t="s">
        <v>73</v>
      </c>
      <c r="C1850" t="s">
        <v>74</v>
      </c>
      <c r="E1850" t="str">
        <f>"080065410509"</f>
        <v>080065410509</v>
      </c>
      <c r="F1850" s="3">
        <v>45793</v>
      </c>
      <c r="G1850">
        <v>202602</v>
      </c>
      <c r="H1850" t="s">
        <v>75</v>
      </c>
      <c r="I1850" t="s">
        <v>76</v>
      </c>
      <c r="J1850" t="s">
        <v>77</v>
      </c>
      <c r="K1850" t="s">
        <v>78</v>
      </c>
      <c r="L1850" t="s">
        <v>123</v>
      </c>
      <c r="M1850" t="s">
        <v>123</v>
      </c>
      <c r="N1850" t="s">
        <v>1700</v>
      </c>
      <c r="O1850" t="s">
        <v>82</v>
      </c>
      <c r="P1850" t="str">
        <f>"4170038955                    "</f>
        <v xml:space="preserve">4170038955                    </v>
      </c>
      <c r="Q1850">
        <v>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c r="AJ1850">
        <v>0</v>
      </c>
      <c r="AK1850">
        <v>0</v>
      </c>
      <c r="AL1850">
        <v>0</v>
      </c>
      <c r="AM1850">
        <v>0</v>
      </c>
      <c r="AN1850">
        <v>0</v>
      </c>
      <c r="AO1850">
        <v>0</v>
      </c>
      <c r="AP1850">
        <v>0</v>
      </c>
      <c r="AQ1850">
        <v>41.43</v>
      </c>
      <c r="AR1850">
        <v>0</v>
      </c>
      <c r="AS1850">
        <v>0</v>
      </c>
      <c r="AT1850">
        <v>0</v>
      </c>
      <c r="AU1850">
        <v>0</v>
      </c>
      <c r="AV1850">
        <v>0</v>
      </c>
      <c r="AW1850">
        <v>0</v>
      </c>
      <c r="AX1850">
        <v>0</v>
      </c>
      <c r="AY1850">
        <v>0</v>
      </c>
      <c r="AZ1850">
        <v>0</v>
      </c>
      <c r="BA1850">
        <v>0</v>
      </c>
      <c r="BB1850">
        <v>0</v>
      </c>
      <c r="BC1850">
        <v>0</v>
      </c>
      <c r="BD1850">
        <v>0</v>
      </c>
      <c r="BE1850">
        <v>0</v>
      </c>
      <c r="BF1850">
        <v>0</v>
      </c>
      <c r="BG1850">
        <v>0</v>
      </c>
      <c r="BH1850">
        <v>1</v>
      </c>
      <c r="BI1850">
        <v>1</v>
      </c>
      <c r="BJ1850">
        <v>0.2</v>
      </c>
      <c r="BK1850">
        <v>1</v>
      </c>
      <c r="BL1850">
        <v>135.59</v>
      </c>
      <c r="BM1850">
        <v>20.34</v>
      </c>
      <c r="BN1850">
        <v>155.93</v>
      </c>
      <c r="BO1850">
        <v>155.93</v>
      </c>
      <c r="BQ1850" t="s">
        <v>1701</v>
      </c>
      <c r="BR1850" t="s">
        <v>84</v>
      </c>
      <c r="BS1850" s="3">
        <v>45797</v>
      </c>
      <c r="BT1850" s="4">
        <v>0.52361111111111114</v>
      </c>
      <c r="BU1850" t="s">
        <v>319</v>
      </c>
      <c r="BV1850" t="s">
        <v>89</v>
      </c>
      <c r="BW1850" t="s">
        <v>340</v>
      </c>
      <c r="BX1850" t="s">
        <v>1224</v>
      </c>
      <c r="BY1850">
        <v>1200</v>
      </c>
      <c r="CA1850" t="s">
        <v>128</v>
      </c>
      <c r="CC1850" t="s">
        <v>123</v>
      </c>
      <c r="CD1850">
        <v>7646</v>
      </c>
      <c r="CE1850" t="s">
        <v>88</v>
      </c>
      <c r="CF1850" s="3">
        <v>45798</v>
      </c>
      <c r="CI1850">
        <v>1</v>
      </c>
      <c r="CJ1850">
        <v>2</v>
      </c>
      <c r="CK1850">
        <v>23</v>
      </c>
      <c r="CL1850" t="s">
        <v>89</v>
      </c>
    </row>
    <row r="1851" spans="1:90" x14ac:dyDescent="0.3">
      <c r="A1851" t="s">
        <v>72</v>
      </c>
      <c r="B1851" t="s">
        <v>73</v>
      </c>
      <c r="C1851" t="s">
        <v>74</v>
      </c>
      <c r="E1851" t="str">
        <f>"080065410552"</f>
        <v>080065410552</v>
      </c>
      <c r="F1851" s="3">
        <v>45793</v>
      </c>
      <c r="G1851">
        <v>202602</v>
      </c>
      <c r="H1851" t="s">
        <v>75</v>
      </c>
      <c r="I1851" t="s">
        <v>76</v>
      </c>
      <c r="J1851" t="s">
        <v>77</v>
      </c>
      <c r="K1851" t="s">
        <v>78</v>
      </c>
      <c r="L1851" t="s">
        <v>90</v>
      </c>
      <c r="M1851" t="s">
        <v>91</v>
      </c>
      <c r="N1851" t="s">
        <v>563</v>
      </c>
      <c r="O1851" t="s">
        <v>82</v>
      </c>
      <c r="P1851" t="str">
        <f>"4170038983                    "</f>
        <v xml:space="preserve">4170038983                    </v>
      </c>
      <c r="Q1851">
        <v>0</v>
      </c>
      <c r="R1851">
        <v>0</v>
      </c>
      <c r="S1851">
        <v>0</v>
      </c>
      <c r="T1851">
        <v>0</v>
      </c>
      <c r="U1851">
        <v>0</v>
      </c>
      <c r="V1851">
        <v>0</v>
      </c>
      <c r="W1851">
        <v>0</v>
      </c>
      <c r="X1851">
        <v>0</v>
      </c>
      <c r="Y1851">
        <v>0</v>
      </c>
      <c r="Z1851">
        <v>0</v>
      </c>
      <c r="AA1851">
        <v>0</v>
      </c>
      <c r="AB1851">
        <v>0</v>
      </c>
      <c r="AC1851">
        <v>0</v>
      </c>
      <c r="AD1851">
        <v>0</v>
      </c>
      <c r="AE1851">
        <v>0</v>
      </c>
      <c r="AF1851">
        <v>0</v>
      </c>
      <c r="AG1851">
        <v>0</v>
      </c>
      <c r="AH1851">
        <v>0</v>
      </c>
      <c r="AI1851">
        <v>0</v>
      </c>
      <c r="AJ1851">
        <v>0</v>
      </c>
      <c r="AK1851">
        <v>0</v>
      </c>
      <c r="AL1851">
        <v>0</v>
      </c>
      <c r="AM1851">
        <v>0</v>
      </c>
      <c r="AN1851">
        <v>0</v>
      </c>
      <c r="AO1851">
        <v>0</v>
      </c>
      <c r="AP1851">
        <v>0</v>
      </c>
      <c r="AQ1851">
        <v>21.38</v>
      </c>
      <c r="AR1851">
        <v>0</v>
      </c>
      <c r="AS1851">
        <v>0</v>
      </c>
      <c r="AT1851">
        <v>0</v>
      </c>
      <c r="AU1851">
        <v>0</v>
      </c>
      <c r="AV1851">
        <v>0</v>
      </c>
      <c r="AW1851">
        <v>0</v>
      </c>
      <c r="AX1851">
        <v>0</v>
      </c>
      <c r="AY1851">
        <v>0</v>
      </c>
      <c r="AZ1851">
        <v>0</v>
      </c>
      <c r="BA1851">
        <v>0</v>
      </c>
      <c r="BB1851">
        <v>0</v>
      </c>
      <c r="BC1851">
        <v>0</v>
      </c>
      <c r="BD1851">
        <v>0</v>
      </c>
      <c r="BE1851">
        <v>0</v>
      </c>
      <c r="BF1851">
        <v>0</v>
      </c>
      <c r="BG1851">
        <v>0</v>
      </c>
      <c r="BH1851">
        <v>1</v>
      </c>
      <c r="BI1851">
        <v>1</v>
      </c>
      <c r="BJ1851">
        <v>0.2</v>
      </c>
      <c r="BK1851">
        <v>1</v>
      </c>
      <c r="BL1851">
        <v>69.98</v>
      </c>
      <c r="BM1851">
        <v>10.5</v>
      </c>
      <c r="BN1851">
        <v>80.48</v>
      </c>
      <c r="BO1851">
        <v>80.48</v>
      </c>
      <c r="BQ1851" t="s">
        <v>564</v>
      </c>
      <c r="BR1851" t="s">
        <v>84</v>
      </c>
      <c r="BS1851" s="3">
        <v>45796</v>
      </c>
      <c r="BT1851" s="4">
        <v>0.34722222222222221</v>
      </c>
      <c r="BU1851" t="s">
        <v>780</v>
      </c>
      <c r="BV1851" t="s">
        <v>86</v>
      </c>
      <c r="BY1851">
        <v>1200</v>
      </c>
      <c r="CA1851" t="s">
        <v>566</v>
      </c>
      <c r="CC1851" t="s">
        <v>91</v>
      </c>
      <c r="CD1851">
        <v>6001</v>
      </c>
      <c r="CE1851" t="s">
        <v>88</v>
      </c>
      <c r="CF1851" s="3">
        <v>45797</v>
      </c>
      <c r="CI1851">
        <v>1</v>
      </c>
      <c r="CJ1851">
        <v>1</v>
      </c>
      <c r="CK1851">
        <v>21</v>
      </c>
      <c r="CL1851" t="s">
        <v>89</v>
      </c>
    </row>
    <row r="1852" spans="1:90" x14ac:dyDescent="0.3">
      <c r="A1852" t="s">
        <v>72</v>
      </c>
      <c r="B1852" t="s">
        <v>73</v>
      </c>
      <c r="C1852" t="s">
        <v>74</v>
      </c>
      <c r="E1852" t="str">
        <f>"080065410596"</f>
        <v>080065410596</v>
      </c>
      <c r="F1852" s="3">
        <v>45793</v>
      </c>
      <c r="G1852">
        <v>202602</v>
      </c>
      <c r="H1852" t="s">
        <v>75</v>
      </c>
      <c r="I1852" t="s">
        <v>76</v>
      </c>
      <c r="J1852" t="s">
        <v>77</v>
      </c>
      <c r="K1852" t="s">
        <v>78</v>
      </c>
      <c r="L1852" t="s">
        <v>143</v>
      </c>
      <c r="M1852" t="s">
        <v>144</v>
      </c>
      <c r="N1852" t="s">
        <v>2158</v>
      </c>
      <c r="O1852" t="s">
        <v>82</v>
      </c>
      <c r="P1852" t="str">
        <f>"4170038928                    "</f>
        <v xml:space="preserve">4170038928                    </v>
      </c>
      <c r="Q1852">
        <v>0</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c r="AJ1852">
        <v>0</v>
      </c>
      <c r="AK1852">
        <v>0</v>
      </c>
      <c r="AL1852">
        <v>0</v>
      </c>
      <c r="AM1852">
        <v>0</v>
      </c>
      <c r="AN1852">
        <v>0</v>
      </c>
      <c r="AO1852">
        <v>0</v>
      </c>
      <c r="AP1852">
        <v>0</v>
      </c>
      <c r="AQ1852">
        <v>16.7</v>
      </c>
      <c r="AR1852">
        <v>0</v>
      </c>
      <c r="AS1852">
        <v>0</v>
      </c>
      <c r="AT1852">
        <v>0</v>
      </c>
      <c r="AU1852">
        <v>0</v>
      </c>
      <c r="AV1852">
        <v>0</v>
      </c>
      <c r="AW1852">
        <v>0</v>
      </c>
      <c r="AX1852">
        <v>0</v>
      </c>
      <c r="AY1852">
        <v>0</v>
      </c>
      <c r="AZ1852">
        <v>0</v>
      </c>
      <c r="BA1852">
        <v>0</v>
      </c>
      <c r="BB1852">
        <v>0</v>
      </c>
      <c r="BC1852">
        <v>0</v>
      </c>
      <c r="BD1852">
        <v>0</v>
      </c>
      <c r="BE1852">
        <v>0</v>
      </c>
      <c r="BF1852">
        <v>0</v>
      </c>
      <c r="BG1852">
        <v>0</v>
      </c>
      <c r="BH1852">
        <v>1</v>
      </c>
      <c r="BI1852">
        <v>1</v>
      </c>
      <c r="BJ1852">
        <v>0.2</v>
      </c>
      <c r="BK1852">
        <v>1</v>
      </c>
      <c r="BL1852">
        <v>54.66</v>
      </c>
      <c r="BM1852">
        <v>8.1999999999999993</v>
      </c>
      <c r="BN1852">
        <v>62.86</v>
      </c>
      <c r="BO1852">
        <v>62.86</v>
      </c>
      <c r="BQ1852" t="s">
        <v>2159</v>
      </c>
      <c r="BR1852" t="s">
        <v>84</v>
      </c>
      <c r="BS1852" s="3">
        <v>45796</v>
      </c>
      <c r="BT1852" s="4">
        <v>0.36666666666666664</v>
      </c>
      <c r="BU1852" t="s">
        <v>2160</v>
      </c>
      <c r="BV1852" t="s">
        <v>86</v>
      </c>
      <c r="BY1852">
        <v>1200</v>
      </c>
      <c r="CA1852" t="s">
        <v>765</v>
      </c>
      <c r="CC1852" t="s">
        <v>144</v>
      </c>
      <c r="CD1852">
        <v>1422</v>
      </c>
      <c r="CE1852" t="s">
        <v>88</v>
      </c>
      <c r="CF1852" s="3">
        <v>45796</v>
      </c>
      <c r="CI1852">
        <v>1</v>
      </c>
      <c r="CJ1852">
        <v>1</v>
      </c>
      <c r="CK1852">
        <v>22</v>
      </c>
      <c r="CL1852" t="s">
        <v>89</v>
      </c>
    </row>
    <row r="1853" spans="1:90" x14ac:dyDescent="0.3">
      <c r="A1853" t="s">
        <v>72</v>
      </c>
      <c r="B1853" t="s">
        <v>73</v>
      </c>
      <c r="C1853" t="s">
        <v>74</v>
      </c>
      <c r="E1853" t="str">
        <f>"080065410626"</f>
        <v>080065410626</v>
      </c>
      <c r="F1853" s="3">
        <v>45793</v>
      </c>
      <c r="G1853">
        <v>202602</v>
      </c>
      <c r="H1853" t="s">
        <v>75</v>
      </c>
      <c r="I1853" t="s">
        <v>76</v>
      </c>
      <c r="J1853" t="s">
        <v>77</v>
      </c>
      <c r="K1853" t="s">
        <v>78</v>
      </c>
      <c r="L1853" t="s">
        <v>117</v>
      </c>
      <c r="M1853" t="s">
        <v>118</v>
      </c>
      <c r="N1853" t="s">
        <v>1256</v>
      </c>
      <c r="O1853" t="s">
        <v>82</v>
      </c>
      <c r="P1853" t="str">
        <f>"4170038970                    "</f>
        <v xml:space="preserve">4170038970                    </v>
      </c>
      <c r="Q1853">
        <v>0</v>
      </c>
      <c r="R1853">
        <v>0</v>
      </c>
      <c r="S1853">
        <v>0</v>
      </c>
      <c r="T1853">
        <v>0</v>
      </c>
      <c r="U1853">
        <v>0</v>
      </c>
      <c r="V1853">
        <v>0</v>
      </c>
      <c r="W1853">
        <v>0</v>
      </c>
      <c r="X1853">
        <v>0</v>
      </c>
      <c r="Y1853">
        <v>0</v>
      </c>
      <c r="Z1853">
        <v>0</v>
      </c>
      <c r="AA1853">
        <v>0</v>
      </c>
      <c r="AB1853">
        <v>0</v>
      </c>
      <c r="AC1853">
        <v>0</v>
      </c>
      <c r="AD1853">
        <v>0</v>
      </c>
      <c r="AE1853">
        <v>0</v>
      </c>
      <c r="AF1853">
        <v>0</v>
      </c>
      <c r="AG1853">
        <v>0</v>
      </c>
      <c r="AH1853">
        <v>0</v>
      </c>
      <c r="AI1853">
        <v>0</v>
      </c>
      <c r="AJ1853">
        <v>0</v>
      </c>
      <c r="AK1853">
        <v>0</v>
      </c>
      <c r="AL1853">
        <v>0</v>
      </c>
      <c r="AM1853">
        <v>0</v>
      </c>
      <c r="AN1853">
        <v>0</v>
      </c>
      <c r="AO1853">
        <v>0</v>
      </c>
      <c r="AP1853">
        <v>0</v>
      </c>
      <c r="AQ1853">
        <v>16.7</v>
      </c>
      <c r="AR1853">
        <v>0</v>
      </c>
      <c r="AS1853">
        <v>0</v>
      </c>
      <c r="AT1853">
        <v>0</v>
      </c>
      <c r="AU1853">
        <v>0</v>
      </c>
      <c r="AV1853">
        <v>0</v>
      </c>
      <c r="AW1853">
        <v>0</v>
      </c>
      <c r="AX1853">
        <v>0</v>
      </c>
      <c r="AY1853">
        <v>0</v>
      </c>
      <c r="AZ1853">
        <v>0</v>
      </c>
      <c r="BA1853">
        <v>0</v>
      </c>
      <c r="BB1853">
        <v>0</v>
      </c>
      <c r="BC1853">
        <v>0</v>
      </c>
      <c r="BD1853">
        <v>0</v>
      </c>
      <c r="BE1853">
        <v>0</v>
      </c>
      <c r="BF1853">
        <v>0</v>
      </c>
      <c r="BG1853">
        <v>0</v>
      </c>
      <c r="BH1853">
        <v>1</v>
      </c>
      <c r="BI1853">
        <v>1</v>
      </c>
      <c r="BJ1853">
        <v>0.2</v>
      </c>
      <c r="BK1853">
        <v>1</v>
      </c>
      <c r="BL1853">
        <v>54.66</v>
      </c>
      <c r="BM1853">
        <v>8.1999999999999993</v>
      </c>
      <c r="BN1853">
        <v>62.86</v>
      </c>
      <c r="BO1853">
        <v>62.86</v>
      </c>
      <c r="BQ1853" t="s">
        <v>1257</v>
      </c>
      <c r="BR1853" t="s">
        <v>84</v>
      </c>
      <c r="BS1853" s="3">
        <v>45794</v>
      </c>
      <c r="BT1853" s="4">
        <v>0.46805555555555556</v>
      </c>
      <c r="BU1853" t="s">
        <v>2185</v>
      </c>
      <c r="BV1853" t="s">
        <v>86</v>
      </c>
      <c r="BY1853">
        <v>1200</v>
      </c>
      <c r="CA1853" t="s">
        <v>2385</v>
      </c>
      <c r="CC1853" t="s">
        <v>118</v>
      </c>
      <c r="CD1853">
        <v>2192</v>
      </c>
      <c r="CE1853" t="s">
        <v>88</v>
      </c>
      <c r="CF1853" s="3">
        <v>45796</v>
      </c>
      <c r="CI1853">
        <v>1</v>
      </c>
      <c r="CJ1853">
        <v>0</v>
      </c>
      <c r="CK1853">
        <v>22</v>
      </c>
      <c r="CL1853" t="s">
        <v>89</v>
      </c>
    </row>
    <row r="1854" spans="1:90" x14ac:dyDescent="0.3">
      <c r="A1854" t="s">
        <v>72</v>
      </c>
      <c r="B1854" t="s">
        <v>73</v>
      </c>
      <c r="C1854" t="s">
        <v>74</v>
      </c>
      <c r="E1854" t="str">
        <f>"080065410659"</f>
        <v>080065410659</v>
      </c>
      <c r="F1854" s="3">
        <v>45793</v>
      </c>
      <c r="G1854">
        <v>202602</v>
      </c>
      <c r="H1854" t="s">
        <v>75</v>
      </c>
      <c r="I1854" t="s">
        <v>76</v>
      </c>
      <c r="J1854" t="s">
        <v>77</v>
      </c>
      <c r="K1854" t="s">
        <v>78</v>
      </c>
      <c r="L1854" t="s">
        <v>90</v>
      </c>
      <c r="M1854" t="s">
        <v>91</v>
      </c>
      <c r="N1854" t="s">
        <v>841</v>
      </c>
      <c r="O1854" t="s">
        <v>82</v>
      </c>
      <c r="P1854" t="str">
        <f>"4170039064                    "</f>
        <v xml:space="preserve">4170039064                    </v>
      </c>
      <c r="Q1854">
        <v>0</v>
      </c>
      <c r="R1854">
        <v>0</v>
      </c>
      <c r="S1854">
        <v>0</v>
      </c>
      <c r="T1854">
        <v>0</v>
      </c>
      <c r="U1854">
        <v>0</v>
      </c>
      <c r="V1854">
        <v>0</v>
      </c>
      <c r="W1854">
        <v>0</v>
      </c>
      <c r="X1854">
        <v>0</v>
      </c>
      <c r="Y1854">
        <v>0</v>
      </c>
      <c r="Z1854">
        <v>0</v>
      </c>
      <c r="AA1854">
        <v>0</v>
      </c>
      <c r="AB1854">
        <v>0</v>
      </c>
      <c r="AC1854">
        <v>0</v>
      </c>
      <c r="AD1854">
        <v>0</v>
      </c>
      <c r="AE1854">
        <v>0</v>
      </c>
      <c r="AF1854">
        <v>0</v>
      </c>
      <c r="AG1854">
        <v>0</v>
      </c>
      <c r="AH1854">
        <v>0</v>
      </c>
      <c r="AI1854">
        <v>0</v>
      </c>
      <c r="AJ1854">
        <v>0</v>
      </c>
      <c r="AK1854">
        <v>0</v>
      </c>
      <c r="AL1854">
        <v>0</v>
      </c>
      <c r="AM1854">
        <v>0</v>
      </c>
      <c r="AN1854">
        <v>0</v>
      </c>
      <c r="AO1854">
        <v>0</v>
      </c>
      <c r="AP1854">
        <v>0</v>
      </c>
      <c r="AQ1854">
        <v>21.38</v>
      </c>
      <c r="AR1854">
        <v>0</v>
      </c>
      <c r="AS1854">
        <v>0</v>
      </c>
      <c r="AT1854">
        <v>0</v>
      </c>
      <c r="AU1854">
        <v>0</v>
      </c>
      <c r="AV1854">
        <v>0</v>
      </c>
      <c r="AW1854">
        <v>0</v>
      </c>
      <c r="AX1854">
        <v>0</v>
      </c>
      <c r="AY1854">
        <v>0</v>
      </c>
      <c r="AZ1854">
        <v>0</v>
      </c>
      <c r="BA1854">
        <v>0</v>
      </c>
      <c r="BB1854">
        <v>0</v>
      </c>
      <c r="BC1854">
        <v>0</v>
      </c>
      <c r="BD1854">
        <v>0</v>
      </c>
      <c r="BE1854">
        <v>0</v>
      </c>
      <c r="BF1854">
        <v>0</v>
      </c>
      <c r="BG1854">
        <v>0</v>
      </c>
      <c r="BH1854">
        <v>1</v>
      </c>
      <c r="BI1854">
        <v>1</v>
      </c>
      <c r="BJ1854">
        <v>0.2</v>
      </c>
      <c r="BK1854">
        <v>1</v>
      </c>
      <c r="BL1854">
        <v>69.98</v>
      </c>
      <c r="BM1854">
        <v>10.5</v>
      </c>
      <c r="BN1854">
        <v>80.48</v>
      </c>
      <c r="BO1854">
        <v>80.48</v>
      </c>
      <c r="BQ1854" t="s">
        <v>842</v>
      </c>
      <c r="BR1854" t="s">
        <v>84</v>
      </c>
      <c r="BS1854" s="3">
        <v>45796</v>
      </c>
      <c r="BT1854" s="4">
        <v>0.42152777777777778</v>
      </c>
      <c r="BU1854" t="s">
        <v>1626</v>
      </c>
      <c r="BV1854" t="s">
        <v>86</v>
      </c>
      <c r="BY1854">
        <v>1200</v>
      </c>
      <c r="CC1854" t="s">
        <v>91</v>
      </c>
      <c r="CD1854">
        <v>6001</v>
      </c>
      <c r="CE1854" t="s">
        <v>88</v>
      </c>
      <c r="CF1854" s="3">
        <v>45796</v>
      </c>
      <c r="CI1854">
        <v>1</v>
      </c>
      <c r="CJ1854">
        <v>1</v>
      </c>
      <c r="CK1854">
        <v>21</v>
      </c>
      <c r="CL1854" t="s">
        <v>89</v>
      </c>
    </row>
    <row r="1855" spans="1:90" x14ac:dyDescent="0.3">
      <c r="A1855" t="s">
        <v>72</v>
      </c>
      <c r="B1855" t="s">
        <v>73</v>
      </c>
      <c r="C1855" t="s">
        <v>74</v>
      </c>
      <c r="E1855" t="str">
        <f>"080065410708"</f>
        <v>080065410708</v>
      </c>
      <c r="F1855" s="3">
        <v>45793</v>
      </c>
      <c r="G1855">
        <v>202602</v>
      </c>
      <c r="H1855" t="s">
        <v>75</v>
      </c>
      <c r="I1855" t="s">
        <v>76</v>
      </c>
      <c r="J1855" t="s">
        <v>77</v>
      </c>
      <c r="K1855" t="s">
        <v>78</v>
      </c>
      <c r="L1855" t="s">
        <v>526</v>
      </c>
      <c r="M1855" t="s">
        <v>527</v>
      </c>
      <c r="N1855" t="s">
        <v>528</v>
      </c>
      <c r="O1855" t="s">
        <v>82</v>
      </c>
      <c r="P1855" t="str">
        <f>"4170038993                    "</f>
        <v xml:space="preserve">4170038993                    </v>
      </c>
      <c r="Q1855">
        <v>0</v>
      </c>
      <c r="R1855">
        <v>0</v>
      </c>
      <c r="S1855">
        <v>0</v>
      </c>
      <c r="T1855">
        <v>0</v>
      </c>
      <c r="U1855">
        <v>0</v>
      </c>
      <c r="V1855">
        <v>0</v>
      </c>
      <c r="W1855">
        <v>0</v>
      </c>
      <c r="X1855">
        <v>0</v>
      </c>
      <c r="Y1855">
        <v>0</v>
      </c>
      <c r="Z1855">
        <v>0</v>
      </c>
      <c r="AA1855">
        <v>0</v>
      </c>
      <c r="AB1855">
        <v>0</v>
      </c>
      <c r="AC1855">
        <v>0</v>
      </c>
      <c r="AD1855">
        <v>0</v>
      </c>
      <c r="AE1855">
        <v>0</v>
      </c>
      <c r="AF1855">
        <v>0</v>
      </c>
      <c r="AG1855">
        <v>0</v>
      </c>
      <c r="AH1855">
        <v>0</v>
      </c>
      <c r="AI1855">
        <v>0</v>
      </c>
      <c r="AJ1855">
        <v>0</v>
      </c>
      <c r="AK1855">
        <v>0</v>
      </c>
      <c r="AL1855">
        <v>0</v>
      </c>
      <c r="AM1855">
        <v>0</v>
      </c>
      <c r="AN1855">
        <v>0</v>
      </c>
      <c r="AO1855">
        <v>0</v>
      </c>
      <c r="AP1855">
        <v>0</v>
      </c>
      <c r="AQ1855">
        <v>30.07</v>
      </c>
      <c r="AR1855">
        <v>0</v>
      </c>
      <c r="AS1855">
        <v>0</v>
      </c>
      <c r="AT1855">
        <v>0</v>
      </c>
      <c r="AU1855">
        <v>0</v>
      </c>
      <c r="AV1855">
        <v>0</v>
      </c>
      <c r="AW1855">
        <v>0</v>
      </c>
      <c r="AX1855">
        <v>0</v>
      </c>
      <c r="AY1855">
        <v>0</v>
      </c>
      <c r="AZ1855">
        <v>0</v>
      </c>
      <c r="BA1855">
        <v>0</v>
      </c>
      <c r="BB1855">
        <v>0</v>
      </c>
      <c r="BC1855">
        <v>0</v>
      </c>
      <c r="BD1855">
        <v>0</v>
      </c>
      <c r="BE1855">
        <v>0</v>
      </c>
      <c r="BF1855">
        <v>0</v>
      </c>
      <c r="BG1855">
        <v>0</v>
      </c>
      <c r="BH1855">
        <v>1</v>
      </c>
      <c r="BI1855">
        <v>1</v>
      </c>
      <c r="BJ1855">
        <v>0.2</v>
      </c>
      <c r="BK1855">
        <v>1</v>
      </c>
      <c r="BL1855">
        <v>98.42</v>
      </c>
      <c r="BM1855">
        <v>14.76</v>
      </c>
      <c r="BN1855">
        <v>113.18</v>
      </c>
      <c r="BO1855">
        <v>113.18</v>
      </c>
      <c r="BQ1855" t="s">
        <v>529</v>
      </c>
      <c r="BR1855" t="s">
        <v>84</v>
      </c>
      <c r="BS1855" s="3">
        <v>45796</v>
      </c>
      <c r="BT1855" s="4">
        <v>0.45277777777777778</v>
      </c>
      <c r="BU1855" t="s">
        <v>2386</v>
      </c>
      <c r="BV1855" t="s">
        <v>86</v>
      </c>
      <c r="BY1855">
        <v>1200</v>
      </c>
      <c r="CA1855" t="s">
        <v>2387</v>
      </c>
      <c r="CC1855" t="s">
        <v>527</v>
      </c>
      <c r="CD1855">
        <v>1760</v>
      </c>
      <c r="CE1855" t="s">
        <v>88</v>
      </c>
      <c r="CF1855" s="3">
        <v>45796</v>
      </c>
      <c r="CI1855">
        <v>1</v>
      </c>
      <c r="CJ1855">
        <v>1</v>
      </c>
      <c r="CK1855">
        <v>24</v>
      </c>
      <c r="CL1855" t="s">
        <v>89</v>
      </c>
    </row>
    <row r="1856" spans="1:90" x14ac:dyDescent="0.3">
      <c r="A1856" t="s">
        <v>72</v>
      </c>
      <c r="B1856" t="s">
        <v>73</v>
      </c>
      <c r="C1856" t="s">
        <v>74</v>
      </c>
      <c r="E1856" t="str">
        <f>"080065410748"</f>
        <v>080065410748</v>
      </c>
      <c r="F1856" s="3">
        <v>45793</v>
      </c>
      <c r="G1856">
        <v>202602</v>
      </c>
      <c r="H1856" t="s">
        <v>75</v>
      </c>
      <c r="I1856" t="s">
        <v>76</v>
      </c>
      <c r="J1856" t="s">
        <v>77</v>
      </c>
      <c r="K1856" t="s">
        <v>78</v>
      </c>
      <c r="L1856" t="s">
        <v>151</v>
      </c>
      <c r="M1856" t="s">
        <v>152</v>
      </c>
      <c r="N1856" t="s">
        <v>124</v>
      </c>
      <c r="O1856" t="s">
        <v>82</v>
      </c>
      <c r="P1856" t="str">
        <f>"4170039008                    "</f>
        <v xml:space="preserve">4170039008                    </v>
      </c>
      <c r="Q1856">
        <v>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c r="AJ1856">
        <v>0</v>
      </c>
      <c r="AK1856">
        <v>0</v>
      </c>
      <c r="AL1856">
        <v>0</v>
      </c>
      <c r="AM1856">
        <v>0</v>
      </c>
      <c r="AN1856">
        <v>0</v>
      </c>
      <c r="AO1856">
        <v>0</v>
      </c>
      <c r="AP1856">
        <v>0</v>
      </c>
      <c r="AQ1856">
        <v>41.43</v>
      </c>
      <c r="AR1856">
        <v>0</v>
      </c>
      <c r="AS1856">
        <v>0</v>
      </c>
      <c r="AT1856">
        <v>0</v>
      </c>
      <c r="AU1856">
        <v>0</v>
      </c>
      <c r="AV1856">
        <v>0</v>
      </c>
      <c r="AW1856">
        <v>0</v>
      </c>
      <c r="AX1856">
        <v>0</v>
      </c>
      <c r="AY1856">
        <v>0</v>
      </c>
      <c r="AZ1856">
        <v>0</v>
      </c>
      <c r="BA1856">
        <v>0</v>
      </c>
      <c r="BB1856">
        <v>0</v>
      </c>
      <c r="BC1856">
        <v>0</v>
      </c>
      <c r="BD1856">
        <v>0</v>
      </c>
      <c r="BE1856">
        <v>0</v>
      </c>
      <c r="BF1856">
        <v>0</v>
      </c>
      <c r="BG1856">
        <v>0</v>
      </c>
      <c r="BH1856">
        <v>1</v>
      </c>
      <c r="BI1856">
        <v>1</v>
      </c>
      <c r="BJ1856">
        <v>0.2</v>
      </c>
      <c r="BK1856">
        <v>1</v>
      </c>
      <c r="BL1856">
        <v>135.59</v>
      </c>
      <c r="BM1856">
        <v>20.34</v>
      </c>
      <c r="BN1856">
        <v>155.93</v>
      </c>
      <c r="BO1856">
        <v>155.93</v>
      </c>
      <c r="BQ1856" t="s">
        <v>125</v>
      </c>
      <c r="BR1856" t="s">
        <v>84</v>
      </c>
      <c r="BS1856" s="3">
        <v>45796</v>
      </c>
      <c r="BT1856" s="4">
        <v>0.43680555555555556</v>
      </c>
      <c r="BU1856" t="s">
        <v>2388</v>
      </c>
      <c r="BV1856" t="s">
        <v>86</v>
      </c>
      <c r="BY1856">
        <v>1200</v>
      </c>
      <c r="CA1856" t="s">
        <v>156</v>
      </c>
      <c r="CC1856" t="s">
        <v>152</v>
      </c>
      <c r="CD1856">
        <v>1900</v>
      </c>
      <c r="CE1856" t="s">
        <v>88</v>
      </c>
      <c r="CF1856" s="3">
        <v>45796</v>
      </c>
      <c r="CI1856">
        <v>1</v>
      </c>
      <c r="CJ1856">
        <v>1</v>
      </c>
      <c r="CK1856">
        <v>23</v>
      </c>
      <c r="CL1856" t="s">
        <v>89</v>
      </c>
    </row>
    <row r="1857" spans="1:90" x14ac:dyDescent="0.3">
      <c r="A1857" t="s">
        <v>72</v>
      </c>
      <c r="B1857" t="s">
        <v>73</v>
      </c>
      <c r="C1857" t="s">
        <v>74</v>
      </c>
      <c r="E1857" t="str">
        <f>"080065410776"</f>
        <v>080065410776</v>
      </c>
      <c r="F1857" s="3">
        <v>45793</v>
      </c>
      <c r="G1857">
        <v>202602</v>
      </c>
      <c r="H1857" t="s">
        <v>75</v>
      </c>
      <c r="I1857" t="s">
        <v>76</v>
      </c>
      <c r="J1857" t="s">
        <v>77</v>
      </c>
      <c r="K1857" t="s">
        <v>78</v>
      </c>
      <c r="L1857" t="s">
        <v>136</v>
      </c>
      <c r="M1857" t="s">
        <v>137</v>
      </c>
      <c r="N1857" t="s">
        <v>138</v>
      </c>
      <c r="O1857" t="s">
        <v>82</v>
      </c>
      <c r="P1857" t="str">
        <f>"4170038986                    "</f>
        <v xml:space="preserve">4170038986                    </v>
      </c>
      <c r="Q1857">
        <v>0</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c r="AJ1857">
        <v>0</v>
      </c>
      <c r="AK1857">
        <v>0</v>
      </c>
      <c r="AL1857">
        <v>0</v>
      </c>
      <c r="AM1857">
        <v>0</v>
      </c>
      <c r="AN1857">
        <v>0</v>
      </c>
      <c r="AO1857">
        <v>0</v>
      </c>
      <c r="AP1857">
        <v>0</v>
      </c>
      <c r="AQ1857">
        <v>21.38</v>
      </c>
      <c r="AR1857">
        <v>0</v>
      </c>
      <c r="AS1857">
        <v>0</v>
      </c>
      <c r="AT1857">
        <v>0</v>
      </c>
      <c r="AU1857">
        <v>0</v>
      </c>
      <c r="AV1857">
        <v>0</v>
      </c>
      <c r="AW1857">
        <v>0</v>
      </c>
      <c r="AX1857">
        <v>0</v>
      </c>
      <c r="AY1857">
        <v>0</v>
      </c>
      <c r="AZ1857">
        <v>0</v>
      </c>
      <c r="BA1857">
        <v>0</v>
      </c>
      <c r="BB1857">
        <v>0</v>
      </c>
      <c r="BC1857">
        <v>0</v>
      </c>
      <c r="BD1857">
        <v>0</v>
      </c>
      <c r="BE1857">
        <v>0</v>
      </c>
      <c r="BF1857">
        <v>0</v>
      </c>
      <c r="BG1857">
        <v>0</v>
      </c>
      <c r="BH1857">
        <v>1</v>
      </c>
      <c r="BI1857">
        <v>1</v>
      </c>
      <c r="BJ1857">
        <v>0.2</v>
      </c>
      <c r="BK1857">
        <v>1</v>
      </c>
      <c r="BL1857">
        <v>69.98</v>
      </c>
      <c r="BM1857">
        <v>10.5</v>
      </c>
      <c r="BN1857">
        <v>80.48</v>
      </c>
      <c r="BO1857">
        <v>80.48</v>
      </c>
      <c r="BQ1857" t="s">
        <v>139</v>
      </c>
      <c r="BR1857" t="s">
        <v>84</v>
      </c>
      <c r="BS1857" s="3">
        <v>45796</v>
      </c>
      <c r="BT1857" s="4">
        <v>0.43402777777777779</v>
      </c>
      <c r="BU1857" t="s">
        <v>1844</v>
      </c>
      <c r="BV1857" t="s">
        <v>86</v>
      </c>
      <c r="BY1857">
        <v>1200</v>
      </c>
      <c r="CC1857" t="s">
        <v>137</v>
      </c>
      <c r="CD1857" s="5" t="s">
        <v>142</v>
      </c>
      <c r="CE1857" t="s">
        <v>88</v>
      </c>
      <c r="CF1857" s="3">
        <v>45796</v>
      </c>
      <c r="CI1857">
        <v>1</v>
      </c>
      <c r="CJ1857">
        <v>1</v>
      </c>
      <c r="CK1857">
        <v>21</v>
      </c>
      <c r="CL1857" t="s">
        <v>89</v>
      </c>
    </row>
    <row r="1858" spans="1:90" x14ac:dyDescent="0.3">
      <c r="A1858" t="s">
        <v>72</v>
      </c>
      <c r="B1858" t="s">
        <v>73</v>
      </c>
      <c r="C1858" t="s">
        <v>74</v>
      </c>
      <c r="E1858" t="str">
        <f>"080065410812"</f>
        <v>080065410812</v>
      </c>
      <c r="F1858" s="3">
        <v>45793</v>
      </c>
      <c r="G1858">
        <v>202602</v>
      </c>
      <c r="H1858" t="s">
        <v>75</v>
      </c>
      <c r="I1858" t="s">
        <v>76</v>
      </c>
      <c r="J1858" t="s">
        <v>77</v>
      </c>
      <c r="K1858" t="s">
        <v>78</v>
      </c>
      <c r="L1858" t="s">
        <v>143</v>
      </c>
      <c r="M1858" t="s">
        <v>144</v>
      </c>
      <c r="N1858" t="s">
        <v>547</v>
      </c>
      <c r="O1858" t="s">
        <v>82</v>
      </c>
      <c r="P1858" t="str">
        <f>"4170039099                    "</f>
        <v xml:space="preserve">4170039099                    </v>
      </c>
      <c r="Q1858">
        <v>0</v>
      </c>
      <c r="R1858">
        <v>0</v>
      </c>
      <c r="S1858">
        <v>0</v>
      </c>
      <c r="T1858">
        <v>0</v>
      </c>
      <c r="U1858">
        <v>0</v>
      </c>
      <c r="V1858">
        <v>0</v>
      </c>
      <c r="W1858">
        <v>0</v>
      </c>
      <c r="X1858">
        <v>0</v>
      </c>
      <c r="Y1858">
        <v>0</v>
      </c>
      <c r="Z1858">
        <v>0</v>
      </c>
      <c r="AA1858">
        <v>0</v>
      </c>
      <c r="AB1858">
        <v>0</v>
      </c>
      <c r="AC1858">
        <v>0</v>
      </c>
      <c r="AD1858">
        <v>0</v>
      </c>
      <c r="AE1858">
        <v>0</v>
      </c>
      <c r="AF1858">
        <v>0</v>
      </c>
      <c r="AG1858">
        <v>0</v>
      </c>
      <c r="AH1858">
        <v>0</v>
      </c>
      <c r="AI1858">
        <v>0</v>
      </c>
      <c r="AJ1858">
        <v>0</v>
      </c>
      <c r="AK1858">
        <v>0</v>
      </c>
      <c r="AL1858">
        <v>0</v>
      </c>
      <c r="AM1858">
        <v>0</v>
      </c>
      <c r="AN1858">
        <v>0</v>
      </c>
      <c r="AO1858">
        <v>0</v>
      </c>
      <c r="AP1858">
        <v>0</v>
      </c>
      <c r="AQ1858">
        <v>16.7</v>
      </c>
      <c r="AR1858">
        <v>0</v>
      </c>
      <c r="AS1858">
        <v>0</v>
      </c>
      <c r="AT1858">
        <v>0</v>
      </c>
      <c r="AU1858">
        <v>0</v>
      </c>
      <c r="AV1858">
        <v>0</v>
      </c>
      <c r="AW1858">
        <v>0</v>
      </c>
      <c r="AX1858">
        <v>0</v>
      </c>
      <c r="AY1858">
        <v>0</v>
      </c>
      <c r="AZ1858">
        <v>0</v>
      </c>
      <c r="BA1858">
        <v>0</v>
      </c>
      <c r="BB1858">
        <v>0</v>
      </c>
      <c r="BC1858">
        <v>0</v>
      </c>
      <c r="BD1858">
        <v>0</v>
      </c>
      <c r="BE1858">
        <v>0</v>
      </c>
      <c r="BF1858">
        <v>0</v>
      </c>
      <c r="BG1858">
        <v>0</v>
      </c>
      <c r="BH1858">
        <v>1</v>
      </c>
      <c r="BI1858">
        <v>1</v>
      </c>
      <c r="BJ1858">
        <v>0.2</v>
      </c>
      <c r="BK1858">
        <v>1</v>
      </c>
      <c r="BL1858">
        <v>54.66</v>
      </c>
      <c r="BM1858">
        <v>8.1999999999999993</v>
      </c>
      <c r="BN1858">
        <v>62.86</v>
      </c>
      <c r="BO1858">
        <v>62.86</v>
      </c>
      <c r="BQ1858" t="s">
        <v>548</v>
      </c>
      <c r="BR1858" t="s">
        <v>84</v>
      </c>
      <c r="BS1858" s="3">
        <v>45796</v>
      </c>
      <c r="BT1858" s="4">
        <v>0.375</v>
      </c>
      <c r="BU1858" t="s">
        <v>407</v>
      </c>
      <c r="BV1858" t="s">
        <v>86</v>
      </c>
      <c r="BY1858">
        <v>1200</v>
      </c>
      <c r="CA1858" t="s">
        <v>825</v>
      </c>
      <c r="CC1858" t="s">
        <v>144</v>
      </c>
      <c r="CD1858">
        <v>1401</v>
      </c>
      <c r="CE1858" t="s">
        <v>88</v>
      </c>
      <c r="CF1858" s="3">
        <v>45796</v>
      </c>
      <c r="CI1858">
        <v>1</v>
      </c>
      <c r="CJ1858">
        <v>1</v>
      </c>
      <c r="CK1858">
        <v>22</v>
      </c>
      <c r="CL1858" t="s">
        <v>89</v>
      </c>
    </row>
    <row r="1859" spans="1:90" x14ac:dyDescent="0.3">
      <c r="A1859" t="s">
        <v>72</v>
      </c>
      <c r="B1859" t="s">
        <v>73</v>
      </c>
      <c r="C1859" t="s">
        <v>74</v>
      </c>
      <c r="E1859" t="str">
        <f>"080065410844"</f>
        <v>080065410844</v>
      </c>
      <c r="F1859" s="3">
        <v>45793</v>
      </c>
      <c r="G1859">
        <v>202602</v>
      </c>
      <c r="H1859" t="s">
        <v>75</v>
      </c>
      <c r="I1859" t="s">
        <v>76</v>
      </c>
      <c r="J1859" t="s">
        <v>77</v>
      </c>
      <c r="K1859" t="s">
        <v>78</v>
      </c>
      <c r="L1859" t="s">
        <v>117</v>
      </c>
      <c r="M1859" t="s">
        <v>118</v>
      </c>
      <c r="N1859" t="s">
        <v>2389</v>
      </c>
      <c r="O1859" t="s">
        <v>82</v>
      </c>
      <c r="P1859" t="str">
        <f>"4170039024                    "</f>
        <v xml:space="preserve">4170039024                    </v>
      </c>
      <c r="Q1859">
        <v>0</v>
      </c>
      <c r="R1859">
        <v>0</v>
      </c>
      <c r="S1859">
        <v>0</v>
      </c>
      <c r="T1859">
        <v>0</v>
      </c>
      <c r="U1859">
        <v>0</v>
      </c>
      <c r="V1859">
        <v>0</v>
      </c>
      <c r="W1859">
        <v>0</v>
      </c>
      <c r="X1859">
        <v>0</v>
      </c>
      <c r="Y1859">
        <v>0</v>
      </c>
      <c r="Z1859">
        <v>0</v>
      </c>
      <c r="AA1859">
        <v>0</v>
      </c>
      <c r="AB1859">
        <v>0</v>
      </c>
      <c r="AC1859">
        <v>0</v>
      </c>
      <c r="AD1859">
        <v>0</v>
      </c>
      <c r="AE1859">
        <v>0</v>
      </c>
      <c r="AF1859">
        <v>0</v>
      </c>
      <c r="AG1859">
        <v>0</v>
      </c>
      <c r="AH1859">
        <v>0</v>
      </c>
      <c r="AI1859">
        <v>0</v>
      </c>
      <c r="AJ1859">
        <v>0</v>
      </c>
      <c r="AK1859">
        <v>0</v>
      </c>
      <c r="AL1859">
        <v>0</v>
      </c>
      <c r="AM1859">
        <v>0</v>
      </c>
      <c r="AN1859">
        <v>0</v>
      </c>
      <c r="AO1859">
        <v>0</v>
      </c>
      <c r="AP1859">
        <v>0</v>
      </c>
      <c r="AQ1859">
        <v>16.7</v>
      </c>
      <c r="AR1859">
        <v>0</v>
      </c>
      <c r="AS1859">
        <v>0</v>
      </c>
      <c r="AT1859">
        <v>0</v>
      </c>
      <c r="AU1859">
        <v>0</v>
      </c>
      <c r="AV1859">
        <v>0</v>
      </c>
      <c r="AW1859">
        <v>0</v>
      </c>
      <c r="AX1859">
        <v>0</v>
      </c>
      <c r="AY1859">
        <v>0</v>
      </c>
      <c r="AZ1859">
        <v>0</v>
      </c>
      <c r="BA1859">
        <v>0</v>
      </c>
      <c r="BB1859">
        <v>0</v>
      </c>
      <c r="BC1859">
        <v>0</v>
      </c>
      <c r="BD1859">
        <v>0</v>
      </c>
      <c r="BE1859">
        <v>0</v>
      </c>
      <c r="BF1859">
        <v>0</v>
      </c>
      <c r="BG1859">
        <v>0</v>
      </c>
      <c r="BH1859">
        <v>1</v>
      </c>
      <c r="BI1859">
        <v>1</v>
      </c>
      <c r="BJ1859">
        <v>0.2</v>
      </c>
      <c r="BK1859">
        <v>1</v>
      </c>
      <c r="BL1859">
        <v>54.66</v>
      </c>
      <c r="BM1859">
        <v>8.1999999999999993</v>
      </c>
      <c r="BN1859">
        <v>62.86</v>
      </c>
      <c r="BO1859">
        <v>62.86</v>
      </c>
      <c r="BQ1859" t="s">
        <v>2390</v>
      </c>
      <c r="BR1859" t="s">
        <v>84</v>
      </c>
      <c r="BS1859" s="3">
        <v>45796</v>
      </c>
      <c r="BT1859" s="4">
        <v>0.43194444444444446</v>
      </c>
      <c r="BU1859" t="s">
        <v>2391</v>
      </c>
      <c r="BV1859" t="s">
        <v>86</v>
      </c>
      <c r="BY1859">
        <v>1200</v>
      </c>
      <c r="CA1859" t="s">
        <v>275</v>
      </c>
      <c r="CC1859" t="s">
        <v>118</v>
      </c>
      <c r="CD1859">
        <v>2091</v>
      </c>
      <c r="CE1859" t="s">
        <v>88</v>
      </c>
      <c r="CF1859" s="3">
        <v>45796</v>
      </c>
      <c r="CI1859">
        <v>1</v>
      </c>
      <c r="CJ1859">
        <v>1</v>
      </c>
      <c r="CK1859">
        <v>22</v>
      </c>
      <c r="CL1859" t="s">
        <v>89</v>
      </c>
    </row>
    <row r="1860" spans="1:90" x14ac:dyDescent="0.3">
      <c r="A1860" t="s">
        <v>72</v>
      </c>
      <c r="B1860" t="s">
        <v>73</v>
      </c>
      <c r="C1860" t="s">
        <v>74</v>
      </c>
      <c r="E1860" t="str">
        <f>"080065410886"</f>
        <v>080065410886</v>
      </c>
      <c r="F1860" s="3">
        <v>45793</v>
      </c>
      <c r="G1860">
        <v>202602</v>
      </c>
      <c r="H1860" t="s">
        <v>75</v>
      </c>
      <c r="I1860" t="s">
        <v>76</v>
      </c>
      <c r="J1860" t="s">
        <v>77</v>
      </c>
      <c r="K1860" t="s">
        <v>78</v>
      </c>
      <c r="L1860" t="s">
        <v>97</v>
      </c>
      <c r="M1860" t="s">
        <v>98</v>
      </c>
      <c r="N1860" t="s">
        <v>1859</v>
      </c>
      <c r="O1860" t="s">
        <v>82</v>
      </c>
      <c r="P1860" t="str">
        <f>"4170039017                    "</f>
        <v xml:space="preserve">4170039017                    </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0</v>
      </c>
      <c r="AK1860">
        <v>0</v>
      </c>
      <c r="AL1860">
        <v>0</v>
      </c>
      <c r="AM1860">
        <v>0</v>
      </c>
      <c r="AN1860">
        <v>0</v>
      </c>
      <c r="AO1860">
        <v>0</v>
      </c>
      <c r="AP1860">
        <v>0</v>
      </c>
      <c r="AQ1860">
        <v>16.7</v>
      </c>
      <c r="AR1860">
        <v>0</v>
      </c>
      <c r="AS1860">
        <v>0</v>
      </c>
      <c r="AT1860">
        <v>0</v>
      </c>
      <c r="AU1860">
        <v>0</v>
      </c>
      <c r="AV1860">
        <v>0</v>
      </c>
      <c r="AW1860">
        <v>0</v>
      </c>
      <c r="AX1860">
        <v>0</v>
      </c>
      <c r="AY1860">
        <v>0</v>
      </c>
      <c r="AZ1860">
        <v>0</v>
      </c>
      <c r="BA1860">
        <v>0</v>
      </c>
      <c r="BB1860">
        <v>0</v>
      </c>
      <c r="BC1860">
        <v>0</v>
      </c>
      <c r="BD1860">
        <v>0</v>
      </c>
      <c r="BE1860">
        <v>0</v>
      </c>
      <c r="BF1860">
        <v>0</v>
      </c>
      <c r="BG1860">
        <v>0</v>
      </c>
      <c r="BH1860">
        <v>1</v>
      </c>
      <c r="BI1860">
        <v>1</v>
      </c>
      <c r="BJ1860">
        <v>1.1000000000000001</v>
      </c>
      <c r="BK1860">
        <v>2</v>
      </c>
      <c r="BL1860">
        <v>54.66</v>
      </c>
      <c r="BM1860">
        <v>8.1999999999999993</v>
      </c>
      <c r="BN1860">
        <v>62.86</v>
      </c>
      <c r="BO1860">
        <v>62.86</v>
      </c>
      <c r="BQ1860" t="s">
        <v>1860</v>
      </c>
      <c r="BR1860" t="s">
        <v>84</v>
      </c>
      <c r="BS1860" s="3">
        <v>45796</v>
      </c>
      <c r="BT1860" s="4">
        <v>0.39583333333333331</v>
      </c>
      <c r="BU1860" t="s">
        <v>1654</v>
      </c>
      <c r="BV1860" t="s">
        <v>86</v>
      </c>
      <c r="BY1860">
        <v>5320</v>
      </c>
      <c r="CA1860" t="s">
        <v>175</v>
      </c>
      <c r="CC1860" t="s">
        <v>98</v>
      </c>
      <c r="CD1860">
        <v>1459</v>
      </c>
      <c r="CE1860" t="s">
        <v>96</v>
      </c>
      <c r="CF1860" s="3">
        <v>45797</v>
      </c>
      <c r="CI1860">
        <v>1</v>
      </c>
      <c r="CJ1860">
        <v>1</v>
      </c>
      <c r="CK1860">
        <v>22</v>
      </c>
      <c r="CL1860" t="s">
        <v>89</v>
      </c>
    </row>
    <row r="1861" spans="1:90" x14ac:dyDescent="0.3">
      <c r="A1861" t="s">
        <v>72</v>
      </c>
      <c r="B1861" t="s">
        <v>73</v>
      </c>
      <c r="C1861" t="s">
        <v>74</v>
      </c>
      <c r="E1861" t="str">
        <f>"080065410927"</f>
        <v>080065410927</v>
      </c>
      <c r="F1861" s="3">
        <v>45793</v>
      </c>
      <c r="G1861">
        <v>202602</v>
      </c>
      <c r="H1861" t="s">
        <v>75</v>
      </c>
      <c r="I1861" t="s">
        <v>76</v>
      </c>
      <c r="J1861" t="s">
        <v>77</v>
      </c>
      <c r="K1861" t="s">
        <v>78</v>
      </c>
      <c r="L1861" t="s">
        <v>143</v>
      </c>
      <c r="M1861" t="s">
        <v>144</v>
      </c>
      <c r="N1861" t="s">
        <v>547</v>
      </c>
      <c r="O1861" t="s">
        <v>82</v>
      </c>
      <c r="P1861" t="str">
        <f>"4170038854                    "</f>
        <v xml:space="preserve">4170038854                    </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c r="AJ1861">
        <v>0</v>
      </c>
      <c r="AK1861">
        <v>0</v>
      </c>
      <c r="AL1861">
        <v>0</v>
      </c>
      <c r="AM1861">
        <v>0</v>
      </c>
      <c r="AN1861">
        <v>0</v>
      </c>
      <c r="AO1861">
        <v>0</v>
      </c>
      <c r="AP1861">
        <v>0</v>
      </c>
      <c r="AQ1861">
        <v>16.7</v>
      </c>
      <c r="AR1861">
        <v>0</v>
      </c>
      <c r="AS1861">
        <v>0</v>
      </c>
      <c r="AT1861">
        <v>0</v>
      </c>
      <c r="AU1861">
        <v>0</v>
      </c>
      <c r="AV1861">
        <v>0</v>
      </c>
      <c r="AW1861">
        <v>0</v>
      </c>
      <c r="AX1861">
        <v>0</v>
      </c>
      <c r="AY1861">
        <v>0</v>
      </c>
      <c r="AZ1861">
        <v>0</v>
      </c>
      <c r="BA1861">
        <v>0</v>
      </c>
      <c r="BB1861">
        <v>0</v>
      </c>
      <c r="BC1861">
        <v>0</v>
      </c>
      <c r="BD1861">
        <v>0</v>
      </c>
      <c r="BE1861">
        <v>0</v>
      </c>
      <c r="BF1861">
        <v>0</v>
      </c>
      <c r="BG1861">
        <v>0</v>
      </c>
      <c r="BH1861">
        <v>1</v>
      </c>
      <c r="BI1861">
        <v>5</v>
      </c>
      <c r="BJ1861">
        <v>1.5</v>
      </c>
      <c r="BK1861">
        <v>5</v>
      </c>
      <c r="BL1861">
        <v>54.66</v>
      </c>
      <c r="BM1861">
        <v>8.1999999999999993</v>
      </c>
      <c r="BN1861">
        <v>62.86</v>
      </c>
      <c r="BO1861">
        <v>62.86</v>
      </c>
      <c r="BQ1861" t="s">
        <v>548</v>
      </c>
      <c r="BR1861" t="s">
        <v>84</v>
      </c>
      <c r="BS1861" s="3">
        <v>45796</v>
      </c>
      <c r="BT1861" s="4">
        <v>0.3888888888888889</v>
      </c>
      <c r="BU1861" t="s">
        <v>407</v>
      </c>
      <c r="BV1861" t="s">
        <v>86</v>
      </c>
      <c r="BY1861">
        <v>7540</v>
      </c>
      <c r="CA1861" t="s">
        <v>825</v>
      </c>
      <c r="CC1861" t="s">
        <v>144</v>
      </c>
      <c r="CD1861">
        <v>1401</v>
      </c>
      <c r="CE1861" t="s">
        <v>96</v>
      </c>
      <c r="CF1861" s="3">
        <v>45796</v>
      </c>
      <c r="CI1861">
        <v>1</v>
      </c>
      <c r="CJ1861">
        <v>1</v>
      </c>
      <c r="CK1861">
        <v>22</v>
      </c>
      <c r="CL1861" t="s">
        <v>89</v>
      </c>
    </row>
    <row r="1862" spans="1:90" x14ac:dyDescent="0.3">
      <c r="A1862" t="s">
        <v>72</v>
      </c>
      <c r="B1862" t="s">
        <v>73</v>
      </c>
      <c r="C1862" t="s">
        <v>74</v>
      </c>
      <c r="E1862" t="str">
        <f>"080065410974"</f>
        <v>080065410974</v>
      </c>
      <c r="F1862" s="3">
        <v>45793</v>
      </c>
      <c r="G1862">
        <v>202602</v>
      </c>
      <c r="H1862" t="s">
        <v>75</v>
      </c>
      <c r="I1862" t="s">
        <v>76</v>
      </c>
      <c r="J1862" t="s">
        <v>77</v>
      </c>
      <c r="K1862" t="s">
        <v>78</v>
      </c>
      <c r="L1862" t="s">
        <v>177</v>
      </c>
      <c r="M1862" t="s">
        <v>178</v>
      </c>
      <c r="N1862" t="s">
        <v>393</v>
      </c>
      <c r="O1862" t="s">
        <v>82</v>
      </c>
      <c r="P1862" t="str">
        <f>"4170038949                    "</f>
        <v xml:space="preserve">4170038949                    </v>
      </c>
      <c r="Q1862">
        <v>0</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c r="AJ1862">
        <v>0</v>
      </c>
      <c r="AK1862">
        <v>0</v>
      </c>
      <c r="AL1862">
        <v>0</v>
      </c>
      <c r="AM1862">
        <v>0</v>
      </c>
      <c r="AN1862">
        <v>0</v>
      </c>
      <c r="AO1862">
        <v>0</v>
      </c>
      <c r="AP1862">
        <v>0</v>
      </c>
      <c r="AQ1862">
        <v>21.38</v>
      </c>
      <c r="AR1862">
        <v>0</v>
      </c>
      <c r="AS1862">
        <v>0</v>
      </c>
      <c r="AT1862">
        <v>0</v>
      </c>
      <c r="AU1862">
        <v>0</v>
      </c>
      <c r="AV1862">
        <v>0</v>
      </c>
      <c r="AW1862">
        <v>0</v>
      </c>
      <c r="AX1862">
        <v>0</v>
      </c>
      <c r="AY1862">
        <v>0</v>
      </c>
      <c r="AZ1862">
        <v>0</v>
      </c>
      <c r="BA1862">
        <v>0</v>
      </c>
      <c r="BB1862">
        <v>0</v>
      </c>
      <c r="BC1862">
        <v>0</v>
      </c>
      <c r="BD1862">
        <v>0</v>
      </c>
      <c r="BE1862">
        <v>0</v>
      </c>
      <c r="BF1862">
        <v>0</v>
      </c>
      <c r="BG1862">
        <v>0</v>
      </c>
      <c r="BH1862">
        <v>1</v>
      </c>
      <c r="BI1862">
        <v>1</v>
      </c>
      <c r="BJ1862">
        <v>1.1000000000000001</v>
      </c>
      <c r="BK1862">
        <v>1.5</v>
      </c>
      <c r="BL1862">
        <v>69.98</v>
      </c>
      <c r="BM1862">
        <v>10.5</v>
      </c>
      <c r="BN1862">
        <v>80.48</v>
      </c>
      <c r="BO1862">
        <v>80.48</v>
      </c>
      <c r="BQ1862" t="s">
        <v>394</v>
      </c>
      <c r="BR1862" t="s">
        <v>84</v>
      </c>
      <c r="BS1862" s="3">
        <v>45796</v>
      </c>
      <c r="BT1862" s="4">
        <v>0.33680555555555558</v>
      </c>
      <c r="BU1862" t="s">
        <v>2345</v>
      </c>
      <c r="BV1862" t="s">
        <v>86</v>
      </c>
      <c r="BY1862">
        <v>5320</v>
      </c>
      <c r="CA1862" t="s">
        <v>182</v>
      </c>
      <c r="CC1862" t="s">
        <v>178</v>
      </c>
      <c r="CD1862">
        <v>6230</v>
      </c>
      <c r="CE1862" t="s">
        <v>96</v>
      </c>
      <c r="CF1862" s="3">
        <v>45796</v>
      </c>
      <c r="CI1862">
        <v>1</v>
      </c>
      <c r="CJ1862">
        <v>1</v>
      </c>
      <c r="CK1862">
        <v>21</v>
      </c>
      <c r="CL1862" t="s">
        <v>89</v>
      </c>
    </row>
    <row r="1863" spans="1:90" x14ac:dyDescent="0.3">
      <c r="A1863" t="s">
        <v>72</v>
      </c>
      <c r="B1863" t="s">
        <v>73</v>
      </c>
      <c r="C1863" t="s">
        <v>74</v>
      </c>
      <c r="E1863" t="str">
        <f>"080065411003"</f>
        <v>080065411003</v>
      </c>
      <c r="F1863" s="3">
        <v>45793</v>
      </c>
      <c r="G1863">
        <v>202602</v>
      </c>
      <c r="H1863" t="s">
        <v>75</v>
      </c>
      <c r="I1863" t="s">
        <v>76</v>
      </c>
      <c r="J1863" t="s">
        <v>77</v>
      </c>
      <c r="K1863" t="s">
        <v>78</v>
      </c>
      <c r="L1863" t="s">
        <v>366</v>
      </c>
      <c r="M1863" t="s">
        <v>367</v>
      </c>
      <c r="N1863" t="s">
        <v>522</v>
      </c>
      <c r="O1863" t="s">
        <v>82</v>
      </c>
      <c r="P1863" t="str">
        <f>"4170038896                    "</f>
        <v xml:space="preserve">4170038896                    </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c r="AJ1863">
        <v>0</v>
      </c>
      <c r="AK1863">
        <v>0</v>
      </c>
      <c r="AL1863">
        <v>0</v>
      </c>
      <c r="AM1863">
        <v>0</v>
      </c>
      <c r="AN1863">
        <v>0</v>
      </c>
      <c r="AO1863">
        <v>0</v>
      </c>
      <c r="AP1863">
        <v>0</v>
      </c>
      <c r="AQ1863">
        <v>30.07</v>
      </c>
      <c r="AR1863">
        <v>0</v>
      </c>
      <c r="AS1863">
        <v>0</v>
      </c>
      <c r="AT1863">
        <v>0</v>
      </c>
      <c r="AU1863">
        <v>0</v>
      </c>
      <c r="AV1863">
        <v>0</v>
      </c>
      <c r="AW1863">
        <v>0</v>
      </c>
      <c r="AX1863">
        <v>0</v>
      </c>
      <c r="AY1863">
        <v>0</v>
      </c>
      <c r="AZ1863">
        <v>0</v>
      </c>
      <c r="BA1863">
        <v>0</v>
      </c>
      <c r="BB1863">
        <v>0</v>
      </c>
      <c r="BC1863">
        <v>0</v>
      </c>
      <c r="BD1863">
        <v>0</v>
      </c>
      <c r="BE1863">
        <v>0</v>
      </c>
      <c r="BF1863">
        <v>0</v>
      </c>
      <c r="BG1863">
        <v>0</v>
      </c>
      <c r="BH1863">
        <v>1</v>
      </c>
      <c r="BI1863">
        <v>1</v>
      </c>
      <c r="BJ1863">
        <v>2</v>
      </c>
      <c r="BK1863">
        <v>2</v>
      </c>
      <c r="BL1863">
        <v>98.42</v>
      </c>
      <c r="BM1863">
        <v>14.76</v>
      </c>
      <c r="BN1863">
        <v>113.18</v>
      </c>
      <c r="BO1863">
        <v>113.18</v>
      </c>
      <c r="BQ1863" t="s">
        <v>523</v>
      </c>
      <c r="BR1863" t="s">
        <v>84</v>
      </c>
      <c r="BS1863" s="3">
        <v>45796</v>
      </c>
      <c r="BT1863" s="4">
        <v>0.43263888888888891</v>
      </c>
      <c r="BU1863" t="s">
        <v>2392</v>
      </c>
      <c r="BV1863" t="s">
        <v>86</v>
      </c>
      <c r="BY1863">
        <v>9918</v>
      </c>
      <c r="CA1863" t="s">
        <v>971</v>
      </c>
      <c r="CC1863" t="s">
        <v>367</v>
      </c>
      <c r="CD1863">
        <v>1441</v>
      </c>
      <c r="CE1863" t="s">
        <v>96</v>
      </c>
      <c r="CF1863" s="3">
        <v>45796</v>
      </c>
      <c r="CI1863">
        <v>1</v>
      </c>
      <c r="CJ1863">
        <v>1</v>
      </c>
      <c r="CK1863">
        <v>24</v>
      </c>
      <c r="CL1863" t="s">
        <v>89</v>
      </c>
    </row>
    <row r="1864" spans="1:90" x14ac:dyDescent="0.3">
      <c r="A1864" t="s">
        <v>72</v>
      </c>
      <c r="B1864" t="s">
        <v>73</v>
      </c>
      <c r="C1864" t="s">
        <v>74</v>
      </c>
      <c r="E1864" t="str">
        <f>"080065411096"</f>
        <v>080065411096</v>
      </c>
      <c r="F1864" s="3">
        <v>45793</v>
      </c>
      <c r="G1864">
        <v>202602</v>
      </c>
      <c r="H1864" t="s">
        <v>75</v>
      </c>
      <c r="I1864" t="s">
        <v>76</v>
      </c>
      <c r="J1864" t="s">
        <v>77</v>
      </c>
      <c r="K1864" t="s">
        <v>78</v>
      </c>
      <c r="L1864" t="s">
        <v>350</v>
      </c>
      <c r="M1864" t="s">
        <v>351</v>
      </c>
      <c r="N1864" t="s">
        <v>678</v>
      </c>
      <c r="O1864" t="s">
        <v>82</v>
      </c>
      <c r="P1864" t="str">
        <f>"4170039001                    "</f>
        <v xml:space="preserve">4170039001                    </v>
      </c>
      <c r="Q1864">
        <v>0</v>
      </c>
      <c r="R1864">
        <v>0</v>
      </c>
      <c r="S1864">
        <v>0</v>
      </c>
      <c r="T1864">
        <v>0</v>
      </c>
      <c r="U1864">
        <v>0</v>
      </c>
      <c r="V1864">
        <v>0</v>
      </c>
      <c r="W1864">
        <v>0</v>
      </c>
      <c r="X1864">
        <v>0</v>
      </c>
      <c r="Y1864">
        <v>0</v>
      </c>
      <c r="Z1864">
        <v>0</v>
      </c>
      <c r="AA1864">
        <v>0</v>
      </c>
      <c r="AB1864">
        <v>0</v>
      </c>
      <c r="AC1864">
        <v>0</v>
      </c>
      <c r="AD1864">
        <v>0</v>
      </c>
      <c r="AE1864">
        <v>0</v>
      </c>
      <c r="AF1864">
        <v>0</v>
      </c>
      <c r="AG1864">
        <v>0</v>
      </c>
      <c r="AH1864">
        <v>0</v>
      </c>
      <c r="AI1864">
        <v>0</v>
      </c>
      <c r="AJ1864">
        <v>0</v>
      </c>
      <c r="AK1864">
        <v>0</v>
      </c>
      <c r="AL1864">
        <v>0</v>
      </c>
      <c r="AM1864">
        <v>0</v>
      </c>
      <c r="AN1864">
        <v>0</v>
      </c>
      <c r="AO1864">
        <v>0</v>
      </c>
      <c r="AP1864">
        <v>0</v>
      </c>
      <c r="AQ1864">
        <v>21.38</v>
      </c>
      <c r="AR1864">
        <v>0</v>
      </c>
      <c r="AS1864">
        <v>0</v>
      </c>
      <c r="AT1864">
        <v>0</v>
      </c>
      <c r="AU1864">
        <v>0</v>
      </c>
      <c r="AV1864">
        <v>0</v>
      </c>
      <c r="AW1864">
        <v>0</v>
      </c>
      <c r="AX1864">
        <v>0</v>
      </c>
      <c r="AY1864">
        <v>0</v>
      </c>
      <c r="AZ1864">
        <v>0</v>
      </c>
      <c r="BA1864">
        <v>0</v>
      </c>
      <c r="BB1864">
        <v>0</v>
      </c>
      <c r="BC1864">
        <v>0</v>
      </c>
      <c r="BD1864">
        <v>0</v>
      </c>
      <c r="BE1864">
        <v>0</v>
      </c>
      <c r="BF1864">
        <v>0</v>
      </c>
      <c r="BG1864">
        <v>0</v>
      </c>
      <c r="BH1864">
        <v>1</v>
      </c>
      <c r="BI1864">
        <v>1</v>
      </c>
      <c r="BJ1864">
        <v>0.2</v>
      </c>
      <c r="BK1864">
        <v>1</v>
      </c>
      <c r="BL1864">
        <v>69.98</v>
      </c>
      <c r="BM1864">
        <v>10.5</v>
      </c>
      <c r="BN1864">
        <v>80.48</v>
      </c>
      <c r="BO1864">
        <v>80.48</v>
      </c>
      <c r="BQ1864" t="s">
        <v>679</v>
      </c>
      <c r="BR1864" t="s">
        <v>84</v>
      </c>
      <c r="BS1864" s="3">
        <v>45796</v>
      </c>
      <c r="BT1864" s="4">
        <v>0.40416666666666667</v>
      </c>
      <c r="BU1864" t="s">
        <v>1828</v>
      </c>
      <c r="BV1864" t="s">
        <v>86</v>
      </c>
      <c r="BY1864">
        <v>1200</v>
      </c>
      <c r="CA1864" t="s">
        <v>326</v>
      </c>
      <c r="CC1864" t="s">
        <v>351</v>
      </c>
      <c r="CD1864">
        <v>4052</v>
      </c>
      <c r="CE1864" t="s">
        <v>88</v>
      </c>
      <c r="CF1864" s="3">
        <v>45797</v>
      </c>
      <c r="CI1864">
        <v>1</v>
      </c>
      <c r="CJ1864">
        <v>1</v>
      </c>
      <c r="CK1864">
        <v>21</v>
      </c>
      <c r="CL1864" t="s">
        <v>89</v>
      </c>
    </row>
    <row r="1865" spans="1:90" x14ac:dyDescent="0.3">
      <c r="A1865" t="s">
        <v>72</v>
      </c>
      <c r="B1865" t="s">
        <v>73</v>
      </c>
      <c r="C1865" t="s">
        <v>74</v>
      </c>
      <c r="E1865" t="str">
        <f>"080065411119"</f>
        <v>080065411119</v>
      </c>
      <c r="F1865" s="3">
        <v>45793</v>
      </c>
      <c r="G1865">
        <v>202602</v>
      </c>
      <c r="H1865" t="s">
        <v>75</v>
      </c>
      <c r="I1865" t="s">
        <v>76</v>
      </c>
      <c r="J1865" t="s">
        <v>77</v>
      </c>
      <c r="K1865" t="s">
        <v>78</v>
      </c>
      <c r="L1865" t="s">
        <v>130</v>
      </c>
      <c r="M1865" t="s">
        <v>131</v>
      </c>
      <c r="N1865" t="s">
        <v>343</v>
      </c>
      <c r="O1865" t="s">
        <v>82</v>
      </c>
      <c r="P1865" t="str">
        <f>"4170038967                    "</f>
        <v xml:space="preserve">4170038967                    </v>
      </c>
      <c r="Q1865">
        <v>0</v>
      </c>
      <c r="R1865">
        <v>0</v>
      </c>
      <c r="S1865">
        <v>0</v>
      </c>
      <c r="T1865">
        <v>0</v>
      </c>
      <c r="U1865">
        <v>0</v>
      </c>
      <c r="V1865">
        <v>0</v>
      </c>
      <c r="W1865">
        <v>0</v>
      </c>
      <c r="X1865">
        <v>0</v>
      </c>
      <c r="Y1865">
        <v>0</v>
      </c>
      <c r="Z1865">
        <v>0</v>
      </c>
      <c r="AA1865">
        <v>0</v>
      </c>
      <c r="AB1865">
        <v>0</v>
      </c>
      <c r="AC1865">
        <v>0</v>
      </c>
      <c r="AD1865">
        <v>0</v>
      </c>
      <c r="AE1865">
        <v>0</v>
      </c>
      <c r="AF1865">
        <v>0</v>
      </c>
      <c r="AG1865">
        <v>0</v>
      </c>
      <c r="AH1865">
        <v>0</v>
      </c>
      <c r="AI1865">
        <v>0</v>
      </c>
      <c r="AJ1865">
        <v>0</v>
      </c>
      <c r="AK1865">
        <v>0</v>
      </c>
      <c r="AL1865">
        <v>0</v>
      </c>
      <c r="AM1865">
        <v>0</v>
      </c>
      <c r="AN1865">
        <v>0</v>
      </c>
      <c r="AO1865">
        <v>0</v>
      </c>
      <c r="AP1865">
        <v>0</v>
      </c>
      <c r="AQ1865">
        <v>21.38</v>
      </c>
      <c r="AR1865">
        <v>0</v>
      </c>
      <c r="AS1865">
        <v>0</v>
      </c>
      <c r="AT1865">
        <v>0</v>
      </c>
      <c r="AU1865">
        <v>0</v>
      </c>
      <c r="AV1865">
        <v>0</v>
      </c>
      <c r="AW1865">
        <v>0</v>
      </c>
      <c r="AX1865">
        <v>0</v>
      </c>
      <c r="AY1865">
        <v>0</v>
      </c>
      <c r="AZ1865">
        <v>0</v>
      </c>
      <c r="BA1865">
        <v>0</v>
      </c>
      <c r="BB1865">
        <v>0</v>
      </c>
      <c r="BC1865">
        <v>0</v>
      </c>
      <c r="BD1865">
        <v>0</v>
      </c>
      <c r="BE1865">
        <v>0</v>
      </c>
      <c r="BF1865">
        <v>0</v>
      </c>
      <c r="BG1865">
        <v>0</v>
      </c>
      <c r="BH1865">
        <v>1</v>
      </c>
      <c r="BI1865">
        <v>1</v>
      </c>
      <c r="BJ1865">
        <v>0.2</v>
      </c>
      <c r="BK1865">
        <v>1</v>
      </c>
      <c r="BL1865">
        <v>69.98</v>
      </c>
      <c r="BM1865">
        <v>10.5</v>
      </c>
      <c r="BN1865">
        <v>80.48</v>
      </c>
      <c r="BO1865">
        <v>80.48</v>
      </c>
      <c r="BQ1865" t="s">
        <v>344</v>
      </c>
      <c r="BR1865" t="s">
        <v>84</v>
      </c>
      <c r="BS1865" s="3">
        <v>45797</v>
      </c>
      <c r="BT1865" s="4">
        <v>0.40625</v>
      </c>
      <c r="BU1865" t="s">
        <v>1427</v>
      </c>
      <c r="BV1865" t="s">
        <v>89</v>
      </c>
      <c r="BW1865" t="s">
        <v>340</v>
      </c>
      <c r="BX1865" t="s">
        <v>2355</v>
      </c>
      <c r="BY1865">
        <v>1200</v>
      </c>
      <c r="CA1865" t="s">
        <v>242</v>
      </c>
      <c r="CC1865" t="s">
        <v>131</v>
      </c>
      <c r="CD1865">
        <v>7441</v>
      </c>
      <c r="CE1865" t="s">
        <v>88</v>
      </c>
      <c r="CF1865" s="3">
        <v>45798</v>
      </c>
      <c r="CI1865">
        <v>1</v>
      </c>
      <c r="CJ1865">
        <v>2</v>
      </c>
      <c r="CK1865">
        <v>21</v>
      </c>
      <c r="CL1865" t="s">
        <v>89</v>
      </c>
    </row>
    <row r="1866" spans="1:90" x14ac:dyDescent="0.3">
      <c r="A1866" t="s">
        <v>72</v>
      </c>
      <c r="B1866" t="s">
        <v>73</v>
      </c>
      <c r="C1866" t="s">
        <v>74</v>
      </c>
      <c r="E1866" t="str">
        <f>"080065411150"</f>
        <v>080065411150</v>
      </c>
      <c r="F1866" s="3">
        <v>45793</v>
      </c>
      <c r="G1866">
        <v>202602</v>
      </c>
      <c r="H1866" t="s">
        <v>75</v>
      </c>
      <c r="I1866" t="s">
        <v>76</v>
      </c>
      <c r="J1866" t="s">
        <v>77</v>
      </c>
      <c r="K1866" t="s">
        <v>78</v>
      </c>
      <c r="L1866" t="s">
        <v>143</v>
      </c>
      <c r="M1866" t="s">
        <v>144</v>
      </c>
      <c r="N1866" t="s">
        <v>762</v>
      </c>
      <c r="O1866" t="s">
        <v>82</v>
      </c>
      <c r="P1866" t="str">
        <f>"4170038959                    "</f>
        <v xml:space="preserve">4170038959                    </v>
      </c>
      <c r="Q1866">
        <v>0</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c r="AJ1866">
        <v>0</v>
      </c>
      <c r="AK1866">
        <v>0</v>
      </c>
      <c r="AL1866">
        <v>0</v>
      </c>
      <c r="AM1866">
        <v>0</v>
      </c>
      <c r="AN1866">
        <v>0</v>
      </c>
      <c r="AO1866">
        <v>0</v>
      </c>
      <c r="AP1866">
        <v>0</v>
      </c>
      <c r="AQ1866">
        <v>16.7</v>
      </c>
      <c r="AR1866">
        <v>0</v>
      </c>
      <c r="AS1866">
        <v>0</v>
      </c>
      <c r="AT1866">
        <v>0</v>
      </c>
      <c r="AU1866">
        <v>0</v>
      </c>
      <c r="AV1866">
        <v>0</v>
      </c>
      <c r="AW1866">
        <v>0</v>
      </c>
      <c r="AX1866">
        <v>0</v>
      </c>
      <c r="AY1866">
        <v>0</v>
      </c>
      <c r="AZ1866">
        <v>0</v>
      </c>
      <c r="BA1866">
        <v>0</v>
      </c>
      <c r="BB1866">
        <v>0</v>
      </c>
      <c r="BC1866">
        <v>0</v>
      </c>
      <c r="BD1866">
        <v>0</v>
      </c>
      <c r="BE1866">
        <v>0</v>
      </c>
      <c r="BF1866">
        <v>0</v>
      </c>
      <c r="BG1866">
        <v>0</v>
      </c>
      <c r="BH1866">
        <v>1</v>
      </c>
      <c r="BI1866">
        <v>2</v>
      </c>
      <c r="BJ1866">
        <v>2.9</v>
      </c>
      <c r="BK1866">
        <v>3</v>
      </c>
      <c r="BL1866">
        <v>54.66</v>
      </c>
      <c r="BM1866">
        <v>8.1999999999999993</v>
      </c>
      <c r="BN1866">
        <v>62.86</v>
      </c>
      <c r="BO1866">
        <v>62.86</v>
      </c>
      <c r="BQ1866" t="s">
        <v>763</v>
      </c>
      <c r="BR1866" t="s">
        <v>84</v>
      </c>
      <c r="BS1866" s="3">
        <v>45796</v>
      </c>
      <c r="BT1866" s="4">
        <v>0.43541666666666667</v>
      </c>
      <c r="BU1866" t="s">
        <v>359</v>
      </c>
      <c r="BV1866" t="s">
        <v>86</v>
      </c>
      <c r="BY1866">
        <v>14336</v>
      </c>
      <c r="CA1866" t="s">
        <v>765</v>
      </c>
      <c r="CC1866" t="s">
        <v>144</v>
      </c>
      <c r="CD1866">
        <v>1428</v>
      </c>
      <c r="CE1866" t="s">
        <v>96</v>
      </c>
      <c r="CF1866" s="3">
        <v>45796</v>
      </c>
      <c r="CI1866">
        <v>1</v>
      </c>
      <c r="CJ1866">
        <v>1</v>
      </c>
      <c r="CK1866">
        <v>22</v>
      </c>
      <c r="CL1866" t="s">
        <v>89</v>
      </c>
    </row>
    <row r="1867" spans="1:90" x14ac:dyDescent="0.3">
      <c r="A1867" t="s">
        <v>72</v>
      </c>
      <c r="B1867" t="s">
        <v>73</v>
      </c>
      <c r="C1867" t="s">
        <v>74</v>
      </c>
      <c r="E1867" t="str">
        <f>"080065411163"</f>
        <v>080065411163</v>
      </c>
      <c r="F1867" s="3">
        <v>45793</v>
      </c>
      <c r="G1867">
        <v>202602</v>
      </c>
      <c r="H1867" t="s">
        <v>75</v>
      </c>
      <c r="I1867" t="s">
        <v>76</v>
      </c>
      <c r="J1867" t="s">
        <v>77</v>
      </c>
      <c r="K1867" t="s">
        <v>78</v>
      </c>
      <c r="L1867" t="s">
        <v>75</v>
      </c>
      <c r="M1867" t="s">
        <v>76</v>
      </c>
      <c r="N1867" t="s">
        <v>2393</v>
      </c>
      <c r="O1867" t="s">
        <v>82</v>
      </c>
      <c r="P1867" t="str">
        <f>"4170038962                    "</f>
        <v xml:space="preserve">4170038962                    </v>
      </c>
      <c r="Q1867">
        <v>0</v>
      </c>
      <c r="R1867">
        <v>0</v>
      </c>
      <c r="S1867">
        <v>0</v>
      </c>
      <c r="T1867">
        <v>0</v>
      </c>
      <c r="U1867">
        <v>0</v>
      </c>
      <c r="V1867">
        <v>0</v>
      </c>
      <c r="W1867">
        <v>0</v>
      </c>
      <c r="X1867">
        <v>0</v>
      </c>
      <c r="Y1867">
        <v>0</v>
      </c>
      <c r="Z1867">
        <v>0</v>
      </c>
      <c r="AA1867">
        <v>0</v>
      </c>
      <c r="AB1867">
        <v>0</v>
      </c>
      <c r="AC1867">
        <v>0</v>
      </c>
      <c r="AD1867">
        <v>0</v>
      </c>
      <c r="AE1867">
        <v>0</v>
      </c>
      <c r="AF1867">
        <v>0</v>
      </c>
      <c r="AG1867">
        <v>0</v>
      </c>
      <c r="AH1867">
        <v>0</v>
      </c>
      <c r="AI1867">
        <v>0</v>
      </c>
      <c r="AJ1867">
        <v>0</v>
      </c>
      <c r="AK1867">
        <v>0</v>
      </c>
      <c r="AL1867">
        <v>0</v>
      </c>
      <c r="AM1867">
        <v>0</v>
      </c>
      <c r="AN1867">
        <v>0</v>
      </c>
      <c r="AO1867">
        <v>0</v>
      </c>
      <c r="AP1867">
        <v>0</v>
      </c>
      <c r="AQ1867">
        <v>16.7</v>
      </c>
      <c r="AR1867">
        <v>0</v>
      </c>
      <c r="AS1867">
        <v>0</v>
      </c>
      <c r="AT1867">
        <v>0</v>
      </c>
      <c r="AU1867">
        <v>0</v>
      </c>
      <c r="AV1867">
        <v>0</v>
      </c>
      <c r="AW1867">
        <v>0</v>
      </c>
      <c r="AX1867">
        <v>0</v>
      </c>
      <c r="AY1867">
        <v>0</v>
      </c>
      <c r="AZ1867">
        <v>0</v>
      </c>
      <c r="BA1867">
        <v>0</v>
      </c>
      <c r="BB1867">
        <v>0</v>
      </c>
      <c r="BC1867">
        <v>0</v>
      </c>
      <c r="BD1867">
        <v>0</v>
      </c>
      <c r="BE1867">
        <v>0</v>
      </c>
      <c r="BF1867">
        <v>0</v>
      </c>
      <c r="BG1867">
        <v>0</v>
      </c>
      <c r="BH1867">
        <v>1</v>
      </c>
      <c r="BI1867">
        <v>1</v>
      </c>
      <c r="BJ1867">
        <v>0.2</v>
      </c>
      <c r="BK1867">
        <v>1</v>
      </c>
      <c r="BL1867">
        <v>54.66</v>
      </c>
      <c r="BM1867">
        <v>8.1999999999999993</v>
      </c>
      <c r="BN1867">
        <v>62.86</v>
      </c>
      <c r="BO1867">
        <v>62.86</v>
      </c>
      <c r="BQ1867" t="s">
        <v>2394</v>
      </c>
      <c r="BR1867" t="s">
        <v>84</v>
      </c>
      <c r="BS1867" s="3">
        <v>45796</v>
      </c>
      <c r="BT1867" s="4">
        <v>0.34861111111111109</v>
      </c>
      <c r="BU1867" t="s">
        <v>2395</v>
      </c>
      <c r="BV1867" t="s">
        <v>86</v>
      </c>
      <c r="BY1867">
        <v>1200</v>
      </c>
      <c r="CA1867" t="s">
        <v>484</v>
      </c>
      <c r="CC1867" t="s">
        <v>76</v>
      </c>
      <c r="CD1867">
        <v>1600</v>
      </c>
      <c r="CE1867" t="s">
        <v>2396</v>
      </c>
      <c r="CF1867" s="3">
        <v>45796</v>
      </c>
      <c r="CI1867">
        <v>1</v>
      </c>
      <c r="CJ1867">
        <v>1</v>
      </c>
      <c r="CK1867">
        <v>22</v>
      </c>
      <c r="CL1867" t="s">
        <v>89</v>
      </c>
    </row>
    <row r="1868" spans="1:90" x14ac:dyDescent="0.3">
      <c r="A1868" t="s">
        <v>72</v>
      </c>
      <c r="B1868" t="s">
        <v>73</v>
      </c>
      <c r="C1868" t="s">
        <v>74</v>
      </c>
      <c r="E1868" t="str">
        <f>"080065411190"</f>
        <v>080065411190</v>
      </c>
      <c r="F1868" s="3">
        <v>45793</v>
      </c>
      <c r="G1868">
        <v>202602</v>
      </c>
      <c r="H1868" t="s">
        <v>75</v>
      </c>
      <c r="I1868" t="s">
        <v>76</v>
      </c>
      <c r="J1868" t="s">
        <v>77</v>
      </c>
      <c r="K1868" t="s">
        <v>78</v>
      </c>
      <c r="L1868" t="s">
        <v>130</v>
      </c>
      <c r="M1868" t="s">
        <v>131</v>
      </c>
      <c r="N1868" t="s">
        <v>343</v>
      </c>
      <c r="O1868" t="s">
        <v>82</v>
      </c>
      <c r="P1868" t="str">
        <f>"4170038973                    "</f>
        <v xml:space="preserve">4170038973                    </v>
      </c>
      <c r="Q1868">
        <v>0</v>
      </c>
      <c r="R1868">
        <v>0</v>
      </c>
      <c r="S1868">
        <v>0</v>
      </c>
      <c r="T1868">
        <v>0</v>
      </c>
      <c r="U1868">
        <v>0</v>
      </c>
      <c r="V1868">
        <v>0</v>
      </c>
      <c r="W1868">
        <v>0</v>
      </c>
      <c r="X1868">
        <v>0</v>
      </c>
      <c r="Y1868">
        <v>0</v>
      </c>
      <c r="Z1868">
        <v>0</v>
      </c>
      <c r="AA1868">
        <v>0</v>
      </c>
      <c r="AB1868">
        <v>0</v>
      </c>
      <c r="AC1868">
        <v>0</v>
      </c>
      <c r="AD1868">
        <v>0</v>
      </c>
      <c r="AE1868">
        <v>0</v>
      </c>
      <c r="AF1868">
        <v>0</v>
      </c>
      <c r="AG1868">
        <v>0</v>
      </c>
      <c r="AH1868">
        <v>0</v>
      </c>
      <c r="AI1868">
        <v>0</v>
      </c>
      <c r="AJ1868">
        <v>0</v>
      </c>
      <c r="AK1868">
        <v>0</v>
      </c>
      <c r="AL1868">
        <v>0</v>
      </c>
      <c r="AM1868">
        <v>0</v>
      </c>
      <c r="AN1868">
        <v>0</v>
      </c>
      <c r="AO1868">
        <v>0</v>
      </c>
      <c r="AP1868">
        <v>0</v>
      </c>
      <c r="AQ1868">
        <v>21.38</v>
      </c>
      <c r="AR1868">
        <v>0</v>
      </c>
      <c r="AS1868">
        <v>0</v>
      </c>
      <c r="AT1868">
        <v>0</v>
      </c>
      <c r="AU1868">
        <v>0</v>
      </c>
      <c r="AV1868">
        <v>0</v>
      </c>
      <c r="AW1868">
        <v>0</v>
      </c>
      <c r="AX1868">
        <v>0</v>
      </c>
      <c r="AY1868">
        <v>0</v>
      </c>
      <c r="AZ1868">
        <v>0</v>
      </c>
      <c r="BA1868">
        <v>0</v>
      </c>
      <c r="BB1868">
        <v>0</v>
      </c>
      <c r="BC1868">
        <v>0</v>
      </c>
      <c r="BD1868">
        <v>0</v>
      </c>
      <c r="BE1868">
        <v>0</v>
      </c>
      <c r="BF1868">
        <v>0</v>
      </c>
      <c r="BG1868">
        <v>0</v>
      </c>
      <c r="BH1868">
        <v>1</v>
      </c>
      <c r="BI1868">
        <v>1</v>
      </c>
      <c r="BJ1868">
        <v>0.2</v>
      </c>
      <c r="BK1868">
        <v>1</v>
      </c>
      <c r="BL1868">
        <v>69.98</v>
      </c>
      <c r="BM1868">
        <v>10.5</v>
      </c>
      <c r="BN1868">
        <v>80.48</v>
      </c>
      <c r="BO1868">
        <v>80.48</v>
      </c>
      <c r="BQ1868" t="s">
        <v>344</v>
      </c>
      <c r="BR1868" t="s">
        <v>84</v>
      </c>
      <c r="BS1868" s="3">
        <v>45797</v>
      </c>
      <c r="BT1868" s="4">
        <v>0.40625</v>
      </c>
      <c r="BU1868" t="s">
        <v>1427</v>
      </c>
      <c r="BV1868" t="s">
        <v>89</v>
      </c>
      <c r="BW1868" t="s">
        <v>340</v>
      </c>
      <c r="BX1868" t="s">
        <v>2355</v>
      </c>
      <c r="BY1868">
        <v>1200</v>
      </c>
      <c r="CA1868" t="s">
        <v>242</v>
      </c>
      <c r="CC1868" t="s">
        <v>131</v>
      </c>
      <c r="CD1868">
        <v>7441</v>
      </c>
      <c r="CE1868" t="s">
        <v>88</v>
      </c>
      <c r="CF1868" s="3">
        <v>45798</v>
      </c>
      <c r="CI1868">
        <v>1</v>
      </c>
      <c r="CJ1868">
        <v>2</v>
      </c>
      <c r="CK1868">
        <v>21</v>
      </c>
      <c r="CL1868" t="s">
        <v>89</v>
      </c>
    </row>
    <row r="1869" spans="1:90" x14ac:dyDescent="0.3">
      <c r="A1869" t="s">
        <v>72</v>
      </c>
      <c r="B1869" t="s">
        <v>73</v>
      </c>
      <c r="C1869" t="s">
        <v>74</v>
      </c>
      <c r="E1869" t="str">
        <f>"080065411198"</f>
        <v>080065411198</v>
      </c>
      <c r="F1869" s="3">
        <v>45793</v>
      </c>
      <c r="G1869">
        <v>202602</v>
      </c>
      <c r="H1869" t="s">
        <v>75</v>
      </c>
      <c r="I1869" t="s">
        <v>76</v>
      </c>
      <c r="J1869" t="s">
        <v>77</v>
      </c>
      <c r="K1869" t="s">
        <v>78</v>
      </c>
      <c r="L1869" t="s">
        <v>79</v>
      </c>
      <c r="M1869" t="s">
        <v>80</v>
      </c>
      <c r="N1869" t="s">
        <v>862</v>
      </c>
      <c r="O1869" t="s">
        <v>82</v>
      </c>
      <c r="P1869" t="str">
        <f>"4170038844                    "</f>
        <v xml:space="preserve">4170038844                    </v>
      </c>
      <c r="Q1869">
        <v>0</v>
      </c>
      <c r="R1869">
        <v>0</v>
      </c>
      <c r="S1869">
        <v>0</v>
      </c>
      <c r="T1869">
        <v>0</v>
      </c>
      <c r="U1869">
        <v>0</v>
      </c>
      <c r="V1869">
        <v>0</v>
      </c>
      <c r="W1869">
        <v>0</v>
      </c>
      <c r="X1869">
        <v>0</v>
      </c>
      <c r="Y1869">
        <v>0</v>
      </c>
      <c r="Z1869">
        <v>0</v>
      </c>
      <c r="AA1869">
        <v>0</v>
      </c>
      <c r="AB1869">
        <v>0</v>
      </c>
      <c r="AC1869">
        <v>0</v>
      </c>
      <c r="AD1869">
        <v>0</v>
      </c>
      <c r="AE1869">
        <v>0</v>
      </c>
      <c r="AF1869">
        <v>0</v>
      </c>
      <c r="AG1869">
        <v>0</v>
      </c>
      <c r="AH1869">
        <v>0</v>
      </c>
      <c r="AI1869">
        <v>0</v>
      </c>
      <c r="AJ1869">
        <v>0</v>
      </c>
      <c r="AK1869">
        <v>0</v>
      </c>
      <c r="AL1869">
        <v>0</v>
      </c>
      <c r="AM1869">
        <v>0</v>
      </c>
      <c r="AN1869">
        <v>0</v>
      </c>
      <c r="AO1869">
        <v>0</v>
      </c>
      <c r="AP1869">
        <v>0</v>
      </c>
      <c r="AQ1869">
        <v>106.85</v>
      </c>
      <c r="AR1869">
        <v>0</v>
      </c>
      <c r="AS1869">
        <v>0</v>
      </c>
      <c r="AT1869">
        <v>0</v>
      </c>
      <c r="AU1869">
        <v>0</v>
      </c>
      <c r="AV1869">
        <v>0</v>
      </c>
      <c r="AW1869">
        <v>0</v>
      </c>
      <c r="AX1869">
        <v>0</v>
      </c>
      <c r="AY1869">
        <v>0</v>
      </c>
      <c r="AZ1869">
        <v>0</v>
      </c>
      <c r="BA1869">
        <v>0</v>
      </c>
      <c r="BB1869">
        <v>0</v>
      </c>
      <c r="BC1869">
        <v>0</v>
      </c>
      <c r="BD1869">
        <v>0</v>
      </c>
      <c r="BE1869">
        <v>0</v>
      </c>
      <c r="BF1869">
        <v>0</v>
      </c>
      <c r="BG1869">
        <v>0</v>
      </c>
      <c r="BH1869">
        <v>1</v>
      </c>
      <c r="BI1869">
        <v>10</v>
      </c>
      <c r="BJ1869">
        <v>9.1</v>
      </c>
      <c r="BK1869">
        <v>10</v>
      </c>
      <c r="BL1869">
        <v>349.69</v>
      </c>
      <c r="BM1869">
        <v>52.45</v>
      </c>
      <c r="BN1869">
        <v>402.14</v>
      </c>
      <c r="BO1869">
        <v>402.14</v>
      </c>
      <c r="BQ1869" t="s">
        <v>863</v>
      </c>
      <c r="BR1869" t="s">
        <v>84</v>
      </c>
      <c r="BS1869" s="3">
        <v>45796</v>
      </c>
      <c r="BT1869" s="4">
        <v>0.41666666666666669</v>
      </c>
      <c r="BU1869" t="s">
        <v>2397</v>
      </c>
      <c r="BV1869" t="s">
        <v>86</v>
      </c>
      <c r="BY1869">
        <v>45375</v>
      </c>
      <c r="CA1869" t="s">
        <v>160</v>
      </c>
      <c r="CC1869" t="s">
        <v>80</v>
      </c>
      <c r="CD1869">
        <v>3610</v>
      </c>
      <c r="CE1869" t="s">
        <v>1296</v>
      </c>
      <c r="CF1869" s="3">
        <v>45796</v>
      </c>
      <c r="CI1869">
        <v>1</v>
      </c>
      <c r="CJ1869">
        <v>1</v>
      </c>
      <c r="CK1869">
        <v>21</v>
      </c>
      <c r="CL1869" t="s">
        <v>89</v>
      </c>
    </row>
    <row r="1870" spans="1:90" x14ac:dyDescent="0.3">
      <c r="A1870" t="s">
        <v>72</v>
      </c>
      <c r="B1870" t="s">
        <v>73</v>
      </c>
      <c r="C1870" t="s">
        <v>74</v>
      </c>
      <c r="E1870" t="str">
        <f>"080065411215"</f>
        <v>080065411215</v>
      </c>
      <c r="F1870" s="3">
        <v>45793</v>
      </c>
      <c r="G1870">
        <v>202602</v>
      </c>
      <c r="H1870" t="s">
        <v>75</v>
      </c>
      <c r="I1870" t="s">
        <v>76</v>
      </c>
      <c r="J1870" t="s">
        <v>77</v>
      </c>
      <c r="K1870" t="s">
        <v>78</v>
      </c>
      <c r="L1870" t="s">
        <v>871</v>
      </c>
      <c r="M1870" t="s">
        <v>872</v>
      </c>
      <c r="N1870" t="s">
        <v>1340</v>
      </c>
      <c r="O1870" t="s">
        <v>82</v>
      </c>
      <c r="P1870" t="str">
        <f>"4170038939                    "</f>
        <v xml:space="preserve">4170038939                    </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0</v>
      </c>
      <c r="AK1870">
        <v>0</v>
      </c>
      <c r="AL1870">
        <v>0</v>
      </c>
      <c r="AM1870">
        <v>0</v>
      </c>
      <c r="AN1870">
        <v>0</v>
      </c>
      <c r="AO1870">
        <v>0</v>
      </c>
      <c r="AP1870">
        <v>0</v>
      </c>
      <c r="AQ1870">
        <v>41.43</v>
      </c>
      <c r="AR1870">
        <v>0</v>
      </c>
      <c r="AS1870">
        <v>0</v>
      </c>
      <c r="AT1870">
        <v>0</v>
      </c>
      <c r="AU1870">
        <v>0</v>
      </c>
      <c r="AV1870">
        <v>0</v>
      </c>
      <c r="AW1870">
        <v>0</v>
      </c>
      <c r="AX1870">
        <v>0</v>
      </c>
      <c r="AY1870">
        <v>0</v>
      </c>
      <c r="AZ1870">
        <v>0</v>
      </c>
      <c r="BA1870">
        <v>0</v>
      </c>
      <c r="BB1870">
        <v>0</v>
      </c>
      <c r="BC1870">
        <v>0</v>
      </c>
      <c r="BD1870">
        <v>0</v>
      </c>
      <c r="BE1870">
        <v>0</v>
      </c>
      <c r="BF1870">
        <v>0</v>
      </c>
      <c r="BG1870">
        <v>0</v>
      </c>
      <c r="BH1870">
        <v>1</v>
      </c>
      <c r="BI1870">
        <v>1</v>
      </c>
      <c r="BJ1870">
        <v>0.2</v>
      </c>
      <c r="BK1870">
        <v>1</v>
      </c>
      <c r="BL1870">
        <v>135.59</v>
      </c>
      <c r="BM1870">
        <v>20.34</v>
      </c>
      <c r="BN1870">
        <v>155.93</v>
      </c>
      <c r="BO1870">
        <v>155.93</v>
      </c>
      <c r="BQ1870" t="s">
        <v>1341</v>
      </c>
      <c r="BR1870" t="s">
        <v>84</v>
      </c>
      <c r="BS1870" s="3">
        <v>45796</v>
      </c>
      <c r="BT1870" s="4">
        <v>0.65625</v>
      </c>
      <c r="BU1870" t="s">
        <v>1342</v>
      </c>
      <c r="BV1870" t="s">
        <v>89</v>
      </c>
      <c r="BY1870">
        <v>1200</v>
      </c>
      <c r="CA1870" t="s">
        <v>1343</v>
      </c>
      <c r="CC1870" t="s">
        <v>872</v>
      </c>
      <c r="CD1870">
        <v>2302</v>
      </c>
      <c r="CE1870" t="s">
        <v>88</v>
      </c>
      <c r="CF1870" s="3">
        <v>45796</v>
      </c>
      <c r="CI1870">
        <v>1</v>
      </c>
      <c r="CJ1870">
        <v>1</v>
      </c>
      <c r="CK1870">
        <v>23</v>
      </c>
      <c r="CL1870" t="s">
        <v>89</v>
      </c>
    </row>
    <row r="1871" spans="1:90" x14ac:dyDescent="0.3">
      <c r="A1871" t="s">
        <v>72</v>
      </c>
      <c r="B1871" t="s">
        <v>73</v>
      </c>
      <c r="C1871" t="s">
        <v>74</v>
      </c>
      <c r="E1871" t="str">
        <f>"080065411225"</f>
        <v>080065411225</v>
      </c>
      <c r="F1871" s="3">
        <v>45793</v>
      </c>
      <c r="G1871">
        <v>202602</v>
      </c>
      <c r="H1871" t="s">
        <v>75</v>
      </c>
      <c r="I1871" t="s">
        <v>76</v>
      </c>
      <c r="J1871" t="s">
        <v>77</v>
      </c>
      <c r="K1871" t="s">
        <v>78</v>
      </c>
      <c r="L1871" t="s">
        <v>90</v>
      </c>
      <c r="M1871" t="s">
        <v>91</v>
      </c>
      <c r="N1871" t="s">
        <v>563</v>
      </c>
      <c r="O1871" t="s">
        <v>82</v>
      </c>
      <c r="P1871" t="str">
        <f>"4170038901                    "</f>
        <v xml:space="preserve">4170038901                    </v>
      </c>
      <c r="Q1871">
        <v>0</v>
      </c>
      <c r="R1871">
        <v>0</v>
      </c>
      <c r="S1871">
        <v>0</v>
      </c>
      <c r="T1871">
        <v>0</v>
      </c>
      <c r="U1871">
        <v>0</v>
      </c>
      <c r="V1871">
        <v>0</v>
      </c>
      <c r="W1871">
        <v>0</v>
      </c>
      <c r="X1871">
        <v>0</v>
      </c>
      <c r="Y1871">
        <v>0</v>
      </c>
      <c r="Z1871">
        <v>0</v>
      </c>
      <c r="AA1871">
        <v>0</v>
      </c>
      <c r="AB1871">
        <v>0</v>
      </c>
      <c r="AC1871">
        <v>0</v>
      </c>
      <c r="AD1871">
        <v>0</v>
      </c>
      <c r="AE1871">
        <v>0</v>
      </c>
      <c r="AF1871">
        <v>0</v>
      </c>
      <c r="AG1871">
        <v>0</v>
      </c>
      <c r="AH1871">
        <v>0</v>
      </c>
      <c r="AI1871">
        <v>0</v>
      </c>
      <c r="AJ1871">
        <v>0</v>
      </c>
      <c r="AK1871">
        <v>0</v>
      </c>
      <c r="AL1871">
        <v>0</v>
      </c>
      <c r="AM1871">
        <v>0</v>
      </c>
      <c r="AN1871">
        <v>0</v>
      </c>
      <c r="AO1871">
        <v>0</v>
      </c>
      <c r="AP1871">
        <v>0</v>
      </c>
      <c r="AQ1871">
        <v>37.409999999999997</v>
      </c>
      <c r="AR1871">
        <v>0</v>
      </c>
      <c r="AS1871">
        <v>0</v>
      </c>
      <c r="AT1871">
        <v>0</v>
      </c>
      <c r="AU1871">
        <v>0</v>
      </c>
      <c r="AV1871">
        <v>0</v>
      </c>
      <c r="AW1871">
        <v>0</v>
      </c>
      <c r="AX1871">
        <v>0</v>
      </c>
      <c r="AY1871">
        <v>0</v>
      </c>
      <c r="AZ1871">
        <v>0</v>
      </c>
      <c r="BA1871">
        <v>0</v>
      </c>
      <c r="BB1871">
        <v>0</v>
      </c>
      <c r="BC1871">
        <v>0</v>
      </c>
      <c r="BD1871">
        <v>0</v>
      </c>
      <c r="BE1871">
        <v>0</v>
      </c>
      <c r="BF1871">
        <v>0</v>
      </c>
      <c r="BG1871">
        <v>0</v>
      </c>
      <c r="BH1871">
        <v>1</v>
      </c>
      <c r="BI1871">
        <v>3</v>
      </c>
      <c r="BJ1871">
        <v>3.4</v>
      </c>
      <c r="BK1871">
        <v>3.5</v>
      </c>
      <c r="BL1871">
        <v>122.43</v>
      </c>
      <c r="BM1871">
        <v>18.36</v>
      </c>
      <c r="BN1871">
        <v>140.79</v>
      </c>
      <c r="BO1871">
        <v>140.79</v>
      </c>
      <c r="BQ1871" t="s">
        <v>564</v>
      </c>
      <c r="BR1871" t="s">
        <v>84</v>
      </c>
      <c r="BS1871" s="3">
        <v>45796</v>
      </c>
      <c r="BT1871" s="4">
        <v>0.34722222222222221</v>
      </c>
      <c r="BU1871" t="s">
        <v>780</v>
      </c>
      <c r="BV1871" t="s">
        <v>86</v>
      </c>
      <c r="BY1871">
        <v>16848</v>
      </c>
      <c r="CA1871" t="s">
        <v>566</v>
      </c>
      <c r="CC1871" t="s">
        <v>91</v>
      </c>
      <c r="CD1871">
        <v>6001</v>
      </c>
      <c r="CE1871" t="s">
        <v>221</v>
      </c>
      <c r="CF1871" s="3">
        <v>45797</v>
      </c>
      <c r="CI1871">
        <v>1</v>
      </c>
      <c r="CJ1871">
        <v>1</v>
      </c>
      <c r="CK1871">
        <v>21</v>
      </c>
      <c r="CL1871" t="s">
        <v>89</v>
      </c>
    </row>
    <row r="1872" spans="1:90" x14ac:dyDescent="0.3">
      <c r="A1872" t="s">
        <v>72</v>
      </c>
      <c r="B1872" t="s">
        <v>73</v>
      </c>
      <c r="C1872" t="s">
        <v>74</v>
      </c>
      <c r="E1872" t="str">
        <f>"080065411252"</f>
        <v>080065411252</v>
      </c>
      <c r="F1872" s="3">
        <v>45793</v>
      </c>
      <c r="G1872">
        <v>202602</v>
      </c>
      <c r="H1872" t="s">
        <v>75</v>
      </c>
      <c r="I1872" t="s">
        <v>76</v>
      </c>
      <c r="J1872" t="s">
        <v>77</v>
      </c>
      <c r="K1872" t="s">
        <v>78</v>
      </c>
      <c r="L1872" t="s">
        <v>136</v>
      </c>
      <c r="M1872" t="s">
        <v>137</v>
      </c>
      <c r="N1872" t="s">
        <v>499</v>
      </c>
      <c r="O1872" t="s">
        <v>82</v>
      </c>
      <c r="P1872" t="str">
        <f>"4170038966                    "</f>
        <v xml:space="preserve">4170038966                    </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c r="AJ1872">
        <v>0</v>
      </c>
      <c r="AK1872">
        <v>0</v>
      </c>
      <c r="AL1872">
        <v>0</v>
      </c>
      <c r="AM1872">
        <v>0</v>
      </c>
      <c r="AN1872">
        <v>0</v>
      </c>
      <c r="AO1872">
        <v>0</v>
      </c>
      <c r="AP1872">
        <v>0</v>
      </c>
      <c r="AQ1872">
        <v>21.38</v>
      </c>
      <c r="AR1872">
        <v>0</v>
      </c>
      <c r="AS1872">
        <v>0</v>
      </c>
      <c r="AT1872">
        <v>0</v>
      </c>
      <c r="AU1872">
        <v>0</v>
      </c>
      <c r="AV1872">
        <v>0</v>
      </c>
      <c r="AW1872">
        <v>0</v>
      </c>
      <c r="AX1872">
        <v>0</v>
      </c>
      <c r="AY1872">
        <v>0</v>
      </c>
      <c r="AZ1872">
        <v>0</v>
      </c>
      <c r="BA1872">
        <v>0</v>
      </c>
      <c r="BB1872">
        <v>0</v>
      </c>
      <c r="BC1872">
        <v>0</v>
      </c>
      <c r="BD1872">
        <v>0</v>
      </c>
      <c r="BE1872">
        <v>0</v>
      </c>
      <c r="BF1872">
        <v>0</v>
      </c>
      <c r="BG1872">
        <v>0</v>
      </c>
      <c r="BH1872">
        <v>1</v>
      </c>
      <c r="BI1872">
        <v>1</v>
      </c>
      <c r="BJ1872">
        <v>0.2</v>
      </c>
      <c r="BK1872">
        <v>1</v>
      </c>
      <c r="BL1872">
        <v>69.98</v>
      </c>
      <c r="BM1872">
        <v>10.5</v>
      </c>
      <c r="BN1872">
        <v>80.48</v>
      </c>
      <c r="BO1872">
        <v>80.48</v>
      </c>
      <c r="BQ1872" t="s">
        <v>500</v>
      </c>
      <c r="BR1872" t="s">
        <v>84</v>
      </c>
      <c r="BS1872" s="3">
        <v>45796</v>
      </c>
      <c r="BT1872" s="4">
        <v>0.41388888888888886</v>
      </c>
      <c r="BU1872" t="s">
        <v>1733</v>
      </c>
      <c r="BV1872" t="s">
        <v>86</v>
      </c>
      <c r="BY1872">
        <v>1200</v>
      </c>
      <c r="CA1872" t="s">
        <v>141</v>
      </c>
      <c r="CC1872" t="s">
        <v>137</v>
      </c>
      <c r="CD1872" s="5" t="s">
        <v>142</v>
      </c>
      <c r="CE1872" t="s">
        <v>1193</v>
      </c>
      <c r="CF1872" s="3">
        <v>45796</v>
      </c>
      <c r="CI1872">
        <v>1</v>
      </c>
      <c r="CJ1872">
        <v>1</v>
      </c>
      <c r="CK1872">
        <v>21</v>
      </c>
      <c r="CL1872" t="s">
        <v>89</v>
      </c>
    </row>
    <row r="1873" spans="1:90" x14ac:dyDescent="0.3">
      <c r="A1873" t="s">
        <v>72</v>
      </c>
      <c r="B1873" t="s">
        <v>73</v>
      </c>
      <c r="C1873" t="s">
        <v>74</v>
      </c>
      <c r="E1873" t="str">
        <f>"080065411274"</f>
        <v>080065411274</v>
      </c>
      <c r="F1873" s="3">
        <v>45793</v>
      </c>
      <c r="G1873">
        <v>202602</v>
      </c>
      <c r="H1873" t="s">
        <v>75</v>
      </c>
      <c r="I1873" t="s">
        <v>76</v>
      </c>
      <c r="J1873" t="s">
        <v>77</v>
      </c>
      <c r="K1873" t="s">
        <v>78</v>
      </c>
      <c r="L1873" t="s">
        <v>648</v>
      </c>
      <c r="M1873" t="s">
        <v>649</v>
      </c>
      <c r="N1873" t="s">
        <v>785</v>
      </c>
      <c r="O1873" t="s">
        <v>82</v>
      </c>
      <c r="P1873" t="str">
        <f>"4170038924                    "</f>
        <v xml:space="preserve">4170038924                    </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c r="AJ1873">
        <v>0</v>
      </c>
      <c r="AK1873">
        <v>0</v>
      </c>
      <c r="AL1873">
        <v>0</v>
      </c>
      <c r="AM1873">
        <v>0</v>
      </c>
      <c r="AN1873">
        <v>0</v>
      </c>
      <c r="AO1873">
        <v>0</v>
      </c>
      <c r="AP1873">
        <v>0</v>
      </c>
      <c r="AQ1873">
        <v>16.7</v>
      </c>
      <c r="AR1873">
        <v>0</v>
      </c>
      <c r="AS1873">
        <v>0</v>
      </c>
      <c r="AT1873">
        <v>0</v>
      </c>
      <c r="AU1873">
        <v>0</v>
      </c>
      <c r="AV1873">
        <v>0</v>
      </c>
      <c r="AW1873">
        <v>0</v>
      </c>
      <c r="AX1873">
        <v>0</v>
      </c>
      <c r="AY1873">
        <v>0</v>
      </c>
      <c r="AZ1873">
        <v>0</v>
      </c>
      <c r="BA1873">
        <v>0</v>
      </c>
      <c r="BB1873">
        <v>0</v>
      </c>
      <c r="BC1873">
        <v>0</v>
      </c>
      <c r="BD1873">
        <v>0</v>
      </c>
      <c r="BE1873">
        <v>0</v>
      </c>
      <c r="BF1873">
        <v>0</v>
      </c>
      <c r="BG1873">
        <v>0</v>
      </c>
      <c r="BH1873">
        <v>1</v>
      </c>
      <c r="BI1873">
        <v>1</v>
      </c>
      <c r="BJ1873">
        <v>0.2</v>
      </c>
      <c r="BK1873">
        <v>1</v>
      </c>
      <c r="BL1873">
        <v>54.66</v>
      </c>
      <c r="BM1873">
        <v>8.1999999999999993</v>
      </c>
      <c r="BN1873">
        <v>62.86</v>
      </c>
      <c r="BO1873">
        <v>62.86</v>
      </c>
      <c r="BQ1873" t="s">
        <v>786</v>
      </c>
      <c r="BR1873" t="s">
        <v>84</v>
      </c>
      <c r="BS1873" s="3">
        <v>45796</v>
      </c>
      <c r="BT1873" s="4">
        <v>0.3263888888888889</v>
      </c>
      <c r="BU1873" t="s">
        <v>2398</v>
      </c>
      <c r="BV1873" t="s">
        <v>86</v>
      </c>
      <c r="BY1873">
        <v>1200</v>
      </c>
      <c r="CA1873" t="s">
        <v>698</v>
      </c>
      <c r="CC1873" t="s">
        <v>649</v>
      </c>
      <c r="CD1873">
        <v>1559</v>
      </c>
      <c r="CE1873" t="s">
        <v>88</v>
      </c>
      <c r="CF1873" s="3">
        <v>45796</v>
      </c>
      <c r="CI1873">
        <v>1</v>
      </c>
      <c r="CJ1873">
        <v>1</v>
      </c>
      <c r="CK1873">
        <v>22</v>
      </c>
      <c r="CL1873" t="s">
        <v>89</v>
      </c>
    </row>
    <row r="1874" spans="1:90" x14ac:dyDescent="0.3">
      <c r="A1874" t="s">
        <v>72</v>
      </c>
      <c r="B1874" t="s">
        <v>73</v>
      </c>
      <c r="C1874" t="s">
        <v>74</v>
      </c>
      <c r="E1874" t="str">
        <f>"080065411360"</f>
        <v>080065411360</v>
      </c>
      <c r="F1874" s="3">
        <v>45793</v>
      </c>
      <c r="G1874">
        <v>202602</v>
      </c>
      <c r="H1874" t="s">
        <v>75</v>
      </c>
      <c r="I1874" t="s">
        <v>76</v>
      </c>
      <c r="J1874" t="s">
        <v>77</v>
      </c>
      <c r="K1874" t="s">
        <v>78</v>
      </c>
      <c r="L1874" t="s">
        <v>151</v>
      </c>
      <c r="M1874" t="s">
        <v>152</v>
      </c>
      <c r="N1874" t="s">
        <v>153</v>
      </c>
      <c r="O1874" t="s">
        <v>82</v>
      </c>
      <c r="P1874" t="str">
        <f>"4170039027                    "</f>
        <v xml:space="preserve">4170039027                    </v>
      </c>
      <c r="Q1874">
        <v>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c r="AJ1874">
        <v>0</v>
      </c>
      <c r="AK1874">
        <v>0</v>
      </c>
      <c r="AL1874">
        <v>0</v>
      </c>
      <c r="AM1874">
        <v>0</v>
      </c>
      <c r="AN1874">
        <v>0</v>
      </c>
      <c r="AO1874">
        <v>0</v>
      </c>
      <c r="AP1874">
        <v>0</v>
      </c>
      <c r="AQ1874">
        <v>41.43</v>
      </c>
      <c r="AR1874">
        <v>0</v>
      </c>
      <c r="AS1874">
        <v>0</v>
      </c>
      <c r="AT1874">
        <v>0</v>
      </c>
      <c r="AU1874">
        <v>0</v>
      </c>
      <c r="AV1874">
        <v>0</v>
      </c>
      <c r="AW1874">
        <v>0</v>
      </c>
      <c r="AX1874">
        <v>0</v>
      </c>
      <c r="AY1874">
        <v>0</v>
      </c>
      <c r="AZ1874">
        <v>0</v>
      </c>
      <c r="BA1874">
        <v>0</v>
      </c>
      <c r="BB1874">
        <v>0</v>
      </c>
      <c r="BC1874">
        <v>0</v>
      </c>
      <c r="BD1874">
        <v>0</v>
      </c>
      <c r="BE1874">
        <v>0</v>
      </c>
      <c r="BF1874">
        <v>0</v>
      </c>
      <c r="BG1874">
        <v>0</v>
      </c>
      <c r="BH1874">
        <v>1</v>
      </c>
      <c r="BI1874">
        <v>1</v>
      </c>
      <c r="BJ1874">
        <v>0.2</v>
      </c>
      <c r="BK1874">
        <v>1</v>
      </c>
      <c r="BL1874">
        <v>135.59</v>
      </c>
      <c r="BM1874">
        <v>20.34</v>
      </c>
      <c r="BN1874">
        <v>155.93</v>
      </c>
      <c r="BO1874">
        <v>155.93</v>
      </c>
      <c r="BQ1874" t="s">
        <v>154</v>
      </c>
      <c r="BR1874" t="s">
        <v>84</v>
      </c>
      <c r="BS1874" s="3">
        <v>45796</v>
      </c>
      <c r="BT1874" s="4">
        <v>0.43680555555555556</v>
      </c>
      <c r="BU1874" t="s">
        <v>2399</v>
      </c>
      <c r="BV1874" t="s">
        <v>86</v>
      </c>
      <c r="BY1874">
        <v>1200</v>
      </c>
      <c r="CA1874" t="s">
        <v>156</v>
      </c>
      <c r="CC1874" t="s">
        <v>152</v>
      </c>
      <c r="CD1874">
        <v>1911</v>
      </c>
      <c r="CE1874" t="s">
        <v>88</v>
      </c>
      <c r="CF1874" s="3">
        <v>45796</v>
      </c>
      <c r="CI1874">
        <v>1</v>
      </c>
      <c r="CJ1874">
        <v>1</v>
      </c>
      <c r="CK1874">
        <v>23</v>
      </c>
      <c r="CL1874" t="s">
        <v>89</v>
      </c>
    </row>
    <row r="1875" spans="1:90" x14ac:dyDescent="0.3">
      <c r="A1875" t="s">
        <v>72</v>
      </c>
      <c r="B1875" t="s">
        <v>73</v>
      </c>
      <c r="C1875" t="s">
        <v>74</v>
      </c>
      <c r="E1875" t="str">
        <f>"080065411398"</f>
        <v>080065411398</v>
      </c>
      <c r="F1875" s="3">
        <v>45793</v>
      </c>
      <c r="G1875">
        <v>202602</v>
      </c>
      <c r="H1875" t="s">
        <v>75</v>
      </c>
      <c r="I1875" t="s">
        <v>76</v>
      </c>
      <c r="J1875" t="s">
        <v>77</v>
      </c>
      <c r="K1875" t="s">
        <v>78</v>
      </c>
      <c r="L1875" t="s">
        <v>123</v>
      </c>
      <c r="M1875" t="s">
        <v>123</v>
      </c>
      <c r="N1875" t="s">
        <v>1700</v>
      </c>
      <c r="O1875" t="s">
        <v>82</v>
      </c>
      <c r="P1875" t="str">
        <f>"4170038954                    "</f>
        <v xml:space="preserve">4170038954                    </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c r="AJ1875">
        <v>0</v>
      </c>
      <c r="AK1875">
        <v>0</v>
      </c>
      <c r="AL1875">
        <v>0</v>
      </c>
      <c r="AM1875">
        <v>0</v>
      </c>
      <c r="AN1875">
        <v>0</v>
      </c>
      <c r="AO1875">
        <v>0</v>
      </c>
      <c r="AP1875">
        <v>0</v>
      </c>
      <c r="AQ1875">
        <v>41.43</v>
      </c>
      <c r="AR1875">
        <v>0</v>
      </c>
      <c r="AS1875">
        <v>0</v>
      </c>
      <c r="AT1875">
        <v>0</v>
      </c>
      <c r="AU1875">
        <v>0</v>
      </c>
      <c r="AV1875">
        <v>0</v>
      </c>
      <c r="AW1875">
        <v>0</v>
      </c>
      <c r="AX1875">
        <v>0</v>
      </c>
      <c r="AY1875">
        <v>0</v>
      </c>
      <c r="AZ1875">
        <v>0</v>
      </c>
      <c r="BA1875">
        <v>0</v>
      </c>
      <c r="BB1875">
        <v>0</v>
      </c>
      <c r="BC1875">
        <v>0</v>
      </c>
      <c r="BD1875">
        <v>0</v>
      </c>
      <c r="BE1875">
        <v>0</v>
      </c>
      <c r="BF1875">
        <v>0</v>
      </c>
      <c r="BG1875">
        <v>0</v>
      </c>
      <c r="BH1875">
        <v>1</v>
      </c>
      <c r="BI1875">
        <v>1</v>
      </c>
      <c r="BJ1875">
        <v>0.2</v>
      </c>
      <c r="BK1875">
        <v>1</v>
      </c>
      <c r="BL1875">
        <v>135.59</v>
      </c>
      <c r="BM1875">
        <v>20.34</v>
      </c>
      <c r="BN1875">
        <v>155.93</v>
      </c>
      <c r="BO1875">
        <v>155.93</v>
      </c>
      <c r="BQ1875" t="s">
        <v>1701</v>
      </c>
      <c r="BR1875" t="s">
        <v>84</v>
      </c>
      <c r="BS1875" s="3">
        <v>45797</v>
      </c>
      <c r="BT1875" s="4">
        <v>0.52361111111111114</v>
      </c>
      <c r="BU1875" t="s">
        <v>319</v>
      </c>
      <c r="BV1875" t="s">
        <v>89</v>
      </c>
      <c r="BW1875" t="s">
        <v>340</v>
      </c>
      <c r="BX1875" t="s">
        <v>1224</v>
      </c>
      <c r="BY1875">
        <v>1200</v>
      </c>
      <c r="CA1875" t="s">
        <v>128</v>
      </c>
      <c r="CC1875" t="s">
        <v>123</v>
      </c>
      <c r="CD1875">
        <v>7646</v>
      </c>
      <c r="CE1875" t="s">
        <v>88</v>
      </c>
      <c r="CF1875" s="3">
        <v>45798</v>
      </c>
      <c r="CI1875">
        <v>1</v>
      </c>
      <c r="CJ1875">
        <v>2</v>
      </c>
      <c r="CK1875">
        <v>23</v>
      </c>
      <c r="CL1875" t="s">
        <v>89</v>
      </c>
    </row>
    <row r="1876" spans="1:90" x14ac:dyDescent="0.3">
      <c r="A1876" t="s">
        <v>72</v>
      </c>
      <c r="B1876" t="s">
        <v>73</v>
      </c>
      <c r="C1876" t="s">
        <v>74</v>
      </c>
      <c r="E1876" t="str">
        <f>"080065411430"</f>
        <v>080065411430</v>
      </c>
      <c r="F1876" s="3">
        <v>45793</v>
      </c>
      <c r="G1876">
        <v>202602</v>
      </c>
      <c r="H1876" t="s">
        <v>75</v>
      </c>
      <c r="I1876" t="s">
        <v>76</v>
      </c>
      <c r="J1876" t="s">
        <v>77</v>
      </c>
      <c r="K1876" t="s">
        <v>78</v>
      </c>
      <c r="L1876" t="s">
        <v>123</v>
      </c>
      <c r="M1876" t="s">
        <v>123</v>
      </c>
      <c r="N1876" t="s">
        <v>593</v>
      </c>
      <c r="O1876" t="s">
        <v>82</v>
      </c>
      <c r="P1876" t="str">
        <f>"4170038849                    "</f>
        <v xml:space="preserve">4170038849                    </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0</v>
      </c>
      <c r="AK1876">
        <v>0</v>
      </c>
      <c r="AL1876">
        <v>0</v>
      </c>
      <c r="AM1876">
        <v>0</v>
      </c>
      <c r="AN1876">
        <v>0</v>
      </c>
      <c r="AO1876">
        <v>0</v>
      </c>
      <c r="AP1876">
        <v>0</v>
      </c>
      <c r="AQ1876">
        <v>78.849999999999994</v>
      </c>
      <c r="AR1876">
        <v>0</v>
      </c>
      <c r="AS1876">
        <v>0</v>
      </c>
      <c r="AT1876">
        <v>0</v>
      </c>
      <c r="AU1876">
        <v>0</v>
      </c>
      <c r="AV1876">
        <v>0</v>
      </c>
      <c r="AW1876">
        <v>0</v>
      </c>
      <c r="AX1876">
        <v>0</v>
      </c>
      <c r="AY1876">
        <v>0</v>
      </c>
      <c r="AZ1876">
        <v>0</v>
      </c>
      <c r="BA1876">
        <v>0</v>
      </c>
      <c r="BB1876">
        <v>0</v>
      </c>
      <c r="BC1876">
        <v>0</v>
      </c>
      <c r="BD1876">
        <v>0</v>
      </c>
      <c r="BE1876">
        <v>0</v>
      </c>
      <c r="BF1876">
        <v>0</v>
      </c>
      <c r="BG1876">
        <v>0</v>
      </c>
      <c r="BH1876">
        <v>1</v>
      </c>
      <c r="BI1876">
        <v>4</v>
      </c>
      <c r="BJ1876">
        <v>3.4</v>
      </c>
      <c r="BK1876">
        <v>4</v>
      </c>
      <c r="BL1876">
        <v>258.05</v>
      </c>
      <c r="BM1876">
        <v>38.71</v>
      </c>
      <c r="BN1876">
        <v>296.76</v>
      </c>
      <c r="BO1876">
        <v>296.76</v>
      </c>
      <c r="BQ1876" t="s">
        <v>594</v>
      </c>
      <c r="BR1876" t="s">
        <v>84</v>
      </c>
      <c r="BS1876" s="3">
        <v>45796</v>
      </c>
      <c r="BT1876" s="4">
        <v>0.5</v>
      </c>
      <c r="BU1876" t="s">
        <v>2400</v>
      </c>
      <c r="BV1876" t="s">
        <v>86</v>
      </c>
      <c r="BY1876">
        <v>16965</v>
      </c>
      <c r="CA1876" t="s">
        <v>231</v>
      </c>
      <c r="CC1876" t="s">
        <v>123</v>
      </c>
      <c r="CD1876">
        <v>7646</v>
      </c>
      <c r="CE1876" t="s">
        <v>96</v>
      </c>
      <c r="CF1876" s="3">
        <v>45797</v>
      </c>
      <c r="CI1876">
        <v>1</v>
      </c>
      <c r="CJ1876">
        <v>1</v>
      </c>
      <c r="CK1876">
        <v>23</v>
      </c>
      <c r="CL1876" t="s">
        <v>89</v>
      </c>
    </row>
    <row r="1877" spans="1:90" x14ac:dyDescent="0.3">
      <c r="A1877" t="s">
        <v>72</v>
      </c>
      <c r="B1877" t="s">
        <v>73</v>
      </c>
      <c r="C1877" t="s">
        <v>74</v>
      </c>
      <c r="E1877" t="str">
        <f>"080065411452"</f>
        <v>080065411452</v>
      </c>
      <c r="F1877" s="3">
        <v>45793</v>
      </c>
      <c r="G1877">
        <v>202602</v>
      </c>
      <c r="H1877" t="s">
        <v>75</v>
      </c>
      <c r="I1877" t="s">
        <v>76</v>
      </c>
      <c r="J1877" t="s">
        <v>77</v>
      </c>
      <c r="K1877" t="s">
        <v>78</v>
      </c>
      <c r="L1877" t="s">
        <v>350</v>
      </c>
      <c r="M1877" t="s">
        <v>351</v>
      </c>
      <c r="N1877" t="s">
        <v>459</v>
      </c>
      <c r="O1877" t="s">
        <v>82</v>
      </c>
      <c r="P1877" t="str">
        <f>"4170038950                    "</f>
        <v xml:space="preserve">4170038950                    </v>
      </c>
      <c r="Q1877">
        <v>0</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0</v>
      </c>
      <c r="AL1877">
        <v>0</v>
      </c>
      <c r="AM1877">
        <v>0</v>
      </c>
      <c r="AN1877">
        <v>0</v>
      </c>
      <c r="AO1877">
        <v>0</v>
      </c>
      <c r="AP1877">
        <v>0</v>
      </c>
      <c r="AQ1877">
        <v>64.12</v>
      </c>
      <c r="AR1877">
        <v>0</v>
      </c>
      <c r="AS1877">
        <v>0</v>
      </c>
      <c r="AT1877">
        <v>0</v>
      </c>
      <c r="AU1877">
        <v>0</v>
      </c>
      <c r="AV1877">
        <v>0</v>
      </c>
      <c r="AW1877">
        <v>0</v>
      </c>
      <c r="AX1877">
        <v>0</v>
      </c>
      <c r="AY1877">
        <v>0</v>
      </c>
      <c r="AZ1877">
        <v>0</v>
      </c>
      <c r="BA1877">
        <v>0</v>
      </c>
      <c r="BB1877">
        <v>0</v>
      </c>
      <c r="BC1877">
        <v>0</v>
      </c>
      <c r="BD1877">
        <v>0</v>
      </c>
      <c r="BE1877">
        <v>0</v>
      </c>
      <c r="BF1877">
        <v>0</v>
      </c>
      <c r="BG1877">
        <v>0</v>
      </c>
      <c r="BH1877">
        <v>1</v>
      </c>
      <c r="BI1877">
        <v>6</v>
      </c>
      <c r="BJ1877">
        <v>3.4</v>
      </c>
      <c r="BK1877">
        <v>6</v>
      </c>
      <c r="BL1877">
        <v>209.84</v>
      </c>
      <c r="BM1877">
        <v>31.48</v>
      </c>
      <c r="BN1877">
        <v>241.32</v>
      </c>
      <c r="BO1877">
        <v>241.32</v>
      </c>
      <c r="BQ1877" t="s">
        <v>460</v>
      </c>
      <c r="BR1877" t="s">
        <v>84</v>
      </c>
      <c r="BS1877" s="3">
        <v>45796</v>
      </c>
      <c r="BT1877" s="4">
        <v>0.32291666666666669</v>
      </c>
      <c r="BU1877" t="s">
        <v>461</v>
      </c>
      <c r="BV1877" t="s">
        <v>86</v>
      </c>
      <c r="BY1877">
        <v>16965</v>
      </c>
      <c r="CA1877" t="s">
        <v>462</v>
      </c>
      <c r="CC1877" t="s">
        <v>351</v>
      </c>
      <c r="CD1877">
        <v>4051</v>
      </c>
      <c r="CE1877" t="s">
        <v>96</v>
      </c>
      <c r="CF1877" s="3">
        <v>45796</v>
      </c>
      <c r="CI1877">
        <v>1</v>
      </c>
      <c r="CJ1877">
        <v>1</v>
      </c>
      <c r="CK1877">
        <v>21</v>
      </c>
      <c r="CL1877" t="s">
        <v>89</v>
      </c>
    </row>
    <row r="1878" spans="1:90" x14ac:dyDescent="0.3">
      <c r="A1878" t="s">
        <v>72</v>
      </c>
      <c r="B1878" t="s">
        <v>73</v>
      </c>
      <c r="C1878" t="s">
        <v>74</v>
      </c>
      <c r="E1878" t="str">
        <f>"080065411490"</f>
        <v>080065411490</v>
      </c>
      <c r="F1878" s="3">
        <v>45793</v>
      </c>
      <c r="G1878">
        <v>202602</v>
      </c>
      <c r="H1878" t="s">
        <v>75</v>
      </c>
      <c r="I1878" t="s">
        <v>76</v>
      </c>
      <c r="J1878" t="s">
        <v>77</v>
      </c>
      <c r="K1878" t="s">
        <v>78</v>
      </c>
      <c r="L1878" t="s">
        <v>2278</v>
      </c>
      <c r="M1878" t="s">
        <v>2279</v>
      </c>
      <c r="N1878" t="s">
        <v>2374</v>
      </c>
      <c r="O1878" t="s">
        <v>300</v>
      </c>
      <c r="P1878" t="str">
        <f>"4170039026                    "</f>
        <v xml:space="preserve">4170039026                    </v>
      </c>
      <c r="Q1878">
        <v>0</v>
      </c>
      <c r="R1878">
        <v>0</v>
      </c>
      <c r="S1878">
        <v>0</v>
      </c>
      <c r="T1878">
        <v>0</v>
      </c>
      <c r="U1878">
        <v>0</v>
      </c>
      <c r="V1878">
        <v>0</v>
      </c>
      <c r="W1878">
        <v>0</v>
      </c>
      <c r="X1878">
        <v>0</v>
      </c>
      <c r="Y1878">
        <v>0</v>
      </c>
      <c r="Z1878">
        <v>0</v>
      </c>
      <c r="AA1878">
        <v>0</v>
      </c>
      <c r="AB1878">
        <v>0</v>
      </c>
      <c r="AC1878">
        <v>0</v>
      </c>
      <c r="AD1878">
        <v>0</v>
      </c>
      <c r="AE1878">
        <v>0</v>
      </c>
      <c r="AF1878">
        <v>0</v>
      </c>
      <c r="AG1878">
        <v>0</v>
      </c>
      <c r="AH1878">
        <v>0</v>
      </c>
      <c r="AI1878">
        <v>0</v>
      </c>
      <c r="AJ1878">
        <v>0</v>
      </c>
      <c r="AK1878">
        <v>0</v>
      </c>
      <c r="AL1878">
        <v>0</v>
      </c>
      <c r="AM1878">
        <v>0</v>
      </c>
      <c r="AN1878">
        <v>0</v>
      </c>
      <c r="AO1878">
        <v>0</v>
      </c>
      <c r="AP1878">
        <v>0</v>
      </c>
      <c r="AQ1878">
        <v>41.35</v>
      </c>
      <c r="AR1878">
        <v>0</v>
      </c>
      <c r="AS1878">
        <v>0</v>
      </c>
      <c r="AT1878">
        <v>0</v>
      </c>
      <c r="AU1878">
        <v>0</v>
      </c>
      <c r="AV1878">
        <v>0</v>
      </c>
      <c r="AW1878">
        <v>0</v>
      </c>
      <c r="AX1878">
        <v>0</v>
      </c>
      <c r="AY1878">
        <v>0</v>
      </c>
      <c r="AZ1878">
        <v>0</v>
      </c>
      <c r="BA1878">
        <v>0</v>
      </c>
      <c r="BB1878">
        <v>0</v>
      </c>
      <c r="BC1878">
        <v>0</v>
      </c>
      <c r="BD1878">
        <v>0</v>
      </c>
      <c r="BE1878">
        <v>0</v>
      </c>
      <c r="BF1878">
        <v>0</v>
      </c>
      <c r="BG1878">
        <v>0</v>
      </c>
      <c r="BH1878">
        <v>1</v>
      </c>
      <c r="BI1878">
        <v>1</v>
      </c>
      <c r="BJ1878">
        <v>1.4</v>
      </c>
      <c r="BK1878">
        <v>2</v>
      </c>
      <c r="BL1878">
        <v>140.9</v>
      </c>
      <c r="BM1878">
        <v>21.14</v>
      </c>
      <c r="BN1878">
        <v>162.04</v>
      </c>
      <c r="BO1878">
        <v>162.04</v>
      </c>
      <c r="BQ1878" t="s">
        <v>2375</v>
      </c>
      <c r="BR1878" t="s">
        <v>84</v>
      </c>
      <c r="BS1878" s="3">
        <v>45796</v>
      </c>
      <c r="BT1878" s="4">
        <v>0.37638888888888888</v>
      </c>
      <c r="BU1878" t="s">
        <v>2376</v>
      </c>
      <c r="BV1878" t="s">
        <v>86</v>
      </c>
      <c r="BY1878">
        <v>6840</v>
      </c>
      <c r="CA1878" t="s">
        <v>326</v>
      </c>
      <c r="CC1878" t="s">
        <v>2279</v>
      </c>
      <c r="CD1878">
        <v>4026</v>
      </c>
      <c r="CE1878" t="s">
        <v>1047</v>
      </c>
      <c r="CF1878" s="3">
        <v>45797</v>
      </c>
      <c r="CI1878">
        <v>1</v>
      </c>
      <c r="CJ1878">
        <v>1</v>
      </c>
      <c r="CK1878">
        <v>41</v>
      </c>
      <c r="CL1878" t="s">
        <v>89</v>
      </c>
    </row>
    <row r="1879" spans="1:90" x14ac:dyDescent="0.3">
      <c r="A1879" t="s">
        <v>72</v>
      </c>
      <c r="B1879" t="s">
        <v>73</v>
      </c>
      <c r="C1879" t="s">
        <v>74</v>
      </c>
      <c r="E1879" t="str">
        <f>"080065411511"</f>
        <v>080065411511</v>
      </c>
      <c r="F1879" s="3">
        <v>45793</v>
      </c>
      <c r="G1879">
        <v>202602</v>
      </c>
      <c r="H1879" t="s">
        <v>75</v>
      </c>
      <c r="I1879" t="s">
        <v>76</v>
      </c>
      <c r="J1879" t="s">
        <v>77</v>
      </c>
      <c r="K1879" t="s">
        <v>78</v>
      </c>
      <c r="L1879" t="s">
        <v>123</v>
      </c>
      <c r="M1879" t="s">
        <v>123</v>
      </c>
      <c r="N1879" t="s">
        <v>766</v>
      </c>
      <c r="O1879" t="s">
        <v>82</v>
      </c>
      <c r="P1879" t="str">
        <f>"4170039048                    "</f>
        <v xml:space="preserve">4170039048                    </v>
      </c>
      <c r="Q1879">
        <v>0</v>
      </c>
      <c r="R1879">
        <v>0</v>
      </c>
      <c r="S1879">
        <v>0</v>
      </c>
      <c r="T1879">
        <v>0</v>
      </c>
      <c r="U1879">
        <v>0</v>
      </c>
      <c r="V1879">
        <v>0</v>
      </c>
      <c r="W1879">
        <v>0</v>
      </c>
      <c r="X1879">
        <v>0</v>
      </c>
      <c r="Y1879">
        <v>0</v>
      </c>
      <c r="Z1879">
        <v>0</v>
      </c>
      <c r="AA1879">
        <v>0</v>
      </c>
      <c r="AB1879">
        <v>0</v>
      </c>
      <c r="AC1879">
        <v>0</v>
      </c>
      <c r="AD1879">
        <v>0</v>
      </c>
      <c r="AE1879">
        <v>0</v>
      </c>
      <c r="AF1879">
        <v>0</v>
      </c>
      <c r="AG1879">
        <v>0</v>
      </c>
      <c r="AH1879">
        <v>0</v>
      </c>
      <c r="AI1879">
        <v>0</v>
      </c>
      <c r="AJ1879">
        <v>0</v>
      </c>
      <c r="AK1879">
        <v>0</v>
      </c>
      <c r="AL1879">
        <v>0</v>
      </c>
      <c r="AM1879">
        <v>0</v>
      </c>
      <c r="AN1879">
        <v>0</v>
      </c>
      <c r="AO1879">
        <v>0</v>
      </c>
      <c r="AP1879">
        <v>0</v>
      </c>
      <c r="AQ1879">
        <v>69.489999999999995</v>
      </c>
      <c r="AR1879">
        <v>0</v>
      </c>
      <c r="AS1879">
        <v>0</v>
      </c>
      <c r="AT1879">
        <v>0</v>
      </c>
      <c r="AU1879">
        <v>0</v>
      </c>
      <c r="AV1879">
        <v>0</v>
      </c>
      <c r="AW1879">
        <v>0</v>
      </c>
      <c r="AX1879">
        <v>0</v>
      </c>
      <c r="AY1879">
        <v>0</v>
      </c>
      <c r="AZ1879">
        <v>0</v>
      </c>
      <c r="BA1879">
        <v>0</v>
      </c>
      <c r="BB1879">
        <v>0</v>
      </c>
      <c r="BC1879">
        <v>0</v>
      </c>
      <c r="BD1879">
        <v>0</v>
      </c>
      <c r="BE1879">
        <v>0</v>
      </c>
      <c r="BF1879">
        <v>0</v>
      </c>
      <c r="BG1879">
        <v>0</v>
      </c>
      <c r="BH1879">
        <v>1</v>
      </c>
      <c r="BI1879">
        <v>1</v>
      </c>
      <c r="BJ1879">
        <v>3.4</v>
      </c>
      <c r="BK1879">
        <v>3.5</v>
      </c>
      <c r="BL1879">
        <v>227.43</v>
      </c>
      <c r="BM1879">
        <v>34.11</v>
      </c>
      <c r="BN1879">
        <v>261.54000000000002</v>
      </c>
      <c r="BO1879">
        <v>261.54000000000002</v>
      </c>
      <c r="BQ1879" t="s">
        <v>767</v>
      </c>
      <c r="BR1879" t="s">
        <v>84</v>
      </c>
      <c r="BS1879" s="3">
        <v>45796</v>
      </c>
      <c r="BT1879" s="4">
        <v>0.52083333333333337</v>
      </c>
      <c r="BU1879" t="s">
        <v>2401</v>
      </c>
      <c r="BV1879" t="s">
        <v>86</v>
      </c>
      <c r="BY1879">
        <v>17136</v>
      </c>
      <c r="CA1879" t="s">
        <v>2381</v>
      </c>
      <c r="CC1879" t="s">
        <v>123</v>
      </c>
      <c r="CD1879">
        <v>7646</v>
      </c>
      <c r="CE1879" t="s">
        <v>221</v>
      </c>
      <c r="CF1879" s="3">
        <v>45797</v>
      </c>
      <c r="CI1879">
        <v>1</v>
      </c>
      <c r="CJ1879">
        <v>1</v>
      </c>
      <c r="CK1879">
        <v>23</v>
      </c>
      <c r="CL1879" t="s">
        <v>89</v>
      </c>
    </row>
    <row r="1880" spans="1:90" x14ac:dyDescent="0.3">
      <c r="A1880" t="s">
        <v>72</v>
      </c>
      <c r="B1880" t="s">
        <v>73</v>
      </c>
      <c r="C1880" t="s">
        <v>74</v>
      </c>
      <c r="E1880" t="str">
        <f>"080065411528"</f>
        <v>080065411528</v>
      </c>
      <c r="F1880" s="3">
        <v>45793</v>
      </c>
      <c r="G1880">
        <v>202602</v>
      </c>
      <c r="H1880" t="s">
        <v>75</v>
      </c>
      <c r="I1880" t="s">
        <v>76</v>
      </c>
      <c r="J1880" t="s">
        <v>77</v>
      </c>
      <c r="K1880" t="s">
        <v>78</v>
      </c>
      <c r="L1880" t="s">
        <v>136</v>
      </c>
      <c r="M1880" t="s">
        <v>137</v>
      </c>
      <c r="N1880" t="s">
        <v>886</v>
      </c>
      <c r="O1880" t="s">
        <v>82</v>
      </c>
      <c r="P1880" t="str">
        <f>"4170039044                    "</f>
        <v xml:space="preserve">4170039044                    </v>
      </c>
      <c r="Q1880">
        <v>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c r="AJ1880">
        <v>0</v>
      </c>
      <c r="AK1880">
        <v>0</v>
      </c>
      <c r="AL1880">
        <v>0</v>
      </c>
      <c r="AM1880">
        <v>0</v>
      </c>
      <c r="AN1880">
        <v>0</v>
      </c>
      <c r="AO1880">
        <v>0</v>
      </c>
      <c r="AP1880">
        <v>0</v>
      </c>
      <c r="AQ1880">
        <v>32.07</v>
      </c>
      <c r="AR1880">
        <v>0</v>
      </c>
      <c r="AS1880">
        <v>0</v>
      </c>
      <c r="AT1880">
        <v>0</v>
      </c>
      <c r="AU1880">
        <v>0</v>
      </c>
      <c r="AV1880">
        <v>0</v>
      </c>
      <c r="AW1880">
        <v>0</v>
      </c>
      <c r="AX1880">
        <v>0</v>
      </c>
      <c r="AY1880">
        <v>0</v>
      </c>
      <c r="AZ1880">
        <v>0</v>
      </c>
      <c r="BA1880">
        <v>0</v>
      </c>
      <c r="BB1880">
        <v>0</v>
      </c>
      <c r="BC1880">
        <v>0</v>
      </c>
      <c r="BD1880">
        <v>0</v>
      </c>
      <c r="BE1880">
        <v>0</v>
      </c>
      <c r="BF1880">
        <v>0</v>
      </c>
      <c r="BG1880">
        <v>0</v>
      </c>
      <c r="BH1880">
        <v>1</v>
      </c>
      <c r="BI1880">
        <v>3</v>
      </c>
      <c r="BJ1880">
        <v>1.1000000000000001</v>
      </c>
      <c r="BK1880">
        <v>3</v>
      </c>
      <c r="BL1880">
        <v>104.95</v>
      </c>
      <c r="BM1880">
        <v>15.74</v>
      </c>
      <c r="BN1880">
        <v>120.69</v>
      </c>
      <c r="BO1880">
        <v>120.69</v>
      </c>
      <c r="BQ1880" t="s">
        <v>887</v>
      </c>
      <c r="BR1880" t="s">
        <v>84</v>
      </c>
      <c r="BS1880" s="3">
        <v>45796</v>
      </c>
      <c r="BT1880" s="4">
        <v>0.42430555555555555</v>
      </c>
      <c r="BU1880" t="s">
        <v>2402</v>
      </c>
      <c r="BV1880" t="s">
        <v>86</v>
      </c>
      <c r="BY1880">
        <v>5600</v>
      </c>
      <c r="BZ1880" t="s">
        <v>127</v>
      </c>
      <c r="CA1880" t="s">
        <v>889</v>
      </c>
      <c r="CC1880" t="s">
        <v>137</v>
      </c>
      <c r="CD1880" s="5" t="s">
        <v>738</v>
      </c>
      <c r="CE1880" t="s">
        <v>221</v>
      </c>
      <c r="CF1880" s="3">
        <v>45796</v>
      </c>
      <c r="CI1880">
        <v>1</v>
      </c>
      <c r="CJ1880">
        <v>1</v>
      </c>
      <c r="CK1880">
        <v>21</v>
      </c>
      <c r="CL1880" t="s">
        <v>89</v>
      </c>
    </row>
    <row r="1881" spans="1:90" x14ac:dyDescent="0.3">
      <c r="A1881" t="s">
        <v>72</v>
      </c>
      <c r="B1881" t="s">
        <v>73</v>
      </c>
      <c r="C1881" t="s">
        <v>74</v>
      </c>
      <c r="E1881" t="str">
        <f>"080065411538"</f>
        <v>080065411538</v>
      </c>
      <c r="F1881" s="3">
        <v>45793</v>
      </c>
      <c r="G1881">
        <v>202602</v>
      </c>
      <c r="H1881" t="s">
        <v>75</v>
      </c>
      <c r="I1881" t="s">
        <v>76</v>
      </c>
      <c r="J1881" t="s">
        <v>77</v>
      </c>
      <c r="K1881" t="s">
        <v>78</v>
      </c>
      <c r="L1881" t="s">
        <v>374</v>
      </c>
      <c r="M1881" t="s">
        <v>375</v>
      </c>
      <c r="N1881" t="s">
        <v>376</v>
      </c>
      <c r="O1881" t="s">
        <v>82</v>
      </c>
      <c r="P1881" t="str">
        <f>"4170038994                    "</f>
        <v xml:space="preserve">4170038994                    </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0</v>
      </c>
      <c r="AL1881">
        <v>0</v>
      </c>
      <c r="AM1881">
        <v>0</v>
      </c>
      <c r="AN1881">
        <v>0</v>
      </c>
      <c r="AO1881">
        <v>0</v>
      </c>
      <c r="AP1881">
        <v>0</v>
      </c>
      <c r="AQ1881">
        <v>41.43</v>
      </c>
      <c r="AR1881">
        <v>0</v>
      </c>
      <c r="AS1881">
        <v>0</v>
      </c>
      <c r="AT1881">
        <v>0</v>
      </c>
      <c r="AU1881">
        <v>0</v>
      </c>
      <c r="AV1881">
        <v>0</v>
      </c>
      <c r="AW1881">
        <v>0</v>
      </c>
      <c r="AX1881">
        <v>0</v>
      </c>
      <c r="AY1881">
        <v>0</v>
      </c>
      <c r="AZ1881">
        <v>0</v>
      </c>
      <c r="BA1881">
        <v>0</v>
      </c>
      <c r="BB1881">
        <v>0</v>
      </c>
      <c r="BC1881">
        <v>0</v>
      </c>
      <c r="BD1881">
        <v>0</v>
      </c>
      <c r="BE1881">
        <v>0</v>
      </c>
      <c r="BF1881">
        <v>0</v>
      </c>
      <c r="BG1881">
        <v>0</v>
      </c>
      <c r="BH1881">
        <v>1</v>
      </c>
      <c r="BI1881">
        <v>2</v>
      </c>
      <c r="BJ1881">
        <v>0.9</v>
      </c>
      <c r="BK1881">
        <v>2</v>
      </c>
      <c r="BL1881">
        <v>135.59</v>
      </c>
      <c r="BM1881">
        <v>20.34</v>
      </c>
      <c r="BN1881">
        <v>155.93</v>
      </c>
      <c r="BO1881">
        <v>155.93</v>
      </c>
      <c r="BQ1881" t="s">
        <v>377</v>
      </c>
      <c r="BR1881" t="s">
        <v>84</v>
      </c>
      <c r="BS1881" s="3">
        <v>45796</v>
      </c>
      <c r="BT1881" s="4">
        <v>0.39652777777777776</v>
      </c>
      <c r="BU1881" t="s">
        <v>2403</v>
      </c>
      <c r="BV1881" t="s">
        <v>86</v>
      </c>
      <c r="BY1881">
        <v>4275</v>
      </c>
      <c r="BZ1881" t="s">
        <v>127</v>
      </c>
      <c r="CA1881" t="s">
        <v>379</v>
      </c>
      <c r="CC1881" t="s">
        <v>375</v>
      </c>
      <c r="CD1881">
        <v>7130</v>
      </c>
      <c r="CE1881" t="s">
        <v>116</v>
      </c>
      <c r="CF1881" s="3">
        <v>45797</v>
      </c>
      <c r="CI1881">
        <v>1</v>
      </c>
      <c r="CJ1881">
        <v>1</v>
      </c>
      <c r="CK1881">
        <v>23</v>
      </c>
      <c r="CL1881" t="s">
        <v>89</v>
      </c>
    </row>
    <row r="1882" spans="1:90" x14ac:dyDescent="0.3">
      <c r="A1882" t="s">
        <v>72</v>
      </c>
      <c r="B1882" t="s">
        <v>73</v>
      </c>
      <c r="C1882" t="s">
        <v>74</v>
      </c>
      <c r="E1882" t="str">
        <f>"080065411565"</f>
        <v>080065411565</v>
      </c>
      <c r="F1882" s="3">
        <v>45793</v>
      </c>
      <c r="G1882">
        <v>202602</v>
      </c>
      <c r="H1882" t="s">
        <v>75</v>
      </c>
      <c r="I1882" t="s">
        <v>76</v>
      </c>
      <c r="J1882" t="s">
        <v>77</v>
      </c>
      <c r="K1882" t="s">
        <v>78</v>
      </c>
      <c r="L1882" t="s">
        <v>136</v>
      </c>
      <c r="M1882" t="s">
        <v>137</v>
      </c>
      <c r="N1882" t="s">
        <v>1235</v>
      </c>
      <c r="O1882" t="s">
        <v>300</v>
      </c>
      <c r="P1882" t="str">
        <f>"4170039010                    "</f>
        <v xml:space="preserve">4170039010                    </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c r="AJ1882">
        <v>0</v>
      </c>
      <c r="AK1882">
        <v>0</v>
      </c>
      <c r="AL1882">
        <v>0</v>
      </c>
      <c r="AM1882">
        <v>0</v>
      </c>
      <c r="AN1882">
        <v>0</v>
      </c>
      <c r="AO1882">
        <v>0</v>
      </c>
      <c r="AP1882">
        <v>0</v>
      </c>
      <c r="AQ1882">
        <v>41.35</v>
      </c>
      <c r="AR1882">
        <v>0</v>
      </c>
      <c r="AS1882">
        <v>0</v>
      </c>
      <c r="AT1882">
        <v>0</v>
      </c>
      <c r="AU1882">
        <v>0</v>
      </c>
      <c r="AV1882">
        <v>0</v>
      </c>
      <c r="AW1882">
        <v>0</v>
      </c>
      <c r="AX1882">
        <v>0</v>
      </c>
      <c r="AY1882">
        <v>0</v>
      </c>
      <c r="AZ1882">
        <v>0</v>
      </c>
      <c r="BA1882">
        <v>0</v>
      </c>
      <c r="BB1882">
        <v>0</v>
      </c>
      <c r="BC1882">
        <v>0</v>
      </c>
      <c r="BD1882">
        <v>0</v>
      </c>
      <c r="BE1882">
        <v>0</v>
      </c>
      <c r="BF1882">
        <v>0</v>
      </c>
      <c r="BG1882">
        <v>0</v>
      </c>
      <c r="BH1882">
        <v>1</v>
      </c>
      <c r="BI1882">
        <v>4</v>
      </c>
      <c r="BJ1882">
        <v>6.5</v>
      </c>
      <c r="BK1882">
        <v>7</v>
      </c>
      <c r="BL1882">
        <v>140.9</v>
      </c>
      <c r="BM1882">
        <v>21.14</v>
      </c>
      <c r="BN1882">
        <v>162.04</v>
      </c>
      <c r="BO1882">
        <v>162.04</v>
      </c>
      <c r="BQ1882" t="s">
        <v>1236</v>
      </c>
      <c r="BR1882" t="s">
        <v>84</v>
      </c>
      <c r="BS1882" s="3">
        <v>45796</v>
      </c>
      <c r="BT1882" s="4">
        <v>0.33958333333333335</v>
      </c>
      <c r="BU1882" t="s">
        <v>1604</v>
      </c>
      <c r="BV1882" t="s">
        <v>86</v>
      </c>
      <c r="BY1882">
        <v>32256</v>
      </c>
      <c r="BZ1882" t="s">
        <v>303</v>
      </c>
      <c r="CA1882" t="s">
        <v>1238</v>
      </c>
      <c r="CC1882" t="s">
        <v>137</v>
      </c>
      <c r="CD1882" s="5" t="s">
        <v>1239</v>
      </c>
      <c r="CE1882" t="s">
        <v>221</v>
      </c>
      <c r="CF1882" s="3">
        <v>45796</v>
      </c>
      <c r="CI1882">
        <v>1</v>
      </c>
      <c r="CJ1882">
        <v>1</v>
      </c>
      <c r="CK1882">
        <v>41</v>
      </c>
      <c r="CL1882" t="s">
        <v>89</v>
      </c>
    </row>
    <row r="1883" spans="1:90" x14ac:dyDescent="0.3">
      <c r="A1883" t="s">
        <v>72</v>
      </c>
      <c r="B1883" t="s">
        <v>73</v>
      </c>
      <c r="C1883" t="s">
        <v>74</v>
      </c>
      <c r="E1883" t="str">
        <f>"080065411584"</f>
        <v>080065411584</v>
      </c>
      <c r="F1883" s="3">
        <v>45793</v>
      </c>
      <c r="G1883">
        <v>202602</v>
      </c>
      <c r="H1883" t="s">
        <v>75</v>
      </c>
      <c r="I1883" t="s">
        <v>76</v>
      </c>
      <c r="J1883" t="s">
        <v>77</v>
      </c>
      <c r="K1883" t="s">
        <v>78</v>
      </c>
      <c r="L1883" t="s">
        <v>1214</v>
      </c>
      <c r="M1883" t="s">
        <v>1215</v>
      </c>
      <c r="N1883" t="s">
        <v>1216</v>
      </c>
      <c r="O1883" t="s">
        <v>82</v>
      </c>
      <c r="P1883" t="str">
        <f>"4170039022                    "</f>
        <v xml:space="preserve">4170039022                    </v>
      </c>
      <c r="Q1883">
        <v>0</v>
      </c>
      <c r="R1883">
        <v>0</v>
      </c>
      <c r="S1883">
        <v>0</v>
      </c>
      <c r="T1883">
        <v>0</v>
      </c>
      <c r="U1883">
        <v>0</v>
      </c>
      <c r="V1883">
        <v>0</v>
      </c>
      <c r="W1883">
        <v>0</v>
      </c>
      <c r="X1883">
        <v>0</v>
      </c>
      <c r="Y1883">
        <v>0</v>
      </c>
      <c r="Z1883">
        <v>0</v>
      </c>
      <c r="AA1883">
        <v>0</v>
      </c>
      <c r="AB1883">
        <v>0</v>
      </c>
      <c r="AC1883">
        <v>0</v>
      </c>
      <c r="AD1883">
        <v>0</v>
      </c>
      <c r="AE1883">
        <v>0</v>
      </c>
      <c r="AF1883">
        <v>0</v>
      </c>
      <c r="AG1883">
        <v>0</v>
      </c>
      <c r="AH1883">
        <v>0</v>
      </c>
      <c r="AI1883">
        <v>0</v>
      </c>
      <c r="AJ1883">
        <v>0</v>
      </c>
      <c r="AK1883">
        <v>0</v>
      </c>
      <c r="AL1883">
        <v>0</v>
      </c>
      <c r="AM1883">
        <v>0</v>
      </c>
      <c r="AN1883">
        <v>0</v>
      </c>
      <c r="AO1883">
        <v>0</v>
      </c>
      <c r="AP1883">
        <v>0</v>
      </c>
      <c r="AQ1883">
        <v>37.409999999999997</v>
      </c>
      <c r="AR1883">
        <v>0</v>
      </c>
      <c r="AS1883">
        <v>0</v>
      </c>
      <c r="AT1883">
        <v>0</v>
      </c>
      <c r="AU1883">
        <v>0</v>
      </c>
      <c r="AV1883">
        <v>0</v>
      </c>
      <c r="AW1883">
        <v>0</v>
      </c>
      <c r="AX1883">
        <v>0</v>
      </c>
      <c r="AY1883">
        <v>0</v>
      </c>
      <c r="AZ1883">
        <v>0</v>
      </c>
      <c r="BA1883">
        <v>0</v>
      </c>
      <c r="BB1883">
        <v>0</v>
      </c>
      <c r="BC1883">
        <v>0</v>
      </c>
      <c r="BD1883">
        <v>0</v>
      </c>
      <c r="BE1883">
        <v>0</v>
      </c>
      <c r="BF1883">
        <v>0</v>
      </c>
      <c r="BG1883">
        <v>0</v>
      </c>
      <c r="BH1883">
        <v>1</v>
      </c>
      <c r="BI1883">
        <v>2</v>
      </c>
      <c r="BJ1883">
        <v>3.4</v>
      </c>
      <c r="BK1883">
        <v>3.5</v>
      </c>
      <c r="BL1883">
        <v>122.43</v>
      </c>
      <c r="BM1883">
        <v>18.36</v>
      </c>
      <c r="BN1883">
        <v>140.79</v>
      </c>
      <c r="BO1883">
        <v>140.79</v>
      </c>
      <c r="BQ1883" t="s">
        <v>1217</v>
      </c>
      <c r="BR1883" t="s">
        <v>84</v>
      </c>
      <c r="BS1883" s="3">
        <v>45796</v>
      </c>
      <c r="BT1883" s="4">
        <v>0.40277777777777779</v>
      </c>
      <c r="BU1883" t="s">
        <v>2404</v>
      </c>
      <c r="BV1883" t="s">
        <v>86</v>
      </c>
      <c r="BY1883">
        <v>16965</v>
      </c>
      <c r="CA1883" t="s">
        <v>2405</v>
      </c>
      <c r="CC1883" t="s">
        <v>1215</v>
      </c>
      <c r="CD1883">
        <v>4302</v>
      </c>
      <c r="CE1883" t="s">
        <v>96</v>
      </c>
      <c r="CF1883" s="3">
        <v>45796</v>
      </c>
      <c r="CI1883">
        <v>1</v>
      </c>
      <c r="CJ1883">
        <v>1</v>
      </c>
      <c r="CK1883">
        <v>21</v>
      </c>
      <c r="CL1883" t="s">
        <v>89</v>
      </c>
    </row>
    <row r="1884" spans="1:90" x14ac:dyDescent="0.3">
      <c r="A1884" t="s">
        <v>72</v>
      </c>
      <c r="B1884" t="s">
        <v>73</v>
      </c>
      <c r="C1884" t="s">
        <v>74</v>
      </c>
      <c r="E1884" t="str">
        <f>"080065411605"</f>
        <v>080065411605</v>
      </c>
      <c r="F1884" s="3">
        <v>45793</v>
      </c>
      <c r="G1884">
        <v>202602</v>
      </c>
      <c r="H1884" t="s">
        <v>75</v>
      </c>
      <c r="I1884" t="s">
        <v>76</v>
      </c>
      <c r="J1884" t="s">
        <v>77</v>
      </c>
      <c r="K1884" t="s">
        <v>78</v>
      </c>
      <c r="L1884" t="s">
        <v>648</v>
      </c>
      <c r="M1884" t="s">
        <v>649</v>
      </c>
      <c r="N1884" t="s">
        <v>762</v>
      </c>
      <c r="O1884" t="s">
        <v>82</v>
      </c>
      <c r="P1884" t="str">
        <f>"4170038957                    "</f>
        <v xml:space="preserve">4170038957                    </v>
      </c>
      <c r="Q1884">
        <v>0</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c r="AJ1884">
        <v>0</v>
      </c>
      <c r="AK1884">
        <v>0</v>
      </c>
      <c r="AL1884">
        <v>0</v>
      </c>
      <c r="AM1884">
        <v>0</v>
      </c>
      <c r="AN1884">
        <v>0</v>
      </c>
      <c r="AO1884">
        <v>0</v>
      </c>
      <c r="AP1884">
        <v>0</v>
      </c>
      <c r="AQ1884">
        <v>16.7</v>
      </c>
      <c r="AR1884">
        <v>0</v>
      </c>
      <c r="AS1884">
        <v>0</v>
      </c>
      <c r="AT1884">
        <v>0</v>
      </c>
      <c r="AU1884">
        <v>0</v>
      </c>
      <c r="AV1884">
        <v>0</v>
      </c>
      <c r="AW1884">
        <v>0</v>
      </c>
      <c r="AX1884">
        <v>0</v>
      </c>
      <c r="AY1884">
        <v>0</v>
      </c>
      <c r="AZ1884">
        <v>0</v>
      </c>
      <c r="BA1884">
        <v>0</v>
      </c>
      <c r="BB1884">
        <v>0</v>
      </c>
      <c r="BC1884">
        <v>0</v>
      </c>
      <c r="BD1884">
        <v>0</v>
      </c>
      <c r="BE1884">
        <v>0</v>
      </c>
      <c r="BF1884">
        <v>0</v>
      </c>
      <c r="BG1884">
        <v>0</v>
      </c>
      <c r="BH1884">
        <v>1</v>
      </c>
      <c r="BI1884">
        <v>2</v>
      </c>
      <c r="BJ1884">
        <v>3.1</v>
      </c>
      <c r="BK1884">
        <v>4</v>
      </c>
      <c r="BL1884">
        <v>54.66</v>
      </c>
      <c r="BM1884">
        <v>8.1999999999999993</v>
      </c>
      <c r="BN1884">
        <v>62.86</v>
      </c>
      <c r="BO1884">
        <v>62.86</v>
      </c>
      <c r="BQ1884" t="s">
        <v>763</v>
      </c>
      <c r="BR1884" t="s">
        <v>84</v>
      </c>
      <c r="BS1884" s="3">
        <v>45796</v>
      </c>
      <c r="BT1884" s="4">
        <v>0.41666666666666669</v>
      </c>
      <c r="BU1884" t="s">
        <v>2406</v>
      </c>
      <c r="BV1884" t="s">
        <v>86</v>
      </c>
      <c r="BY1884">
        <v>15708</v>
      </c>
      <c r="CA1884" t="s">
        <v>2407</v>
      </c>
      <c r="CC1884" t="s">
        <v>649</v>
      </c>
      <c r="CD1884">
        <v>1559</v>
      </c>
      <c r="CE1884" t="s">
        <v>221</v>
      </c>
      <c r="CF1884" s="3">
        <v>45796</v>
      </c>
      <c r="CI1884">
        <v>1</v>
      </c>
      <c r="CJ1884">
        <v>1</v>
      </c>
      <c r="CK1884">
        <v>22</v>
      </c>
      <c r="CL1884" t="s">
        <v>89</v>
      </c>
    </row>
    <row r="1885" spans="1:90" x14ac:dyDescent="0.3">
      <c r="A1885" t="s">
        <v>72</v>
      </c>
      <c r="B1885" t="s">
        <v>73</v>
      </c>
      <c r="C1885" t="s">
        <v>74</v>
      </c>
      <c r="E1885" t="str">
        <f>"080065411624"</f>
        <v>080065411624</v>
      </c>
      <c r="F1885" s="3">
        <v>45793</v>
      </c>
      <c r="G1885">
        <v>202602</v>
      </c>
      <c r="H1885" t="s">
        <v>75</v>
      </c>
      <c r="I1885" t="s">
        <v>76</v>
      </c>
      <c r="J1885" t="s">
        <v>77</v>
      </c>
      <c r="K1885" t="s">
        <v>78</v>
      </c>
      <c r="L1885" t="s">
        <v>97</v>
      </c>
      <c r="M1885" t="s">
        <v>98</v>
      </c>
      <c r="N1885" t="s">
        <v>1859</v>
      </c>
      <c r="O1885" t="s">
        <v>82</v>
      </c>
      <c r="P1885" t="str">
        <f>"4170038992                    "</f>
        <v xml:space="preserve">4170038992                    </v>
      </c>
      <c r="Q1885">
        <v>0</v>
      </c>
      <c r="R1885">
        <v>0</v>
      </c>
      <c r="S1885">
        <v>0</v>
      </c>
      <c r="T1885">
        <v>0</v>
      </c>
      <c r="U1885">
        <v>0</v>
      </c>
      <c r="V1885">
        <v>0</v>
      </c>
      <c r="W1885">
        <v>0</v>
      </c>
      <c r="X1885">
        <v>0</v>
      </c>
      <c r="Y1885">
        <v>0</v>
      </c>
      <c r="Z1885">
        <v>0</v>
      </c>
      <c r="AA1885">
        <v>0</v>
      </c>
      <c r="AB1885">
        <v>0</v>
      </c>
      <c r="AC1885">
        <v>0</v>
      </c>
      <c r="AD1885">
        <v>0</v>
      </c>
      <c r="AE1885">
        <v>0</v>
      </c>
      <c r="AF1885">
        <v>0</v>
      </c>
      <c r="AG1885">
        <v>0</v>
      </c>
      <c r="AH1885">
        <v>0</v>
      </c>
      <c r="AI1885">
        <v>0</v>
      </c>
      <c r="AJ1885">
        <v>0</v>
      </c>
      <c r="AK1885">
        <v>0</v>
      </c>
      <c r="AL1885">
        <v>0</v>
      </c>
      <c r="AM1885">
        <v>0</v>
      </c>
      <c r="AN1885">
        <v>0</v>
      </c>
      <c r="AO1885">
        <v>0</v>
      </c>
      <c r="AP1885">
        <v>0</v>
      </c>
      <c r="AQ1885">
        <v>16.7</v>
      </c>
      <c r="AR1885">
        <v>0</v>
      </c>
      <c r="AS1885">
        <v>0</v>
      </c>
      <c r="AT1885">
        <v>0</v>
      </c>
      <c r="AU1885">
        <v>0</v>
      </c>
      <c r="AV1885">
        <v>0</v>
      </c>
      <c r="AW1885">
        <v>0</v>
      </c>
      <c r="AX1885">
        <v>0</v>
      </c>
      <c r="AY1885">
        <v>0</v>
      </c>
      <c r="AZ1885">
        <v>0</v>
      </c>
      <c r="BA1885">
        <v>0</v>
      </c>
      <c r="BB1885">
        <v>0</v>
      </c>
      <c r="BC1885">
        <v>0</v>
      </c>
      <c r="BD1885">
        <v>0</v>
      </c>
      <c r="BE1885">
        <v>0</v>
      </c>
      <c r="BF1885">
        <v>0</v>
      </c>
      <c r="BG1885">
        <v>0</v>
      </c>
      <c r="BH1885">
        <v>1</v>
      </c>
      <c r="BI1885">
        <v>2</v>
      </c>
      <c r="BJ1885">
        <v>1.1000000000000001</v>
      </c>
      <c r="BK1885">
        <v>2</v>
      </c>
      <c r="BL1885">
        <v>54.66</v>
      </c>
      <c r="BM1885">
        <v>8.1999999999999993</v>
      </c>
      <c r="BN1885">
        <v>62.86</v>
      </c>
      <c r="BO1885">
        <v>62.86</v>
      </c>
      <c r="BQ1885" t="s">
        <v>1860</v>
      </c>
      <c r="BR1885" t="s">
        <v>84</v>
      </c>
      <c r="BS1885" s="3">
        <v>45796</v>
      </c>
      <c r="BT1885" s="4">
        <v>0.39583333333333331</v>
      </c>
      <c r="BU1885" t="s">
        <v>1654</v>
      </c>
      <c r="BV1885" t="s">
        <v>86</v>
      </c>
      <c r="BY1885">
        <v>5320</v>
      </c>
      <c r="CA1885" t="s">
        <v>175</v>
      </c>
      <c r="CC1885" t="s">
        <v>98</v>
      </c>
      <c r="CD1885">
        <v>1459</v>
      </c>
      <c r="CE1885" t="s">
        <v>116</v>
      </c>
      <c r="CF1885" s="3">
        <v>45797</v>
      </c>
      <c r="CI1885">
        <v>1</v>
      </c>
      <c r="CJ1885">
        <v>1</v>
      </c>
      <c r="CK1885">
        <v>22</v>
      </c>
      <c r="CL1885" t="s">
        <v>89</v>
      </c>
    </row>
    <row r="1886" spans="1:90" x14ac:dyDescent="0.3">
      <c r="A1886" t="s">
        <v>72</v>
      </c>
      <c r="B1886" t="s">
        <v>73</v>
      </c>
      <c r="C1886" t="s">
        <v>74</v>
      </c>
      <c r="E1886" t="str">
        <f>"080065411700"</f>
        <v>080065411700</v>
      </c>
      <c r="F1886" s="3">
        <v>45793</v>
      </c>
      <c r="G1886">
        <v>202602</v>
      </c>
      <c r="H1886" t="s">
        <v>75</v>
      </c>
      <c r="I1886" t="s">
        <v>76</v>
      </c>
      <c r="J1886" t="s">
        <v>77</v>
      </c>
      <c r="K1886" t="s">
        <v>78</v>
      </c>
      <c r="L1886" t="s">
        <v>177</v>
      </c>
      <c r="M1886" t="s">
        <v>178</v>
      </c>
      <c r="N1886" t="s">
        <v>2408</v>
      </c>
      <c r="O1886" t="s">
        <v>82</v>
      </c>
      <c r="P1886" t="str">
        <f>"4170039045                    "</f>
        <v xml:space="preserve">4170039045                    </v>
      </c>
      <c r="Q1886">
        <v>0</v>
      </c>
      <c r="R1886">
        <v>0</v>
      </c>
      <c r="S1886">
        <v>0</v>
      </c>
      <c r="T1886">
        <v>0</v>
      </c>
      <c r="U1886">
        <v>0</v>
      </c>
      <c r="V1886">
        <v>0</v>
      </c>
      <c r="W1886">
        <v>0</v>
      </c>
      <c r="X1886">
        <v>0</v>
      </c>
      <c r="Y1886">
        <v>0</v>
      </c>
      <c r="Z1886">
        <v>0</v>
      </c>
      <c r="AA1886">
        <v>0</v>
      </c>
      <c r="AB1886">
        <v>0</v>
      </c>
      <c r="AC1886">
        <v>0</v>
      </c>
      <c r="AD1886">
        <v>0</v>
      </c>
      <c r="AE1886">
        <v>0</v>
      </c>
      <c r="AF1886">
        <v>0</v>
      </c>
      <c r="AG1886">
        <v>0</v>
      </c>
      <c r="AH1886">
        <v>0</v>
      </c>
      <c r="AI1886">
        <v>0</v>
      </c>
      <c r="AJ1886">
        <v>0</v>
      </c>
      <c r="AK1886">
        <v>0</v>
      </c>
      <c r="AL1886">
        <v>0</v>
      </c>
      <c r="AM1886">
        <v>0</v>
      </c>
      <c r="AN1886">
        <v>0</v>
      </c>
      <c r="AO1886">
        <v>0</v>
      </c>
      <c r="AP1886">
        <v>0</v>
      </c>
      <c r="AQ1886">
        <v>21.38</v>
      </c>
      <c r="AR1886">
        <v>0</v>
      </c>
      <c r="AS1886">
        <v>0</v>
      </c>
      <c r="AT1886">
        <v>0</v>
      </c>
      <c r="AU1886">
        <v>0</v>
      </c>
      <c r="AV1886">
        <v>0</v>
      </c>
      <c r="AW1886">
        <v>0</v>
      </c>
      <c r="AX1886">
        <v>0</v>
      </c>
      <c r="AY1886">
        <v>0</v>
      </c>
      <c r="AZ1886">
        <v>0</v>
      </c>
      <c r="BA1886">
        <v>0</v>
      </c>
      <c r="BB1886">
        <v>0</v>
      </c>
      <c r="BC1886">
        <v>0</v>
      </c>
      <c r="BD1886">
        <v>0</v>
      </c>
      <c r="BE1886">
        <v>0</v>
      </c>
      <c r="BF1886">
        <v>0</v>
      </c>
      <c r="BG1886">
        <v>0</v>
      </c>
      <c r="BH1886">
        <v>1</v>
      </c>
      <c r="BI1886">
        <v>2</v>
      </c>
      <c r="BJ1886">
        <v>1</v>
      </c>
      <c r="BK1886">
        <v>2</v>
      </c>
      <c r="BL1886">
        <v>69.98</v>
      </c>
      <c r="BM1886">
        <v>10.5</v>
      </c>
      <c r="BN1886">
        <v>80.48</v>
      </c>
      <c r="BO1886">
        <v>80.48</v>
      </c>
      <c r="BQ1886" t="s">
        <v>2409</v>
      </c>
      <c r="BR1886" t="s">
        <v>84</v>
      </c>
      <c r="BS1886" s="3">
        <v>45796</v>
      </c>
      <c r="BT1886" s="4">
        <v>0.35972222222222222</v>
      </c>
      <c r="BU1886" t="s">
        <v>2410</v>
      </c>
      <c r="BV1886" t="s">
        <v>86</v>
      </c>
      <c r="BY1886">
        <v>5184</v>
      </c>
      <c r="CC1886" t="s">
        <v>178</v>
      </c>
      <c r="CD1886">
        <v>6229</v>
      </c>
      <c r="CE1886" t="s">
        <v>221</v>
      </c>
      <c r="CF1886" s="3">
        <v>45796</v>
      </c>
      <c r="CI1886">
        <v>1</v>
      </c>
      <c r="CJ1886">
        <v>1</v>
      </c>
      <c r="CK1886">
        <v>21</v>
      </c>
      <c r="CL1886" t="s">
        <v>89</v>
      </c>
    </row>
    <row r="1887" spans="1:90" x14ac:dyDescent="0.3">
      <c r="A1887" t="s">
        <v>72</v>
      </c>
      <c r="B1887" t="s">
        <v>73</v>
      </c>
      <c r="C1887" t="s">
        <v>74</v>
      </c>
      <c r="E1887" t="str">
        <f>"080065411717"</f>
        <v>080065411717</v>
      </c>
      <c r="F1887" s="3">
        <v>45793</v>
      </c>
      <c r="G1887">
        <v>202602</v>
      </c>
      <c r="H1887" t="s">
        <v>75</v>
      </c>
      <c r="I1887" t="s">
        <v>76</v>
      </c>
      <c r="J1887" t="s">
        <v>77</v>
      </c>
      <c r="K1887" t="s">
        <v>78</v>
      </c>
      <c r="L1887" t="s">
        <v>350</v>
      </c>
      <c r="M1887" t="s">
        <v>351</v>
      </c>
      <c r="N1887" t="s">
        <v>459</v>
      </c>
      <c r="O1887" t="s">
        <v>82</v>
      </c>
      <c r="P1887" t="str">
        <f>"4170038972                    "</f>
        <v xml:space="preserve">4170038972                    </v>
      </c>
      <c r="Q1887">
        <v>0</v>
      </c>
      <c r="R1887">
        <v>0</v>
      </c>
      <c r="S1887">
        <v>0</v>
      </c>
      <c r="T1887">
        <v>0</v>
      </c>
      <c r="U1887">
        <v>0</v>
      </c>
      <c r="V1887">
        <v>0</v>
      </c>
      <c r="W1887">
        <v>0</v>
      </c>
      <c r="X1887">
        <v>0</v>
      </c>
      <c r="Y1887">
        <v>0</v>
      </c>
      <c r="Z1887">
        <v>0</v>
      </c>
      <c r="AA1887">
        <v>0</v>
      </c>
      <c r="AB1887">
        <v>0</v>
      </c>
      <c r="AC1887">
        <v>0</v>
      </c>
      <c r="AD1887">
        <v>0</v>
      </c>
      <c r="AE1887">
        <v>0</v>
      </c>
      <c r="AF1887">
        <v>0</v>
      </c>
      <c r="AG1887">
        <v>0</v>
      </c>
      <c r="AH1887">
        <v>0</v>
      </c>
      <c r="AI1887">
        <v>0</v>
      </c>
      <c r="AJ1887">
        <v>0</v>
      </c>
      <c r="AK1887">
        <v>0</v>
      </c>
      <c r="AL1887">
        <v>0</v>
      </c>
      <c r="AM1887">
        <v>0</v>
      </c>
      <c r="AN1887">
        <v>0</v>
      </c>
      <c r="AO1887">
        <v>0</v>
      </c>
      <c r="AP1887">
        <v>0</v>
      </c>
      <c r="AQ1887">
        <v>21.38</v>
      </c>
      <c r="AR1887">
        <v>0</v>
      </c>
      <c r="AS1887">
        <v>0</v>
      </c>
      <c r="AT1887">
        <v>0</v>
      </c>
      <c r="AU1887">
        <v>0</v>
      </c>
      <c r="AV1887">
        <v>0</v>
      </c>
      <c r="AW1887">
        <v>0</v>
      </c>
      <c r="AX1887">
        <v>0</v>
      </c>
      <c r="AY1887">
        <v>0</v>
      </c>
      <c r="AZ1887">
        <v>0</v>
      </c>
      <c r="BA1887">
        <v>0</v>
      </c>
      <c r="BB1887">
        <v>0</v>
      </c>
      <c r="BC1887">
        <v>0</v>
      </c>
      <c r="BD1887">
        <v>0</v>
      </c>
      <c r="BE1887">
        <v>0</v>
      </c>
      <c r="BF1887">
        <v>0</v>
      </c>
      <c r="BG1887">
        <v>0</v>
      </c>
      <c r="BH1887">
        <v>1</v>
      </c>
      <c r="BI1887">
        <v>1</v>
      </c>
      <c r="BJ1887">
        <v>0.6</v>
      </c>
      <c r="BK1887">
        <v>1</v>
      </c>
      <c r="BL1887">
        <v>69.98</v>
      </c>
      <c r="BM1887">
        <v>10.5</v>
      </c>
      <c r="BN1887">
        <v>80.48</v>
      </c>
      <c r="BO1887">
        <v>80.48</v>
      </c>
      <c r="BQ1887" t="s">
        <v>460</v>
      </c>
      <c r="BR1887" t="s">
        <v>84</v>
      </c>
      <c r="BS1887" s="3">
        <v>45796</v>
      </c>
      <c r="BT1887" s="4">
        <v>0.32291666666666669</v>
      </c>
      <c r="BU1887" t="s">
        <v>461</v>
      </c>
      <c r="BV1887" t="s">
        <v>86</v>
      </c>
      <c r="BY1887">
        <v>3192</v>
      </c>
      <c r="CA1887" t="s">
        <v>462</v>
      </c>
      <c r="CC1887" t="s">
        <v>351</v>
      </c>
      <c r="CD1887">
        <v>4051</v>
      </c>
      <c r="CE1887" t="s">
        <v>116</v>
      </c>
      <c r="CF1887" s="3">
        <v>45796</v>
      </c>
      <c r="CI1887">
        <v>1</v>
      </c>
      <c r="CJ1887">
        <v>1</v>
      </c>
      <c r="CK1887">
        <v>21</v>
      </c>
      <c r="CL1887" t="s">
        <v>89</v>
      </c>
    </row>
    <row r="1888" spans="1:90" x14ac:dyDescent="0.3">
      <c r="A1888" t="s">
        <v>72</v>
      </c>
      <c r="B1888" t="s">
        <v>73</v>
      </c>
      <c r="C1888" t="s">
        <v>74</v>
      </c>
      <c r="E1888" t="str">
        <f>"080065411736"</f>
        <v>080065411736</v>
      </c>
      <c r="F1888" s="3">
        <v>45793</v>
      </c>
      <c r="G1888">
        <v>202602</v>
      </c>
      <c r="H1888" t="s">
        <v>75</v>
      </c>
      <c r="I1888" t="s">
        <v>76</v>
      </c>
      <c r="J1888" t="s">
        <v>77</v>
      </c>
      <c r="K1888" t="s">
        <v>78</v>
      </c>
      <c r="L1888" t="s">
        <v>90</v>
      </c>
      <c r="M1888" t="s">
        <v>91</v>
      </c>
      <c r="N1888" t="s">
        <v>543</v>
      </c>
      <c r="O1888" t="s">
        <v>82</v>
      </c>
      <c r="P1888" t="str">
        <f>"4170038974                    "</f>
        <v xml:space="preserve">4170038974                    </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0</v>
      </c>
      <c r="AK1888">
        <v>0</v>
      </c>
      <c r="AL1888">
        <v>0</v>
      </c>
      <c r="AM1888">
        <v>0</v>
      </c>
      <c r="AN1888">
        <v>0</v>
      </c>
      <c r="AO1888">
        <v>0</v>
      </c>
      <c r="AP1888">
        <v>0</v>
      </c>
      <c r="AQ1888">
        <v>42.75</v>
      </c>
      <c r="AR1888">
        <v>0</v>
      </c>
      <c r="AS1888">
        <v>0</v>
      </c>
      <c r="AT1888">
        <v>0</v>
      </c>
      <c r="AU1888">
        <v>0</v>
      </c>
      <c r="AV1888">
        <v>0</v>
      </c>
      <c r="AW1888">
        <v>0</v>
      </c>
      <c r="AX1888">
        <v>0</v>
      </c>
      <c r="AY1888">
        <v>0</v>
      </c>
      <c r="AZ1888">
        <v>0</v>
      </c>
      <c r="BA1888">
        <v>0</v>
      </c>
      <c r="BB1888">
        <v>0</v>
      </c>
      <c r="BC1888">
        <v>0</v>
      </c>
      <c r="BD1888">
        <v>0</v>
      </c>
      <c r="BE1888">
        <v>0</v>
      </c>
      <c r="BF1888">
        <v>0</v>
      </c>
      <c r="BG1888">
        <v>0</v>
      </c>
      <c r="BH1888">
        <v>1</v>
      </c>
      <c r="BI1888">
        <v>1</v>
      </c>
      <c r="BJ1888">
        <v>3.8</v>
      </c>
      <c r="BK1888">
        <v>4</v>
      </c>
      <c r="BL1888">
        <v>139.91</v>
      </c>
      <c r="BM1888">
        <v>20.99</v>
      </c>
      <c r="BN1888">
        <v>160.9</v>
      </c>
      <c r="BO1888">
        <v>160.9</v>
      </c>
      <c r="BQ1888" t="s">
        <v>544</v>
      </c>
      <c r="BR1888" t="s">
        <v>84</v>
      </c>
      <c r="BS1888" s="3">
        <v>45796</v>
      </c>
      <c r="BT1888" s="4">
        <v>0.36180555555555555</v>
      </c>
      <c r="BU1888" t="s">
        <v>1713</v>
      </c>
      <c r="BV1888" t="s">
        <v>86</v>
      </c>
      <c r="BY1888">
        <v>19096</v>
      </c>
      <c r="CA1888" t="s">
        <v>283</v>
      </c>
      <c r="CC1888" t="s">
        <v>91</v>
      </c>
      <c r="CD1888">
        <v>6001</v>
      </c>
      <c r="CE1888" t="s">
        <v>221</v>
      </c>
      <c r="CF1888" s="3">
        <v>45796</v>
      </c>
      <c r="CI1888">
        <v>1</v>
      </c>
      <c r="CJ1888">
        <v>1</v>
      </c>
      <c r="CK1888">
        <v>21</v>
      </c>
      <c r="CL1888" t="s">
        <v>89</v>
      </c>
    </row>
    <row r="1889" spans="1:90" x14ac:dyDescent="0.3">
      <c r="A1889" t="s">
        <v>72</v>
      </c>
      <c r="B1889" t="s">
        <v>73</v>
      </c>
      <c r="C1889" t="s">
        <v>74</v>
      </c>
      <c r="E1889" t="str">
        <f>"080065411741"</f>
        <v>080065411741</v>
      </c>
      <c r="F1889" s="3">
        <v>45793</v>
      </c>
      <c r="G1889">
        <v>202602</v>
      </c>
      <c r="H1889" t="s">
        <v>75</v>
      </c>
      <c r="I1889" t="s">
        <v>76</v>
      </c>
      <c r="J1889" t="s">
        <v>77</v>
      </c>
      <c r="K1889" t="s">
        <v>78</v>
      </c>
      <c r="L1889" t="s">
        <v>1214</v>
      </c>
      <c r="M1889" t="s">
        <v>1215</v>
      </c>
      <c r="N1889" t="s">
        <v>1216</v>
      </c>
      <c r="O1889" t="s">
        <v>82</v>
      </c>
      <c r="P1889" t="str">
        <f>"4170039021                    "</f>
        <v xml:space="preserve">4170039021                    </v>
      </c>
      <c r="Q1889">
        <v>0</v>
      </c>
      <c r="R1889">
        <v>0</v>
      </c>
      <c r="S1889">
        <v>0</v>
      </c>
      <c r="T1889">
        <v>0</v>
      </c>
      <c r="U1889">
        <v>0</v>
      </c>
      <c r="V1889">
        <v>0</v>
      </c>
      <c r="W1889">
        <v>0</v>
      </c>
      <c r="X1889">
        <v>0</v>
      </c>
      <c r="Y1889">
        <v>0</v>
      </c>
      <c r="Z1889">
        <v>0</v>
      </c>
      <c r="AA1889">
        <v>0</v>
      </c>
      <c r="AB1889">
        <v>0</v>
      </c>
      <c r="AC1889">
        <v>0</v>
      </c>
      <c r="AD1889">
        <v>0</v>
      </c>
      <c r="AE1889">
        <v>0</v>
      </c>
      <c r="AF1889">
        <v>0</v>
      </c>
      <c r="AG1889">
        <v>0</v>
      </c>
      <c r="AH1889">
        <v>0</v>
      </c>
      <c r="AI1889">
        <v>0</v>
      </c>
      <c r="AJ1889">
        <v>0</v>
      </c>
      <c r="AK1889">
        <v>0</v>
      </c>
      <c r="AL1889">
        <v>0</v>
      </c>
      <c r="AM1889">
        <v>0</v>
      </c>
      <c r="AN1889">
        <v>0</v>
      </c>
      <c r="AO1889">
        <v>0</v>
      </c>
      <c r="AP1889">
        <v>0</v>
      </c>
      <c r="AQ1889">
        <v>48.09</v>
      </c>
      <c r="AR1889">
        <v>0</v>
      </c>
      <c r="AS1889">
        <v>0</v>
      </c>
      <c r="AT1889">
        <v>0</v>
      </c>
      <c r="AU1889">
        <v>0</v>
      </c>
      <c r="AV1889">
        <v>0</v>
      </c>
      <c r="AW1889">
        <v>0</v>
      </c>
      <c r="AX1889">
        <v>0</v>
      </c>
      <c r="AY1889">
        <v>0</v>
      </c>
      <c r="AZ1889">
        <v>0</v>
      </c>
      <c r="BA1889">
        <v>0</v>
      </c>
      <c r="BB1889">
        <v>0</v>
      </c>
      <c r="BC1889">
        <v>0</v>
      </c>
      <c r="BD1889">
        <v>0</v>
      </c>
      <c r="BE1889">
        <v>0</v>
      </c>
      <c r="BF1889">
        <v>0</v>
      </c>
      <c r="BG1889">
        <v>0</v>
      </c>
      <c r="BH1889">
        <v>1</v>
      </c>
      <c r="BI1889">
        <v>3</v>
      </c>
      <c r="BJ1889">
        <v>4.0999999999999996</v>
      </c>
      <c r="BK1889">
        <v>4.5</v>
      </c>
      <c r="BL1889">
        <v>157.38999999999999</v>
      </c>
      <c r="BM1889">
        <v>23.61</v>
      </c>
      <c r="BN1889">
        <v>181</v>
      </c>
      <c r="BO1889">
        <v>181</v>
      </c>
      <c r="BQ1889" t="s">
        <v>1217</v>
      </c>
      <c r="BR1889" t="s">
        <v>84</v>
      </c>
      <c r="BS1889" s="3">
        <v>45796</v>
      </c>
      <c r="BT1889" s="4">
        <v>0.40625</v>
      </c>
      <c r="BU1889" t="s">
        <v>2404</v>
      </c>
      <c r="BV1889" t="s">
        <v>86</v>
      </c>
      <c r="BY1889">
        <v>20358</v>
      </c>
      <c r="CA1889" t="s">
        <v>2405</v>
      </c>
      <c r="CC1889" t="s">
        <v>1215</v>
      </c>
      <c r="CD1889">
        <v>4302</v>
      </c>
      <c r="CE1889" t="s">
        <v>96</v>
      </c>
      <c r="CF1889" s="3">
        <v>45796</v>
      </c>
      <c r="CI1889">
        <v>1</v>
      </c>
      <c r="CJ1889">
        <v>1</v>
      </c>
      <c r="CK1889">
        <v>21</v>
      </c>
      <c r="CL1889" t="s">
        <v>89</v>
      </c>
    </row>
    <row r="1890" spans="1:90" x14ac:dyDescent="0.3">
      <c r="A1890" t="s">
        <v>72</v>
      </c>
      <c r="B1890" t="s">
        <v>73</v>
      </c>
      <c r="C1890" t="s">
        <v>74</v>
      </c>
      <c r="E1890" t="str">
        <f>"080065411779"</f>
        <v>080065411779</v>
      </c>
      <c r="F1890" s="3">
        <v>45793</v>
      </c>
      <c r="G1890">
        <v>202602</v>
      </c>
      <c r="H1890" t="s">
        <v>75</v>
      </c>
      <c r="I1890" t="s">
        <v>76</v>
      </c>
      <c r="J1890" t="s">
        <v>77</v>
      </c>
      <c r="K1890" t="s">
        <v>78</v>
      </c>
      <c r="L1890" t="s">
        <v>350</v>
      </c>
      <c r="M1890" t="s">
        <v>351</v>
      </c>
      <c r="N1890" t="s">
        <v>2411</v>
      </c>
      <c r="O1890" t="s">
        <v>82</v>
      </c>
      <c r="P1890" t="str">
        <f>"4170038927                    "</f>
        <v xml:space="preserve">4170038927                    </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0</v>
      </c>
      <c r="AK1890">
        <v>0</v>
      </c>
      <c r="AL1890">
        <v>0</v>
      </c>
      <c r="AM1890">
        <v>0</v>
      </c>
      <c r="AN1890">
        <v>0</v>
      </c>
      <c r="AO1890">
        <v>0</v>
      </c>
      <c r="AP1890">
        <v>0</v>
      </c>
      <c r="AQ1890">
        <v>21.38</v>
      </c>
      <c r="AR1890">
        <v>0</v>
      </c>
      <c r="AS1890">
        <v>0</v>
      </c>
      <c r="AT1890">
        <v>0</v>
      </c>
      <c r="AU1890">
        <v>0</v>
      </c>
      <c r="AV1890">
        <v>0</v>
      </c>
      <c r="AW1890">
        <v>0</v>
      </c>
      <c r="AX1890">
        <v>0</v>
      </c>
      <c r="AY1890">
        <v>0</v>
      </c>
      <c r="AZ1890">
        <v>0</v>
      </c>
      <c r="BA1890">
        <v>0</v>
      </c>
      <c r="BB1890">
        <v>0</v>
      </c>
      <c r="BC1890">
        <v>0</v>
      </c>
      <c r="BD1890">
        <v>0</v>
      </c>
      <c r="BE1890">
        <v>0</v>
      </c>
      <c r="BF1890">
        <v>0</v>
      </c>
      <c r="BG1890">
        <v>0</v>
      </c>
      <c r="BH1890">
        <v>1</v>
      </c>
      <c r="BI1890">
        <v>2</v>
      </c>
      <c r="BJ1890">
        <v>1.5</v>
      </c>
      <c r="BK1890">
        <v>2</v>
      </c>
      <c r="BL1890">
        <v>69.98</v>
      </c>
      <c r="BM1890">
        <v>10.5</v>
      </c>
      <c r="BN1890">
        <v>80.48</v>
      </c>
      <c r="BO1890">
        <v>80.48</v>
      </c>
      <c r="BQ1890" t="s">
        <v>877</v>
      </c>
      <c r="BR1890" t="s">
        <v>84</v>
      </c>
      <c r="BS1890" s="3">
        <v>45796</v>
      </c>
      <c r="BT1890" s="4">
        <v>0.41666666666666669</v>
      </c>
      <c r="BU1890" t="s">
        <v>2346</v>
      </c>
      <c r="BV1890" t="s">
        <v>86</v>
      </c>
      <c r="BY1890">
        <v>7540</v>
      </c>
      <c r="CA1890" t="s">
        <v>1410</v>
      </c>
      <c r="CC1890" t="s">
        <v>351</v>
      </c>
      <c r="CD1890">
        <v>4000</v>
      </c>
      <c r="CE1890" t="s">
        <v>96</v>
      </c>
      <c r="CF1890" s="3">
        <v>45796</v>
      </c>
      <c r="CI1890">
        <v>1</v>
      </c>
      <c r="CJ1890">
        <v>1</v>
      </c>
      <c r="CK1890">
        <v>21</v>
      </c>
      <c r="CL1890" t="s">
        <v>89</v>
      </c>
    </row>
    <row r="1891" spans="1:90" x14ac:dyDescent="0.3">
      <c r="A1891" t="s">
        <v>72</v>
      </c>
      <c r="B1891" t="s">
        <v>73</v>
      </c>
      <c r="C1891" t="s">
        <v>74</v>
      </c>
      <c r="E1891" t="str">
        <f>"080065411797"</f>
        <v>080065411797</v>
      </c>
      <c r="F1891" s="3">
        <v>45793</v>
      </c>
      <c r="G1891">
        <v>202602</v>
      </c>
      <c r="H1891" t="s">
        <v>75</v>
      </c>
      <c r="I1891" t="s">
        <v>76</v>
      </c>
      <c r="J1891" t="s">
        <v>77</v>
      </c>
      <c r="K1891" t="s">
        <v>78</v>
      </c>
      <c r="L1891" t="s">
        <v>123</v>
      </c>
      <c r="M1891" t="s">
        <v>123</v>
      </c>
      <c r="N1891" t="s">
        <v>1877</v>
      </c>
      <c r="O1891" t="s">
        <v>82</v>
      </c>
      <c r="P1891" t="str">
        <f>"4170039016                    "</f>
        <v xml:space="preserve">4170039016                    </v>
      </c>
      <c r="Q1891">
        <v>0</v>
      </c>
      <c r="R1891">
        <v>0</v>
      </c>
      <c r="S1891">
        <v>0</v>
      </c>
      <c r="T1891">
        <v>0</v>
      </c>
      <c r="U1891">
        <v>0</v>
      </c>
      <c r="V1891">
        <v>0</v>
      </c>
      <c r="W1891">
        <v>0</v>
      </c>
      <c r="X1891">
        <v>0</v>
      </c>
      <c r="Y1891">
        <v>0</v>
      </c>
      <c r="Z1891">
        <v>0</v>
      </c>
      <c r="AA1891">
        <v>0</v>
      </c>
      <c r="AB1891">
        <v>0</v>
      </c>
      <c r="AC1891">
        <v>0</v>
      </c>
      <c r="AD1891">
        <v>0</v>
      </c>
      <c r="AE1891">
        <v>0</v>
      </c>
      <c r="AF1891">
        <v>0</v>
      </c>
      <c r="AG1891">
        <v>0</v>
      </c>
      <c r="AH1891">
        <v>0</v>
      </c>
      <c r="AI1891">
        <v>0</v>
      </c>
      <c r="AJ1891">
        <v>0</v>
      </c>
      <c r="AK1891">
        <v>0</v>
      </c>
      <c r="AL1891">
        <v>0</v>
      </c>
      <c r="AM1891">
        <v>0</v>
      </c>
      <c r="AN1891">
        <v>0</v>
      </c>
      <c r="AO1891">
        <v>0</v>
      </c>
      <c r="AP1891">
        <v>0</v>
      </c>
      <c r="AQ1891">
        <v>41.43</v>
      </c>
      <c r="AR1891">
        <v>0</v>
      </c>
      <c r="AS1891">
        <v>0</v>
      </c>
      <c r="AT1891">
        <v>0</v>
      </c>
      <c r="AU1891">
        <v>0</v>
      </c>
      <c r="AV1891">
        <v>0</v>
      </c>
      <c r="AW1891">
        <v>0</v>
      </c>
      <c r="AX1891">
        <v>0</v>
      </c>
      <c r="AY1891">
        <v>0</v>
      </c>
      <c r="AZ1891">
        <v>0</v>
      </c>
      <c r="BA1891">
        <v>0</v>
      </c>
      <c r="BB1891">
        <v>0</v>
      </c>
      <c r="BC1891">
        <v>0</v>
      </c>
      <c r="BD1891">
        <v>0</v>
      </c>
      <c r="BE1891">
        <v>0</v>
      </c>
      <c r="BF1891">
        <v>0</v>
      </c>
      <c r="BG1891">
        <v>0</v>
      </c>
      <c r="BH1891">
        <v>1</v>
      </c>
      <c r="BI1891">
        <v>1</v>
      </c>
      <c r="BJ1891">
        <v>0.9</v>
      </c>
      <c r="BK1891">
        <v>1</v>
      </c>
      <c r="BL1891">
        <v>135.59</v>
      </c>
      <c r="BM1891">
        <v>20.34</v>
      </c>
      <c r="BN1891">
        <v>155.93</v>
      </c>
      <c r="BO1891">
        <v>155.93</v>
      </c>
      <c r="BQ1891" t="s">
        <v>1878</v>
      </c>
      <c r="BR1891" t="s">
        <v>84</v>
      </c>
      <c r="BS1891" s="3">
        <v>45796</v>
      </c>
      <c r="BT1891" s="4">
        <v>0.53819444444444442</v>
      </c>
      <c r="BU1891" t="s">
        <v>2412</v>
      </c>
      <c r="BV1891" t="s">
        <v>86</v>
      </c>
      <c r="BY1891">
        <v>4256</v>
      </c>
      <c r="CA1891" t="s">
        <v>2381</v>
      </c>
      <c r="CC1891" t="s">
        <v>123</v>
      </c>
      <c r="CD1891">
        <v>7646</v>
      </c>
      <c r="CE1891" t="s">
        <v>96</v>
      </c>
      <c r="CF1891" s="3">
        <v>45797</v>
      </c>
      <c r="CI1891">
        <v>1</v>
      </c>
      <c r="CJ1891">
        <v>1</v>
      </c>
      <c r="CK1891">
        <v>23</v>
      </c>
      <c r="CL1891" t="s">
        <v>89</v>
      </c>
    </row>
    <row r="1892" spans="1:90" x14ac:dyDescent="0.3">
      <c r="A1892" t="s">
        <v>72</v>
      </c>
      <c r="B1892" t="s">
        <v>73</v>
      </c>
      <c r="C1892" t="s">
        <v>74</v>
      </c>
      <c r="E1892" t="str">
        <f>"080065411965"</f>
        <v>080065411965</v>
      </c>
      <c r="F1892" s="3">
        <v>45793</v>
      </c>
      <c r="G1892">
        <v>202602</v>
      </c>
      <c r="H1892" t="s">
        <v>75</v>
      </c>
      <c r="I1892" t="s">
        <v>76</v>
      </c>
      <c r="J1892" t="s">
        <v>77</v>
      </c>
      <c r="K1892" t="s">
        <v>78</v>
      </c>
      <c r="L1892" t="s">
        <v>123</v>
      </c>
      <c r="M1892" t="s">
        <v>123</v>
      </c>
      <c r="N1892" t="s">
        <v>317</v>
      </c>
      <c r="O1892" t="s">
        <v>82</v>
      </c>
      <c r="P1892" t="str">
        <f>"4170039029                    "</f>
        <v xml:space="preserve">4170039029                    </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0</v>
      </c>
      <c r="AL1892">
        <v>0</v>
      </c>
      <c r="AM1892">
        <v>0</v>
      </c>
      <c r="AN1892">
        <v>0</v>
      </c>
      <c r="AO1892">
        <v>0</v>
      </c>
      <c r="AP1892">
        <v>0</v>
      </c>
      <c r="AQ1892">
        <v>41.43</v>
      </c>
      <c r="AR1892">
        <v>0</v>
      </c>
      <c r="AS1892">
        <v>0</v>
      </c>
      <c r="AT1892">
        <v>0</v>
      </c>
      <c r="AU1892">
        <v>0</v>
      </c>
      <c r="AV1892">
        <v>0</v>
      </c>
      <c r="AW1892">
        <v>0</v>
      </c>
      <c r="AX1892">
        <v>0</v>
      </c>
      <c r="AY1892">
        <v>0</v>
      </c>
      <c r="AZ1892">
        <v>0</v>
      </c>
      <c r="BA1892">
        <v>0</v>
      </c>
      <c r="BB1892">
        <v>0</v>
      </c>
      <c r="BC1892">
        <v>0</v>
      </c>
      <c r="BD1892">
        <v>0</v>
      </c>
      <c r="BE1892">
        <v>0</v>
      </c>
      <c r="BF1892">
        <v>0</v>
      </c>
      <c r="BG1892">
        <v>0</v>
      </c>
      <c r="BH1892">
        <v>1</v>
      </c>
      <c r="BI1892">
        <v>1</v>
      </c>
      <c r="BJ1892">
        <v>0.2</v>
      </c>
      <c r="BK1892">
        <v>1</v>
      </c>
      <c r="BL1892">
        <v>135.59</v>
      </c>
      <c r="BM1892">
        <v>20.34</v>
      </c>
      <c r="BN1892">
        <v>155.93</v>
      </c>
      <c r="BO1892">
        <v>155.93</v>
      </c>
      <c r="BQ1892" t="s">
        <v>318</v>
      </c>
      <c r="BR1892" t="s">
        <v>84</v>
      </c>
      <c r="BS1892" s="3">
        <v>45797</v>
      </c>
      <c r="BT1892" s="4">
        <v>0.52361111111111114</v>
      </c>
      <c r="BU1892" t="s">
        <v>319</v>
      </c>
      <c r="BV1892" t="s">
        <v>89</v>
      </c>
      <c r="BW1892" t="s">
        <v>340</v>
      </c>
      <c r="BX1892" t="s">
        <v>1224</v>
      </c>
      <c r="BY1892">
        <v>1200</v>
      </c>
      <c r="CA1892" t="s">
        <v>128</v>
      </c>
      <c r="CC1892" t="s">
        <v>123</v>
      </c>
      <c r="CD1892">
        <v>7646</v>
      </c>
      <c r="CE1892" t="s">
        <v>176</v>
      </c>
      <c r="CF1892" s="3">
        <v>45798</v>
      </c>
      <c r="CI1892">
        <v>1</v>
      </c>
      <c r="CJ1892">
        <v>2</v>
      </c>
      <c r="CK1892">
        <v>23</v>
      </c>
      <c r="CL1892" t="s">
        <v>89</v>
      </c>
    </row>
    <row r="1893" spans="1:90" x14ac:dyDescent="0.3">
      <c r="A1893" t="s">
        <v>72</v>
      </c>
      <c r="B1893" t="s">
        <v>73</v>
      </c>
      <c r="C1893" t="s">
        <v>74</v>
      </c>
      <c r="E1893" t="str">
        <f>"080065411971"</f>
        <v>080065411971</v>
      </c>
      <c r="F1893" s="3">
        <v>45793</v>
      </c>
      <c r="G1893">
        <v>202602</v>
      </c>
      <c r="H1893" t="s">
        <v>75</v>
      </c>
      <c r="I1893" t="s">
        <v>76</v>
      </c>
      <c r="J1893" t="s">
        <v>77</v>
      </c>
      <c r="K1893" t="s">
        <v>78</v>
      </c>
      <c r="L1893" t="s">
        <v>90</v>
      </c>
      <c r="M1893" t="s">
        <v>91</v>
      </c>
      <c r="N1893" t="s">
        <v>543</v>
      </c>
      <c r="O1893" t="s">
        <v>82</v>
      </c>
      <c r="P1893" t="str">
        <f>"4170038960                    "</f>
        <v xml:space="preserve">4170038960                    </v>
      </c>
      <c r="Q1893">
        <v>0</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c r="AJ1893">
        <v>0</v>
      </c>
      <c r="AK1893">
        <v>0</v>
      </c>
      <c r="AL1893">
        <v>0</v>
      </c>
      <c r="AM1893">
        <v>0</v>
      </c>
      <c r="AN1893">
        <v>0</v>
      </c>
      <c r="AO1893">
        <v>0</v>
      </c>
      <c r="AP1893">
        <v>0</v>
      </c>
      <c r="AQ1893">
        <v>21.38</v>
      </c>
      <c r="AR1893">
        <v>0</v>
      </c>
      <c r="AS1893">
        <v>0</v>
      </c>
      <c r="AT1893">
        <v>0</v>
      </c>
      <c r="AU1893">
        <v>0</v>
      </c>
      <c r="AV1893">
        <v>0</v>
      </c>
      <c r="AW1893">
        <v>0</v>
      </c>
      <c r="AX1893">
        <v>0</v>
      </c>
      <c r="AY1893">
        <v>0</v>
      </c>
      <c r="AZ1893">
        <v>0</v>
      </c>
      <c r="BA1893">
        <v>0</v>
      </c>
      <c r="BB1893">
        <v>0</v>
      </c>
      <c r="BC1893">
        <v>0</v>
      </c>
      <c r="BD1893">
        <v>0</v>
      </c>
      <c r="BE1893">
        <v>0</v>
      </c>
      <c r="BF1893">
        <v>0</v>
      </c>
      <c r="BG1893">
        <v>0</v>
      </c>
      <c r="BH1893">
        <v>1</v>
      </c>
      <c r="BI1893">
        <v>1</v>
      </c>
      <c r="BJ1893">
        <v>0.2</v>
      </c>
      <c r="BK1893">
        <v>1</v>
      </c>
      <c r="BL1893">
        <v>69.98</v>
      </c>
      <c r="BM1893">
        <v>10.5</v>
      </c>
      <c r="BN1893">
        <v>80.48</v>
      </c>
      <c r="BO1893">
        <v>80.48</v>
      </c>
      <c r="BQ1893" t="s">
        <v>544</v>
      </c>
      <c r="BR1893" t="s">
        <v>84</v>
      </c>
      <c r="BS1893" s="3">
        <v>45796</v>
      </c>
      <c r="BT1893" s="4">
        <v>0.36736111111111114</v>
      </c>
      <c r="BU1893" t="s">
        <v>1713</v>
      </c>
      <c r="BV1893" t="s">
        <v>86</v>
      </c>
      <c r="BY1893">
        <v>1200</v>
      </c>
      <c r="CA1893" t="s">
        <v>283</v>
      </c>
      <c r="CC1893" t="s">
        <v>91</v>
      </c>
      <c r="CD1893">
        <v>6001</v>
      </c>
      <c r="CE1893" t="s">
        <v>176</v>
      </c>
      <c r="CF1893" s="3">
        <v>45796</v>
      </c>
      <c r="CI1893">
        <v>1</v>
      </c>
      <c r="CJ1893">
        <v>1</v>
      </c>
      <c r="CK1893">
        <v>21</v>
      </c>
      <c r="CL1893" t="s">
        <v>89</v>
      </c>
    </row>
    <row r="1894" spans="1:90" x14ac:dyDescent="0.3">
      <c r="A1894" t="s">
        <v>72</v>
      </c>
      <c r="B1894" t="s">
        <v>73</v>
      </c>
      <c r="C1894" t="s">
        <v>74</v>
      </c>
      <c r="E1894" t="str">
        <f>"080065411980"</f>
        <v>080065411980</v>
      </c>
      <c r="F1894" s="3">
        <v>45793</v>
      </c>
      <c r="G1894">
        <v>202602</v>
      </c>
      <c r="H1894" t="s">
        <v>75</v>
      </c>
      <c r="I1894" t="s">
        <v>76</v>
      </c>
      <c r="J1894" t="s">
        <v>77</v>
      </c>
      <c r="K1894" t="s">
        <v>78</v>
      </c>
      <c r="L1894" t="s">
        <v>103</v>
      </c>
      <c r="M1894" t="s">
        <v>104</v>
      </c>
      <c r="N1894" t="s">
        <v>437</v>
      </c>
      <c r="O1894" t="s">
        <v>82</v>
      </c>
      <c r="P1894" t="str">
        <f>"4170038965                    "</f>
        <v xml:space="preserve">4170038965                    </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0</v>
      </c>
      <c r="AL1894">
        <v>0</v>
      </c>
      <c r="AM1894">
        <v>0</v>
      </c>
      <c r="AN1894">
        <v>0</v>
      </c>
      <c r="AO1894">
        <v>0</v>
      </c>
      <c r="AP1894">
        <v>0</v>
      </c>
      <c r="AQ1894">
        <v>21.38</v>
      </c>
      <c r="AR1894">
        <v>0</v>
      </c>
      <c r="AS1894">
        <v>0</v>
      </c>
      <c r="AT1894">
        <v>0</v>
      </c>
      <c r="AU1894">
        <v>0</v>
      </c>
      <c r="AV1894">
        <v>0</v>
      </c>
      <c r="AW1894">
        <v>0</v>
      </c>
      <c r="AX1894">
        <v>0</v>
      </c>
      <c r="AY1894">
        <v>0</v>
      </c>
      <c r="AZ1894">
        <v>0</v>
      </c>
      <c r="BA1894">
        <v>0</v>
      </c>
      <c r="BB1894">
        <v>0</v>
      </c>
      <c r="BC1894">
        <v>0</v>
      </c>
      <c r="BD1894">
        <v>0</v>
      </c>
      <c r="BE1894">
        <v>0</v>
      </c>
      <c r="BF1894">
        <v>0</v>
      </c>
      <c r="BG1894">
        <v>0</v>
      </c>
      <c r="BH1894">
        <v>1</v>
      </c>
      <c r="BI1894">
        <v>1</v>
      </c>
      <c r="BJ1894">
        <v>0.2</v>
      </c>
      <c r="BK1894">
        <v>1</v>
      </c>
      <c r="BL1894">
        <v>69.98</v>
      </c>
      <c r="BM1894">
        <v>10.5</v>
      </c>
      <c r="BN1894">
        <v>80.48</v>
      </c>
      <c r="BO1894">
        <v>80.48</v>
      </c>
      <c r="BQ1894" t="s">
        <v>438</v>
      </c>
      <c r="BR1894" t="s">
        <v>84</v>
      </c>
      <c r="BS1894" s="3">
        <v>45796</v>
      </c>
      <c r="BT1894" s="4">
        <v>0.49652777777777779</v>
      </c>
      <c r="BU1894" t="s">
        <v>2413</v>
      </c>
      <c r="BV1894" t="s">
        <v>86</v>
      </c>
      <c r="BY1894">
        <v>1200</v>
      </c>
      <c r="CA1894" t="s">
        <v>2367</v>
      </c>
      <c r="CC1894" t="s">
        <v>104</v>
      </c>
      <c r="CD1894">
        <v>3212</v>
      </c>
      <c r="CE1894" t="s">
        <v>176</v>
      </c>
      <c r="CF1894" s="3">
        <v>45796</v>
      </c>
      <c r="CI1894">
        <v>2</v>
      </c>
      <c r="CJ1894">
        <v>1</v>
      </c>
      <c r="CK1894">
        <v>21</v>
      </c>
      <c r="CL1894" t="s">
        <v>89</v>
      </c>
    </row>
    <row r="1895" spans="1:90" x14ac:dyDescent="0.3">
      <c r="A1895" t="s">
        <v>72</v>
      </c>
      <c r="B1895" t="s">
        <v>73</v>
      </c>
      <c r="C1895" t="s">
        <v>74</v>
      </c>
      <c r="E1895" t="str">
        <f>"080065411988"</f>
        <v>080065411988</v>
      </c>
      <c r="F1895" s="3">
        <v>45793</v>
      </c>
      <c r="G1895">
        <v>202602</v>
      </c>
      <c r="H1895" t="s">
        <v>75</v>
      </c>
      <c r="I1895" t="s">
        <v>76</v>
      </c>
      <c r="J1895" t="s">
        <v>77</v>
      </c>
      <c r="K1895" t="s">
        <v>78</v>
      </c>
      <c r="L1895" t="s">
        <v>177</v>
      </c>
      <c r="M1895" t="s">
        <v>178</v>
      </c>
      <c r="N1895" t="s">
        <v>2222</v>
      </c>
      <c r="O1895" t="s">
        <v>82</v>
      </c>
      <c r="P1895" t="str">
        <f>"4170038961                    "</f>
        <v xml:space="preserve">4170038961                    </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0</v>
      </c>
      <c r="AL1895">
        <v>0</v>
      </c>
      <c r="AM1895">
        <v>0</v>
      </c>
      <c r="AN1895">
        <v>0</v>
      </c>
      <c r="AO1895">
        <v>0</v>
      </c>
      <c r="AP1895">
        <v>0</v>
      </c>
      <c r="AQ1895">
        <v>21.38</v>
      </c>
      <c r="AR1895">
        <v>0</v>
      </c>
      <c r="AS1895">
        <v>0</v>
      </c>
      <c r="AT1895">
        <v>0</v>
      </c>
      <c r="AU1895">
        <v>0</v>
      </c>
      <c r="AV1895">
        <v>0</v>
      </c>
      <c r="AW1895">
        <v>0</v>
      </c>
      <c r="AX1895">
        <v>0</v>
      </c>
      <c r="AY1895">
        <v>0</v>
      </c>
      <c r="AZ1895">
        <v>0</v>
      </c>
      <c r="BA1895">
        <v>0</v>
      </c>
      <c r="BB1895">
        <v>0</v>
      </c>
      <c r="BC1895">
        <v>0</v>
      </c>
      <c r="BD1895">
        <v>0</v>
      </c>
      <c r="BE1895">
        <v>0</v>
      </c>
      <c r="BF1895">
        <v>0</v>
      </c>
      <c r="BG1895">
        <v>0</v>
      </c>
      <c r="BH1895">
        <v>1</v>
      </c>
      <c r="BI1895">
        <v>1</v>
      </c>
      <c r="BJ1895">
        <v>0.2</v>
      </c>
      <c r="BK1895">
        <v>1</v>
      </c>
      <c r="BL1895">
        <v>69.98</v>
      </c>
      <c r="BM1895">
        <v>10.5</v>
      </c>
      <c r="BN1895">
        <v>80.48</v>
      </c>
      <c r="BO1895">
        <v>80.48</v>
      </c>
      <c r="BQ1895" t="s">
        <v>2223</v>
      </c>
      <c r="BR1895" t="s">
        <v>84</v>
      </c>
      <c r="BS1895" s="3">
        <v>45796</v>
      </c>
      <c r="BT1895" s="4">
        <v>0.37847222222222221</v>
      </c>
      <c r="BU1895" t="s">
        <v>2414</v>
      </c>
      <c r="BV1895" t="s">
        <v>86</v>
      </c>
      <c r="BY1895">
        <v>1200</v>
      </c>
      <c r="CA1895" t="s">
        <v>182</v>
      </c>
      <c r="CC1895" t="s">
        <v>178</v>
      </c>
      <c r="CD1895">
        <v>6229</v>
      </c>
      <c r="CE1895" t="s">
        <v>176</v>
      </c>
      <c r="CF1895" s="3">
        <v>45796</v>
      </c>
      <c r="CI1895">
        <v>1</v>
      </c>
      <c r="CJ1895">
        <v>1</v>
      </c>
      <c r="CK1895">
        <v>21</v>
      </c>
      <c r="CL1895" t="s">
        <v>89</v>
      </c>
    </row>
    <row r="1896" spans="1:90" x14ac:dyDescent="0.3">
      <c r="A1896" t="s">
        <v>72</v>
      </c>
      <c r="B1896" t="s">
        <v>73</v>
      </c>
      <c r="C1896" t="s">
        <v>74</v>
      </c>
      <c r="E1896" t="str">
        <f>"080065412003"</f>
        <v>080065412003</v>
      </c>
      <c r="F1896" s="3">
        <v>45793</v>
      </c>
      <c r="G1896">
        <v>202602</v>
      </c>
      <c r="H1896" t="s">
        <v>75</v>
      </c>
      <c r="I1896" t="s">
        <v>76</v>
      </c>
      <c r="J1896" t="s">
        <v>77</v>
      </c>
      <c r="K1896" t="s">
        <v>78</v>
      </c>
      <c r="L1896" t="s">
        <v>130</v>
      </c>
      <c r="M1896" t="s">
        <v>131</v>
      </c>
      <c r="N1896" t="s">
        <v>239</v>
      </c>
      <c r="O1896" t="s">
        <v>300</v>
      </c>
      <c r="P1896" t="str">
        <f>"4170039006                    "</f>
        <v xml:space="preserve">4170039006                    </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c r="AJ1896">
        <v>0</v>
      </c>
      <c r="AK1896">
        <v>0</v>
      </c>
      <c r="AL1896">
        <v>0</v>
      </c>
      <c r="AM1896">
        <v>0</v>
      </c>
      <c r="AN1896">
        <v>0</v>
      </c>
      <c r="AO1896">
        <v>0</v>
      </c>
      <c r="AP1896">
        <v>0</v>
      </c>
      <c r="AQ1896">
        <v>46.47</v>
      </c>
      <c r="AR1896">
        <v>0</v>
      </c>
      <c r="AS1896">
        <v>0</v>
      </c>
      <c r="AT1896">
        <v>0</v>
      </c>
      <c r="AU1896">
        <v>0</v>
      </c>
      <c r="AV1896">
        <v>0</v>
      </c>
      <c r="AW1896">
        <v>0</v>
      </c>
      <c r="AX1896">
        <v>0</v>
      </c>
      <c r="AY1896">
        <v>0</v>
      </c>
      <c r="AZ1896">
        <v>0</v>
      </c>
      <c r="BA1896">
        <v>0</v>
      </c>
      <c r="BB1896">
        <v>0</v>
      </c>
      <c r="BC1896">
        <v>0</v>
      </c>
      <c r="BD1896">
        <v>0</v>
      </c>
      <c r="BE1896">
        <v>0</v>
      </c>
      <c r="BF1896">
        <v>0</v>
      </c>
      <c r="BG1896">
        <v>0</v>
      </c>
      <c r="BH1896">
        <v>1</v>
      </c>
      <c r="BI1896">
        <v>17</v>
      </c>
      <c r="BJ1896">
        <v>17.7</v>
      </c>
      <c r="BK1896">
        <v>18</v>
      </c>
      <c r="BL1896">
        <v>157.66</v>
      </c>
      <c r="BM1896">
        <v>23.65</v>
      </c>
      <c r="BN1896">
        <v>181.31</v>
      </c>
      <c r="BO1896">
        <v>181.31</v>
      </c>
      <c r="BQ1896" t="s">
        <v>240</v>
      </c>
      <c r="BR1896" t="s">
        <v>84</v>
      </c>
      <c r="BS1896" s="3">
        <v>45797</v>
      </c>
      <c r="BT1896" s="4">
        <v>0.4826388888888889</v>
      </c>
      <c r="BU1896" t="s">
        <v>2415</v>
      </c>
      <c r="BV1896" t="s">
        <v>86</v>
      </c>
      <c r="BY1896">
        <v>88320</v>
      </c>
      <c r="CA1896" t="s">
        <v>1834</v>
      </c>
      <c r="CC1896" t="s">
        <v>131</v>
      </c>
      <c r="CD1896">
        <v>7441</v>
      </c>
      <c r="CE1896" t="s">
        <v>176</v>
      </c>
      <c r="CF1896" s="3">
        <v>45798</v>
      </c>
      <c r="CI1896">
        <v>3</v>
      </c>
      <c r="CJ1896">
        <v>2</v>
      </c>
      <c r="CK1896">
        <v>41</v>
      </c>
      <c r="CL1896" t="s">
        <v>89</v>
      </c>
    </row>
    <row r="1897" spans="1:90" x14ac:dyDescent="0.3">
      <c r="A1897" t="s">
        <v>72</v>
      </c>
      <c r="B1897" t="s">
        <v>73</v>
      </c>
      <c r="C1897" t="s">
        <v>74</v>
      </c>
      <c r="E1897" t="str">
        <f>"080065412008"</f>
        <v>080065412008</v>
      </c>
      <c r="F1897" s="3">
        <v>45793</v>
      </c>
      <c r="G1897">
        <v>202602</v>
      </c>
      <c r="H1897" t="s">
        <v>75</v>
      </c>
      <c r="I1897" t="s">
        <v>76</v>
      </c>
      <c r="J1897" t="s">
        <v>77</v>
      </c>
      <c r="K1897" t="s">
        <v>78</v>
      </c>
      <c r="L1897" t="s">
        <v>130</v>
      </c>
      <c r="M1897" t="s">
        <v>131</v>
      </c>
      <c r="N1897" t="s">
        <v>2416</v>
      </c>
      <c r="O1897" t="s">
        <v>82</v>
      </c>
      <c r="P1897" t="str">
        <f>"4170039028                    "</f>
        <v xml:space="preserve">4170039028                    </v>
      </c>
      <c r="Q1897">
        <v>0</v>
      </c>
      <c r="R1897">
        <v>0</v>
      </c>
      <c r="S1897">
        <v>0</v>
      </c>
      <c r="T1897">
        <v>0</v>
      </c>
      <c r="U1897">
        <v>0</v>
      </c>
      <c r="V1897">
        <v>0</v>
      </c>
      <c r="W1897">
        <v>0</v>
      </c>
      <c r="X1897">
        <v>0</v>
      </c>
      <c r="Y1897">
        <v>0</v>
      </c>
      <c r="Z1897">
        <v>0</v>
      </c>
      <c r="AA1897">
        <v>0</v>
      </c>
      <c r="AB1897">
        <v>0</v>
      </c>
      <c r="AC1897">
        <v>0</v>
      </c>
      <c r="AD1897">
        <v>0</v>
      </c>
      <c r="AE1897">
        <v>0</v>
      </c>
      <c r="AF1897">
        <v>0</v>
      </c>
      <c r="AG1897">
        <v>0</v>
      </c>
      <c r="AH1897">
        <v>0</v>
      </c>
      <c r="AI1897">
        <v>0</v>
      </c>
      <c r="AJ1897">
        <v>0</v>
      </c>
      <c r="AK1897">
        <v>0</v>
      </c>
      <c r="AL1897">
        <v>0</v>
      </c>
      <c r="AM1897">
        <v>0</v>
      </c>
      <c r="AN1897">
        <v>0</v>
      </c>
      <c r="AO1897">
        <v>0</v>
      </c>
      <c r="AP1897">
        <v>0</v>
      </c>
      <c r="AQ1897">
        <v>21.38</v>
      </c>
      <c r="AR1897">
        <v>0</v>
      </c>
      <c r="AS1897">
        <v>0</v>
      </c>
      <c r="AT1897">
        <v>0</v>
      </c>
      <c r="AU1897">
        <v>0</v>
      </c>
      <c r="AV1897">
        <v>0</v>
      </c>
      <c r="AW1897">
        <v>0</v>
      </c>
      <c r="AX1897">
        <v>0</v>
      </c>
      <c r="AY1897">
        <v>0</v>
      </c>
      <c r="AZ1897">
        <v>0</v>
      </c>
      <c r="BA1897">
        <v>0</v>
      </c>
      <c r="BB1897">
        <v>0</v>
      </c>
      <c r="BC1897">
        <v>0</v>
      </c>
      <c r="BD1897">
        <v>0</v>
      </c>
      <c r="BE1897">
        <v>0</v>
      </c>
      <c r="BF1897">
        <v>0</v>
      </c>
      <c r="BG1897">
        <v>0</v>
      </c>
      <c r="BH1897">
        <v>1</v>
      </c>
      <c r="BI1897">
        <v>1</v>
      </c>
      <c r="BJ1897">
        <v>0.2</v>
      </c>
      <c r="BK1897">
        <v>1</v>
      </c>
      <c r="BL1897">
        <v>69.98</v>
      </c>
      <c r="BM1897">
        <v>10.5</v>
      </c>
      <c r="BN1897">
        <v>80.48</v>
      </c>
      <c r="BO1897">
        <v>80.48</v>
      </c>
      <c r="BQ1897" t="s">
        <v>2417</v>
      </c>
      <c r="BR1897" t="s">
        <v>84</v>
      </c>
      <c r="BS1897" s="3">
        <v>45797</v>
      </c>
      <c r="BT1897" s="4">
        <v>0.38263888888888886</v>
      </c>
      <c r="BU1897" t="s">
        <v>2418</v>
      </c>
      <c r="BV1897" t="s">
        <v>89</v>
      </c>
      <c r="BW1897" t="s">
        <v>340</v>
      </c>
      <c r="BX1897" t="s">
        <v>341</v>
      </c>
      <c r="BY1897">
        <v>1200</v>
      </c>
      <c r="CA1897" t="s">
        <v>389</v>
      </c>
      <c r="CC1897" t="s">
        <v>131</v>
      </c>
      <c r="CD1897">
        <v>7530</v>
      </c>
      <c r="CE1897" t="s">
        <v>176</v>
      </c>
      <c r="CF1897" s="3">
        <v>45798</v>
      </c>
      <c r="CI1897">
        <v>1</v>
      </c>
      <c r="CJ1897">
        <v>2</v>
      </c>
      <c r="CK1897">
        <v>21</v>
      </c>
      <c r="CL1897" t="s">
        <v>89</v>
      </c>
    </row>
    <row r="1898" spans="1:90" x14ac:dyDescent="0.3">
      <c r="A1898" t="s">
        <v>72</v>
      </c>
      <c r="B1898" t="s">
        <v>73</v>
      </c>
      <c r="C1898" t="s">
        <v>74</v>
      </c>
      <c r="E1898" t="str">
        <f>"080065412025"</f>
        <v>080065412025</v>
      </c>
      <c r="F1898" s="3">
        <v>45793</v>
      </c>
      <c r="G1898">
        <v>202602</v>
      </c>
      <c r="H1898" t="s">
        <v>75</v>
      </c>
      <c r="I1898" t="s">
        <v>76</v>
      </c>
      <c r="J1898" t="s">
        <v>77</v>
      </c>
      <c r="K1898" t="s">
        <v>78</v>
      </c>
      <c r="L1898" t="s">
        <v>374</v>
      </c>
      <c r="M1898" t="s">
        <v>375</v>
      </c>
      <c r="N1898" t="s">
        <v>376</v>
      </c>
      <c r="O1898" t="s">
        <v>82</v>
      </c>
      <c r="P1898" t="str">
        <f>"4170038976                    "</f>
        <v xml:space="preserve">4170038976                    </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c r="AK1898">
        <v>0</v>
      </c>
      <c r="AL1898">
        <v>0</v>
      </c>
      <c r="AM1898">
        <v>0</v>
      </c>
      <c r="AN1898">
        <v>0</v>
      </c>
      <c r="AO1898">
        <v>0</v>
      </c>
      <c r="AP1898">
        <v>0</v>
      </c>
      <c r="AQ1898">
        <v>41.43</v>
      </c>
      <c r="AR1898">
        <v>0</v>
      </c>
      <c r="AS1898">
        <v>0</v>
      </c>
      <c r="AT1898">
        <v>0</v>
      </c>
      <c r="AU1898">
        <v>0</v>
      </c>
      <c r="AV1898">
        <v>0</v>
      </c>
      <c r="AW1898">
        <v>0</v>
      </c>
      <c r="AX1898">
        <v>0</v>
      </c>
      <c r="AY1898">
        <v>0</v>
      </c>
      <c r="AZ1898">
        <v>0</v>
      </c>
      <c r="BA1898">
        <v>0</v>
      </c>
      <c r="BB1898">
        <v>0</v>
      </c>
      <c r="BC1898">
        <v>0</v>
      </c>
      <c r="BD1898">
        <v>0</v>
      </c>
      <c r="BE1898">
        <v>0</v>
      </c>
      <c r="BF1898">
        <v>0</v>
      </c>
      <c r="BG1898">
        <v>0</v>
      </c>
      <c r="BH1898">
        <v>1</v>
      </c>
      <c r="BI1898">
        <v>1</v>
      </c>
      <c r="BJ1898">
        <v>0.2</v>
      </c>
      <c r="BK1898">
        <v>1</v>
      </c>
      <c r="BL1898">
        <v>135.59</v>
      </c>
      <c r="BM1898">
        <v>20.34</v>
      </c>
      <c r="BN1898">
        <v>155.93</v>
      </c>
      <c r="BO1898">
        <v>155.93</v>
      </c>
      <c r="BQ1898" t="s">
        <v>377</v>
      </c>
      <c r="BR1898" t="s">
        <v>84</v>
      </c>
      <c r="BS1898" s="3">
        <v>45797</v>
      </c>
      <c r="BT1898" s="4">
        <v>0.40208333333333335</v>
      </c>
      <c r="BU1898" t="s">
        <v>378</v>
      </c>
      <c r="BV1898" t="s">
        <v>89</v>
      </c>
      <c r="BW1898" t="s">
        <v>340</v>
      </c>
      <c r="BX1898" t="s">
        <v>1315</v>
      </c>
      <c r="BY1898">
        <v>1200</v>
      </c>
      <c r="CA1898" t="s">
        <v>379</v>
      </c>
      <c r="CC1898" t="s">
        <v>375</v>
      </c>
      <c r="CD1898">
        <v>7130</v>
      </c>
      <c r="CE1898" t="s">
        <v>88</v>
      </c>
      <c r="CF1898" s="3">
        <v>45798</v>
      </c>
      <c r="CI1898">
        <v>1</v>
      </c>
      <c r="CJ1898">
        <v>2</v>
      </c>
      <c r="CK1898">
        <v>23</v>
      </c>
      <c r="CL1898" t="s">
        <v>89</v>
      </c>
    </row>
    <row r="1899" spans="1:90" x14ac:dyDescent="0.3">
      <c r="A1899" t="s">
        <v>72</v>
      </c>
      <c r="B1899" t="s">
        <v>73</v>
      </c>
      <c r="C1899" t="s">
        <v>74</v>
      </c>
      <c r="E1899" t="str">
        <f>"080065412026"</f>
        <v>080065412026</v>
      </c>
      <c r="F1899" s="3">
        <v>45793</v>
      </c>
      <c r="G1899">
        <v>202602</v>
      </c>
      <c r="H1899" t="s">
        <v>75</v>
      </c>
      <c r="I1899" t="s">
        <v>76</v>
      </c>
      <c r="J1899" t="s">
        <v>77</v>
      </c>
      <c r="K1899" t="s">
        <v>78</v>
      </c>
      <c r="L1899" t="s">
        <v>90</v>
      </c>
      <c r="M1899" t="s">
        <v>91</v>
      </c>
      <c r="N1899" t="s">
        <v>563</v>
      </c>
      <c r="O1899" t="s">
        <v>82</v>
      </c>
      <c r="P1899" t="str">
        <f>"4170038944                    "</f>
        <v xml:space="preserve">4170038944                    </v>
      </c>
      <c r="Q1899">
        <v>0</v>
      </c>
      <c r="R1899">
        <v>0</v>
      </c>
      <c r="S1899">
        <v>0</v>
      </c>
      <c r="T1899">
        <v>0</v>
      </c>
      <c r="U1899">
        <v>0</v>
      </c>
      <c r="V1899">
        <v>0</v>
      </c>
      <c r="W1899">
        <v>0</v>
      </c>
      <c r="X1899">
        <v>0</v>
      </c>
      <c r="Y1899">
        <v>0</v>
      </c>
      <c r="Z1899">
        <v>0</v>
      </c>
      <c r="AA1899">
        <v>0</v>
      </c>
      <c r="AB1899">
        <v>0</v>
      </c>
      <c r="AC1899">
        <v>0</v>
      </c>
      <c r="AD1899">
        <v>0</v>
      </c>
      <c r="AE1899">
        <v>0</v>
      </c>
      <c r="AF1899">
        <v>0</v>
      </c>
      <c r="AG1899">
        <v>0</v>
      </c>
      <c r="AH1899">
        <v>0</v>
      </c>
      <c r="AI1899">
        <v>0</v>
      </c>
      <c r="AJ1899">
        <v>0</v>
      </c>
      <c r="AK1899">
        <v>0</v>
      </c>
      <c r="AL1899">
        <v>0</v>
      </c>
      <c r="AM1899">
        <v>0</v>
      </c>
      <c r="AN1899">
        <v>0</v>
      </c>
      <c r="AO1899">
        <v>0</v>
      </c>
      <c r="AP1899">
        <v>0</v>
      </c>
      <c r="AQ1899">
        <v>42.75</v>
      </c>
      <c r="AR1899">
        <v>0</v>
      </c>
      <c r="AS1899">
        <v>0</v>
      </c>
      <c r="AT1899">
        <v>0</v>
      </c>
      <c r="AU1899">
        <v>0</v>
      </c>
      <c r="AV1899">
        <v>0</v>
      </c>
      <c r="AW1899">
        <v>0</v>
      </c>
      <c r="AX1899">
        <v>0</v>
      </c>
      <c r="AY1899">
        <v>0</v>
      </c>
      <c r="AZ1899">
        <v>0</v>
      </c>
      <c r="BA1899">
        <v>0</v>
      </c>
      <c r="BB1899">
        <v>0</v>
      </c>
      <c r="BC1899">
        <v>0</v>
      </c>
      <c r="BD1899">
        <v>0</v>
      </c>
      <c r="BE1899">
        <v>0</v>
      </c>
      <c r="BF1899">
        <v>0</v>
      </c>
      <c r="BG1899">
        <v>0</v>
      </c>
      <c r="BH1899">
        <v>1</v>
      </c>
      <c r="BI1899">
        <v>4</v>
      </c>
      <c r="BJ1899">
        <v>1.7</v>
      </c>
      <c r="BK1899">
        <v>4</v>
      </c>
      <c r="BL1899">
        <v>139.91</v>
      </c>
      <c r="BM1899">
        <v>20.99</v>
      </c>
      <c r="BN1899">
        <v>160.9</v>
      </c>
      <c r="BO1899">
        <v>160.9</v>
      </c>
      <c r="BQ1899" t="s">
        <v>564</v>
      </c>
      <c r="BR1899" t="s">
        <v>84</v>
      </c>
      <c r="BS1899" s="3">
        <v>45796</v>
      </c>
      <c r="BT1899" s="4">
        <v>0.34722222222222221</v>
      </c>
      <c r="BU1899" t="s">
        <v>780</v>
      </c>
      <c r="BV1899" t="s">
        <v>86</v>
      </c>
      <c r="BY1899">
        <v>8512</v>
      </c>
      <c r="CA1899" t="s">
        <v>566</v>
      </c>
      <c r="CC1899" t="s">
        <v>91</v>
      </c>
      <c r="CD1899">
        <v>6001</v>
      </c>
      <c r="CE1899" t="s">
        <v>116</v>
      </c>
      <c r="CF1899" s="3">
        <v>45797</v>
      </c>
      <c r="CI1899">
        <v>1</v>
      </c>
      <c r="CJ1899">
        <v>1</v>
      </c>
      <c r="CK1899">
        <v>21</v>
      </c>
      <c r="CL1899" t="s">
        <v>89</v>
      </c>
    </row>
    <row r="1900" spans="1:90" x14ac:dyDescent="0.3">
      <c r="A1900" t="s">
        <v>72</v>
      </c>
      <c r="B1900" t="s">
        <v>73</v>
      </c>
      <c r="C1900" t="s">
        <v>74</v>
      </c>
      <c r="E1900" t="str">
        <f>"080065412036"</f>
        <v>080065412036</v>
      </c>
      <c r="F1900" s="3">
        <v>45793</v>
      </c>
      <c r="G1900">
        <v>202602</v>
      </c>
      <c r="H1900" t="s">
        <v>75</v>
      </c>
      <c r="I1900" t="s">
        <v>76</v>
      </c>
      <c r="J1900" t="s">
        <v>77</v>
      </c>
      <c r="K1900" t="s">
        <v>78</v>
      </c>
      <c r="L1900" t="s">
        <v>103</v>
      </c>
      <c r="M1900" t="s">
        <v>104</v>
      </c>
      <c r="N1900" t="s">
        <v>105</v>
      </c>
      <c r="O1900" t="s">
        <v>82</v>
      </c>
      <c r="P1900" t="str">
        <f>"4170038932                    "</f>
        <v xml:space="preserve">4170038932                    </v>
      </c>
      <c r="Q1900">
        <v>0</v>
      </c>
      <c r="R1900">
        <v>0</v>
      </c>
      <c r="S1900">
        <v>0</v>
      </c>
      <c r="T1900">
        <v>0</v>
      </c>
      <c r="U1900">
        <v>0</v>
      </c>
      <c r="V1900">
        <v>0</v>
      </c>
      <c r="W1900">
        <v>0</v>
      </c>
      <c r="X1900">
        <v>0</v>
      </c>
      <c r="Y1900">
        <v>0</v>
      </c>
      <c r="Z1900">
        <v>0</v>
      </c>
      <c r="AA1900">
        <v>0</v>
      </c>
      <c r="AB1900">
        <v>0</v>
      </c>
      <c r="AC1900">
        <v>0</v>
      </c>
      <c r="AD1900">
        <v>0</v>
      </c>
      <c r="AE1900">
        <v>0</v>
      </c>
      <c r="AF1900">
        <v>0</v>
      </c>
      <c r="AG1900">
        <v>0</v>
      </c>
      <c r="AH1900">
        <v>0</v>
      </c>
      <c r="AI1900">
        <v>0</v>
      </c>
      <c r="AJ1900">
        <v>0</v>
      </c>
      <c r="AK1900">
        <v>0</v>
      </c>
      <c r="AL1900">
        <v>0</v>
      </c>
      <c r="AM1900">
        <v>0</v>
      </c>
      <c r="AN1900">
        <v>0</v>
      </c>
      <c r="AO1900">
        <v>0</v>
      </c>
      <c r="AP1900">
        <v>0</v>
      </c>
      <c r="AQ1900">
        <v>21.38</v>
      </c>
      <c r="AR1900">
        <v>0</v>
      </c>
      <c r="AS1900">
        <v>0</v>
      </c>
      <c r="AT1900">
        <v>0</v>
      </c>
      <c r="AU1900">
        <v>0</v>
      </c>
      <c r="AV1900">
        <v>0</v>
      </c>
      <c r="AW1900">
        <v>0</v>
      </c>
      <c r="AX1900">
        <v>0</v>
      </c>
      <c r="AY1900">
        <v>0</v>
      </c>
      <c r="AZ1900">
        <v>0</v>
      </c>
      <c r="BA1900">
        <v>0</v>
      </c>
      <c r="BB1900">
        <v>0</v>
      </c>
      <c r="BC1900">
        <v>0</v>
      </c>
      <c r="BD1900">
        <v>0</v>
      </c>
      <c r="BE1900">
        <v>0</v>
      </c>
      <c r="BF1900">
        <v>0</v>
      </c>
      <c r="BG1900">
        <v>0</v>
      </c>
      <c r="BH1900">
        <v>1</v>
      </c>
      <c r="BI1900">
        <v>1</v>
      </c>
      <c r="BJ1900">
        <v>0.2</v>
      </c>
      <c r="BK1900">
        <v>1</v>
      </c>
      <c r="BL1900">
        <v>69.98</v>
      </c>
      <c r="BM1900">
        <v>10.5</v>
      </c>
      <c r="BN1900">
        <v>80.48</v>
      </c>
      <c r="BO1900">
        <v>80.48</v>
      </c>
      <c r="BQ1900" t="s">
        <v>106</v>
      </c>
      <c r="BR1900" t="s">
        <v>84</v>
      </c>
      <c r="BS1900" s="3">
        <v>45796</v>
      </c>
      <c r="BT1900" s="4">
        <v>0.41666666666666669</v>
      </c>
      <c r="BU1900" t="s">
        <v>1180</v>
      </c>
      <c r="BV1900" t="s">
        <v>86</v>
      </c>
      <c r="BY1900">
        <v>1200</v>
      </c>
      <c r="CC1900" t="s">
        <v>104</v>
      </c>
      <c r="CD1900">
        <v>3201</v>
      </c>
      <c r="CE1900" t="s">
        <v>88</v>
      </c>
      <c r="CF1900" s="3">
        <v>45796</v>
      </c>
      <c r="CI1900">
        <v>1</v>
      </c>
      <c r="CJ1900">
        <v>1</v>
      </c>
      <c r="CK1900">
        <v>21</v>
      </c>
      <c r="CL1900" t="s">
        <v>89</v>
      </c>
    </row>
    <row r="1901" spans="1:90" x14ac:dyDescent="0.3">
      <c r="A1901" t="s">
        <v>72</v>
      </c>
      <c r="B1901" t="s">
        <v>73</v>
      </c>
      <c r="C1901" t="s">
        <v>74</v>
      </c>
      <c r="E1901" t="str">
        <f>"080065412041"</f>
        <v>080065412041</v>
      </c>
      <c r="F1901" s="3">
        <v>45793</v>
      </c>
      <c r="G1901">
        <v>202602</v>
      </c>
      <c r="H1901" t="s">
        <v>75</v>
      </c>
      <c r="I1901" t="s">
        <v>76</v>
      </c>
      <c r="J1901" t="s">
        <v>77</v>
      </c>
      <c r="K1901" t="s">
        <v>78</v>
      </c>
      <c r="L1901" t="s">
        <v>90</v>
      </c>
      <c r="M1901" t="s">
        <v>91</v>
      </c>
      <c r="N1901" t="s">
        <v>563</v>
      </c>
      <c r="O1901" t="s">
        <v>82</v>
      </c>
      <c r="P1901" t="str">
        <f>"4170039035                    "</f>
        <v xml:space="preserve">4170039035                    </v>
      </c>
      <c r="Q1901">
        <v>0</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0</v>
      </c>
      <c r="AK1901">
        <v>0</v>
      </c>
      <c r="AL1901">
        <v>0</v>
      </c>
      <c r="AM1901">
        <v>0</v>
      </c>
      <c r="AN1901">
        <v>0</v>
      </c>
      <c r="AO1901">
        <v>0</v>
      </c>
      <c r="AP1901">
        <v>0</v>
      </c>
      <c r="AQ1901">
        <v>32.07</v>
      </c>
      <c r="AR1901">
        <v>0</v>
      </c>
      <c r="AS1901">
        <v>0</v>
      </c>
      <c r="AT1901">
        <v>0</v>
      </c>
      <c r="AU1901">
        <v>0</v>
      </c>
      <c r="AV1901">
        <v>0</v>
      </c>
      <c r="AW1901">
        <v>0</v>
      </c>
      <c r="AX1901">
        <v>0</v>
      </c>
      <c r="AY1901">
        <v>0</v>
      </c>
      <c r="AZ1901">
        <v>0</v>
      </c>
      <c r="BA1901">
        <v>0</v>
      </c>
      <c r="BB1901">
        <v>0</v>
      </c>
      <c r="BC1901">
        <v>0</v>
      </c>
      <c r="BD1901">
        <v>0</v>
      </c>
      <c r="BE1901">
        <v>0</v>
      </c>
      <c r="BF1901">
        <v>0</v>
      </c>
      <c r="BG1901">
        <v>0</v>
      </c>
      <c r="BH1901">
        <v>1</v>
      </c>
      <c r="BI1901">
        <v>3</v>
      </c>
      <c r="BJ1901">
        <v>1.1000000000000001</v>
      </c>
      <c r="BK1901">
        <v>3</v>
      </c>
      <c r="BL1901">
        <v>104.95</v>
      </c>
      <c r="BM1901">
        <v>15.74</v>
      </c>
      <c r="BN1901">
        <v>120.69</v>
      </c>
      <c r="BO1901">
        <v>120.69</v>
      </c>
      <c r="BQ1901" t="s">
        <v>564</v>
      </c>
      <c r="BR1901" t="s">
        <v>84</v>
      </c>
      <c r="BS1901" s="3">
        <v>45796</v>
      </c>
      <c r="BT1901" s="4">
        <v>0.34722222222222221</v>
      </c>
      <c r="BU1901" t="s">
        <v>780</v>
      </c>
      <c r="BV1901" t="s">
        <v>86</v>
      </c>
      <c r="BY1901">
        <v>5320</v>
      </c>
      <c r="CA1901" t="s">
        <v>566</v>
      </c>
      <c r="CC1901" t="s">
        <v>91</v>
      </c>
      <c r="CD1901">
        <v>6001</v>
      </c>
      <c r="CE1901" t="s">
        <v>116</v>
      </c>
      <c r="CF1901" s="3">
        <v>45797</v>
      </c>
      <c r="CI1901">
        <v>1</v>
      </c>
      <c r="CJ1901">
        <v>1</v>
      </c>
      <c r="CK1901">
        <v>21</v>
      </c>
      <c r="CL1901" t="s">
        <v>89</v>
      </c>
    </row>
    <row r="1902" spans="1:90" x14ac:dyDescent="0.3">
      <c r="A1902" t="s">
        <v>72</v>
      </c>
      <c r="B1902" t="s">
        <v>73</v>
      </c>
      <c r="C1902" t="s">
        <v>74</v>
      </c>
      <c r="E1902" t="str">
        <f>"080065412046"</f>
        <v>080065412046</v>
      </c>
      <c r="F1902" s="3">
        <v>45793</v>
      </c>
      <c r="G1902">
        <v>202602</v>
      </c>
      <c r="H1902" t="s">
        <v>75</v>
      </c>
      <c r="I1902" t="s">
        <v>76</v>
      </c>
      <c r="J1902" t="s">
        <v>77</v>
      </c>
      <c r="K1902" t="s">
        <v>78</v>
      </c>
      <c r="L1902" t="s">
        <v>946</v>
      </c>
      <c r="M1902" t="s">
        <v>947</v>
      </c>
      <c r="N1902" t="s">
        <v>948</v>
      </c>
      <c r="O1902" t="s">
        <v>82</v>
      </c>
      <c r="P1902" t="str">
        <f>"4170038943                    "</f>
        <v xml:space="preserve">4170038943                    </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0</v>
      </c>
      <c r="AL1902">
        <v>0</v>
      </c>
      <c r="AM1902">
        <v>0</v>
      </c>
      <c r="AN1902">
        <v>0</v>
      </c>
      <c r="AO1902">
        <v>0</v>
      </c>
      <c r="AP1902">
        <v>0</v>
      </c>
      <c r="AQ1902">
        <v>41.43</v>
      </c>
      <c r="AR1902">
        <v>0</v>
      </c>
      <c r="AS1902">
        <v>0</v>
      </c>
      <c r="AT1902">
        <v>0</v>
      </c>
      <c r="AU1902">
        <v>0</v>
      </c>
      <c r="AV1902">
        <v>0</v>
      </c>
      <c r="AW1902">
        <v>0</v>
      </c>
      <c r="AX1902">
        <v>0</v>
      </c>
      <c r="AY1902">
        <v>0</v>
      </c>
      <c r="AZ1902">
        <v>0</v>
      </c>
      <c r="BA1902">
        <v>0</v>
      </c>
      <c r="BB1902">
        <v>0</v>
      </c>
      <c r="BC1902">
        <v>0</v>
      </c>
      <c r="BD1902">
        <v>0</v>
      </c>
      <c r="BE1902">
        <v>0</v>
      </c>
      <c r="BF1902">
        <v>0</v>
      </c>
      <c r="BG1902">
        <v>0</v>
      </c>
      <c r="BH1902">
        <v>1</v>
      </c>
      <c r="BI1902">
        <v>1</v>
      </c>
      <c r="BJ1902">
        <v>0.2</v>
      </c>
      <c r="BK1902">
        <v>1</v>
      </c>
      <c r="BL1902">
        <v>135.59</v>
      </c>
      <c r="BM1902">
        <v>20.34</v>
      </c>
      <c r="BN1902">
        <v>155.93</v>
      </c>
      <c r="BO1902">
        <v>155.93</v>
      </c>
      <c r="BQ1902" t="s">
        <v>949</v>
      </c>
      <c r="BR1902" t="s">
        <v>84</v>
      </c>
      <c r="BS1902" s="3">
        <v>45796</v>
      </c>
      <c r="BT1902" s="4">
        <v>0.61458333333333337</v>
      </c>
      <c r="BU1902" t="s">
        <v>2419</v>
      </c>
      <c r="BV1902" t="s">
        <v>86</v>
      </c>
      <c r="BY1902">
        <v>1200</v>
      </c>
      <c r="CA1902" t="s">
        <v>951</v>
      </c>
      <c r="CC1902" t="s">
        <v>947</v>
      </c>
      <c r="CD1902">
        <v>4490</v>
      </c>
      <c r="CE1902" t="s">
        <v>88</v>
      </c>
      <c r="CF1902" s="3">
        <v>45796</v>
      </c>
      <c r="CI1902">
        <v>5</v>
      </c>
      <c r="CJ1902">
        <v>1</v>
      </c>
      <c r="CK1902">
        <v>23</v>
      </c>
      <c r="CL1902" t="s">
        <v>89</v>
      </c>
    </row>
    <row r="1903" spans="1:90" x14ac:dyDescent="0.3">
      <c r="A1903" t="s">
        <v>72</v>
      </c>
      <c r="B1903" t="s">
        <v>73</v>
      </c>
      <c r="C1903" t="s">
        <v>74</v>
      </c>
      <c r="E1903" t="str">
        <f>"080065412052"</f>
        <v>080065412052</v>
      </c>
      <c r="F1903" s="3">
        <v>45793</v>
      </c>
      <c r="G1903">
        <v>202602</v>
      </c>
      <c r="H1903" t="s">
        <v>75</v>
      </c>
      <c r="I1903" t="s">
        <v>76</v>
      </c>
      <c r="J1903" t="s">
        <v>77</v>
      </c>
      <c r="K1903" t="s">
        <v>78</v>
      </c>
      <c r="L1903" t="s">
        <v>130</v>
      </c>
      <c r="M1903" t="s">
        <v>131</v>
      </c>
      <c r="N1903" t="s">
        <v>665</v>
      </c>
      <c r="O1903" t="s">
        <v>82</v>
      </c>
      <c r="P1903" t="str">
        <f>"4170039023                    "</f>
        <v xml:space="preserve">4170039023                    </v>
      </c>
      <c r="Q1903">
        <v>0</v>
      </c>
      <c r="R1903">
        <v>0</v>
      </c>
      <c r="S1903">
        <v>0</v>
      </c>
      <c r="T1903">
        <v>0</v>
      </c>
      <c r="U1903">
        <v>0</v>
      </c>
      <c r="V1903">
        <v>0</v>
      </c>
      <c r="W1903">
        <v>0</v>
      </c>
      <c r="X1903">
        <v>0</v>
      </c>
      <c r="Y1903">
        <v>0</v>
      </c>
      <c r="Z1903">
        <v>0</v>
      </c>
      <c r="AA1903">
        <v>0</v>
      </c>
      <c r="AB1903">
        <v>0</v>
      </c>
      <c r="AC1903">
        <v>0</v>
      </c>
      <c r="AD1903">
        <v>0</v>
      </c>
      <c r="AE1903">
        <v>0</v>
      </c>
      <c r="AF1903">
        <v>0</v>
      </c>
      <c r="AG1903">
        <v>0</v>
      </c>
      <c r="AH1903">
        <v>0</v>
      </c>
      <c r="AI1903">
        <v>0</v>
      </c>
      <c r="AJ1903">
        <v>0</v>
      </c>
      <c r="AK1903">
        <v>0</v>
      </c>
      <c r="AL1903">
        <v>0</v>
      </c>
      <c r="AM1903">
        <v>0</v>
      </c>
      <c r="AN1903">
        <v>0</v>
      </c>
      <c r="AO1903">
        <v>0</v>
      </c>
      <c r="AP1903">
        <v>0</v>
      </c>
      <c r="AQ1903">
        <v>21.38</v>
      </c>
      <c r="AR1903">
        <v>0</v>
      </c>
      <c r="AS1903">
        <v>0</v>
      </c>
      <c r="AT1903">
        <v>0</v>
      </c>
      <c r="AU1903">
        <v>0</v>
      </c>
      <c r="AV1903">
        <v>0</v>
      </c>
      <c r="AW1903">
        <v>0</v>
      </c>
      <c r="AX1903">
        <v>0</v>
      </c>
      <c r="AY1903">
        <v>0</v>
      </c>
      <c r="AZ1903">
        <v>0</v>
      </c>
      <c r="BA1903">
        <v>0</v>
      </c>
      <c r="BB1903">
        <v>0</v>
      </c>
      <c r="BC1903">
        <v>0</v>
      </c>
      <c r="BD1903">
        <v>0</v>
      </c>
      <c r="BE1903">
        <v>0</v>
      </c>
      <c r="BF1903">
        <v>0</v>
      </c>
      <c r="BG1903">
        <v>0</v>
      </c>
      <c r="BH1903">
        <v>1</v>
      </c>
      <c r="BI1903">
        <v>1</v>
      </c>
      <c r="BJ1903">
        <v>1.1000000000000001</v>
      </c>
      <c r="BK1903">
        <v>1.5</v>
      </c>
      <c r="BL1903">
        <v>69.98</v>
      </c>
      <c r="BM1903">
        <v>10.5</v>
      </c>
      <c r="BN1903">
        <v>80.48</v>
      </c>
      <c r="BO1903">
        <v>80.48</v>
      </c>
      <c r="BQ1903" t="s">
        <v>666</v>
      </c>
      <c r="BR1903" t="s">
        <v>84</v>
      </c>
      <c r="BS1903" s="3">
        <v>45796</v>
      </c>
      <c r="BT1903" s="4">
        <v>0.4152777777777778</v>
      </c>
      <c r="BU1903" t="s">
        <v>1051</v>
      </c>
      <c r="BV1903" t="s">
        <v>86</v>
      </c>
      <c r="BY1903">
        <v>5320</v>
      </c>
      <c r="CA1903" t="s">
        <v>389</v>
      </c>
      <c r="CC1903" t="s">
        <v>131</v>
      </c>
      <c r="CD1903">
        <v>7535</v>
      </c>
      <c r="CE1903" t="s">
        <v>116</v>
      </c>
      <c r="CF1903" s="3">
        <v>45797</v>
      </c>
      <c r="CI1903">
        <v>1</v>
      </c>
      <c r="CJ1903">
        <v>1</v>
      </c>
      <c r="CK1903">
        <v>21</v>
      </c>
      <c r="CL1903" t="s">
        <v>89</v>
      </c>
    </row>
    <row r="1904" spans="1:90" x14ac:dyDescent="0.3">
      <c r="A1904" t="s">
        <v>72</v>
      </c>
      <c r="B1904" t="s">
        <v>73</v>
      </c>
      <c r="C1904" t="s">
        <v>74</v>
      </c>
      <c r="E1904" t="str">
        <f>"080065412053"</f>
        <v>080065412053</v>
      </c>
      <c r="F1904" s="3">
        <v>45793</v>
      </c>
      <c r="G1904">
        <v>202602</v>
      </c>
      <c r="H1904" t="s">
        <v>75</v>
      </c>
      <c r="I1904" t="s">
        <v>76</v>
      </c>
      <c r="J1904" t="s">
        <v>77</v>
      </c>
      <c r="K1904" t="s">
        <v>78</v>
      </c>
      <c r="L1904" t="s">
        <v>103</v>
      </c>
      <c r="M1904" t="s">
        <v>104</v>
      </c>
      <c r="N1904" t="s">
        <v>633</v>
      </c>
      <c r="O1904" t="s">
        <v>82</v>
      </c>
      <c r="P1904" t="str">
        <f>"4170038975                    "</f>
        <v xml:space="preserve">4170038975                    </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0</v>
      </c>
      <c r="AL1904">
        <v>0</v>
      </c>
      <c r="AM1904">
        <v>0</v>
      </c>
      <c r="AN1904">
        <v>0</v>
      </c>
      <c r="AO1904">
        <v>0</v>
      </c>
      <c r="AP1904">
        <v>0</v>
      </c>
      <c r="AQ1904">
        <v>21.38</v>
      </c>
      <c r="AR1904">
        <v>0</v>
      </c>
      <c r="AS1904">
        <v>0</v>
      </c>
      <c r="AT1904">
        <v>0</v>
      </c>
      <c r="AU1904">
        <v>0</v>
      </c>
      <c r="AV1904">
        <v>0</v>
      </c>
      <c r="AW1904">
        <v>0</v>
      </c>
      <c r="AX1904">
        <v>0</v>
      </c>
      <c r="AY1904">
        <v>0</v>
      </c>
      <c r="AZ1904">
        <v>0</v>
      </c>
      <c r="BA1904">
        <v>0</v>
      </c>
      <c r="BB1904">
        <v>0</v>
      </c>
      <c r="BC1904">
        <v>0</v>
      </c>
      <c r="BD1904">
        <v>0</v>
      </c>
      <c r="BE1904">
        <v>0</v>
      </c>
      <c r="BF1904">
        <v>0</v>
      </c>
      <c r="BG1904">
        <v>0</v>
      </c>
      <c r="BH1904">
        <v>1</v>
      </c>
      <c r="BI1904">
        <v>1</v>
      </c>
      <c r="BJ1904">
        <v>0.2</v>
      </c>
      <c r="BK1904">
        <v>1</v>
      </c>
      <c r="BL1904">
        <v>69.98</v>
      </c>
      <c r="BM1904">
        <v>10.5</v>
      </c>
      <c r="BN1904">
        <v>80.48</v>
      </c>
      <c r="BO1904">
        <v>80.48</v>
      </c>
      <c r="BQ1904" t="s">
        <v>634</v>
      </c>
      <c r="BR1904" t="s">
        <v>84</v>
      </c>
      <c r="BS1904" s="3">
        <v>45796</v>
      </c>
      <c r="BT1904" s="4">
        <v>0.48958333333333331</v>
      </c>
      <c r="BU1904" t="s">
        <v>2366</v>
      </c>
      <c r="BV1904" t="s">
        <v>86</v>
      </c>
      <c r="BY1904">
        <v>1200</v>
      </c>
      <c r="CA1904" t="s">
        <v>2367</v>
      </c>
      <c r="CC1904" t="s">
        <v>104</v>
      </c>
      <c r="CD1904">
        <v>3212</v>
      </c>
      <c r="CE1904" t="s">
        <v>88</v>
      </c>
      <c r="CF1904" s="3">
        <v>45796</v>
      </c>
      <c r="CI1904">
        <v>2</v>
      </c>
      <c r="CJ1904">
        <v>1</v>
      </c>
      <c r="CK1904">
        <v>21</v>
      </c>
      <c r="CL1904" t="s">
        <v>89</v>
      </c>
    </row>
    <row r="1905" spans="1:90" x14ac:dyDescent="0.3">
      <c r="A1905" t="s">
        <v>72</v>
      </c>
      <c r="B1905" t="s">
        <v>73</v>
      </c>
      <c r="C1905" t="s">
        <v>74</v>
      </c>
      <c r="E1905" t="str">
        <f>"080065412059"</f>
        <v>080065412059</v>
      </c>
      <c r="F1905" s="3">
        <v>45793</v>
      </c>
      <c r="G1905">
        <v>202602</v>
      </c>
      <c r="H1905" t="s">
        <v>75</v>
      </c>
      <c r="I1905" t="s">
        <v>76</v>
      </c>
      <c r="J1905" t="s">
        <v>77</v>
      </c>
      <c r="K1905" t="s">
        <v>78</v>
      </c>
      <c r="L1905" t="s">
        <v>123</v>
      </c>
      <c r="M1905" t="s">
        <v>123</v>
      </c>
      <c r="N1905" t="s">
        <v>1700</v>
      </c>
      <c r="O1905" t="s">
        <v>82</v>
      </c>
      <c r="P1905" t="str">
        <f>"4170038991                    "</f>
        <v xml:space="preserve">4170038991                    </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0</v>
      </c>
      <c r="AL1905">
        <v>0</v>
      </c>
      <c r="AM1905">
        <v>0</v>
      </c>
      <c r="AN1905">
        <v>0</v>
      </c>
      <c r="AO1905">
        <v>0</v>
      </c>
      <c r="AP1905">
        <v>0</v>
      </c>
      <c r="AQ1905">
        <v>41.43</v>
      </c>
      <c r="AR1905">
        <v>0</v>
      </c>
      <c r="AS1905">
        <v>0</v>
      </c>
      <c r="AT1905">
        <v>0</v>
      </c>
      <c r="AU1905">
        <v>0</v>
      </c>
      <c r="AV1905">
        <v>0</v>
      </c>
      <c r="AW1905">
        <v>0</v>
      </c>
      <c r="AX1905">
        <v>0</v>
      </c>
      <c r="AY1905">
        <v>0</v>
      </c>
      <c r="AZ1905">
        <v>0</v>
      </c>
      <c r="BA1905">
        <v>0</v>
      </c>
      <c r="BB1905">
        <v>0</v>
      </c>
      <c r="BC1905">
        <v>0</v>
      </c>
      <c r="BD1905">
        <v>0</v>
      </c>
      <c r="BE1905">
        <v>0</v>
      </c>
      <c r="BF1905">
        <v>0</v>
      </c>
      <c r="BG1905">
        <v>0</v>
      </c>
      <c r="BH1905">
        <v>1</v>
      </c>
      <c r="BI1905">
        <v>1</v>
      </c>
      <c r="BJ1905">
        <v>0.2</v>
      </c>
      <c r="BK1905">
        <v>1</v>
      </c>
      <c r="BL1905">
        <v>135.59</v>
      </c>
      <c r="BM1905">
        <v>20.34</v>
      </c>
      <c r="BN1905">
        <v>155.93</v>
      </c>
      <c r="BO1905">
        <v>155.93</v>
      </c>
      <c r="BQ1905" t="s">
        <v>1701</v>
      </c>
      <c r="BR1905" t="s">
        <v>84</v>
      </c>
      <c r="BS1905" s="3">
        <v>45797</v>
      </c>
      <c r="BT1905" s="4">
        <v>0.52361111111111114</v>
      </c>
      <c r="BU1905" t="s">
        <v>2420</v>
      </c>
      <c r="BV1905" t="s">
        <v>89</v>
      </c>
      <c r="BW1905" t="s">
        <v>340</v>
      </c>
      <c r="BX1905" t="s">
        <v>1224</v>
      </c>
      <c r="BY1905">
        <v>1200</v>
      </c>
      <c r="CC1905" t="s">
        <v>123</v>
      </c>
      <c r="CD1905">
        <v>7646</v>
      </c>
      <c r="CE1905" t="s">
        <v>88</v>
      </c>
      <c r="CF1905" s="3">
        <v>45798</v>
      </c>
      <c r="CI1905">
        <v>1</v>
      </c>
      <c r="CJ1905">
        <v>2</v>
      </c>
      <c r="CK1905">
        <v>23</v>
      </c>
      <c r="CL1905" t="s">
        <v>89</v>
      </c>
    </row>
    <row r="1906" spans="1:90" x14ac:dyDescent="0.3">
      <c r="A1906" t="s">
        <v>72</v>
      </c>
      <c r="B1906" t="s">
        <v>73</v>
      </c>
      <c r="C1906" t="s">
        <v>74</v>
      </c>
      <c r="E1906" t="str">
        <f>"080065412068"</f>
        <v>080065412068</v>
      </c>
      <c r="F1906" s="3">
        <v>45793</v>
      </c>
      <c r="G1906">
        <v>202602</v>
      </c>
      <c r="H1906" t="s">
        <v>75</v>
      </c>
      <c r="I1906" t="s">
        <v>76</v>
      </c>
      <c r="J1906" t="s">
        <v>77</v>
      </c>
      <c r="K1906" t="s">
        <v>78</v>
      </c>
      <c r="L1906" t="s">
        <v>90</v>
      </c>
      <c r="M1906" t="s">
        <v>91</v>
      </c>
      <c r="N1906" t="s">
        <v>515</v>
      </c>
      <c r="O1906" t="s">
        <v>82</v>
      </c>
      <c r="P1906" t="str">
        <f>"4170038971                    "</f>
        <v xml:space="preserve">4170038971                    </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0</v>
      </c>
      <c r="AL1906">
        <v>0</v>
      </c>
      <c r="AM1906">
        <v>0</v>
      </c>
      <c r="AN1906">
        <v>0</v>
      </c>
      <c r="AO1906">
        <v>0</v>
      </c>
      <c r="AP1906">
        <v>0</v>
      </c>
      <c r="AQ1906">
        <v>21.38</v>
      </c>
      <c r="AR1906">
        <v>0</v>
      </c>
      <c r="AS1906">
        <v>0</v>
      </c>
      <c r="AT1906">
        <v>0</v>
      </c>
      <c r="AU1906">
        <v>0</v>
      </c>
      <c r="AV1906">
        <v>0</v>
      </c>
      <c r="AW1906">
        <v>0</v>
      </c>
      <c r="AX1906">
        <v>0</v>
      </c>
      <c r="AY1906">
        <v>0</v>
      </c>
      <c r="AZ1906">
        <v>0</v>
      </c>
      <c r="BA1906">
        <v>0</v>
      </c>
      <c r="BB1906">
        <v>0</v>
      </c>
      <c r="BC1906">
        <v>0</v>
      </c>
      <c r="BD1906">
        <v>0</v>
      </c>
      <c r="BE1906">
        <v>0</v>
      </c>
      <c r="BF1906">
        <v>0</v>
      </c>
      <c r="BG1906">
        <v>0</v>
      </c>
      <c r="BH1906">
        <v>1</v>
      </c>
      <c r="BI1906">
        <v>1</v>
      </c>
      <c r="BJ1906">
        <v>0.2</v>
      </c>
      <c r="BK1906">
        <v>1</v>
      </c>
      <c r="BL1906">
        <v>69.98</v>
      </c>
      <c r="BM1906">
        <v>10.5</v>
      </c>
      <c r="BN1906">
        <v>80.48</v>
      </c>
      <c r="BO1906">
        <v>80.48</v>
      </c>
      <c r="BQ1906" t="s">
        <v>516</v>
      </c>
      <c r="BR1906" t="s">
        <v>84</v>
      </c>
      <c r="BS1906" s="3">
        <v>45796</v>
      </c>
      <c r="BT1906" s="4">
        <v>0.40138888888888891</v>
      </c>
      <c r="BU1906" t="s">
        <v>1971</v>
      </c>
      <c r="BV1906" t="s">
        <v>86</v>
      </c>
      <c r="BY1906">
        <v>1200</v>
      </c>
      <c r="CA1906" t="s">
        <v>271</v>
      </c>
      <c r="CC1906" t="s">
        <v>91</v>
      </c>
      <c r="CD1906">
        <v>6001</v>
      </c>
      <c r="CE1906" t="s">
        <v>88</v>
      </c>
      <c r="CF1906" s="3">
        <v>45796</v>
      </c>
      <c r="CI1906">
        <v>1</v>
      </c>
      <c r="CJ1906">
        <v>1</v>
      </c>
      <c r="CK1906">
        <v>21</v>
      </c>
      <c r="CL1906" t="s">
        <v>89</v>
      </c>
    </row>
    <row r="1907" spans="1:90" x14ac:dyDescent="0.3">
      <c r="A1907" t="s">
        <v>72</v>
      </c>
      <c r="B1907" t="s">
        <v>73</v>
      </c>
      <c r="C1907" t="s">
        <v>74</v>
      </c>
      <c r="E1907" t="str">
        <f>"080065412079"</f>
        <v>080065412079</v>
      </c>
      <c r="F1907" s="3">
        <v>45793</v>
      </c>
      <c r="G1907">
        <v>202602</v>
      </c>
      <c r="H1907" t="s">
        <v>75</v>
      </c>
      <c r="I1907" t="s">
        <v>76</v>
      </c>
      <c r="J1907" t="s">
        <v>77</v>
      </c>
      <c r="K1907" t="s">
        <v>78</v>
      </c>
      <c r="L1907" t="s">
        <v>79</v>
      </c>
      <c r="M1907" t="s">
        <v>80</v>
      </c>
      <c r="N1907" t="s">
        <v>357</v>
      </c>
      <c r="O1907" t="s">
        <v>82</v>
      </c>
      <c r="P1907" t="str">
        <f>"4170038995                    "</f>
        <v xml:space="preserve">4170038995                    </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0</v>
      </c>
      <c r="AL1907">
        <v>0</v>
      </c>
      <c r="AM1907">
        <v>0</v>
      </c>
      <c r="AN1907">
        <v>0</v>
      </c>
      <c r="AO1907">
        <v>0</v>
      </c>
      <c r="AP1907">
        <v>0</v>
      </c>
      <c r="AQ1907">
        <v>21.38</v>
      </c>
      <c r="AR1907">
        <v>0</v>
      </c>
      <c r="AS1907">
        <v>0</v>
      </c>
      <c r="AT1907">
        <v>0</v>
      </c>
      <c r="AU1907">
        <v>0</v>
      </c>
      <c r="AV1907">
        <v>0</v>
      </c>
      <c r="AW1907">
        <v>0</v>
      </c>
      <c r="AX1907">
        <v>0</v>
      </c>
      <c r="AY1907">
        <v>0</v>
      </c>
      <c r="AZ1907">
        <v>0</v>
      </c>
      <c r="BA1907">
        <v>0</v>
      </c>
      <c r="BB1907">
        <v>0</v>
      </c>
      <c r="BC1907">
        <v>0</v>
      </c>
      <c r="BD1907">
        <v>0</v>
      </c>
      <c r="BE1907">
        <v>0</v>
      </c>
      <c r="BF1907">
        <v>0</v>
      </c>
      <c r="BG1907">
        <v>0</v>
      </c>
      <c r="BH1907">
        <v>1</v>
      </c>
      <c r="BI1907">
        <v>1</v>
      </c>
      <c r="BJ1907">
        <v>0.2</v>
      </c>
      <c r="BK1907">
        <v>1</v>
      </c>
      <c r="BL1907">
        <v>69.98</v>
      </c>
      <c r="BM1907">
        <v>10.5</v>
      </c>
      <c r="BN1907">
        <v>80.48</v>
      </c>
      <c r="BO1907">
        <v>80.48</v>
      </c>
      <c r="BQ1907" t="s">
        <v>358</v>
      </c>
      <c r="BR1907" t="s">
        <v>84</v>
      </c>
      <c r="BS1907" s="3">
        <v>45796</v>
      </c>
      <c r="BT1907" s="4">
        <v>0.42708333333333331</v>
      </c>
      <c r="BU1907" t="s">
        <v>1768</v>
      </c>
      <c r="BV1907" t="s">
        <v>86</v>
      </c>
      <c r="BY1907">
        <v>1200</v>
      </c>
      <c r="CA1907" t="s">
        <v>87</v>
      </c>
      <c r="CC1907" t="s">
        <v>80</v>
      </c>
      <c r="CD1907">
        <v>3608</v>
      </c>
      <c r="CE1907" t="s">
        <v>88</v>
      </c>
      <c r="CF1907" s="3">
        <v>45796</v>
      </c>
      <c r="CI1907">
        <v>1</v>
      </c>
      <c r="CJ1907">
        <v>1</v>
      </c>
      <c r="CK1907">
        <v>21</v>
      </c>
      <c r="CL1907" t="s">
        <v>89</v>
      </c>
    </row>
    <row r="1908" spans="1:90" x14ac:dyDescent="0.3">
      <c r="A1908" t="s">
        <v>72</v>
      </c>
      <c r="B1908" t="s">
        <v>73</v>
      </c>
      <c r="C1908" t="s">
        <v>74</v>
      </c>
      <c r="E1908" t="str">
        <f>"080065412101"</f>
        <v>080065412101</v>
      </c>
      <c r="F1908" s="3">
        <v>45793</v>
      </c>
      <c r="G1908">
        <v>202602</v>
      </c>
      <c r="H1908" t="s">
        <v>75</v>
      </c>
      <c r="I1908" t="s">
        <v>76</v>
      </c>
      <c r="J1908" t="s">
        <v>77</v>
      </c>
      <c r="K1908" t="s">
        <v>78</v>
      </c>
      <c r="L1908" t="s">
        <v>123</v>
      </c>
      <c r="M1908" t="s">
        <v>123</v>
      </c>
      <c r="N1908" t="s">
        <v>1700</v>
      </c>
      <c r="O1908" t="s">
        <v>82</v>
      </c>
      <c r="P1908" t="str">
        <f>"4170038956                    "</f>
        <v xml:space="preserve">4170038956                    </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0</v>
      </c>
      <c r="AL1908">
        <v>0</v>
      </c>
      <c r="AM1908">
        <v>0</v>
      </c>
      <c r="AN1908">
        <v>0</v>
      </c>
      <c r="AO1908">
        <v>0</v>
      </c>
      <c r="AP1908">
        <v>0</v>
      </c>
      <c r="AQ1908">
        <v>41.43</v>
      </c>
      <c r="AR1908">
        <v>0</v>
      </c>
      <c r="AS1908">
        <v>0</v>
      </c>
      <c r="AT1908">
        <v>0</v>
      </c>
      <c r="AU1908">
        <v>0</v>
      </c>
      <c r="AV1908">
        <v>0</v>
      </c>
      <c r="AW1908">
        <v>0</v>
      </c>
      <c r="AX1908">
        <v>0</v>
      </c>
      <c r="AY1908">
        <v>0</v>
      </c>
      <c r="AZ1908">
        <v>0</v>
      </c>
      <c r="BA1908">
        <v>0</v>
      </c>
      <c r="BB1908">
        <v>0</v>
      </c>
      <c r="BC1908">
        <v>0</v>
      </c>
      <c r="BD1908">
        <v>0</v>
      </c>
      <c r="BE1908">
        <v>0</v>
      </c>
      <c r="BF1908">
        <v>0</v>
      </c>
      <c r="BG1908">
        <v>0</v>
      </c>
      <c r="BH1908">
        <v>1</v>
      </c>
      <c r="BI1908">
        <v>1</v>
      </c>
      <c r="BJ1908">
        <v>0.2</v>
      </c>
      <c r="BK1908">
        <v>1</v>
      </c>
      <c r="BL1908">
        <v>135.59</v>
      </c>
      <c r="BM1908">
        <v>20.34</v>
      </c>
      <c r="BN1908">
        <v>155.93</v>
      </c>
      <c r="BO1908">
        <v>155.93</v>
      </c>
      <c r="BQ1908" t="s">
        <v>1701</v>
      </c>
      <c r="BR1908" t="s">
        <v>84</v>
      </c>
      <c r="BS1908" s="3">
        <v>45797</v>
      </c>
      <c r="BT1908" s="4">
        <v>0.52361111111111114</v>
      </c>
      <c r="BU1908" t="s">
        <v>319</v>
      </c>
      <c r="BV1908" t="s">
        <v>89</v>
      </c>
      <c r="BW1908" t="s">
        <v>340</v>
      </c>
      <c r="BX1908" t="s">
        <v>1224</v>
      </c>
      <c r="BY1908">
        <v>1200</v>
      </c>
      <c r="CA1908" t="s">
        <v>128</v>
      </c>
      <c r="CC1908" t="s">
        <v>123</v>
      </c>
      <c r="CD1908">
        <v>7646</v>
      </c>
      <c r="CE1908" t="s">
        <v>88</v>
      </c>
      <c r="CF1908" s="3">
        <v>45798</v>
      </c>
      <c r="CI1908">
        <v>1</v>
      </c>
      <c r="CJ1908">
        <v>2</v>
      </c>
      <c r="CK1908">
        <v>23</v>
      </c>
      <c r="CL1908" t="s">
        <v>89</v>
      </c>
    </row>
    <row r="1909" spans="1:90" x14ac:dyDescent="0.3">
      <c r="A1909" t="s">
        <v>72</v>
      </c>
      <c r="B1909" t="s">
        <v>73</v>
      </c>
      <c r="C1909" t="s">
        <v>74</v>
      </c>
      <c r="E1909" t="str">
        <f>"080065412110"</f>
        <v>080065412110</v>
      </c>
      <c r="F1909" s="3">
        <v>45793</v>
      </c>
      <c r="G1909">
        <v>202602</v>
      </c>
      <c r="H1909" t="s">
        <v>75</v>
      </c>
      <c r="I1909" t="s">
        <v>76</v>
      </c>
      <c r="J1909" t="s">
        <v>77</v>
      </c>
      <c r="K1909" t="s">
        <v>78</v>
      </c>
      <c r="L1909" t="s">
        <v>123</v>
      </c>
      <c r="M1909" t="s">
        <v>123</v>
      </c>
      <c r="N1909" t="s">
        <v>1700</v>
      </c>
      <c r="O1909" t="s">
        <v>82</v>
      </c>
      <c r="P1909" t="str">
        <f>"4170038977                    "</f>
        <v xml:space="preserve">4170038977                    </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0</v>
      </c>
      <c r="AL1909">
        <v>0</v>
      </c>
      <c r="AM1909">
        <v>0</v>
      </c>
      <c r="AN1909">
        <v>0</v>
      </c>
      <c r="AO1909">
        <v>0</v>
      </c>
      <c r="AP1909">
        <v>0</v>
      </c>
      <c r="AQ1909">
        <v>41.43</v>
      </c>
      <c r="AR1909">
        <v>0</v>
      </c>
      <c r="AS1909">
        <v>0</v>
      </c>
      <c r="AT1909">
        <v>0</v>
      </c>
      <c r="AU1909">
        <v>0</v>
      </c>
      <c r="AV1909">
        <v>0</v>
      </c>
      <c r="AW1909">
        <v>0</v>
      </c>
      <c r="AX1909">
        <v>0</v>
      </c>
      <c r="AY1909">
        <v>0</v>
      </c>
      <c r="AZ1909">
        <v>0</v>
      </c>
      <c r="BA1909">
        <v>0</v>
      </c>
      <c r="BB1909">
        <v>0</v>
      </c>
      <c r="BC1909">
        <v>0</v>
      </c>
      <c r="BD1909">
        <v>0</v>
      </c>
      <c r="BE1909">
        <v>0</v>
      </c>
      <c r="BF1909">
        <v>0</v>
      </c>
      <c r="BG1909">
        <v>0</v>
      </c>
      <c r="BH1909">
        <v>1</v>
      </c>
      <c r="BI1909">
        <v>1</v>
      </c>
      <c r="BJ1909">
        <v>0.2</v>
      </c>
      <c r="BK1909">
        <v>1</v>
      </c>
      <c r="BL1909">
        <v>135.59</v>
      </c>
      <c r="BM1909">
        <v>20.34</v>
      </c>
      <c r="BN1909">
        <v>155.93</v>
      </c>
      <c r="BO1909">
        <v>155.93</v>
      </c>
      <c r="BQ1909" t="s">
        <v>1701</v>
      </c>
      <c r="BR1909" t="s">
        <v>84</v>
      </c>
      <c r="BS1909" s="3">
        <v>45797</v>
      </c>
      <c r="BT1909" s="4">
        <v>0.52361111111111114</v>
      </c>
      <c r="BU1909" t="s">
        <v>319</v>
      </c>
      <c r="BV1909" t="s">
        <v>89</v>
      </c>
      <c r="BW1909" t="s">
        <v>340</v>
      </c>
      <c r="BX1909" t="s">
        <v>1224</v>
      </c>
      <c r="BY1909">
        <v>1200</v>
      </c>
      <c r="CA1909" t="s">
        <v>128</v>
      </c>
      <c r="CC1909" t="s">
        <v>123</v>
      </c>
      <c r="CD1909">
        <v>7646</v>
      </c>
      <c r="CE1909" t="s">
        <v>88</v>
      </c>
      <c r="CF1909" s="3">
        <v>45798</v>
      </c>
      <c r="CI1909">
        <v>1</v>
      </c>
      <c r="CJ1909">
        <v>2</v>
      </c>
      <c r="CK1909">
        <v>23</v>
      </c>
      <c r="CL1909" t="s">
        <v>89</v>
      </c>
    </row>
    <row r="1910" spans="1:90" x14ac:dyDescent="0.3">
      <c r="A1910" t="s">
        <v>72</v>
      </c>
      <c r="B1910" t="s">
        <v>73</v>
      </c>
      <c r="C1910" t="s">
        <v>74</v>
      </c>
      <c r="E1910" t="str">
        <f>"080065412128"</f>
        <v>080065412128</v>
      </c>
      <c r="F1910" s="3">
        <v>45793</v>
      </c>
      <c r="G1910">
        <v>202602</v>
      </c>
      <c r="H1910" t="s">
        <v>75</v>
      </c>
      <c r="I1910" t="s">
        <v>76</v>
      </c>
      <c r="J1910" t="s">
        <v>77</v>
      </c>
      <c r="K1910" t="s">
        <v>78</v>
      </c>
      <c r="L1910" t="s">
        <v>130</v>
      </c>
      <c r="M1910" t="s">
        <v>131</v>
      </c>
      <c r="N1910" t="s">
        <v>1347</v>
      </c>
      <c r="O1910" t="s">
        <v>82</v>
      </c>
      <c r="P1910" t="str">
        <f>"4170039107                    "</f>
        <v xml:space="preserve">4170039107                    </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0</v>
      </c>
      <c r="AL1910">
        <v>0</v>
      </c>
      <c r="AM1910">
        <v>0</v>
      </c>
      <c r="AN1910">
        <v>0</v>
      </c>
      <c r="AO1910">
        <v>0</v>
      </c>
      <c r="AP1910">
        <v>0</v>
      </c>
      <c r="AQ1910">
        <v>21.38</v>
      </c>
      <c r="AR1910">
        <v>0</v>
      </c>
      <c r="AS1910">
        <v>0</v>
      </c>
      <c r="AT1910">
        <v>0</v>
      </c>
      <c r="AU1910">
        <v>0</v>
      </c>
      <c r="AV1910">
        <v>0</v>
      </c>
      <c r="AW1910">
        <v>0</v>
      </c>
      <c r="AX1910">
        <v>0</v>
      </c>
      <c r="AY1910">
        <v>0</v>
      </c>
      <c r="AZ1910">
        <v>0</v>
      </c>
      <c r="BA1910">
        <v>0</v>
      </c>
      <c r="BB1910">
        <v>0</v>
      </c>
      <c r="BC1910">
        <v>0</v>
      </c>
      <c r="BD1910">
        <v>0</v>
      </c>
      <c r="BE1910">
        <v>0</v>
      </c>
      <c r="BF1910">
        <v>0</v>
      </c>
      <c r="BG1910">
        <v>0</v>
      </c>
      <c r="BH1910">
        <v>1</v>
      </c>
      <c r="BI1910">
        <v>1</v>
      </c>
      <c r="BJ1910">
        <v>0.2</v>
      </c>
      <c r="BK1910">
        <v>1</v>
      </c>
      <c r="BL1910">
        <v>69.98</v>
      </c>
      <c r="BM1910">
        <v>10.5</v>
      </c>
      <c r="BN1910">
        <v>80.48</v>
      </c>
      <c r="BO1910">
        <v>80.48</v>
      </c>
      <c r="BQ1910" t="s">
        <v>1348</v>
      </c>
      <c r="BR1910" t="s">
        <v>84</v>
      </c>
      <c r="BS1910" s="3">
        <v>45797</v>
      </c>
      <c r="BT1910" s="4">
        <v>0.40138888888888891</v>
      </c>
      <c r="BU1910" t="s">
        <v>1349</v>
      </c>
      <c r="BV1910" t="s">
        <v>89</v>
      </c>
      <c r="BW1910" t="s">
        <v>340</v>
      </c>
      <c r="BX1910" t="s">
        <v>578</v>
      </c>
      <c r="BY1910">
        <v>1200</v>
      </c>
      <c r="CA1910" t="s">
        <v>1350</v>
      </c>
      <c r="CC1910" t="s">
        <v>131</v>
      </c>
      <c r="CD1910">
        <v>7441</v>
      </c>
      <c r="CE1910" t="s">
        <v>88</v>
      </c>
      <c r="CF1910" s="3">
        <v>45798</v>
      </c>
      <c r="CI1910">
        <v>1</v>
      </c>
      <c r="CJ1910">
        <v>2</v>
      </c>
      <c r="CK1910">
        <v>21</v>
      </c>
      <c r="CL1910" t="s">
        <v>89</v>
      </c>
    </row>
    <row r="1911" spans="1:90" x14ac:dyDescent="0.3">
      <c r="A1911" t="s">
        <v>72</v>
      </c>
      <c r="B1911" t="s">
        <v>73</v>
      </c>
      <c r="C1911" t="s">
        <v>74</v>
      </c>
      <c r="E1911" t="str">
        <f>"080065412144"</f>
        <v>080065412144</v>
      </c>
      <c r="F1911" s="3">
        <v>45793</v>
      </c>
      <c r="G1911">
        <v>202602</v>
      </c>
      <c r="H1911" t="s">
        <v>75</v>
      </c>
      <c r="I1911" t="s">
        <v>76</v>
      </c>
      <c r="J1911" t="s">
        <v>77</v>
      </c>
      <c r="K1911" t="s">
        <v>78</v>
      </c>
      <c r="L1911" t="s">
        <v>350</v>
      </c>
      <c r="M1911" t="s">
        <v>351</v>
      </c>
      <c r="N1911" t="s">
        <v>459</v>
      </c>
      <c r="O1911" t="s">
        <v>82</v>
      </c>
      <c r="P1911" t="str">
        <f>"4170039115                    "</f>
        <v xml:space="preserve">4170039115                    </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0</v>
      </c>
      <c r="AJ1911">
        <v>0</v>
      </c>
      <c r="AK1911">
        <v>0</v>
      </c>
      <c r="AL1911">
        <v>0</v>
      </c>
      <c r="AM1911">
        <v>0</v>
      </c>
      <c r="AN1911">
        <v>0</v>
      </c>
      <c r="AO1911">
        <v>0</v>
      </c>
      <c r="AP1911">
        <v>0</v>
      </c>
      <c r="AQ1911">
        <v>21.38</v>
      </c>
      <c r="AR1911">
        <v>0</v>
      </c>
      <c r="AS1911">
        <v>0</v>
      </c>
      <c r="AT1911">
        <v>0</v>
      </c>
      <c r="AU1911">
        <v>0</v>
      </c>
      <c r="AV1911">
        <v>0</v>
      </c>
      <c r="AW1911">
        <v>0</v>
      </c>
      <c r="AX1911">
        <v>0</v>
      </c>
      <c r="AY1911">
        <v>0</v>
      </c>
      <c r="AZ1911">
        <v>0</v>
      </c>
      <c r="BA1911">
        <v>0</v>
      </c>
      <c r="BB1911">
        <v>0</v>
      </c>
      <c r="BC1911">
        <v>0</v>
      </c>
      <c r="BD1911">
        <v>0</v>
      </c>
      <c r="BE1911">
        <v>0</v>
      </c>
      <c r="BF1911">
        <v>0</v>
      </c>
      <c r="BG1911">
        <v>0</v>
      </c>
      <c r="BH1911">
        <v>1</v>
      </c>
      <c r="BI1911">
        <v>1</v>
      </c>
      <c r="BJ1911">
        <v>0.2</v>
      </c>
      <c r="BK1911">
        <v>1</v>
      </c>
      <c r="BL1911">
        <v>69.98</v>
      </c>
      <c r="BM1911">
        <v>10.5</v>
      </c>
      <c r="BN1911">
        <v>80.48</v>
      </c>
      <c r="BO1911">
        <v>80.48</v>
      </c>
      <c r="BQ1911" t="s">
        <v>460</v>
      </c>
      <c r="BR1911" t="s">
        <v>84</v>
      </c>
      <c r="BS1911" s="3">
        <v>45796</v>
      </c>
      <c r="BT1911" s="4">
        <v>0.32291666666666669</v>
      </c>
      <c r="BU1911" t="s">
        <v>461</v>
      </c>
      <c r="BV1911" t="s">
        <v>86</v>
      </c>
      <c r="BY1911">
        <v>1200</v>
      </c>
      <c r="CA1911" t="s">
        <v>462</v>
      </c>
      <c r="CC1911" t="s">
        <v>351</v>
      </c>
      <c r="CD1911">
        <v>4000</v>
      </c>
      <c r="CE1911" t="s">
        <v>88</v>
      </c>
      <c r="CF1911" s="3">
        <v>45796</v>
      </c>
      <c r="CI1911">
        <v>1</v>
      </c>
      <c r="CJ1911">
        <v>1</v>
      </c>
      <c r="CK1911">
        <v>21</v>
      </c>
      <c r="CL1911" t="s">
        <v>89</v>
      </c>
    </row>
    <row r="1912" spans="1:90" x14ac:dyDescent="0.3">
      <c r="A1912" t="s">
        <v>72</v>
      </c>
      <c r="B1912" t="s">
        <v>73</v>
      </c>
      <c r="C1912" t="s">
        <v>74</v>
      </c>
      <c r="E1912" t="str">
        <f>"080065412160"</f>
        <v>080065412160</v>
      </c>
      <c r="F1912" s="3">
        <v>45793</v>
      </c>
      <c r="G1912">
        <v>202602</v>
      </c>
      <c r="H1912" t="s">
        <v>75</v>
      </c>
      <c r="I1912" t="s">
        <v>76</v>
      </c>
      <c r="J1912" t="s">
        <v>77</v>
      </c>
      <c r="K1912" t="s">
        <v>78</v>
      </c>
      <c r="L1912" t="s">
        <v>90</v>
      </c>
      <c r="M1912" t="s">
        <v>91</v>
      </c>
      <c r="N1912" t="s">
        <v>563</v>
      </c>
      <c r="O1912" t="s">
        <v>300</v>
      </c>
      <c r="P1912" t="str">
        <f>"4170038921                    "</f>
        <v xml:space="preserve">4170038921                    </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c r="AJ1912">
        <v>0</v>
      </c>
      <c r="AK1912">
        <v>0</v>
      </c>
      <c r="AL1912">
        <v>0</v>
      </c>
      <c r="AM1912">
        <v>0</v>
      </c>
      <c r="AN1912">
        <v>0</v>
      </c>
      <c r="AO1912">
        <v>0</v>
      </c>
      <c r="AP1912">
        <v>0</v>
      </c>
      <c r="AQ1912">
        <v>53.3</v>
      </c>
      <c r="AR1912">
        <v>0</v>
      </c>
      <c r="AS1912">
        <v>0</v>
      </c>
      <c r="AT1912">
        <v>0</v>
      </c>
      <c r="AU1912">
        <v>0</v>
      </c>
      <c r="AV1912">
        <v>0</v>
      </c>
      <c r="AW1912">
        <v>0</v>
      </c>
      <c r="AX1912">
        <v>0</v>
      </c>
      <c r="AY1912">
        <v>0</v>
      </c>
      <c r="AZ1912">
        <v>0</v>
      </c>
      <c r="BA1912">
        <v>0</v>
      </c>
      <c r="BB1912">
        <v>0</v>
      </c>
      <c r="BC1912">
        <v>0</v>
      </c>
      <c r="BD1912">
        <v>0</v>
      </c>
      <c r="BE1912">
        <v>0</v>
      </c>
      <c r="BF1912">
        <v>0</v>
      </c>
      <c r="BG1912">
        <v>0</v>
      </c>
      <c r="BH1912">
        <v>1</v>
      </c>
      <c r="BI1912">
        <v>22</v>
      </c>
      <c r="BJ1912">
        <v>17.7</v>
      </c>
      <c r="BK1912">
        <v>22</v>
      </c>
      <c r="BL1912">
        <v>180.01</v>
      </c>
      <c r="BM1912">
        <v>27</v>
      </c>
      <c r="BN1912">
        <v>207.01</v>
      </c>
      <c r="BO1912">
        <v>207.01</v>
      </c>
      <c r="BQ1912" t="s">
        <v>564</v>
      </c>
      <c r="BR1912" t="s">
        <v>84</v>
      </c>
      <c r="BS1912" s="3">
        <v>45796</v>
      </c>
      <c r="BT1912" s="4">
        <v>0.34722222222222221</v>
      </c>
      <c r="BU1912" t="s">
        <v>780</v>
      </c>
      <c r="BV1912" t="s">
        <v>86</v>
      </c>
      <c r="BY1912">
        <v>88320</v>
      </c>
      <c r="CA1912" t="s">
        <v>566</v>
      </c>
      <c r="CC1912" t="s">
        <v>91</v>
      </c>
      <c r="CD1912">
        <v>6001</v>
      </c>
      <c r="CE1912" t="s">
        <v>96</v>
      </c>
      <c r="CF1912" s="3">
        <v>45797</v>
      </c>
      <c r="CI1912">
        <v>3</v>
      </c>
      <c r="CJ1912">
        <v>1</v>
      </c>
      <c r="CK1912">
        <v>41</v>
      </c>
      <c r="CL1912" t="s">
        <v>89</v>
      </c>
    </row>
    <row r="1913" spans="1:90" x14ac:dyDescent="0.3">
      <c r="A1913" t="s">
        <v>72</v>
      </c>
      <c r="B1913" t="s">
        <v>73</v>
      </c>
      <c r="C1913" t="s">
        <v>74</v>
      </c>
      <c r="E1913" t="str">
        <f>"080065412165"</f>
        <v>080065412165</v>
      </c>
      <c r="F1913" s="3">
        <v>45793</v>
      </c>
      <c r="G1913">
        <v>202602</v>
      </c>
      <c r="H1913" t="s">
        <v>75</v>
      </c>
      <c r="I1913" t="s">
        <v>76</v>
      </c>
      <c r="J1913" t="s">
        <v>77</v>
      </c>
      <c r="K1913" t="s">
        <v>78</v>
      </c>
      <c r="L1913" t="s">
        <v>713</v>
      </c>
      <c r="M1913" t="s">
        <v>714</v>
      </c>
      <c r="N1913" t="s">
        <v>715</v>
      </c>
      <c r="O1913" t="s">
        <v>82</v>
      </c>
      <c r="P1913" t="str">
        <f>"4170039034                    "</f>
        <v xml:space="preserve">4170039034                    </v>
      </c>
      <c r="Q1913">
        <v>0</v>
      </c>
      <c r="R1913">
        <v>0</v>
      </c>
      <c r="S1913">
        <v>0</v>
      </c>
      <c r="T1913">
        <v>0</v>
      </c>
      <c r="U1913">
        <v>0</v>
      </c>
      <c r="V1913">
        <v>0</v>
      </c>
      <c r="W1913">
        <v>0</v>
      </c>
      <c r="X1913">
        <v>0</v>
      </c>
      <c r="Y1913">
        <v>0</v>
      </c>
      <c r="Z1913">
        <v>0</v>
      </c>
      <c r="AA1913">
        <v>0</v>
      </c>
      <c r="AB1913">
        <v>0</v>
      </c>
      <c r="AC1913">
        <v>0</v>
      </c>
      <c r="AD1913">
        <v>0</v>
      </c>
      <c r="AE1913">
        <v>0</v>
      </c>
      <c r="AF1913">
        <v>0</v>
      </c>
      <c r="AG1913">
        <v>0</v>
      </c>
      <c r="AH1913">
        <v>0</v>
      </c>
      <c r="AI1913">
        <v>0</v>
      </c>
      <c r="AJ1913">
        <v>0</v>
      </c>
      <c r="AK1913">
        <v>0</v>
      </c>
      <c r="AL1913">
        <v>0</v>
      </c>
      <c r="AM1913">
        <v>0</v>
      </c>
      <c r="AN1913">
        <v>0</v>
      </c>
      <c r="AO1913">
        <v>0</v>
      </c>
      <c r="AP1913">
        <v>0</v>
      </c>
      <c r="AQ1913">
        <v>41.43</v>
      </c>
      <c r="AR1913">
        <v>0</v>
      </c>
      <c r="AS1913">
        <v>0</v>
      </c>
      <c r="AT1913">
        <v>0</v>
      </c>
      <c r="AU1913">
        <v>0</v>
      </c>
      <c r="AV1913">
        <v>0</v>
      </c>
      <c r="AW1913">
        <v>0</v>
      </c>
      <c r="AX1913">
        <v>0</v>
      </c>
      <c r="AY1913">
        <v>0</v>
      </c>
      <c r="AZ1913">
        <v>0</v>
      </c>
      <c r="BA1913">
        <v>0</v>
      </c>
      <c r="BB1913">
        <v>0</v>
      </c>
      <c r="BC1913">
        <v>0</v>
      </c>
      <c r="BD1913">
        <v>0</v>
      </c>
      <c r="BE1913">
        <v>0</v>
      </c>
      <c r="BF1913">
        <v>0</v>
      </c>
      <c r="BG1913">
        <v>0</v>
      </c>
      <c r="BH1913">
        <v>1</v>
      </c>
      <c r="BI1913">
        <v>1</v>
      </c>
      <c r="BJ1913">
        <v>0.2</v>
      </c>
      <c r="BK1913">
        <v>1</v>
      </c>
      <c r="BL1913">
        <v>135.59</v>
      </c>
      <c r="BM1913">
        <v>20.34</v>
      </c>
      <c r="BN1913">
        <v>155.93</v>
      </c>
      <c r="BO1913">
        <v>155.93</v>
      </c>
      <c r="BQ1913" t="s">
        <v>716</v>
      </c>
      <c r="BR1913" t="s">
        <v>84</v>
      </c>
      <c r="BS1913" s="3">
        <v>45796</v>
      </c>
      <c r="BT1913" s="4">
        <v>0.52638888888888891</v>
      </c>
      <c r="BU1913" t="s">
        <v>2421</v>
      </c>
      <c r="BV1913" t="s">
        <v>86</v>
      </c>
      <c r="BY1913">
        <v>1200</v>
      </c>
      <c r="CA1913" t="s">
        <v>718</v>
      </c>
      <c r="CC1913" t="s">
        <v>714</v>
      </c>
      <c r="CD1913">
        <v>6300</v>
      </c>
      <c r="CE1913" t="s">
        <v>88</v>
      </c>
      <c r="CF1913" s="3">
        <v>45796</v>
      </c>
      <c r="CI1913">
        <v>2</v>
      </c>
      <c r="CJ1913">
        <v>1</v>
      </c>
      <c r="CK1913">
        <v>23</v>
      </c>
      <c r="CL1913" t="s">
        <v>89</v>
      </c>
    </row>
    <row r="1914" spans="1:90" x14ac:dyDescent="0.3">
      <c r="A1914" t="s">
        <v>72</v>
      </c>
      <c r="B1914" t="s">
        <v>73</v>
      </c>
      <c r="C1914" t="s">
        <v>74</v>
      </c>
      <c r="E1914" t="str">
        <f>"080065412189"</f>
        <v>080065412189</v>
      </c>
      <c r="F1914" s="3">
        <v>45793</v>
      </c>
      <c r="G1914">
        <v>202602</v>
      </c>
      <c r="H1914" t="s">
        <v>75</v>
      </c>
      <c r="I1914" t="s">
        <v>76</v>
      </c>
      <c r="J1914" t="s">
        <v>77</v>
      </c>
      <c r="K1914" t="s">
        <v>78</v>
      </c>
      <c r="L1914" t="s">
        <v>143</v>
      </c>
      <c r="M1914" t="s">
        <v>144</v>
      </c>
      <c r="N1914" t="s">
        <v>2127</v>
      </c>
      <c r="O1914" t="s">
        <v>82</v>
      </c>
      <c r="P1914" t="str">
        <f>"4170038907                    "</f>
        <v xml:space="preserve">4170038907                    </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0</v>
      </c>
      <c r="AL1914">
        <v>0</v>
      </c>
      <c r="AM1914">
        <v>0</v>
      </c>
      <c r="AN1914">
        <v>0</v>
      </c>
      <c r="AO1914">
        <v>0</v>
      </c>
      <c r="AP1914">
        <v>0</v>
      </c>
      <c r="AQ1914">
        <v>16.7</v>
      </c>
      <c r="AR1914">
        <v>0</v>
      </c>
      <c r="AS1914">
        <v>0</v>
      </c>
      <c r="AT1914">
        <v>0</v>
      </c>
      <c r="AU1914">
        <v>0</v>
      </c>
      <c r="AV1914">
        <v>0</v>
      </c>
      <c r="AW1914">
        <v>0</v>
      </c>
      <c r="AX1914">
        <v>0</v>
      </c>
      <c r="AY1914">
        <v>0</v>
      </c>
      <c r="AZ1914">
        <v>0</v>
      </c>
      <c r="BA1914">
        <v>0</v>
      </c>
      <c r="BB1914">
        <v>0</v>
      </c>
      <c r="BC1914">
        <v>0</v>
      </c>
      <c r="BD1914">
        <v>0</v>
      </c>
      <c r="BE1914">
        <v>0</v>
      </c>
      <c r="BF1914">
        <v>0</v>
      </c>
      <c r="BG1914">
        <v>0</v>
      </c>
      <c r="BH1914">
        <v>1</v>
      </c>
      <c r="BI1914">
        <v>1</v>
      </c>
      <c r="BJ1914">
        <v>0.2</v>
      </c>
      <c r="BK1914">
        <v>1</v>
      </c>
      <c r="BL1914">
        <v>54.66</v>
      </c>
      <c r="BM1914">
        <v>8.1999999999999993</v>
      </c>
      <c r="BN1914">
        <v>62.86</v>
      </c>
      <c r="BO1914">
        <v>62.86</v>
      </c>
      <c r="BQ1914" t="s">
        <v>2128</v>
      </c>
      <c r="BR1914" t="s">
        <v>84</v>
      </c>
      <c r="BS1914" s="3">
        <v>45796</v>
      </c>
      <c r="BT1914" s="4">
        <v>0.36875000000000002</v>
      </c>
      <c r="BU1914" t="s">
        <v>335</v>
      </c>
      <c r="BV1914" t="s">
        <v>86</v>
      </c>
      <c r="BY1914">
        <v>1200</v>
      </c>
      <c r="CA1914" t="s">
        <v>2230</v>
      </c>
      <c r="CC1914" t="s">
        <v>144</v>
      </c>
      <c r="CD1914">
        <v>1401</v>
      </c>
      <c r="CE1914" t="s">
        <v>88</v>
      </c>
      <c r="CF1914" s="3">
        <v>45796</v>
      </c>
      <c r="CI1914">
        <v>1</v>
      </c>
      <c r="CJ1914">
        <v>1</v>
      </c>
      <c r="CK1914">
        <v>22</v>
      </c>
      <c r="CL1914" t="s">
        <v>89</v>
      </c>
    </row>
    <row r="1915" spans="1:90" x14ac:dyDescent="0.3">
      <c r="A1915" t="s">
        <v>72</v>
      </c>
      <c r="B1915" t="s">
        <v>73</v>
      </c>
      <c r="C1915" t="s">
        <v>74</v>
      </c>
      <c r="E1915" t="str">
        <f>"080065412198"</f>
        <v>080065412198</v>
      </c>
      <c r="F1915" s="3">
        <v>45793</v>
      </c>
      <c r="G1915">
        <v>202602</v>
      </c>
      <c r="H1915" t="s">
        <v>75</v>
      </c>
      <c r="I1915" t="s">
        <v>76</v>
      </c>
      <c r="J1915" t="s">
        <v>77</v>
      </c>
      <c r="K1915" t="s">
        <v>78</v>
      </c>
      <c r="L1915" t="s">
        <v>75</v>
      </c>
      <c r="M1915" t="s">
        <v>76</v>
      </c>
      <c r="N1915" t="s">
        <v>1263</v>
      </c>
      <c r="O1915" t="s">
        <v>300</v>
      </c>
      <c r="P1915" t="str">
        <f>"4170038898                    "</f>
        <v xml:space="preserve">4170038898                    </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0</v>
      </c>
      <c r="AL1915">
        <v>0</v>
      </c>
      <c r="AM1915">
        <v>0</v>
      </c>
      <c r="AN1915">
        <v>0</v>
      </c>
      <c r="AO1915">
        <v>0</v>
      </c>
      <c r="AP1915">
        <v>0</v>
      </c>
      <c r="AQ1915">
        <v>36.57</v>
      </c>
      <c r="AR1915">
        <v>0</v>
      </c>
      <c r="AS1915">
        <v>0</v>
      </c>
      <c r="AT1915">
        <v>0</v>
      </c>
      <c r="AU1915">
        <v>0</v>
      </c>
      <c r="AV1915">
        <v>0</v>
      </c>
      <c r="AW1915">
        <v>0</v>
      </c>
      <c r="AX1915">
        <v>0</v>
      </c>
      <c r="AY1915">
        <v>0</v>
      </c>
      <c r="AZ1915">
        <v>0</v>
      </c>
      <c r="BA1915">
        <v>0</v>
      </c>
      <c r="BB1915">
        <v>0</v>
      </c>
      <c r="BC1915">
        <v>0</v>
      </c>
      <c r="BD1915">
        <v>0</v>
      </c>
      <c r="BE1915">
        <v>0</v>
      </c>
      <c r="BF1915">
        <v>0</v>
      </c>
      <c r="BG1915">
        <v>0</v>
      </c>
      <c r="BH1915">
        <v>1</v>
      </c>
      <c r="BI1915">
        <v>20</v>
      </c>
      <c r="BJ1915">
        <v>8.9</v>
      </c>
      <c r="BK1915">
        <v>20</v>
      </c>
      <c r="BL1915">
        <v>125.26</v>
      </c>
      <c r="BM1915">
        <v>18.79</v>
      </c>
      <c r="BN1915">
        <v>144.05000000000001</v>
      </c>
      <c r="BO1915">
        <v>144.05000000000001</v>
      </c>
      <c r="BQ1915" t="s">
        <v>1264</v>
      </c>
      <c r="BR1915" t="s">
        <v>84</v>
      </c>
      <c r="BS1915" s="3">
        <v>45796</v>
      </c>
      <c r="BT1915" s="4">
        <v>0.30555555555555558</v>
      </c>
      <c r="BU1915" t="s">
        <v>2422</v>
      </c>
      <c r="BV1915" t="s">
        <v>86</v>
      </c>
      <c r="BY1915">
        <v>44640</v>
      </c>
      <c r="CA1915" t="s">
        <v>2360</v>
      </c>
      <c r="CC1915" t="s">
        <v>76</v>
      </c>
      <c r="CD1915">
        <v>1619</v>
      </c>
      <c r="CE1915" t="s">
        <v>96</v>
      </c>
      <c r="CF1915" s="3">
        <v>45797</v>
      </c>
      <c r="CI1915">
        <v>1</v>
      </c>
      <c r="CJ1915">
        <v>1</v>
      </c>
      <c r="CK1915">
        <v>42</v>
      </c>
      <c r="CL1915" t="s">
        <v>89</v>
      </c>
    </row>
    <row r="1916" spans="1:90" x14ac:dyDescent="0.3">
      <c r="A1916" t="s">
        <v>72</v>
      </c>
      <c r="B1916" t="s">
        <v>73</v>
      </c>
      <c r="C1916" t="s">
        <v>74</v>
      </c>
      <c r="E1916" t="str">
        <f>"080065412215"</f>
        <v>080065412215</v>
      </c>
      <c r="F1916" s="3">
        <v>45793</v>
      </c>
      <c r="G1916">
        <v>202602</v>
      </c>
      <c r="H1916" t="s">
        <v>75</v>
      </c>
      <c r="I1916" t="s">
        <v>76</v>
      </c>
      <c r="J1916" t="s">
        <v>77</v>
      </c>
      <c r="K1916" t="s">
        <v>78</v>
      </c>
      <c r="L1916" t="s">
        <v>409</v>
      </c>
      <c r="M1916" t="s">
        <v>410</v>
      </c>
      <c r="N1916" t="s">
        <v>512</v>
      </c>
      <c r="O1916" t="s">
        <v>82</v>
      </c>
      <c r="P1916" t="str">
        <f>"4170039033                    "</f>
        <v xml:space="preserve">4170039033                    </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0</v>
      </c>
      <c r="AL1916">
        <v>0</v>
      </c>
      <c r="AM1916">
        <v>0</v>
      </c>
      <c r="AN1916">
        <v>0</v>
      </c>
      <c r="AO1916">
        <v>0</v>
      </c>
      <c r="AP1916">
        <v>0</v>
      </c>
      <c r="AQ1916">
        <v>41.43</v>
      </c>
      <c r="AR1916">
        <v>0</v>
      </c>
      <c r="AS1916">
        <v>0</v>
      </c>
      <c r="AT1916">
        <v>0</v>
      </c>
      <c r="AU1916">
        <v>0</v>
      </c>
      <c r="AV1916">
        <v>0</v>
      </c>
      <c r="AW1916">
        <v>0</v>
      </c>
      <c r="AX1916">
        <v>0</v>
      </c>
      <c r="AY1916">
        <v>0</v>
      </c>
      <c r="AZ1916">
        <v>0</v>
      </c>
      <c r="BA1916">
        <v>0</v>
      </c>
      <c r="BB1916">
        <v>0</v>
      </c>
      <c r="BC1916">
        <v>0</v>
      </c>
      <c r="BD1916">
        <v>0</v>
      </c>
      <c r="BE1916">
        <v>0</v>
      </c>
      <c r="BF1916">
        <v>0</v>
      </c>
      <c r="BG1916">
        <v>0</v>
      </c>
      <c r="BH1916">
        <v>1</v>
      </c>
      <c r="BI1916">
        <v>1</v>
      </c>
      <c r="BJ1916">
        <v>0.2</v>
      </c>
      <c r="BK1916">
        <v>1</v>
      </c>
      <c r="BL1916">
        <v>135.59</v>
      </c>
      <c r="BM1916">
        <v>20.34</v>
      </c>
      <c r="BN1916">
        <v>155.93</v>
      </c>
      <c r="BO1916">
        <v>155.93</v>
      </c>
      <c r="BQ1916" t="s">
        <v>513</v>
      </c>
      <c r="BR1916" t="s">
        <v>84</v>
      </c>
      <c r="BS1916" s="3">
        <v>45797</v>
      </c>
      <c r="BT1916" s="4">
        <v>0.50069444444444444</v>
      </c>
      <c r="BU1916" t="s">
        <v>2423</v>
      </c>
      <c r="BV1916" t="s">
        <v>86</v>
      </c>
      <c r="BY1916">
        <v>1200</v>
      </c>
      <c r="CA1916" t="s">
        <v>1088</v>
      </c>
      <c r="CC1916" t="s">
        <v>410</v>
      </c>
      <c r="CD1916">
        <v>6850</v>
      </c>
      <c r="CE1916" t="s">
        <v>88</v>
      </c>
      <c r="CF1916" s="3">
        <v>45798</v>
      </c>
      <c r="CI1916">
        <v>2</v>
      </c>
      <c r="CJ1916">
        <v>2</v>
      </c>
      <c r="CK1916">
        <v>23</v>
      </c>
      <c r="CL1916" t="s">
        <v>89</v>
      </c>
    </row>
    <row r="1917" spans="1:90" x14ac:dyDescent="0.3">
      <c r="A1917" t="s">
        <v>72</v>
      </c>
      <c r="B1917" t="s">
        <v>73</v>
      </c>
      <c r="C1917" t="s">
        <v>74</v>
      </c>
      <c r="E1917" t="str">
        <f>"080065412234"</f>
        <v>080065412234</v>
      </c>
      <c r="F1917" s="3">
        <v>45793</v>
      </c>
      <c r="G1917">
        <v>202602</v>
      </c>
      <c r="H1917" t="s">
        <v>75</v>
      </c>
      <c r="I1917" t="s">
        <v>76</v>
      </c>
      <c r="J1917" t="s">
        <v>77</v>
      </c>
      <c r="K1917" t="s">
        <v>78</v>
      </c>
      <c r="L1917" t="s">
        <v>350</v>
      </c>
      <c r="M1917" t="s">
        <v>351</v>
      </c>
      <c r="N1917" t="s">
        <v>431</v>
      </c>
      <c r="O1917" t="s">
        <v>82</v>
      </c>
      <c r="P1917" t="str">
        <f>"4170039037                    "</f>
        <v xml:space="preserve">4170039037                    </v>
      </c>
      <c r="Q1917">
        <v>0</v>
      </c>
      <c r="R1917">
        <v>0</v>
      </c>
      <c r="S1917">
        <v>0</v>
      </c>
      <c r="T1917">
        <v>0</v>
      </c>
      <c r="U1917">
        <v>0</v>
      </c>
      <c r="V1917">
        <v>0</v>
      </c>
      <c r="W1917">
        <v>0</v>
      </c>
      <c r="X1917">
        <v>0</v>
      </c>
      <c r="Y1917">
        <v>0</v>
      </c>
      <c r="Z1917">
        <v>0</v>
      </c>
      <c r="AA1917">
        <v>0</v>
      </c>
      <c r="AB1917">
        <v>0</v>
      </c>
      <c r="AC1917">
        <v>0</v>
      </c>
      <c r="AD1917">
        <v>0</v>
      </c>
      <c r="AE1917">
        <v>0</v>
      </c>
      <c r="AF1917">
        <v>0</v>
      </c>
      <c r="AG1917">
        <v>0</v>
      </c>
      <c r="AH1917">
        <v>0</v>
      </c>
      <c r="AI1917">
        <v>0</v>
      </c>
      <c r="AJ1917">
        <v>0</v>
      </c>
      <c r="AK1917">
        <v>0</v>
      </c>
      <c r="AL1917">
        <v>0</v>
      </c>
      <c r="AM1917">
        <v>0</v>
      </c>
      <c r="AN1917">
        <v>0</v>
      </c>
      <c r="AO1917">
        <v>0</v>
      </c>
      <c r="AP1917">
        <v>0</v>
      </c>
      <c r="AQ1917">
        <v>21.38</v>
      </c>
      <c r="AR1917">
        <v>0</v>
      </c>
      <c r="AS1917">
        <v>0</v>
      </c>
      <c r="AT1917">
        <v>0</v>
      </c>
      <c r="AU1917">
        <v>0</v>
      </c>
      <c r="AV1917">
        <v>0</v>
      </c>
      <c r="AW1917">
        <v>0</v>
      </c>
      <c r="AX1917">
        <v>0</v>
      </c>
      <c r="AY1917">
        <v>0</v>
      </c>
      <c r="AZ1917">
        <v>0</v>
      </c>
      <c r="BA1917">
        <v>0</v>
      </c>
      <c r="BB1917">
        <v>0</v>
      </c>
      <c r="BC1917">
        <v>0</v>
      </c>
      <c r="BD1917">
        <v>0</v>
      </c>
      <c r="BE1917">
        <v>0</v>
      </c>
      <c r="BF1917">
        <v>0</v>
      </c>
      <c r="BG1917">
        <v>0</v>
      </c>
      <c r="BH1917">
        <v>1</v>
      </c>
      <c r="BI1917">
        <v>1</v>
      </c>
      <c r="BJ1917">
        <v>0.2</v>
      </c>
      <c r="BK1917">
        <v>1</v>
      </c>
      <c r="BL1917">
        <v>69.98</v>
      </c>
      <c r="BM1917">
        <v>10.5</v>
      </c>
      <c r="BN1917">
        <v>80.48</v>
      </c>
      <c r="BO1917">
        <v>80.48</v>
      </c>
      <c r="BQ1917" t="s">
        <v>432</v>
      </c>
      <c r="BR1917" t="s">
        <v>84</v>
      </c>
      <c r="BS1917" s="3">
        <v>45796</v>
      </c>
      <c r="BT1917" s="4">
        <v>0.64166666666666672</v>
      </c>
      <c r="BU1917" t="s">
        <v>433</v>
      </c>
      <c r="BV1917" t="s">
        <v>89</v>
      </c>
      <c r="BW1917" t="s">
        <v>296</v>
      </c>
      <c r="BX1917" t="s">
        <v>325</v>
      </c>
      <c r="BY1917">
        <v>1200</v>
      </c>
      <c r="CA1917" t="s">
        <v>436</v>
      </c>
      <c r="CC1917" t="s">
        <v>351</v>
      </c>
      <c r="CD1917">
        <v>4052</v>
      </c>
      <c r="CE1917" t="s">
        <v>88</v>
      </c>
      <c r="CF1917" s="3">
        <v>45796</v>
      </c>
      <c r="CI1917">
        <v>1</v>
      </c>
      <c r="CJ1917">
        <v>1</v>
      </c>
      <c r="CK1917">
        <v>21</v>
      </c>
      <c r="CL1917" t="s">
        <v>89</v>
      </c>
    </row>
    <row r="1918" spans="1:90" x14ac:dyDescent="0.3">
      <c r="A1918" t="s">
        <v>72</v>
      </c>
      <c r="B1918" t="s">
        <v>73</v>
      </c>
      <c r="C1918" t="s">
        <v>74</v>
      </c>
      <c r="E1918" t="str">
        <f>"080065412265"</f>
        <v>080065412265</v>
      </c>
      <c r="F1918" s="3">
        <v>45793</v>
      </c>
      <c r="G1918">
        <v>202602</v>
      </c>
      <c r="H1918" t="s">
        <v>75</v>
      </c>
      <c r="I1918" t="s">
        <v>76</v>
      </c>
      <c r="J1918" t="s">
        <v>77</v>
      </c>
      <c r="K1918" t="s">
        <v>78</v>
      </c>
      <c r="L1918" t="s">
        <v>479</v>
      </c>
      <c r="M1918" t="s">
        <v>480</v>
      </c>
      <c r="N1918" t="s">
        <v>793</v>
      </c>
      <c r="O1918" t="s">
        <v>82</v>
      </c>
      <c r="P1918" t="str">
        <f>"4170038988                    "</f>
        <v xml:space="preserve">4170038988                    </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0</v>
      </c>
      <c r="AL1918">
        <v>0</v>
      </c>
      <c r="AM1918">
        <v>0</v>
      </c>
      <c r="AN1918">
        <v>0</v>
      </c>
      <c r="AO1918">
        <v>0</v>
      </c>
      <c r="AP1918">
        <v>0</v>
      </c>
      <c r="AQ1918">
        <v>16.7</v>
      </c>
      <c r="AR1918">
        <v>0</v>
      </c>
      <c r="AS1918">
        <v>0</v>
      </c>
      <c r="AT1918">
        <v>0</v>
      </c>
      <c r="AU1918">
        <v>0</v>
      </c>
      <c r="AV1918">
        <v>0</v>
      </c>
      <c r="AW1918">
        <v>0</v>
      </c>
      <c r="AX1918">
        <v>0</v>
      </c>
      <c r="AY1918">
        <v>0</v>
      </c>
      <c r="AZ1918">
        <v>0</v>
      </c>
      <c r="BA1918">
        <v>0</v>
      </c>
      <c r="BB1918">
        <v>0</v>
      </c>
      <c r="BC1918">
        <v>0</v>
      </c>
      <c r="BD1918">
        <v>0</v>
      </c>
      <c r="BE1918">
        <v>0</v>
      </c>
      <c r="BF1918">
        <v>0</v>
      </c>
      <c r="BG1918">
        <v>0</v>
      </c>
      <c r="BH1918">
        <v>1</v>
      </c>
      <c r="BI1918">
        <v>1</v>
      </c>
      <c r="BJ1918">
        <v>0.2</v>
      </c>
      <c r="BK1918">
        <v>1</v>
      </c>
      <c r="BL1918">
        <v>54.66</v>
      </c>
      <c r="BM1918">
        <v>8.1999999999999993</v>
      </c>
      <c r="BN1918">
        <v>62.86</v>
      </c>
      <c r="BO1918">
        <v>62.86</v>
      </c>
      <c r="BQ1918" t="s">
        <v>794</v>
      </c>
      <c r="BR1918" t="s">
        <v>84</v>
      </c>
      <c r="BS1918" s="3">
        <v>45796</v>
      </c>
      <c r="BT1918" s="4">
        <v>0.34722222222222221</v>
      </c>
      <c r="BU1918" t="s">
        <v>795</v>
      </c>
      <c r="BV1918" t="s">
        <v>86</v>
      </c>
      <c r="BY1918">
        <v>1200</v>
      </c>
      <c r="CA1918" t="s">
        <v>796</v>
      </c>
      <c r="CC1918" t="s">
        <v>480</v>
      </c>
      <c r="CD1918">
        <v>2163</v>
      </c>
      <c r="CE1918" t="s">
        <v>88</v>
      </c>
      <c r="CF1918" s="3">
        <v>45796</v>
      </c>
      <c r="CI1918">
        <v>1</v>
      </c>
      <c r="CJ1918">
        <v>1</v>
      </c>
      <c r="CK1918">
        <v>22</v>
      </c>
      <c r="CL1918" t="s">
        <v>89</v>
      </c>
    </row>
    <row r="1919" spans="1:90" x14ac:dyDescent="0.3">
      <c r="A1919" t="s">
        <v>72</v>
      </c>
      <c r="B1919" t="s">
        <v>73</v>
      </c>
      <c r="C1919" t="s">
        <v>74</v>
      </c>
      <c r="E1919" t="str">
        <f>"080065412292"</f>
        <v>080065412292</v>
      </c>
      <c r="F1919" s="3">
        <v>45793</v>
      </c>
      <c r="G1919">
        <v>202602</v>
      </c>
      <c r="H1919" t="s">
        <v>75</v>
      </c>
      <c r="I1919" t="s">
        <v>76</v>
      </c>
      <c r="J1919" t="s">
        <v>77</v>
      </c>
      <c r="K1919" t="s">
        <v>78</v>
      </c>
      <c r="L1919" t="s">
        <v>463</v>
      </c>
      <c r="M1919" t="s">
        <v>464</v>
      </c>
      <c r="N1919" t="s">
        <v>585</v>
      </c>
      <c r="O1919" t="s">
        <v>82</v>
      </c>
      <c r="P1919" t="str">
        <f>"4170038987                    "</f>
        <v xml:space="preserve">4170038987                    </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0</v>
      </c>
      <c r="AL1919">
        <v>0</v>
      </c>
      <c r="AM1919">
        <v>0</v>
      </c>
      <c r="AN1919">
        <v>0</v>
      </c>
      <c r="AO1919">
        <v>0</v>
      </c>
      <c r="AP1919">
        <v>0</v>
      </c>
      <c r="AQ1919">
        <v>21.38</v>
      </c>
      <c r="AR1919">
        <v>0</v>
      </c>
      <c r="AS1919">
        <v>0</v>
      </c>
      <c r="AT1919">
        <v>0</v>
      </c>
      <c r="AU1919">
        <v>0</v>
      </c>
      <c r="AV1919">
        <v>0</v>
      </c>
      <c r="AW1919">
        <v>0</v>
      </c>
      <c r="AX1919">
        <v>0</v>
      </c>
      <c r="AY1919">
        <v>0</v>
      </c>
      <c r="AZ1919">
        <v>0</v>
      </c>
      <c r="BA1919">
        <v>0</v>
      </c>
      <c r="BB1919">
        <v>0</v>
      </c>
      <c r="BC1919">
        <v>0</v>
      </c>
      <c r="BD1919">
        <v>0</v>
      </c>
      <c r="BE1919">
        <v>0</v>
      </c>
      <c r="BF1919">
        <v>0</v>
      </c>
      <c r="BG1919">
        <v>0</v>
      </c>
      <c r="BH1919">
        <v>1</v>
      </c>
      <c r="BI1919">
        <v>1</v>
      </c>
      <c r="BJ1919">
        <v>0.2</v>
      </c>
      <c r="BK1919">
        <v>1</v>
      </c>
      <c r="BL1919">
        <v>69.98</v>
      </c>
      <c r="BM1919">
        <v>10.5</v>
      </c>
      <c r="BN1919">
        <v>80.48</v>
      </c>
      <c r="BO1919">
        <v>80.48</v>
      </c>
      <c r="BQ1919" t="s">
        <v>586</v>
      </c>
      <c r="BR1919" t="s">
        <v>84</v>
      </c>
      <c r="BS1919" s="3">
        <v>45796</v>
      </c>
      <c r="BT1919" s="4">
        <v>0.43819444444444444</v>
      </c>
      <c r="BU1919" t="s">
        <v>2297</v>
      </c>
      <c r="BV1919" t="s">
        <v>89</v>
      </c>
      <c r="BY1919">
        <v>1200</v>
      </c>
      <c r="CA1919" t="s">
        <v>588</v>
      </c>
      <c r="CC1919" t="s">
        <v>464</v>
      </c>
      <c r="CD1919">
        <v>5201</v>
      </c>
      <c r="CE1919" t="s">
        <v>88</v>
      </c>
      <c r="CF1919" s="3">
        <v>45797</v>
      </c>
      <c r="CI1919">
        <v>1</v>
      </c>
      <c r="CJ1919">
        <v>1</v>
      </c>
      <c r="CK1919">
        <v>21</v>
      </c>
      <c r="CL1919" t="s">
        <v>89</v>
      </c>
    </row>
    <row r="1920" spans="1:90" x14ac:dyDescent="0.3">
      <c r="A1920" t="s">
        <v>72</v>
      </c>
      <c r="B1920" t="s">
        <v>73</v>
      </c>
      <c r="C1920" t="s">
        <v>74</v>
      </c>
      <c r="E1920" t="str">
        <f>"080065412402"</f>
        <v>080065412402</v>
      </c>
      <c r="F1920" s="3">
        <v>45793</v>
      </c>
      <c r="G1920">
        <v>202602</v>
      </c>
      <c r="H1920" t="s">
        <v>75</v>
      </c>
      <c r="I1920" t="s">
        <v>76</v>
      </c>
      <c r="J1920" t="s">
        <v>77</v>
      </c>
      <c r="K1920" t="s">
        <v>78</v>
      </c>
      <c r="L1920" t="s">
        <v>672</v>
      </c>
      <c r="M1920" t="s">
        <v>673</v>
      </c>
      <c r="N1920" t="s">
        <v>674</v>
      </c>
      <c r="O1920" t="s">
        <v>82</v>
      </c>
      <c r="P1920" t="str">
        <f>"4170038998                    "</f>
        <v xml:space="preserve">4170038998                    </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c r="AJ1920">
        <v>0</v>
      </c>
      <c r="AK1920">
        <v>0</v>
      </c>
      <c r="AL1920">
        <v>0</v>
      </c>
      <c r="AM1920">
        <v>0</v>
      </c>
      <c r="AN1920">
        <v>0</v>
      </c>
      <c r="AO1920">
        <v>0</v>
      </c>
      <c r="AP1920">
        <v>0</v>
      </c>
      <c r="AQ1920">
        <v>41.43</v>
      </c>
      <c r="AR1920">
        <v>0</v>
      </c>
      <c r="AS1920">
        <v>0</v>
      </c>
      <c r="AT1920">
        <v>0</v>
      </c>
      <c r="AU1920">
        <v>0</v>
      </c>
      <c r="AV1920">
        <v>0</v>
      </c>
      <c r="AW1920">
        <v>0</v>
      </c>
      <c r="AX1920">
        <v>0</v>
      </c>
      <c r="AY1920">
        <v>0</v>
      </c>
      <c r="AZ1920">
        <v>0</v>
      </c>
      <c r="BA1920">
        <v>0</v>
      </c>
      <c r="BB1920">
        <v>0</v>
      </c>
      <c r="BC1920">
        <v>0</v>
      </c>
      <c r="BD1920">
        <v>0</v>
      </c>
      <c r="BE1920">
        <v>0</v>
      </c>
      <c r="BF1920">
        <v>0</v>
      </c>
      <c r="BG1920">
        <v>0</v>
      </c>
      <c r="BH1920">
        <v>1</v>
      </c>
      <c r="BI1920">
        <v>1</v>
      </c>
      <c r="BJ1920">
        <v>0.2</v>
      </c>
      <c r="BK1920">
        <v>1</v>
      </c>
      <c r="BL1920">
        <v>135.59</v>
      </c>
      <c r="BM1920">
        <v>20.34</v>
      </c>
      <c r="BN1920">
        <v>155.93</v>
      </c>
      <c r="BO1920">
        <v>155.93</v>
      </c>
      <c r="BQ1920" t="s">
        <v>675</v>
      </c>
      <c r="BR1920" t="s">
        <v>84</v>
      </c>
      <c r="BS1920" s="3">
        <v>45796</v>
      </c>
      <c r="BT1920" s="4">
        <v>0.39444444444444443</v>
      </c>
      <c r="BU1920" t="s">
        <v>2424</v>
      </c>
      <c r="BV1920" t="s">
        <v>86</v>
      </c>
      <c r="BY1920">
        <v>1200</v>
      </c>
      <c r="CA1920" t="s">
        <v>677</v>
      </c>
      <c r="CC1920" t="s">
        <v>673</v>
      </c>
      <c r="CD1920">
        <v>2531</v>
      </c>
      <c r="CE1920" t="s">
        <v>176</v>
      </c>
      <c r="CF1920" s="3">
        <v>45797</v>
      </c>
      <c r="CI1920">
        <v>1</v>
      </c>
      <c r="CJ1920">
        <v>1</v>
      </c>
      <c r="CK1920">
        <v>23</v>
      </c>
      <c r="CL1920" t="s">
        <v>89</v>
      </c>
    </row>
    <row r="1921" spans="1:90" x14ac:dyDescent="0.3">
      <c r="A1921" t="s">
        <v>72</v>
      </c>
      <c r="B1921" t="s">
        <v>73</v>
      </c>
      <c r="C1921" t="s">
        <v>74</v>
      </c>
      <c r="E1921" t="str">
        <f>"R080065370659"</f>
        <v>R080065370659</v>
      </c>
      <c r="F1921" s="3">
        <v>45793</v>
      </c>
      <c r="G1921">
        <v>202602</v>
      </c>
      <c r="H1921" t="s">
        <v>117</v>
      </c>
      <c r="I1921" t="s">
        <v>118</v>
      </c>
      <c r="J1921" t="s">
        <v>2046</v>
      </c>
      <c r="K1921" t="s">
        <v>78</v>
      </c>
      <c r="L1921" t="s">
        <v>117</v>
      </c>
      <c r="M1921" t="s">
        <v>118</v>
      </c>
      <c r="N1921" t="s">
        <v>2425</v>
      </c>
      <c r="O1921" t="s">
        <v>300</v>
      </c>
      <c r="P1921" t="str">
        <f>"4170038282                    "</f>
        <v xml:space="preserve">4170038282                    </v>
      </c>
      <c r="Q1921">
        <v>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0</v>
      </c>
      <c r="AL1921">
        <v>0</v>
      </c>
      <c r="AM1921">
        <v>0</v>
      </c>
      <c r="AN1921">
        <v>0</v>
      </c>
      <c r="AO1921">
        <v>0</v>
      </c>
      <c r="AP1921">
        <v>0</v>
      </c>
      <c r="AQ1921">
        <v>31.91</v>
      </c>
      <c r="AR1921">
        <v>0</v>
      </c>
      <c r="AS1921">
        <v>0</v>
      </c>
      <c r="AT1921">
        <v>0</v>
      </c>
      <c r="AU1921">
        <v>0</v>
      </c>
      <c r="AV1921">
        <v>0</v>
      </c>
      <c r="AW1921">
        <v>0</v>
      </c>
      <c r="AX1921">
        <v>0</v>
      </c>
      <c r="AY1921">
        <v>0</v>
      </c>
      <c r="AZ1921">
        <v>0</v>
      </c>
      <c r="BA1921">
        <v>0</v>
      </c>
      <c r="BB1921">
        <v>0</v>
      </c>
      <c r="BC1921">
        <v>0</v>
      </c>
      <c r="BD1921">
        <v>0</v>
      </c>
      <c r="BE1921">
        <v>0</v>
      </c>
      <c r="BF1921">
        <v>0</v>
      </c>
      <c r="BG1921">
        <v>0</v>
      </c>
      <c r="BH1921">
        <v>1</v>
      </c>
      <c r="BI1921">
        <v>1</v>
      </c>
      <c r="BJ1921">
        <v>0.2</v>
      </c>
      <c r="BK1921">
        <v>1</v>
      </c>
      <c r="BL1921">
        <v>110</v>
      </c>
      <c r="BM1921">
        <v>16.5</v>
      </c>
      <c r="BN1921">
        <v>126.5</v>
      </c>
      <c r="BO1921">
        <v>126.5</v>
      </c>
      <c r="BQ1921" s="5" t="s">
        <v>2426</v>
      </c>
      <c r="BR1921" t="s">
        <v>2047</v>
      </c>
      <c r="BS1921" s="3">
        <v>45796</v>
      </c>
      <c r="BT1921" s="4">
        <v>0.3611111111111111</v>
      </c>
      <c r="BU1921" t="s">
        <v>2427</v>
      </c>
      <c r="BV1921" t="s">
        <v>86</v>
      </c>
      <c r="BY1921">
        <v>1200</v>
      </c>
      <c r="CA1921" t="s">
        <v>2428</v>
      </c>
      <c r="CC1921" t="s">
        <v>118</v>
      </c>
      <c r="CD1921">
        <v>2092</v>
      </c>
      <c r="CE1921" t="s">
        <v>88</v>
      </c>
      <c r="CF1921" s="3">
        <v>45796</v>
      </c>
      <c r="CI1921">
        <v>1</v>
      </c>
      <c r="CJ1921">
        <v>1</v>
      </c>
      <c r="CK1921">
        <v>42</v>
      </c>
      <c r="CL1921" t="s">
        <v>89</v>
      </c>
    </row>
    <row r="1922" spans="1:90" x14ac:dyDescent="0.3">
      <c r="A1922" t="s">
        <v>72</v>
      </c>
      <c r="B1922" t="s">
        <v>73</v>
      </c>
      <c r="C1922" t="s">
        <v>74</v>
      </c>
      <c r="E1922" t="str">
        <f>"080065412424"</f>
        <v>080065412424</v>
      </c>
      <c r="F1922" s="3">
        <v>45793</v>
      </c>
      <c r="G1922">
        <v>202602</v>
      </c>
      <c r="H1922" t="s">
        <v>75</v>
      </c>
      <c r="I1922" t="s">
        <v>76</v>
      </c>
      <c r="J1922" t="s">
        <v>77</v>
      </c>
      <c r="K1922" t="s">
        <v>78</v>
      </c>
      <c r="L1922" t="s">
        <v>2429</v>
      </c>
      <c r="M1922" t="s">
        <v>2430</v>
      </c>
      <c r="N1922" t="s">
        <v>2431</v>
      </c>
      <c r="O1922" t="s">
        <v>82</v>
      </c>
      <c r="P1922" t="str">
        <f>"4170038997                    "</f>
        <v xml:space="preserve">4170038997                    </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0</v>
      </c>
      <c r="AL1922">
        <v>0</v>
      </c>
      <c r="AM1922">
        <v>0</v>
      </c>
      <c r="AN1922">
        <v>0</v>
      </c>
      <c r="AO1922">
        <v>0</v>
      </c>
      <c r="AP1922">
        <v>0</v>
      </c>
      <c r="AQ1922">
        <v>21.38</v>
      </c>
      <c r="AR1922">
        <v>0</v>
      </c>
      <c r="AS1922">
        <v>0</v>
      </c>
      <c r="AT1922">
        <v>0</v>
      </c>
      <c r="AU1922">
        <v>0</v>
      </c>
      <c r="AV1922">
        <v>0</v>
      </c>
      <c r="AW1922">
        <v>0</v>
      </c>
      <c r="AX1922">
        <v>0</v>
      </c>
      <c r="AY1922">
        <v>0</v>
      </c>
      <c r="AZ1922">
        <v>0</v>
      </c>
      <c r="BA1922">
        <v>0</v>
      </c>
      <c r="BB1922">
        <v>0</v>
      </c>
      <c r="BC1922">
        <v>0</v>
      </c>
      <c r="BD1922">
        <v>0</v>
      </c>
      <c r="BE1922">
        <v>0</v>
      </c>
      <c r="BF1922">
        <v>0</v>
      </c>
      <c r="BG1922">
        <v>0</v>
      </c>
      <c r="BH1922">
        <v>1</v>
      </c>
      <c r="BI1922">
        <v>1</v>
      </c>
      <c r="BJ1922">
        <v>0.2</v>
      </c>
      <c r="BK1922">
        <v>1</v>
      </c>
      <c r="BL1922">
        <v>69.98</v>
      </c>
      <c r="BM1922">
        <v>10.5</v>
      </c>
      <c r="BN1922">
        <v>80.48</v>
      </c>
      <c r="BO1922">
        <v>80.48</v>
      </c>
      <c r="BQ1922" t="s">
        <v>2432</v>
      </c>
      <c r="BR1922" t="s">
        <v>84</v>
      </c>
      <c r="BS1922" s="3">
        <v>45796</v>
      </c>
      <c r="BT1922" s="4">
        <v>0.42708333333333331</v>
      </c>
      <c r="BU1922" t="s">
        <v>2433</v>
      </c>
      <c r="BV1922" t="s">
        <v>86</v>
      </c>
      <c r="BY1922">
        <v>1200</v>
      </c>
      <c r="CA1922" t="s">
        <v>191</v>
      </c>
      <c r="CC1922" t="s">
        <v>2430</v>
      </c>
      <c r="CD1922">
        <v>4120</v>
      </c>
      <c r="CE1922" t="s">
        <v>176</v>
      </c>
      <c r="CF1922" s="3">
        <v>45796</v>
      </c>
      <c r="CI1922">
        <v>1</v>
      </c>
      <c r="CJ1922">
        <v>1</v>
      </c>
      <c r="CK1922">
        <v>21</v>
      </c>
      <c r="CL1922" t="s">
        <v>89</v>
      </c>
    </row>
    <row r="1923" spans="1:90" x14ac:dyDescent="0.3">
      <c r="A1923" t="s">
        <v>72</v>
      </c>
      <c r="B1923" t="s">
        <v>73</v>
      </c>
      <c r="C1923" t="s">
        <v>74</v>
      </c>
      <c r="E1923" t="str">
        <f>"080065412440"</f>
        <v>080065412440</v>
      </c>
      <c r="F1923" s="3">
        <v>45793</v>
      </c>
      <c r="G1923">
        <v>202602</v>
      </c>
      <c r="H1923" t="s">
        <v>75</v>
      </c>
      <c r="I1923" t="s">
        <v>76</v>
      </c>
      <c r="J1923" t="s">
        <v>77</v>
      </c>
      <c r="K1923" t="s">
        <v>78</v>
      </c>
      <c r="L1923" t="s">
        <v>75</v>
      </c>
      <c r="M1923" t="s">
        <v>76</v>
      </c>
      <c r="N1923" t="s">
        <v>2434</v>
      </c>
      <c r="O1923" t="s">
        <v>82</v>
      </c>
      <c r="P1923" t="str">
        <f>"4170038902                    "</f>
        <v xml:space="preserve">4170038902                    </v>
      </c>
      <c r="Q1923">
        <v>0</v>
      </c>
      <c r="R1923">
        <v>0</v>
      </c>
      <c r="S1923">
        <v>0</v>
      </c>
      <c r="T1923">
        <v>0</v>
      </c>
      <c r="U1923">
        <v>0</v>
      </c>
      <c r="V1923">
        <v>0</v>
      </c>
      <c r="W1923">
        <v>0</v>
      </c>
      <c r="X1923">
        <v>0</v>
      </c>
      <c r="Y1923">
        <v>0</v>
      </c>
      <c r="Z1923">
        <v>0</v>
      </c>
      <c r="AA1923">
        <v>0</v>
      </c>
      <c r="AB1923">
        <v>0</v>
      </c>
      <c r="AC1923">
        <v>0</v>
      </c>
      <c r="AD1923">
        <v>0</v>
      </c>
      <c r="AE1923">
        <v>0</v>
      </c>
      <c r="AF1923">
        <v>0</v>
      </c>
      <c r="AG1923">
        <v>0</v>
      </c>
      <c r="AH1923">
        <v>0</v>
      </c>
      <c r="AI1923">
        <v>0</v>
      </c>
      <c r="AJ1923">
        <v>0</v>
      </c>
      <c r="AK1923">
        <v>0</v>
      </c>
      <c r="AL1923">
        <v>0</v>
      </c>
      <c r="AM1923">
        <v>0</v>
      </c>
      <c r="AN1923">
        <v>0</v>
      </c>
      <c r="AO1923">
        <v>0</v>
      </c>
      <c r="AP1923">
        <v>0</v>
      </c>
      <c r="AQ1923">
        <v>16.7</v>
      </c>
      <c r="AR1923">
        <v>0</v>
      </c>
      <c r="AS1923">
        <v>0</v>
      </c>
      <c r="AT1923">
        <v>0</v>
      </c>
      <c r="AU1923">
        <v>0</v>
      </c>
      <c r="AV1923">
        <v>0</v>
      </c>
      <c r="AW1923">
        <v>0</v>
      </c>
      <c r="AX1923">
        <v>0</v>
      </c>
      <c r="AY1923">
        <v>0</v>
      </c>
      <c r="AZ1923">
        <v>0</v>
      </c>
      <c r="BA1923">
        <v>0</v>
      </c>
      <c r="BB1923">
        <v>0</v>
      </c>
      <c r="BC1923">
        <v>0</v>
      </c>
      <c r="BD1923">
        <v>0</v>
      </c>
      <c r="BE1923">
        <v>0</v>
      </c>
      <c r="BF1923">
        <v>0</v>
      </c>
      <c r="BG1923">
        <v>0</v>
      </c>
      <c r="BH1923">
        <v>1</v>
      </c>
      <c r="BI1923">
        <v>1</v>
      </c>
      <c r="BJ1923">
        <v>0.2</v>
      </c>
      <c r="BK1923">
        <v>1</v>
      </c>
      <c r="BL1923">
        <v>54.66</v>
      </c>
      <c r="BM1923">
        <v>8.1999999999999993</v>
      </c>
      <c r="BN1923">
        <v>62.86</v>
      </c>
      <c r="BO1923">
        <v>62.86</v>
      </c>
      <c r="BQ1923" t="s">
        <v>2435</v>
      </c>
      <c r="BR1923" t="s">
        <v>84</v>
      </c>
      <c r="BS1923" s="3">
        <v>45796</v>
      </c>
      <c r="BT1923" s="4">
        <v>0.40277777777777779</v>
      </c>
      <c r="BU1923" t="s">
        <v>2436</v>
      </c>
      <c r="BV1923" t="s">
        <v>86</v>
      </c>
      <c r="BY1923">
        <v>1200</v>
      </c>
      <c r="CA1923" t="s">
        <v>761</v>
      </c>
      <c r="CC1923" t="s">
        <v>76</v>
      </c>
      <c r="CD1923">
        <v>1685</v>
      </c>
      <c r="CE1923" t="s">
        <v>176</v>
      </c>
      <c r="CF1923" s="3">
        <v>45797</v>
      </c>
      <c r="CI1923">
        <v>1</v>
      </c>
      <c r="CJ1923">
        <v>1</v>
      </c>
      <c r="CK1923">
        <v>22</v>
      </c>
      <c r="CL1923" t="s">
        <v>89</v>
      </c>
    </row>
    <row r="1924" spans="1:90" x14ac:dyDescent="0.3">
      <c r="A1924" t="s">
        <v>72</v>
      </c>
      <c r="B1924" t="s">
        <v>73</v>
      </c>
      <c r="C1924" t="s">
        <v>74</v>
      </c>
      <c r="E1924" t="str">
        <f>"080065412641"</f>
        <v>080065412641</v>
      </c>
      <c r="F1924" s="3">
        <v>45793</v>
      </c>
      <c r="G1924">
        <v>202602</v>
      </c>
      <c r="H1924" t="s">
        <v>75</v>
      </c>
      <c r="I1924" t="s">
        <v>76</v>
      </c>
      <c r="J1924" t="s">
        <v>77</v>
      </c>
      <c r="K1924" t="s">
        <v>78</v>
      </c>
      <c r="L1924" t="s">
        <v>420</v>
      </c>
      <c r="M1924" t="s">
        <v>421</v>
      </c>
      <c r="N1924" t="s">
        <v>422</v>
      </c>
      <c r="O1924" t="s">
        <v>82</v>
      </c>
      <c r="P1924" t="str">
        <f>"4170039036                    "</f>
        <v xml:space="preserve">4170039036                    </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c r="AJ1924">
        <v>0</v>
      </c>
      <c r="AK1924">
        <v>0</v>
      </c>
      <c r="AL1924">
        <v>0</v>
      </c>
      <c r="AM1924">
        <v>0</v>
      </c>
      <c r="AN1924">
        <v>0</v>
      </c>
      <c r="AO1924">
        <v>0</v>
      </c>
      <c r="AP1924">
        <v>0</v>
      </c>
      <c r="AQ1924">
        <v>41.43</v>
      </c>
      <c r="AR1924">
        <v>0</v>
      </c>
      <c r="AS1924">
        <v>0</v>
      </c>
      <c r="AT1924">
        <v>0</v>
      </c>
      <c r="AU1924">
        <v>0</v>
      </c>
      <c r="AV1924">
        <v>0</v>
      </c>
      <c r="AW1924">
        <v>0</v>
      </c>
      <c r="AX1924">
        <v>0</v>
      </c>
      <c r="AY1924">
        <v>0</v>
      </c>
      <c r="AZ1924">
        <v>0</v>
      </c>
      <c r="BA1924">
        <v>0</v>
      </c>
      <c r="BB1924">
        <v>0</v>
      </c>
      <c r="BC1924">
        <v>0</v>
      </c>
      <c r="BD1924">
        <v>0</v>
      </c>
      <c r="BE1924">
        <v>0</v>
      </c>
      <c r="BF1924">
        <v>0</v>
      </c>
      <c r="BG1924">
        <v>0</v>
      </c>
      <c r="BH1924">
        <v>1</v>
      </c>
      <c r="BI1924">
        <v>1</v>
      </c>
      <c r="BJ1924">
        <v>0.2</v>
      </c>
      <c r="BK1924">
        <v>1</v>
      </c>
      <c r="BL1924">
        <v>135.59</v>
      </c>
      <c r="BM1924">
        <v>20.34</v>
      </c>
      <c r="BN1924">
        <v>155.93</v>
      </c>
      <c r="BO1924">
        <v>155.93</v>
      </c>
      <c r="BQ1924" t="s">
        <v>423</v>
      </c>
      <c r="BR1924" t="s">
        <v>84</v>
      </c>
      <c r="BS1924" s="3">
        <v>45796</v>
      </c>
      <c r="BT1924" s="4">
        <v>0.41666666666666669</v>
      </c>
      <c r="BU1924" t="s">
        <v>2437</v>
      </c>
      <c r="BV1924" t="s">
        <v>86</v>
      </c>
      <c r="BY1924">
        <v>1200</v>
      </c>
      <c r="CA1924" t="s">
        <v>425</v>
      </c>
      <c r="CC1924" t="s">
        <v>421</v>
      </c>
      <c r="CD1924">
        <v>3280</v>
      </c>
      <c r="CE1924" t="s">
        <v>88</v>
      </c>
      <c r="CF1924" s="3">
        <v>45796</v>
      </c>
      <c r="CI1924">
        <v>1</v>
      </c>
      <c r="CJ1924">
        <v>1</v>
      </c>
      <c r="CK1924">
        <v>23</v>
      </c>
      <c r="CL1924" t="s">
        <v>89</v>
      </c>
    </row>
    <row r="1925" spans="1:90" x14ac:dyDescent="0.3">
      <c r="A1925" t="s">
        <v>72</v>
      </c>
      <c r="B1925" t="s">
        <v>73</v>
      </c>
      <c r="C1925" t="s">
        <v>74</v>
      </c>
      <c r="E1925" t="str">
        <f>"080065412705"</f>
        <v>080065412705</v>
      </c>
      <c r="F1925" s="3">
        <v>45793</v>
      </c>
      <c r="G1925">
        <v>202602</v>
      </c>
      <c r="H1925" t="s">
        <v>75</v>
      </c>
      <c r="I1925" t="s">
        <v>76</v>
      </c>
      <c r="J1925" t="s">
        <v>77</v>
      </c>
      <c r="K1925" t="s">
        <v>78</v>
      </c>
      <c r="L1925" t="s">
        <v>177</v>
      </c>
      <c r="M1925" t="s">
        <v>178</v>
      </c>
      <c r="N1925" t="s">
        <v>179</v>
      </c>
      <c r="O1925" t="s">
        <v>300</v>
      </c>
      <c r="P1925" t="str">
        <f>"4170039038                    "</f>
        <v xml:space="preserve">4170039038                    </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0</v>
      </c>
      <c r="AK1925">
        <v>0</v>
      </c>
      <c r="AL1925">
        <v>0</v>
      </c>
      <c r="AM1925">
        <v>0</v>
      </c>
      <c r="AN1925">
        <v>0</v>
      </c>
      <c r="AO1925">
        <v>0</v>
      </c>
      <c r="AP1925">
        <v>0</v>
      </c>
      <c r="AQ1925">
        <v>48.18</v>
      </c>
      <c r="AR1925">
        <v>0</v>
      </c>
      <c r="AS1925">
        <v>0</v>
      </c>
      <c r="AT1925">
        <v>0</v>
      </c>
      <c r="AU1925">
        <v>0</v>
      </c>
      <c r="AV1925">
        <v>0</v>
      </c>
      <c r="AW1925">
        <v>0</v>
      </c>
      <c r="AX1925">
        <v>0</v>
      </c>
      <c r="AY1925">
        <v>0</v>
      </c>
      <c r="AZ1925">
        <v>0</v>
      </c>
      <c r="BA1925">
        <v>0</v>
      </c>
      <c r="BB1925">
        <v>0</v>
      </c>
      <c r="BC1925">
        <v>0</v>
      </c>
      <c r="BD1925">
        <v>0</v>
      </c>
      <c r="BE1925">
        <v>0</v>
      </c>
      <c r="BF1925">
        <v>0</v>
      </c>
      <c r="BG1925">
        <v>0</v>
      </c>
      <c r="BH1925">
        <v>2</v>
      </c>
      <c r="BI1925">
        <v>14</v>
      </c>
      <c r="BJ1925">
        <v>18.600000000000001</v>
      </c>
      <c r="BK1925">
        <v>19</v>
      </c>
      <c r="BL1925">
        <v>163.25</v>
      </c>
      <c r="BM1925">
        <v>24.49</v>
      </c>
      <c r="BN1925">
        <v>187.74</v>
      </c>
      <c r="BO1925">
        <v>187.74</v>
      </c>
      <c r="BQ1925" t="s">
        <v>180</v>
      </c>
      <c r="BR1925" t="s">
        <v>84</v>
      </c>
      <c r="BS1925" s="3">
        <v>45796</v>
      </c>
      <c r="BT1925" s="4">
        <v>0.40069444444444446</v>
      </c>
      <c r="BU1925" t="s">
        <v>181</v>
      </c>
      <c r="BV1925" t="s">
        <v>86</v>
      </c>
      <c r="BY1925">
        <v>92965</v>
      </c>
      <c r="CA1925" t="s">
        <v>182</v>
      </c>
      <c r="CC1925" t="s">
        <v>178</v>
      </c>
      <c r="CD1925">
        <v>6229</v>
      </c>
      <c r="CE1925" t="s">
        <v>96</v>
      </c>
      <c r="CF1925" s="3">
        <v>45796</v>
      </c>
      <c r="CI1925">
        <v>3</v>
      </c>
      <c r="CJ1925">
        <v>1</v>
      </c>
      <c r="CK1925">
        <v>41</v>
      </c>
      <c r="CL1925" t="s">
        <v>89</v>
      </c>
    </row>
    <row r="1926" spans="1:90" x14ac:dyDescent="0.3">
      <c r="A1926" t="s">
        <v>72</v>
      </c>
      <c r="B1926" t="s">
        <v>73</v>
      </c>
      <c r="C1926" t="s">
        <v>74</v>
      </c>
      <c r="E1926" t="str">
        <f>"080065412769"</f>
        <v>080065412769</v>
      </c>
      <c r="F1926" s="3">
        <v>45793</v>
      </c>
      <c r="G1926">
        <v>202602</v>
      </c>
      <c r="H1926" t="s">
        <v>75</v>
      </c>
      <c r="I1926" t="s">
        <v>76</v>
      </c>
      <c r="J1926" t="s">
        <v>77</v>
      </c>
      <c r="K1926" t="s">
        <v>78</v>
      </c>
      <c r="L1926" t="s">
        <v>117</v>
      </c>
      <c r="M1926" t="s">
        <v>118</v>
      </c>
      <c r="N1926" t="s">
        <v>1228</v>
      </c>
      <c r="O1926" t="s">
        <v>82</v>
      </c>
      <c r="P1926" t="str">
        <f>"4170039043                    "</f>
        <v xml:space="preserve">4170039043                    </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c r="AJ1926">
        <v>0</v>
      </c>
      <c r="AK1926">
        <v>0</v>
      </c>
      <c r="AL1926">
        <v>0</v>
      </c>
      <c r="AM1926">
        <v>0</v>
      </c>
      <c r="AN1926">
        <v>0</v>
      </c>
      <c r="AO1926">
        <v>0</v>
      </c>
      <c r="AP1926">
        <v>0</v>
      </c>
      <c r="AQ1926">
        <v>16.7</v>
      </c>
      <c r="AR1926">
        <v>0</v>
      </c>
      <c r="AS1926">
        <v>0</v>
      </c>
      <c r="AT1926">
        <v>0</v>
      </c>
      <c r="AU1926">
        <v>0</v>
      </c>
      <c r="AV1926">
        <v>0</v>
      </c>
      <c r="AW1926">
        <v>0</v>
      </c>
      <c r="AX1926">
        <v>0</v>
      </c>
      <c r="AY1926">
        <v>0</v>
      </c>
      <c r="AZ1926">
        <v>0</v>
      </c>
      <c r="BA1926">
        <v>0</v>
      </c>
      <c r="BB1926">
        <v>0</v>
      </c>
      <c r="BC1926">
        <v>0</v>
      </c>
      <c r="BD1926">
        <v>0</v>
      </c>
      <c r="BE1926">
        <v>0</v>
      </c>
      <c r="BF1926">
        <v>0</v>
      </c>
      <c r="BG1926">
        <v>0</v>
      </c>
      <c r="BH1926">
        <v>1</v>
      </c>
      <c r="BI1926">
        <v>4</v>
      </c>
      <c r="BJ1926">
        <v>1.4</v>
      </c>
      <c r="BK1926">
        <v>4</v>
      </c>
      <c r="BL1926">
        <v>54.66</v>
      </c>
      <c r="BM1926">
        <v>8.1999999999999993</v>
      </c>
      <c r="BN1926">
        <v>62.86</v>
      </c>
      <c r="BO1926">
        <v>62.86</v>
      </c>
      <c r="BQ1926" t="s">
        <v>1229</v>
      </c>
      <c r="BR1926" t="s">
        <v>84</v>
      </c>
      <c r="BS1926" s="3">
        <v>45796</v>
      </c>
      <c r="BT1926" s="4">
        <v>0.36805555555555558</v>
      </c>
      <c r="BU1926" t="s">
        <v>2438</v>
      </c>
      <c r="BV1926" t="s">
        <v>86</v>
      </c>
      <c r="BY1926">
        <v>7000</v>
      </c>
      <c r="CA1926" t="s">
        <v>275</v>
      </c>
      <c r="CC1926" t="s">
        <v>118</v>
      </c>
      <c r="CD1926">
        <v>2190</v>
      </c>
      <c r="CE1926" t="s">
        <v>96</v>
      </c>
      <c r="CF1926" s="3">
        <v>45797</v>
      </c>
      <c r="CI1926">
        <v>1</v>
      </c>
      <c r="CJ1926">
        <v>1</v>
      </c>
      <c r="CK1926">
        <v>22</v>
      </c>
      <c r="CL1926" t="s">
        <v>89</v>
      </c>
    </row>
    <row r="1927" spans="1:90" x14ac:dyDescent="0.3">
      <c r="A1927" t="s">
        <v>72</v>
      </c>
      <c r="B1927" t="s">
        <v>73</v>
      </c>
      <c r="C1927" t="s">
        <v>74</v>
      </c>
      <c r="E1927" t="str">
        <f>"080065413028"</f>
        <v>080065413028</v>
      </c>
      <c r="F1927" s="3">
        <v>45793</v>
      </c>
      <c r="G1927">
        <v>202602</v>
      </c>
      <c r="H1927" t="s">
        <v>75</v>
      </c>
      <c r="I1927" t="s">
        <v>76</v>
      </c>
      <c r="J1927" t="s">
        <v>77</v>
      </c>
      <c r="K1927" t="s">
        <v>78</v>
      </c>
      <c r="L1927" t="s">
        <v>136</v>
      </c>
      <c r="M1927" t="s">
        <v>137</v>
      </c>
      <c r="N1927" t="s">
        <v>1235</v>
      </c>
      <c r="O1927" t="s">
        <v>300</v>
      </c>
      <c r="P1927" t="str">
        <f>"4170038706                    "</f>
        <v xml:space="preserve">4170038706                    </v>
      </c>
      <c r="Q1927">
        <v>0</v>
      </c>
      <c r="R1927">
        <v>0</v>
      </c>
      <c r="S1927">
        <v>0</v>
      </c>
      <c r="T1927">
        <v>0</v>
      </c>
      <c r="U1927">
        <v>0</v>
      </c>
      <c r="V1927">
        <v>0</v>
      </c>
      <c r="W1927">
        <v>0</v>
      </c>
      <c r="X1927">
        <v>0</v>
      </c>
      <c r="Y1927">
        <v>0</v>
      </c>
      <c r="Z1927">
        <v>0</v>
      </c>
      <c r="AA1927">
        <v>0</v>
      </c>
      <c r="AB1927">
        <v>0</v>
      </c>
      <c r="AC1927">
        <v>0</v>
      </c>
      <c r="AD1927">
        <v>0</v>
      </c>
      <c r="AE1927">
        <v>0</v>
      </c>
      <c r="AF1927">
        <v>0</v>
      </c>
      <c r="AG1927">
        <v>0</v>
      </c>
      <c r="AH1927">
        <v>0</v>
      </c>
      <c r="AI1927">
        <v>0</v>
      </c>
      <c r="AJ1927">
        <v>0</v>
      </c>
      <c r="AK1927">
        <v>0</v>
      </c>
      <c r="AL1927">
        <v>0</v>
      </c>
      <c r="AM1927">
        <v>0</v>
      </c>
      <c r="AN1927">
        <v>0</v>
      </c>
      <c r="AO1927">
        <v>0</v>
      </c>
      <c r="AP1927">
        <v>0</v>
      </c>
      <c r="AQ1927">
        <v>41.35</v>
      </c>
      <c r="AR1927">
        <v>0</v>
      </c>
      <c r="AS1927">
        <v>0</v>
      </c>
      <c r="AT1927">
        <v>0</v>
      </c>
      <c r="AU1927">
        <v>0</v>
      </c>
      <c r="AV1927">
        <v>0</v>
      </c>
      <c r="AW1927">
        <v>0</v>
      </c>
      <c r="AX1927">
        <v>0</v>
      </c>
      <c r="AY1927">
        <v>0</v>
      </c>
      <c r="AZ1927">
        <v>0</v>
      </c>
      <c r="BA1927">
        <v>0</v>
      </c>
      <c r="BB1927">
        <v>0</v>
      </c>
      <c r="BC1927">
        <v>0</v>
      </c>
      <c r="BD1927">
        <v>0</v>
      </c>
      <c r="BE1927">
        <v>0</v>
      </c>
      <c r="BF1927">
        <v>0</v>
      </c>
      <c r="BG1927">
        <v>0</v>
      </c>
      <c r="BH1927">
        <v>1</v>
      </c>
      <c r="BI1927">
        <v>9</v>
      </c>
      <c r="BJ1927">
        <v>4.0999999999999996</v>
      </c>
      <c r="BK1927">
        <v>9</v>
      </c>
      <c r="BL1927">
        <v>140.9</v>
      </c>
      <c r="BM1927">
        <v>21.14</v>
      </c>
      <c r="BN1927">
        <v>162.04</v>
      </c>
      <c r="BO1927">
        <v>162.04</v>
      </c>
      <c r="BQ1927" t="s">
        <v>1236</v>
      </c>
      <c r="BR1927" t="s">
        <v>84</v>
      </c>
      <c r="BS1927" s="3">
        <v>45796</v>
      </c>
      <c r="BT1927" s="4">
        <v>0.33958333333333335</v>
      </c>
      <c r="BU1927" t="s">
        <v>1604</v>
      </c>
      <c r="BV1927" t="s">
        <v>86</v>
      </c>
      <c r="BY1927">
        <v>20358</v>
      </c>
      <c r="CA1927" t="s">
        <v>1238</v>
      </c>
      <c r="CC1927" t="s">
        <v>137</v>
      </c>
      <c r="CD1927" s="5" t="s">
        <v>1239</v>
      </c>
      <c r="CE1927" t="s">
        <v>96</v>
      </c>
      <c r="CF1927" s="3">
        <v>45796</v>
      </c>
      <c r="CI1927">
        <v>1</v>
      </c>
      <c r="CJ1927">
        <v>1</v>
      </c>
      <c r="CK1927">
        <v>41</v>
      </c>
      <c r="CL1927" t="s">
        <v>89</v>
      </c>
    </row>
    <row r="1928" spans="1:90" x14ac:dyDescent="0.3">
      <c r="A1928" t="s">
        <v>72</v>
      </c>
      <c r="B1928" t="s">
        <v>73</v>
      </c>
      <c r="C1928" t="s">
        <v>74</v>
      </c>
      <c r="E1928" t="str">
        <f>"080065413760"</f>
        <v>080065413760</v>
      </c>
      <c r="F1928" s="3">
        <v>45793</v>
      </c>
      <c r="G1928">
        <v>202602</v>
      </c>
      <c r="H1928" t="s">
        <v>75</v>
      </c>
      <c r="I1928" t="s">
        <v>76</v>
      </c>
      <c r="J1928" t="s">
        <v>77</v>
      </c>
      <c r="K1928" t="s">
        <v>78</v>
      </c>
      <c r="L1928" t="s">
        <v>1214</v>
      </c>
      <c r="M1928" t="s">
        <v>1215</v>
      </c>
      <c r="N1928" t="s">
        <v>1216</v>
      </c>
      <c r="O1928" t="s">
        <v>82</v>
      </c>
      <c r="P1928" t="str">
        <f>"4170039025                    "</f>
        <v xml:space="preserve">4170039025                    </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c r="AJ1928">
        <v>0</v>
      </c>
      <c r="AK1928">
        <v>0</v>
      </c>
      <c r="AL1928">
        <v>0</v>
      </c>
      <c r="AM1928">
        <v>0</v>
      </c>
      <c r="AN1928">
        <v>0</v>
      </c>
      <c r="AO1928">
        <v>0</v>
      </c>
      <c r="AP1928">
        <v>0</v>
      </c>
      <c r="AQ1928">
        <v>21.38</v>
      </c>
      <c r="AR1928">
        <v>0</v>
      </c>
      <c r="AS1928">
        <v>0</v>
      </c>
      <c r="AT1928">
        <v>0</v>
      </c>
      <c r="AU1928">
        <v>0</v>
      </c>
      <c r="AV1928">
        <v>0</v>
      </c>
      <c r="AW1928">
        <v>0</v>
      </c>
      <c r="AX1928">
        <v>0</v>
      </c>
      <c r="AY1928">
        <v>0</v>
      </c>
      <c r="AZ1928">
        <v>0</v>
      </c>
      <c r="BA1928">
        <v>0</v>
      </c>
      <c r="BB1928">
        <v>0</v>
      </c>
      <c r="BC1928">
        <v>0</v>
      </c>
      <c r="BD1928">
        <v>0</v>
      </c>
      <c r="BE1928">
        <v>0</v>
      </c>
      <c r="BF1928">
        <v>0</v>
      </c>
      <c r="BG1928">
        <v>0</v>
      </c>
      <c r="BH1928">
        <v>1</v>
      </c>
      <c r="BI1928">
        <v>1</v>
      </c>
      <c r="BJ1928">
        <v>1.1000000000000001</v>
      </c>
      <c r="BK1928">
        <v>1.5</v>
      </c>
      <c r="BL1928">
        <v>69.98</v>
      </c>
      <c r="BM1928">
        <v>10.5</v>
      </c>
      <c r="BN1928">
        <v>80.48</v>
      </c>
      <c r="BO1928">
        <v>80.48</v>
      </c>
      <c r="BQ1928" t="s">
        <v>1217</v>
      </c>
      <c r="BR1928" t="s">
        <v>84</v>
      </c>
      <c r="BS1928" s="3">
        <v>45796</v>
      </c>
      <c r="BT1928" s="4">
        <v>0.40625</v>
      </c>
      <c r="BU1928" t="s">
        <v>2404</v>
      </c>
      <c r="BV1928" t="s">
        <v>86</v>
      </c>
      <c r="BY1928">
        <v>5320</v>
      </c>
      <c r="CA1928" t="s">
        <v>2405</v>
      </c>
      <c r="CC1928" t="s">
        <v>1215</v>
      </c>
      <c r="CD1928">
        <v>4302</v>
      </c>
      <c r="CE1928" t="s">
        <v>116</v>
      </c>
      <c r="CF1928" s="3">
        <v>45796</v>
      </c>
      <c r="CI1928">
        <v>1</v>
      </c>
      <c r="CJ1928">
        <v>1</v>
      </c>
      <c r="CK1928">
        <v>21</v>
      </c>
      <c r="CL1928" t="s">
        <v>89</v>
      </c>
    </row>
    <row r="1929" spans="1:90" x14ac:dyDescent="0.3">
      <c r="A1929" t="s">
        <v>72</v>
      </c>
      <c r="B1929" t="s">
        <v>73</v>
      </c>
      <c r="C1929" t="s">
        <v>74</v>
      </c>
      <c r="E1929" t="str">
        <f>"080065413791"</f>
        <v>080065413791</v>
      </c>
      <c r="F1929" s="3">
        <v>45793</v>
      </c>
      <c r="G1929">
        <v>202602</v>
      </c>
      <c r="H1929" t="s">
        <v>75</v>
      </c>
      <c r="I1929" t="s">
        <v>76</v>
      </c>
      <c r="J1929" t="s">
        <v>77</v>
      </c>
      <c r="K1929" t="s">
        <v>78</v>
      </c>
      <c r="L1929" t="s">
        <v>232</v>
      </c>
      <c r="M1929" t="s">
        <v>233</v>
      </c>
      <c r="N1929" t="s">
        <v>834</v>
      </c>
      <c r="O1929" t="s">
        <v>82</v>
      </c>
      <c r="P1929" t="str">
        <f>"4170038982                    "</f>
        <v xml:space="preserve">4170038982                    </v>
      </c>
      <c r="Q1929">
        <v>0</v>
      </c>
      <c r="R1929">
        <v>0</v>
      </c>
      <c r="S1929">
        <v>0</v>
      </c>
      <c r="T1929">
        <v>0</v>
      </c>
      <c r="U1929">
        <v>0</v>
      </c>
      <c r="V1929">
        <v>0</v>
      </c>
      <c r="W1929">
        <v>0</v>
      </c>
      <c r="X1929">
        <v>0</v>
      </c>
      <c r="Y1929">
        <v>0</v>
      </c>
      <c r="Z1929">
        <v>0</v>
      </c>
      <c r="AA1929">
        <v>0</v>
      </c>
      <c r="AB1929">
        <v>0</v>
      </c>
      <c r="AC1929">
        <v>0</v>
      </c>
      <c r="AD1929">
        <v>0</v>
      </c>
      <c r="AE1929">
        <v>0</v>
      </c>
      <c r="AF1929">
        <v>0</v>
      </c>
      <c r="AG1929">
        <v>0</v>
      </c>
      <c r="AH1929">
        <v>0</v>
      </c>
      <c r="AI1929">
        <v>0</v>
      </c>
      <c r="AJ1929">
        <v>0</v>
      </c>
      <c r="AK1929">
        <v>0</v>
      </c>
      <c r="AL1929">
        <v>0</v>
      </c>
      <c r="AM1929">
        <v>0</v>
      </c>
      <c r="AN1929">
        <v>0</v>
      </c>
      <c r="AO1929">
        <v>0</v>
      </c>
      <c r="AP1929">
        <v>0</v>
      </c>
      <c r="AQ1929">
        <v>32.07</v>
      </c>
      <c r="AR1929">
        <v>0</v>
      </c>
      <c r="AS1929">
        <v>0</v>
      </c>
      <c r="AT1929">
        <v>0</v>
      </c>
      <c r="AU1929">
        <v>0</v>
      </c>
      <c r="AV1929">
        <v>0</v>
      </c>
      <c r="AW1929">
        <v>0</v>
      </c>
      <c r="AX1929">
        <v>0</v>
      </c>
      <c r="AY1929">
        <v>0</v>
      </c>
      <c r="AZ1929">
        <v>0</v>
      </c>
      <c r="BA1929">
        <v>0</v>
      </c>
      <c r="BB1929">
        <v>0</v>
      </c>
      <c r="BC1929">
        <v>0</v>
      </c>
      <c r="BD1929">
        <v>0</v>
      </c>
      <c r="BE1929">
        <v>0</v>
      </c>
      <c r="BF1929">
        <v>0</v>
      </c>
      <c r="BG1929">
        <v>0</v>
      </c>
      <c r="BH1929">
        <v>1</v>
      </c>
      <c r="BI1929">
        <v>3</v>
      </c>
      <c r="BJ1929">
        <v>0.6</v>
      </c>
      <c r="BK1929">
        <v>3</v>
      </c>
      <c r="BL1929">
        <v>104.95</v>
      </c>
      <c r="BM1929">
        <v>15.74</v>
      </c>
      <c r="BN1929">
        <v>120.69</v>
      </c>
      <c r="BO1929">
        <v>120.69</v>
      </c>
      <c r="BQ1929" t="s">
        <v>835</v>
      </c>
      <c r="BR1929" t="s">
        <v>84</v>
      </c>
      <c r="BS1929" s="3">
        <v>45796</v>
      </c>
      <c r="BT1929" s="4">
        <v>0.38194444444444442</v>
      </c>
      <c r="BU1929" t="s">
        <v>2439</v>
      </c>
      <c r="BV1929" t="s">
        <v>86</v>
      </c>
      <c r="BY1929">
        <v>3192</v>
      </c>
      <c r="CA1929" t="s">
        <v>2440</v>
      </c>
      <c r="CC1929" t="s">
        <v>233</v>
      </c>
      <c r="CD1929" s="5" t="s">
        <v>238</v>
      </c>
      <c r="CE1929" t="s">
        <v>116</v>
      </c>
      <c r="CF1929" s="3">
        <v>45796</v>
      </c>
      <c r="CI1929">
        <v>1</v>
      </c>
      <c r="CJ1929">
        <v>1</v>
      </c>
      <c r="CK1929">
        <v>21</v>
      </c>
      <c r="CL1929" t="s">
        <v>89</v>
      </c>
    </row>
    <row r="1930" spans="1:90" x14ac:dyDescent="0.3">
      <c r="A1930" t="s">
        <v>72</v>
      </c>
      <c r="B1930" t="s">
        <v>73</v>
      </c>
      <c r="C1930" t="s">
        <v>74</v>
      </c>
      <c r="E1930" t="str">
        <f>"080065413814"</f>
        <v>080065413814</v>
      </c>
      <c r="F1930" s="3">
        <v>45793</v>
      </c>
      <c r="G1930">
        <v>202602</v>
      </c>
      <c r="H1930" t="s">
        <v>75</v>
      </c>
      <c r="I1930" t="s">
        <v>76</v>
      </c>
      <c r="J1930" t="s">
        <v>77</v>
      </c>
      <c r="K1930" t="s">
        <v>78</v>
      </c>
      <c r="L1930" t="s">
        <v>130</v>
      </c>
      <c r="M1930" t="s">
        <v>131</v>
      </c>
      <c r="N1930" t="s">
        <v>343</v>
      </c>
      <c r="O1930" t="s">
        <v>82</v>
      </c>
      <c r="P1930" t="str">
        <f>"4170038925                    "</f>
        <v xml:space="preserve">4170038925                    </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c r="AJ1930">
        <v>0</v>
      </c>
      <c r="AK1930">
        <v>0</v>
      </c>
      <c r="AL1930">
        <v>0</v>
      </c>
      <c r="AM1930">
        <v>0</v>
      </c>
      <c r="AN1930">
        <v>0</v>
      </c>
      <c r="AO1930">
        <v>0</v>
      </c>
      <c r="AP1930">
        <v>0</v>
      </c>
      <c r="AQ1930">
        <v>21.38</v>
      </c>
      <c r="AR1930">
        <v>0</v>
      </c>
      <c r="AS1930">
        <v>0</v>
      </c>
      <c r="AT1930">
        <v>0</v>
      </c>
      <c r="AU1930">
        <v>0</v>
      </c>
      <c r="AV1930">
        <v>0</v>
      </c>
      <c r="AW1930">
        <v>0</v>
      </c>
      <c r="AX1930">
        <v>0</v>
      </c>
      <c r="AY1930">
        <v>0</v>
      </c>
      <c r="AZ1930">
        <v>0</v>
      </c>
      <c r="BA1930">
        <v>0</v>
      </c>
      <c r="BB1930">
        <v>0</v>
      </c>
      <c r="BC1930">
        <v>0</v>
      </c>
      <c r="BD1930">
        <v>0</v>
      </c>
      <c r="BE1930">
        <v>0</v>
      </c>
      <c r="BF1930">
        <v>0</v>
      </c>
      <c r="BG1930">
        <v>0</v>
      </c>
      <c r="BH1930">
        <v>1</v>
      </c>
      <c r="BI1930">
        <v>2</v>
      </c>
      <c r="BJ1930">
        <v>1.4</v>
      </c>
      <c r="BK1930">
        <v>2</v>
      </c>
      <c r="BL1930">
        <v>69.98</v>
      </c>
      <c r="BM1930">
        <v>10.5</v>
      </c>
      <c r="BN1930">
        <v>80.48</v>
      </c>
      <c r="BO1930">
        <v>80.48</v>
      </c>
      <c r="BQ1930" t="s">
        <v>344</v>
      </c>
      <c r="BR1930" t="s">
        <v>84</v>
      </c>
      <c r="BS1930" s="3">
        <v>45796</v>
      </c>
      <c r="BT1930" s="4">
        <v>0.4201388888888889</v>
      </c>
      <c r="BU1930" t="s">
        <v>1427</v>
      </c>
      <c r="BV1930" t="s">
        <v>86</v>
      </c>
      <c r="BY1930">
        <v>7000</v>
      </c>
      <c r="CC1930" t="s">
        <v>131</v>
      </c>
      <c r="CD1930">
        <v>7441</v>
      </c>
      <c r="CE1930" t="s">
        <v>96</v>
      </c>
      <c r="CF1930" s="3">
        <v>45797</v>
      </c>
      <c r="CI1930">
        <v>1</v>
      </c>
      <c r="CJ1930">
        <v>1</v>
      </c>
      <c r="CK1930">
        <v>21</v>
      </c>
      <c r="CL1930" t="s">
        <v>89</v>
      </c>
    </row>
    <row r="1931" spans="1:90" x14ac:dyDescent="0.3">
      <c r="A1931" t="s">
        <v>72</v>
      </c>
      <c r="B1931" t="s">
        <v>73</v>
      </c>
      <c r="C1931" t="s">
        <v>74</v>
      </c>
      <c r="E1931" t="str">
        <f>"080065413838"</f>
        <v>080065413838</v>
      </c>
      <c r="F1931" s="3">
        <v>45793</v>
      </c>
      <c r="G1931">
        <v>202602</v>
      </c>
      <c r="H1931" t="s">
        <v>75</v>
      </c>
      <c r="I1931" t="s">
        <v>76</v>
      </c>
      <c r="J1931" t="s">
        <v>77</v>
      </c>
      <c r="K1931" t="s">
        <v>78</v>
      </c>
      <c r="L1931" t="s">
        <v>103</v>
      </c>
      <c r="M1931" t="s">
        <v>104</v>
      </c>
      <c r="N1931" t="s">
        <v>437</v>
      </c>
      <c r="O1931" t="s">
        <v>82</v>
      </c>
      <c r="P1931" t="str">
        <f>"4170038964                    "</f>
        <v xml:space="preserve">4170038964                    </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0</v>
      </c>
      <c r="AL1931">
        <v>0</v>
      </c>
      <c r="AM1931">
        <v>0</v>
      </c>
      <c r="AN1931">
        <v>0</v>
      </c>
      <c r="AO1931">
        <v>0</v>
      </c>
      <c r="AP1931">
        <v>0</v>
      </c>
      <c r="AQ1931">
        <v>21.38</v>
      </c>
      <c r="AR1931">
        <v>0</v>
      </c>
      <c r="AS1931">
        <v>0</v>
      </c>
      <c r="AT1931">
        <v>0</v>
      </c>
      <c r="AU1931">
        <v>0</v>
      </c>
      <c r="AV1931">
        <v>0</v>
      </c>
      <c r="AW1931">
        <v>0</v>
      </c>
      <c r="AX1931">
        <v>0</v>
      </c>
      <c r="AY1931">
        <v>0</v>
      </c>
      <c r="AZ1931">
        <v>0</v>
      </c>
      <c r="BA1931">
        <v>0</v>
      </c>
      <c r="BB1931">
        <v>0</v>
      </c>
      <c r="BC1931">
        <v>0</v>
      </c>
      <c r="BD1931">
        <v>0</v>
      </c>
      <c r="BE1931">
        <v>0</v>
      </c>
      <c r="BF1931">
        <v>0</v>
      </c>
      <c r="BG1931">
        <v>0</v>
      </c>
      <c r="BH1931">
        <v>1</v>
      </c>
      <c r="BI1931">
        <v>2</v>
      </c>
      <c r="BJ1931">
        <v>1.1000000000000001</v>
      </c>
      <c r="BK1931">
        <v>2</v>
      </c>
      <c r="BL1931">
        <v>69.98</v>
      </c>
      <c r="BM1931">
        <v>10.5</v>
      </c>
      <c r="BN1931">
        <v>80.48</v>
      </c>
      <c r="BO1931">
        <v>80.48</v>
      </c>
      <c r="BQ1931" t="s">
        <v>438</v>
      </c>
      <c r="BR1931" t="s">
        <v>84</v>
      </c>
      <c r="BS1931" s="3">
        <v>45796</v>
      </c>
      <c r="BT1931" s="4">
        <v>0.49652777777777779</v>
      </c>
      <c r="BU1931" t="s">
        <v>2413</v>
      </c>
      <c r="BV1931" t="s">
        <v>86</v>
      </c>
      <c r="BY1931">
        <v>5320</v>
      </c>
      <c r="CA1931" t="s">
        <v>2367</v>
      </c>
      <c r="CC1931" t="s">
        <v>104</v>
      </c>
      <c r="CD1931">
        <v>3212</v>
      </c>
      <c r="CE1931" t="s">
        <v>116</v>
      </c>
      <c r="CF1931" s="3">
        <v>45796</v>
      </c>
      <c r="CI1931">
        <v>2</v>
      </c>
      <c r="CJ1931">
        <v>1</v>
      </c>
      <c r="CK1931">
        <v>21</v>
      </c>
      <c r="CL1931" t="s">
        <v>89</v>
      </c>
    </row>
    <row r="1932" spans="1:90" x14ac:dyDescent="0.3">
      <c r="A1932" t="s">
        <v>72</v>
      </c>
      <c r="B1932" t="s">
        <v>73</v>
      </c>
      <c r="C1932" t="s">
        <v>74</v>
      </c>
      <c r="E1932" t="str">
        <f>"080065413857"</f>
        <v>080065413857</v>
      </c>
      <c r="F1932" s="3">
        <v>45793</v>
      </c>
      <c r="G1932">
        <v>202602</v>
      </c>
      <c r="H1932" t="s">
        <v>75</v>
      </c>
      <c r="I1932" t="s">
        <v>76</v>
      </c>
      <c r="J1932" t="s">
        <v>77</v>
      </c>
      <c r="K1932" t="s">
        <v>78</v>
      </c>
      <c r="L1932" t="s">
        <v>624</v>
      </c>
      <c r="M1932" t="s">
        <v>625</v>
      </c>
      <c r="N1932" t="s">
        <v>626</v>
      </c>
      <c r="O1932" t="s">
        <v>82</v>
      </c>
      <c r="P1932" t="str">
        <f>"4170038953                    "</f>
        <v xml:space="preserve">4170038953                    </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c r="AJ1932">
        <v>0</v>
      </c>
      <c r="AK1932">
        <v>0</v>
      </c>
      <c r="AL1932">
        <v>0</v>
      </c>
      <c r="AM1932">
        <v>0</v>
      </c>
      <c r="AN1932">
        <v>0</v>
      </c>
      <c r="AO1932">
        <v>0</v>
      </c>
      <c r="AP1932">
        <v>0</v>
      </c>
      <c r="AQ1932">
        <v>41.43</v>
      </c>
      <c r="AR1932">
        <v>0</v>
      </c>
      <c r="AS1932">
        <v>0</v>
      </c>
      <c r="AT1932">
        <v>0</v>
      </c>
      <c r="AU1932">
        <v>0</v>
      </c>
      <c r="AV1932">
        <v>0</v>
      </c>
      <c r="AW1932">
        <v>0</v>
      </c>
      <c r="AX1932">
        <v>0</v>
      </c>
      <c r="AY1932">
        <v>0</v>
      </c>
      <c r="AZ1932">
        <v>0</v>
      </c>
      <c r="BA1932">
        <v>0</v>
      </c>
      <c r="BB1932">
        <v>0</v>
      </c>
      <c r="BC1932">
        <v>0</v>
      </c>
      <c r="BD1932">
        <v>0</v>
      </c>
      <c r="BE1932">
        <v>0</v>
      </c>
      <c r="BF1932">
        <v>0</v>
      </c>
      <c r="BG1932">
        <v>0</v>
      </c>
      <c r="BH1932">
        <v>1</v>
      </c>
      <c r="BI1932">
        <v>2</v>
      </c>
      <c r="BJ1932">
        <v>1.1000000000000001</v>
      </c>
      <c r="BK1932">
        <v>2</v>
      </c>
      <c r="BL1932">
        <v>135.59</v>
      </c>
      <c r="BM1932">
        <v>20.34</v>
      </c>
      <c r="BN1932">
        <v>155.93</v>
      </c>
      <c r="BO1932">
        <v>155.93</v>
      </c>
      <c r="BQ1932" t="s">
        <v>627</v>
      </c>
      <c r="BR1932" t="s">
        <v>84</v>
      </c>
      <c r="BS1932" s="3">
        <v>45796</v>
      </c>
      <c r="BT1932" s="4">
        <v>0.33611111111111114</v>
      </c>
      <c r="BU1932" t="s">
        <v>1674</v>
      </c>
      <c r="BV1932" t="s">
        <v>86</v>
      </c>
      <c r="BY1932">
        <v>5320</v>
      </c>
      <c r="CC1932" t="s">
        <v>625</v>
      </c>
      <c r="CD1932">
        <v>1947</v>
      </c>
      <c r="CE1932" t="s">
        <v>116</v>
      </c>
      <c r="CF1932" s="3">
        <v>45796</v>
      </c>
      <c r="CI1932">
        <v>1</v>
      </c>
      <c r="CJ1932">
        <v>1</v>
      </c>
      <c r="CK1932">
        <v>23</v>
      </c>
      <c r="CL1932" t="s">
        <v>89</v>
      </c>
    </row>
    <row r="1933" spans="1:90" x14ac:dyDescent="0.3">
      <c r="A1933" t="s">
        <v>72</v>
      </c>
      <c r="B1933" t="s">
        <v>73</v>
      </c>
      <c r="C1933" t="s">
        <v>74</v>
      </c>
      <c r="E1933" t="str">
        <f>"080065413879"</f>
        <v>080065413879</v>
      </c>
      <c r="F1933" s="3">
        <v>45793</v>
      </c>
      <c r="G1933">
        <v>202602</v>
      </c>
      <c r="H1933" t="s">
        <v>75</v>
      </c>
      <c r="I1933" t="s">
        <v>76</v>
      </c>
      <c r="J1933" t="s">
        <v>77</v>
      </c>
      <c r="K1933" t="s">
        <v>78</v>
      </c>
      <c r="L1933" t="s">
        <v>97</v>
      </c>
      <c r="M1933" t="s">
        <v>98</v>
      </c>
      <c r="N1933" t="s">
        <v>1859</v>
      </c>
      <c r="O1933" t="s">
        <v>82</v>
      </c>
      <c r="P1933" t="str">
        <f>"4170038984                    "</f>
        <v xml:space="preserve">4170038984                    </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0</v>
      </c>
      <c r="AK1933">
        <v>0</v>
      </c>
      <c r="AL1933">
        <v>0</v>
      </c>
      <c r="AM1933">
        <v>0</v>
      </c>
      <c r="AN1933">
        <v>0</v>
      </c>
      <c r="AO1933">
        <v>0</v>
      </c>
      <c r="AP1933">
        <v>0</v>
      </c>
      <c r="AQ1933">
        <v>16.7</v>
      </c>
      <c r="AR1933">
        <v>0</v>
      </c>
      <c r="AS1933">
        <v>0</v>
      </c>
      <c r="AT1933">
        <v>0</v>
      </c>
      <c r="AU1933">
        <v>0</v>
      </c>
      <c r="AV1933">
        <v>0</v>
      </c>
      <c r="AW1933">
        <v>0</v>
      </c>
      <c r="AX1933">
        <v>0</v>
      </c>
      <c r="AY1933">
        <v>0</v>
      </c>
      <c r="AZ1933">
        <v>0</v>
      </c>
      <c r="BA1933">
        <v>0</v>
      </c>
      <c r="BB1933">
        <v>0</v>
      </c>
      <c r="BC1933">
        <v>0</v>
      </c>
      <c r="BD1933">
        <v>0</v>
      </c>
      <c r="BE1933">
        <v>0</v>
      </c>
      <c r="BF1933">
        <v>0</v>
      </c>
      <c r="BG1933">
        <v>0</v>
      </c>
      <c r="BH1933">
        <v>1</v>
      </c>
      <c r="BI1933">
        <v>7</v>
      </c>
      <c r="BJ1933">
        <v>3.3</v>
      </c>
      <c r="BK1933">
        <v>7</v>
      </c>
      <c r="BL1933">
        <v>54.66</v>
      </c>
      <c r="BM1933">
        <v>8.1999999999999993</v>
      </c>
      <c r="BN1933">
        <v>62.86</v>
      </c>
      <c r="BO1933">
        <v>62.86</v>
      </c>
      <c r="BQ1933" t="s">
        <v>1860</v>
      </c>
      <c r="BR1933" t="s">
        <v>84</v>
      </c>
      <c r="BS1933" s="3">
        <v>45796</v>
      </c>
      <c r="BT1933" s="4">
        <v>0.39583333333333331</v>
      </c>
      <c r="BU1933" t="s">
        <v>1654</v>
      </c>
      <c r="BV1933" t="s">
        <v>86</v>
      </c>
      <c r="BY1933">
        <v>16520</v>
      </c>
      <c r="CA1933" t="s">
        <v>175</v>
      </c>
      <c r="CC1933" t="s">
        <v>98</v>
      </c>
      <c r="CD1933">
        <v>1459</v>
      </c>
      <c r="CE1933" t="s">
        <v>221</v>
      </c>
      <c r="CF1933" s="3">
        <v>45797</v>
      </c>
      <c r="CI1933">
        <v>1</v>
      </c>
      <c r="CJ1933">
        <v>1</v>
      </c>
      <c r="CK1933">
        <v>22</v>
      </c>
      <c r="CL1933" t="s">
        <v>89</v>
      </c>
    </row>
    <row r="1934" spans="1:90" x14ac:dyDescent="0.3">
      <c r="A1934" t="s">
        <v>72</v>
      </c>
      <c r="B1934" t="s">
        <v>73</v>
      </c>
      <c r="C1934" t="s">
        <v>74</v>
      </c>
      <c r="E1934" t="str">
        <f>"080065413914"</f>
        <v>080065413914</v>
      </c>
      <c r="F1934" s="3">
        <v>45793</v>
      </c>
      <c r="G1934">
        <v>202602</v>
      </c>
      <c r="H1934" t="s">
        <v>75</v>
      </c>
      <c r="I1934" t="s">
        <v>76</v>
      </c>
      <c r="J1934" t="s">
        <v>77</v>
      </c>
      <c r="K1934" t="s">
        <v>78</v>
      </c>
      <c r="L1934" t="s">
        <v>90</v>
      </c>
      <c r="M1934" t="s">
        <v>91</v>
      </c>
      <c r="N1934" t="s">
        <v>371</v>
      </c>
      <c r="O1934" t="s">
        <v>82</v>
      </c>
      <c r="P1934" t="str">
        <f>"4170038941                    "</f>
        <v xml:space="preserve">4170038941                    </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0</v>
      </c>
      <c r="AL1934">
        <v>0</v>
      </c>
      <c r="AM1934">
        <v>0</v>
      </c>
      <c r="AN1934">
        <v>0</v>
      </c>
      <c r="AO1934">
        <v>0</v>
      </c>
      <c r="AP1934">
        <v>0</v>
      </c>
      <c r="AQ1934">
        <v>21.38</v>
      </c>
      <c r="AR1934">
        <v>0</v>
      </c>
      <c r="AS1934">
        <v>0</v>
      </c>
      <c r="AT1934">
        <v>0</v>
      </c>
      <c r="AU1934">
        <v>0</v>
      </c>
      <c r="AV1934">
        <v>0</v>
      </c>
      <c r="AW1934">
        <v>0</v>
      </c>
      <c r="AX1934">
        <v>0</v>
      </c>
      <c r="AY1934">
        <v>0</v>
      </c>
      <c r="AZ1934">
        <v>0</v>
      </c>
      <c r="BA1934">
        <v>0</v>
      </c>
      <c r="BB1934">
        <v>0</v>
      </c>
      <c r="BC1934">
        <v>0</v>
      </c>
      <c r="BD1934">
        <v>0</v>
      </c>
      <c r="BE1934">
        <v>0</v>
      </c>
      <c r="BF1934">
        <v>0</v>
      </c>
      <c r="BG1934">
        <v>0</v>
      </c>
      <c r="BH1934">
        <v>1</v>
      </c>
      <c r="BI1934">
        <v>1</v>
      </c>
      <c r="BJ1934">
        <v>0.2</v>
      </c>
      <c r="BK1934">
        <v>1</v>
      </c>
      <c r="BL1934">
        <v>69.98</v>
      </c>
      <c r="BM1934">
        <v>10.5</v>
      </c>
      <c r="BN1934">
        <v>80.48</v>
      </c>
      <c r="BO1934">
        <v>80.48</v>
      </c>
      <c r="BQ1934" t="s">
        <v>372</v>
      </c>
      <c r="BR1934" t="s">
        <v>84</v>
      </c>
      <c r="BS1934" s="3">
        <v>45796</v>
      </c>
      <c r="BT1934" s="4">
        <v>0.42638888888888887</v>
      </c>
      <c r="BU1934" t="s">
        <v>2441</v>
      </c>
      <c r="BV1934" t="s">
        <v>86</v>
      </c>
      <c r="BY1934">
        <v>1200</v>
      </c>
      <c r="CC1934" t="s">
        <v>91</v>
      </c>
      <c r="CD1934">
        <v>6001</v>
      </c>
      <c r="CE1934" t="s">
        <v>88</v>
      </c>
      <c r="CF1934" s="3">
        <v>45796</v>
      </c>
      <c r="CI1934">
        <v>1</v>
      </c>
      <c r="CJ1934">
        <v>1</v>
      </c>
      <c r="CK1934">
        <v>21</v>
      </c>
      <c r="CL1934" t="s">
        <v>89</v>
      </c>
    </row>
    <row r="1935" spans="1:90" x14ac:dyDescent="0.3">
      <c r="A1935" t="s">
        <v>72</v>
      </c>
      <c r="B1935" t="s">
        <v>73</v>
      </c>
      <c r="C1935" t="s">
        <v>74</v>
      </c>
      <c r="E1935" t="str">
        <f>"080065413935"</f>
        <v>080065413935</v>
      </c>
      <c r="F1935" s="3">
        <v>45793</v>
      </c>
      <c r="G1935">
        <v>202602</v>
      </c>
      <c r="H1935" t="s">
        <v>75</v>
      </c>
      <c r="I1935" t="s">
        <v>76</v>
      </c>
      <c r="J1935" t="s">
        <v>77</v>
      </c>
      <c r="K1935" t="s">
        <v>78</v>
      </c>
      <c r="L1935" t="s">
        <v>479</v>
      </c>
      <c r="M1935" t="s">
        <v>480</v>
      </c>
      <c r="N1935" t="s">
        <v>793</v>
      </c>
      <c r="O1935" t="s">
        <v>82</v>
      </c>
      <c r="P1935" t="str">
        <f>"4170038951                    "</f>
        <v xml:space="preserve">4170038951                    </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0</v>
      </c>
      <c r="AK1935">
        <v>0</v>
      </c>
      <c r="AL1935">
        <v>0</v>
      </c>
      <c r="AM1935">
        <v>0</v>
      </c>
      <c r="AN1935">
        <v>0</v>
      </c>
      <c r="AO1935">
        <v>0</v>
      </c>
      <c r="AP1935">
        <v>0</v>
      </c>
      <c r="AQ1935">
        <v>16.7</v>
      </c>
      <c r="AR1935">
        <v>0</v>
      </c>
      <c r="AS1935">
        <v>0</v>
      </c>
      <c r="AT1935">
        <v>0</v>
      </c>
      <c r="AU1935">
        <v>0</v>
      </c>
      <c r="AV1935">
        <v>0</v>
      </c>
      <c r="AW1935">
        <v>0</v>
      </c>
      <c r="AX1935">
        <v>0</v>
      </c>
      <c r="AY1935">
        <v>0</v>
      </c>
      <c r="AZ1935">
        <v>0</v>
      </c>
      <c r="BA1935">
        <v>0</v>
      </c>
      <c r="BB1935">
        <v>0</v>
      </c>
      <c r="BC1935">
        <v>0</v>
      </c>
      <c r="BD1935">
        <v>0</v>
      </c>
      <c r="BE1935">
        <v>0</v>
      </c>
      <c r="BF1935">
        <v>0</v>
      </c>
      <c r="BG1935">
        <v>0</v>
      </c>
      <c r="BH1935">
        <v>1</v>
      </c>
      <c r="BI1935">
        <v>1</v>
      </c>
      <c r="BJ1935">
        <v>0.2</v>
      </c>
      <c r="BK1935">
        <v>1</v>
      </c>
      <c r="BL1935">
        <v>54.66</v>
      </c>
      <c r="BM1935">
        <v>8.1999999999999993</v>
      </c>
      <c r="BN1935">
        <v>62.86</v>
      </c>
      <c r="BO1935">
        <v>62.86</v>
      </c>
      <c r="BQ1935" t="s">
        <v>794</v>
      </c>
      <c r="BR1935" t="s">
        <v>84</v>
      </c>
      <c r="BS1935" s="3">
        <v>45796</v>
      </c>
      <c r="BT1935" s="4">
        <v>0.34722222222222221</v>
      </c>
      <c r="BU1935" t="s">
        <v>795</v>
      </c>
      <c r="BV1935" t="s">
        <v>86</v>
      </c>
      <c r="BY1935">
        <v>1200</v>
      </c>
      <c r="CA1935" t="s">
        <v>796</v>
      </c>
      <c r="CC1935" t="s">
        <v>480</v>
      </c>
      <c r="CD1935">
        <v>2163</v>
      </c>
      <c r="CE1935" t="s">
        <v>88</v>
      </c>
      <c r="CF1935" s="3">
        <v>45796</v>
      </c>
      <c r="CI1935">
        <v>1</v>
      </c>
      <c r="CJ1935">
        <v>1</v>
      </c>
      <c r="CK1935">
        <v>22</v>
      </c>
      <c r="CL1935" t="s">
        <v>89</v>
      </c>
    </row>
    <row r="1936" spans="1:90" x14ac:dyDescent="0.3">
      <c r="A1936" t="s">
        <v>72</v>
      </c>
      <c r="B1936" t="s">
        <v>73</v>
      </c>
      <c r="C1936" t="s">
        <v>74</v>
      </c>
      <c r="E1936" t="str">
        <f>"080065414102"</f>
        <v>080065414102</v>
      </c>
      <c r="F1936" s="3">
        <v>45793</v>
      </c>
      <c r="G1936">
        <v>202602</v>
      </c>
      <c r="H1936" t="s">
        <v>75</v>
      </c>
      <c r="I1936" t="s">
        <v>76</v>
      </c>
      <c r="J1936" t="s">
        <v>77</v>
      </c>
      <c r="K1936" t="s">
        <v>78</v>
      </c>
      <c r="L1936" t="s">
        <v>117</v>
      </c>
      <c r="M1936" t="s">
        <v>118</v>
      </c>
      <c r="N1936" t="s">
        <v>2442</v>
      </c>
      <c r="O1936" t="s">
        <v>82</v>
      </c>
      <c r="P1936" t="str">
        <f>"4170038918                    "</f>
        <v xml:space="preserve">4170038918                    </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0</v>
      </c>
      <c r="AL1936">
        <v>0</v>
      </c>
      <c r="AM1936">
        <v>0</v>
      </c>
      <c r="AN1936">
        <v>0</v>
      </c>
      <c r="AO1936">
        <v>0</v>
      </c>
      <c r="AP1936">
        <v>0</v>
      </c>
      <c r="AQ1936">
        <v>16.7</v>
      </c>
      <c r="AR1936">
        <v>0</v>
      </c>
      <c r="AS1936">
        <v>0</v>
      </c>
      <c r="AT1936">
        <v>0</v>
      </c>
      <c r="AU1936">
        <v>0</v>
      </c>
      <c r="AV1936">
        <v>0</v>
      </c>
      <c r="AW1936">
        <v>0</v>
      </c>
      <c r="AX1936">
        <v>0</v>
      </c>
      <c r="AY1936">
        <v>0</v>
      </c>
      <c r="AZ1936">
        <v>0</v>
      </c>
      <c r="BA1936">
        <v>0</v>
      </c>
      <c r="BB1936">
        <v>0</v>
      </c>
      <c r="BC1936">
        <v>0</v>
      </c>
      <c r="BD1936">
        <v>0</v>
      </c>
      <c r="BE1936">
        <v>0</v>
      </c>
      <c r="BF1936">
        <v>0</v>
      </c>
      <c r="BG1936">
        <v>0</v>
      </c>
      <c r="BH1936">
        <v>1</v>
      </c>
      <c r="BI1936">
        <v>1</v>
      </c>
      <c r="BJ1936">
        <v>0.2</v>
      </c>
      <c r="BK1936">
        <v>1</v>
      </c>
      <c r="BL1936">
        <v>54.66</v>
      </c>
      <c r="BM1936">
        <v>8.1999999999999993</v>
      </c>
      <c r="BN1936">
        <v>62.86</v>
      </c>
      <c r="BO1936">
        <v>62.86</v>
      </c>
      <c r="BQ1936" t="s">
        <v>2443</v>
      </c>
      <c r="BR1936" t="s">
        <v>84</v>
      </c>
      <c r="BS1936" s="3">
        <v>45796</v>
      </c>
      <c r="BT1936" s="4">
        <v>0.3611111111111111</v>
      </c>
      <c r="BU1936" t="s">
        <v>2427</v>
      </c>
      <c r="BV1936" t="s">
        <v>86</v>
      </c>
      <c r="BY1936">
        <v>1200</v>
      </c>
      <c r="CA1936" t="s">
        <v>2428</v>
      </c>
      <c r="CC1936" t="s">
        <v>118</v>
      </c>
      <c r="CD1936">
        <v>2001</v>
      </c>
      <c r="CE1936" t="s">
        <v>88</v>
      </c>
      <c r="CF1936" s="3">
        <v>45796</v>
      </c>
      <c r="CI1936">
        <v>1</v>
      </c>
      <c r="CJ1936">
        <v>1</v>
      </c>
      <c r="CK1936">
        <v>22</v>
      </c>
      <c r="CL1936" t="s">
        <v>89</v>
      </c>
    </row>
    <row r="1937" spans="1:90" x14ac:dyDescent="0.3">
      <c r="A1937" t="s">
        <v>72</v>
      </c>
      <c r="B1937" t="s">
        <v>73</v>
      </c>
      <c r="C1937" t="s">
        <v>74</v>
      </c>
      <c r="E1937" t="str">
        <f>"080065414147"</f>
        <v>080065414147</v>
      </c>
      <c r="F1937" s="3">
        <v>45793</v>
      </c>
      <c r="G1937">
        <v>202602</v>
      </c>
      <c r="H1937" t="s">
        <v>75</v>
      </c>
      <c r="I1937" t="s">
        <v>76</v>
      </c>
      <c r="J1937" t="s">
        <v>77</v>
      </c>
      <c r="K1937" t="s">
        <v>78</v>
      </c>
      <c r="L1937" t="s">
        <v>97</v>
      </c>
      <c r="M1937" t="s">
        <v>98</v>
      </c>
      <c r="N1937" t="s">
        <v>2444</v>
      </c>
      <c r="O1937" t="s">
        <v>82</v>
      </c>
      <c r="P1937" t="str">
        <f>"4170038934                    "</f>
        <v xml:space="preserve">4170038934                    </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0</v>
      </c>
      <c r="AL1937">
        <v>0</v>
      </c>
      <c r="AM1937">
        <v>0</v>
      </c>
      <c r="AN1937">
        <v>0</v>
      </c>
      <c r="AO1937">
        <v>0</v>
      </c>
      <c r="AP1937">
        <v>0</v>
      </c>
      <c r="AQ1937">
        <v>16.7</v>
      </c>
      <c r="AR1937">
        <v>0</v>
      </c>
      <c r="AS1937">
        <v>0</v>
      </c>
      <c r="AT1937">
        <v>0</v>
      </c>
      <c r="AU1937">
        <v>0</v>
      </c>
      <c r="AV1937">
        <v>0</v>
      </c>
      <c r="AW1937">
        <v>0</v>
      </c>
      <c r="AX1937">
        <v>0</v>
      </c>
      <c r="AY1937">
        <v>0</v>
      </c>
      <c r="AZ1937">
        <v>0</v>
      </c>
      <c r="BA1937">
        <v>0</v>
      </c>
      <c r="BB1937">
        <v>0</v>
      </c>
      <c r="BC1937">
        <v>0</v>
      </c>
      <c r="BD1937">
        <v>0</v>
      </c>
      <c r="BE1937">
        <v>0</v>
      </c>
      <c r="BF1937">
        <v>0</v>
      </c>
      <c r="BG1937">
        <v>0</v>
      </c>
      <c r="BH1937">
        <v>1</v>
      </c>
      <c r="BI1937">
        <v>1</v>
      </c>
      <c r="BJ1937">
        <v>0.2</v>
      </c>
      <c r="BK1937">
        <v>1</v>
      </c>
      <c r="BL1937">
        <v>54.66</v>
      </c>
      <c r="BM1937">
        <v>8.1999999999999993</v>
      </c>
      <c r="BN1937">
        <v>62.86</v>
      </c>
      <c r="BO1937">
        <v>62.86</v>
      </c>
      <c r="BQ1937" t="s">
        <v>2445</v>
      </c>
      <c r="BR1937" t="s">
        <v>84</v>
      </c>
      <c r="BS1937" s="3">
        <v>45796</v>
      </c>
      <c r="BT1937" s="4">
        <v>0.35138888888888886</v>
      </c>
      <c r="BU1937" t="s">
        <v>2446</v>
      </c>
      <c r="BV1937" t="s">
        <v>86</v>
      </c>
      <c r="BY1937">
        <v>1200</v>
      </c>
      <c r="CA1937" t="s">
        <v>279</v>
      </c>
      <c r="CC1937" t="s">
        <v>98</v>
      </c>
      <c r="CD1937">
        <v>1459</v>
      </c>
      <c r="CE1937" t="s">
        <v>88</v>
      </c>
      <c r="CF1937" s="3">
        <v>45796</v>
      </c>
      <c r="CI1937">
        <v>1</v>
      </c>
      <c r="CJ1937">
        <v>1</v>
      </c>
      <c r="CK1937">
        <v>22</v>
      </c>
      <c r="CL1937" t="s">
        <v>89</v>
      </c>
    </row>
    <row r="1938" spans="1:90" x14ac:dyDescent="0.3">
      <c r="A1938" t="s">
        <v>72</v>
      </c>
      <c r="B1938" t="s">
        <v>73</v>
      </c>
      <c r="C1938" t="s">
        <v>74</v>
      </c>
      <c r="E1938" t="str">
        <f>"080065414184"</f>
        <v>080065414184</v>
      </c>
      <c r="F1938" s="3">
        <v>45793</v>
      </c>
      <c r="G1938">
        <v>202602</v>
      </c>
      <c r="H1938" t="s">
        <v>75</v>
      </c>
      <c r="I1938" t="s">
        <v>76</v>
      </c>
      <c r="J1938" t="s">
        <v>77</v>
      </c>
      <c r="K1938" t="s">
        <v>78</v>
      </c>
      <c r="L1938" t="s">
        <v>624</v>
      </c>
      <c r="M1938" t="s">
        <v>625</v>
      </c>
      <c r="N1938" t="s">
        <v>626</v>
      </c>
      <c r="O1938" t="s">
        <v>82</v>
      </c>
      <c r="P1938" t="str">
        <f>"4170039085                    "</f>
        <v xml:space="preserve">4170039085                    </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0</v>
      </c>
      <c r="AK1938">
        <v>0</v>
      </c>
      <c r="AL1938">
        <v>0</v>
      </c>
      <c r="AM1938">
        <v>0</v>
      </c>
      <c r="AN1938">
        <v>0</v>
      </c>
      <c r="AO1938">
        <v>0</v>
      </c>
      <c r="AP1938">
        <v>0</v>
      </c>
      <c r="AQ1938">
        <v>41.43</v>
      </c>
      <c r="AR1938">
        <v>0</v>
      </c>
      <c r="AS1938">
        <v>0</v>
      </c>
      <c r="AT1938">
        <v>0</v>
      </c>
      <c r="AU1938">
        <v>0</v>
      </c>
      <c r="AV1938">
        <v>0</v>
      </c>
      <c r="AW1938">
        <v>0</v>
      </c>
      <c r="AX1938">
        <v>0</v>
      </c>
      <c r="AY1938">
        <v>0</v>
      </c>
      <c r="AZ1938">
        <v>0</v>
      </c>
      <c r="BA1938">
        <v>0</v>
      </c>
      <c r="BB1938">
        <v>0</v>
      </c>
      <c r="BC1938">
        <v>0</v>
      </c>
      <c r="BD1938">
        <v>0</v>
      </c>
      <c r="BE1938">
        <v>0</v>
      </c>
      <c r="BF1938">
        <v>0</v>
      </c>
      <c r="BG1938">
        <v>0</v>
      </c>
      <c r="BH1938">
        <v>1</v>
      </c>
      <c r="BI1938">
        <v>1</v>
      </c>
      <c r="BJ1938">
        <v>0.2</v>
      </c>
      <c r="BK1938">
        <v>1</v>
      </c>
      <c r="BL1938">
        <v>135.59</v>
      </c>
      <c r="BM1938">
        <v>20.34</v>
      </c>
      <c r="BN1938">
        <v>155.93</v>
      </c>
      <c r="BO1938">
        <v>155.93</v>
      </c>
      <c r="BQ1938" t="s">
        <v>627</v>
      </c>
      <c r="BR1938" t="s">
        <v>84</v>
      </c>
      <c r="BS1938" s="3">
        <v>45796</v>
      </c>
      <c r="BT1938" s="4">
        <v>0.33611111111111114</v>
      </c>
      <c r="BU1938" t="s">
        <v>1674</v>
      </c>
      <c r="BV1938" t="s">
        <v>86</v>
      </c>
      <c r="BY1938">
        <v>1200</v>
      </c>
      <c r="CC1938" t="s">
        <v>625</v>
      </c>
      <c r="CD1938">
        <v>1947</v>
      </c>
      <c r="CE1938" t="s">
        <v>88</v>
      </c>
      <c r="CF1938" s="3">
        <v>45796</v>
      </c>
      <c r="CI1938">
        <v>1</v>
      </c>
      <c r="CJ1938">
        <v>1</v>
      </c>
      <c r="CK1938">
        <v>23</v>
      </c>
      <c r="CL1938" t="s">
        <v>89</v>
      </c>
    </row>
    <row r="1939" spans="1:90" x14ac:dyDescent="0.3">
      <c r="A1939" t="s">
        <v>72</v>
      </c>
      <c r="B1939" t="s">
        <v>73</v>
      </c>
      <c r="C1939" t="s">
        <v>74</v>
      </c>
      <c r="E1939" t="str">
        <f>"080065414242"</f>
        <v>080065414242</v>
      </c>
      <c r="F1939" s="3">
        <v>45793</v>
      </c>
      <c r="G1939">
        <v>202602</v>
      </c>
      <c r="H1939" t="s">
        <v>75</v>
      </c>
      <c r="I1939" t="s">
        <v>76</v>
      </c>
      <c r="J1939" t="s">
        <v>77</v>
      </c>
      <c r="K1939" t="s">
        <v>78</v>
      </c>
      <c r="L1939" t="s">
        <v>130</v>
      </c>
      <c r="M1939" t="s">
        <v>131</v>
      </c>
      <c r="N1939" t="s">
        <v>665</v>
      </c>
      <c r="O1939" t="s">
        <v>82</v>
      </c>
      <c r="P1939" t="str">
        <f>"4170038931                    "</f>
        <v xml:space="preserve">4170038931                    </v>
      </c>
      <c r="Q1939">
        <v>0</v>
      </c>
      <c r="R1939">
        <v>0</v>
      </c>
      <c r="S1939">
        <v>0</v>
      </c>
      <c r="T1939">
        <v>0</v>
      </c>
      <c r="U1939">
        <v>0</v>
      </c>
      <c r="V1939">
        <v>0</v>
      </c>
      <c r="W1939">
        <v>0</v>
      </c>
      <c r="X1939">
        <v>0</v>
      </c>
      <c r="Y1939">
        <v>0</v>
      </c>
      <c r="Z1939">
        <v>0</v>
      </c>
      <c r="AA1939">
        <v>0</v>
      </c>
      <c r="AB1939">
        <v>0</v>
      </c>
      <c r="AC1939">
        <v>0</v>
      </c>
      <c r="AD1939">
        <v>0</v>
      </c>
      <c r="AE1939">
        <v>0</v>
      </c>
      <c r="AF1939">
        <v>0</v>
      </c>
      <c r="AG1939">
        <v>0</v>
      </c>
      <c r="AH1939">
        <v>0</v>
      </c>
      <c r="AI1939">
        <v>0</v>
      </c>
      <c r="AJ1939">
        <v>0</v>
      </c>
      <c r="AK1939">
        <v>0</v>
      </c>
      <c r="AL1939">
        <v>0</v>
      </c>
      <c r="AM1939">
        <v>0</v>
      </c>
      <c r="AN1939">
        <v>0</v>
      </c>
      <c r="AO1939">
        <v>0</v>
      </c>
      <c r="AP1939">
        <v>0</v>
      </c>
      <c r="AQ1939">
        <v>21.38</v>
      </c>
      <c r="AR1939">
        <v>0</v>
      </c>
      <c r="AS1939">
        <v>0</v>
      </c>
      <c r="AT1939">
        <v>0</v>
      </c>
      <c r="AU1939">
        <v>0</v>
      </c>
      <c r="AV1939">
        <v>0</v>
      </c>
      <c r="AW1939">
        <v>0</v>
      </c>
      <c r="AX1939">
        <v>0</v>
      </c>
      <c r="AY1939">
        <v>0</v>
      </c>
      <c r="AZ1939">
        <v>0</v>
      </c>
      <c r="BA1939">
        <v>0</v>
      </c>
      <c r="BB1939">
        <v>0</v>
      </c>
      <c r="BC1939">
        <v>0</v>
      </c>
      <c r="BD1939">
        <v>0</v>
      </c>
      <c r="BE1939">
        <v>0</v>
      </c>
      <c r="BF1939">
        <v>0</v>
      </c>
      <c r="BG1939">
        <v>0</v>
      </c>
      <c r="BH1939">
        <v>1</v>
      </c>
      <c r="BI1939">
        <v>1</v>
      </c>
      <c r="BJ1939">
        <v>0.2</v>
      </c>
      <c r="BK1939">
        <v>1</v>
      </c>
      <c r="BL1939">
        <v>69.98</v>
      </c>
      <c r="BM1939">
        <v>10.5</v>
      </c>
      <c r="BN1939">
        <v>80.48</v>
      </c>
      <c r="BO1939">
        <v>80.48</v>
      </c>
      <c r="BQ1939" t="s">
        <v>666</v>
      </c>
      <c r="BR1939" t="s">
        <v>84</v>
      </c>
      <c r="BS1939" s="3">
        <v>45797</v>
      </c>
      <c r="BT1939" s="4">
        <v>0.39652777777777776</v>
      </c>
      <c r="BU1939" t="s">
        <v>1051</v>
      </c>
      <c r="BV1939" t="s">
        <v>89</v>
      </c>
      <c r="BW1939" t="s">
        <v>340</v>
      </c>
      <c r="BX1939" t="s">
        <v>341</v>
      </c>
      <c r="BY1939">
        <v>1200</v>
      </c>
      <c r="CA1939" t="s">
        <v>389</v>
      </c>
      <c r="CC1939" t="s">
        <v>131</v>
      </c>
      <c r="CD1939">
        <v>7535</v>
      </c>
      <c r="CE1939" t="s">
        <v>88</v>
      </c>
      <c r="CF1939" s="3">
        <v>45798</v>
      </c>
      <c r="CI1939">
        <v>1</v>
      </c>
      <c r="CJ1939">
        <v>2</v>
      </c>
      <c r="CK1939">
        <v>21</v>
      </c>
      <c r="CL1939" t="s">
        <v>89</v>
      </c>
    </row>
    <row r="1940" spans="1:90" x14ac:dyDescent="0.3">
      <c r="A1940" t="s">
        <v>72</v>
      </c>
      <c r="B1940" t="s">
        <v>73</v>
      </c>
      <c r="C1940" t="s">
        <v>74</v>
      </c>
      <c r="E1940" t="str">
        <f>"080065414300"</f>
        <v>080065414300</v>
      </c>
      <c r="F1940" s="3">
        <v>45793</v>
      </c>
      <c r="G1940">
        <v>202602</v>
      </c>
      <c r="H1940" t="s">
        <v>75</v>
      </c>
      <c r="I1940" t="s">
        <v>76</v>
      </c>
      <c r="J1940" t="s">
        <v>77</v>
      </c>
      <c r="K1940" t="s">
        <v>78</v>
      </c>
      <c r="L1940" t="s">
        <v>117</v>
      </c>
      <c r="M1940" t="s">
        <v>118</v>
      </c>
      <c r="N1940" t="s">
        <v>2226</v>
      </c>
      <c r="O1940" t="s">
        <v>82</v>
      </c>
      <c r="P1940" t="str">
        <f>"4170038912                    "</f>
        <v xml:space="preserve">4170038912                    </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0</v>
      </c>
      <c r="AL1940">
        <v>0</v>
      </c>
      <c r="AM1940">
        <v>0</v>
      </c>
      <c r="AN1940">
        <v>0</v>
      </c>
      <c r="AO1940">
        <v>0</v>
      </c>
      <c r="AP1940">
        <v>0</v>
      </c>
      <c r="AQ1940">
        <v>16.7</v>
      </c>
      <c r="AR1940">
        <v>0</v>
      </c>
      <c r="AS1940">
        <v>0</v>
      </c>
      <c r="AT1940">
        <v>0</v>
      </c>
      <c r="AU1940">
        <v>0</v>
      </c>
      <c r="AV1940">
        <v>0</v>
      </c>
      <c r="AW1940">
        <v>0</v>
      </c>
      <c r="AX1940">
        <v>0</v>
      </c>
      <c r="AY1940">
        <v>0</v>
      </c>
      <c r="AZ1940">
        <v>0</v>
      </c>
      <c r="BA1940">
        <v>0</v>
      </c>
      <c r="BB1940">
        <v>0</v>
      </c>
      <c r="BC1940">
        <v>0</v>
      </c>
      <c r="BD1940">
        <v>0</v>
      </c>
      <c r="BE1940">
        <v>0</v>
      </c>
      <c r="BF1940">
        <v>0</v>
      </c>
      <c r="BG1940">
        <v>0</v>
      </c>
      <c r="BH1940">
        <v>1</v>
      </c>
      <c r="BI1940">
        <v>1</v>
      </c>
      <c r="BJ1940">
        <v>0.2</v>
      </c>
      <c r="BK1940">
        <v>1</v>
      </c>
      <c r="BL1940">
        <v>54.66</v>
      </c>
      <c r="BM1940">
        <v>8.1999999999999993</v>
      </c>
      <c r="BN1940">
        <v>62.86</v>
      </c>
      <c r="BO1940">
        <v>62.86</v>
      </c>
      <c r="BQ1940" t="s">
        <v>2227</v>
      </c>
      <c r="BR1940" t="s">
        <v>84</v>
      </c>
      <c r="BS1940" s="3">
        <v>45796</v>
      </c>
      <c r="BT1940" s="4">
        <v>0.41666666666666669</v>
      </c>
      <c r="BU1940" t="s">
        <v>2228</v>
      </c>
      <c r="BV1940" t="s">
        <v>86</v>
      </c>
      <c r="BY1940">
        <v>1200</v>
      </c>
      <c r="CA1940" t="s">
        <v>535</v>
      </c>
      <c r="CC1940" t="s">
        <v>118</v>
      </c>
      <c r="CD1940">
        <v>2197</v>
      </c>
      <c r="CE1940" t="s">
        <v>88</v>
      </c>
      <c r="CF1940" s="3">
        <v>45796</v>
      </c>
      <c r="CI1940">
        <v>1</v>
      </c>
      <c r="CJ1940">
        <v>1</v>
      </c>
      <c r="CK1940">
        <v>22</v>
      </c>
      <c r="CL1940" t="s">
        <v>89</v>
      </c>
    </row>
    <row r="1941" spans="1:90" x14ac:dyDescent="0.3">
      <c r="A1941" t="s">
        <v>72</v>
      </c>
      <c r="B1941" t="s">
        <v>73</v>
      </c>
      <c r="C1941" t="s">
        <v>74</v>
      </c>
      <c r="E1941" t="str">
        <f>"080065414696"</f>
        <v>080065414696</v>
      </c>
      <c r="F1941" s="3">
        <v>45793</v>
      </c>
      <c r="G1941">
        <v>202602</v>
      </c>
      <c r="H1941" t="s">
        <v>75</v>
      </c>
      <c r="I1941" t="s">
        <v>76</v>
      </c>
      <c r="J1941" t="s">
        <v>77</v>
      </c>
      <c r="K1941" t="s">
        <v>78</v>
      </c>
      <c r="L1941" t="s">
        <v>130</v>
      </c>
      <c r="M1941" t="s">
        <v>131</v>
      </c>
      <c r="N1941" t="s">
        <v>709</v>
      </c>
      <c r="O1941" t="s">
        <v>82</v>
      </c>
      <c r="P1941" t="str">
        <f>"4170038942                    "</f>
        <v xml:space="preserve">4170038942                    </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0</v>
      </c>
      <c r="AL1941">
        <v>0</v>
      </c>
      <c r="AM1941">
        <v>0</v>
      </c>
      <c r="AN1941">
        <v>0</v>
      </c>
      <c r="AO1941">
        <v>0</v>
      </c>
      <c r="AP1941">
        <v>0</v>
      </c>
      <c r="AQ1941">
        <v>21.38</v>
      </c>
      <c r="AR1941">
        <v>0</v>
      </c>
      <c r="AS1941">
        <v>0</v>
      </c>
      <c r="AT1941">
        <v>0</v>
      </c>
      <c r="AU1941">
        <v>0</v>
      </c>
      <c r="AV1941">
        <v>0</v>
      </c>
      <c r="AW1941">
        <v>0</v>
      </c>
      <c r="AX1941">
        <v>0</v>
      </c>
      <c r="AY1941">
        <v>0</v>
      </c>
      <c r="AZ1941">
        <v>0</v>
      </c>
      <c r="BA1941">
        <v>0</v>
      </c>
      <c r="BB1941">
        <v>0</v>
      </c>
      <c r="BC1941">
        <v>0</v>
      </c>
      <c r="BD1941">
        <v>0</v>
      </c>
      <c r="BE1941">
        <v>0</v>
      </c>
      <c r="BF1941">
        <v>0</v>
      </c>
      <c r="BG1941">
        <v>0</v>
      </c>
      <c r="BH1941">
        <v>1</v>
      </c>
      <c r="BI1941">
        <v>1</v>
      </c>
      <c r="BJ1941">
        <v>0.2</v>
      </c>
      <c r="BK1941">
        <v>1</v>
      </c>
      <c r="BL1941">
        <v>69.98</v>
      </c>
      <c r="BM1941">
        <v>10.5</v>
      </c>
      <c r="BN1941">
        <v>80.48</v>
      </c>
      <c r="BO1941">
        <v>80.48</v>
      </c>
      <c r="BQ1941" t="s">
        <v>710</v>
      </c>
      <c r="BR1941" t="s">
        <v>84</v>
      </c>
      <c r="BS1941" s="3">
        <v>45797</v>
      </c>
      <c r="BT1941" s="4">
        <v>0.34027777777777779</v>
      </c>
      <c r="BU1941" t="s">
        <v>711</v>
      </c>
      <c r="BV1941" t="s">
        <v>89</v>
      </c>
      <c r="BW1941" t="s">
        <v>340</v>
      </c>
      <c r="BX1941" t="s">
        <v>618</v>
      </c>
      <c r="BY1941">
        <v>1200</v>
      </c>
      <c r="CA1941" t="s">
        <v>712</v>
      </c>
      <c r="CC1941" t="s">
        <v>131</v>
      </c>
      <c r="CD1941">
        <v>7530</v>
      </c>
      <c r="CE1941" t="s">
        <v>88</v>
      </c>
      <c r="CF1941" s="3">
        <v>45798</v>
      </c>
      <c r="CI1941">
        <v>1</v>
      </c>
      <c r="CJ1941">
        <v>2</v>
      </c>
      <c r="CK1941">
        <v>21</v>
      </c>
      <c r="CL1941" t="s">
        <v>89</v>
      </c>
    </row>
    <row r="1942" spans="1:90" x14ac:dyDescent="0.3">
      <c r="A1942" t="s">
        <v>72</v>
      </c>
      <c r="B1942" t="s">
        <v>73</v>
      </c>
      <c r="C1942" t="s">
        <v>74</v>
      </c>
      <c r="E1942" t="str">
        <f>"080065414725"</f>
        <v>080065414725</v>
      </c>
      <c r="F1942" s="3">
        <v>45793</v>
      </c>
      <c r="G1942">
        <v>202602</v>
      </c>
      <c r="H1942" t="s">
        <v>75</v>
      </c>
      <c r="I1942" t="s">
        <v>76</v>
      </c>
      <c r="J1942" t="s">
        <v>77</v>
      </c>
      <c r="K1942" t="s">
        <v>78</v>
      </c>
      <c r="L1942" t="s">
        <v>79</v>
      </c>
      <c r="M1942" t="s">
        <v>80</v>
      </c>
      <c r="N1942" t="s">
        <v>157</v>
      </c>
      <c r="O1942" t="s">
        <v>82</v>
      </c>
      <c r="P1942" t="str">
        <f>"4170038929                    "</f>
        <v xml:space="preserve">4170038929                    </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0</v>
      </c>
      <c r="AL1942">
        <v>0</v>
      </c>
      <c r="AM1942">
        <v>0</v>
      </c>
      <c r="AN1942">
        <v>0</v>
      </c>
      <c r="AO1942">
        <v>0</v>
      </c>
      <c r="AP1942">
        <v>0</v>
      </c>
      <c r="AQ1942">
        <v>21.38</v>
      </c>
      <c r="AR1942">
        <v>0</v>
      </c>
      <c r="AS1942">
        <v>0</v>
      </c>
      <c r="AT1942">
        <v>0</v>
      </c>
      <c r="AU1942">
        <v>0</v>
      </c>
      <c r="AV1942">
        <v>0</v>
      </c>
      <c r="AW1942">
        <v>0</v>
      </c>
      <c r="AX1942">
        <v>0</v>
      </c>
      <c r="AY1942">
        <v>0</v>
      </c>
      <c r="AZ1942">
        <v>0</v>
      </c>
      <c r="BA1942">
        <v>0</v>
      </c>
      <c r="BB1942">
        <v>0</v>
      </c>
      <c r="BC1942">
        <v>0</v>
      </c>
      <c r="BD1942">
        <v>0</v>
      </c>
      <c r="BE1942">
        <v>0</v>
      </c>
      <c r="BF1942">
        <v>0</v>
      </c>
      <c r="BG1942">
        <v>0</v>
      </c>
      <c r="BH1942">
        <v>1</v>
      </c>
      <c r="BI1942">
        <v>1</v>
      </c>
      <c r="BJ1942">
        <v>0.2</v>
      </c>
      <c r="BK1942">
        <v>1</v>
      </c>
      <c r="BL1942">
        <v>69.98</v>
      </c>
      <c r="BM1942">
        <v>10.5</v>
      </c>
      <c r="BN1942">
        <v>80.48</v>
      </c>
      <c r="BO1942">
        <v>80.48</v>
      </c>
      <c r="BQ1942" t="s">
        <v>158</v>
      </c>
      <c r="BR1942" t="s">
        <v>84</v>
      </c>
      <c r="BS1942" s="3">
        <v>45796</v>
      </c>
      <c r="BT1942" s="4">
        <v>0.41666666666666669</v>
      </c>
      <c r="BU1942" t="s">
        <v>159</v>
      </c>
      <c r="BV1942" t="s">
        <v>86</v>
      </c>
      <c r="BY1942">
        <v>1200</v>
      </c>
      <c r="CA1942" t="s">
        <v>160</v>
      </c>
      <c r="CC1942" t="s">
        <v>80</v>
      </c>
      <c r="CD1942">
        <v>3610</v>
      </c>
      <c r="CE1942" t="s">
        <v>88</v>
      </c>
      <c r="CF1942" s="3">
        <v>45796</v>
      </c>
      <c r="CI1942">
        <v>1</v>
      </c>
      <c r="CJ1942">
        <v>1</v>
      </c>
      <c r="CK1942">
        <v>21</v>
      </c>
      <c r="CL1942" t="s">
        <v>89</v>
      </c>
    </row>
    <row r="1943" spans="1:90" x14ac:dyDescent="0.3">
      <c r="A1943" t="s">
        <v>72</v>
      </c>
      <c r="B1943" t="s">
        <v>73</v>
      </c>
      <c r="C1943" t="s">
        <v>74</v>
      </c>
      <c r="E1943" t="str">
        <f>"080065414750"</f>
        <v>080065414750</v>
      </c>
      <c r="F1943" s="3">
        <v>45793</v>
      </c>
      <c r="G1943">
        <v>202602</v>
      </c>
      <c r="H1943" t="s">
        <v>75</v>
      </c>
      <c r="I1943" t="s">
        <v>76</v>
      </c>
      <c r="J1943" t="s">
        <v>77</v>
      </c>
      <c r="K1943" t="s">
        <v>78</v>
      </c>
      <c r="L1943" t="s">
        <v>177</v>
      </c>
      <c r="M1943" t="s">
        <v>178</v>
      </c>
      <c r="N1943" t="s">
        <v>393</v>
      </c>
      <c r="O1943" t="s">
        <v>82</v>
      </c>
      <c r="P1943" t="str">
        <f>"4170039012                    "</f>
        <v xml:space="preserve">4170039012                    </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0</v>
      </c>
      <c r="AL1943">
        <v>0</v>
      </c>
      <c r="AM1943">
        <v>0</v>
      </c>
      <c r="AN1943">
        <v>0</v>
      </c>
      <c r="AO1943">
        <v>0</v>
      </c>
      <c r="AP1943">
        <v>0</v>
      </c>
      <c r="AQ1943">
        <v>21.38</v>
      </c>
      <c r="AR1943">
        <v>0</v>
      </c>
      <c r="AS1943">
        <v>0</v>
      </c>
      <c r="AT1943">
        <v>0</v>
      </c>
      <c r="AU1943">
        <v>0</v>
      </c>
      <c r="AV1943">
        <v>0</v>
      </c>
      <c r="AW1943">
        <v>0</v>
      </c>
      <c r="AX1943">
        <v>0</v>
      </c>
      <c r="AY1943">
        <v>0</v>
      </c>
      <c r="AZ1943">
        <v>0</v>
      </c>
      <c r="BA1943">
        <v>0</v>
      </c>
      <c r="BB1943">
        <v>0</v>
      </c>
      <c r="BC1943">
        <v>0</v>
      </c>
      <c r="BD1943">
        <v>0</v>
      </c>
      <c r="BE1943">
        <v>0</v>
      </c>
      <c r="BF1943">
        <v>0</v>
      </c>
      <c r="BG1943">
        <v>0</v>
      </c>
      <c r="BH1943">
        <v>1</v>
      </c>
      <c r="BI1943">
        <v>1</v>
      </c>
      <c r="BJ1943">
        <v>0.2</v>
      </c>
      <c r="BK1943">
        <v>1</v>
      </c>
      <c r="BL1943">
        <v>69.98</v>
      </c>
      <c r="BM1943">
        <v>10.5</v>
      </c>
      <c r="BN1943">
        <v>80.48</v>
      </c>
      <c r="BO1943">
        <v>80.48</v>
      </c>
      <c r="BQ1943" t="s">
        <v>394</v>
      </c>
      <c r="BR1943" t="s">
        <v>84</v>
      </c>
      <c r="BS1943" s="3">
        <v>45796</v>
      </c>
      <c r="BT1943" s="4">
        <v>0.33680555555555558</v>
      </c>
      <c r="BU1943" t="s">
        <v>2345</v>
      </c>
      <c r="BV1943" t="s">
        <v>86</v>
      </c>
      <c r="BY1943">
        <v>1200</v>
      </c>
      <c r="CC1943" t="s">
        <v>178</v>
      </c>
      <c r="CD1943">
        <v>6230</v>
      </c>
      <c r="CE1943" t="s">
        <v>88</v>
      </c>
      <c r="CF1943" s="3">
        <v>45796</v>
      </c>
      <c r="CI1943">
        <v>1</v>
      </c>
      <c r="CJ1943">
        <v>1</v>
      </c>
      <c r="CK1943">
        <v>21</v>
      </c>
      <c r="CL1943" t="s">
        <v>89</v>
      </c>
    </row>
    <row r="1944" spans="1:90" x14ac:dyDescent="0.3">
      <c r="A1944" t="s">
        <v>72</v>
      </c>
      <c r="B1944" t="s">
        <v>73</v>
      </c>
      <c r="C1944" t="s">
        <v>74</v>
      </c>
      <c r="E1944" t="str">
        <f>"080065414796"</f>
        <v>080065414796</v>
      </c>
      <c r="F1944" s="3">
        <v>45793</v>
      </c>
      <c r="G1944">
        <v>202602</v>
      </c>
      <c r="H1944" t="s">
        <v>75</v>
      </c>
      <c r="I1944" t="s">
        <v>76</v>
      </c>
      <c r="J1944" t="s">
        <v>77</v>
      </c>
      <c r="K1944" t="s">
        <v>78</v>
      </c>
      <c r="L1944" t="s">
        <v>222</v>
      </c>
      <c r="M1944" t="s">
        <v>223</v>
      </c>
      <c r="N1944" t="s">
        <v>499</v>
      </c>
      <c r="O1944" t="s">
        <v>82</v>
      </c>
      <c r="P1944" t="str">
        <f>"4170039003                    "</f>
        <v xml:space="preserve">4170039003                    </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c r="AJ1944">
        <v>0</v>
      </c>
      <c r="AK1944">
        <v>0</v>
      </c>
      <c r="AL1944">
        <v>0</v>
      </c>
      <c r="AM1944">
        <v>0</v>
      </c>
      <c r="AN1944">
        <v>0</v>
      </c>
      <c r="AO1944">
        <v>0</v>
      </c>
      <c r="AP1944">
        <v>0</v>
      </c>
      <c r="AQ1944">
        <v>30.07</v>
      </c>
      <c r="AR1944">
        <v>0</v>
      </c>
      <c r="AS1944">
        <v>0</v>
      </c>
      <c r="AT1944">
        <v>0</v>
      </c>
      <c r="AU1944">
        <v>0</v>
      </c>
      <c r="AV1944">
        <v>0</v>
      </c>
      <c r="AW1944">
        <v>0</v>
      </c>
      <c r="AX1944">
        <v>0</v>
      </c>
      <c r="AY1944">
        <v>0</v>
      </c>
      <c r="AZ1944">
        <v>0</v>
      </c>
      <c r="BA1944">
        <v>0</v>
      </c>
      <c r="BB1944">
        <v>0</v>
      </c>
      <c r="BC1944">
        <v>0</v>
      </c>
      <c r="BD1944">
        <v>0</v>
      </c>
      <c r="BE1944">
        <v>0</v>
      </c>
      <c r="BF1944">
        <v>0</v>
      </c>
      <c r="BG1944">
        <v>0</v>
      </c>
      <c r="BH1944">
        <v>1</v>
      </c>
      <c r="BI1944">
        <v>1</v>
      </c>
      <c r="BJ1944">
        <v>0.2</v>
      </c>
      <c r="BK1944">
        <v>1</v>
      </c>
      <c r="BL1944">
        <v>98.42</v>
      </c>
      <c r="BM1944">
        <v>14.76</v>
      </c>
      <c r="BN1944">
        <v>113.18</v>
      </c>
      <c r="BO1944">
        <v>113.18</v>
      </c>
      <c r="BQ1944" t="s">
        <v>1017</v>
      </c>
      <c r="BR1944" t="s">
        <v>84</v>
      </c>
      <c r="BS1944" s="3">
        <v>45796</v>
      </c>
      <c r="BT1944" s="4">
        <v>0.39305555555555555</v>
      </c>
      <c r="BU1944" t="s">
        <v>1755</v>
      </c>
      <c r="BV1944" t="s">
        <v>86</v>
      </c>
      <c r="BY1944">
        <v>1200</v>
      </c>
      <c r="CA1944" t="s">
        <v>2447</v>
      </c>
      <c r="CC1944" t="s">
        <v>223</v>
      </c>
      <c r="CD1944">
        <v>1754</v>
      </c>
      <c r="CE1944" t="s">
        <v>88</v>
      </c>
      <c r="CF1944" s="3">
        <v>45797</v>
      </c>
      <c r="CI1944">
        <v>1</v>
      </c>
      <c r="CJ1944">
        <v>1</v>
      </c>
      <c r="CK1944">
        <v>24</v>
      </c>
      <c r="CL1944" t="s">
        <v>89</v>
      </c>
    </row>
    <row r="1945" spans="1:90" x14ac:dyDescent="0.3">
      <c r="A1945" t="s">
        <v>72</v>
      </c>
      <c r="B1945" t="s">
        <v>73</v>
      </c>
      <c r="C1945" t="s">
        <v>74</v>
      </c>
      <c r="E1945" t="str">
        <f>"080065414825"</f>
        <v>080065414825</v>
      </c>
      <c r="F1945" s="3">
        <v>45793</v>
      </c>
      <c r="G1945">
        <v>202602</v>
      </c>
      <c r="H1945" t="s">
        <v>75</v>
      </c>
      <c r="I1945" t="s">
        <v>76</v>
      </c>
      <c r="J1945" t="s">
        <v>77</v>
      </c>
      <c r="K1945" t="s">
        <v>78</v>
      </c>
      <c r="L1945" t="s">
        <v>177</v>
      </c>
      <c r="M1945" t="s">
        <v>178</v>
      </c>
      <c r="N1945" t="s">
        <v>1232</v>
      </c>
      <c r="O1945" t="s">
        <v>82</v>
      </c>
      <c r="P1945" t="str">
        <f>"4170039054                    "</f>
        <v xml:space="preserve">4170039054                    </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c r="AI1945">
        <v>0</v>
      </c>
      <c r="AJ1945">
        <v>0</v>
      </c>
      <c r="AK1945">
        <v>0</v>
      </c>
      <c r="AL1945">
        <v>0</v>
      </c>
      <c r="AM1945">
        <v>0</v>
      </c>
      <c r="AN1945">
        <v>0</v>
      </c>
      <c r="AO1945">
        <v>0</v>
      </c>
      <c r="AP1945">
        <v>0</v>
      </c>
      <c r="AQ1945">
        <v>21.38</v>
      </c>
      <c r="AR1945">
        <v>0</v>
      </c>
      <c r="AS1945">
        <v>0</v>
      </c>
      <c r="AT1945">
        <v>0</v>
      </c>
      <c r="AU1945">
        <v>0</v>
      </c>
      <c r="AV1945">
        <v>0</v>
      </c>
      <c r="AW1945">
        <v>0</v>
      </c>
      <c r="AX1945">
        <v>0</v>
      </c>
      <c r="AY1945">
        <v>0</v>
      </c>
      <c r="AZ1945">
        <v>0</v>
      </c>
      <c r="BA1945">
        <v>0</v>
      </c>
      <c r="BB1945">
        <v>0</v>
      </c>
      <c r="BC1945">
        <v>0</v>
      </c>
      <c r="BD1945">
        <v>0</v>
      </c>
      <c r="BE1945">
        <v>0</v>
      </c>
      <c r="BF1945">
        <v>0</v>
      </c>
      <c r="BG1945">
        <v>0</v>
      </c>
      <c r="BH1945">
        <v>1</v>
      </c>
      <c r="BI1945">
        <v>1</v>
      </c>
      <c r="BJ1945">
        <v>0.2</v>
      </c>
      <c r="BK1945">
        <v>1</v>
      </c>
      <c r="BL1945">
        <v>69.98</v>
      </c>
      <c r="BM1945">
        <v>10.5</v>
      </c>
      <c r="BN1945">
        <v>80.48</v>
      </c>
      <c r="BO1945">
        <v>80.48</v>
      </c>
      <c r="BQ1945" t="s">
        <v>1233</v>
      </c>
      <c r="BR1945" t="s">
        <v>84</v>
      </c>
      <c r="BS1945" s="3">
        <v>45796</v>
      </c>
      <c r="BT1945" s="4">
        <v>0.33958333333333335</v>
      </c>
      <c r="BU1945" t="s">
        <v>2448</v>
      </c>
      <c r="BV1945" t="s">
        <v>86</v>
      </c>
      <c r="BY1945">
        <v>1200</v>
      </c>
      <c r="CA1945" t="s">
        <v>182</v>
      </c>
      <c r="CC1945" t="s">
        <v>178</v>
      </c>
      <c r="CD1945">
        <v>6229</v>
      </c>
      <c r="CE1945" t="s">
        <v>88</v>
      </c>
      <c r="CF1945" s="3">
        <v>45796</v>
      </c>
      <c r="CI1945">
        <v>1</v>
      </c>
      <c r="CJ1945">
        <v>1</v>
      </c>
      <c r="CK1945">
        <v>21</v>
      </c>
      <c r="CL1945" t="s">
        <v>89</v>
      </c>
    </row>
    <row r="1946" spans="1:90" x14ac:dyDescent="0.3">
      <c r="A1946" t="s">
        <v>72</v>
      </c>
      <c r="B1946" t="s">
        <v>73</v>
      </c>
      <c r="C1946" t="s">
        <v>74</v>
      </c>
      <c r="E1946" t="str">
        <f>"080065414855"</f>
        <v>080065414855</v>
      </c>
      <c r="F1946" s="3">
        <v>45793</v>
      </c>
      <c r="G1946">
        <v>202602</v>
      </c>
      <c r="H1946" t="s">
        <v>75</v>
      </c>
      <c r="I1946" t="s">
        <v>76</v>
      </c>
      <c r="J1946" t="s">
        <v>77</v>
      </c>
      <c r="K1946" t="s">
        <v>78</v>
      </c>
      <c r="L1946" t="s">
        <v>360</v>
      </c>
      <c r="M1946" t="s">
        <v>361</v>
      </c>
      <c r="N1946" t="s">
        <v>362</v>
      </c>
      <c r="O1946" t="s">
        <v>82</v>
      </c>
      <c r="P1946" t="str">
        <f>"4170038989                    "</f>
        <v xml:space="preserve">4170038989                    </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c r="AJ1946">
        <v>0</v>
      </c>
      <c r="AK1946">
        <v>0</v>
      </c>
      <c r="AL1946">
        <v>0</v>
      </c>
      <c r="AM1946">
        <v>0</v>
      </c>
      <c r="AN1946">
        <v>0</v>
      </c>
      <c r="AO1946">
        <v>0</v>
      </c>
      <c r="AP1946">
        <v>0</v>
      </c>
      <c r="AQ1946">
        <v>41.43</v>
      </c>
      <c r="AR1946">
        <v>0</v>
      </c>
      <c r="AS1946">
        <v>0</v>
      </c>
      <c r="AT1946">
        <v>0</v>
      </c>
      <c r="AU1946">
        <v>0</v>
      </c>
      <c r="AV1946">
        <v>0</v>
      </c>
      <c r="AW1946">
        <v>0</v>
      </c>
      <c r="AX1946">
        <v>0</v>
      </c>
      <c r="AY1946">
        <v>0</v>
      </c>
      <c r="AZ1946">
        <v>0</v>
      </c>
      <c r="BA1946">
        <v>0</v>
      </c>
      <c r="BB1946">
        <v>0</v>
      </c>
      <c r="BC1946">
        <v>0</v>
      </c>
      <c r="BD1946">
        <v>0</v>
      </c>
      <c r="BE1946">
        <v>0</v>
      </c>
      <c r="BF1946">
        <v>0</v>
      </c>
      <c r="BG1946">
        <v>0</v>
      </c>
      <c r="BH1946">
        <v>1</v>
      </c>
      <c r="BI1946">
        <v>1</v>
      </c>
      <c r="BJ1946">
        <v>0.2</v>
      </c>
      <c r="BK1946">
        <v>1</v>
      </c>
      <c r="BL1946">
        <v>135.59</v>
      </c>
      <c r="BM1946">
        <v>20.34</v>
      </c>
      <c r="BN1946">
        <v>155.93</v>
      </c>
      <c r="BO1946">
        <v>155.93</v>
      </c>
      <c r="BQ1946" t="s">
        <v>363</v>
      </c>
      <c r="BR1946" t="s">
        <v>84</v>
      </c>
      <c r="BS1946" s="3">
        <v>45797</v>
      </c>
      <c r="BT1946" s="4">
        <v>0.625</v>
      </c>
      <c r="BU1946" t="s">
        <v>1246</v>
      </c>
      <c r="BV1946" t="s">
        <v>89</v>
      </c>
      <c r="BW1946" t="s">
        <v>340</v>
      </c>
      <c r="BX1946" t="s">
        <v>1315</v>
      </c>
      <c r="BY1946">
        <v>1200</v>
      </c>
      <c r="CA1946" t="s">
        <v>365</v>
      </c>
      <c r="CC1946" t="s">
        <v>361</v>
      </c>
      <c r="CD1946">
        <v>7300</v>
      </c>
      <c r="CE1946" t="s">
        <v>88</v>
      </c>
      <c r="CF1946" s="3">
        <v>45798</v>
      </c>
      <c r="CI1946">
        <v>1</v>
      </c>
      <c r="CJ1946">
        <v>2</v>
      </c>
      <c r="CK1946">
        <v>23</v>
      </c>
      <c r="CL1946" t="s">
        <v>89</v>
      </c>
    </row>
    <row r="1947" spans="1:90" x14ac:dyDescent="0.3">
      <c r="A1947" t="s">
        <v>72</v>
      </c>
      <c r="B1947" t="s">
        <v>73</v>
      </c>
      <c r="C1947" t="s">
        <v>74</v>
      </c>
      <c r="E1947" t="str">
        <f>"080065414870"</f>
        <v>080065414870</v>
      </c>
      <c r="F1947" s="3">
        <v>45793</v>
      </c>
      <c r="G1947">
        <v>202602</v>
      </c>
      <c r="H1947" t="s">
        <v>75</v>
      </c>
      <c r="I1947" t="s">
        <v>76</v>
      </c>
      <c r="J1947" t="s">
        <v>77</v>
      </c>
      <c r="K1947" t="s">
        <v>78</v>
      </c>
      <c r="L1947" t="s">
        <v>90</v>
      </c>
      <c r="M1947" t="s">
        <v>91</v>
      </c>
      <c r="N1947" t="s">
        <v>563</v>
      </c>
      <c r="O1947" t="s">
        <v>82</v>
      </c>
      <c r="P1947" t="str">
        <f>"4170039058                    "</f>
        <v xml:space="preserve">4170039058                    </v>
      </c>
      <c r="Q1947">
        <v>0</v>
      </c>
      <c r="R1947">
        <v>0</v>
      </c>
      <c r="S1947">
        <v>0</v>
      </c>
      <c r="T1947">
        <v>0</v>
      </c>
      <c r="U1947">
        <v>0</v>
      </c>
      <c r="V1947">
        <v>0</v>
      </c>
      <c r="W1947">
        <v>0</v>
      </c>
      <c r="X1947">
        <v>0</v>
      </c>
      <c r="Y1947">
        <v>0</v>
      </c>
      <c r="Z1947">
        <v>0</v>
      </c>
      <c r="AA1947">
        <v>0</v>
      </c>
      <c r="AB1947">
        <v>0</v>
      </c>
      <c r="AC1947">
        <v>0</v>
      </c>
      <c r="AD1947">
        <v>0</v>
      </c>
      <c r="AE1947">
        <v>0</v>
      </c>
      <c r="AF1947">
        <v>0</v>
      </c>
      <c r="AG1947">
        <v>0</v>
      </c>
      <c r="AH1947">
        <v>0</v>
      </c>
      <c r="AI1947">
        <v>0</v>
      </c>
      <c r="AJ1947">
        <v>0</v>
      </c>
      <c r="AK1947">
        <v>0</v>
      </c>
      <c r="AL1947">
        <v>0</v>
      </c>
      <c r="AM1947">
        <v>0</v>
      </c>
      <c r="AN1947">
        <v>0</v>
      </c>
      <c r="AO1947">
        <v>0</v>
      </c>
      <c r="AP1947">
        <v>0</v>
      </c>
      <c r="AQ1947">
        <v>21.38</v>
      </c>
      <c r="AR1947">
        <v>0</v>
      </c>
      <c r="AS1947">
        <v>0</v>
      </c>
      <c r="AT1947">
        <v>0</v>
      </c>
      <c r="AU1947">
        <v>0</v>
      </c>
      <c r="AV1947">
        <v>0</v>
      </c>
      <c r="AW1947">
        <v>0</v>
      </c>
      <c r="AX1947">
        <v>0</v>
      </c>
      <c r="AY1947">
        <v>0</v>
      </c>
      <c r="AZ1947">
        <v>0</v>
      </c>
      <c r="BA1947">
        <v>0</v>
      </c>
      <c r="BB1947">
        <v>0</v>
      </c>
      <c r="BC1947">
        <v>0</v>
      </c>
      <c r="BD1947">
        <v>0</v>
      </c>
      <c r="BE1947">
        <v>0</v>
      </c>
      <c r="BF1947">
        <v>0</v>
      </c>
      <c r="BG1947">
        <v>0</v>
      </c>
      <c r="BH1947">
        <v>1</v>
      </c>
      <c r="BI1947">
        <v>1</v>
      </c>
      <c r="BJ1947">
        <v>0.2</v>
      </c>
      <c r="BK1947">
        <v>1</v>
      </c>
      <c r="BL1947">
        <v>69.98</v>
      </c>
      <c r="BM1947">
        <v>10.5</v>
      </c>
      <c r="BN1947">
        <v>80.48</v>
      </c>
      <c r="BO1947">
        <v>80.48</v>
      </c>
      <c r="BQ1947" t="s">
        <v>564</v>
      </c>
      <c r="BR1947" t="s">
        <v>84</v>
      </c>
      <c r="BS1947" s="3">
        <v>45796</v>
      </c>
      <c r="BT1947" s="4">
        <v>0.34722222222222221</v>
      </c>
      <c r="BU1947" t="s">
        <v>780</v>
      </c>
      <c r="BV1947" t="s">
        <v>86</v>
      </c>
      <c r="BY1947">
        <v>1200</v>
      </c>
      <c r="CA1947" t="s">
        <v>566</v>
      </c>
      <c r="CC1947" t="s">
        <v>91</v>
      </c>
      <c r="CD1947">
        <v>6001</v>
      </c>
      <c r="CE1947" t="s">
        <v>88</v>
      </c>
      <c r="CF1947" s="3">
        <v>45797</v>
      </c>
      <c r="CI1947">
        <v>1</v>
      </c>
      <c r="CJ1947">
        <v>1</v>
      </c>
      <c r="CK1947">
        <v>21</v>
      </c>
      <c r="CL1947" t="s">
        <v>89</v>
      </c>
    </row>
    <row r="1948" spans="1:90" x14ac:dyDescent="0.3">
      <c r="A1948" t="s">
        <v>72</v>
      </c>
      <c r="B1948" t="s">
        <v>73</v>
      </c>
      <c r="C1948" t="s">
        <v>74</v>
      </c>
      <c r="E1948" t="str">
        <f>"080065414885"</f>
        <v>080065414885</v>
      </c>
      <c r="F1948" s="3">
        <v>45793</v>
      </c>
      <c r="G1948">
        <v>202602</v>
      </c>
      <c r="H1948" t="s">
        <v>75</v>
      </c>
      <c r="I1948" t="s">
        <v>76</v>
      </c>
      <c r="J1948" t="s">
        <v>77</v>
      </c>
      <c r="K1948" t="s">
        <v>78</v>
      </c>
      <c r="L1948" t="s">
        <v>130</v>
      </c>
      <c r="M1948" t="s">
        <v>131</v>
      </c>
      <c r="N1948" t="s">
        <v>343</v>
      </c>
      <c r="O1948" t="s">
        <v>82</v>
      </c>
      <c r="P1948" t="str">
        <f>"4170039089                    "</f>
        <v xml:space="preserve">4170039089                    </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c r="AJ1948">
        <v>0</v>
      </c>
      <c r="AK1948">
        <v>0</v>
      </c>
      <c r="AL1948">
        <v>0</v>
      </c>
      <c r="AM1948">
        <v>0</v>
      </c>
      <c r="AN1948">
        <v>0</v>
      </c>
      <c r="AO1948">
        <v>0</v>
      </c>
      <c r="AP1948">
        <v>0</v>
      </c>
      <c r="AQ1948">
        <v>21.38</v>
      </c>
      <c r="AR1948">
        <v>0</v>
      </c>
      <c r="AS1948">
        <v>0</v>
      </c>
      <c r="AT1948">
        <v>0</v>
      </c>
      <c r="AU1948">
        <v>0</v>
      </c>
      <c r="AV1948">
        <v>0</v>
      </c>
      <c r="AW1948">
        <v>0</v>
      </c>
      <c r="AX1948">
        <v>0</v>
      </c>
      <c r="AY1948">
        <v>0</v>
      </c>
      <c r="AZ1948">
        <v>0</v>
      </c>
      <c r="BA1948">
        <v>0</v>
      </c>
      <c r="BB1948">
        <v>0</v>
      </c>
      <c r="BC1948">
        <v>0</v>
      </c>
      <c r="BD1948">
        <v>0</v>
      </c>
      <c r="BE1948">
        <v>0</v>
      </c>
      <c r="BF1948">
        <v>0</v>
      </c>
      <c r="BG1948">
        <v>0</v>
      </c>
      <c r="BH1948">
        <v>1</v>
      </c>
      <c r="BI1948">
        <v>1</v>
      </c>
      <c r="BJ1948">
        <v>0.2</v>
      </c>
      <c r="BK1948">
        <v>1</v>
      </c>
      <c r="BL1948">
        <v>69.98</v>
      </c>
      <c r="BM1948">
        <v>10.5</v>
      </c>
      <c r="BN1948">
        <v>80.48</v>
      </c>
      <c r="BO1948">
        <v>80.48</v>
      </c>
      <c r="BQ1948" t="s">
        <v>344</v>
      </c>
      <c r="BR1948" t="s">
        <v>84</v>
      </c>
      <c r="BS1948" s="3">
        <v>45797</v>
      </c>
      <c r="BT1948" s="4">
        <v>0.40625</v>
      </c>
      <c r="BU1948" t="s">
        <v>1427</v>
      </c>
      <c r="BV1948" t="s">
        <v>89</v>
      </c>
      <c r="BW1948" t="s">
        <v>340</v>
      </c>
      <c r="BX1948" t="s">
        <v>2355</v>
      </c>
      <c r="BY1948">
        <v>1200</v>
      </c>
      <c r="CA1948" t="s">
        <v>242</v>
      </c>
      <c r="CC1948" t="s">
        <v>131</v>
      </c>
      <c r="CD1948">
        <v>7441</v>
      </c>
      <c r="CE1948" t="s">
        <v>88</v>
      </c>
      <c r="CF1948" s="3">
        <v>45798</v>
      </c>
      <c r="CI1948">
        <v>1</v>
      </c>
      <c r="CJ1948">
        <v>2</v>
      </c>
      <c r="CK1948">
        <v>21</v>
      </c>
      <c r="CL1948" t="s">
        <v>89</v>
      </c>
    </row>
    <row r="1949" spans="1:90" x14ac:dyDescent="0.3">
      <c r="A1949" t="s">
        <v>72</v>
      </c>
      <c r="B1949" t="s">
        <v>73</v>
      </c>
      <c r="C1949" t="s">
        <v>74</v>
      </c>
      <c r="E1949" t="str">
        <f>"080065414904"</f>
        <v>080065414904</v>
      </c>
      <c r="F1949" s="3">
        <v>45793</v>
      </c>
      <c r="G1949">
        <v>202602</v>
      </c>
      <c r="H1949" t="s">
        <v>75</v>
      </c>
      <c r="I1949" t="s">
        <v>76</v>
      </c>
      <c r="J1949" t="s">
        <v>77</v>
      </c>
      <c r="K1949" t="s">
        <v>78</v>
      </c>
      <c r="L1949" t="s">
        <v>130</v>
      </c>
      <c r="M1949" t="s">
        <v>131</v>
      </c>
      <c r="N1949" t="s">
        <v>681</v>
      </c>
      <c r="O1949" t="s">
        <v>82</v>
      </c>
      <c r="P1949" t="str">
        <f>"4170038916                    "</f>
        <v xml:space="preserve">4170038916                    </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c r="AJ1949">
        <v>0</v>
      </c>
      <c r="AK1949">
        <v>0</v>
      </c>
      <c r="AL1949">
        <v>0</v>
      </c>
      <c r="AM1949">
        <v>0</v>
      </c>
      <c r="AN1949">
        <v>0</v>
      </c>
      <c r="AO1949">
        <v>0</v>
      </c>
      <c r="AP1949">
        <v>0</v>
      </c>
      <c r="AQ1949">
        <v>21.38</v>
      </c>
      <c r="AR1949">
        <v>0</v>
      </c>
      <c r="AS1949">
        <v>0</v>
      </c>
      <c r="AT1949">
        <v>0</v>
      </c>
      <c r="AU1949">
        <v>0</v>
      </c>
      <c r="AV1949">
        <v>0</v>
      </c>
      <c r="AW1949">
        <v>0</v>
      </c>
      <c r="AX1949">
        <v>0</v>
      </c>
      <c r="AY1949">
        <v>0</v>
      </c>
      <c r="AZ1949">
        <v>0</v>
      </c>
      <c r="BA1949">
        <v>0</v>
      </c>
      <c r="BB1949">
        <v>0</v>
      </c>
      <c r="BC1949">
        <v>0</v>
      </c>
      <c r="BD1949">
        <v>0</v>
      </c>
      <c r="BE1949">
        <v>0</v>
      </c>
      <c r="BF1949">
        <v>0</v>
      </c>
      <c r="BG1949">
        <v>0</v>
      </c>
      <c r="BH1949">
        <v>1</v>
      </c>
      <c r="BI1949">
        <v>1</v>
      </c>
      <c r="BJ1949">
        <v>0.2</v>
      </c>
      <c r="BK1949">
        <v>1</v>
      </c>
      <c r="BL1949">
        <v>69.98</v>
      </c>
      <c r="BM1949">
        <v>10.5</v>
      </c>
      <c r="BN1949">
        <v>80.48</v>
      </c>
      <c r="BO1949">
        <v>80.48</v>
      </c>
      <c r="BQ1949" t="s">
        <v>682</v>
      </c>
      <c r="BR1949" t="s">
        <v>84</v>
      </c>
      <c r="BS1949" s="3">
        <v>45797</v>
      </c>
      <c r="BT1949" s="4">
        <v>0.4201388888888889</v>
      </c>
      <c r="BU1949" t="s">
        <v>683</v>
      </c>
      <c r="BV1949" t="s">
        <v>89</v>
      </c>
      <c r="BW1949" t="s">
        <v>340</v>
      </c>
      <c r="BX1949" t="s">
        <v>578</v>
      </c>
      <c r="BY1949">
        <v>1200</v>
      </c>
      <c r="CA1949" t="s">
        <v>684</v>
      </c>
      <c r="CC1949" t="s">
        <v>131</v>
      </c>
      <c r="CD1949">
        <v>7800</v>
      </c>
      <c r="CE1949" t="s">
        <v>1193</v>
      </c>
      <c r="CF1949" s="3">
        <v>45798</v>
      </c>
      <c r="CI1949">
        <v>1</v>
      </c>
      <c r="CJ1949">
        <v>2</v>
      </c>
      <c r="CK1949">
        <v>21</v>
      </c>
      <c r="CL1949" t="s">
        <v>89</v>
      </c>
    </row>
    <row r="1950" spans="1:90" x14ac:dyDescent="0.3">
      <c r="A1950" t="s">
        <v>72</v>
      </c>
      <c r="B1950" t="s">
        <v>73</v>
      </c>
      <c r="C1950" t="s">
        <v>74</v>
      </c>
      <c r="E1950" t="str">
        <f>"080065414919"</f>
        <v>080065414919</v>
      </c>
      <c r="F1950" s="3">
        <v>45793</v>
      </c>
      <c r="G1950">
        <v>202602</v>
      </c>
      <c r="H1950" t="s">
        <v>75</v>
      </c>
      <c r="I1950" t="s">
        <v>76</v>
      </c>
      <c r="J1950" t="s">
        <v>77</v>
      </c>
      <c r="K1950" t="s">
        <v>78</v>
      </c>
      <c r="L1950" t="s">
        <v>90</v>
      </c>
      <c r="M1950" t="s">
        <v>91</v>
      </c>
      <c r="N1950" t="s">
        <v>563</v>
      </c>
      <c r="O1950" t="s">
        <v>82</v>
      </c>
      <c r="P1950" t="str">
        <f>"4170038958                    "</f>
        <v xml:space="preserve">4170038958                    </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0</v>
      </c>
      <c r="AJ1950">
        <v>0</v>
      </c>
      <c r="AK1950">
        <v>0</v>
      </c>
      <c r="AL1950">
        <v>0</v>
      </c>
      <c r="AM1950">
        <v>0</v>
      </c>
      <c r="AN1950">
        <v>0</v>
      </c>
      <c r="AO1950">
        <v>0</v>
      </c>
      <c r="AP1950">
        <v>0</v>
      </c>
      <c r="AQ1950">
        <v>21.38</v>
      </c>
      <c r="AR1950">
        <v>0</v>
      </c>
      <c r="AS1950">
        <v>0</v>
      </c>
      <c r="AT1950">
        <v>0</v>
      </c>
      <c r="AU1950">
        <v>0</v>
      </c>
      <c r="AV1950">
        <v>0</v>
      </c>
      <c r="AW1950">
        <v>0</v>
      </c>
      <c r="AX1950">
        <v>0</v>
      </c>
      <c r="AY1950">
        <v>0</v>
      </c>
      <c r="AZ1950">
        <v>0</v>
      </c>
      <c r="BA1950">
        <v>0</v>
      </c>
      <c r="BB1950">
        <v>0</v>
      </c>
      <c r="BC1950">
        <v>0</v>
      </c>
      <c r="BD1950">
        <v>0</v>
      </c>
      <c r="BE1950">
        <v>0</v>
      </c>
      <c r="BF1950">
        <v>0</v>
      </c>
      <c r="BG1950">
        <v>0</v>
      </c>
      <c r="BH1950">
        <v>1</v>
      </c>
      <c r="BI1950">
        <v>1</v>
      </c>
      <c r="BJ1950">
        <v>0.2</v>
      </c>
      <c r="BK1950">
        <v>1</v>
      </c>
      <c r="BL1950">
        <v>69.98</v>
      </c>
      <c r="BM1950">
        <v>10.5</v>
      </c>
      <c r="BN1950">
        <v>80.48</v>
      </c>
      <c r="BO1950">
        <v>80.48</v>
      </c>
      <c r="BQ1950" t="s">
        <v>564</v>
      </c>
      <c r="BR1950" t="s">
        <v>84</v>
      </c>
      <c r="BS1950" s="3">
        <v>45796</v>
      </c>
      <c r="BT1950" s="4">
        <v>0.34722222222222221</v>
      </c>
      <c r="BU1950" t="s">
        <v>780</v>
      </c>
      <c r="BV1950" t="s">
        <v>86</v>
      </c>
      <c r="BY1950">
        <v>1200</v>
      </c>
      <c r="CA1950" t="s">
        <v>566</v>
      </c>
      <c r="CC1950" t="s">
        <v>91</v>
      </c>
      <c r="CD1950">
        <v>6001</v>
      </c>
      <c r="CE1950" t="s">
        <v>88</v>
      </c>
      <c r="CF1950" s="3">
        <v>45797</v>
      </c>
      <c r="CI1950">
        <v>1</v>
      </c>
      <c r="CJ1950">
        <v>1</v>
      </c>
      <c r="CK1950">
        <v>21</v>
      </c>
      <c r="CL1950" t="s">
        <v>89</v>
      </c>
    </row>
    <row r="1951" spans="1:90" x14ac:dyDescent="0.3">
      <c r="A1951" t="s">
        <v>72</v>
      </c>
      <c r="B1951" t="s">
        <v>73</v>
      </c>
      <c r="C1951" t="s">
        <v>74</v>
      </c>
      <c r="E1951" t="str">
        <f>"080065414937"</f>
        <v>080065414937</v>
      </c>
      <c r="F1951" s="3">
        <v>45793</v>
      </c>
      <c r="G1951">
        <v>202602</v>
      </c>
      <c r="H1951" t="s">
        <v>75</v>
      </c>
      <c r="I1951" t="s">
        <v>76</v>
      </c>
      <c r="J1951" t="s">
        <v>77</v>
      </c>
      <c r="K1951" t="s">
        <v>78</v>
      </c>
      <c r="L1951" t="s">
        <v>136</v>
      </c>
      <c r="M1951" t="s">
        <v>137</v>
      </c>
      <c r="N1951" t="s">
        <v>161</v>
      </c>
      <c r="O1951" t="s">
        <v>82</v>
      </c>
      <c r="P1951" t="str">
        <f>"4170038979                    "</f>
        <v xml:space="preserve">4170038979                    </v>
      </c>
      <c r="Q1951">
        <v>0</v>
      </c>
      <c r="R1951">
        <v>0</v>
      </c>
      <c r="S1951">
        <v>0</v>
      </c>
      <c r="T1951">
        <v>0</v>
      </c>
      <c r="U1951">
        <v>0</v>
      </c>
      <c r="V1951">
        <v>0</v>
      </c>
      <c r="W1951">
        <v>0</v>
      </c>
      <c r="X1951">
        <v>0</v>
      </c>
      <c r="Y1951">
        <v>0</v>
      </c>
      <c r="Z1951">
        <v>0</v>
      </c>
      <c r="AA1951">
        <v>0</v>
      </c>
      <c r="AB1951">
        <v>0</v>
      </c>
      <c r="AC1951">
        <v>0</v>
      </c>
      <c r="AD1951">
        <v>0</v>
      </c>
      <c r="AE1951">
        <v>0</v>
      </c>
      <c r="AF1951">
        <v>0</v>
      </c>
      <c r="AG1951">
        <v>0</v>
      </c>
      <c r="AH1951">
        <v>0</v>
      </c>
      <c r="AI1951">
        <v>0</v>
      </c>
      <c r="AJ1951">
        <v>0</v>
      </c>
      <c r="AK1951">
        <v>0</v>
      </c>
      <c r="AL1951">
        <v>0</v>
      </c>
      <c r="AM1951">
        <v>0</v>
      </c>
      <c r="AN1951">
        <v>0</v>
      </c>
      <c r="AO1951">
        <v>0</v>
      </c>
      <c r="AP1951">
        <v>0</v>
      </c>
      <c r="AQ1951">
        <v>21.38</v>
      </c>
      <c r="AR1951">
        <v>0</v>
      </c>
      <c r="AS1951">
        <v>0</v>
      </c>
      <c r="AT1951">
        <v>0</v>
      </c>
      <c r="AU1951">
        <v>0</v>
      </c>
      <c r="AV1951">
        <v>0</v>
      </c>
      <c r="AW1951">
        <v>0</v>
      </c>
      <c r="AX1951">
        <v>0</v>
      </c>
      <c r="AY1951">
        <v>0</v>
      </c>
      <c r="AZ1951">
        <v>0</v>
      </c>
      <c r="BA1951">
        <v>0</v>
      </c>
      <c r="BB1951">
        <v>0</v>
      </c>
      <c r="BC1951">
        <v>0</v>
      </c>
      <c r="BD1951">
        <v>0</v>
      </c>
      <c r="BE1951">
        <v>0</v>
      </c>
      <c r="BF1951">
        <v>0</v>
      </c>
      <c r="BG1951">
        <v>0</v>
      </c>
      <c r="BH1951">
        <v>1</v>
      </c>
      <c r="BI1951">
        <v>1</v>
      </c>
      <c r="BJ1951">
        <v>0.2</v>
      </c>
      <c r="BK1951">
        <v>1</v>
      </c>
      <c r="BL1951">
        <v>69.98</v>
      </c>
      <c r="BM1951">
        <v>10.5</v>
      </c>
      <c r="BN1951">
        <v>80.48</v>
      </c>
      <c r="BO1951">
        <v>80.48</v>
      </c>
      <c r="BQ1951" t="s">
        <v>162</v>
      </c>
      <c r="BR1951" t="s">
        <v>84</v>
      </c>
      <c r="BS1951" s="3">
        <v>45796</v>
      </c>
      <c r="BT1951" s="4">
        <v>0.38333333333333336</v>
      </c>
      <c r="BU1951" t="s">
        <v>2347</v>
      </c>
      <c r="BV1951" t="s">
        <v>86</v>
      </c>
      <c r="BY1951">
        <v>1200</v>
      </c>
      <c r="CC1951" t="s">
        <v>137</v>
      </c>
      <c r="CD1951" s="5" t="s">
        <v>165</v>
      </c>
      <c r="CE1951" t="s">
        <v>88</v>
      </c>
      <c r="CF1951" s="3">
        <v>45796</v>
      </c>
      <c r="CI1951">
        <v>1</v>
      </c>
      <c r="CJ1951">
        <v>1</v>
      </c>
      <c r="CK1951">
        <v>21</v>
      </c>
      <c r="CL1951" t="s">
        <v>89</v>
      </c>
    </row>
    <row r="1952" spans="1:90" x14ac:dyDescent="0.3">
      <c r="A1952" t="s">
        <v>72</v>
      </c>
      <c r="B1952" t="s">
        <v>73</v>
      </c>
      <c r="C1952" t="s">
        <v>74</v>
      </c>
      <c r="E1952" t="str">
        <f>"080065414958"</f>
        <v>080065414958</v>
      </c>
      <c r="F1952" s="3">
        <v>45793</v>
      </c>
      <c r="G1952">
        <v>202602</v>
      </c>
      <c r="H1952" t="s">
        <v>75</v>
      </c>
      <c r="I1952" t="s">
        <v>76</v>
      </c>
      <c r="J1952" t="s">
        <v>77</v>
      </c>
      <c r="K1952" t="s">
        <v>78</v>
      </c>
      <c r="L1952" t="s">
        <v>130</v>
      </c>
      <c r="M1952" t="s">
        <v>131</v>
      </c>
      <c r="N1952" t="s">
        <v>343</v>
      </c>
      <c r="O1952" t="s">
        <v>82</v>
      </c>
      <c r="P1952" t="str">
        <f>"4170039084                    "</f>
        <v xml:space="preserve">4170039084                    </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0</v>
      </c>
      <c r="AL1952">
        <v>0</v>
      </c>
      <c r="AM1952">
        <v>0</v>
      </c>
      <c r="AN1952">
        <v>0</v>
      </c>
      <c r="AO1952">
        <v>0</v>
      </c>
      <c r="AP1952">
        <v>0</v>
      </c>
      <c r="AQ1952">
        <v>21.38</v>
      </c>
      <c r="AR1952">
        <v>0</v>
      </c>
      <c r="AS1952">
        <v>0</v>
      </c>
      <c r="AT1952">
        <v>0</v>
      </c>
      <c r="AU1952">
        <v>0</v>
      </c>
      <c r="AV1952">
        <v>0</v>
      </c>
      <c r="AW1952">
        <v>0</v>
      </c>
      <c r="AX1952">
        <v>0</v>
      </c>
      <c r="AY1952">
        <v>0</v>
      </c>
      <c r="AZ1952">
        <v>0</v>
      </c>
      <c r="BA1952">
        <v>0</v>
      </c>
      <c r="BB1952">
        <v>0</v>
      </c>
      <c r="BC1952">
        <v>0</v>
      </c>
      <c r="BD1952">
        <v>0</v>
      </c>
      <c r="BE1952">
        <v>0</v>
      </c>
      <c r="BF1952">
        <v>0</v>
      </c>
      <c r="BG1952">
        <v>0</v>
      </c>
      <c r="BH1952">
        <v>1</v>
      </c>
      <c r="BI1952">
        <v>1</v>
      </c>
      <c r="BJ1952">
        <v>0.2</v>
      </c>
      <c r="BK1952">
        <v>1</v>
      </c>
      <c r="BL1952">
        <v>69.98</v>
      </c>
      <c r="BM1952">
        <v>10.5</v>
      </c>
      <c r="BN1952">
        <v>80.48</v>
      </c>
      <c r="BO1952">
        <v>80.48</v>
      </c>
      <c r="BQ1952" t="s">
        <v>344</v>
      </c>
      <c r="BR1952" t="s">
        <v>84</v>
      </c>
      <c r="BS1952" s="3">
        <v>45797</v>
      </c>
      <c r="BT1952" s="4">
        <v>0.40625</v>
      </c>
      <c r="BU1952" t="s">
        <v>1427</v>
      </c>
      <c r="BV1952" t="s">
        <v>89</v>
      </c>
      <c r="BW1952" t="s">
        <v>340</v>
      </c>
      <c r="BX1952" t="s">
        <v>2355</v>
      </c>
      <c r="BY1952">
        <v>1200</v>
      </c>
      <c r="CA1952" t="s">
        <v>242</v>
      </c>
      <c r="CC1952" t="s">
        <v>131</v>
      </c>
      <c r="CD1952">
        <v>7441</v>
      </c>
      <c r="CE1952" t="s">
        <v>88</v>
      </c>
      <c r="CF1952" s="3">
        <v>45798</v>
      </c>
      <c r="CI1952">
        <v>1</v>
      </c>
      <c r="CJ1952">
        <v>2</v>
      </c>
      <c r="CK1952">
        <v>21</v>
      </c>
      <c r="CL1952" t="s">
        <v>89</v>
      </c>
    </row>
    <row r="1953" spans="1:90" x14ac:dyDescent="0.3">
      <c r="A1953" t="s">
        <v>72</v>
      </c>
      <c r="B1953" t="s">
        <v>73</v>
      </c>
      <c r="C1953" t="s">
        <v>74</v>
      </c>
      <c r="E1953" t="str">
        <f>"080065414975"</f>
        <v>080065414975</v>
      </c>
      <c r="F1953" s="3">
        <v>45793</v>
      </c>
      <c r="G1953">
        <v>202602</v>
      </c>
      <c r="H1953" t="s">
        <v>75</v>
      </c>
      <c r="I1953" t="s">
        <v>76</v>
      </c>
      <c r="J1953" t="s">
        <v>77</v>
      </c>
      <c r="K1953" t="s">
        <v>78</v>
      </c>
      <c r="L1953" t="s">
        <v>117</v>
      </c>
      <c r="M1953" t="s">
        <v>118</v>
      </c>
      <c r="N1953" t="s">
        <v>1533</v>
      </c>
      <c r="O1953" t="s">
        <v>82</v>
      </c>
      <c r="P1953" t="str">
        <f>"4170039094                    "</f>
        <v xml:space="preserve">4170039094                    </v>
      </c>
      <c r="Q1953">
        <v>0</v>
      </c>
      <c r="R1953">
        <v>0</v>
      </c>
      <c r="S1953">
        <v>0</v>
      </c>
      <c r="T1953">
        <v>0</v>
      </c>
      <c r="U1953">
        <v>0</v>
      </c>
      <c r="V1953">
        <v>0</v>
      </c>
      <c r="W1953">
        <v>0</v>
      </c>
      <c r="X1953">
        <v>0</v>
      </c>
      <c r="Y1953">
        <v>0</v>
      </c>
      <c r="Z1953">
        <v>0</v>
      </c>
      <c r="AA1953">
        <v>0</v>
      </c>
      <c r="AB1953">
        <v>0</v>
      </c>
      <c r="AC1953">
        <v>0</v>
      </c>
      <c r="AD1953">
        <v>0</v>
      </c>
      <c r="AE1953">
        <v>0</v>
      </c>
      <c r="AF1953">
        <v>0</v>
      </c>
      <c r="AG1953">
        <v>0</v>
      </c>
      <c r="AH1953">
        <v>0</v>
      </c>
      <c r="AI1953">
        <v>0</v>
      </c>
      <c r="AJ1953">
        <v>0</v>
      </c>
      <c r="AK1953">
        <v>0</v>
      </c>
      <c r="AL1953">
        <v>0</v>
      </c>
      <c r="AM1953">
        <v>0</v>
      </c>
      <c r="AN1953">
        <v>0</v>
      </c>
      <c r="AO1953">
        <v>0</v>
      </c>
      <c r="AP1953">
        <v>0</v>
      </c>
      <c r="AQ1953">
        <v>16.7</v>
      </c>
      <c r="AR1953">
        <v>0</v>
      </c>
      <c r="AS1953">
        <v>0</v>
      </c>
      <c r="AT1953">
        <v>0</v>
      </c>
      <c r="AU1953">
        <v>0</v>
      </c>
      <c r="AV1953">
        <v>0</v>
      </c>
      <c r="AW1953">
        <v>0</v>
      </c>
      <c r="AX1953">
        <v>0</v>
      </c>
      <c r="AY1953">
        <v>0</v>
      </c>
      <c r="AZ1953">
        <v>0</v>
      </c>
      <c r="BA1953">
        <v>0</v>
      </c>
      <c r="BB1953">
        <v>0</v>
      </c>
      <c r="BC1953">
        <v>0</v>
      </c>
      <c r="BD1953">
        <v>0</v>
      </c>
      <c r="BE1953">
        <v>0</v>
      </c>
      <c r="BF1953">
        <v>0</v>
      </c>
      <c r="BG1953">
        <v>0</v>
      </c>
      <c r="BH1953">
        <v>1</v>
      </c>
      <c r="BI1953">
        <v>1</v>
      </c>
      <c r="BJ1953">
        <v>0.2</v>
      </c>
      <c r="BK1953">
        <v>1</v>
      </c>
      <c r="BL1953">
        <v>54.66</v>
      </c>
      <c r="BM1953">
        <v>8.1999999999999993</v>
      </c>
      <c r="BN1953">
        <v>62.86</v>
      </c>
      <c r="BO1953">
        <v>62.86</v>
      </c>
      <c r="BQ1953" t="s">
        <v>1534</v>
      </c>
      <c r="BR1953" t="s">
        <v>84</v>
      </c>
      <c r="BS1953" s="3">
        <v>45796</v>
      </c>
      <c r="BT1953" s="4">
        <v>0.38819444444444445</v>
      </c>
      <c r="BU1953" t="s">
        <v>1535</v>
      </c>
      <c r="BV1953" t="s">
        <v>86</v>
      </c>
      <c r="BY1953">
        <v>1200</v>
      </c>
      <c r="CA1953" t="s">
        <v>275</v>
      </c>
      <c r="CC1953" t="s">
        <v>118</v>
      </c>
      <c r="CD1953">
        <v>2091</v>
      </c>
      <c r="CE1953" t="s">
        <v>88</v>
      </c>
      <c r="CF1953" s="3">
        <v>45796</v>
      </c>
      <c r="CI1953">
        <v>1</v>
      </c>
      <c r="CJ1953">
        <v>1</v>
      </c>
      <c r="CK1953">
        <v>22</v>
      </c>
      <c r="CL1953" t="s">
        <v>89</v>
      </c>
    </row>
    <row r="1954" spans="1:90" x14ac:dyDescent="0.3">
      <c r="A1954" t="s">
        <v>72</v>
      </c>
      <c r="B1954" t="s">
        <v>73</v>
      </c>
      <c r="C1954" t="s">
        <v>74</v>
      </c>
      <c r="E1954" t="str">
        <f>"080065414999"</f>
        <v>080065414999</v>
      </c>
      <c r="F1954" s="3">
        <v>45793</v>
      </c>
      <c r="G1954">
        <v>202602</v>
      </c>
      <c r="H1954" t="s">
        <v>75</v>
      </c>
      <c r="I1954" t="s">
        <v>76</v>
      </c>
      <c r="J1954" t="s">
        <v>77</v>
      </c>
      <c r="K1954" t="s">
        <v>78</v>
      </c>
      <c r="L1954" t="s">
        <v>130</v>
      </c>
      <c r="M1954" t="s">
        <v>131</v>
      </c>
      <c r="N1954" t="s">
        <v>681</v>
      </c>
      <c r="O1954" t="s">
        <v>82</v>
      </c>
      <c r="P1954" t="str">
        <f>"4170039093                    "</f>
        <v xml:space="preserve">4170039093                    </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c r="AJ1954">
        <v>0</v>
      </c>
      <c r="AK1954">
        <v>0</v>
      </c>
      <c r="AL1954">
        <v>0</v>
      </c>
      <c r="AM1954">
        <v>0</v>
      </c>
      <c r="AN1954">
        <v>0</v>
      </c>
      <c r="AO1954">
        <v>0</v>
      </c>
      <c r="AP1954">
        <v>0</v>
      </c>
      <c r="AQ1954">
        <v>21.38</v>
      </c>
      <c r="AR1954">
        <v>0</v>
      </c>
      <c r="AS1954">
        <v>0</v>
      </c>
      <c r="AT1954">
        <v>0</v>
      </c>
      <c r="AU1954">
        <v>0</v>
      </c>
      <c r="AV1954">
        <v>0</v>
      </c>
      <c r="AW1954">
        <v>0</v>
      </c>
      <c r="AX1954">
        <v>0</v>
      </c>
      <c r="AY1954">
        <v>0</v>
      </c>
      <c r="AZ1954">
        <v>0</v>
      </c>
      <c r="BA1954">
        <v>0</v>
      </c>
      <c r="BB1954">
        <v>0</v>
      </c>
      <c r="BC1954">
        <v>0</v>
      </c>
      <c r="BD1954">
        <v>0</v>
      </c>
      <c r="BE1954">
        <v>0</v>
      </c>
      <c r="BF1954">
        <v>0</v>
      </c>
      <c r="BG1954">
        <v>0</v>
      </c>
      <c r="BH1954">
        <v>1</v>
      </c>
      <c r="BI1954">
        <v>1</v>
      </c>
      <c r="BJ1954">
        <v>0.2</v>
      </c>
      <c r="BK1954">
        <v>1</v>
      </c>
      <c r="BL1954">
        <v>69.98</v>
      </c>
      <c r="BM1954">
        <v>10.5</v>
      </c>
      <c r="BN1954">
        <v>80.48</v>
      </c>
      <c r="BO1954">
        <v>80.48</v>
      </c>
      <c r="BQ1954" t="s">
        <v>682</v>
      </c>
      <c r="BR1954" t="s">
        <v>84</v>
      </c>
      <c r="BS1954" s="3">
        <v>45797</v>
      </c>
      <c r="BT1954" s="4">
        <v>0.4201388888888889</v>
      </c>
      <c r="BU1954" t="s">
        <v>683</v>
      </c>
      <c r="BV1954" t="s">
        <v>89</v>
      </c>
      <c r="BW1954" t="s">
        <v>340</v>
      </c>
      <c r="BX1954" t="s">
        <v>578</v>
      </c>
      <c r="BY1954">
        <v>1200</v>
      </c>
      <c r="CA1954" t="s">
        <v>684</v>
      </c>
      <c r="CC1954" t="s">
        <v>131</v>
      </c>
      <c r="CD1954">
        <v>7800</v>
      </c>
      <c r="CE1954" t="s">
        <v>88</v>
      </c>
      <c r="CF1954" s="3">
        <v>45798</v>
      </c>
      <c r="CI1954">
        <v>1</v>
      </c>
      <c r="CJ1954">
        <v>2</v>
      </c>
      <c r="CK1954">
        <v>21</v>
      </c>
      <c r="CL1954" t="s">
        <v>89</v>
      </c>
    </row>
    <row r="1955" spans="1:90" x14ac:dyDescent="0.3">
      <c r="A1955" t="s">
        <v>72</v>
      </c>
      <c r="B1955" t="s">
        <v>73</v>
      </c>
      <c r="C1955" t="s">
        <v>74</v>
      </c>
      <c r="E1955" t="str">
        <f>"080065415019"</f>
        <v>080065415019</v>
      </c>
      <c r="F1955" s="3">
        <v>45793</v>
      </c>
      <c r="G1955">
        <v>202602</v>
      </c>
      <c r="H1955" t="s">
        <v>75</v>
      </c>
      <c r="I1955" t="s">
        <v>76</v>
      </c>
      <c r="J1955" t="s">
        <v>77</v>
      </c>
      <c r="K1955" t="s">
        <v>78</v>
      </c>
      <c r="L1955" t="s">
        <v>136</v>
      </c>
      <c r="M1955" t="s">
        <v>137</v>
      </c>
      <c r="N1955" t="s">
        <v>886</v>
      </c>
      <c r="O1955" t="s">
        <v>82</v>
      </c>
      <c r="P1955" t="str">
        <f>"4170039102                    "</f>
        <v xml:space="preserve">4170039102                    </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0</v>
      </c>
      <c r="AJ1955">
        <v>0</v>
      </c>
      <c r="AK1955">
        <v>0</v>
      </c>
      <c r="AL1955">
        <v>0</v>
      </c>
      <c r="AM1955">
        <v>0</v>
      </c>
      <c r="AN1955">
        <v>0</v>
      </c>
      <c r="AO1955">
        <v>0</v>
      </c>
      <c r="AP1955">
        <v>0</v>
      </c>
      <c r="AQ1955">
        <v>21.38</v>
      </c>
      <c r="AR1955">
        <v>0</v>
      </c>
      <c r="AS1955">
        <v>0</v>
      </c>
      <c r="AT1955">
        <v>0</v>
      </c>
      <c r="AU1955">
        <v>0</v>
      </c>
      <c r="AV1955">
        <v>0</v>
      </c>
      <c r="AW1955">
        <v>0</v>
      </c>
      <c r="AX1955">
        <v>0</v>
      </c>
      <c r="AY1955">
        <v>0</v>
      </c>
      <c r="AZ1955">
        <v>0</v>
      </c>
      <c r="BA1955">
        <v>0</v>
      </c>
      <c r="BB1955">
        <v>0</v>
      </c>
      <c r="BC1955">
        <v>0</v>
      </c>
      <c r="BD1955">
        <v>0</v>
      </c>
      <c r="BE1955">
        <v>0</v>
      </c>
      <c r="BF1955">
        <v>0</v>
      </c>
      <c r="BG1955">
        <v>0</v>
      </c>
      <c r="BH1955">
        <v>1</v>
      </c>
      <c r="BI1955">
        <v>1</v>
      </c>
      <c r="BJ1955">
        <v>0.2</v>
      </c>
      <c r="BK1955">
        <v>1</v>
      </c>
      <c r="BL1955">
        <v>69.98</v>
      </c>
      <c r="BM1955">
        <v>10.5</v>
      </c>
      <c r="BN1955">
        <v>80.48</v>
      </c>
      <c r="BO1955">
        <v>80.48</v>
      </c>
      <c r="BQ1955" t="s">
        <v>887</v>
      </c>
      <c r="BR1955" t="s">
        <v>84</v>
      </c>
      <c r="BS1955" s="3">
        <v>45796</v>
      </c>
      <c r="BT1955" s="4">
        <v>0.3972222222222222</v>
      </c>
      <c r="BU1955" t="s">
        <v>2449</v>
      </c>
      <c r="BV1955" t="s">
        <v>86</v>
      </c>
      <c r="BY1955">
        <v>1200</v>
      </c>
      <c r="CC1955" t="s">
        <v>137</v>
      </c>
      <c r="CD1955" s="5" t="s">
        <v>738</v>
      </c>
      <c r="CE1955" t="s">
        <v>88</v>
      </c>
      <c r="CF1955" s="3">
        <v>45796</v>
      </c>
      <c r="CI1955">
        <v>1</v>
      </c>
      <c r="CJ1955">
        <v>1</v>
      </c>
      <c r="CK1955">
        <v>21</v>
      </c>
      <c r="CL1955" t="s">
        <v>89</v>
      </c>
    </row>
    <row r="1956" spans="1:90" x14ac:dyDescent="0.3">
      <c r="A1956" t="s">
        <v>72</v>
      </c>
      <c r="B1956" t="s">
        <v>73</v>
      </c>
      <c r="C1956" t="s">
        <v>74</v>
      </c>
      <c r="E1956" t="str">
        <f>"080065415051"</f>
        <v>080065415051</v>
      </c>
      <c r="F1956" s="3">
        <v>45793</v>
      </c>
      <c r="G1956">
        <v>202602</v>
      </c>
      <c r="H1956" t="s">
        <v>75</v>
      </c>
      <c r="I1956" t="s">
        <v>76</v>
      </c>
      <c r="J1956" t="s">
        <v>77</v>
      </c>
      <c r="K1956" t="s">
        <v>78</v>
      </c>
      <c r="L1956" t="s">
        <v>130</v>
      </c>
      <c r="M1956" t="s">
        <v>131</v>
      </c>
      <c r="N1956" t="s">
        <v>665</v>
      </c>
      <c r="O1956" t="s">
        <v>82</v>
      </c>
      <c r="P1956" t="str">
        <f>"4170039086                    "</f>
        <v xml:space="preserve">4170039086                    </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c r="AJ1956">
        <v>0</v>
      </c>
      <c r="AK1956">
        <v>0</v>
      </c>
      <c r="AL1956">
        <v>0</v>
      </c>
      <c r="AM1956">
        <v>0</v>
      </c>
      <c r="AN1956">
        <v>0</v>
      </c>
      <c r="AO1956">
        <v>0</v>
      </c>
      <c r="AP1956">
        <v>0</v>
      </c>
      <c r="AQ1956">
        <v>21.38</v>
      </c>
      <c r="AR1956">
        <v>0</v>
      </c>
      <c r="AS1956">
        <v>0</v>
      </c>
      <c r="AT1956">
        <v>0</v>
      </c>
      <c r="AU1956">
        <v>0</v>
      </c>
      <c r="AV1956">
        <v>0</v>
      </c>
      <c r="AW1956">
        <v>0</v>
      </c>
      <c r="AX1956">
        <v>0</v>
      </c>
      <c r="AY1956">
        <v>0</v>
      </c>
      <c r="AZ1956">
        <v>0</v>
      </c>
      <c r="BA1956">
        <v>0</v>
      </c>
      <c r="BB1956">
        <v>0</v>
      </c>
      <c r="BC1956">
        <v>0</v>
      </c>
      <c r="BD1956">
        <v>0</v>
      </c>
      <c r="BE1956">
        <v>0</v>
      </c>
      <c r="BF1956">
        <v>0</v>
      </c>
      <c r="BG1956">
        <v>0</v>
      </c>
      <c r="BH1956">
        <v>1</v>
      </c>
      <c r="BI1956">
        <v>1</v>
      </c>
      <c r="BJ1956">
        <v>0.2</v>
      </c>
      <c r="BK1956">
        <v>1</v>
      </c>
      <c r="BL1956">
        <v>69.98</v>
      </c>
      <c r="BM1956">
        <v>10.5</v>
      </c>
      <c r="BN1956">
        <v>80.48</v>
      </c>
      <c r="BO1956">
        <v>80.48</v>
      </c>
      <c r="BQ1956" t="s">
        <v>666</v>
      </c>
      <c r="BR1956" t="s">
        <v>84</v>
      </c>
      <c r="BS1956" s="3">
        <v>45797</v>
      </c>
      <c r="BT1956" s="4">
        <v>0.39652777777777776</v>
      </c>
      <c r="BU1956" t="s">
        <v>1051</v>
      </c>
      <c r="BV1956" t="s">
        <v>89</v>
      </c>
      <c r="BW1956" t="s">
        <v>340</v>
      </c>
      <c r="BX1956" t="s">
        <v>341</v>
      </c>
      <c r="BY1956">
        <v>1200</v>
      </c>
      <c r="CA1956" t="s">
        <v>389</v>
      </c>
      <c r="CC1956" t="s">
        <v>131</v>
      </c>
      <c r="CD1956">
        <v>7535</v>
      </c>
      <c r="CE1956" t="s">
        <v>88</v>
      </c>
      <c r="CF1956" s="3">
        <v>45798</v>
      </c>
      <c r="CI1956">
        <v>1</v>
      </c>
      <c r="CJ1956">
        <v>2</v>
      </c>
      <c r="CK1956">
        <v>21</v>
      </c>
      <c r="CL1956" t="s">
        <v>89</v>
      </c>
    </row>
    <row r="1957" spans="1:90" x14ac:dyDescent="0.3">
      <c r="A1957" t="s">
        <v>72</v>
      </c>
      <c r="B1957" t="s">
        <v>73</v>
      </c>
      <c r="C1957" t="s">
        <v>74</v>
      </c>
      <c r="E1957" t="str">
        <f>"080065415074"</f>
        <v>080065415074</v>
      </c>
      <c r="F1957" s="3">
        <v>45793</v>
      </c>
      <c r="G1957">
        <v>202602</v>
      </c>
      <c r="H1957" t="s">
        <v>75</v>
      </c>
      <c r="I1957" t="s">
        <v>76</v>
      </c>
      <c r="J1957" t="s">
        <v>77</v>
      </c>
      <c r="K1957" t="s">
        <v>78</v>
      </c>
      <c r="L1957" t="s">
        <v>567</v>
      </c>
      <c r="M1957" t="s">
        <v>568</v>
      </c>
      <c r="N1957" t="s">
        <v>1770</v>
      </c>
      <c r="O1957" t="s">
        <v>82</v>
      </c>
      <c r="P1957" t="str">
        <f>"4170038938                    "</f>
        <v xml:space="preserve">4170038938                    </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c r="AI1957">
        <v>0</v>
      </c>
      <c r="AJ1957">
        <v>0</v>
      </c>
      <c r="AK1957">
        <v>0</v>
      </c>
      <c r="AL1957">
        <v>0</v>
      </c>
      <c r="AM1957">
        <v>0</v>
      </c>
      <c r="AN1957">
        <v>0</v>
      </c>
      <c r="AO1957">
        <v>0</v>
      </c>
      <c r="AP1957">
        <v>0</v>
      </c>
      <c r="AQ1957">
        <v>41.43</v>
      </c>
      <c r="AR1957">
        <v>0</v>
      </c>
      <c r="AS1957">
        <v>0</v>
      </c>
      <c r="AT1957">
        <v>0</v>
      </c>
      <c r="AU1957">
        <v>0</v>
      </c>
      <c r="AV1957">
        <v>0</v>
      </c>
      <c r="AW1957">
        <v>0</v>
      </c>
      <c r="AX1957">
        <v>0</v>
      </c>
      <c r="AY1957">
        <v>0</v>
      </c>
      <c r="AZ1957">
        <v>0</v>
      </c>
      <c r="BA1957">
        <v>0</v>
      </c>
      <c r="BB1957">
        <v>0</v>
      </c>
      <c r="BC1957">
        <v>0</v>
      </c>
      <c r="BD1957">
        <v>0</v>
      </c>
      <c r="BE1957">
        <v>0</v>
      </c>
      <c r="BF1957">
        <v>0</v>
      </c>
      <c r="BG1957">
        <v>0</v>
      </c>
      <c r="BH1957">
        <v>1</v>
      </c>
      <c r="BI1957">
        <v>1</v>
      </c>
      <c r="BJ1957">
        <v>1.1000000000000001</v>
      </c>
      <c r="BK1957">
        <v>1.5</v>
      </c>
      <c r="BL1957">
        <v>135.59</v>
      </c>
      <c r="BM1957">
        <v>20.34</v>
      </c>
      <c r="BN1957">
        <v>155.93</v>
      </c>
      <c r="BO1957">
        <v>155.93</v>
      </c>
      <c r="BQ1957" t="s">
        <v>1771</v>
      </c>
      <c r="BR1957" t="s">
        <v>84</v>
      </c>
      <c r="BS1957" s="3">
        <v>45796</v>
      </c>
      <c r="BT1957" s="4">
        <v>0.43125000000000002</v>
      </c>
      <c r="BU1957" t="s">
        <v>2450</v>
      </c>
      <c r="BV1957" t="s">
        <v>86</v>
      </c>
      <c r="BY1957">
        <v>5320</v>
      </c>
      <c r="CA1957" t="s">
        <v>572</v>
      </c>
      <c r="CC1957" t="s">
        <v>568</v>
      </c>
      <c r="CD1957" s="5" t="s">
        <v>573</v>
      </c>
      <c r="CE1957" t="s">
        <v>116</v>
      </c>
      <c r="CF1957" s="3">
        <v>45797</v>
      </c>
      <c r="CI1957">
        <v>1</v>
      </c>
      <c r="CJ1957">
        <v>1</v>
      </c>
      <c r="CK1957">
        <v>23</v>
      </c>
      <c r="CL1957" t="s">
        <v>89</v>
      </c>
    </row>
    <row r="1958" spans="1:90" x14ac:dyDescent="0.3">
      <c r="A1958" t="s">
        <v>72</v>
      </c>
      <c r="B1958" t="s">
        <v>73</v>
      </c>
      <c r="C1958" t="s">
        <v>74</v>
      </c>
      <c r="E1958" t="str">
        <f>"080065415097"</f>
        <v>080065415097</v>
      </c>
      <c r="F1958" s="3">
        <v>45793</v>
      </c>
      <c r="G1958">
        <v>202602</v>
      </c>
      <c r="H1958" t="s">
        <v>75</v>
      </c>
      <c r="I1958" t="s">
        <v>76</v>
      </c>
      <c r="J1958" t="s">
        <v>77</v>
      </c>
      <c r="K1958" t="s">
        <v>78</v>
      </c>
      <c r="L1958" t="s">
        <v>177</v>
      </c>
      <c r="M1958" t="s">
        <v>178</v>
      </c>
      <c r="N1958" t="s">
        <v>393</v>
      </c>
      <c r="O1958" t="s">
        <v>82</v>
      </c>
      <c r="P1958" t="str">
        <f>"4170039030                    "</f>
        <v xml:space="preserve">4170039030                    </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c r="AJ1958">
        <v>0</v>
      </c>
      <c r="AK1958">
        <v>0</v>
      </c>
      <c r="AL1958">
        <v>0</v>
      </c>
      <c r="AM1958">
        <v>0</v>
      </c>
      <c r="AN1958">
        <v>0</v>
      </c>
      <c r="AO1958">
        <v>0</v>
      </c>
      <c r="AP1958">
        <v>0</v>
      </c>
      <c r="AQ1958">
        <v>21.38</v>
      </c>
      <c r="AR1958">
        <v>0</v>
      </c>
      <c r="AS1958">
        <v>0</v>
      </c>
      <c r="AT1958">
        <v>0</v>
      </c>
      <c r="AU1958">
        <v>0</v>
      </c>
      <c r="AV1958">
        <v>0</v>
      </c>
      <c r="AW1958">
        <v>0</v>
      </c>
      <c r="AX1958">
        <v>0</v>
      </c>
      <c r="AY1958">
        <v>0</v>
      </c>
      <c r="AZ1958">
        <v>0</v>
      </c>
      <c r="BA1958">
        <v>0</v>
      </c>
      <c r="BB1958">
        <v>0</v>
      </c>
      <c r="BC1958">
        <v>0</v>
      </c>
      <c r="BD1958">
        <v>0</v>
      </c>
      <c r="BE1958">
        <v>0</v>
      </c>
      <c r="BF1958">
        <v>0</v>
      </c>
      <c r="BG1958">
        <v>0</v>
      </c>
      <c r="BH1958">
        <v>1</v>
      </c>
      <c r="BI1958">
        <v>1</v>
      </c>
      <c r="BJ1958">
        <v>1.1000000000000001</v>
      </c>
      <c r="BK1958">
        <v>1.5</v>
      </c>
      <c r="BL1958">
        <v>69.98</v>
      </c>
      <c r="BM1958">
        <v>10.5</v>
      </c>
      <c r="BN1958">
        <v>80.48</v>
      </c>
      <c r="BO1958">
        <v>80.48</v>
      </c>
      <c r="BQ1958" t="s">
        <v>394</v>
      </c>
      <c r="BR1958" t="s">
        <v>84</v>
      </c>
      <c r="BS1958" s="3">
        <v>45796</v>
      </c>
      <c r="BT1958" s="4">
        <v>0.33680555555555558</v>
      </c>
      <c r="BU1958" t="s">
        <v>2345</v>
      </c>
      <c r="BV1958" t="s">
        <v>86</v>
      </c>
      <c r="BY1958">
        <v>5320</v>
      </c>
      <c r="CC1958" t="s">
        <v>178</v>
      </c>
      <c r="CD1958">
        <v>6230</v>
      </c>
      <c r="CE1958" t="s">
        <v>116</v>
      </c>
      <c r="CF1958" s="3">
        <v>45796</v>
      </c>
      <c r="CI1958">
        <v>1</v>
      </c>
      <c r="CJ1958">
        <v>1</v>
      </c>
      <c r="CK1958">
        <v>21</v>
      </c>
      <c r="CL1958" t="s">
        <v>89</v>
      </c>
    </row>
    <row r="1959" spans="1:90" x14ac:dyDescent="0.3">
      <c r="A1959" t="s">
        <v>72</v>
      </c>
      <c r="B1959" t="s">
        <v>73</v>
      </c>
      <c r="C1959" t="s">
        <v>74</v>
      </c>
      <c r="E1959" t="str">
        <f>"080065415129"</f>
        <v>080065415129</v>
      </c>
      <c r="F1959" s="3">
        <v>45793</v>
      </c>
      <c r="G1959">
        <v>202602</v>
      </c>
      <c r="H1959" t="s">
        <v>75</v>
      </c>
      <c r="I1959" t="s">
        <v>76</v>
      </c>
      <c r="J1959" t="s">
        <v>77</v>
      </c>
      <c r="K1959" t="s">
        <v>78</v>
      </c>
      <c r="L1959" t="s">
        <v>130</v>
      </c>
      <c r="M1959" t="s">
        <v>131</v>
      </c>
      <c r="N1959" t="s">
        <v>343</v>
      </c>
      <c r="O1959" t="s">
        <v>82</v>
      </c>
      <c r="P1959" t="str">
        <f>"4170039098                    "</f>
        <v xml:space="preserve">4170039098                    </v>
      </c>
      <c r="Q1959">
        <v>0</v>
      </c>
      <c r="R1959">
        <v>0</v>
      </c>
      <c r="S1959">
        <v>0</v>
      </c>
      <c r="T1959">
        <v>0</v>
      </c>
      <c r="U1959">
        <v>0</v>
      </c>
      <c r="V1959">
        <v>0</v>
      </c>
      <c r="W1959">
        <v>0</v>
      </c>
      <c r="X1959">
        <v>0</v>
      </c>
      <c r="Y1959">
        <v>0</v>
      </c>
      <c r="Z1959">
        <v>0</v>
      </c>
      <c r="AA1959">
        <v>0</v>
      </c>
      <c r="AB1959">
        <v>0</v>
      </c>
      <c r="AC1959">
        <v>0</v>
      </c>
      <c r="AD1959">
        <v>0</v>
      </c>
      <c r="AE1959">
        <v>0</v>
      </c>
      <c r="AF1959">
        <v>0</v>
      </c>
      <c r="AG1959">
        <v>0</v>
      </c>
      <c r="AH1959">
        <v>0</v>
      </c>
      <c r="AI1959">
        <v>0</v>
      </c>
      <c r="AJ1959">
        <v>0</v>
      </c>
      <c r="AK1959">
        <v>0</v>
      </c>
      <c r="AL1959">
        <v>0</v>
      </c>
      <c r="AM1959">
        <v>0</v>
      </c>
      <c r="AN1959">
        <v>0</v>
      </c>
      <c r="AO1959">
        <v>0</v>
      </c>
      <c r="AP1959">
        <v>0</v>
      </c>
      <c r="AQ1959">
        <v>21.38</v>
      </c>
      <c r="AR1959">
        <v>0</v>
      </c>
      <c r="AS1959">
        <v>0</v>
      </c>
      <c r="AT1959">
        <v>0</v>
      </c>
      <c r="AU1959">
        <v>0</v>
      </c>
      <c r="AV1959">
        <v>0</v>
      </c>
      <c r="AW1959">
        <v>0</v>
      </c>
      <c r="AX1959">
        <v>0</v>
      </c>
      <c r="AY1959">
        <v>0</v>
      </c>
      <c r="AZ1959">
        <v>0</v>
      </c>
      <c r="BA1959">
        <v>0</v>
      </c>
      <c r="BB1959">
        <v>0</v>
      </c>
      <c r="BC1959">
        <v>0</v>
      </c>
      <c r="BD1959">
        <v>0</v>
      </c>
      <c r="BE1959">
        <v>0</v>
      </c>
      <c r="BF1959">
        <v>0</v>
      </c>
      <c r="BG1959">
        <v>0</v>
      </c>
      <c r="BH1959">
        <v>1</v>
      </c>
      <c r="BI1959">
        <v>1</v>
      </c>
      <c r="BJ1959">
        <v>1.1000000000000001</v>
      </c>
      <c r="BK1959">
        <v>1.5</v>
      </c>
      <c r="BL1959">
        <v>69.98</v>
      </c>
      <c r="BM1959">
        <v>10.5</v>
      </c>
      <c r="BN1959">
        <v>80.48</v>
      </c>
      <c r="BO1959">
        <v>80.48</v>
      </c>
      <c r="BQ1959" t="s">
        <v>344</v>
      </c>
      <c r="BR1959" t="s">
        <v>84</v>
      </c>
      <c r="BS1959" s="3">
        <v>45796</v>
      </c>
      <c r="BT1959" s="4">
        <v>0.4201388888888889</v>
      </c>
      <c r="BU1959" t="s">
        <v>1427</v>
      </c>
      <c r="BV1959" t="s">
        <v>86</v>
      </c>
      <c r="BY1959">
        <v>5320</v>
      </c>
      <c r="CC1959" t="s">
        <v>131</v>
      </c>
      <c r="CD1959">
        <v>7441</v>
      </c>
      <c r="CE1959" t="s">
        <v>96</v>
      </c>
      <c r="CF1959" s="3">
        <v>45797</v>
      </c>
      <c r="CI1959">
        <v>1</v>
      </c>
      <c r="CJ1959">
        <v>1</v>
      </c>
      <c r="CK1959">
        <v>21</v>
      </c>
      <c r="CL1959" t="s">
        <v>89</v>
      </c>
    </row>
    <row r="1960" spans="1:90" x14ac:dyDescent="0.3">
      <c r="A1960" t="s">
        <v>72</v>
      </c>
      <c r="B1960" t="s">
        <v>73</v>
      </c>
      <c r="C1960" t="s">
        <v>74</v>
      </c>
      <c r="E1960" t="str">
        <f>"080065415156"</f>
        <v>080065415156</v>
      </c>
      <c r="F1960" s="3">
        <v>45793</v>
      </c>
      <c r="G1960">
        <v>202602</v>
      </c>
      <c r="H1960" t="s">
        <v>75</v>
      </c>
      <c r="I1960" t="s">
        <v>76</v>
      </c>
      <c r="J1960" t="s">
        <v>77</v>
      </c>
      <c r="K1960" t="s">
        <v>78</v>
      </c>
      <c r="L1960" t="s">
        <v>331</v>
      </c>
      <c r="M1960" t="s">
        <v>332</v>
      </c>
      <c r="N1960" t="s">
        <v>499</v>
      </c>
      <c r="O1960" t="s">
        <v>82</v>
      </c>
      <c r="P1960" t="str">
        <f>"4170039095                    "</f>
        <v xml:space="preserve">4170039095                    </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c r="AJ1960">
        <v>0</v>
      </c>
      <c r="AK1960">
        <v>0</v>
      </c>
      <c r="AL1960">
        <v>0</v>
      </c>
      <c r="AM1960">
        <v>0</v>
      </c>
      <c r="AN1960">
        <v>0</v>
      </c>
      <c r="AO1960">
        <v>0</v>
      </c>
      <c r="AP1960">
        <v>0</v>
      </c>
      <c r="AQ1960">
        <v>16.7</v>
      </c>
      <c r="AR1960">
        <v>0</v>
      </c>
      <c r="AS1960">
        <v>0</v>
      </c>
      <c r="AT1960">
        <v>0</v>
      </c>
      <c r="AU1960">
        <v>0</v>
      </c>
      <c r="AV1960">
        <v>0</v>
      </c>
      <c r="AW1960">
        <v>0</v>
      </c>
      <c r="AX1960">
        <v>0</v>
      </c>
      <c r="AY1960">
        <v>0</v>
      </c>
      <c r="AZ1960">
        <v>0</v>
      </c>
      <c r="BA1960">
        <v>0</v>
      </c>
      <c r="BB1960">
        <v>0</v>
      </c>
      <c r="BC1960">
        <v>0</v>
      </c>
      <c r="BD1960">
        <v>0</v>
      </c>
      <c r="BE1960">
        <v>0</v>
      </c>
      <c r="BF1960">
        <v>0</v>
      </c>
      <c r="BG1960">
        <v>0</v>
      </c>
      <c r="BH1960">
        <v>1</v>
      </c>
      <c r="BI1960">
        <v>1</v>
      </c>
      <c r="BJ1960">
        <v>0.9</v>
      </c>
      <c r="BK1960">
        <v>1</v>
      </c>
      <c r="BL1960">
        <v>54.66</v>
      </c>
      <c r="BM1960">
        <v>8.1999999999999993</v>
      </c>
      <c r="BN1960">
        <v>62.86</v>
      </c>
      <c r="BO1960">
        <v>62.86</v>
      </c>
      <c r="BQ1960" t="s">
        <v>500</v>
      </c>
      <c r="BR1960" t="s">
        <v>84</v>
      </c>
      <c r="BS1960" s="3">
        <v>45797</v>
      </c>
      <c r="BT1960" s="4">
        <v>0.40069444444444446</v>
      </c>
      <c r="BU1960" t="s">
        <v>1185</v>
      </c>
      <c r="BV1960" t="s">
        <v>89</v>
      </c>
      <c r="BW1960" t="s">
        <v>148</v>
      </c>
      <c r="BX1960" t="s">
        <v>1382</v>
      </c>
      <c r="BY1960">
        <v>4560</v>
      </c>
      <c r="CA1960" t="s">
        <v>336</v>
      </c>
      <c r="CC1960" t="s">
        <v>332</v>
      </c>
      <c r="CD1960">
        <v>1451</v>
      </c>
      <c r="CE1960" t="s">
        <v>96</v>
      </c>
      <c r="CF1960" s="3">
        <v>45797</v>
      </c>
      <c r="CI1960">
        <v>1</v>
      </c>
      <c r="CJ1960">
        <v>2</v>
      </c>
      <c r="CK1960">
        <v>22</v>
      </c>
      <c r="CL1960" t="s">
        <v>89</v>
      </c>
    </row>
    <row r="1961" spans="1:90" x14ac:dyDescent="0.3">
      <c r="A1961" t="s">
        <v>72</v>
      </c>
      <c r="B1961" t="s">
        <v>73</v>
      </c>
      <c r="C1961" t="s">
        <v>74</v>
      </c>
      <c r="E1961" t="str">
        <f>"080065415225"</f>
        <v>080065415225</v>
      </c>
      <c r="F1961" s="3">
        <v>45793</v>
      </c>
      <c r="G1961">
        <v>202602</v>
      </c>
      <c r="H1961" t="s">
        <v>75</v>
      </c>
      <c r="I1961" t="s">
        <v>76</v>
      </c>
      <c r="J1961" t="s">
        <v>77</v>
      </c>
      <c r="K1961" t="s">
        <v>78</v>
      </c>
      <c r="L1961" t="s">
        <v>90</v>
      </c>
      <c r="M1961" t="s">
        <v>91</v>
      </c>
      <c r="N1961" t="s">
        <v>2138</v>
      </c>
      <c r="O1961" t="s">
        <v>82</v>
      </c>
      <c r="P1961" t="str">
        <f>"4170038996                    "</f>
        <v xml:space="preserve">4170038996                    </v>
      </c>
      <c r="Q1961">
        <v>0</v>
      </c>
      <c r="R1961">
        <v>0</v>
      </c>
      <c r="S1961">
        <v>0</v>
      </c>
      <c r="T1961">
        <v>0</v>
      </c>
      <c r="U1961">
        <v>0</v>
      </c>
      <c r="V1961">
        <v>0</v>
      </c>
      <c r="W1961">
        <v>0</v>
      </c>
      <c r="X1961">
        <v>0</v>
      </c>
      <c r="Y1961">
        <v>0</v>
      </c>
      <c r="Z1961">
        <v>0</v>
      </c>
      <c r="AA1961">
        <v>0</v>
      </c>
      <c r="AB1961">
        <v>0</v>
      </c>
      <c r="AC1961">
        <v>0</v>
      </c>
      <c r="AD1961">
        <v>0</v>
      </c>
      <c r="AE1961">
        <v>0</v>
      </c>
      <c r="AF1961">
        <v>0</v>
      </c>
      <c r="AG1961">
        <v>0</v>
      </c>
      <c r="AH1961">
        <v>0</v>
      </c>
      <c r="AI1961">
        <v>0</v>
      </c>
      <c r="AJ1961">
        <v>0</v>
      </c>
      <c r="AK1961">
        <v>0</v>
      </c>
      <c r="AL1961">
        <v>0</v>
      </c>
      <c r="AM1961">
        <v>0</v>
      </c>
      <c r="AN1961">
        <v>0</v>
      </c>
      <c r="AO1961">
        <v>0</v>
      </c>
      <c r="AP1961">
        <v>0</v>
      </c>
      <c r="AQ1961">
        <v>96.17</v>
      </c>
      <c r="AR1961">
        <v>0</v>
      </c>
      <c r="AS1961">
        <v>0</v>
      </c>
      <c r="AT1961">
        <v>0</v>
      </c>
      <c r="AU1961">
        <v>0</v>
      </c>
      <c r="AV1961">
        <v>0</v>
      </c>
      <c r="AW1961">
        <v>0</v>
      </c>
      <c r="AX1961">
        <v>0</v>
      </c>
      <c r="AY1961">
        <v>0</v>
      </c>
      <c r="AZ1961">
        <v>0</v>
      </c>
      <c r="BA1961">
        <v>0</v>
      </c>
      <c r="BB1961">
        <v>0</v>
      </c>
      <c r="BC1961">
        <v>0</v>
      </c>
      <c r="BD1961">
        <v>0</v>
      </c>
      <c r="BE1961">
        <v>0</v>
      </c>
      <c r="BF1961">
        <v>0</v>
      </c>
      <c r="BG1961">
        <v>0</v>
      </c>
      <c r="BH1961">
        <v>1</v>
      </c>
      <c r="BI1961">
        <v>6</v>
      </c>
      <c r="BJ1961">
        <v>8.8000000000000007</v>
      </c>
      <c r="BK1961">
        <v>9</v>
      </c>
      <c r="BL1961">
        <v>314.73</v>
      </c>
      <c r="BM1961">
        <v>47.21</v>
      </c>
      <c r="BN1961">
        <v>361.94</v>
      </c>
      <c r="BO1961">
        <v>361.94</v>
      </c>
      <c r="BQ1961" t="s">
        <v>2139</v>
      </c>
      <c r="BR1961" t="s">
        <v>84</v>
      </c>
      <c r="BS1961" s="3">
        <v>45796</v>
      </c>
      <c r="BT1961" s="4">
        <v>0.41180555555555554</v>
      </c>
      <c r="BU1961" t="s">
        <v>2451</v>
      </c>
      <c r="BV1961" t="s">
        <v>86</v>
      </c>
      <c r="BY1961">
        <v>44080</v>
      </c>
      <c r="CA1961" t="s">
        <v>271</v>
      </c>
      <c r="CC1961" t="s">
        <v>91</v>
      </c>
      <c r="CD1961">
        <v>6001</v>
      </c>
      <c r="CE1961" t="s">
        <v>221</v>
      </c>
      <c r="CF1961" s="3">
        <v>45796</v>
      </c>
      <c r="CI1961">
        <v>1</v>
      </c>
      <c r="CJ1961">
        <v>1</v>
      </c>
      <c r="CK1961">
        <v>21</v>
      </c>
      <c r="CL1961" t="s">
        <v>89</v>
      </c>
    </row>
    <row r="1962" spans="1:90" x14ac:dyDescent="0.3">
      <c r="A1962" t="s">
        <v>72</v>
      </c>
      <c r="B1962" t="s">
        <v>73</v>
      </c>
      <c r="C1962" t="s">
        <v>74</v>
      </c>
      <c r="E1962" t="str">
        <f>"080065415188"</f>
        <v>080065415188</v>
      </c>
      <c r="F1962" s="3">
        <v>45793</v>
      </c>
      <c r="G1962">
        <v>202602</v>
      </c>
      <c r="H1962" t="s">
        <v>75</v>
      </c>
      <c r="I1962" t="s">
        <v>76</v>
      </c>
      <c r="J1962" t="s">
        <v>77</v>
      </c>
      <c r="K1962" t="s">
        <v>78</v>
      </c>
      <c r="L1962" t="s">
        <v>75</v>
      </c>
      <c r="M1962" t="s">
        <v>76</v>
      </c>
      <c r="N1962" t="s">
        <v>112</v>
      </c>
      <c r="O1962" t="s">
        <v>82</v>
      </c>
      <c r="P1962" t="str">
        <f>"4170039077                    "</f>
        <v xml:space="preserve">4170039077                    </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c r="AJ1962">
        <v>0</v>
      </c>
      <c r="AK1962">
        <v>0</v>
      </c>
      <c r="AL1962">
        <v>0</v>
      </c>
      <c r="AM1962">
        <v>0</v>
      </c>
      <c r="AN1962">
        <v>0</v>
      </c>
      <c r="AO1962">
        <v>0</v>
      </c>
      <c r="AP1962">
        <v>0</v>
      </c>
      <c r="AQ1962">
        <v>16.7</v>
      </c>
      <c r="AR1962">
        <v>0</v>
      </c>
      <c r="AS1962">
        <v>0</v>
      </c>
      <c r="AT1962">
        <v>0</v>
      </c>
      <c r="AU1962">
        <v>0</v>
      </c>
      <c r="AV1962">
        <v>0</v>
      </c>
      <c r="AW1962">
        <v>0</v>
      </c>
      <c r="AX1962">
        <v>0</v>
      </c>
      <c r="AY1962">
        <v>0</v>
      </c>
      <c r="AZ1962">
        <v>0</v>
      </c>
      <c r="BA1962">
        <v>0</v>
      </c>
      <c r="BB1962">
        <v>0</v>
      </c>
      <c r="BC1962">
        <v>0</v>
      </c>
      <c r="BD1962">
        <v>0</v>
      </c>
      <c r="BE1962">
        <v>0</v>
      </c>
      <c r="BF1962">
        <v>0</v>
      </c>
      <c r="BG1962">
        <v>0</v>
      </c>
      <c r="BH1962">
        <v>1</v>
      </c>
      <c r="BI1962">
        <v>1</v>
      </c>
      <c r="BJ1962">
        <v>1.1000000000000001</v>
      </c>
      <c r="BK1962">
        <v>2</v>
      </c>
      <c r="BL1962">
        <v>54.66</v>
      </c>
      <c r="BM1962">
        <v>8.1999999999999993</v>
      </c>
      <c r="BN1962">
        <v>62.86</v>
      </c>
      <c r="BO1962">
        <v>62.86</v>
      </c>
      <c r="BQ1962" t="s">
        <v>113</v>
      </c>
      <c r="BR1962" t="s">
        <v>84</v>
      </c>
      <c r="BS1962" s="3">
        <v>45796</v>
      </c>
      <c r="BT1962" s="4">
        <v>0.40833333333333333</v>
      </c>
      <c r="BU1962" t="s">
        <v>2359</v>
      </c>
      <c r="BV1962" t="s">
        <v>86</v>
      </c>
      <c r="BY1962">
        <v>5320</v>
      </c>
      <c r="CA1962" t="s">
        <v>2360</v>
      </c>
      <c r="CC1962" t="s">
        <v>76</v>
      </c>
      <c r="CD1962">
        <v>1624</v>
      </c>
      <c r="CE1962" t="s">
        <v>96</v>
      </c>
      <c r="CF1962" s="3">
        <v>45797</v>
      </c>
      <c r="CI1962">
        <v>1</v>
      </c>
      <c r="CJ1962">
        <v>1</v>
      </c>
      <c r="CK1962">
        <v>22</v>
      </c>
      <c r="CL1962" t="s">
        <v>89</v>
      </c>
    </row>
    <row r="1963" spans="1:90" x14ac:dyDescent="0.3">
      <c r="A1963" t="s">
        <v>72</v>
      </c>
      <c r="B1963" t="s">
        <v>73</v>
      </c>
      <c r="C1963" t="s">
        <v>74</v>
      </c>
      <c r="E1963" t="str">
        <f>"080065415251"</f>
        <v>080065415251</v>
      </c>
      <c r="F1963" s="3">
        <v>45793</v>
      </c>
      <c r="G1963">
        <v>202602</v>
      </c>
      <c r="H1963" t="s">
        <v>75</v>
      </c>
      <c r="I1963" t="s">
        <v>76</v>
      </c>
      <c r="J1963" t="s">
        <v>77</v>
      </c>
      <c r="K1963" t="s">
        <v>78</v>
      </c>
      <c r="L1963" t="s">
        <v>130</v>
      </c>
      <c r="M1963" t="s">
        <v>131</v>
      </c>
      <c r="N1963" t="s">
        <v>327</v>
      </c>
      <c r="O1963" t="s">
        <v>82</v>
      </c>
      <c r="P1963" t="str">
        <f>"4170038926                    "</f>
        <v xml:space="preserve">4170038926                    </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0</v>
      </c>
      <c r="AL1963">
        <v>0</v>
      </c>
      <c r="AM1963">
        <v>0</v>
      </c>
      <c r="AN1963">
        <v>0</v>
      </c>
      <c r="AO1963">
        <v>0</v>
      </c>
      <c r="AP1963">
        <v>0</v>
      </c>
      <c r="AQ1963">
        <v>21.38</v>
      </c>
      <c r="AR1963">
        <v>0</v>
      </c>
      <c r="AS1963">
        <v>0</v>
      </c>
      <c r="AT1963">
        <v>0</v>
      </c>
      <c r="AU1963">
        <v>0</v>
      </c>
      <c r="AV1963">
        <v>0</v>
      </c>
      <c r="AW1963">
        <v>0</v>
      </c>
      <c r="AX1963">
        <v>0</v>
      </c>
      <c r="AY1963">
        <v>0</v>
      </c>
      <c r="AZ1963">
        <v>0</v>
      </c>
      <c r="BA1963">
        <v>0</v>
      </c>
      <c r="BB1963">
        <v>0</v>
      </c>
      <c r="BC1963">
        <v>0</v>
      </c>
      <c r="BD1963">
        <v>0</v>
      </c>
      <c r="BE1963">
        <v>0</v>
      </c>
      <c r="BF1963">
        <v>0</v>
      </c>
      <c r="BG1963">
        <v>0</v>
      </c>
      <c r="BH1963">
        <v>1</v>
      </c>
      <c r="BI1963">
        <v>1</v>
      </c>
      <c r="BJ1963">
        <v>1.1000000000000001</v>
      </c>
      <c r="BK1963">
        <v>1.5</v>
      </c>
      <c r="BL1963">
        <v>69.98</v>
      </c>
      <c r="BM1963">
        <v>10.5</v>
      </c>
      <c r="BN1963">
        <v>80.48</v>
      </c>
      <c r="BO1963">
        <v>80.48</v>
      </c>
      <c r="BQ1963" t="s">
        <v>328</v>
      </c>
      <c r="BR1963" t="s">
        <v>84</v>
      </c>
      <c r="BS1963" s="3">
        <v>45796</v>
      </c>
      <c r="BT1963" s="4">
        <v>0.35555555555555557</v>
      </c>
      <c r="BU1963" t="s">
        <v>2452</v>
      </c>
      <c r="BV1963" t="s">
        <v>86</v>
      </c>
      <c r="BY1963">
        <v>5320</v>
      </c>
      <c r="CA1963" t="s">
        <v>330</v>
      </c>
      <c r="CC1963" t="s">
        <v>131</v>
      </c>
      <c r="CD1963">
        <v>7480</v>
      </c>
      <c r="CE1963" t="s">
        <v>96</v>
      </c>
      <c r="CF1963" s="3">
        <v>45797</v>
      </c>
      <c r="CI1963">
        <v>1</v>
      </c>
      <c r="CJ1963">
        <v>1</v>
      </c>
      <c r="CK1963">
        <v>21</v>
      </c>
      <c r="CL1963" t="s">
        <v>89</v>
      </c>
    </row>
    <row r="1964" spans="1:90" x14ac:dyDescent="0.3">
      <c r="A1964" t="s">
        <v>72</v>
      </c>
      <c r="B1964" t="s">
        <v>73</v>
      </c>
      <c r="C1964" t="s">
        <v>74</v>
      </c>
      <c r="E1964" t="str">
        <f>"080065415290"</f>
        <v>080065415290</v>
      </c>
      <c r="F1964" s="3">
        <v>45793</v>
      </c>
      <c r="G1964">
        <v>202602</v>
      </c>
      <c r="H1964" t="s">
        <v>75</v>
      </c>
      <c r="I1964" t="s">
        <v>76</v>
      </c>
      <c r="J1964" t="s">
        <v>77</v>
      </c>
      <c r="K1964" t="s">
        <v>78</v>
      </c>
      <c r="L1964" t="s">
        <v>130</v>
      </c>
      <c r="M1964" t="s">
        <v>131</v>
      </c>
      <c r="N1964" t="s">
        <v>709</v>
      </c>
      <c r="O1964" t="s">
        <v>82</v>
      </c>
      <c r="P1964" t="str">
        <f>"4170039078                    "</f>
        <v xml:space="preserve">4170039078                    </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0</v>
      </c>
      <c r="AL1964">
        <v>0</v>
      </c>
      <c r="AM1964">
        <v>0</v>
      </c>
      <c r="AN1964">
        <v>0</v>
      </c>
      <c r="AO1964">
        <v>0</v>
      </c>
      <c r="AP1964">
        <v>0</v>
      </c>
      <c r="AQ1964">
        <v>42.75</v>
      </c>
      <c r="AR1964">
        <v>0</v>
      </c>
      <c r="AS1964">
        <v>0</v>
      </c>
      <c r="AT1964">
        <v>0</v>
      </c>
      <c r="AU1964">
        <v>0</v>
      </c>
      <c r="AV1964">
        <v>0</v>
      </c>
      <c r="AW1964">
        <v>0</v>
      </c>
      <c r="AX1964">
        <v>0</v>
      </c>
      <c r="AY1964">
        <v>0</v>
      </c>
      <c r="AZ1964">
        <v>0</v>
      </c>
      <c r="BA1964">
        <v>0</v>
      </c>
      <c r="BB1964">
        <v>0</v>
      </c>
      <c r="BC1964">
        <v>0</v>
      </c>
      <c r="BD1964">
        <v>0</v>
      </c>
      <c r="BE1964">
        <v>0</v>
      </c>
      <c r="BF1964">
        <v>0</v>
      </c>
      <c r="BG1964">
        <v>0</v>
      </c>
      <c r="BH1964">
        <v>1</v>
      </c>
      <c r="BI1964">
        <v>4</v>
      </c>
      <c r="BJ1964">
        <v>1.1000000000000001</v>
      </c>
      <c r="BK1964">
        <v>4</v>
      </c>
      <c r="BL1964">
        <v>139.91</v>
      </c>
      <c r="BM1964">
        <v>20.99</v>
      </c>
      <c r="BN1964">
        <v>160.9</v>
      </c>
      <c r="BO1964">
        <v>160.9</v>
      </c>
      <c r="BQ1964" t="s">
        <v>710</v>
      </c>
      <c r="BR1964" t="s">
        <v>84</v>
      </c>
      <c r="BS1964" s="3">
        <v>45796</v>
      </c>
      <c r="BT1964" s="4">
        <v>0.35625000000000001</v>
      </c>
      <c r="BU1964" t="s">
        <v>711</v>
      </c>
      <c r="BV1964" t="s">
        <v>86</v>
      </c>
      <c r="BY1964">
        <v>5600</v>
      </c>
      <c r="CA1964" t="s">
        <v>712</v>
      </c>
      <c r="CC1964" t="s">
        <v>131</v>
      </c>
      <c r="CD1964">
        <v>7530</v>
      </c>
      <c r="CE1964" t="s">
        <v>221</v>
      </c>
      <c r="CF1964" s="3">
        <v>45797</v>
      </c>
      <c r="CI1964">
        <v>1</v>
      </c>
      <c r="CJ1964">
        <v>1</v>
      </c>
      <c r="CK1964">
        <v>21</v>
      </c>
      <c r="CL1964" t="s">
        <v>89</v>
      </c>
    </row>
    <row r="1965" spans="1:90" x14ac:dyDescent="0.3">
      <c r="A1965" t="s">
        <v>72</v>
      </c>
      <c r="B1965" t="s">
        <v>73</v>
      </c>
      <c r="C1965" t="s">
        <v>74</v>
      </c>
      <c r="E1965" t="str">
        <f>"080065415323"</f>
        <v>080065415323</v>
      </c>
      <c r="F1965" s="3">
        <v>45793</v>
      </c>
      <c r="G1965">
        <v>202602</v>
      </c>
      <c r="H1965" t="s">
        <v>75</v>
      </c>
      <c r="I1965" t="s">
        <v>76</v>
      </c>
      <c r="J1965" t="s">
        <v>77</v>
      </c>
      <c r="K1965" t="s">
        <v>78</v>
      </c>
      <c r="L1965" t="s">
        <v>75</v>
      </c>
      <c r="M1965" t="s">
        <v>76</v>
      </c>
      <c r="N1965" t="s">
        <v>1263</v>
      </c>
      <c r="O1965" t="s">
        <v>82</v>
      </c>
      <c r="P1965" t="str">
        <f>"4170038899                    "</f>
        <v xml:space="preserve">4170038899                    </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c r="AJ1965">
        <v>0</v>
      </c>
      <c r="AK1965">
        <v>0</v>
      </c>
      <c r="AL1965">
        <v>0</v>
      </c>
      <c r="AM1965">
        <v>0</v>
      </c>
      <c r="AN1965">
        <v>0</v>
      </c>
      <c r="AO1965">
        <v>0</v>
      </c>
      <c r="AP1965">
        <v>0</v>
      </c>
      <c r="AQ1965">
        <v>16.7</v>
      </c>
      <c r="AR1965">
        <v>0</v>
      </c>
      <c r="AS1965">
        <v>0</v>
      </c>
      <c r="AT1965">
        <v>0</v>
      </c>
      <c r="AU1965">
        <v>0</v>
      </c>
      <c r="AV1965">
        <v>0</v>
      </c>
      <c r="AW1965">
        <v>0</v>
      </c>
      <c r="AX1965">
        <v>0</v>
      </c>
      <c r="AY1965">
        <v>0</v>
      </c>
      <c r="AZ1965">
        <v>0</v>
      </c>
      <c r="BA1965">
        <v>0</v>
      </c>
      <c r="BB1965">
        <v>0</v>
      </c>
      <c r="BC1965">
        <v>0</v>
      </c>
      <c r="BD1965">
        <v>0</v>
      </c>
      <c r="BE1965">
        <v>0</v>
      </c>
      <c r="BF1965">
        <v>0</v>
      </c>
      <c r="BG1965">
        <v>0</v>
      </c>
      <c r="BH1965">
        <v>1</v>
      </c>
      <c r="BI1965">
        <v>5</v>
      </c>
      <c r="BJ1965">
        <v>5.2</v>
      </c>
      <c r="BK1965">
        <v>6</v>
      </c>
      <c r="BL1965">
        <v>54.66</v>
      </c>
      <c r="BM1965">
        <v>8.1999999999999993</v>
      </c>
      <c r="BN1965">
        <v>62.86</v>
      </c>
      <c r="BO1965">
        <v>62.86</v>
      </c>
      <c r="BQ1965" t="s">
        <v>1264</v>
      </c>
      <c r="BR1965" t="s">
        <v>84</v>
      </c>
      <c r="BS1965" s="3">
        <v>45796</v>
      </c>
      <c r="BT1965" s="4">
        <v>0.30694444444444446</v>
      </c>
      <c r="BU1965" t="s">
        <v>2422</v>
      </c>
      <c r="BV1965" t="s">
        <v>86</v>
      </c>
      <c r="BY1965">
        <v>26208</v>
      </c>
      <c r="CA1965" t="s">
        <v>2360</v>
      </c>
      <c r="CC1965" t="s">
        <v>76</v>
      </c>
      <c r="CD1965">
        <v>1619</v>
      </c>
      <c r="CE1965" t="s">
        <v>221</v>
      </c>
      <c r="CF1965" s="3">
        <v>45797</v>
      </c>
      <c r="CI1965">
        <v>1</v>
      </c>
      <c r="CJ1965">
        <v>1</v>
      </c>
      <c r="CK1965">
        <v>22</v>
      </c>
      <c r="CL1965" t="s">
        <v>89</v>
      </c>
    </row>
    <row r="1966" spans="1:90" x14ac:dyDescent="0.3">
      <c r="A1966" t="s">
        <v>72</v>
      </c>
      <c r="B1966" t="s">
        <v>73</v>
      </c>
      <c r="C1966" t="s">
        <v>74</v>
      </c>
      <c r="E1966" t="str">
        <f>"080065415354"</f>
        <v>080065415354</v>
      </c>
      <c r="F1966" s="3">
        <v>45793</v>
      </c>
      <c r="G1966">
        <v>202602</v>
      </c>
      <c r="H1966" t="s">
        <v>75</v>
      </c>
      <c r="I1966" t="s">
        <v>76</v>
      </c>
      <c r="J1966" t="s">
        <v>77</v>
      </c>
      <c r="K1966" t="s">
        <v>78</v>
      </c>
      <c r="L1966" t="s">
        <v>90</v>
      </c>
      <c r="M1966" t="s">
        <v>91</v>
      </c>
      <c r="N1966" t="s">
        <v>543</v>
      </c>
      <c r="O1966" t="s">
        <v>82</v>
      </c>
      <c r="P1966" t="str">
        <f>"4170039031                    "</f>
        <v xml:space="preserve">4170039031                    </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c r="AJ1966">
        <v>0</v>
      </c>
      <c r="AK1966">
        <v>0</v>
      </c>
      <c r="AL1966">
        <v>0</v>
      </c>
      <c r="AM1966">
        <v>0</v>
      </c>
      <c r="AN1966">
        <v>0</v>
      </c>
      <c r="AO1966">
        <v>0</v>
      </c>
      <c r="AP1966">
        <v>0</v>
      </c>
      <c r="AQ1966">
        <v>21.38</v>
      </c>
      <c r="AR1966">
        <v>0</v>
      </c>
      <c r="AS1966">
        <v>0</v>
      </c>
      <c r="AT1966">
        <v>0</v>
      </c>
      <c r="AU1966">
        <v>0</v>
      </c>
      <c r="AV1966">
        <v>0</v>
      </c>
      <c r="AW1966">
        <v>0</v>
      </c>
      <c r="AX1966">
        <v>0</v>
      </c>
      <c r="AY1966">
        <v>0</v>
      </c>
      <c r="AZ1966">
        <v>0</v>
      </c>
      <c r="BA1966">
        <v>0</v>
      </c>
      <c r="BB1966">
        <v>0</v>
      </c>
      <c r="BC1966">
        <v>0</v>
      </c>
      <c r="BD1966">
        <v>0</v>
      </c>
      <c r="BE1966">
        <v>0</v>
      </c>
      <c r="BF1966">
        <v>0</v>
      </c>
      <c r="BG1966">
        <v>0</v>
      </c>
      <c r="BH1966">
        <v>1</v>
      </c>
      <c r="BI1966">
        <v>2</v>
      </c>
      <c r="BJ1966">
        <v>1.5</v>
      </c>
      <c r="BK1966">
        <v>2</v>
      </c>
      <c r="BL1966">
        <v>69.98</v>
      </c>
      <c r="BM1966">
        <v>10.5</v>
      </c>
      <c r="BN1966">
        <v>80.48</v>
      </c>
      <c r="BO1966">
        <v>80.48</v>
      </c>
      <c r="BQ1966" t="s">
        <v>544</v>
      </c>
      <c r="BR1966" t="s">
        <v>84</v>
      </c>
      <c r="BS1966" s="3">
        <v>45796</v>
      </c>
      <c r="BT1966" s="4">
        <v>0.38750000000000001</v>
      </c>
      <c r="BU1966" t="s">
        <v>1713</v>
      </c>
      <c r="BV1966" t="s">
        <v>86</v>
      </c>
      <c r="BY1966">
        <v>7600</v>
      </c>
      <c r="CA1966" t="s">
        <v>283</v>
      </c>
      <c r="CC1966" t="s">
        <v>91</v>
      </c>
      <c r="CD1966">
        <v>6001</v>
      </c>
      <c r="CE1966" t="s">
        <v>221</v>
      </c>
      <c r="CF1966" s="3">
        <v>45796</v>
      </c>
      <c r="CI1966">
        <v>1</v>
      </c>
      <c r="CJ1966">
        <v>1</v>
      </c>
      <c r="CK1966">
        <v>21</v>
      </c>
      <c r="CL1966" t="s">
        <v>89</v>
      </c>
    </row>
    <row r="1967" spans="1:90" x14ac:dyDescent="0.3">
      <c r="A1967" t="s">
        <v>72</v>
      </c>
      <c r="B1967" t="s">
        <v>73</v>
      </c>
      <c r="C1967" t="s">
        <v>74</v>
      </c>
      <c r="E1967" t="str">
        <f>"080065415469"</f>
        <v>080065415469</v>
      </c>
      <c r="F1967" s="3">
        <v>45793</v>
      </c>
      <c r="G1967">
        <v>202602</v>
      </c>
      <c r="H1967" t="s">
        <v>75</v>
      </c>
      <c r="I1967" t="s">
        <v>76</v>
      </c>
      <c r="J1967" t="s">
        <v>77</v>
      </c>
      <c r="K1967" t="s">
        <v>78</v>
      </c>
      <c r="L1967" t="s">
        <v>259</v>
      </c>
      <c r="M1967" t="s">
        <v>260</v>
      </c>
      <c r="N1967" t="s">
        <v>2453</v>
      </c>
      <c r="O1967" t="s">
        <v>300</v>
      </c>
      <c r="P1967" t="str">
        <f>"4170039100                    "</f>
        <v xml:space="preserve">4170039100                    </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0</v>
      </c>
      <c r="AL1967">
        <v>0</v>
      </c>
      <c r="AM1967">
        <v>0</v>
      </c>
      <c r="AN1967">
        <v>0</v>
      </c>
      <c r="AO1967">
        <v>0</v>
      </c>
      <c r="AP1967">
        <v>0</v>
      </c>
      <c r="AQ1967">
        <v>58.32</v>
      </c>
      <c r="AR1967">
        <v>0</v>
      </c>
      <c r="AS1967">
        <v>0</v>
      </c>
      <c r="AT1967">
        <v>0</v>
      </c>
      <c r="AU1967">
        <v>0</v>
      </c>
      <c r="AV1967">
        <v>0</v>
      </c>
      <c r="AW1967">
        <v>16.739999999999998</v>
      </c>
      <c r="AX1967">
        <v>0</v>
      </c>
      <c r="AY1967">
        <v>0</v>
      </c>
      <c r="AZ1967">
        <v>0</v>
      </c>
      <c r="BA1967">
        <v>0</v>
      </c>
      <c r="BB1967">
        <v>0</v>
      </c>
      <c r="BC1967">
        <v>0</v>
      </c>
      <c r="BD1967">
        <v>0</v>
      </c>
      <c r="BE1967">
        <v>0</v>
      </c>
      <c r="BF1967">
        <v>0</v>
      </c>
      <c r="BG1967">
        <v>0</v>
      </c>
      <c r="BH1967">
        <v>1</v>
      </c>
      <c r="BI1967">
        <v>3</v>
      </c>
      <c r="BJ1967">
        <v>5.3</v>
      </c>
      <c r="BK1967">
        <v>6</v>
      </c>
      <c r="BL1967">
        <v>213.18</v>
      </c>
      <c r="BM1967">
        <v>31.98</v>
      </c>
      <c r="BN1967">
        <v>245.16</v>
      </c>
      <c r="BO1967">
        <v>245.16</v>
      </c>
      <c r="BQ1967" t="s">
        <v>2454</v>
      </c>
      <c r="BR1967" t="s">
        <v>84</v>
      </c>
      <c r="BS1967" s="3">
        <v>45796</v>
      </c>
      <c r="BT1967" s="4">
        <v>0.48194444444444445</v>
      </c>
      <c r="BU1967" t="s">
        <v>2455</v>
      </c>
      <c r="BV1967" t="s">
        <v>86</v>
      </c>
      <c r="BY1967">
        <v>26588</v>
      </c>
      <c r="BZ1967" t="s">
        <v>30</v>
      </c>
      <c r="CC1967" t="s">
        <v>260</v>
      </c>
      <c r="CD1967" s="5" t="s">
        <v>2456</v>
      </c>
      <c r="CE1967" t="s">
        <v>221</v>
      </c>
      <c r="CF1967" s="3">
        <v>45796</v>
      </c>
      <c r="CI1967">
        <v>1</v>
      </c>
      <c r="CJ1967">
        <v>1</v>
      </c>
      <c r="CK1967">
        <v>43</v>
      </c>
      <c r="CL1967" t="s">
        <v>89</v>
      </c>
    </row>
    <row r="1968" spans="1:90" x14ac:dyDescent="0.3">
      <c r="A1968" t="s">
        <v>72</v>
      </c>
      <c r="B1968" t="s">
        <v>73</v>
      </c>
      <c r="C1968" t="s">
        <v>74</v>
      </c>
      <c r="E1968" t="str">
        <f>"080011517619"</f>
        <v>080011517619</v>
      </c>
      <c r="F1968" s="3">
        <v>45793</v>
      </c>
      <c r="G1968">
        <v>202602</v>
      </c>
      <c r="H1968" t="s">
        <v>130</v>
      </c>
      <c r="I1968" t="s">
        <v>131</v>
      </c>
      <c r="J1968" t="s">
        <v>2457</v>
      </c>
      <c r="K1968" t="s">
        <v>78</v>
      </c>
      <c r="L1968" t="s">
        <v>75</v>
      </c>
      <c r="M1968" t="s">
        <v>76</v>
      </c>
      <c r="N1968" t="s">
        <v>1035</v>
      </c>
      <c r="O1968" t="s">
        <v>82</v>
      </c>
      <c r="P1968" t="str">
        <f>"ZA1001086384                  "</f>
        <v xml:space="preserve">ZA1001086384                  </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c r="AJ1968">
        <v>0</v>
      </c>
      <c r="AK1968">
        <v>0</v>
      </c>
      <c r="AL1968">
        <v>0</v>
      </c>
      <c r="AM1968">
        <v>0</v>
      </c>
      <c r="AN1968">
        <v>0</v>
      </c>
      <c r="AO1968">
        <v>0</v>
      </c>
      <c r="AP1968">
        <v>0</v>
      </c>
      <c r="AQ1968">
        <v>21.38</v>
      </c>
      <c r="AR1968">
        <v>0</v>
      </c>
      <c r="AS1968">
        <v>0</v>
      </c>
      <c r="AT1968">
        <v>0</v>
      </c>
      <c r="AU1968">
        <v>0</v>
      </c>
      <c r="AV1968">
        <v>0</v>
      </c>
      <c r="AW1968">
        <v>0</v>
      </c>
      <c r="AX1968">
        <v>0</v>
      </c>
      <c r="AY1968">
        <v>0</v>
      </c>
      <c r="AZ1968">
        <v>0</v>
      </c>
      <c r="BA1968">
        <v>0</v>
      </c>
      <c r="BB1968">
        <v>0</v>
      </c>
      <c r="BC1968">
        <v>0</v>
      </c>
      <c r="BD1968">
        <v>0</v>
      </c>
      <c r="BE1968">
        <v>0</v>
      </c>
      <c r="BF1968">
        <v>0</v>
      </c>
      <c r="BG1968">
        <v>0</v>
      </c>
      <c r="BH1968">
        <v>1</v>
      </c>
      <c r="BI1968">
        <v>0.6</v>
      </c>
      <c r="BJ1968">
        <v>0.6</v>
      </c>
      <c r="BK1968">
        <v>1</v>
      </c>
      <c r="BL1968">
        <v>69.98</v>
      </c>
      <c r="BM1968">
        <v>10.5</v>
      </c>
      <c r="BN1968">
        <v>80.48</v>
      </c>
      <c r="BO1968">
        <v>80.48</v>
      </c>
      <c r="BP1968" t="s">
        <v>1540</v>
      </c>
      <c r="BQ1968" t="s">
        <v>1037</v>
      </c>
      <c r="BR1968" t="s">
        <v>2458</v>
      </c>
      <c r="BS1968" s="3">
        <v>45796</v>
      </c>
      <c r="BT1968" s="4">
        <v>0.38958333333333334</v>
      </c>
      <c r="BU1968" t="s">
        <v>1039</v>
      </c>
      <c r="BV1968" t="s">
        <v>86</v>
      </c>
      <c r="BY1968">
        <v>2924</v>
      </c>
      <c r="BZ1968" t="s">
        <v>127</v>
      </c>
      <c r="CA1968" t="s">
        <v>484</v>
      </c>
      <c r="CC1968" t="s">
        <v>76</v>
      </c>
      <c r="CD1968">
        <v>1619</v>
      </c>
      <c r="CE1968" t="s">
        <v>1904</v>
      </c>
      <c r="CF1968" s="3">
        <v>45796</v>
      </c>
      <c r="CI1968">
        <v>1</v>
      </c>
      <c r="CJ1968">
        <v>1</v>
      </c>
      <c r="CK1968">
        <v>21</v>
      </c>
      <c r="CL1968" t="s">
        <v>89</v>
      </c>
    </row>
    <row r="1969" spans="1:90" x14ac:dyDescent="0.3">
      <c r="A1969" t="s">
        <v>72</v>
      </c>
      <c r="B1969" t="s">
        <v>73</v>
      </c>
      <c r="C1969" t="s">
        <v>74</v>
      </c>
      <c r="E1969" t="str">
        <f>"080011517814"</f>
        <v>080011517814</v>
      </c>
      <c r="F1969" s="3">
        <v>45793</v>
      </c>
      <c r="G1969">
        <v>202602</v>
      </c>
      <c r="H1969" t="s">
        <v>136</v>
      </c>
      <c r="I1969" t="s">
        <v>137</v>
      </c>
      <c r="J1969" t="s">
        <v>2459</v>
      </c>
      <c r="K1969" t="s">
        <v>78</v>
      </c>
      <c r="L1969" t="s">
        <v>75</v>
      </c>
      <c r="M1969" t="s">
        <v>76</v>
      </c>
      <c r="N1969" t="s">
        <v>1035</v>
      </c>
      <c r="O1969" t="s">
        <v>82</v>
      </c>
      <c r="P1969" t="str">
        <f>"ZA1001383320                  "</f>
        <v xml:space="preserve">ZA1001383320                  </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0</v>
      </c>
      <c r="AL1969">
        <v>0</v>
      </c>
      <c r="AM1969">
        <v>0</v>
      </c>
      <c r="AN1969">
        <v>0</v>
      </c>
      <c r="AO1969">
        <v>0</v>
      </c>
      <c r="AP1969">
        <v>0</v>
      </c>
      <c r="AQ1969">
        <v>21.38</v>
      </c>
      <c r="AR1969">
        <v>0</v>
      </c>
      <c r="AS1969">
        <v>0</v>
      </c>
      <c r="AT1969">
        <v>0</v>
      </c>
      <c r="AU1969">
        <v>0</v>
      </c>
      <c r="AV1969">
        <v>0</v>
      </c>
      <c r="AW1969">
        <v>0</v>
      </c>
      <c r="AX1969">
        <v>0</v>
      </c>
      <c r="AY1969">
        <v>0</v>
      </c>
      <c r="AZ1969">
        <v>0</v>
      </c>
      <c r="BA1969">
        <v>0</v>
      </c>
      <c r="BB1969">
        <v>0</v>
      </c>
      <c r="BC1969">
        <v>0</v>
      </c>
      <c r="BD1969">
        <v>0</v>
      </c>
      <c r="BE1969">
        <v>0</v>
      </c>
      <c r="BF1969">
        <v>0</v>
      </c>
      <c r="BG1969">
        <v>0</v>
      </c>
      <c r="BH1969">
        <v>1</v>
      </c>
      <c r="BI1969">
        <v>1</v>
      </c>
      <c r="BJ1969">
        <v>0.2</v>
      </c>
      <c r="BK1969">
        <v>1</v>
      </c>
      <c r="BL1969">
        <v>69.98</v>
      </c>
      <c r="BM1969">
        <v>10.5</v>
      </c>
      <c r="BN1969">
        <v>80.48</v>
      </c>
      <c r="BO1969">
        <v>80.48</v>
      </c>
      <c r="BP1969" t="s">
        <v>1540</v>
      </c>
      <c r="BQ1969" t="s">
        <v>1037</v>
      </c>
      <c r="BR1969" t="s">
        <v>2460</v>
      </c>
      <c r="BS1969" s="3">
        <v>45796</v>
      </c>
      <c r="BT1969" s="4">
        <v>0.38958333333333334</v>
      </c>
      <c r="BU1969" t="s">
        <v>1039</v>
      </c>
      <c r="BV1969" t="s">
        <v>86</v>
      </c>
      <c r="BY1969">
        <v>1200</v>
      </c>
      <c r="BZ1969" t="s">
        <v>127</v>
      </c>
      <c r="CA1969" t="s">
        <v>484</v>
      </c>
      <c r="CC1969" t="s">
        <v>76</v>
      </c>
      <c r="CD1969">
        <v>1619</v>
      </c>
      <c r="CE1969" t="s">
        <v>1904</v>
      </c>
      <c r="CF1969" s="3">
        <v>45796</v>
      </c>
      <c r="CI1969">
        <v>1</v>
      </c>
      <c r="CJ1969">
        <v>1</v>
      </c>
      <c r="CK1969">
        <v>21</v>
      </c>
      <c r="CL1969" t="s">
        <v>89</v>
      </c>
    </row>
    <row r="1970" spans="1:90" x14ac:dyDescent="0.3">
      <c r="A1970" t="s">
        <v>72</v>
      </c>
      <c r="B1970" t="s">
        <v>73</v>
      </c>
      <c r="C1970" t="s">
        <v>74</v>
      </c>
      <c r="E1970" t="str">
        <f>"080065415660"</f>
        <v>080065415660</v>
      </c>
      <c r="F1970" s="3">
        <v>45793</v>
      </c>
      <c r="G1970">
        <v>202602</v>
      </c>
      <c r="H1970" t="s">
        <v>75</v>
      </c>
      <c r="I1970" t="s">
        <v>76</v>
      </c>
      <c r="J1970" t="s">
        <v>77</v>
      </c>
      <c r="K1970" t="s">
        <v>78</v>
      </c>
      <c r="L1970" t="s">
        <v>624</v>
      </c>
      <c r="M1970" t="s">
        <v>625</v>
      </c>
      <c r="N1970" t="s">
        <v>626</v>
      </c>
      <c r="O1970" t="s">
        <v>300</v>
      </c>
      <c r="P1970" t="str">
        <f>"4170039083                    "</f>
        <v xml:space="preserve">4170039083                    </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0</v>
      </c>
      <c r="AL1970">
        <v>0</v>
      </c>
      <c r="AM1970">
        <v>0</v>
      </c>
      <c r="AN1970">
        <v>0</v>
      </c>
      <c r="AO1970">
        <v>0</v>
      </c>
      <c r="AP1970">
        <v>0</v>
      </c>
      <c r="AQ1970">
        <v>58.32</v>
      </c>
      <c r="AR1970">
        <v>0</v>
      </c>
      <c r="AS1970">
        <v>0</v>
      </c>
      <c r="AT1970">
        <v>0</v>
      </c>
      <c r="AU1970">
        <v>0</v>
      </c>
      <c r="AV1970">
        <v>0</v>
      </c>
      <c r="AW1970">
        <v>0</v>
      </c>
      <c r="AX1970">
        <v>0</v>
      </c>
      <c r="AY1970">
        <v>0</v>
      </c>
      <c r="AZ1970">
        <v>0</v>
      </c>
      <c r="BA1970">
        <v>0</v>
      </c>
      <c r="BB1970">
        <v>0</v>
      </c>
      <c r="BC1970">
        <v>0</v>
      </c>
      <c r="BD1970">
        <v>0</v>
      </c>
      <c r="BE1970">
        <v>0</v>
      </c>
      <c r="BF1970">
        <v>0</v>
      </c>
      <c r="BG1970">
        <v>0</v>
      </c>
      <c r="BH1970">
        <v>1</v>
      </c>
      <c r="BI1970">
        <v>7</v>
      </c>
      <c r="BJ1970">
        <v>8.1</v>
      </c>
      <c r="BK1970">
        <v>9</v>
      </c>
      <c r="BL1970">
        <v>196.44</v>
      </c>
      <c r="BM1970">
        <v>29.47</v>
      </c>
      <c r="BN1970">
        <v>225.91</v>
      </c>
      <c r="BO1970">
        <v>225.91</v>
      </c>
      <c r="BQ1970" t="s">
        <v>627</v>
      </c>
      <c r="BR1970" t="s">
        <v>84</v>
      </c>
      <c r="BS1970" s="3">
        <v>45796</v>
      </c>
      <c r="BT1970" s="4">
        <v>0.33611111111111114</v>
      </c>
      <c r="BU1970" t="s">
        <v>1674</v>
      </c>
      <c r="BV1970" t="s">
        <v>86</v>
      </c>
      <c r="BY1970">
        <v>40560</v>
      </c>
      <c r="CC1970" t="s">
        <v>625</v>
      </c>
      <c r="CD1970">
        <v>1947</v>
      </c>
      <c r="CE1970" t="s">
        <v>96</v>
      </c>
      <c r="CF1970" s="3">
        <v>45796</v>
      </c>
      <c r="CI1970">
        <v>1</v>
      </c>
      <c r="CJ1970">
        <v>1</v>
      </c>
      <c r="CK1970">
        <v>43</v>
      </c>
      <c r="CL1970" t="s">
        <v>89</v>
      </c>
    </row>
    <row r="1971" spans="1:90" x14ac:dyDescent="0.3">
      <c r="A1971" t="s">
        <v>72</v>
      </c>
      <c r="B1971" t="s">
        <v>73</v>
      </c>
      <c r="C1971" t="s">
        <v>74</v>
      </c>
      <c r="E1971" t="str">
        <f>"080065415699"</f>
        <v>080065415699</v>
      </c>
      <c r="F1971" s="3">
        <v>45793</v>
      </c>
      <c r="G1971">
        <v>202602</v>
      </c>
      <c r="H1971" t="s">
        <v>75</v>
      </c>
      <c r="I1971" t="s">
        <v>76</v>
      </c>
      <c r="J1971" t="s">
        <v>77</v>
      </c>
      <c r="K1971" t="s">
        <v>78</v>
      </c>
      <c r="L1971" t="s">
        <v>79</v>
      </c>
      <c r="M1971" t="s">
        <v>80</v>
      </c>
      <c r="N1971" t="s">
        <v>1111</v>
      </c>
      <c r="O1971" t="s">
        <v>82</v>
      </c>
      <c r="P1971" t="str">
        <f>"4170039074                    "</f>
        <v xml:space="preserve">4170039074                    </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c r="AJ1971">
        <v>0</v>
      </c>
      <c r="AK1971">
        <v>0</v>
      </c>
      <c r="AL1971">
        <v>0</v>
      </c>
      <c r="AM1971">
        <v>0</v>
      </c>
      <c r="AN1971">
        <v>0</v>
      </c>
      <c r="AO1971">
        <v>0</v>
      </c>
      <c r="AP1971">
        <v>0</v>
      </c>
      <c r="AQ1971">
        <v>192.32</v>
      </c>
      <c r="AR1971">
        <v>0</v>
      </c>
      <c r="AS1971">
        <v>0</v>
      </c>
      <c r="AT1971">
        <v>0</v>
      </c>
      <c r="AU1971">
        <v>0</v>
      </c>
      <c r="AV1971">
        <v>0</v>
      </c>
      <c r="AW1971">
        <v>0</v>
      </c>
      <c r="AX1971">
        <v>0</v>
      </c>
      <c r="AY1971">
        <v>0</v>
      </c>
      <c r="AZ1971">
        <v>0</v>
      </c>
      <c r="BA1971">
        <v>0</v>
      </c>
      <c r="BB1971">
        <v>0</v>
      </c>
      <c r="BC1971">
        <v>0</v>
      </c>
      <c r="BD1971">
        <v>0</v>
      </c>
      <c r="BE1971">
        <v>0</v>
      </c>
      <c r="BF1971">
        <v>0</v>
      </c>
      <c r="BG1971">
        <v>0</v>
      </c>
      <c r="BH1971">
        <v>2</v>
      </c>
      <c r="BI1971">
        <v>18</v>
      </c>
      <c r="BJ1971">
        <v>11.1</v>
      </c>
      <c r="BK1971">
        <v>18</v>
      </c>
      <c r="BL1971">
        <v>629.4</v>
      </c>
      <c r="BM1971">
        <v>94.41</v>
      </c>
      <c r="BN1971">
        <v>723.81</v>
      </c>
      <c r="BO1971">
        <v>723.81</v>
      </c>
      <c r="BQ1971" t="s">
        <v>1112</v>
      </c>
      <c r="BR1971" t="s">
        <v>84</v>
      </c>
      <c r="BS1971" s="3">
        <v>45796</v>
      </c>
      <c r="BT1971" s="4">
        <v>0.51527777777777772</v>
      </c>
      <c r="BU1971" t="s">
        <v>571</v>
      </c>
      <c r="BV1971" t="s">
        <v>86</v>
      </c>
      <c r="BY1971">
        <v>55432</v>
      </c>
      <c r="CA1971" t="s">
        <v>160</v>
      </c>
      <c r="CC1971" t="s">
        <v>80</v>
      </c>
      <c r="CD1971">
        <v>3610</v>
      </c>
      <c r="CE1971" t="s">
        <v>221</v>
      </c>
      <c r="CF1971" s="3">
        <v>45796</v>
      </c>
      <c r="CI1971">
        <v>1</v>
      </c>
      <c r="CJ1971">
        <v>1</v>
      </c>
      <c r="CK1971">
        <v>21</v>
      </c>
      <c r="CL1971" t="s">
        <v>89</v>
      </c>
    </row>
    <row r="1972" spans="1:90" x14ac:dyDescent="0.3">
      <c r="A1972" t="s">
        <v>72</v>
      </c>
      <c r="B1972" t="s">
        <v>73</v>
      </c>
      <c r="C1972" t="s">
        <v>74</v>
      </c>
      <c r="E1972" t="str">
        <f>"080065415896"</f>
        <v>080065415896</v>
      </c>
      <c r="F1972" s="3">
        <v>45793</v>
      </c>
      <c r="G1972">
        <v>202602</v>
      </c>
      <c r="H1972" t="s">
        <v>75</v>
      </c>
      <c r="I1972" t="s">
        <v>76</v>
      </c>
      <c r="J1972" t="s">
        <v>77</v>
      </c>
      <c r="K1972" t="s">
        <v>78</v>
      </c>
      <c r="L1972" t="s">
        <v>232</v>
      </c>
      <c r="M1972" t="s">
        <v>233</v>
      </c>
      <c r="N1972" t="s">
        <v>1108</v>
      </c>
      <c r="O1972" t="s">
        <v>82</v>
      </c>
      <c r="P1972" t="str">
        <f>"4170039087                    "</f>
        <v xml:space="preserve">4170039087                    </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c r="AJ1972">
        <v>0</v>
      </c>
      <c r="AK1972">
        <v>0</v>
      </c>
      <c r="AL1972">
        <v>0</v>
      </c>
      <c r="AM1972">
        <v>0</v>
      </c>
      <c r="AN1972">
        <v>0</v>
      </c>
      <c r="AO1972">
        <v>0</v>
      </c>
      <c r="AP1972">
        <v>0</v>
      </c>
      <c r="AQ1972">
        <v>21.38</v>
      </c>
      <c r="AR1972">
        <v>0</v>
      </c>
      <c r="AS1972">
        <v>0</v>
      </c>
      <c r="AT1972">
        <v>0</v>
      </c>
      <c r="AU1972">
        <v>0</v>
      </c>
      <c r="AV1972">
        <v>0</v>
      </c>
      <c r="AW1972">
        <v>0</v>
      </c>
      <c r="AX1972">
        <v>0</v>
      </c>
      <c r="AY1972">
        <v>0</v>
      </c>
      <c r="AZ1972">
        <v>0</v>
      </c>
      <c r="BA1972">
        <v>0</v>
      </c>
      <c r="BB1972">
        <v>0</v>
      </c>
      <c r="BC1972">
        <v>0</v>
      </c>
      <c r="BD1972">
        <v>0</v>
      </c>
      <c r="BE1972">
        <v>0</v>
      </c>
      <c r="BF1972">
        <v>0</v>
      </c>
      <c r="BG1972">
        <v>0</v>
      </c>
      <c r="BH1972">
        <v>1</v>
      </c>
      <c r="BI1972">
        <v>2</v>
      </c>
      <c r="BJ1972">
        <v>0.9</v>
      </c>
      <c r="BK1972">
        <v>2</v>
      </c>
      <c r="BL1972">
        <v>69.98</v>
      </c>
      <c r="BM1972">
        <v>10.5</v>
      </c>
      <c r="BN1972">
        <v>80.48</v>
      </c>
      <c r="BO1972">
        <v>80.48</v>
      </c>
      <c r="BQ1972" t="s">
        <v>1109</v>
      </c>
      <c r="BR1972" t="s">
        <v>84</v>
      </c>
      <c r="BS1972" s="3">
        <v>45796</v>
      </c>
      <c r="BT1972" s="4">
        <v>0.4375</v>
      </c>
      <c r="BU1972" t="s">
        <v>2368</v>
      </c>
      <c r="BV1972" t="s">
        <v>86</v>
      </c>
      <c r="BY1972">
        <v>4256</v>
      </c>
      <c r="CA1972" t="s">
        <v>2369</v>
      </c>
      <c r="CC1972" t="s">
        <v>233</v>
      </c>
      <c r="CD1972" s="5" t="s">
        <v>238</v>
      </c>
      <c r="CE1972" t="s">
        <v>96</v>
      </c>
      <c r="CF1972" s="3">
        <v>45796</v>
      </c>
      <c r="CI1972">
        <v>1</v>
      </c>
      <c r="CJ1972">
        <v>1</v>
      </c>
      <c r="CK1972">
        <v>21</v>
      </c>
      <c r="CL1972" t="s">
        <v>89</v>
      </c>
    </row>
    <row r="1973" spans="1:90" x14ac:dyDescent="0.3">
      <c r="A1973" t="s">
        <v>72</v>
      </c>
      <c r="B1973" t="s">
        <v>73</v>
      </c>
      <c r="C1973" t="s">
        <v>74</v>
      </c>
      <c r="E1973" t="str">
        <f>"080065415925"</f>
        <v>080065415925</v>
      </c>
      <c r="F1973" s="3">
        <v>45793</v>
      </c>
      <c r="G1973">
        <v>202602</v>
      </c>
      <c r="H1973" t="s">
        <v>75</v>
      </c>
      <c r="I1973" t="s">
        <v>76</v>
      </c>
      <c r="J1973" t="s">
        <v>77</v>
      </c>
      <c r="K1973" t="s">
        <v>78</v>
      </c>
      <c r="L1973" t="s">
        <v>103</v>
      </c>
      <c r="M1973" t="s">
        <v>104</v>
      </c>
      <c r="N1973" t="s">
        <v>686</v>
      </c>
      <c r="O1973" t="s">
        <v>82</v>
      </c>
      <c r="P1973" t="str">
        <f>"4170039081                    "</f>
        <v xml:space="preserve">4170039081                    </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0</v>
      </c>
      <c r="AL1973">
        <v>0</v>
      </c>
      <c r="AM1973">
        <v>0</v>
      </c>
      <c r="AN1973">
        <v>0</v>
      </c>
      <c r="AO1973">
        <v>0</v>
      </c>
      <c r="AP1973">
        <v>0</v>
      </c>
      <c r="AQ1973">
        <v>21.38</v>
      </c>
      <c r="AR1973">
        <v>0</v>
      </c>
      <c r="AS1973">
        <v>0</v>
      </c>
      <c r="AT1973">
        <v>0</v>
      </c>
      <c r="AU1973">
        <v>0</v>
      </c>
      <c r="AV1973">
        <v>0</v>
      </c>
      <c r="AW1973">
        <v>0</v>
      </c>
      <c r="AX1973">
        <v>0</v>
      </c>
      <c r="AY1973">
        <v>0</v>
      </c>
      <c r="AZ1973">
        <v>0</v>
      </c>
      <c r="BA1973">
        <v>0</v>
      </c>
      <c r="BB1973">
        <v>0</v>
      </c>
      <c r="BC1973">
        <v>0</v>
      </c>
      <c r="BD1973">
        <v>0</v>
      </c>
      <c r="BE1973">
        <v>0</v>
      </c>
      <c r="BF1973">
        <v>0</v>
      </c>
      <c r="BG1973">
        <v>0</v>
      </c>
      <c r="BH1973">
        <v>1</v>
      </c>
      <c r="BI1973">
        <v>2</v>
      </c>
      <c r="BJ1973">
        <v>0.9</v>
      </c>
      <c r="BK1973">
        <v>2</v>
      </c>
      <c r="BL1973">
        <v>69.98</v>
      </c>
      <c r="BM1973">
        <v>10.5</v>
      </c>
      <c r="BN1973">
        <v>80.48</v>
      </c>
      <c r="BO1973">
        <v>80.48</v>
      </c>
      <c r="BQ1973" t="s">
        <v>687</v>
      </c>
      <c r="BR1973" t="s">
        <v>84</v>
      </c>
      <c r="BS1973" s="3">
        <v>45796</v>
      </c>
      <c r="BT1973" s="4">
        <v>0.41666666666666669</v>
      </c>
      <c r="BU1973" t="s">
        <v>1210</v>
      </c>
      <c r="BV1973" t="s">
        <v>86</v>
      </c>
      <c r="BY1973">
        <v>4256</v>
      </c>
      <c r="CA1973" t="s">
        <v>1169</v>
      </c>
      <c r="CC1973" t="s">
        <v>104</v>
      </c>
      <c r="CD1973">
        <v>3201</v>
      </c>
      <c r="CE1973" t="s">
        <v>96</v>
      </c>
      <c r="CF1973" s="3">
        <v>45797</v>
      </c>
      <c r="CI1973">
        <v>1</v>
      </c>
      <c r="CJ1973">
        <v>1</v>
      </c>
      <c r="CK1973">
        <v>21</v>
      </c>
      <c r="CL1973" t="s">
        <v>89</v>
      </c>
    </row>
    <row r="1974" spans="1:90" x14ac:dyDescent="0.3">
      <c r="A1974" t="s">
        <v>72</v>
      </c>
      <c r="B1974" t="s">
        <v>73</v>
      </c>
      <c r="C1974" t="s">
        <v>74</v>
      </c>
      <c r="E1974" t="str">
        <f>"080065415955"</f>
        <v>080065415955</v>
      </c>
      <c r="F1974" s="3">
        <v>45793</v>
      </c>
      <c r="G1974">
        <v>202602</v>
      </c>
      <c r="H1974" t="s">
        <v>75</v>
      </c>
      <c r="I1974" t="s">
        <v>76</v>
      </c>
      <c r="J1974" t="s">
        <v>77</v>
      </c>
      <c r="K1974" t="s">
        <v>78</v>
      </c>
      <c r="L1974" t="s">
        <v>90</v>
      </c>
      <c r="M1974" t="s">
        <v>91</v>
      </c>
      <c r="N1974" t="s">
        <v>92</v>
      </c>
      <c r="O1974" t="s">
        <v>82</v>
      </c>
      <c r="P1974" t="str">
        <f>"4170039096                    "</f>
        <v xml:space="preserve">4170039096                    </v>
      </c>
      <c r="Q1974">
        <v>0</v>
      </c>
      <c r="R1974">
        <v>0</v>
      </c>
      <c r="S1974">
        <v>0</v>
      </c>
      <c r="T1974">
        <v>0</v>
      </c>
      <c r="U1974">
        <v>0</v>
      </c>
      <c r="V1974">
        <v>0</v>
      </c>
      <c r="W1974">
        <v>0</v>
      </c>
      <c r="X1974">
        <v>0</v>
      </c>
      <c r="Y1974">
        <v>0</v>
      </c>
      <c r="Z1974">
        <v>0</v>
      </c>
      <c r="AA1974">
        <v>0</v>
      </c>
      <c r="AB1974">
        <v>0</v>
      </c>
      <c r="AC1974">
        <v>0</v>
      </c>
      <c r="AD1974">
        <v>0</v>
      </c>
      <c r="AE1974">
        <v>0</v>
      </c>
      <c r="AF1974">
        <v>0</v>
      </c>
      <c r="AG1974">
        <v>0</v>
      </c>
      <c r="AH1974">
        <v>0</v>
      </c>
      <c r="AI1974">
        <v>0</v>
      </c>
      <c r="AJ1974">
        <v>0</v>
      </c>
      <c r="AK1974">
        <v>0</v>
      </c>
      <c r="AL1974">
        <v>0</v>
      </c>
      <c r="AM1974">
        <v>0</v>
      </c>
      <c r="AN1974">
        <v>0</v>
      </c>
      <c r="AO1974">
        <v>0</v>
      </c>
      <c r="AP1974">
        <v>0</v>
      </c>
      <c r="AQ1974">
        <v>21.38</v>
      </c>
      <c r="AR1974">
        <v>0</v>
      </c>
      <c r="AS1974">
        <v>0</v>
      </c>
      <c r="AT1974">
        <v>0</v>
      </c>
      <c r="AU1974">
        <v>0</v>
      </c>
      <c r="AV1974">
        <v>0</v>
      </c>
      <c r="AW1974">
        <v>0</v>
      </c>
      <c r="AX1974">
        <v>0</v>
      </c>
      <c r="AY1974">
        <v>0</v>
      </c>
      <c r="AZ1974">
        <v>0</v>
      </c>
      <c r="BA1974">
        <v>0</v>
      </c>
      <c r="BB1974">
        <v>0</v>
      </c>
      <c r="BC1974">
        <v>0</v>
      </c>
      <c r="BD1974">
        <v>0</v>
      </c>
      <c r="BE1974">
        <v>0</v>
      </c>
      <c r="BF1974">
        <v>0</v>
      </c>
      <c r="BG1974">
        <v>0</v>
      </c>
      <c r="BH1974">
        <v>1</v>
      </c>
      <c r="BI1974">
        <v>1</v>
      </c>
      <c r="BJ1974">
        <v>2</v>
      </c>
      <c r="BK1974">
        <v>2</v>
      </c>
      <c r="BL1974">
        <v>69.98</v>
      </c>
      <c r="BM1974">
        <v>10.5</v>
      </c>
      <c r="BN1974">
        <v>80.48</v>
      </c>
      <c r="BO1974">
        <v>80.48</v>
      </c>
      <c r="BQ1974" t="s">
        <v>93</v>
      </c>
      <c r="BR1974" t="s">
        <v>84</v>
      </c>
      <c r="BS1974" s="3">
        <v>45796</v>
      </c>
      <c r="BT1974" s="4">
        <v>0.39027777777777778</v>
      </c>
      <c r="BU1974" t="s">
        <v>2033</v>
      </c>
      <c r="BV1974" t="s">
        <v>86</v>
      </c>
      <c r="BY1974">
        <v>9918</v>
      </c>
      <c r="CA1974" t="s">
        <v>95</v>
      </c>
      <c r="CC1974" t="s">
        <v>91</v>
      </c>
      <c r="CD1974">
        <v>6001</v>
      </c>
      <c r="CE1974" t="s">
        <v>96</v>
      </c>
      <c r="CF1974" s="3">
        <v>45797</v>
      </c>
      <c r="CI1974">
        <v>1</v>
      </c>
      <c r="CJ1974">
        <v>1</v>
      </c>
      <c r="CK1974">
        <v>21</v>
      </c>
      <c r="CL1974" t="s">
        <v>89</v>
      </c>
    </row>
    <row r="1975" spans="1:90" x14ac:dyDescent="0.3">
      <c r="A1975" t="s">
        <v>72</v>
      </c>
      <c r="B1975" t="s">
        <v>73</v>
      </c>
      <c r="C1975" t="s">
        <v>74</v>
      </c>
      <c r="E1975" t="str">
        <f>"080065416102"</f>
        <v>080065416102</v>
      </c>
      <c r="F1975" s="3">
        <v>45793</v>
      </c>
      <c r="G1975">
        <v>202602</v>
      </c>
      <c r="H1975" t="s">
        <v>75</v>
      </c>
      <c r="I1975" t="s">
        <v>76</v>
      </c>
      <c r="J1975" t="s">
        <v>77</v>
      </c>
      <c r="K1975" t="s">
        <v>78</v>
      </c>
      <c r="L1975" t="s">
        <v>117</v>
      </c>
      <c r="M1975" t="s">
        <v>118</v>
      </c>
      <c r="N1975" t="s">
        <v>2461</v>
      </c>
      <c r="O1975" t="s">
        <v>82</v>
      </c>
      <c r="P1975" t="str">
        <f>"4170039067                    "</f>
        <v xml:space="preserve">4170039067                    </v>
      </c>
      <c r="Q1975">
        <v>0</v>
      </c>
      <c r="R1975">
        <v>0</v>
      </c>
      <c r="S1975">
        <v>0</v>
      </c>
      <c r="T1975">
        <v>0</v>
      </c>
      <c r="U1975">
        <v>0</v>
      </c>
      <c r="V1975">
        <v>0</v>
      </c>
      <c r="W1975">
        <v>0</v>
      </c>
      <c r="X1975">
        <v>0</v>
      </c>
      <c r="Y1975">
        <v>0</v>
      </c>
      <c r="Z1975">
        <v>0</v>
      </c>
      <c r="AA1975">
        <v>0</v>
      </c>
      <c r="AB1975">
        <v>0</v>
      </c>
      <c r="AC1975">
        <v>0</v>
      </c>
      <c r="AD1975">
        <v>0</v>
      </c>
      <c r="AE1975">
        <v>0</v>
      </c>
      <c r="AF1975">
        <v>0</v>
      </c>
      <c r="AG1975">
        <v>0</v>
      </c>
      <c r="AH1975">
        <v>0</v>
      </c>
      <c r="AI1975">
        <v>0</v>
      </c>
      <c r="AJ1975">
        <v>0</v>
      </c>
      <c r="AK1975">
        <v>0</v>
      </c>
      <c r="AL1975">
        <v>0</v>
      </c>
      <c r="AM1975">
        <v>0</v>
      </c>
      <c r="AN1975">
        <v>0</v>
      </c>
      <c r="AO1975">
        <v>0</v>
      </c>
      <c r="AP1975">
        <v>0</v>
      </c>
      <c r="AQ1975">
        <v>16.7</v>
      </c>
      <c r="AR1975">
        <v>0</v>
      </c>
      <c r="AS1975">
        <v>0</v>
      </c>
      <c r="AT1975">
        <v>0</v>
      </c>
      <c r="AU1975">
        <v>0</v>
      </c>
      <c r="AV1975">
        <v>0</v>
      </c>
      <c r="AW1975">
        <v>0</v>
      </c>
      <c r="AX1975">
        <v>0</v>
      </c>
      <c r="AY1975">
        <v>0</v>
      </c>
      <c r="AZ1975">
        <v>0</v>
      </c>
      <c r="BA1975">
        <v>0</v>
      </c>
      <c r="BB1975">
        <v>0</v>
      </c>
      <c r="BC1975">
        <v>0</v>
      </c>
      <c r="BD1975">
        <v>0</v>
      </c>
      <c r="BE1975">
        <v>0</v>
      </c>
      <c r="BF1975">
        <v>0</v>
      </c>
      <c r="BG1975">
        <v>0</v>
      </c>
      <c r="BH1975">
        <v>1</v>
      </c>
      <c r="BI1975">
        <v>1</v>
      </c>
      <c r="BJ1975">
        <v>1.1000000000000001</v>
      </c>
      <c r="BK1975">
        <v>2</v>
      </c>
      <c r="BL1975">
        <v>54.66</v>
      </c>
      <c r="BM1975">
        <v>8.1999999999999993</v>
      </c>
      <c r="BN1975">
        <v>62.86</v>
      </c>
      <c r="BO1975">
        <v>62.86</v>
      </c>
      <c r="BQ1975" t="s">
        <v>2462</v>
      </c>
      <c r="BR1975" t="s">
        <v>84</v>
      </c>
      <c r="BS1975" s="3">
        <v>45796</v>
      </c>
      <c r="BT1975" s="4">
        <v>0.36805555555555558</v>
      </c>
      <c r="BU1975" t="s">
        <v>2463</v>
      </c>
      <c r="BV1975" t="s">
        <v>86</v>
      </c>
      <c r="BY1975">
        <v>5320</v>
      </c>
      <c r="CA1975" t="s">
        <v>535</v>
      </c>
      <c r="CC1975" t="s">
        <v>118</v>
      </c>
      <c r="CD1975">
        <v>2049</v>
      </c>
      <c r="CE1975" t="s">
        <v>88</v>
      </c>
      <c r="CF1975" s="3">
        <v>45796</v>
      </c>
      <c r="CI1975">
        <v>1</v>
      </c>
      <c r="CJ1975">
        <v>1</v>
      </c>
      <c r="CK1975">
        <v>22</v>
      </c>
      <c r="CL1975" t="s">
        <v>89</v>
      </c>
    </row>
    <row r="1976" spans="1:90" x14ac:dyDescent="0.3">
      <c r="A1976" t="s">
        <v>72</v>
      </c>
      <c r="B1976" t="s">
        <v>73</v>
      </c>
      <c r="C1976" t="s">
        <v>74</v>
      </c>
      <c r="E1976" t="str">
        <f>"080065416135"</f>
        <v>080065416135</v>
      </c>
      <c r="F1976" s="3">
        <v>45793</v>
      </c>
      <c r="G1976">
        <v>202602</v>
      </c>
      <c r="H1976" t="s">
        <v>75</v>
      </c>
      <c r="I1976" t="s">
        <v>76</v>
      </c>
      <c r="J1976" t="s">
        <v>77</v>
      </c>
      <c r="K1976" t="s">
        <v>78</v>
      </c>
      <c r="L1976" t="s">
        <v>130</v>
      </c>
      <c r="M1976" t="s">
        <v>131</v>
      </c>
      <c r="N1976" t="s">
        <v>239</v>
      </c>
      <c r="O1976" t="s">
        <v>82</v>
      </c>
      <c r="P1976" t="str">
        <f>"4170039046                    "</f>
        <v xml:space="preserve">4170039046                    </v>
      </c>
      <c r="Q1976">
        <v>0</v>
      </c>
      <c r="R1976">
        <v>0</v>
      </c>
      <c r="S1976">
        <v>0</v>
      </c>
      <c r="T1976">
        <v>0</v>
      </c>
      <c r="U1976">
        <v>0</v>
      </c>
      <c r="V1976">
        <v>0</v>
      </c>
      <c r="W1976">
        <v>0</v>
      </c>
      <c r="X1976">
        <v>0</v>
      </c>
      <c r="Y1976">
        <v>0</v>
      </c>
      <c r="Z1976">
        <v>0</v>
      </c>
      <c r="AA1976">
        <v>0</v>
      </c>
      <c r="AB1976">
        <v>0</v>
      </c>
      <c r="AC1976">
        <v>0</v>
      </c>
      <c r="AD1976">
        <v>0</v>
      </c>
      <c r="AE1976">
        <v>0</v>
      </c>
      <c r="AF1976">
        <v>0</v>
      </c>
      <c r="AG1976">
        <v>0</v>
      </c>
      <c r="AH1976">
        <v>0</v>
      </c>
      <c r="AI1976">
        <v>0</v>
      </c>
      <c r="AJ1976">
        <v>0</v>
      </c>
      <c r="AK1976">
        <v>0</v>
      </c>
      <c r="AL1976">
        <v>0</v>
      </c>
      <c r="AM1976">
        <v>0</v>
      </c>
      <c r="AN1976">
        <v>0</v>
      </c>
      <c r="AO1976">
        <v>0</v>
      </c>
      <c r="AP1976">
        <v>0</v>
      </c>
      <c r="AQ1976">
        <v>96.17</v>
      </c>
      <c r="AR1976">
        <v>0</v>
      </c>
      <c r="AS1976">
        <v>0</v>
      </c>
      <c r="AT1976">
        <v>0</v>
      </c>
      <c r="AU1976">
        <v>0</v>
      </c>
      <c r="AV1976">
        <v>0</v>
      </c>
      <c r="AW1976">
        <v>0</v>
      </c>
      <c r="AX1976">
        <v>0</v>
      </c>
      <c r="AY1976">
        <v>0</v>
      </c>
      <c r="AZ1976">
        <v>0</v>
      </c>
      <c r="BA1976">
        <v>0</v>
      </c>
      <c r="BB1976">
        <v>0</v>
      </c>
      <c r="BC1976">
        <v>0</v>
      </c>
      <c r="BD1976">
        <v>0</v>
      </c>
      <c r="BE1976">
        <v>0</v>
      </c>
      <c r="BF1976">
        <v>0</v>
      </c>
      <c r="BG1976">
        <v>0</v>
      </c>
      <c r="BH1976">
        <v>1</v>
      </c>
      <c r="BI1976">
        <v>5</v>
      </c>
      <c r="BJ1976">
        <v>8.6999999999999993</v>
      </c>
      <c r="BK1976">
        <v>9</v>
      </c>
      <c r="BL1976">
        <v>314.73</v>
      </c>
      <c r="BM1976">
        <v>47.21</v>
      </c>
      <c r="BN1976">
        <v>361.94</v>
      </c>
      <c r="BO1976">
        <v>361.94</v>
      </c>
      <c r="BQ1976" t="s">
        <v>240</v>
      </c>
      <c r="BR1976" t="s">
        <v>84</v>
      </c>
      <c r="BS1976" s="3">
        <v>45796</v>
      </c>
      <c r="BT1976" s="4">
        <v>0.43541666666666667</v>
      </c>
      <c r="BU1976" t="s">
        <v>1725</v>
      </c>
      <c r="BV1976" t="s">
        <v>86</v>
      </c>
      <c r="BY1976">
        <v>43520</v>
      </c>
      <c r="CC1976" t="s">
        <v>131</v>
      </c>
      <c r="CD1976">
        <v>7441</v>
      </c>
      <c r="CE1976" t="s">
        <v>221</v>
      </c>
      <c r="CF1976" s="3">
        <v>45797</v>
      </c>
      <c r="CI1976">
        <v>1</v>
      </c>
      <c r="CJ1976">
        <v>1</v>
      </c>
      <c r="CK1976">
        <v>21</v>
      </c>
      <c r="CL1976" t="s">
        <v>89</v>
      </c>
    </row>
    <row r="1977" spans="1:90" x14ac:dyDescent="0.3">
      <c r="A1977" t="s">
        <v>72</v>
      </c>
      <c r="B1977" t="s">
        <v>73</v>
      </c>
      <c r="C1977" t="s">
        <v>74</v>
      </c>
      <c r="E1977" t="str">
        <f>"080065416183"</f>
        <v>080065416183</v>
      </c>
      <c r="F1977" s="3">
        <v>45793</v>
      </c>
      <c r="G1977">
        <v>202602</v>
      </c>
      <c r="H1977" t="s">
        <v>75</v>
      </c>
      <c r="I1977" t="s">
        <v>76</v>
      </c>
      <c r="J1977" t="s">
        <v>77</v>
      </c>
      <c r="K1977" t="s">
        <v>78</v>
      </c>
      <c r="L1977" t="s">
        <v>103</v>
      </c>
      <c r="M1977" t="s">
        <v>104</v>
      </c>
      <c r="N1977" t="s">
        <v>633</v>
      </c>
      <c r="O1977" t="s">
        <v>82</v>
      </c>
      <c r="P1977" t="str">
        <f>"4170038915                    "</f>
        <v xml:space="preserve">4170038915                    </v>
      </c>
      <c r="Q1977">
        <v>0</v>
      </c>
      <c r="R1977">
        <v>0</v>
      </c>
      <c r="S1977">
        <v>0</v>
      </c>
      <c r="T1977">
        <v>0</v>
      </c>
      <c r="U1977">
        <v>0</v>
      </c>
      <c r="V1977">
        <v>0</v>
      </c>
      <c r="W1977">
        <v>0</v>
      </c>
      <c r="X1977">
        <v>0</v>
      </c>
      <c r="Y1977">
        <v>0</v>
      </c>
      <c r="Z1977">
        <v>0</v>
      </c>
      <c r="AA1977">
        <v>0</v>
      </c>
      <c r="AB1977">
        <v>0</v>
      </c>
      <c r="AC1977">
        <v>0</v>
      </c>
      <c r="AD1977">
        <v>0</v>
      </c>
      <c r="AE1977">
        <v>0</v>
      </c>
      <c r="AF1977">
        <v>0</v>
      </c>
      <c r="AG1977">
        <v>0</v>
      </c>
      <c r="AH1977">
        <v>0</v>
      </c>
      <c r="AI1977">
        <v>0</v>
      </c>
      <c r="AJ1977">
        <v>0</v>
      </c>
      <c r="AK1977">
        <v>0</v>
      </c>
      <c r="AL1977">
        <v>0</v>
      </c>
      <c r="AM1977">
        <v>0</v>
      </c>
      <c r="AN1977">
        <v>0</v>
      </c>
      <c r="AO1977">
        <v>0</v>
      </c>
      <c r="AP1977">
        <v>0</v>
      </c>
      <c r="AQ1977">
        <v>85.48</v>
      </c>
      <c r="AR1977">
        <v>0</v>
      </c>
      <c r="AS1977">
        <v>0</v>
      </c>
      <c r="AT1977">
        <v>0</v>
      </c>
      <c r="AU1977">
        <v>0</v>
      </c>
      <c r="AV1977">
        <v>0</v>
      </c>
      <c r="AW1977">
        <v>0</v>
      </c>
      <c r="AX1977">
        <v>0</v>
      </c>
      <c r="AY1977">
        <v>0</v>
      </c>
      <c r="AZ1977">
        <v>0</v>
      </c>
      <c r="BA1977">
        <v>0</v>
      </c>
      <c r="BB1977">
        <v>0</v>
      </c>
      <c r="BC1977">
        <v>0</v>
      </c>
      <c r="BD1977">
        <v>0</v>
      </c>
      <c r="BE1977">
        <v>0</v>
      </c>
      <c r="BF1977">
        <v>0</v>
      </c>
      <c r="BG1977">
        <v>0</v>
      </c>
      <c r="BH1977">
        <v>1</v>
      </c>
      <c r="BI1977">
        <v>8</v>
      </c>
      <c r="BJ1977">
        <v>2</v>
      </c>
      <c r="BK1977">
        <v>8</v>
      </c>
      <c r="BL1977">
        <v>279.76</v>
      </c>
      <c r="BM1977">
        <v>41.96</v>
      </c>
      <c r="BN1977">
        <v>321.72000000000003</v>
      </c>
      <c r="BO1977">
        <v>321.72000000000003</v>
      </c>
      <c r="BQ1977" t="s">
        <v>634</v>
      </c>
      <c r="BR1977" t="s">
        <v>84</v>
      </c>
      <c r="BS1977" s="3">
        <v>45796</v>
      </c>
      <c r="BT1977" s="4">
        <v>0.48958333333333331</v>
      </c>
      <c r="BU1977" t="s">
        <v>2464</v>
      </c>
      <c r="BV1977" t="s">
        <v>86</v>
      </c>
      <c r="BY1977">
        <v>9918</v>
      </c>
      <c r="CA1977" t="s">
        <v>2367</v>
      </c>
      <c r="CC1977" t="s">
        <v>104</v>
      </c>
      <c r="CD1977">
        <v>3212</v>
      </c>
      <c r="CE1977" t="s">
        <v>96</v>
      </c>
      <c r="CF1977" s="3">
        <v>45796</v>
      </c>
      <c r="CI1977">
        <v>2</v>
      </c>
      <c r="CJ1977">
        <v>1</v>
      </c>
      <c r="CK1977">
        <v>21</v>
      </c>
      <c r="CL1977" t="s">
        <v>89</v>
      </c>
    </row>
    <row r="1978" spans="1:90" x14ac:dyDescent="0.3">
      <c r="A1978" t="s">
        <v>72</v>
      </c>
      <c r="B1978" t="s">
        <v>73</v>
      </c>
      <c r="C1978" t="s">
        <v>74</v>
      </c>
      <c r="E1978" t="str">
        <f>"080065416235"</f>
        <v>080065416235</v>
      </c>
      <c r="F1978" s="3">
        <v>45793</v>
      </c>
      <c r="G1978">
        <v>202602</v>
      </c>
      <c r="H1978" t="s">
        <v>75</v>
      </c>
      <c r="I1978" t="s">
        <v>76</v>
      </c>
      <c r="J1978" t="s">
        <v>77</v>
      </c>
      <c r="K1978" t="s">
        <v>78</v>
      </c>
      <c r="L1978" t="s">
        <v>90</v>
      </c>
      <c r="M1978" t="s">
        <v>91</v>
      </c>
      <c r="N1978" t="s">
        <v>92</v>
      </c>
      <c r="O1978" t="s">
        <v>82</v>
      </c>
      <c r="P1978" t="str">
        <f>"4170039076                    "</f>
        <v xml:space="preserve">4170039076                    </v>
      </c>
      <c r="Q1978">
        <v>0</v>
      </c>
      <c r="R1978">
        <v>0</v>
      </c>
      <c r="S1978">
        <v>0</v>
      </c>
      <c r="T1978">
        <v>0</v>
      </c>
      <c r="U1978">
        <v>0</v>
      </c>
      <c r="V1978">
        <v>0</v>
      </c>
      <c r="W1978">
        <v>0</v>
      </c>
      <c r="X1978">
        <v>0</v>
      </c>
      <c r="Y1978">
        <v>0</v>
      </c>
      <c r="Z1978">
        <v>0</v>
      </c>
      <c r="AA1978">
        <v>0</v>
      </c>
      <c r="AB1978">
        <v>0</v>
      </c>
      <c r="AC1978">
        <v>0</v>
      </c>
      <c r="AD1978">
        <v>0</v>
      </c>
      <c r="AE1978">
        <v>0</v>
      </c>
      <c r="AF1978">
        <v>0</v>
      </c>
      <c r="AG1978">
        <v>0</v>
      </c>
      <c r="AH1978">
        <v>0</v>
      </c>
      <c r="AI1978">
        <v>0</v>
      </c>
      <c r="AJ1978">
        <v>0</v>
      </c>
      <c r="AK1978">
        <v>0</v>
      </c>
      <c r="AL1978">
        <v>0</v>
      </c>
      <c r="AM1978">
        <v>0</v>
      </c>
      <c r="AN1978">
        <v>0</v>
      </c>
      <c r="AO1978">
        <v>0</v>
      </c>
      <c r="AP1978">
        <v>0</v>
      </c>
      <c r="AQ1978">
        <v>21.38</v>
      </c>
      <c r="AR1978">
        <v>0</v>
      </c>
      <c r="AS1978">
        <v>0</v>
      </c>
      <c r="AT1978">
        <v>0</v>
      </c>
      <c r="AU1978">
        <v>0</v>
      </c>
      <c r="AV1978">
        <v>0</v>
      </c>
      <c r="AW1978">
        <v>0</v>
      </c>
      <c r="AX1978">
        <v>0</v>
      </c>
      <c r="AY1978">
        <v>0</v>
      </c>
      <c r="AZ1978">
        <v>0</v>
      </c>
      <c r="BA1978">
        <v>0</v>
      </c>
      <c r="BB1978">
        <v>0</v>
      </c>
      <c r="BC1978">
        <v>0</v>
      </c>
      <c r="BD1978">
        <v>0</v>
      </c>
      <c r="BE1978">
        <v>0</v>
      </c>
      <c r="BF1978">
        <v>0</v>
      </c>
      <c r="BG1978">
        <v>0</v>
      </c>
      <c r="BH1978">
        <v>1</v>
      </c>
      <c r="BI1978">
        <v>1</v>
      </c>
      <c r="BJ1978">
        <v>1.8</v>
      </c>
      <c r="BK1978">
        <v>2</v>
      </c>
      <c r="BL1978">
        <v>69.98</v>
      </c>
      <c r="BM1978">
        <v>10.5</v>
      </c>
      <c r="BN1978">
        <v>80.48</v>
      </c>
      <c r="BO1978">
        <v>80.48</v>
      </c>
      <c r="BQ1978" t="s">
        <v>93</v>
      </c>
      <c r="BR1978" t="s">
        <v>84</v>
      </c>
      <c r="BS1978" s="3">
        <v>45796</v>
      </c>
      <c r="BT1978" s="4">
        <v>0.39027777777777778</v>
      </c>
      <c r="BU1978" t="s">
        <v>2033</v>
      </c>
      <c r="BV1978" t="s">
        <v>86</v>
      </c>
      <c r="BY1978">
        <v>8775</v>
      </c>
      <c r="CA1978" t="s">
        <v>95</v>
      </c>
      <c r="CC1978" t="s">
        <v>91</v>
      </c>
      <c r="CD1978">
        <v>6001</v>
      </c>
      <c r="CE1978" t="s">
        <v>96</v>
      </c>
      <c r="CF1978" s="3">
        <v>45797</v>
      </c>
      <c r="CI1978">
        <v>1</v>
      </c>
      <c r="CJ1978">
        <v>1</v>
      </c>
      <c r="CK1978">
        <v>21</v>
      </c>
      <c r="CL1978" t="s">
        <v>89</v>
      </c>
    </row>
    <row r="1979" spans="1:90" x14ac:dyDescent="0.3">
      <c r="A1979" t="s">
        <v>72</v>
      </c>
      <c r="B1979" t="s">
        <v>73</v>
      </c>
      <c r="C1979" t="s">
        <v>74</v>
      </c>
      <c r="E1979" t="str">
        <f>"080065416282"</f>
        <v>080065416282</v>
      </c>
      <c r="F1979" s="3">
        <v>45793</v>
      </c>
      <c r="G1979">
        <v>202602</v>
      </c>
      <c r="H1979" t="s">
        <v>75</v>
      </c>
      <c r="I1979" t="s">
        <v>76</v>
      </c>
      <c r="J1979" t="s">
        <v>77</v>
      </c>
      <c r="K1979" t="s">
        <v>78</v>
      </c>
      <c r="L1979" t="s">
        <v>123</v>
      </c>
      <c r="M1979" t="s">
        <v>123</v>
      </c>
      <c r="N1979" t="s">
        <v>766</v>
      </c>
      <c r="O1979" t="s">
        <v>82</v>
      </c>
      <c r="P1979" t="str">
        <f>"4170038913                    "</f>
        <v xml:space="preserve">4170038913                    </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c r="AJ1979">
        <v>0</v>
      </c>
      <c r="AK1979">
        <v>0</v>
      </c>
      <c r="AL1979">
        <v>0</v>
      </c>
      <c r="AM1979">
        <v>0</v>
      </c>
      <c r="AN1979">
        <v>0</v>
      </c>
      <c r="AO1979">
        <v>0</v>
      </c>
      <c r="AP1979">
        <v>0</v>
      </c>
      <c r="AQ1979">
        <v>41.43</v>
      </c>
      <c r="AR1979">
        <v>0</v>
      </c>
      <c r="AS1979">
        <v>0</v>
      </c>
      <c r="AT1979">
        <v>0</v>
      </c>
      <c r="AU1979">
        <v>0</v>
      </c>
      <c r="AV1979">
        <v>0</v>
      </c>
      <c r="AW1979">
        <v>0</v>
      </c>
      <c r="AX1979">
        <v>0</v>
      </c>
      <c r="AY1979">
        <v>0</v>
      </c>
      <c r="AZ1979">
        <v>0</v>
      </c>
      <c r="BA1979">
        <v>0</v>
      </c>
      <c r="BB1979">
        <v>0</v>
      </c>
      <c r="BC1979">
        <v>0</v>
      </c>
      <c r="BD1979">
        <v>0</v>
      </c>
      <c r="BE1979">
        <v>0</v>
      </c>
      <c r="BF1979">
        <v>0</v>
      </c>
      <c r="BG1979">
        <v>0</v>
      </c>
      <c r="BH1979">
        <v>1</v>
      </c>
      <c r="BI1979">
        <v>1</v>
      </c>
      <c r="BJ1979">
        <v>0.9</v>
      </c>
      <c r="BK1979">
        <v>1</v>
      </c>
      <c r="BL1979">
        <v>135.59</v>
      </c>
      <c r="BM1979">
        <v>20.34</v>
      </c>
      <c r="BN1979">
        <v>155.93</v>
      </c>
      <c r="BO1979">
        <v>155.93</v>
      </c>
      <c r="BQ1979" t="s">
        <v>767</v>
      </c>
      <c r="BR1979" t="s">
        <v>84</v>
      </c>
      <c r="BS1979" s="3">
        <v>45796</v>
      </c>
      <c r="BT1979" s="4">
        <v>0.52083333333333337</v>
      </c>
      <c r="BU1979" t="s">
        <v>2401</v>
      </c>
      <c r="BV1979" t="s">
        <v>86</v>
      </c>
      <c r="BY1979">
        <v>4680</v>
      </c>
      <c r="CA1979" t="s">
        <v>2381</v>
      </c>
      <c r="CC1979" t="s">
        <v>123</v>
      </c>
      <c r="CD1979">
        <v>7646</v>
      </c>
      <c r="CE1979" t="s">
        <v>96</v>
      </c>
      <c r="CF1979" s="3">
        <v>45797</v>
      </c>
      <c r="CI1979">
        <v>1</v>
      </c>
      <c r="CJ1979">
        <v>1</v>
      </c>
      <c r="CK1979">
        <v>23</v>
      </c>
      <c r="CL1979" t="s">
        <v>89</v>
      </c>
    </row>
    <row r="1980" spans="1:90" x14ac:dyDescent="0.3">
      <c r="A1980" t="s">
        <v>72</v>
      </c>
      <c r="B1980" t="s">
        <v>73</v>
      </c>
      <c r="C1980" t="s">
        <v>74</v>
      </c>
      <c r="E1980" t="str">
        <f>"080065416338"</f>
        <v>080065416338</v>
      </c>
      <c r="F1980" s="3">
        <v>45793</v>
      </c>
      <c r="G1980">
        <v>202602</v>
      </c>
      <c r="H1980" t="s">
        <v>75</v>
      </c>
      <c r="I1980" t="s">
        <v>76</v>
      </c>
      <c r="J1980" t="s">
        <v>77</v>
      </c>
      <c r="K1980" t="s">
        <v>78</v>
      </c>
      <c r="L1980" t="s">
        <v>1203</v>
      </c>
      <c r="M1980" t="s">
        <v>1204</v>
      </c>
      <c r="N1980" t="s">
        <v>1205</v>
      </c>
      <c r="O1980" t="s">
        <v>82</v>
      </c>
      <c r="P1980" t="str">
        <f>"4170038945                    "</f>
        <v xml:space="preserve">4170038945                    </v>
      </c>
      <c r="Q1980">
        <v>0</v>
      </c>
      <c r="R1980">
        <v>0</v>
      </c>
      <c r="S1980">
        <v>0</v>
      </c>
      <c r="T1980">
        <v>0</v>
      </c>
      <c r="U1980">
        <v>0</v>
      </c>
      <c r="V1980">
        <v>0</v>
      </c>
      <c r="W1980">
        <v>0</v>
      </c>
      <c r="X1980">
        <v>0</v>
      </c>
      <c r="Y1980">
        <v>0</v>
      </c>
      <c r="Z1980">
        <v>0</v>
      </c>
      <c r="AA1980">
        <v>0</v>
      </c>
      <c r="AB1980">
        <v>0</v>
      </c>
      <c r="AC1980">
        <v>0</v>
      </c>
      <c r="AD1980">
        <v>0</v>
      </c>
      <c r="AE1980">
        <v>0</v>
      </c>
      <c r="AF1980">
        <v>0</v>
      </c>
      <c r="AG1980">
        <v>0</v>
      </c>
      <c r="AH1980">
        <v>0</v>
      </c>
      <c r="AI1980">
        <v>0</v>
      </c>
      <c r="AJ1980">
        <v>0</v>
      </c>
      <c r="AK1980">
        <v>0</v>
      </c>
      <c r="AL1980">
        <v>0</v>
      </c>
      <c r="AM1980">
        <v>0</v>
      </c>
      <c r="AN1980">
        <v>0</v>
      </c>
      <c r="AO1980">
        <v>0</v>
      </c>
      <c r="AP1980">
        <v>0</v>
      </c>
      <c r="AQ1980">
        <v>97.56</v>
      </c>
      <c r="AR1980">
        <v>0</v>
      </c>
      <c r="AS1980">
        <v>0</v>
      </c>
      <c r="AT1980">
        <v>0</v>
      </c>
      <c r="AU1980">
        <v>0</v>
      </c>
      <c r="AV1980">
        <v>0</v>
      </c>
      <c r="AW1980">
        <v>0</v>
      </c>
      <c r="AX1980">
        <v>0</v>
      </c>
      <c r="AY1980">
        <v>0</v>
      </c>
      <c r="AZ1980">
        <v>0</v>
      </c>
      <c r="BA1980">
        <v>0</v>
      </c>
      <c r="BB1980">
        <v>0</v>
      </c>
      <c r="BC1980">
        <v>0</v>
      </c>
      <c r="BD1980">
        <v>0</v>
      </c>
      <c r="BE1980">
        <v>0</v>
      </c>
      <c r="BF1980">
        <v>0</v>
      </c>
      <c r="BG1980">
        <v>0</v>
      </c>
      <c r="BH1980">
        <v>1</v>
      </c>
      <c r="BI1980">
        <v>5</v>
      </c>
      <c r="BJ1980">
        <v>2.5</v>
      </c>
      <c r="BK1980">
        <v>5</v>
      </c>
      <c r="BL1980">
        <v>319.27999999999997</v>
      </c>
      <c r="BM1980">
        <v>47.89</v>
      </c>
      <c r="BN1980">
        <v>367.17</v>
      </c>
      <c r="BO1980">
        <v>367.17</v>
      </c>
      <c r="BQ1980" t="s">
        <v>1206</v>
      </c>
      <c r="BR1980" t="s">
        <v>84</v>
      </c>
      <c r="BS1980" s="3">
        <v>45796</v>
      </c>
      <c r="BT1980" s="4">
        <v>0.54791666666666672</v>
      </c>
      <c r="BU1980" t="s">
        <v>1577</v>
      </c>
      <c r="BV1980" t="s">
        <v>86</v>
      </c>
      <c r="BY1980">
        <v>12375</v>
      </c>
      <c r="CA1980" t="s">
        <v>1578</v>
      </c>
      <c r="CC1980" t="s">
        <v>1204</v>
      </c>
      <c r="CD1980">
        <v>6500</v>
      </c>
      <c r="CE1980" t="s">
        <v>221</v>
      </c>
      <c r="CF1980" s="3">
        <v>45797</v>
      </c>
      <c r="CI1980">
        <v>1</v>
      </c>
      <c r="CJ1980">
        <v>1</v>
      </c>
      <c r="CK1980">
        <v>23</v>
      </c>
      <c r="CL1980" t="s">
        <v>89</v>
      </c>
    </row>
    <row r="1981" spans="1:90" x14ac:dyDescent="0.3">
      <c r="A1981" t="s">
        <v>72</v>
      </c>
      <c r="B1981" t="s">
        <v>73</v>
      </c>
      <c r="C1981" t="s">
        <v>74</v>
      </c>
      <c r="E1981" t="str">
        <f>"080065416357"</f>
        <v>080065416357</v>
      </c>
      <c r="F1981" s="3">
        <v>45793</v>
      </c>
      <c r="G1981">
        <v>202602</v>
      </c>
      <c r="H1981" t="s">
        <v>75</v>
      </c>
      <c r="I1981" t="s">
        <v>76</v>
      </c>
      <c r="J1981" t="s">
        <v>77</v>
      </c>
      <c r="K1981" t="s">
        <v>78</v>
      </c>
      <c r="L1981" t="s">
        <v>79</v>
      </c>
      <c r="M1981" t="s">
        <v>80</v>
      </c>
      <c r="N1981" t="s">
        <v>1475</v>
      </c>
      <c r="O1981" t="s">
        <v>82</v>
      </c>
      <c r="P1981" t="str">
        <f>"4170039050                    "</f>
        <v xml:space="preserve">4170039050                    </v>
      </c>
      <c r="Q1981">
        <v>0</v>
      </c>
      <c r="R1981">
        <v>0</v>
      </c>
      <c r="S1981">
        <v>0</v>
      </c>
      <c r="T1981">
        <v>0</v>
      </c>
      <c r="U1981">
        <v>0</v>
      </c>
      <c r="V1981">
        <v>0</v>
      </c>
      <c r="W1981">
        <v>0</v>
      </c>
      <c r="X1981">
        <v>0</v>
      </c>
      <c r="Y1981">
        <v>0</v>
      </c>
      <c r="Z1981">
        <v>0</v>
      </c>
      <c r="AA1981">
        <v>0</v>
      </c>
      <c r="AB1981">
        <v>0</v>
      </c>
      <c r="AC1981">
        <v>0</v>
      </c>
      <c r="AD1981">
        <v>0</v>
      </c>
      <c r="AE1981">
        <v>0</v>
      </c>
      <c r="AF1981">
        <v>0</v>
      </c>
      <c r="AG1981">
        <v>0</v>
      </c>
      <c r="AH1981">
        <v>0</v>
      </c>
      <c r="AI1981">
        <v>0</v>
      </c>
      <c r="AJ1981">
        <v>0</v>
      </c>
      <c r="AK1981">
        <v>0</v>
      </c>
      <c r="AL1981">
        <v>0</v>
      </c>
      <c r="AM1981">
        <v>0</v>
      </c>
      <c r="AN1981">
        <v>0</v>
      </c>
      <c r="AO1981">
        <v>0</v>
      </c>
      <c r="AP1981">
        <v>0</v>
      </c>
      <c r="AQ1981">
        <v>21.38</v>
      </c>
      <c r="AR1981">
        <v>0</v>
      </c>
      <c r="AS1981">
        <v>0</v>
      </c>
      <c r="AT1981">
        <v>0</v>
      </c>
      <c r="AU1981">
        <v>0</v>
      </c>
      <c r="AV1981">
        <v>0</v>
      </c>
      <c r="AW1981">
        <v>0</v>
      </c>
      <c r="AX1981">
        <v>0</v>
      </c>
      <c r="AY1981">
        <v>0</v>
      </c>
      <c r="AZ1981">
        <v>0</v>
      </c>
      <c r="BA1981">
        <v>0</v>
      </c>
      <c r="BB1981">
        <v>0</v>
      </c>
      <c r="BC1981">
        <v>0</v>
      </c>
      <c r="BD1981">
        <v>0</v>
      </c>
      <c r="BE1981">
        <v>0</v>
      </c>
      <c r="BF1981">
        <v>0</v>
      </c>
      <c r="BG1981">
        <v>0</v>
      </c>
      <c r="BH1981">
        <v>1</v>
      </c>
      <c r="BI1981">
        <v>1</v>
      </c>
      <c r="BJ1981">
        <v>1.9</v>
      </c>
      <c r="BK1981">
        <v>2</v>
      </c>
      <c r="BL1981">
        <v>69.98</v>
      </c>
      <c r="BM1981">
        <v>10.5</v>
      </c>
      <c r="BN1981">
        <v>80.48</v>
      </c>
      <c r="BO1981">
        <v>80.48</v>
      </c>
      <c r="BQ1981" t="s">
        <v>1476</v>
      </c>
      <c r="BR1981" t="s">
        <v>84</v>
      </c>
      <c r="BS1981" s="3">
        <v>45796</v>
      </c>
      <c r="BT1981" s="4">
        <v>0.52152777777777781</v>
      </c>
      <c r="BU1981" t="s">
        <v>1477</v>
      </c>
      <c r="BV1981" t="s">
        <v>86</v>
      </c>
      <c r="BY1981">
        <v>9600</v>
      </c>
      <c r="CA1981" t="s">
        <v>1468</v>
      </c>
      <c r="CC1981" t="s">
        <v>80</v>
      </c>
      <c r="CD1981">
        <v>3610</v>
      </c>
      <c r="CE1981" t="s">
        <v>96</v>
      </c>
      <c r="CF1981" s="3">
        <v>45797</v>
      </c>
      <c r="CI1981">
        <v>1</v>
      </c>
      <c r="CJ1981">
        <v>1</v>
      </c>
      <c r="CK1981">
        <v>21</v>
      </c>
      <c r="CL1981" t="s">
        <v>89</v>
      </c>
    </row>
    <row r="1982" spans="1:90" x14ac:dyDescent="0.3">
      <c r="A1982" t="s">
        <v>72</v>
      </c>
      <c r="B1982" t="s">
        <v>73</v>
      </c>
      <c r="C1982" t="s">
        <v>74</v>
      </c>
      <c r="E1982" t="str">
        <f>"080065416362"</f>
        <v>080065416362</v>
      </c>
      <c r="F1982" s="3">
        <v>45793</v>
      </c>
      <c r="G1982">
        <v>202602</v>
      </c>
      <c r="H1982" t="s">
        <v>75</v>
      </c>
      <c r="I1982" t="s">
        <v>76</v>
      </c>
      <c r="J1982" t="s">
        <v>77</v>
      </c>
      <c r="K1982" t="s">
        <v>78</v>
      </c>
      <c r="L1982" t="s">
        <v>177</v>
      </c>
      <c r="M1982" t="s">
        <v>178</v>
      </c>
      <c r="N1982" t="s">
        <v>393</v>
      </c>
      <c r="O1982" t="s">
        <v>82</v>
      </c>
      <c r="P1982" t="str">
        <f>"4170038948                    "</f>
        <v xml:space="preserve">4170038948                    </v>
      </c>
      <c r="Q1982">
        <v>0</v>
      </c>
      <c r="R1982">
        <v>0</v>
      </c>
      <c r="S1982">
        <v>0</v>
      </c>
      <c r="T1982">
        <v>0</v>
      </c>
      <c r="U1982">
        <v>0</v>
      </c>
      <c r="V1982">
        <v>0</v>
      </c>
      <c r="W1982">
        <v>0</v>
      </c>
      <c r="X1982">
        <v>0</v>
      </c>
      <c r="Y1982">
        <v>0</v>
      </c>
      <c r="Z1982">
        <v>0</v>
      </c>
      <c r="AA1982">
        <v>0</v>
      </c>
      <c r="AB1982">
        <v>0</v>
      </c>
      <c r="AC1982">
        <v>0</v>
      </c>
      <c r="AD1982">
        <v>0</v>
      </c>
      <c r="AE1982">
        <v>0</v>
      </c>
      <c r="AF1982">
        <v>0</v>
      </c>
      <c r="AG1982">
        <v>0</v>
      </c>
      <c r="AH1982">
        <v>0</v>
      </c>
      <c r="AI1982">
        <v>0</v>
      </c>
      <c r="AJ1982">
        <v>0</v>
      </c>
      <c r="AK1982">
        <v>0</v>
      </c>
      <c r="AL1982">
        <v>0</v>
      </c>
      <c r="AM1982">
        <v>0</v>
      </c>
      <c r="AN1982">
        <v>0</v>
      </c>
      <c r="AO1982">
        <v>0</v>
      </c>
      <c r="AP1982">
        <v>0</v>
      </c>
      <c r="AQ1982">
        <v>64.12</v>
      </c>
      <c r="AR1982">
        <v>0</v>
      </c>
      <c r="AS1982">
        <v>0</v>
      </c>
      <c r="AT1982">
        <v>0</v>
      </c>
      <c r="AU1982">
        <v>0</v>
      </c>
      <c r="AV1982">
        <v>0</v>
      </c>
      <c r="AW1982">
        <v>0</v>
      </c>
      <c r="AX1982">
        <v>0</v>
      </c>
      <c r="AY1982">
        <v>0</v>
      </c>
      <c r="AZ1982">
        <v>0</v>
      </c>
      <c r="BA1982">
        <v>0</v>
      </c>
      <c r="BB1982">
        <v>0</v>
      </c>
      <c r="BC1982">
        <v>0</v>
      </c>
      <c r="BD1982">
        <v>0</v>
      </c>
      <c r="BE1982">
        <v>0</v>
      </c>
      <c r="BF1982">
        <v>0</v>
      </c>
      <c r="BG1982">
        <v>0</v>
      </c>
      <c r="BH1982">
        <v>1</v>
      </c>
      <c r="BI1982">
        <v>6</v>
      </c>
      <c r="BJ1982">
        <v>2.5</v>
      </c>
      <c r="BK1982">
        <v>6</v>
      </c>
      <c r="BL1982">
        <v>209.84</v>
      </c>
      <c r="BM1982">
        <v>31.48</v>
      </c>
      <c r="BN1982">
        <v>241.32</v>
      </c>
      <c r="BO1982">
        <v>241.32</v>
      </c>
      <c r="BQ1982" t="s">
        <v>394</v>
      </c>
      <c r="BR1982" t="s">
        <v>84</v>
      </c>
      <c r="BS1982" s="3">
        <v>45796</v>
      </c>
      <c r="BT1982" s="4">
        <v>0.33333333333333331</v>
      </c>
      <c r="BU1982" t="s">
        <v>2345</v>
      </c>
      <c r="BV1982" t="s">
        <v>86</v>
      </c>
      <c r="BY1982">
        <v>12375</v>
      </c>
      <c r="CA1982" t="s">
        <v>182</v>
      </c>
      <c r="CC1982" t="s">
        <v>178</v>
      </c>
      <c r="CD1982">
        <v>6230</v>
      </c>
      <c r="CE1982" t="s">
        <v>221</v>
      </c>
      <c r="CF1982" s="3">
        <v>45796</v>
      </c>
      <c r="CI1982">
        <v>1</v>
      </c>
      <c r="CJ1982">
        <v>1</v>
      </c>
      <c r="CK1982">
        <v>21</v>
      </c>
      <c r="CL1982" t="s">
        <v>89</v>
      </c>
    </row>
    <row r="1983" spans="1:90" x14ac:dyDescent="0.3">
      <c r="A1983" t="s">
        <v>72</v>
      </c>
      <c r="B1983" t="s">
        <v>73</v>
      </c>
      <c r="C1983" t="s">
        <v>74</v>
      </c>
      <c r="E1983" t="str">
        <f>"080065416442"</f>
        <v>080065416442</v>
      </c>
      <c r="F1983" s="3">
        <v>45793</v>
      </c>
      <c r="G1983">
        <v>202602</v>
      </c>
      <c r="H1983" t="s">
        <v>75</v>
      </c>
      <c r="I1983" t="s">
        <v>76</v>
      </c>
      <c r="J1983" t="s">
        <v>77</v>
      </c>
      <c r="K1983" t="s">
        <v>78</v>
      </c>
      <c r="L1983" t="s">
        <v>123</v>
      </c>
      <c r="M1983" t="s">
        <v>123</v>
      </c>
      <c r="N1983" t="s">
        <v>766</v>
      </c>
      <c r="O1983" t="s">
        <v>82</v>
      </c>
      <c r="P1983" t="str">
        <f>"4170039119                    "</f>
        <v xml:space="preserve">4170039119                    </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c r="AJ1983">
        <v>0</v>
      </c>
      <c r="AK1983">
        <v>0</v>
      </c>
      <c r="AL1983">
        <v>0</v>
      </c>
      <c r="AM1983">
        <v>0</v>
      </c>
      <c r="AN1983">
        <v>0</v>
      </c>
      <c r="AO1983">
        <v>0</v>
      </c>
      <c r="AP1983">
        <v>0</v>
      </c>
      <c r="AQ1983">
        <v>116.27</v>
      </c>
      <c r="AR1983">
        <v>0</v>
      </c>
      <c r="AS1983">
        <v>0</v>
      </c>
      <c r="AT1983">
        <v>0</v>
      </c>
      <c r="AU1983">
        <v>0</v>
      </c>
      <c r="AV1983">
        <v>0</v>
      </c>
      <c r="AW1983">
        <v>0</v>
      </c>
      <c r="AX1983">
        <v>0</v>
      </c>
      <c r="AY1983">
        <v>0</v>
      </c>
      <c r="AZ1983">
        <v>0</v>
      </c>
      <c r="BA1983">
        <v>0</v>
      </c>
      <c r="BB1983">
        <v>0</v>
      </c>
      <c r="BC1983">
        <v>0</v>
      </c>
      <c r="BD1983">
        <v>0</v>
      </c>
      <c r="BE1983">
        <v>0</v>
      </c>
      <c r="BF1983">
        <v>0</v>
      </c>
      <c r="BG1983">
        <v>0</v>
      </c>
      <c r="BH1983">
        <v>1</v>
      </c>
      <c r="BI1983">
        <v>6</v>
      </c>
      <c r="BJ1983">
        <v>1.7</v>
      </c>
      <c r="BK1983">
        <v>6</v>
      </c>
      <c r="BL1983">
        <v>380.51</v>
      </c>
      <c r="BM1983">
        <v>57.08</v>
      </c>
      <c r="BN1983">
        <v>437.59</v>
      </c>
      <c r="BO1983">
        <v>437.59</v>
      </c>
      <c r="BQ1983" t="s">
        <v>767</v>
      </c>
      <c r="BR1983" t="s">
        <v>84</v>
      </c>
      <c r="BS1983" s="3">
        <v>45796</v>
      </c>
      <c r="BT1983" s="4">
        <v>0.52083333333333337</v>
      </c>
      <c r="BU1983" t="s">
        <v>2401</v>
      </c>
      <c r="BV1983" t="s">
        <v>86</v>
      </c>
      <c r="BY1983">
        <v>8512</v>
      </c>
      <c r="CA1983" t="s">
        <v>2381</v>
      </c>
      <c r="CC1983" t="s">
        <v>123</v>
      </c>
      <c r="CD1983">
        <v>7646</v>
      </c>
      <c r="CE1983" t="s">
        <v>96</v>
      </c>
      <c r="CF1983" s="3">
        <v>45797</v>
      </c>
      <c r="CI1983">
        <v>1</v>
      </c>
      <c r="CJ1983">
        <v>1</v>
      </c>
      <c r="CK1983">
        <v>23</v>
      </c>
      <c r="CL1983" t="s">
        <v>89</v>
      </c>
    </row>
    <row r="1984" spans="1:90" x14ac:dyDescent="0.3">
      <c r="A1984" t="s">
        <v>72</v>
      </c>
      <c r="B1984" t="s">
        <v>73</v>
      </c>
      <c r="C1984" t="s">
        <v>74</v>
      </c>
      <c r="E1984" t="str">
        <f>"080065416476"</f>
        <v>080065416476</v>
      </c>
      <c r="F1984" s="3">
        <v>45793</v>
      </c>
      <c r="G1984">
        <v>202602</v>
      </c>
      <c r="H1984" t="s">
        <v>75</v>
      </c>
      <c r="I1984" t="s">
        <v>76</v>
      </c>
      <c r="J1984" t="s">
        <v>77</v>
      </c>
      <c r="K1984" t="s">
        <v>78</v>
      </c>
      <c r="L1984" t="s">
        <v>130</v>
      </c>
      <c r="M1984" t="s">
        <v>131</v>
      </c>
      <c r="N1984" t="s">
        <v>327</v>
      </c>
      <c r="O1984" t="s">
        <v>82</v>
      </c>
      <c r="P1984" t="str">
        <f>"4170039059                    "</f>
        <v xml:space="preserve">4170039059                    </v>
      </c>
      <c r="Q1984">
        <v>0</v>
      </c>
      <c r="R1984">
        <v>0</v>
      </c>
      <c r="S1984">
        <v>0</v>
      </c>
      <c r="T1984">
        <v>0</v>
      </c>
      <c r="U1984">
        <v>0</v>
      </c>
      <c r="V1984">
        <v>0</v>
      </c>
      <c r="W1984">
        <v>0</v>
      </c>
      <c r="X1984">
        <v>0</v>
      </c>
      <c r="Y1984">
        <v>0</v>
      </c>
      <c r="Z1984">
        <v>0</v>
      </c>
      <c r="AA1984">
        <v>0</v>
      </c>
      <c r="AB1984">
        <v>0</v>
      </c>
      <c r="AC1984">
        <v>0</v>
      </c>
      <c r="AD1984">
        <v>0</v>
      </c>
      <c r="AE1984">
        <v>0</v>
      </c>
      <c r="AF1984">
        <v>0</v>
      </c>
      <c r="AG1984">
        <v>0</v>
      </c>
      <c r="AH1984">
        <v>0</v>
      </c>
      <c r="AI1984">
        <v>0</v>
      </c>
      <c r="AJ1984">
        <v>0</v>
      </c>
      <c r="AK1984">
        <v>0</v>
      </c>
      <c r="AL1984">
        <v>0</v>
      </c>
      <c r="AM1984">
        <v>0</v>
      </c>
      <c r="AN1984">
        <v>0</v>
      </c>
      <c r="AO1984">
        <v>0</v>
      </c>
      <c r="AP1984">
        <v>0</v>
      </c>
      <c r="AQ1984">
        <v>21.38</v>
      </c>
      <c r="AR1984">
        <v>0</v>
      </c>
      <c r="AS1984">
        <v>0</v>
      </c>
      <c r="AT1984">
        <v>0</v>
      </c>
      <c r="AU1984">
        <v>0</v>
      </c>
      <c r="AV1984">
        <v>0</v>
      </c>
      <c r="AW1984">
        <v>0</v>
      </c>
      <c r="AX1984">
        <v>0</v>
      </c>
      <c r="AY1984">
        <v>0</v>
      </c>
      <c r="AZ1984">
        <v>0</v>
      </c>
      <c r="BA1984">
        <v>0</v>
      </c>
      <c r="BB1984">
        <v>0</v>
      </c>
      <c r="BC1984">
        <v>0</v>
      </c>
      <c r="BD1984">
        <v>0</v>
      </c>
      <c r="BE1984">
        <v>0</v>
      </c>
      <c r="BF1984">
        <v>0</v>
      </c>
      <c r="BG1984">
        <v>0</v>
      </c>
      <c r="BH1984">
        <v>1</v>
      </c>
      <c r="BI1984">
        <v>1</v>
      </c>
      <c r="BJ1984">
        <v>0.2</v>
      </c>
      <c r="BK1984">
        <v>1</v>
      </c>
      <c r="BL1984">
        <v>69.98</v>
      </c>
      <c r="BM1984">
        <v>10.5</v>
      </c>
      <c r="BN1984">
        <v>80.48</v>
      </c>
      <c r="BO1984">
        <v>80.48</v>
      </c>
      <c r="BQ1984" t="s">
        <v>328</v>
      </c>
      <c r="BR1984" t="s">
        <v>84</v>
      </c>
      <c r="BS1984" s="3">
        <v>45797</v>
      </c>
      <c r="BT1984" s="4">
        <v>0.36736111111111114</v>
      </c>
      <c r="BU1984" t="s">
        <v>2465</v>
      </c>
      <c r="BV1984" t="s">
        <v>89</v>
      </c>
      <c r="BW1984" t="s">
        <v>340</v>
      </c>
      <c r="BX1984" t="s">
        <v>2466</v>
      </c>
      <c r="BY1984">
        <v>1200</v>
      </c>
      <c r="CA1984" t="s">
        <v>330</v>
      </c>
      <c r="CC1984" t="s">
        <v>131</v>
      </c>
      <c r="CD1984">
        <v>7480</v>
      </c>
      <c r="CE1984" t="s">
        <v>88</v>
      </c>
      <c r="CF1984" s="3">
        <v>45798</v>
      </c>
      <c r="CI1984">
        <v>1</v>
      </c>
      <c r="CJ1984">
        <v>2</v>
      </c>
      <c r="CK1984">
        <v>21</v>
      </c>
      <c r="CL1984" t="s">
        <v>89</v>
      </c>
    </row>
    <row r="1985" spans="1:90" x14ac:dyDescent="0.3">
      <c r="A1985" t="s">
        <v>72</v>
      </c>
      <c r="B1985" t="s">
        <v>73</v>
      </c>
      <c r="C1985" t="s">
        <v>74</v>
      </c>
      <c r="E1985" t="str">
        <f>"080065416477"</f>
        <v>080065416477</v>
      </c>
      <c r="F1985" s="3">
        <v>45793</v>
      </c>
      <c r="G1985">
        <v>202602</v>
      </c>
      <c r="H1985" t="s">
        <v>75</v>
      </c>
      <c r="I1985" t="s">
        <v>76</v>
      </c>
      <c r="J1985" t="s">
        <v>77</v>
      </c>
      <c r="K1985" t="s">
        <v>78</v>
      </c>
      <c r="L1985" t="s">
        <v>374</v>
      </c>
      <c r="M1985" t="s">
        <v>375</v>
      </c>
      <c r="N1985" t="s">
        <v>376</v>
      </c>
      <c r="O1985" t="s">
        <v>82</v>
      </c>
      <c r="P1985" t="str">
        <f>"4170039126                    "</f>
        <v xml:space="preserve">4170039126                    </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c r="AI1985">
        <v>0</v>
      </c>
      <c r="AJ1985">
        <v>0</v>
      </c>
      <c r="AK1985">
        <v>0</v>
      </c>
      <c r="AL1985">
        <v>0</v>
      </c>
      <c r="AM1985">
        <v>0</v>
      </c>
      <c r="AN1985">
        <v>0</v>
      </c>
      <c r="AO1985">
        <v>0</v>
      </c>
      <c r="AP1985">
        <v>0</v>
      </c>
      <c r="AQ1985">
        <v>50.78</v>
      </c>
      <c r="AR1985">
        <v>0</v>
      </c>
      <c r="AS1985">
        <v>0</v>
      </c>
      <c r="AT1985">
        <v>0</v>
      </c>
      <c r="AU1985">
        <v>0</v>
      </c>
      <c r="AV1985">
        <v>0</v>
      </c>
      <c r="AW1985">
        <v>0</v>
      </c>
      <c r="AX1985">
        <v>0</v>
      </c>
      <c r="AY1985">
        <v>0</v>
      </c>
      <c r="AZ1985">
        <v>0</v>
      </c>
      <c r="BA1985">
        <v>0</v>
      </c>
      <c r="BB1985">
        <v>0</v>
      </c>
      <c r="BC1985">
        <v>0</v>
      </c>
      <c r="BD1985">
        <v>0</v>
      </c>
      <c r="BE1985">
        <v>0</v>
      </c>
      <c r="BF1985">
        <v>0</v>
      </c>
      <c r="BG1985">
        <v>0</v>
      </c>
      <c r="BH1985">
        <v>1</v>
      </c>
      <c r="BI1985">
        <v>2</v>
      </c>
      <c r="BJ1985">
        <v>2.1</v>
      </c>
      <c r="BK1985">
        <v>2.5</v>
      </c>
      <c r="BL1985">
        <v>166.2</v>
      </c>
      <c r="BM1985">
        <v>24.93</v>
      </c>
      <c r="BN1985">
        <v>191.13</v>
      </c>
      <c r="BO1985">
        <v>191.13</v>
      </c>
      <c r="BQ1985" t="s">
        <v>377</v>
      </c>
      <c r="BR1985" t="s">
        <v>84</v>
      </c>
      <c r="BS1985" s="3">
        <v>45796</v>
      </c>
      <c r="BT1985" s="4">
        <v>0.39652777777777776</v>
      </c>
      <c r="BU1985" t="s">
        <v>2403</v>
      </c>
      <c r="BV1985" t="s">
        <v>86</v>
      </c>
      <c r="BY1985">
        <v>10584</v>
      </c>
      <c r="CA1985" t="s">
        <v>379</v>
      </c>
      <c r="CC1985" t="s">
        <v>375</v>
      </c>
      <c r="CD1985">
        <v>7130</v>
      </c>
      <c r="CE1985" t="s">
        <v>221</v>
      </c>
      <c r="CF1985" s="3">
        <v>45797</v>
      </c>
      <c r="CI1985">
        <v>1</v>
      </c>
      <c r="CJ1985">
        <v>1</v>
      </c>
      <c r="CK1985">
        <v>23</v>
      </c>
      <c r="CL1985" t="s">
        <v>89</v>
      </c>
    </row>
    <row r="1986" spans="1:90" x14ac:dyDescent="0.3">
      <c r="A1986" t="s">
        <v>72</v>
      </c>
      <c r="B1986" t="s">
        <v>73</v>
      </c>
      <c r="C1986" t="s">
        <v>74</v>
      </c>
      <c r="E1986" t="str">
        <f>"080065416496"</f>
        <v>080065416496</v>
      </c>
      <c r="F1986" s="3">
        <v>45793</v>
      </c>
      <c r="G1986">
        <v>202602</v>
      </c>
      <c r="H1986" t="s">
        <v>75</v>
      </c>
      <c r="I1986" t="s">
        <v>76</v>
      </c>
      <c r="J1986" t="s">
        <v>77</v>
      </c>
      <c r="K1986" t="s">
        <v>78</v>
      </c>
      <c r="L1986" t="s">
        <v>79</v>
      </c>
      <c r="M1986" t="s">
        <v>80</v>
      </c>
      <c r="N1986" t="s">
        <v>862</v>
      </c>
      <c r="O1986" t="s">
        <v>82</v>
      </c>
      <c r="P1986" t="str">
        <f>"4170039052                    "</f>
        <v xml:space="preserve">4170039052                    </v>
      </c>
      <c r="Q1986">
        <v>0</v>
      </c>
      <c r="R1986">
        <v>0</v>
      </c>
      <c r="S1986">
        <v>0</v>
      </c>
      <c r="T1986">
        <v>0</v>
      </c>
      <c r="U1986">
        <v>0</v>
      </c>
      <c r="V1986">
        <v>0</v>
      </c>
      <c r="W1986">
        <v>0</v>
      </c>
      <c r="X1986">
        <v>0</v>
      </c>
      <c r="Y1986">
        <v>0</v>
      </c>
      <c r="Z1986">
        <v>0</v>
      </c>
      <c r="AA1986">
        <v>0</v>
      </c>
      <c r="AB1986">
        <v>0</v>
      </c>
      <c r="AC1986">
        <v>0</v>
      </c>
      <c r="AD1986">
        <v>0</v>
      </c>
      <c r="AE1986">
        <v>0</v>
      </c>
      <c r="AF1986">
        <v>0</v>
      </c>
      <c r="AG1986">
        <v>0</v>
      </c>
      <c r="AH1986">
        <v>0</v>
      </c>
      <c r="AI1986">
        <v>0</v>
      </c>
      <c r="AJ1986">
        <v>0</v>
      </c>
      <c r="AK1986">
        <v>0</v>
      </c>
      <c r="AL1986">
        <v>0</v>
      </c>
      <c r="AM1986">
        <v>0</v>
      </c>
      <c r="AN1986">
        <v>0</v>
      </c>
      <c r="AO1986">
        <v>0</v>
      </c>
      <c r="AP1986">
        <v>0</v>
      </c>
      <c r="AQ1986">
        <v>21.38</v>
      </c>
      <c r="AR1986">
        <v>0</v>
      </c>
      <c r="AS1986">
        <v>0</v>
      </c>
      <c r="AT1986">
        <v>0</v>
      </c>
      <c r="AU1986">
        <v>0</v>
      </c>
      <c r="AV1986">
        <v>0</v>
      </c>
      <c r="AW1986">
        <v>0</v>
      </c>
      <c r="AX1986">
        <v>0</v>
      </c>
      <c r="AY1986">
        <v>0</v>
      </c>
      <c r="AZ1986">
        <v>0</v>
      </c>
      <c r="BA1986">
        <v>0</v>
      </c>
      <c r="BB1986">
        <v>0</v>
      </c>
      <c r="BC1986">
        <v>0</v>
      </c>
      <c r="BD1986">
        <v>0</v>
      </c>
      <c r="BE1986">
        <v>0</v>
      </c>
      <c r="BF1986">
        <v>0</v>
      </c>
      <c r="BG1986">
        <v>0</v>
      </c>
      <c r="BH1986">
        <v>1</v>
      </c>
      <c r="BI1986">
        <v>1</v>
      </c>
      <c r="BJ1986">
        <v>0.2</v>
      </c>
      <c r="BK1986">
        <v>1</v>
      </c>
      <c r="BL1986">
        <v>69.98</v>
      </c>
      <c r="BM1986">
        <v>10.5</v>
      </c>
      <c r="BN1986">
        <v>80.48</v>
      </c>
      <c r="BO1986">
        <v>80.48</v>
      </c>
      <c r="BQ1986" t="s">
        <v>863</v>
      </c>
      <c r="BR1986" t="s">
        <v>84</v>
      </c>
      <c r="BS1986" s="3">
        <v>45796</v>
      </c>
      <c r="BT1986" s="4">
        <v>0.375</v>
      </c>
      <c r="BU1986" t="s">
        <v>2397</v>
      </c>
      <c r="BV1986" t="s">
        <v>86</v>
      </c>
      <c r="BY1986">
        <v>1200</v>
      </c>
      <c r="CA1986" t="s">
        <v>160</v>
      </c>
      <c r="CC1986" t="s">
        <v>80</v>
      </c>
      <c r="CD1986">
        <v>3610</v>
      </c>
      <c r="CE1986" t="s">
        <v>88</v>
      </c>
      <c r="CF1986" s="3">
        <v>45796</v>
      </c>
      <c r="CI1986">
        <v>1</v>
      </c>
      <c r="CJ1986">
        <v>1</v>
      </c>
      <c r="CK1986">
        <v>21</v>
      </c>
      <c r="CL1986" t="s">
        <v>89</v>
      </c>
    </row>
    <row r="1987" spans="1:90" x14ac:dyDescent="0.3">
      <c r="A1987" t="s">
        <v>72</v>
      </c>
      <c r="B1987" t="s">
        <v>73</v>
      </c>
      <c r="C1987" t="s">
        <v>74</v>
      </c>
      <c r="E1987" t="str">
        <f>"080065416500"</f>
        <v>080065416500</v>
      </c>
      <c r="F1987" s="3">
        <v>45793</v>
      </c>
      <c r="G1987">
        <v>202602</v>
      </c>
      <c r="H1987" t="s">
        <v>75</v>
      </c>
      <c r="I1987" t="s">
        <v>76</v>
      </c>
      <c r="J1987" t="s">
        <v>77</v>
      </c>
      <c r="K1987" t="s">
        <v>78</v>
      </c>
      <c r="L1987" t="s">
        <v>232</v>
      </c>
      <c r="M1987" t="s">
        <v>233</v>
      </c>
      <c r="N1987" t="s">
        <v>1108</v>
      </c>
      <c r="O1987" t="s">
        <v>82</v>
      </c>
      <c r="P1987" t="str">
        <f>"4170039088                    "</f>
        <v xml:space="preserve">4170039088                    </v>
      </c>
      <c r="Q1987">
        <v>0</v>
      </c>
      <c r="R1987">
        <v>0</v>
      </c>
      <c r="S1987">
        <v>0</v>
      </c>
      <c r="T1987">
        <v>0</v>
      </c>
      <c r="U1987">
        <v>0</v>
      </c>
      <c r="V1987">
        <v>0</v>
      </c>
      <c r="W1987">
        <v>0</v>
      </c>
      <c r="X1987">
        <v>0</v>
      </c>
      <c r="Y1987">
        <v>0</v>
      </c>
      <c r="Z1987">
        <v>0</v>
      </c>
      <c r="AA1987">
        <v>0</v>
      </c>
      <c r="AB1987">
        <v>0</v>
      </c>
      <c r="AC1987">
        <v>0</v>
      </c>
      <c r="AD1987">
        <v>0</v>
      </c>
      <c r="AE1987">
        <v>0</v>
      </c>
      <c r="AF1987">
        <v>0</v>
      </c>
      <c r="AG1987">
        <v>0</v>
      </c>
      <c r="AH1987">
        <v>0</v>
      </c>
      <c r="AI1987">
        <v>0</v>
      </c>
      <c r="AJ1987">
        <v>0</v>
      </c>
      <c r="AK1987">
        <v>0</v>
      </c>
      <c r="AL1987">
        <v>0</v>
      </c>
      <c r="AM1987">
        <v>0</v>
      </c>
      <c r="AN1987">
        <v>0</v>
      </c>
      <c r="AO1987">
        <v>0</v>
      </c>
      <c r="AP1987">
        <v>0</v>
      </c>
      <c r="AQ1987">
        <v>32.07</v>
      </c>
      <c r="AR1987">
        <v>0</v>
      </c>
      <c r="AS1987">
        <v>0</v>
      </c>
      <c r="AT1987">
        <v>0</v>
      </c>
      <c r="AU1987">
        <v>0</v>
      </c>
      <c r="AV1987">
        <v>0</v>
      </c>
      <c r="AW1987">
        <v>0</v>
      </c>
      <c r="AX1987">
        <v>0</v>
      </c>
      <c r="AY1987">
        <v>0</v>
      </c>
      <c r="AZ1987">
        <v>0</v>
      </c>
      <c r="BA1987">
        <v>0</v>
      </c>
      <c r="BB1987">
        <v>0</v>
      </c>
      <c r="BC1987">
        <v>0</v>
      </c>
      <c r="BD1987">
        <v>0</v>
      </c>
      <c r="BE1987">
        <v>0</v>
      </c>
      <c r="BF1987">
        <v>0</v>
      </c>
      <c r="BG1987">
        <v>0</v>
      </c>
      <c r="BH1987">
        <v>1</v>
      </c>
      <c r="BI1987">
        <v>3</v>
      </c>
      <c r="BJ1987">
        <v>2.2999999999999998</v>
      </c>
      <c r="BK1987">
        <v>3</v>
      </c>
      <c r="BL1987">
        <v>104.95</v>
      </c>
      <c r="BM1987">
        <v>15.74</v>
      </c>
      <c r="BN1987">
        <v>120.69</v>
      </c>
      <c r="BO1987">
        <v>120.69</v>
      </c>
      <c r="BQ1987" t="s">
        <v>1109</v>
      </c>
      <c r="BR1987" t="s">
        <v>84</v>
      </c>
      <c r="BS1987" s="3">
        <v>45796</v>
      </c>
      <c r="BT1987" s="4">
        <v>0.4375</v>
      </c>
      <c r="BU1987" t="s">
        <v>2368</v>
      </c>
      <c r="BV1987" t="s">
        <v>86</v>
      </c>
      <c r="BY1987">
        <v>11264</v>
      </c>
      <c r="CA1987" t="s">
        <v>2369</v>
      </c>
      <c r="CC1987" t="s">
        <v>233</v>
      </c>
      <c r="CD1987" s="5" t="s">
        <v>238</v>
      </c>
      <c r="CE1987" t="s">
        <v>221</v>
      </c>
      <c r="CF1987" s="3">
        <v>45796</v>
      </c>
      <c r="CI1987">
        <v>1</v>
      </c>
      <c r="CJ1987">
        <v>1</v>
      </c>
      <c r="CK1987">
        <v>21</v>
      </c>
      <c r="CL1987" t="s">
        <v>89</v>
      </c>
    </row>
    <row r="1988" spans="1:90" x14ac:dyDescent="0.3">
      <c r="A1988" t="s">
        <v>72</v>
      </c>
      <c r="B1988" t="s">
        <v>73</v>
      </c>
      <c r="C1988" t="s">
        <v>74</v>
      </c>
      <c r="E1988" t="str">
        <f>"080065416516"</f>
        <v>080065416516</v>
      </c>
      <c r="F1988" s="3">
        <v>45793</v>
      </c>
      <c r="G1988">
        <v>202602</v>
      </c>
      <c r="H1988" t="s">
        <v>75</v>
      </c>
      <c r="I1988" t="s">
        <v>76</v>
      </c>
      <c r="J1988" t="s">
        <v>77</v>
      </c>
      <c r="K1988" t="s">
        <v>78</v>
      </c>
      <c r="L1988" t="s">
        <v>97</v>
      </c>
      <c r="M1988" t="s">
        <v>98</v>
      </c>
      <c r="N1988" t="s">
        <v>200</v>
      </c>
      <c r="O1988" t="s">
        <v>82</v>
      </c>
      <c r="P1988" t="str">
        <f>"4170038920                    "</f>
        <v xml:space="preserve">4170038920                    </v>
      </c>
      <c r="Q1988">
        <v>0</v>
      </c>
      <c r="R1988">
        <v>0</v>
      </c>
      <c r="S1988">
        <v>0</v>
      </c>
      <c r="T1988">
        <v>0</v>
      </c>
      <c r="U1988">
        <v>0</v>
      </c>
      <c r="V1988">
        <v>0</v>
      </c>
      <c r="W1988">
        <v>0</v>
      </c>
      <c r="X1988">
        <v>0</v>
      </c>
      <c r="Y1988">
        <v>0</v>
      </c>
      <c r="Z1988">
        <v>0</v>
      </c>
      <c r="AA1988">
        <v>0</v>
      </c>
      <c r="AB1988">
        <v>0</v>
      </c>
      <c r="AC1988">
        <v>0</v>
      </c>
      <c r="AD1988">
        <v>0</v>
      </c>
      <c r="AE1988">
        <v>0</v>
      </c>
      <c r="AF1988">
        <v>0</v>
      </c>
      <c r="AG1988">
        <v>0</v>
      </c>
      <c r="AH1988">
        <v>0</v>
      </c>
      <c r="AI1988">
        <v>0</v>
      </c>
      <c r="AJ1988">
        <v>0</v>
      </c>
      <c r="AK1988">
        <v>0</v>
      </c>
      <c r="AL1988">
        <v>0</v>
      </c>
      <c r="AM1988">
        <v>0</v>
      </c>
      <c r="AN1988">
        <v>0</v>
      </c>
      <c r="AO1988">
        <v>0</v>
      </c>
      <c r="AP1988">
        <v>0</v>
      </c>
      <c r="AQ1988">
        <v>16.7</v>
      </c>
      <c r="AR1988">
        <v>0</v>
      </c>
      <c r="AS1988">
        <v>0</v>
      </c>
      <c r="AT1988">
        <v>0</v>
      </c>
      <c r="AU1988">
        <v>0</v>
      </c>
      <c r="AV1988">
        <v>0</v>
      </c>
      <c r="AW1988">
        <v>0</v>
      </c>
      <c r="AX1988">
        <v>0</v>
      </c>
      <c r="AY1988">
        <v>0</v>
      </c>
      <c r="AZ1988">
        <v>0</v>
      </c>
      <c r="BA1988">
        <v>0</v>
      </c>
      <c r="BB1988">
        <v>0</v>
      </c>
      <c r="BC1988">
        <v>0</v>
      </c>
      <c r="BD1988">
        <v>0</v>
      </c>
      <c r="BE1988">
        <v>0</v>
      </c>
      <c r="BF1988">
        <v>0</v>
      </c>
      <c r="BG1988">
        <v>0</v>
      </c>
      <c r="BH1988">
        <v>1</v>
      </c>
      <c r="BI1988">
        <v>1</v>
      </c>
      <c r="BJ1988">
        <v>0.2</v>
      </c>
      <c r="BK1988">
        <v>1</v>
      </c>
      <c r="BL1988">
        <v>54.66</v>
      </c>
      <c r="BM1988">
        <v>8.1999999999999993</v>
      </c>
      <c r="BN1988">
        <v>62.86</v>
      </c>
      <c r="BO1988">
        <v>62.86</v>
      </c>
      <c r="BQ1988" t="s">
        <v>201</v>
      </c>
      <c r="BR1988" t="s">
        <v>84</v>
      </c>
      <c r="BS1988" s="3">
        <v>45796</v>
      </c>
      <c r="BT1988" s="4">
        <v>0.37152777777777779</v>
      </c>
      <c r="BU1988" t="s">
        <v>2467</v>
      </c>
      <c r="BV1988" t="s">
        <v>86</v>
      </c>
      <c r="BY1988">
        <v>1200</v>
      </c>
      <c r="CC1988" t="s">
        <v>98</v>
      </c>
      <c r="CD1988">
        <v>1459</v>
      </c>
      <c r="CE1988" t="s">
        <v>88</v>
      </c>
      <c r="CF1988" s="3">
        <v>45797</v>
      </c>
      <c r="CI1988">
        <v>1</v>
      </c>
      <c r="CJ1988">
        <v>1</v>
      </c>
      <c r="CK1988">
        <v>22</v>
      </c>
      <c r="CL1988" t="s">
        <v>89</v>
      </c>
    </row>
    <row r="1989" spans="1:90" x14ac:dyDescent="0.3">
      <c r="A1989" t="s">
        <v>72</v>
      </c>
      <c r="B1989" t="s">
        <v>73</v>
      </c>
      <c r="C1989" t="s">
        <v>74</v>
      </c>
      <c r="E1989" t="str">
        <f>"080065416530"</f>
        <v>080065416530</v>
      </c>
      <c r="F1989" s="3">
        <v>45793</v>
      </c>
      <c r="G1989">
        <v>202602</v>
      </c>
      <c r="H1989" t="s">
        <v>75</v>
      </c>
      <c r="I1989" t="s">
        <v>76</v>
      </c>
      <c r="J1989" t="s">
        <v>77</v>
      </c>
      <c r="K1989" t="s">
        <v>78</v>
      </c>
      <c r="L1989" t="s">
        <v>117</v>
      </c>
      <c r="M1989" t="s">
        <v>118</v>
      </c>
      <c r="N1989" t="s">
        <v>2468</v>
      </c>
      <c r="O1989" t="s">
        <v>602</v>
      </c>
      <c r="P1989" t="str">
        <f>"4170039061                    "</f>
        <v xml:space="preserve">4170039061                    </v>
      </c>
      <c r="Q1989">
        <v>0</v>
      </c>
      <c r="R1989">
        <v>0</v>
      </c>
      <c r="S1989">
        <v>0</v>
      </c>
      <c r="T1989">
        <v>0</v>
      </c>
      <c r="U1989">
        <v>0</v>
      </c>
      <c r="V1989">
        <v>0</v>
      </c>
      <c r="W1989">
        <v>0</v>
      </c>
      <c r="X1989">
        <v>0</v>
      </c>
      <c r="Y1989">
        <v>0</v>
      </c>
      <c r="Z1989">
        <v>0</v>
      </c>
      <c r="AA1989">
        <v>0</v>
      </c>
      <c r="AB1989">
        <v>0</v>
      </c>
      <c r="AC1989">
        <v>0</v>
      </c>
      <c r="AD1989">
        <v>0</v>
      </c>
      <c r="AE1989">
        <v>0</v>
      </c>
      <c r="AF1989">
        <v>0</v>
      </c>
      <c r="AG1989">
        <v>0</v>
      </c>
      <c r="AH1989">
        <v>0</v>
      </c>
      <c r="AI1989">
        <v>0</v>
      </c>
      <c r="AJ1989">
        <v>0</v>
      </c>
      <c r="AK1989">
        <v>0</v>
      </c>
      <c r="AL1989">
        <v>0</v>
      </c>
      <c r="AM1989">
        <v>0</v>
      </c>
      <c r="AN1989">
        <v>0</v>
      </c>
      <c r="AO1989">
        <v>0</v>
      </c>
      <c r="AP1989">
        <v>0</v>
      </c>
      <c r="AQ1989">
        <v>18.579999999999998</v>
      </c>
      <c r="AR1989">
        <v>0</v>
      </c>
      <c r="AS1989">
        <v>0</v>
      </c>
      <c r="AT1989">
        <v>0</v>
      </c>
      <c r="AU1989">
        <v>0</v>
      </c>
      <c r="AV1989">
        <v>0</v>
      </c>
      <c r="AW1989">
        <v>0</v>
      </c>
      <c r="AX1989">
        <v>0</v>
      </c>
      <c r="AY1989">
        <v>0</v>
      </c>
      <c r="AZ1989">
        <v>0</v>
      </c>
      <c r="BA1989">
        <v>0</v>
      </c>
      <c r="BB1989">
        <v>0</v>
      </c>
      <c r="BC1989">
        <v>0</v>
      </c>
      <c r="BD1989">
        <v>0</v>
      </c>
      <c r="BE1989">
        <v>0</v>
      </c>
      <c r="BF1989">
        <v>0</v>
      </c>
      <c r="BG1989">
        <v>0</v>
      </c>
      <c r="BH1989">
        <v>1</v>
      </c>
      <c r="BI1989">
        <v>6</v>
      </c>
      <c r="BJ1989">
        <v>8.9</v>
      </c>
      <c r="BK1989">
        <v>9</v>
      </c>
      <c r="BL1989">
        <v>60.81</v>
      </c>
      <c r="BM1989">
        <v>9.1199999999999992</v>
      </c>
      <c r="BN1989">
        <v>69.930000000000007</v>
      </c>
      <c r="BO1989">
        <v>69.930000000000007</v>
      </c>
      <c r="BQ1989" t="s">
        <v>2469</v>
      </c>
      <c r="BR1989" t="s">
        <v>84</v>
      </c>
      <c r="BS1989" s="3">
        <v>45796</v>
      </c>
      <c r="BT1989" s="4">
        <v>0.37569444444444444</v>
      </c>
      <c r="BU1989" t="s">
        <v>2470</v>
      </c>
      <c r="BV1989" t="s">
        <v>86</v>
      </c>
      <c r="BY1989">
        <v>44688</v>
      </c>
      <c r="CA1989" t="s">
        <v>2320</v>
      </c>
      <c r="CC1989" t="s">
        <v>118</v>
      </c>
      <c r="CD1989">
        <v>2007</v>
      </c>
      <c r="CE1989" t="s">
        <v>221</v>
      </c>
      <c r="CF1989" s="3">
        <v>45797</v>
      </c>
      <c r="CI1989">
        <v>1</v>
      </c>
      <c r="CJ1989">
        <v>1</v>
      </c>
      <c r="CK1989">
        <v>32</v>
      </c>
      <c r="CL1989" t="s">
        <v>89</v>
      </c>
    </row>
    <row r="1990" spans="1:90" x14ac:dyDescent="0.3">
      <c r="A1990" t="s">
        <v>72</v>
      </c>
      <c r="B1990" t="s">
        <v>73</v>
      </c>
      <c r="C1990" t="s">
        <v>74</v>
      </c>
      <c r="E1990" t="str">
        <f>"080065416542"</f>
        <v>080065416542</v>
      </c>
      <c r="F1990" s="3">
        <v>45793</v>
      </c>
      <c r="G1990">
        <v>202602</v>
      </c>
      <c r="H1990" t="s">
        <v>75</v>
      </c>
      <c r="I1990" t="s">
        <v>76</v>
      </c>
      <c r="J1990" t="s">
        <v>77</v>
      </c>
      <c r="K1990" t="s">
        <v>78</v>
      </c>
      <c r="L1990" t="s">
        <v>360</v>
      </c>
      <c r="M1990" t="s">
        <v>361</v>
      </c>
      <c r="N1990" t="s">
        <v>362</v>
      </c>
      <c r="O1990" t="s">
        <v>82</v>
      </c>
      <c r="P1990" t="str">
        <f>"4170039109                    "</f>
        <v xml:space="preserve">4170039109                    </v>
      </c>
      <c r="Q1990">
        <v>0</v>
      </c>
      <c r="R1990">
        <v>0</v>
      </c>
      <c r="S1990">
        <v>0</v>
      </c>
      <c r="T1990">
        <v>0</v>
      </c>
      <c r="U1990">
        <v>0</v>
      </c>
      <c r="V1990">
        <v>0</v>
      </c>
      <c r="W1990">
        <v>0</v>
      </c>
      <c r="X1990">
        <v>0</v>
      </c>
      <c r="Y1990">
        <v>0</v>
      </c>
      <c r="Z1990">
        <v>0</v>
      </c>
      <c r="AA1990">
        <v>0</v>
      </c>
      <c r="AB1990">
        <v>0</v>
      </c>
      <c r="AC1990">
        <v>0</v>
      </c>
      <c r="AD1990">
        <v>0</v>
      </c>
      <c r="AE1990">
        <v>0</v>
      </c>
      <c r="AF1990">
        <v>0</v>
      </c>
      <c r="AG1990">
        <v>0</v>
      </c>
      <c r="AH1990">
        <v>0</v>
      </c>
      <c r="AI1990">
        <v>0</v>
      </c>
      <c r="AJ1990">
        <v>0</v>
      </c>
      <c r="AK1990">
        <v>0</v>
      </c>
      <c r="AL1990">
        <v>0</v>
      </c>
      <c r="AM1990">
        <v>0</v>
      </c>
      <c r="AN1990">
        <v>0</v>
      </c>
      <c r="AO1990">
        <v>0</v>
      </c>
      <c r="AP1990">
        <v>0</v>
      </c>
      <c r="AQ1990">
        <v>41.43</v>
      </c>
      <c r="AR1990">
        <v>0</v>
      </c>
      <c r="AS1990">
        <v>0</v>
      </c>
      <c r="AT1990">
        <v>0</v>
      </c>
      <c r="AU1990">
        <v>0</v>
      </c>
      <c r="AV1990">
        <v>0</v>
      </c>
      <c r="AW1990">
        <v>0</v>
      </c>
      <c r="AX1990">
        <v>0</v>
      </c>
      <c r="AY1990">
        <v>0</v>
      </c>
      <c r="AZ1990">
        <v>0</v>
      </c>
      <c r="BA1990">
        <v>0</v>
      </c>
      <c r="BB1990">
        <v>0</v>
      </c>
      <c r="BC1990">
        <v>0</v>
      </c>
      <c r="BD1990">
        <v>0</v>
      </c>
      <c r="BE1990">
        <v>0</v>
      </c>
      <c r="BF1990">
        <v>0</v>
      </c>
      <c r="BG1990">
        <v>0</v>
      </c>
      <c r="BH1990">
        <v>1</v>
      </c>
      <c r="BI1990">
        <v>1</v>
      </c>
      <c r="BJ1990">
        <v>0.2</v>
      </c>
      <c r="BK1990">
        <v>1</v>
      </c>
      <c r="BL1990">
        <v>135.59</v>
      </c>
      <c r="BM1990">
        <v>20.34</v>
      </c>
      <c r="BN1990">
        <v>155.93</v>
      </c>
      <c r="BO1990">
        <v>155.93</v>
      </c>
      <c r="BQ1990" t="s">
        <v>363</v>
      </c>
      <c r="BR1990" t="s">
        <v>84</v>
      </c>
      <c r="BS1990" s="3">
        <v>45797</v>
      </c>
      <c r="BT1990" s="4">
        <v>0.625</v>
      </c>
      <c r="BU1990" t="s">
        <v>1246</v>
      </c>
      <c r="BV1990" t="s">
        <v>89</v>
      </c>
      <c r="BW1990" t="s">
        <v>340</v>
      </c>
      <c r="BX1990" t="s">
        <v>1315</v>
      </c>
      <c r="BY1990">
        <v>1200</v>
      </c>
      <c r="CA1990" t="s">
        <v>365</v>
      </c>
      <c r="CC1990" t="s">
        <v>361</v>
      </c>
      <c r="CD1990">
        <v>7299</v>
      </c>
      <c r="CE1990" t="s">
        <v>88</v>
      </c>
      <c r="CF1990" s="3">
        <v>45798</v>
      </c>
      <c r="CI1990">
        <v>1</v>
      </c>
      <c r="CJ1990">
        <v>2</v>
      </c>
      <c r="CK1990">
        <v>23</v>
      </c>
      <c r="CL1990" t="s">
        <v>89</v>
      </c>
    </row>
    <row r="1991" spans="1:90" x14ac:dyDescent="0.3">
      <c r="A1991" t="s">
        <v>72</v>
      </c>
      <c r="B1991" t="s">
        <v>73</v>
      </c>
      <c r="C1991" t="s">
        <v>74</v>
      </c>
      <c r="E1991" t="str">
        <f>"080065416566"</f>
        <v>080065416566</v>
      </c>
      <c r="F1991" s="3">
        <v>45793</v>
      </c>
      <c r="G1991">
        <v>202602</v>
      </c>
      <c r="H1991" t="s">
        <v>75</v>
      </c>
      <c r="I1991" t="s">
        <v>76</v>
      </c>
      <c r="J1991" t="s">
        <v>77</v>
      </c>
      <c r="K1991" t="s">
        <v>78</v>
      </c>
      <c r="L1991" t="s">
        <v>844</v>
      </c>
      <c r="M1991" t="s">
        <v>845</v>
      </c>
      <c r="N1991" t="s">
        <v>846</v>
      </c>
      <c r="O1991" t="s">
        <v>82</v>
      </c>
      <c r="P1991" t="str">
        <f>"4170039118                    "</f>
        <v xml:space="preserve">4170039118                    </v>
      </c>
      <c r="Q1991">
        <v>0</v>
      </c>
      <c r="R1991">
        <v>0</v>
      </c>
      <c r="S1991">
        <v>0</v>
      </c>
      <c r="T1991">
        <v>0</v>
      </c>
      <c r="U1991">
        <v>0</v>
      </c>
      <c r="V1991">
        <v>0</v>
      </c>
      <c r="W1991">
        <v>0</v>
      </c>
      <c r="X1991">
        <v>0</v>
      </c>
      <c r="Y1991">
        <v>0</v>
      </c>
      <c r="Z1991">
        <v>0</v>
      </c>
      <c r="AA1991">
        <v>0</v>
      </c>
      <c r="AB1991">
        <v>0</v>
      </c>
      <c r="AC1991">
        <v>0</v>
      </c>
      <c r="AD1991">
        <v>0</v>
      </c>
      <c r="AE1991">
        <v>0</v>
      </c>
      <c r="AF1991">
        <v>0</v>
      </c>
      <c r="AG1991">
        <v>0</v>
      </c>
      <c r="AH1991">
        <v>0</v>
      </c>
      <c r="AI1991">
        <v>0</v>
      </c>
      <c r="AJ1991">
        <v>0</v>
      </c>
      <c r="AK1991">
        <v>0</v>
      </c>
      <c r="AL1991">
        <v>0</v>
      </c>
      <c r="AM1991">
        <v>0</v>
      </c>
      <c r="AN1991">
        <v>0</v>
      </c>
      <c r="AO1991">
        <v>0</v>
      </c>
      <c r="AP1991">
        <v>0</v>
      </c>
      <c r="AQ1991">
        <v>21.38</v>
      </c>
      <c r="AR1991">
        <v>0</v>
      </c>
      <c r="AS1991">
        <v>0</v>
      </c>
      <c r="AT1991">
        <v>0</v>
      </c>
      <c r="AU1991">
        <v>0</v>
      </c>
      <c r="AV1991">
        <v>0</v>
      </c>
      <c r="AW1991">
        <v>0</v>
      </c>
      <c r="AX1991">
        <v>0</v>
      </c>
      <c r="AY1991">
        <v>0</v>
      </c>
      <c r="AZ1991">
        <v>0</v>
      </c>
      <c r="BA1991">
        <v>0</v>
      </c>
      <c r="BB1991">
        <v>0</v>
      </c>
      <c r="BC1991">
        <v>0</v>
      </c>
      <c r="BD1991">
        <v>0</v>
      </c>
      <c r="BE1991">
        <v>0</v>
      </c>
      <c r="BF1991">
        <v>0</v>
      </c>
      <c r="BG1991">
        <v>0</v>
      </c>
      <c r="BH1991">
        <v>1</v>
      </c>
      <c r="BI1991">
        <v>1</v>
      </c>
      <c r="BJ1991">
        <v>0.2</v>
      </c>
      <c r="BK1991">
        <v>1</v>
      </c>
      <c r="BL1991">
        <v>69.98</v>
      </c>
      <c r="BM1991">
        <v>10.5</v>
      </c>
      <c r="BN1991">
        <v>80.48</v>
      </c>
      <c r="BO1991">
        <v>80.48</v>
      </c>
      <c r="BQ1991" t="s">
        <v>847</v>
      </c>
      <c r="BR1991" t="s">
        <v>84</v>
      </c>
      <c r="BS1991" s="3">
        <v>45797</v>
      </c>
      <c r="BT1991" s="4">
        <v>0.3576388888888889</v>
      </c>
      <c r="BU1991" t="s">
        <v>2471</v>
      </c>
      <c r="BV1991" t="s">
        <v>89</v>
      </c>
      <c r="BW1991" t="s">
        <v>340</v>
      </c>
      <c r="BX1991" t="s">
        <v>341</v>
      </c>
      <c r="BY1991">
        <v>1200</v>
      </c>
      <c r="CA1991" t="s">
        <v>849</v>
      </c>
      <c r="CC1991" t="s">
        <v>845</v>
      </c>
      <c r="CD1991">
        <v>7600</v>
      </c>
      <c r="CE1991" t="s">
        <v>88</v>
      </c>
      <c r="CF1991" s="3">
        <v>45798</v>
      </c>
      <c r="CI1991">
        <v>1</v>
      </c>
      <c r="CJ1991">
        <v>2</v>
      </c>
      <c r="CK1991">
        <v>21</v>
      </c>
      <c r="CL1991" t="s">
        <v>89</v>
      </c>
    </row>
    <row r="1992" spans="1:90" x14ac:dyDescent="0.3">
      <c r="A1992" t="s">
        <v>72</v>
      </c>
      <c r="B1992" t="s">
        <v>73</v>
      </c>
      <c r="C1992" t="s">
        <v>74</v>
      </c>
      <c r="E1992" t="str">
        <f>"080065416573"</f>
        <v>080065416573</v>
      </c>
      <c r="F1992" s="3">
        <v>45793</v>
      </c>
      <c r="G1992">
        <v>202602</v>
      </c>
      <c r="H1992" t="s">
        <v>75</v>
      </c>
      <c r="I1992" t="s">
        <v>76</v>
      </c>
      <c r="J1992" t="s">
        <v>77</v>
      </c>
      <c r="K1992" t="s">
        <v>78</v>
      </c>
      <c r="L1992" t="s">
        <v>320</v>
      </c>
      <c r="M1992" t="s">
        <v>321</v>
      </c>
      <c r="N1992" t="s">
        <v>499</v>
      </c>
      <c r="O1992" t="s">
        <v>82</v>
      </c>
      <c r="P1992" t="str">
        <f>"4170039122                    "</f>
        <v xml:space="preserve">4170039122                    </v>
      </c>
      <c r="Q1992">
        <v>0</v>
      </c>
      <c r="R1992">
        <v>0</v>
      </c>
      <c r="S1992">
        <v>0</v>
      </c>
      <c r="T1992">
        <v>0</v>
      </c>
      <c r="U1992">
        <v>0</v>
      </c>
      <c r="V1992">
        <v>0</v>
      </c>
      <c r="W1992">
        <v>0</v>
      </c>
      <c r="X1992">
        <v>0</v>
      </c>
      <c r="Y1992">
        <v>0</v>
      </c>
      <c r="Z1992">
        <v>0</v>
      </c>
      <c r="AA1992">
        <v>0</v>
      </c>
      <c r="AB1992">
        <v>0</v>
      </c>
      <c r="AC1992">
        <v>0</v>
      </c>
      <c r="AD1992">
        <v>0</v>
      </c>
      <c r="AE1992">
        <v>0</v>
      </c>
      <c r="AF1992">
        <v>0</v>
      </c>
      <c r="AG1992">
        <v>0</v>
      </c>
      <c r="AH1992">
        <v>0</v>
      </c>
      <c r="AI1992">
        <v>0</v>
      </c>
      <c r="AJ1992">
        <v>0</v>
      </c>
      <c r="AK1992">
        <v>0</v>
      </c>
      <c r="AL1992">
        <v>0</v>
      </c>
      <c r="AM1992">
        <v>0</v>
      </c>
      <c r="AN1992">
        <v>0</v>
      </c>
      <c r="AO1992">
        <v>0</v>
      </c>
      <c r="AP1992">
        <v>0</v>
      </c>
      <c r="AQ1992">
        <v>37.409999999999997</v>
      </c>
      <c r="AR1992">
        <v>0</v>
      </c>
      <c r="AS1992">
        <v>0</v>
      </c>
      <c r="AT1992">
        <v>0</v>
      </c>
      <c r="AU1992">
        <v>0</v>
      </c>
      <c r="AV1992">
        <v>0</v>
      </c>
      <c r="AW1992">
        <v>0</v>
      </c>
      <c r="AX1992">
        <v>0</v>
      </c>
      <c r="AY1992">
        <v>0</v>
      </c>
      <c r="AZ1992">
        <v>0</v>
      </c>
      <c r="BA1992">
        <v>0</v>
      </c>
      <c r="BB1992">
        <v>0</v>
      </c>
      <c r="BC1992">
        <v>0</v>
      </c>
      <c r="BD1992">
        <v>0</v>
      </c>
      <c r="BE1992">
        <v>0</v>
      </c>
      <c r="BF1992">
        <v>0</v>
      </c>
      <c r="BG1992">
        <v>0</v>
      </c>
      <c r="BH1992">
        <v>2</v>
      </c>
      <c r="BI1992">
        <v>3</v>
      </c>
      <c r="BJ1992">
        <v>3.5</v>
      </c>
      <c r="BK1992">
        <v>3.5</v>
      </c>
      <c r="BL1992">
        <v>122.43</v>
      </c>
      <c r="BM1992">
        <v>18.36</v>
      </c>
      <c r="BN1992">
        <v>140.79</v>
      </c>
      <c r="BO1992">
        <v>140.79</v>
      </c>
      <c r="BQ1992" t="s">
        <v>500</v>
      </c>
      <c r="BR1992" t="s">
        <v>84</v>
      </c>
      <c r="BS1992" s="3">
        <v>45797</v>
      </c>
      <c r="BT1992" s="4">
        <v>0.53472222222222221</v>
      </c>
      <c r="BU1992" t="s">
        <v>623</v>
      </c>
      <c r="BV1992" t="s">
        <v>89</v>
      </c>
      <c r="BW1992" t="s">
        <v>296</v>
      </c>
      <c r="BX1992" t="s">
        <v>325</v>
      </c>
      <c r="BY1992">
        <v>17384</v>
      </c>
      <c r="CA1992" t="s">
        <v>326</v>
      </c>
      <c r="CC1992" t="s">
        <v>321</v>
      </c>
      <c r="CD1992">
        <v>4133</v>
      </c>
      <c r="CE1992" t="s">
        <v>88</v>
      </c>
      <c r="CF1992" s="3">
        <v>45797</v>
      </c>
      <c r="CI1992">
        <v>1</v>
      </c>
      <c r="CJ1992">
        <v>2</v>
      </c>
      <c r="CK1992">
        <v>21</v>
      </c>
      <c r="CL1992" t="s">
        <v>89</v>
      </c>
    </row>
    <row r="1993" spans="1:90" x14ac:dyDescent="0.3">
      <c r="A1993" t="s">
        <v>72</v>
      </c>
      <c r="B1993" t="s">
        <v>73</v>
      </c>
      <c r="C1993" t="s">
        <v>74</v>
      </c>
      <c r="E1993" t="str">
        <f>"080065416585"</f>
        <v>080065416585</v>
      </c>
      <c r="F1993" s="3">
        <v>45793</v>
      </c>
      <c r="G1993">
        <v>202602</v>
      </c>
      <c r="H1993" t="s">
        <v>75</v>
      </c>
      <c r="I1993" t="s">
        <v>76</v>
      </c>
      <c r="J1993" t="s">
        <v>77</v>
      </c>
      <c r="K1993" t="s">
        <v>78</v>
      </c>
      <c r="L1993" t="s">
        <v>844</v>
      </c>
      <c r="M1993" t="s">
        <v>845</v>
      </c>
      <c r="N1993" t="s">
        <v>846</v>
      </c>
      <c r="O1993" t="s">
        <v>82</v>
      </c>
      <c r="P1993" t="str">
        <f>"4170039117                    "</f>
        <v xml:space="preserve">4170039117                    </v>
      </c>
      <c r="Q1993">
        <v>0</v>
      </c>
      <c r="R1993">
        <v>0</v>
      </c>
      <c r="S1993">
        <v>0</v>
      </c>
      <c r="T1993">
        <v>0</v>
      </c>
      <c r="U1993">
        <v>0</v>
      </c>
      <c r="V1993">
        <v>0</v>
      </c>
      <c r="W1993">
        <v>0</v>
      </c>
      <c r="X1993">
        <v>0</v>
      </c>
      <c r="Y1993">
        <v>0</v>
      </c>
      <c r="Z1993">
        <v>0</v>
      </c>
      <c r="AA1993">
        <v>0</v>
      </c>
      <c r="AB1993">
        <v>0</v>
      </c>
      <c r="AC1993">
        <v>0</v>
      </c>
      <c r="AD1993">
        <v>0</v>
      </c>
      <c r="AE1993">
        <v>0</v>
      </c>
      <c r="AF1993">
        <v>0</v>
      </c>
      <c r="AG1993">
        <v>0</v>
      </c>
      <c r="AH1993">
        <v>0</v>
      </c>
      <c r="AI1993">
        <v>0</v>
      </c>
      <c r="AJ1993">
        <v>0</v>
      </c>
      <c r="AK1993">
        <v>0</v>
      </c>
      <c r="AL1993">
        <v>0</v>
      </c>
      <c r="AM1993">
        <v>0</v>
      </c>
      <c r="AN1993">
        <v>0</v>
      </c>
      <c r="AO1993">
        <v>0</v>
      </c>
      <c r="AP1993">
        <v>0</v>
      </c>
      <c r="AQ1993">
        <v>21.38</v>
      </c>
      <c r="AR1993">
        <v>0</v>
      </c>
      <c r="AS1993">
        <v>0</v>
      </c>
      <c r="AT1993">
        <v>0</v>
      </c>
      <c r="AU1993">
        <v>0</v>
      </c>
      <c r="AV1993">
        <v>0</v>
      </c>
      <c r="AW1993">
        <v>0</v>
      </c>
      <c r="AX1993">
        <v>0</v>
      </c>
      <c r="AY1993">
        <v>0</v>
      </c>
      <c r="AZ1993">
        <v>0</v>
      </c>
      <c r="BA1993">
        <v>0</v>
      </c>
      <c r="BB1993">
        <v>0</v>
      </c>
      <c r="BC1993">
        <v>0</v>
      </c>
      <c r="BD1993">
        <v>0</v>
      </c>
      <c r="BE1993">
        <v>0</v>
      </c>
      <c r="BF1993">
        <v>0</v>
      </c>
      <c r="BG1993">
        <v>0</v>
      </c>
      <c r="BH1993">
        <v>1</v>
      </c>
      <c r="BI1993">
        <v>1</v>
      </c>
      <c r="BJ1993">
        <v>0.2</v>
      </c>
      <c r="BK1993">
        <v>1</v>
      </c>
      <c r="BL1993">
        <v>69.98</v>
      </c>
      <c r="BM1993">
        <v>10.5</v>
      </c>
      <c r="BN1993">
        <v>80.48</v>
      </c>
      <c r="BO1993">
        <v>80.48</v>
      </c>
      <c r="BQ1993" t="s">
        <v>847</v>
      </c>
      <c r="BR1993" t="s">
        <v>84</v>
      </c>
      <c r="BS1993" s="3">
        <v>45797</v>
      </c>
      <c r="BT1993" s="4">
        <v>0.3576388888888889</v>
      </c>
      <c r="BU1993" t="s">
        <v>1058</v>
      </c>
      <c r="BV1993" t="s">
        <v>89</v>
      </c>
      <c r="BW1993" t="s">
        <v>340</v>
      </c>
      <c r="BX1993" t="s">
        <v>341</v>
      </c>
      <c r="BY1993">
        <v>1200</v>
      </c>
      <c r="CA1993" t="s">
        <v>849</v>
      </c>
      <c r="CC1993" t="s">
        <v>845</v>
      </c>
      <c r="CD1993">
        <v>7600</v>
      </c>
      <c r="CE1993" t="s">
        <v>88</v>
      </c>
      <c r="CF1993" s="3">
        <v>45798</v>
      </c>
      <c r="CI1993">
        <v>1</v>
      </c>
      <c r="CJ1993">
        <v>2</v>
      </c>
      <c r="CK1993">
        <v>21</v>
      </c>
      <c r="CL1993" t="s">
        <v>89</v>
      </c>
    </row>
    <row r="1994" spans="1:90" x14ac:dyDescent="0.3">
      <c r="A1994" t="s">
        <v>72</v>
      </c>
      <c r="B1994" t="s">
        <v>73</v>
      </c>
      <c r="C1994" t="s">
        <v>74</v>
      </c>
      <c r="E1994" t="str">
        <f>"080065416611"</f>
        <v>080065416611</v>
      </c>
      <c r="F1994" s="3">
        <v>45793</v>
      </c>
      <c r="G1994">
        <v>202602</v>
      </c>
      <c r="H1994" t="s">
        <v>75</v>
      </c>
      <c r="I1994" t="s">
        <v>76</v>
      </c>
      <c r="J1994" t="s">
        <v>77</v>
      </c>
      <c r="K1994" t="s">
        <v>78</v>
      </c>
      <c r="L1994" t="s">
        <v>130</v>
      </c>
      <c r="M1994" t="s">
        <v>131</v>
      </c>
      <c r="N1994" t="s">
        <v>665</v>
      </c>
      <c r="O1994" t="s">
        <v>82</v>
      </c>
      <c r="P1994" t="str">
        <f>"4170039114                    "</f>
        <v xml:space="preserve">4170039114                    </v>
      </c>
      <c r="Q1994">
        <v>0</v>
      </c>
      <c r="R1994">
        <v>0</v>
      </c>
      <c r="S1994">
        <v>0</v>
      </c>
      <c r="T1994">
        <v>0</v>
      </c>
      <c r="U1994">
        <v>0</v>
      </c>
      <c r="V1994">
        <v>0</v>
      </c>
      <c r="W1994">
        <v>0</v>
      </c>
      <c r="X1994">
        <v>0</v>
      </c>
      <c r="Y1994">
        <v>0</v>
      </c>
      <c r="Z1994">
        <v>0</v>
      </c>
      <c r="AA1994">
        <v>0</v>
      </c>
      <c r="AB1994">
        <v>0</v>
      </c>
      <c r="AC1994">
        <v>0</v>
      </c>
      <c r="AD1994">
        <v>0</v>
      </c>
      <c r="AE1994">
        <v>0</v>
      </c>
      <c r="AF1994">
        <v>0</v>
      </c>
      <c r="AG1994">
        <v>0</v>
      </c>
      <c r="AH1994">
        <v>0</v>
      </c>
      <c r="AI1994">
        <v>0</v>
      </c>
      <c r="AJ1994">
        <v>0</v>
      </c>
      <c r="AK1994">
        <v>0</v>
      </c>
      <c r="AL1994">
        <v>0</v>
      </c>
      <c r="AM1994">
        <v>0</v>
      </c>
      <c r="AN1994">
        <v>0</v>
      </c>
      <c r="AO1994">
        <v>0</v>
      </c>
      <c r="AP1994">
        <v>0</v>
      </c>
      <c r="AQ1994">
        <v>21.38</v>
      </c>
      <c r="AR1994">
        <v>0</v>
      </c>
      <c r="AS1994">
        <v>0</v>
      </c>
      <c r="AT1994">
        <v>0</v>
      </c>
      <c r="AU1994">
        <v>0</v>
      </c>
      <c r="AV1994">
        <v>0</v>
      </c>
      <c r="AW1994">
        <v>0</v>
      </c>
      <c r="AX1994">
        <v>0</v>
      </c>
      <c r="AY1994">
        <v>0</v>
      </c>
      <c r="AZ1994">
        <v>0</v>
      </c>
      <c r="BA1994">
        <v>0</v>
      </c>
      <c r="BB1994">
        <v>0</v>
      </c>
      <c r="BC1994">
        <v>0</v>
      </c>
      <c r="BD1994">
        <v>0</v>
      </c>
      <c r="BE1994">
        <v>0</v>
      </c>
      <c r="BF1994">
        <v>0</v>
      </c>
      <c r="BG1994">
        <v>0</v>
      </c>
      <c r="BH1994">
        <v>1</v>
      </c>
      <c r="BI1994">
        <v>1</v>
      </c>
      <c r="BJ1994">
        <v>0.2</v>
      </c>
      <c r="BK1994">
        <v>1</v>
      </c>
      <c r="BL1994">
        <v>69.98</v>
      </c>
      <c r="BM1994">
        <v>10.5</v>
      </c>
      <c r="BN1994">
        <v>80.48</v>
      </c>
      <c r="BO1994">
        <v>80.48</v>
      </c>
      <c r="BQ1994" t="s">
        <v>666</v>
      </c>
      <c r="BR1994" t="s">
        <v>84</v>
      </c>
      <c r="BS1994" s="3">
        <v>45797</v>
      </c>
      <c r="BT1994" s="4">
        <v>0.39652777777777776</v>
      </c>
      <c r="BU1994" t="s">
        <v>1051</v>
      </c>
      <c r="BV1994" t="s">
        <v>89</v>
      </c>
      <c r="BW1994" t="s">
        <v>340</v>
      </c>
      <c r="BX1994" t="s">
        <v>341</v>
      </c>
      <c r="BY1994">
        <v>1200</v>
      </c>
      <c r="CA1994" t="s">
        <v>389</v>
      </c>
      <c r="CC1994" t="s">
        <v>131</v>
      </c>
      <c r="CD1994">
        <v>7535</v>
      </c>
      <c r="CE1994" t="s">
        <v>88</v>
      </c>
      <c r="CF1994" s="3">
        <v>45798</v>
      </c>
      <c r="CI1994">
        <v>1</v>
      </c>
      <c r="CJ1994">
        <v>2</v>
      </c>
      <c r="CK1994">
        <v>21</v>
      </c>
      <c r="CL1994" t="s">
        <v>89</v>
      </c>
    </row>
    <row r="1995" spans="1:90" x14ac:dyDescent="0.3">
      <c r="A1995" t="s">
        <v>72</v>
      </c>
      <c r="B1995" t="s">
        <v>73</v>
      </c>
      <c r="C1995" t="s">
        <v>74</v>
      </c>
      <c r="E1995" t="str">
        <f>"080065416633"</f>
        <v>080065416633</v>
      </c>
      <c r="F1995" s="3">
        <v>45793</v>
      </c>
      <c r="G1995">
        <v>202602</v>
      </c>
      <c r="H1995" t="s">
        <v>75</v>
      </c>
      <c r="I1995" t="s">
        <v>76</v>
      </c>
      <c r="J1995" t="s">
        <v>77</v>
      </c>
      <c r="K1995" t="s">
        <v>78</v>
      </c>
      <c r="L1995" t="s">
        <v>117</v>
      </c>
      <c r="M1995" t="s">
        <v>118</v>
      </c>
      <c r="N1995" t="s">
        <v>532</v>
      </c>
      <c r="O1995" t="s">
        <v>82</v>
      </c>
      <c r="P1995" t="str">
        <f>"4170037704                    "</f>
        <v xml:space="preserve">4170037704                    </v>
      </c>
      <c r="Q1995">
        <v>0</v>
      </c>
      <c r="R1995">
        <v>0</v>
      </c>
      <c r="S1995">
        <v>0</v>
      </c>
      <c r="T1995">
        <v>0</v>
      </c>
      <c r="U1995">
        <v>0</v>
      </c>
      <c r="V1995">
        <v>0</v>
      </c>
      <c r="W1995">
        <v>0</v>
      </c>
      <c r="X1995">
        <v>0</v>
      </c>
      <c r="Y1995">
        <v>0</v>
      </c>
      <c r="Z1995">
        <v>0</v>
      </c>
      <c r="AA1995">
        <v>0</v>
      </c>
      <c r="AB1995">
        <v>0</v>
      </c>
      <c r="AC1995">
        <v>0</v>
      </c>
      <c r="AD1995">
        <v>0</v>
      </c>
      <c r="AE1995">
        <v>0</v>
      </c>
      <c r="AF1995">
        <v>0</v>
      </c>
      <c r="AG1995">
        <v>0</v>
      </c>
      <c r="AH1995">
        <v>0</v>
      </c>
      <c r="AI1995">
        <v>0</v>
      </c>
      <c r="AJ1995">
        <v>0</v>
      </c>
      <c r="AK1995">
        <v>0</v>
      </c>
      <c r="AL1995">
        <v>0</v>
      </c>
      <c r="AM1995">
        <v>0</v>
      </c>
      <c r="AN1995">
        <v>0</v>
      </c>
      <c r="AO1995">
        <v>0</v>
      </c>
      <c r="AP1995">
        <v>0</v>
      </c>
      <c r="AQ1995">
        <v>16.7</v>
      </c>
      <c r="AR1995">
        <v>0</v>
      </c>
      <c r="AS1995">
        <v>0</v>
      </c>
      <c r="AT1995">
        <v>0</v>
      </c>
      <c r="AU1995">
        <v>0</v>
      </c>
      <c r="AV1995">
        <v>0</v>
      </c>
      <c r="AW1995">
        <v>0</v>
      </c>
      <c r="AX1995">
        <v>0</v>
      </c>
      <c r="AY1995">
        <v>0</v>
      </c>
      <c r="AZ1995">
        <v>0</v>
      </c>
      <c r="BA1995">
        <v>0</v>
      </c>
      <c r="BB1995">
        <v>0</v>
      </c>
      <c r="BC1995">
        <v>0</v>
      </c>
      <c r="BD1995">
        <v>0</v>
      </c>
      <c r="BE1995">
        <v>0</v>
      </c>
      <c r="BF1995">
        <v>0</v>
      </c>
      <c r="BG1995">
        <v>0</v>
      </c>
      <c r="BH1995">
        <v>1</v>
      </c>
      <c r="BI1995">
        <v>1</v>
      </c>
      <c r="BJ1995">
        <v>0.2</v>
      </c>
      <c r="BK1995">
        <v>1</v>
      </c>
      <c r="BL1995">
        <v>54.66</v>
      </c>
      <c r="BM1995">
        <v>8.1999999999999993</v>
      </c>
      <c r="BN1995">
        <v>62.86</v>
      </c>
      <c r="BO1995">
        <v>62.86</v>
      </c>
      <c r="BQ1995" t="s">
        <v>533</v>
      </c>
      <c r="BR1995" t="s">
        <v>84</v>
      </c>
      <c r="BS1995" s="3">
        <v>45796</v>
      </c>
      <c r="BT1995" s="4">
        <v>0.3527777777777778</v>
      </c>
      <c r="BU1995" t="s">
        <v>542</v>
      </c>
      <c r="BV1995" t="s">
        <v>86</v>
      </c>
      <c r="BY1995">
        <v>1200</v>
      </c>
      <c r="CA1995" t="s">
        <v>535</v>
      </c>
      <c r="CC1995" t="s">
        <v>118</v>
      </c>
      <c r="CD1995">
        <v>2094</v>
      </c>
      <c r="CE1995" t="s">
        <v>1193</v>
      </c>
      <c r="CF1995" s="3">
        <v>45796</v>
      </c>
      <c r="CI1995">
        <v>1</v>
      </c>
      <c r="CJ1995">
        <v>1</v>
      </c>
      <c r="CK1995">
        <v>22</v>
      </c>
      <c r="CL1995" t="s">
        <v>89</v>
      </c>
    </row>
    <row r="1996" spans="1:90" x14ac:dyDescent="0.3">
      <c r="A1996" t="s">
        <v>72</v>
      </c>
      <c r="B1996" t="s">
        <v>73</v>
      </c>
      <c r="C1996" t="s">
        <v>74</v>
      </c>
      <c r="E1996" t="str">
        <f>"080065416658"</f>
        <v>080065416658</v>
      </c>
      <c r="F1996" s="3">
        <v>45793</v>
      </c>
      <c r="G1996">
        <v>202602</v>
      </c>
      <c r="H1996" t="s">
        <v>75</v>
      </c>
      <c r="I1996" t="s">
        <v>76</v>
      </c>
      <c r="J1996" t="s">
        <v>77</v>
      </c>
      <c r="K1996" t="s">
        <v>78</v>
      </c>
      <c r="L1996" t="s">
        <v>222</v>
      </c>
      <c r="M1996" t="s">
        <v>223</v>
      </c>
      <c r="N1996" t="s">
        <v>224</v>
      </c>
      <c r="O1996" t="s">
        <v>82</v>
      </c>
      <c r="P1996" t="str">
        <f>"4170038910                    "</f>
        <v xml:space="preserve">4170038910                    </v>
      </c>
      <c r="Q1996">
        <v>0</v>
      </c>
      <c r="R1996">
        <v>0</v>
      </c>
      <c r="S1996">
        <v>0</v>
      </c>
      <c r="T1996">
        <v>0</v>
      </c>
      <c r="U1996">
        <v>0</v>
      </c>
      <c r="V1996">
        <v>0</v>
      </c>
      <c r="W1996">
        <v>0</v>
      </c>
      <c r="X1996">
        <v>0</v>
      </c>
      <c r="Y1996">
        <v>0</v>
      </c>
      <c r="Z1996">
        <v>0</v>
      </c>
      <c r="AA1996">
        <v>0</v>
      </c>
      <c r="AB1996">
        <v>0</v>
      </c>
      <c r="AC1996">
        <v>0</v>
      </c>
      <c r="AD1996">
        <v>0</v>
      </c>
      <c r="AE1996">
        <v>0</v>
      </c>
      <c r="AF1996">
        <v>0</v>
      </c>
      <c r="AG1996">
        <v>0</v>
      </c>
      <c r="AH1996">
        <v>0</v>
      </c>
      <c r="AI1996">
        <v>0</v>
      </c>
      <c r="AJ1996">
        <v>0</v>
      </c>
      <c r="AK1996">
        <v>0</v>
      </c>
      <c r="AL1996">
        <v>0</v>
      </c>
      <c r="AM1996">
        <v>0</v>
      </c>
      <c r="AN1996">
        <v>0</v>
      </c>
      <c r="AO1996">
        <v>0</v>
      </c>
      <c r="AP1996">
        <v>0</v>
      </c>
      <c r="AQ1996">
        <v>30.07</v>
      </c>
      <c r="AR1996">
        <v>0</v>
      </c>
      <c r="AS1996">
        <v>0</v>
      </c>
      <c r="AT1996">
        <v>0</v>
      </c>
      <c r="AU1996">
        <v>0</v>
      </c>
      <c r="AV1996">
        <v>0</v>
      </c>
      <c r="AW1996">
        <v>0</v>
      </c>
      <c r="AX1996">
        <v>0</v>
      </c>
      <c r="AY1996">
        <v>0</v>
      </c>
      <c r="AZ1996">
        <v>0</v>
      </c>
      <c r="BA1996">
        <v>0</v>
      </c>
      <c r="BB1996">
        <v>0</v>
      </c>
      <c r="BC1996">
        <v>0</v>
      </c>
      <c r="BD1996">
        <v>0</v>
      </c>
      <c r="BE1996">
        <v>0</v>
      </c>
      <c r="BF1996">
        <v>0</v>
      </c>
      <c r="BG1996">
        <v>0</v>
      </c>
      <c r="BH1996">
        <v>1</v>
      </c>
      <c r="BI1996">
        <v>1</v>
      </c>
      <c r="BJ1996">
        <v>0.2</v>
      </c>
      <c r="BK1996">
        <v>1</v>
      </c>
      <c r="BL1996">
        <v>98.42</v>
      </c>
      <c r="BM1996">
        <v>14.76</v>
      </c>
      <c r="BN1996">
        <v>113.18</v>
      </c>
      <c r="BO1996">
        <v>113.18</v>
      </c>
      <c r="BQ1996" t="s">
        <v>225</v>
      </c>
      <c r="BR1996" t="s">
        <v>84</v>
      </c>
      <c r="BS1996" s="3">
        <v>45796</v>
      </c>
      <c r="BT1996" s="4">
        <v>0.38055555555555554</v>
      </c>
      <c r="BU1996" t="s">
        <v>655</v>
      </c>
      <c r="BV1996" t="s">
        <v>86</v>
      </c>
      <c r="BY1996">
        <v>1200</v>
      </c>
      <c r="CA1996" t="s">
        <v>2447</v>
      </c>
      <c r="CC1996" t="s">
        <v>223</v>
      </c>
      <c r="CD1996">
        <v>1754</v>
      </c>
      <c r="CE1996" t="s">
        <v>88</v>
      </c>
      <c r="CF1996" s="3">
        <v>45797</v>
      </c>
      <c r="CI1996">
        <v>1</v>
      </c>
      <c r="CJ1996">
        <v>1</v>
      </c>
      <c r="CK1996">
        <v>24</v>
      </c>
      <c r="CL1996" t="s">
        <v>89</v>
      </c>
    </row>
    <row r="1997" spans="1:90" x14ac:dyDescent="0.3">
      <c r="A1997" t="s">
        <v>72</v>
      </c>
      <c r="B1997" t="s">
        <v>73</v>
      </c>
      <c r="C1997" t="s">
        <v>74</v>
      </c>
      <c r="E1997" t="str">
        <f>"080065416668"</f>
        <v>080065416668</v>
      </c>
      <c r="F1997" s="3">
        <v>45793</v>
      </c>
      <c r="G1997">
        <v>202602</v>
      </c>
      <c r="H1997" t="s">
        <v>75</v>
      </c>
      <c r="I1997" t="s">
        <v>76</v>
      </c>
      <c r="J1997" t="s">
        <v>77</v>
      </c>
      <c r="K1997" t="s">
        <v>78</v>
      </c>
      <c r="L1997" t="s">
        <v>672</v>
      </c>
      <c r="M1997" t="s">
        <v>673</v>
      </c>
      <c r="N1997" t="s">
        <v>674</v>
      </c>
      <c r="O1997" t="s">
        <v>82</v>
      </c>
      <c r="P1997" t="str">
        <f>"4170039125                    "</f>
        <v xml:space="preserve">4170039125                    </v>
      </c>
      <c r="Q1997">
        <v>0</v>
      </c>
      <c r="R1997">
        <v>0</v>
      </c>
      <c r="S1997">
        <v>0</v>
      </c>
      <c r="T1997">
        <v>0</v>
      </c>
      <c r="U1997">
        <v>0</v>
      </c>
      <c r="V1997">
        <v>0</v>
      </c>
      <c r="W1997">
        <v>0</v>
      </c>
      <c r="X1997">
        <v>0</v>
      </c>
      <c r="Y1997">
        <v>0</v>
      </c>
      <c r="Z1997">
        <v>0</v>
      </c>
      <c r="AA1997">
        <v>0</v>
      </c>
      <c r="AB1997">
        <v>0</v>
      </c>
      <c r="AC1997">
        <v>0</v>
      </c>
      <c r="AD1997">
        <v>0</v>
      </c>
      <c r="AE1997">
        <v>0</v>
      </c>
      <c r="AF1997">
        <v>0</v>
      </c>
      <c r="AG1997">
        <v>0</v>
      </c>
      <c r="AH1997">
        <v>0</v>
      </c>
      <c r="AI1997">
        <v>0</v>
      </c>
      <c r="AJ1997">
        <v>0</v>
      </c>
      <c r="AK1997">
        <v>0</v>
      </c>
      <c r="AL1997">
        <v>0</v>
      </c>
      <c r="AM1997">
        <v>0</v>
      </c>
      <c r="AN1997">
        <v>0</v>
      </c>
      <c r="AO1997">
        <v>0</v>
      </c>
      <c r="AP1997">
        <v>0</v>
      </c>
      <c r="AQ1997">
        <v>41.43</v>
      </c>
      <c r="AR1997">
        <v>0</v>
      </c>
      <c r="AS1997">
        <v>0</v>
      </c>
      <c r="AT1997">
        <v>0</v>
      </c>
      <c r="AU1997">
        <v>0</v>
      </c>
      <c r="AV1997">
        <v>0</v>
      </c>
      <c r="AW1997">
        <v>0</v>
      </c>
      <c r="AX1997">
        <v>0</v>
      </c>
      <c r="AY1997">
        <v>0</v>
      </c>
      <c r="AZ1997">
        <v>0</v>
      </c>
      <c r="BA1997">
        <v>0</v>
      </c>
      <c r="BB1997">
        <v>0</v>
      </c>
      <c r="BC1997">
        <v>0</v>
      </c>
      <c r="BD1997">
        <v>0</v>
      </c>
      <c r="BE1997">
        <v>0</v>
      </c>
      <c r="BF1997">
        <v>0</v>
      </c>
      <c r="BG1997">
        <v>0</v>
      </c>
      <c r="BH1997">
        <v>1</v>
      </c>
      <c r="BI1997">
        <v>2</v>
      </c>
      <c r="BJ1997">
        <v>1.4</v>
      </c>
      <c r="BK1997">
        <v>2</v>
      </c>
      <c r="BL1997">
        <v>135.59</v>
      </c>
      <c r="BM1997">
        <v>20.34</v>
      </c>
      <c r="BN1997">
        <v>155.93</v>
      </c>
      <c r="BO1997">
        <v>155.93</v>
      </c>
      <c r="BQ1997" t="s">
        <v>675</v>
      </c>
      <c r="BR1997" t="s">
        <v>84</v>
      </c>
      <c r="BS1997" s="3">
        <v>45796</v>
      </c>
      <c r="BT1997" s="4">
        <v>0.39374999999999999</v>
      </c>
      <c r="BU1997" t="s">
        <v>2424</v>
      </c>
      <c r="BV1997" t="s">
        <v>86</v>
      </c>
      <c r="BY1997">
        <v>7000</v>
      </c>
      <c r="CA1997" t="s">
        <v>677</v>
      </c>
      <c r="CC1997" t="s">
        <v>673</v>
      </c>
      <c r="CD1997">
        <v>2531</v>
      </c>
      <c r="CE1997" t="s">
        <v>96</v>
      </c>
      <c r="CF1997" s="3">
        <v>45797</v>
      </c>
      <c r="CI1997">
        <v>1</v>
      </c>
      <c r="CJ1997">
        <v>1</v>
      </c>
      <c r="CK1997">
        <v>23</v>
      </c>
      <c r="CL1997" t="s">
        <v>89</v>
      </c>
    </row>
    <row r="1998" spans="1:90" x14ac:dyDescent="0.3">
      <c r="A1998" t="s">
        <v>72</v>
      </c>
      <c r="B1998" t="s">
        <v>73</v>
      </c>
      <c r="C1998" t="s">
        <v>74</v>
      </c>
      <c r="E1998" t="str">
        <f>"080065416682"</f>
        <v>080065416682</v>
      </c>
      <c r="F1998" s="3">
        <v>45793</v>
      </c>
      <c r="G1998">
        <v>202602</v>
      </c>
      <c r="H1998" t="s">
        <v>75</v>
      </c>
      <c r="I1998" t="s">
        <v>76</v>
      </c>
      <c r="J1998" t="s">
        <v>77</v>
      </c>
      <c r="K1998" t="s">
        <v>78</v>
      </c>
      <c r="L1998" t="s">
        <v>75</v>
      </c>
      <c r="M1998" t="s">
        <v>76</v>
      </c>
      <c r="N1998" t="s">
        <v>601</v>
      </c>
      <c r="O1998" t="s">
        <v>82</v>
      </c>
      <c r="P1998" t="str">
        <f>"4170039123                    "</f>
        <v xml:space="preserve">4170039123                    </v>
      </c>
      <c r="Q1998">
        <v>0</v>
      </c>
      <c r="R1998">
        <v>0</v>
      </c>
      <c r="S1998">
        <v>0</v>
      </c>
      <c r="T1998">
        <v>0</v>
      </c>
      <c r="U1998">
        <v>0</v>
      </c>
      <c r="V1998">
        <v>0</v>
      </c>
      <c r="W1998">
        <v>0</v>
      </c>
      <c r="X1998">
        <v>0</v>
      </c>
      <c r="Y1998">
        <v>0</v>
      </c>
      <c r="Z1998">
        <v>0</v>
      </c>
      <c r="AA1998">
        <v>0</v>
      </c>
      <c r="AB1998">
        <v>0</v>
      </c>
      <c r="AC1998">
        <v>0</v>
      </c>
      <c r="AD1998">
        <v>0</v>
      </c>
      <c r="AE1998">
        <v>0</v>
      </c>
      <c r="AF1998">
        <v>0</v>
      </c>
      <c r="AG1998">
        <v>0</v>
      </c>
      <c r="AH1998">
        <v>0</v>
      </c>
      <c r="AI1998">
        <v>0</v>
      </c>
      <c r="AJ1998">
        <v>0</v>
      </c>
      <c r="AK1998">
        <v>0</v>
      </c>
      <c r="AL1998">
        <v>0</v>
      </c>
      <c r="AM1998">
        <v>0</v>
      </c>
      <c r="AN1998">
        <v>0</v>
      </c>
      <c r="AO1998">
        <v>0</v>
      </c>
      <c r="AP1998">
        <v>0</v>
      </c>
      <c r="AQ1998">
        <v>16.7</v>
      </c>
      <c r="AR1998">
        <v>0</v>
      </c>
      <c r="AS1998">
        <v>0</v>
      </c>
      <c r="AT1998">
        <v>0</v>
      </c>
      <c r="AU1998">
        <v>0</v>
      </c>
      <c r="AV1998">
        <v>0</v>
      </c>
      <c r="AW1998">
        <v>0</v>
      </c>
      <c r="AX1998">
        <v>0</v>
      </c>
      <c r="AY1998">
        <v>0</v>
      </c>
      <c r="AZ1998">
        <v>0</v>
      </c>
      <c r="BA1998">
        <v>0</v>
      </c>
      <c r="BB1998">
        <v>0</v>
      </c>
      <c r="BC1998">
        <v>0</v>
      </c>
      <c r="BD1998">
        <v>0</v>
      </c>
      <c r="BE1998">
        <v>0</v>
      </c>
      <c r="BF1998">
        <v>0</v>
      </c>
      <c r="BG1998">
        <v>0</v>
      </c>
      <c r="BH1998">
        <v>1</v>
      </c>
      <c r="BI1998">
        <v>1</v>
      </c>
      <c r="BJ1998">
        <v>0.2</v>
      </c>
      <c r="BK1998">
        <v>1</v>
      </c>
      <c r="BL1998">
        <v>54.66</v>
      </c>
      <c r="BM1998">
        <v>8.1999999999999993</v>
      </c>
      <c r="BN1998">
        <v>62.86</v>
      </c>
      <c r="BO1998">
        <v>62.86</v>
      </c>
      <c r="BQ1998" t="s">
        <v>603</v>
      </c>
      <c r="BR1998" t="s">
        <v>84</v>
      </c>
      <c r="BS1998" s="3">
        <v>45796</v>
      </c>
      <c r="BT1998" s="4">
        <v>0.41249999999999998</v>
      </c>
      <c r="BU1998" t="s">
        <v>2354</v>
      </c>
      <c r="BV1998" t="s">
        <v>86</v>
      </c>
      <c r="BY1998">
        <v>1200</v>
      </c>
      <c r="CA1998" t="s">
        <v>475</v>
      </c>
      <c r="CC1998" t="s">
        <v>76</v>
      </c>
      <c r="CD1998">
        <v>1645</v>
      </c>
      <c r="CE1998" t="s">
        <v>88</v>
      </c>
      <c r="CF1998" s="3">
        <v>45797</v>
      </c>
      <c r="CI1998">
        <v>1</v>
      </c>
      <c r="CJ1998">
        <v>1</v>
      </c>
      <c r="CK1998">
        <v>22</v>
      </c>
      <c r="CL1998" t="s">
        <v>89</v>
      </c>
    </row>
    <row r="1999" spans="1:90" x14ac:dyDescent="0.3">
      <c r="A1999" t="s">
        <v>72</v>
      </c>
      <c r="B1999" t="s">
        <v>73</v>
      </c>
      <c r="C1999" t="s">
        <v>74</v>
      </c>
      <c r="E1999" t="str">
        <f>"080065416704"</f>
        <v>080065416704</v>
      </c>
      <c r="F1999" s="3">
        <v>45793</v>
      </c>
      <c r="G1999">
        <v>202602</v>
      </c>
      <c r="H1999" t="s">
        <v>75</v>
      </c>
      <c r="I1999" t="s">
        <v>76</v>
      </c>
      <c r="J1999" t="s">
        <v>77</v>
      </c>
      <c r="K1999" t="s">
        <v>78</v>
      </c>
      <c r="L1999" t="s">
        <v>103</v>
      </c>
      <c r="M1999" t="s">
        <v>104</v>
      </c>
      <c r="N1999" t="s">
        <v>105</v>
      </c>
      <c r="O1999" t="s">
        <v>82</v>
      </c>
      <c r="P1999" t="str">
        <f>"4170038936                    "</f>
        <v xml:space="preserve">4170038936                    </v>
      </c>
      <c r="Q1999">
        <v>0</v>
      </c>
      <c r="R1999">
        <v>0</v>
      </c>
      <c r="S1999">
        <v>0</v>
      </c>
      <c r="T1999">
        <v>0</v>
      </c>
      <c r="U1999">
        <v>0</v>
      </c>
      <c r="V1999">
        <v>0</v>
      </c>
      <c r="W1999">
        <v>0</v>
      </c>
      <c r="X1999">
        <v>0</v>
      </c>
      <c r="Y1999">
        <v>0</v>
      </c>
      <c r="Z1999">
        <v>0</v>
      </c>
      <c r="AA1999">
        <v>0</v>
      </c>
      <c r="AB1999">
        <v>0</v>
      </c>
      <c r="AC1999">
        <v>0</v>
      </c>
      <c r="AD1999">
        <v>0</v>
      </c>
      <c r="AE1999">
        <v>0</v>
      </c>
      <c r="AF1999">
        <v>0</v>
      </c>
      <c r="AG1999">
        <v>0</v>
      </c>
      <c r="AH1999">
        <v>0</v>
      </c>
      <c r="AI1999">
        <v>0</v>
      </c>
      <c r="AJ1999">
        <v>0</v>
      </c>
      <c r="AK1999">
        <v>0</v>
      </c>
      <c r="AL1999">
        <v>0</v>
      </c>
      <c r="AM1999">
        <v>0</v>
      </c>
      <c r="AN1999">
        <v>0</v>
      </c>
      <c r="AO1999">
        <v>0</v>
      </c>
      <c r="AP1999">
        <v>0</v>
      </c>
      <c r="AQ1999">
        <v>21.38</v>
      </c>
      <c r="AR1999">
        <v>0</v>
      </c>
      <c r="AS1999">
        <v>0</v>
      </c>
      <c r="AT1999">
        <v>0</v>
      </c>
      <c r="AU1999">
        <v>0</v>
      </c>
      <c r="AV1999">
        <v>0</v>
      </c>
      <c r="AW1999">
        <v>0</v>
      </c>
      <c r="AX1999">
        <v>0</v>
      </c>
      <c r="AY1999">
        <v>0</v>
      </c>
      <c r="AZ1999">
        <v>0</v>
      </c>
      <c r="BA1999">
        <v>0</v>
      </c>
      <c r="BB1999">
        <v>0</v>
      </c>
      <c r="BC1999">
        <v>0</v>
      </c>
      <c r="BD1999">
        <v>0</v>
      </c>
      <c r="BE1999">
        <v>0</v>
      </c>
      <c r="BF1999">
        <v>0</v>
      </c>
      <c r="BG1999">
        <v>0</v>
      </c>
      <c r="BH1999">
        <v>1</v>
      </c>
      <c r="BI1999">
        <v>2</v>
      </c>
      <c r="BJ1999">
        <v>1.1000000000000001</v>
      </c>
      <c r="BK1999">
        <v>2</v>
      </c>
      <c r="BL1999">
        <v>69.98</v>
      </c>
      <c r="BM1999">
        <v>10.5</v>
      </c>
      <c r="BN1999">
        <v>80.48</v>
      </c>
      <c r="BO1999">
        <v>80.48</v>
      </c>
      <c r="BQ1999" t="s">
        <v>106</v>
      </c>
      <c r="BR1999" t="s">
        <v>84</v>
      </c>
      <c r="BS1999" s="3">
        <v>45796</v>
      </c>
      <c r="BT1999" s="4">
        <v>0.41666666666666669</v>
      </c>
      <c r="BU1999" t="s">
        <v>1180</v>
      </c>
      <c r="BV1999" t="s">
        <v>86</v>
      </c>
      <c r="BY1999">
        <v>5320</v>
      </c>
      <c r="CC1999" t="s">
        <v>104</v>
      </c>
      <c r="CD1999">
        <v>3201</v>
      </c>
      <c r="CE1999" t="s">
        <v>96</v>
      </c>
      <c r="CF1999" s="3">
        <v>45796</v>
      </c>
      <c r="CI1999">
        <v>1</v>
      </c>
      <c r="CJ1999">
        <v>1</v>
      </c>
      <c r="CK1999">
        <v>21</v>
      </c>
      <c r="CL1999" t="s">
        <v>89</v>
      </c>
    </row>
    <row r="2000" spans="1:90" x14ac:dyDescent="0.3">
      <c r="A2000" t="s">
        <v>72</v>
      </c>
      <c r="B2000" t="s">
        <v>73</v>
      </c>
      <c r="C2000" t="s">
        <v>74</v>
      </c>
      <c r="E2000" t="str">
        <f>"080065416723"</f>
        <v>080065416723</v>
      </c>
      <c r="F2000" s="3">
        <v>45793</v>
      </c>
      <c r="G2000">
        <v>202602</v>
      </c>
      <c r="H2000" t="s">
        <v>75</v>
      </c>
      <c r="I2000" t="s">
        <v>76</v>
      </c>
      <c r="J2000" t="s">
        <v>77</v>
      </c>
      <c r="K2000" t="s">
        <v>78</v>
      </c>
      <c r="L2000" t="s">
        <v>463</v>
      </c>
      <c r="M2000" t="s">
        <v>464</v>
      </c>
      <c r="N2000" t="s">
        <v>2472</v>
      </c>
      <c r="O2000" t="s">
        <v>82</v>
      </c>
      <c r="P2000" t="str">
        <f>"4170039097                    "</f>
        <v xml:space="preserve">4170039097                    </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0</v>
      </c>
      <c r="AL2000">
        <v>0</v>
      </c>
      <c r="AM2000">
        <v>0</v>
      </c>
      <c r="AN2000">
        <v>0</v>
      </c>
      <c r="AO2000">
        <v>0</v>
      </c>
      <c r="AP2000">
        <v>0</v>
      </c>
      <c r="AQ2000">
        <v>21.38</v>
      </c>
      <c r="AR2000">
        <v>0</v>
      </c>
      <c r="AS2000">
        <v>0</v>
      </c>
      <c r="AT2000">
        <v>0</v>
      </c>
      <c r="AU2000">
        <v>0</v>
      </c>
      <c r="AV2000">
        <v>0</v>
      </c>
      <c r="AW2000">
        <v>0</v>
      </c>
      <c r="AX2000">
        <v>0</v>
      </c>
      <c r="AY2000">
        <v>0</v>
      </c>
      <c r="AZ2000">
        <v>0</v>
      </c>
      <c r="BA2000">
        <v>0</v>
      </c>
      <c r="BB2000">
        <v>0</v>
      </c>
      <c r="BC2000">
        <v>0</v>
      </c>
      <c r="BD2000">
        <v>0</v>
      </c>
      <c r="BE2000">
        <v>0</v>
      </c>
      <c r="BF2000">
        <v>0</v>
      </c>
      <c r="BG2000">
        <v>0</v>
      </c>
      <c r="BH2000">
        <v>1</v>
      </c>
      <c r="BI2000">
        <v>1</v>
      </c>
      <c r="BJ2000">
        <v>0.2</v>
      </c>
      <c r="BK2000">
        <v>1</v>
      </c>
      <c r="BL2000">
        <v>69.98</v>
      </c>
      <c r="BM2000">
        <v>10.5</v>
      </c>
      <c r="BN2000">
        <v>80.48</v>
      </c>
      <c r="BO2000">
        <v>80.48</v>
      </c>
      <c r="BQ2000" t="s">
        <v>2473</v>
      </c>
      <c r="BR2000" t="s">
        <v>84</v>
      </c>
      <c r="BS2000" s="3">
        <v>45796</v>
      </c>
      <c r="BT2000" s="4">
        <v>0.62291666666666667</v>
      </c>
      <c r="BU2000" t="s">
        <v>2474</v>
      </c>
      <c r="BV2000" t="s">
        <v>89</v>
      </c>
      <c r="BY2000">
        <v>1200</v>
      </c>
      <c r="CA2000" t="s">
        <v>468</v>
      </c>
      <c r="CC2000" t="s">
        <v>464</v>
      </c>
      <c r="CD2000">
        <v>5201</v>
      </c>
      <c r="CE2000" t="s">
        <v>88</v>
      </c>
      <c r="CF2000" s="3">
        <v>45797</v>
      </c>
      <c r="CI2000">
        <v>1</v>
      </c>
      <c r="CJ2000">
        <v>1</v>
      </c>
      <c r="CK2000">
        <v>21</v>
      </c>
      <c r="CL2000" t="s">
        <v>89</v>
      </c>
    </row>
    <row r="2001" spans="1:90" x14ac:dyDescent="0.3">
      <c r="A2001" t="s">
        <v>72</v>
      </c>
      <c r="B2001" t="s">
        <v>73</v>
      </c>
      <c r="C2001" t="s">
        <v>74</v>
      </c>
      <c r="E2001" t="str">
        <f>"080065416753"</f>
        <v>080065416753</v>
      </c>
      <c r="F2001" s="3">
        <v>45793</v>
      </c>
      <c r="G2001">
        <v>202602</v>
      </c>
      <c r="H2001" t="s">
        <v>75</v>
      </c>
      <c r="I2001" t="s">
        <v>76</v>
      </c>
      <c r="J2001" t="s">
        <v>77</v>
      </c>
      <c r="K2001" t="s">
        <v>78</v>
      </c>
      <c r="L2001" t="s">
        <v>222</v>
      </c>
      <c r="M2001" t="s">
        <v>223</v>
      </c>
      <c r="N2001" t="s">
        <v>224</v>
      </c>
      <c r="O2001" t="s">
        <v>82</v>
      </c>
      <c r="P2001" t="str">
        <f>"4170039116                    "</f>
        <v xml:space="preserve">4170039116                    </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0</v>
      </c>
      <c r="AL2001">
        <v>0</v>
      </c>
      <c r="AM2001">
        <v>0</v>
      </c>
      <c r="AN2001">
        <v>0</v>
      </c>
      <c r="AO2001">
        <v>0</v>
      </c>
      <c r="AP2001">
        <v>0</v>
      </c>
      <c r="AQ2001">
        <v>30.07</v>
      </c>
      <c r="AR2001">
        <v>0</v>
      </c>
      <c r="AS2001">
        <v>0</v>
      </c>
      <c r="AT2001">
        <v>0</v>
      </c>
      <c r="AU2001">
        <v>0</v>
      </c>
      <c r="AV2001">
        <v>0</v>
      </c>
      <c r="AW2001">
        <v>0</v>
      </c>
      <c r="AX2001">
        <v>0</v>
      </c>
      <c r="AY2001">
        <v>0</v>
      </c>
      <c r="AZ2001">
        <v>0</v>
      </c>
      <c r="BA2001">
        <v>0</v>
      </c>
      <c r="BB2001">
        <v>0</v>
      </c>
      <c r="BC2001">
        <v>0</v>
      </c>
      <c r="BD2001">
        <v>0</v>
      </c>
      <c r="BE2001">
        <v>0</v>
      </c>
      <c r="BF2001">
        <v>0</v>
      </c>
      <c r="BG2001">
        <v>0</v>
      </c>
      <c r="BH2001">
        <v>1</v>
      </c>
      <c r="BI2001">
        <v>1</v>
      </c>
      <c r="BJ2001">
        <v>0.2</v>
      </c>
      <c r="BK2001">
        <v>1</v>
      </c>
      <c r="BL2001">
        <v>98.42</v>
      </c>
      <c r="BM2001">
        <v>14.76</v>
      </c>
      <c r="BN2001">
        <v>113.18</v>
      </c>
      <c r="BO2001">
        <v>113.18</v>
      </c>
      <c r="BQ2001" t="s">
        <v>225</v>
      </c>
      <c r="BR2001" t="s">
        <v>84</v>
      </c>
      <c r="BS2001" s="3">
        <v>45796</v>
      </c>
      <c r="BT2001" s="4">
        <v>0.39444444444444443</v>
      </c>
      <c r="BU2001" t="s">
        <v>655</v>
      </c>
      <c r="BV2001" t="s">
        <v>86</v>
      </c>
      <c r="BY2001">
        <v>1200</v>
      </c>
      <c r="CA2001" t="s">
        <v>2447</v>
      </c>
      <c r="CC2001" t="s">
        <v>223</v>
      </c>
      <c r="CD2001">
        <v>1754</v>
      </c>
      <c r="CE2001" t="s">
        <v>88</v>
      </c>
      <c r="CF2001" s="3">
        <v>45797</v>
      </c>
      <c r="CI2001">
        <v>1</v>
      </c>
      <c r="CJ2001">
        <v>1</v>
      </c>
      <c r="CK2001">
        <v>24</v>
      </c>
      <c r="CL2001" t="s">
        <v>89</v>
      </c>
    </row>
    <row r="2002" spans="1:90" x14ac:dyDescent="0.3">
      <c r="A2002" t="s">
        <v>72</v>
      </c>
      <c r="B2002" t="s">
        <v>73</v>
      </c>
      <c r="C2002" t="s">
        <v>74</v>
      </c>
      <c r="E2002" t="str">
        <f>"080065416750"</f>
        <v>080065416750</v>
      </c>
      <c r="F2002" s="3">
        <v>45793</v>
      </c>
      <c r="G2002">
        <v>202602</v>
      </c>
      <c r="H2002" t="s">
        <v>75</v>
      </c>
      <c r="I2002" t="s">
        <v>76</v>
      </c>
      <c r="J2002" t="s">
        <v>77</v>
      </c>
      <c r="K2002" t="s">
        <v>78</v>
      </c>
      <c r="L2002" t="s">
        <v>136</v>
      </c>
      <c r="M2002" t="s">
        <v>137</v>
      </c>
      <c r="N2002" t="s">
        <v>735</v>
      </c>
      <c r="O2002" t="s">
        <v>300</v>
      </c>
      <c r="P2002" t="str">
        <f>"4170039106                    "</f>
        <v xml:space="preserve">4170039106                    </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c r="AJ2002">
        <v>0</v>
      </c>
      <c r="AK2002">
        <v>0</v>
      </c>
      <c r="AL2002">
        <v>0</v>
      </c>
      <c r="AM2002">
        <v>0</v>
      </c>
      <c r="AN2002">
        <v>0</v>
      </c>
      <c r="AO2002">
        <v>0</v>
      </c>
      <c r="AP2002">
        <v>0</v>
      </c>
      <c r="AQ2002">
        <v>49.89</v>
      </c>
      <c r="AR2002">
        <v>0</v>
      </c>
      <c r="AS2002">
        <v>0</v>
      </c>
      <c r="AT2002">
        <v>0</v>
      </c>
      <c r="AU2002">
        <v>0</v>
      </c>
      <c r="AV2002">
        <v>0</v>
      </c>
      <c r="AW2002">
        <v>0</v>
      </c>
      <c r="AX2002">
        <v>0</v>
      </c>
      <c r="AY2002">
        <v>0</v>
      </c>
      <c r="AZ2002">
        <v>0</v>
      </c>
      <c r="BA2002">
        <v>0</v>
      </c>
      <c r="BB2002">
        <v>0</v>
      </c>
      <c r="BC2002">
        <v>0</v>
      </c>
      <c r="BD2002">
        <v>0</v>
      </c>
      <c r="BE2002">
        <v>0</v>
      </c>
      <c r="BF2002">
        <v>0</v>
      </c>
      <c r="BG2002">
        <v>0</v>
      </c>
      <c r="BH2002">
        <v>1</v>
      </c>
      <c r="BI2002">
        <v>20</v>
      </c>
      <c r="BJ2002">
        <v>16.3</v>
      </c>
      <c r="BK2002">
        <v>20</v>
      </c>
      <c r="BL2002">
        <v>168.84</v>
      </c>
      <c r="BM2002">
        <v>25.33</v>
      </c>
      <c r="BN2002">
        <v>194.17</v>
      </c>
      <c r="BO2002">
        <v>194.17</v>
      </c>
      <c r="BQ2002" t="s">
        <v>736</v>
      </c>
      <c r="BR2002" t="s">
        <v>84</v>
      </c>
      <c r="BS2002" s="3">
        <v>45796</v>
      </c>
      <c r="BT2002" s="4">
        <v>0.37777777777777777</v>
      </c>
      <c r="BU2002" t="s">
        <v>2475</v>
      </c>
      <c r="BV2002" t="s">
        <v>86</v>
      </c>
      <c r="BY2002">
        <v>81675</v>
      </c>
      <c r="CA2002" t="s">
        <v>2440</v>
      </c>
      <c r="CC2002" t="s">
        <v>137</v>
      </c>
      <c r="CD2002" s="5" t="s">
        <v>738</v>
      </c>
      <c r="CE2002" t="s">
        <v>511</v>
      </c>
      <c r="CF2002" s="3">
        <v>45796</v>
      </c>
      <c r="CI2002">
        <v>1</v>
      </c>
      <c r="CJ2002">
        <v>1</v>
      </c>
      <c r="CK2002">
        <v>41</v>
      </c>
      <c r="CL2002" t="s">
        <v>89</v>
      </c>
    </row>
    <row r="2003" spans="1:90" x14ac:dyDescent="0.3">
      <c r="A2003" t="s">
        <v>72</v>
      </c>
      <c r="B2003" t="s">
        <v>73</v>
      </c>
      <c r="C2003" t="s">
        <v>74</v>
      </c>
      <c r="E2003" t="str">
        <f>"080065416771"</f>
        <v>080065416771</v>
      </c>
      <c r="F2003" s="3">
        <v>45793</v>
      </c>
      <c r="G2003">
        <v>202602</v>
      </c>
      <c r="H2003" t="s">
        <v>75</v>
      </c>
      <c r="I2003" t="s">
        <v>76</v>
      </c>
      <c r="J2003" t="s">
        <v>77</v>
      </c>
      <c r="K2003" t="s">
        <v>78</v>
      </c>
      <c r="L2003" t="s">
        <v>222</v>
      </c>
      <c r="M2003" t="s">
        <v>223</v>
      </c>
      <c r="N2003" t="s">
        <v>589</v>
      </c>
      <c r="O2003" t="s">
        <v>82</v>
      </c>
      <c r="P2003" t="str">
        <f>"4170039069                    "</f>
        <v xml:space="preserve">4170039069                    </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0</v>
      </c>
      <c r="AL2003">
        <v>0</v>
      </c>
      <c r="AM2003">
        <v>0</v>
      </c>
      <c r="AN2003">
        <v>0</v>
      </c>
      <c r="AO2003">
        <v>0</v>
      </c>
      <c r="AP2003">
        <v>0</v>
      </c>
      <c r="AQ2003">
        <v>30.07</v>
      </c>
      <c r="AR2003">
        <v>0</v>
      </c>
      <c r="AS2003">
        <v>0</v>
      </c>
      <c r="AT2003">
        <v>0</v>
      </c>
      <c r="AU2003">
        <v>0</v>
      </c>
      <c r="AV2003">
        <v>0</v>
      </c>
      <c r="AW2003">
        <v>0</v>
      </c>
      <c r="AX2003">
        <v>0</v>
      </c>
      <c r="AY2003">
        <v>0</v>
      </c>
      <c r="AZ2003">
        <v>0</v>
      </c>
      <c r="BA2003">
        <v>0</v>
      </c>
      <c r="BB2003">
        <v>0</v>
      </c>
      <c r="BC2003">
        <v>0</v>
      </c>
      <c r="BD2003">
        <v>0</v>
      </c>
      <c r="BE2003">
        <v>0</v>
      </c>
      <c r="BF2003">
        <v>0</v>
      </c>
      <c r="BG2003">
        <v>0</v>
      </c>
      <c r="BH2003">
        <v>1</v>
      </c>
      <c r="BI2003">
        <v>1</v>
      </c>
      <c r="BJ2003">
        <v>0.2</v>
      </c>
      <c r="BK2003">
        <v>1</v>
      </c>
      <c r="BL2003">
        <v>98.42</v>
      </c>
      <c r="BM2003">
        <v>14.76</v>
      </c>
      <c r="BN2003">
        <v>113.18</v>
      </c>
      <c r="BO2003">
        <v>113.18</v>
      </c>
      <c r="BQ2003" t="s">
        <v>590</v>
      </c>
      <c r="BR2003" t="s">
        <v>84</v>
      </c>
      <c r="BS2003" s="3">
        <v>45796</v>
      </c>
      <c r="BT2003" s="4">
        <v>0.3</v>
      </c>
      <c r="BU2003" t="s">
        <v>2167</v>
      </c>
      <c r="BV2003" t="s">
        <v>86</v>
      </c>
      <c r="BY2003">
        <v>1200</v>
      </c>
      <c r="CA2003" t="s">
        <v>592</v>
      </c>
      <c r="CC2003" t="s">
        <v>223</v>
      </c>
      <c r="CD2003">
        <v>1748</v>
      </c>
      <c r="CE2003" t="s">
        <v>88</v>
      </c>
      <c r="CF2003" s="3">
        <v>45796</v>
      </c>
      <c r="CI2003">
        <v>1</v>
      </c>
      <c r="CJ2003">
        <v>1</v>
      </c>
      <c r="CK2003">
        <v>24</v>
      </c>
      <c r="CL2003" t="s">
        <v>89</v>
      </c>
    </row>
    <row r="2004" spans="1:90" x14ac:dyDescent="0.3">
      <c r="A2004" t="s">
        <v>72</v>
      </c>
      <c r="B2004" t="s">
        <v>73</v>
      </c>
      <c r="C2004" t="s">
        <v>74</v>
      </c>
      <c r="E2004" t="str">
        <f>"080065416789"</f>
        <v>080065416789</v>
      </c>
      <c r="F2004" s="3">
        <v>45793</v>
      </c>
      <c r="G2004">
        <v>202602</v>
      </c>
      <c r="H2004" t="s">
        <v>75</v>
      </c>
      <c r="I2004" t="s">
        <v>76</v>
      </c>
      <c r="J2004" t="s">
        <v>77</v>
      </c>
      <c r="K2004" t="s">
        <v>78</v>
      </c>
      <c r="L2004" t="s">
        <v>844</v>
      </c>
      <c r="M2004" t="s">
        <v>845</v>
      </c>
      <c r="N2004" t="s">
        <v>846</v>
      </c>
      <c r="O2004" t="s">
        <v>82</v>
      </c>
      <c r="P2004" t="str">
        <f>"4170039055                    "</f>
        <v xml:space="preserve">4170039055                    </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0</v>
      </c>
      <c r="AL2004">
        <v>0</v>
      </c>
      <c r="AM2004">
        <v>0</v>
      </c>
      <c r="AN2004">
        <v>0</v>
      </c>
      <c r="AO2004">
        <v>0</v>
      </c>
      <c r="AP2004">
        <v>0</v>
      </c>
      <c r="AQ2004">
        <v>21.38</v>
      </c>
      <c r="AR2004">
        <v>0</v>
      </c>
      <c r="AS2004">
        <v>0</v>
      </c>
      <c r="AT2004">
        <v>0</v>
      </c>
      <c r="AU2004">
        <v>0</v>
      </c>
      <c r="AV2004">
        <v>0</v>
      </c>
      <c r="AW2004">
        <v>0</v>
      </c>
      <c r="AX2004">
        <v>0</v>
      </c>
      <c r="AY2004">
        <v>0</v>
      </c>
      <c r="AZ2004">
        <v>0</v>
      </c>
      <c r="BA2004">
        <v>0</v>
      </c>
      <c r="BB2004">
        <v>0</v>
      </c>
      <c r="BC2004">
        <v>0</v>
      </c>
      <c r="BD2004">
        <v>0</v>
      </c>
      <c r="BE2004">
        <v>0</v>
      </c>
      <c r="BF2004">
        <v>0</v>
      </c>
      <c r="BG2004">
        <v>0</v>
      </c>
      <c r="BH2004">
        <v>1</v>
      </c>
      <c r="BI2004">
        <v>1</v>
      </c>
      <c r="BJ2004">
        <v>0.2</v>
      </c>
      <c r="BK2004">
        <v>1</v>
      </c>
      <c r="BL2004">
        <v>69.98</v>
      </c>
      <c r="BM2004">
        <v>10.5</v>
      </c>
      <c r="BN2004">
        <v>80.48</v>
      </c>
      <c r="BO2004">
        <v>80.48</v>
      </c>
      <c r="BQ2004" t="s">
        <v>847</v>
      </c>
      <c r="BR2004" t="s">
        <v>84</v>
      </c>
      <c r="BS2004" s="3">
        <v>45797</v>
      </c>
      <c r="BT2004" s="4">
        <v>0.3576388888888889</v>
      </c>
      <c r="BU2004" t="s">
        <v>2471</v>
      </c>
      <c r="BV2004" t="s">
        <v>89</v>
      </c>
      <c r="BW2004" t="s">
        <v>340</v>
      </c>
      <c r="BX2004" t="s">
        <v>341</v>
      </c>
      <c r="BY2004">
        <v>1200</v>
      </c>
      <c r="CA2004" t="s">
        <v>849</v>
      </c>
      <c r="CC2004" t="s">
        <v>845</v>
      </c>
      <c r="CD2004">
        <v>7600</v>
      </c>
      <c r="CE2004" t="s">
        <v>88</v>
      </c>
      <c r="CF2004" s="3">
        <v>45798</v>
      </c>
      <c r="CI2004">
        <v>1</v>
      </c>
      <c r="CJ2004">
        <v>2</v>
      </c>
      <c r="CK2004">
        <v>21</v>
      </c>
      <c r="CL2004" t="s">
        <v>89</v>
      </c>
    </row>
    <row r="2005" spans="1:90" x14ac:dyDescent="0.3">
      <c r="A2005" t="s">
        <v>72</v>
      </c>
      <c r="B2005" t="s">
        <v>73</v>
      </c>
      <c r="C2005" t="s">
        <v>74</v>
      </c>
      <c r="E2005" t="str">
        <f>"080065416798"</f>
        <v>080065416798</v>
      </c>
      <c r="F2005" s="3">
        <v>45793</v>
      </c>
      <c r="G2005">
        <v>202602</v>
      </c>
      <c r="H2005" t="s">
        <v>75</v>
      </c>
      <c r="I2005" t="s">
        <v>76</v>
      </c>
      <c r="J2005" t="s">
        <v>77</v>
      </c>
      <c r="K2005" t="s">
        <v>78</v>
      </c>
      <c r="L2005" t="s">
        <v>130</v>
      </c>
      <c r="M2005" t="s">
        <v>131</v>
      </c>
      <c r="N2005" t="s">
        <v>239</v>
      </c>
      <c r="O2005" t="s">
        <v>82</v>
      </c>
      <c r="P2005" t="str">
        <f>"4170039101                    "</f>
        <v xml:space="preserve">4170039101                    </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0</v>
      </c>
      <c r="AL2005">
        <v>0</v>
      </c>
      <c r="AM2005">
        <v>0</v>
      </c>
      <c r="AN2005">
        <v>0</v>
      </c>
      <c r="AO2005">
        <v>0</v>
      </c>
      <c r="AP2005">
        <v>0</v>
      </c>
      <c r="AQ2005">
        <v>42.75</v>
      </c>
      <c r="AR2005">
        <v>0</v>
      </c>
      <c r="AS2005">
        <v>0</v>
      </c>
      <c r="AT2005">
        <v>0</v>
      </c>
      <c r="AU2005">
        <v>0</v>
      </c>
      <c r="AV2005">
        <v>0</v>
      </c>
      <c r="AW2005">
        <v>0</v>
      </c>
      <c r="AX2005">
        <v>0</v>
      </c>
      <c r="AY2005">
        <v>0</v>
      </c>
      <c r="AZ2005">
        <v>0</v>
      </c>
      <c r="BA2005">
        <v>0</v>
      </c>
      <c r="BB2005">
        <v>0</v>
      </c>
      <c r="BC2005">
        <v>0</v>
      </c>
      <c r="BD2005">
        <v>0</v>
      </c>
      <c r="BE2005">
        <v>0</v>
      </c>
      <c r="BF2005">
        <v>0</v>
      </c>
      <c r="BG2005">
        <v>0</v>
      </c>
      <c r="BH2005">
        <v>1</v>
      </c>
      <c r="BI2005">
        <v>4</v>
      </c>
      <c r="BJ2005">
        <v>1.4</v>
      </c>
      <c r="BK2005">
        <v>4</v>
      </c>
      <c r="BL2005">
        <v>139.91</v>
      </c>
      <c r="BM2005">
        <v>20.99</v>
      </c>
      <c r="BN2005">
        <v>160.9</v>
      </c>
      <c r="BO2005">
        <v>160.9</v>
      </c>
      <c r="BQ2005" t="s">
        <v>240</v>
      </c>
      <c r="BR2005" t="s">
        <v>84</v>
      </c>
      <c r="BS2005" s="3">
        <v>45796</v>
      </c>
      <c r="BT2005" s="4">
        <v>0.43541666666666667</v>
      </c>
      <c r="BU2005" t="s">
        <v>1725</v>
      </c>
      <c r="BV2005" t="s">
        <v>86</v>
      </c>
      <c r="BY2005">
        <v>7000</v>
      </c>
      <c r="CC2005" t="s">
        <v>131</v>
      </c>
      <c r="CD2005">
        <v>7441</v>
      </c>
      <c r="CE2005" t="s">
        <v>96</v>
      </c>
      <c r="CF2005" s="3">
        <v>45797</v>
      </c>
      <c r="CI2005">
        <v>1</v>
      </c>
      <c r="CJ2005">
        <v>1</v>
      </c>
      <c r="CK2005">
        <v>21</v>
      </c>
      <c r="CL2005" t="s">
        <v>89</v>
      </c>
    </row>
    <row r="2006" spans="1:90" x14ac:dyDescent="0.3">
      <c r="A2006" t="s">
        <v>72</v>
      </c>
      <c r="B2006" t="s">
        <v>73</v>
      </c>
      <c r="C2006" t="s">
        <v>74</v>
      </c>
      <c r="E2006" t="str">
        <f>"080065416809"</f>
        <v>080065416809</v>
      </c>
      <c r="F2006" s="3">
        <v>45793</v>
      </c>
      <c r="G2006">
        <v>202602</v>
      </c>
      <c r="H2006" t="s">
        <v>75</v>
      </c>
      <c r="I2006" t="s">
        <v>76</v>
      </c>
      <c r="J2006" t="s">
        <v>77</v>
      </c>
      <c r="K2006" t="s">
        <v>78</v>
      </c>
      <c r="L2006" t="s">
        <v>90</v>
      </c>
      <c r="M2006" t="s">
        <v>91</v>
      </c>
      <c r="N2006" t="s">
        <v>563</v>
      </c>
      <c r="O2006" t="s">
        <v>82</v>
      </c>
      <c r="P2006" t="str">
        <f>"4170039057                    "</f>
        <v xml:space="preserve">4170039057                    </v>
      </c>
      <c r="Q2006">
        <v>0</v>
      </c>
      <c r="R2006">
        <v>0</v>
      </c>
      <c r="S2006">
        <v>0</v>
      </c>
      <c r="T2006">
        <v>0</v>
      </c>
      <c r="U2006">
        <v>0</v>
      </c>
      <c r="V2006">
        <v>0</v>
      </c>
      <c r="W2006">
        <v>0</v>
      </c>
      <c r="X2006">
        <v>0</v>
      </c>
      <c r="Y2006">
        <v>0</v>
      </c>
      <c r="Z2006">
        <v>0</v>
      </c>
      <c r="AA2006">
        <v>0</v>
      </c>
      <c r="AB2006">
        <v>0</v>
      </c>
      <c r="AC2006">
        <v>0</v>
      </c>
      <c r="AD2006">
        <v>0</v>
      </c>
      <c r="AE2006">
        <v>0</v>
      </c>
      <c r="AF2006">
        <v>0</v>
      </c>
      <c r="AG2006">
        <v>0</v>
      </c>
      <c r="AH2006">
        <v>0</v>
      </c>
      <c r="AI2006">
        <v>0</v>
      </c>
      <c r="AJ2006">
        <v>0</v>
      </c>
      <c r="AK2006">
        <v>0</v>
      </c>
      <c r="AL2006">
        <v>0</v>
      </c>
      <c r="AM2006">
        <v>0</v>
      </c>
      <c r="AN2006">
        <v>0</v>
      </c>
      <c r="AO2006">
        <v>0</v>
      </c>
      <c r="AP2006">
        <v>0</v>
      </c>
      <c r="AQ2006">
        <v>21.38</v>
      </c>
      <c r="AR2006">
        <v>0</v>
      </c>
      <c r="AS2006">
        <v>0</v>
      </c>
      <c r="AT2006">
        <v>0</v>
      </c>
      <c r="AU2006">
        <v>0</v>
      </c>
      <c r="AV2006">
        <v>0</v>
      </c>
      <c r="AW2006">
        <v>0</v>
      </c>
      <c r="AX2006">
        <v>0</v>
      </c>
      <c r="AY2006">
        <v>0</v>
      </c>
      <c r="AZ2006">
        <v>0</v>
      </c>
      <c r="BA2006">
        <v>0</v>
      </c>
      <c r="BB2006">
        <v>0</v>
      </c>
      <c r="BC2006">
        <v>0</v>
      </c>
      <c r="BD2006">
        <v>0</v>
      </c>
      <c r="BE2006">
        <v>0</v>
      </c>
      <c r="BF2006">
        <v>0</v>
      </c>
      <c r="BG2006">
        <v>0</v>
      </c>
      <c r="BH2006">
        <v>1</v>
      </c>
      <c r="BI2006">
        <v>1</v>
      </c>
      <c r="BJ2006">
        <v>0.2</v>
      </c>
      <c r="BK2006">
        <v>1</v>
      </c>
      <c r="BL2006">
        <v>69.98</v>
      </c>
      <c r="BM2006">
        <v>10.5</v>
      </c>
      <c r="BN2006">
        <v>80.48</v>
      </c>
      <c r="BO2006">
        <v>80.48</v>
      </c>
      <c r="BQ2006" t="s">
        <v>564</v>
      </c>
      <c r="BR2006" t="s">
        <v>84</v>
      </c>
      <c r="BS2006" s="3">
        <v>45796</v>
      </c>
      <c r="BT2006" s="4">
        <v>0.34722222222222221</v>
      </c>
      <c r="BU2006" t="s">
        <v>780</v>
      </c>
      <c r="BV2006" t="s">
        <v>86</v>
      </c>
      <c r="BY2006">
        <v>1200</v>
      </c>
      <c r="CA2006" t="s">
        <v>566</v>
      </c>
      <c r="CC2006" t="s">
        <v>91</v>
      </c>
      <c r="CD2006">
        <v>6001</v>
      </c>
      <c r="CE2006" t="s">
        <v>88</v>
      </c>
      <c r="CF2006" s="3">
        <v>45797</v>
      </c>
      <c r="CI2006">
        <v>1</v>
      </c>
      <c r="CJ2006">
        <v>1</v>
      </c>
      <c r="CK2006">
        <v>21</v>
      </c>
      <c r="CL2006" t="s">
        <v>89</v>
      </c>
    </row>
    <row r="2007" spans="1:90" x14ac:dyDescent="0.3">
      <c r="A2007" t="s">
        <v>72</v>
      </c>
      <c r="B2007" t="s">
        <v>73</v>
      </c>
      <c r="C2007" t="s">
        <v>74</v>
      </c>
      <c r="E2007" t="str">
        <f>"080065416825"</f>
        <v>080065416825</v>
      </c>
      <c r="F2007" s="3">
        <v>45793</v>
      </c>
      <c r="G2007">
        <v>202602</v>
      </c>
      <c r="H2007" t="s">
        <v>75</v>
      </c>
      <c r="I2007" t="s">
        <v>76</v>
      </c>
      <c r="J2007" t="s">
        <v>77</v>
      </c>
      <c r="K2007" t="s">
        <v>78</v>
      </c>
      <c r="L2007" t="s">
        <v>103</v>
      </c>
      <c r="M2007" t="s">
        <v>104</v>
      </c>
      <c r="N2007" t="s">
        <v>105</v>
      </c>
      <c r="O2007" t="s">
        <v>82</v>
      </c>
      <c r="P2007" t="str">
        <f>"4170038935                    "</f>
        <v xml:space="preserve">4170038935                    </v>
      </c>
      <c r="Q2007">
        <v>0</v>
      </c>
      <c r="R2007">
        <v>0</v>
      </c>
      <c r="S2007">
        <v>0</v>
      </c>
      <c r="T2007">
        <v>0</v>
      </c>
      <c r="U2007">
        <v>0</v>
      </c>
      <c r="V2007">
        <v>0</v>
      </c>
      <c r="W2007">
        <v>0</v>
      </c>
      <c r="X2007">
        <v>0</v>
      </c>
      <c r="Y2007">
        <v>0</v>
      </c>
      <c r="Z2007">
        <v>0</v>
      </c>
      <c r="AA2007">
        <v>0</v>
      </c>
      <c r="AB2007">
        <v>0</v>
      </c>
      <c r="AC2007">
        <v>0</v>
      </c>
      <c r="AD2007">
        <v>0</v>
      </c>
      <c r="AE2007">
        <v>0</v>
      </c>
      <c r="AF2007">
        <v>0</v>
      </c>
      <c r="AG2007">
        <v>0</v>
      </c>
      <c r="AH2007">
        <v>0</v>
      </c>
      <c r="AI2007">
        <v>0</v>
      </c>
      <c r="AJ2007">
        <v>0</v>
      </c>
      <c r="AK2007">
        <v>0</v>
      </c>
      <c r="AL2007">
        <v>0</v>
      </c>
      <c r="AM2007">
        <v>0</v>
      </c>
      <c r="AN2007">
        <v>0</v>
      </c>
      <c r="AO2007">
        <v>0</v>
      </c>
      <c r="AP2007">
        <v>0</v>
      </c>
      <c r="AQ2007">
        <v>21.38</v>
      </c>
      <c r="AR2007">
        <v>0</v>
      </c>
      <c r="AS2007">
        <v>0</v>
      </c>
      <c r="AT2007">
        <v>0</v>
      </c>
      <c r="AU2007">
        <v>0</v>
      </c>
      <c r="AV2007">
        <v>0</v>
      </c>
      <c r="AW2007">
        <v>0</v>
      </c>
      <c r="AX2007">
        <v>0</v>
      </c>
      <c r="AY2007">
        <v>0</v>
      </c>
      <c r="AZ2007">
        <v>0</v>
      </c>
      <c r="BA2007">
        <v>0</v>
      </c>
      <c r="BB2007">
        <v>0</v>
      </c>
      <c r="BC2007">
        <v>0</v>
      </c>
      <c r="BD2007">
        <v>0</v>
      </c>
      <c r="BE2007">
        <v>0</v>
      </c>
      <c r="BF2007">
        <v>0</v>
      </c>
      <c r="BG2007">
        <v>0</v>
      </c>
      <c r="BH2007">
        <v>1</v>
      </c>
      <c r="BI2007">
        <v>2</v>
      </c>
      <c r="BJ2007">
        <v>1.1000000000000001</v>
      </c>
      <c r="BK2007">
        <v>2</v>
      </c>
      <c r="BL2007">
        <v>69.98</v>
      </c>
      <c r="BM2007">
        <v>10.5</v>
      </c>
      <c r="BN2007">
        <v>80.48</v>
      </c>
      <c r="BO2007">
        <v>80.48</v>
      </c>
      <c r="BQ2007" t="s">
        <v>106</v>
      </c>
      <c r="BR2007" t="s">
        <v>84</v>
      </c>
      <c r="BS2007" s="3">
        <v>45796</v>
      </c>
      <c r="BT2007" s="4">
        <v>0.41666666666666669</v>
      </c>
      <c r="BU2007" t="s">
        <v>1180</v>
      </c>
      <c r="BV2007" t="s">
        <v>86</v>
      </c>
      <c r="BY2007">
        <v>5320</v>
      </c>
      <c r="CC2007" t="s">
        <v>104</v>
      </c>
      <c r="CD2007">
        <v>3201</v>
      </c>
      <c r="CE2007" t="s">
        <v>96</v>
      </c>
      <c r="CF2007" s="3">
        <v>45796</v>
      </c>
      <c r="CI2007">
        <v>1</v>
      </c>
      <c r="CJ2007">
        <v>1</v>
      </c>
      <c r="CK2007">
        <v>21</v>
      </c>
      <c r="CL2007" t="s">
        <v>89</v>
      </c>
    </row>
    <row r="2008" spans="1:90" x14ac:dyDescent="0.3">
      <c r="A2008" t="s">
        <v>72</v>
      </c>
      <c r="B2008" t="s">
        <v>73</v>
      </c>
      <c r="C2008" t="s">
        <v>74</v>
      </c>
      <c r="E2008" t="str">
        <f>"080065416834"</f>
        <v>080065416834</v>
      </c>
      <c r="F2008" s="3">
        <v>45793</v>
      </c>
      <c r="G2008">
        <v>202602</v>
      </c>
      <c r="H2008" t="s">
        <v>75</v>
      </c>
      <c r="I2008" t="s">
        <v>76</v>
      </c>
      <c r="J2008" t="s">
        <v>77</v>
      </c>
      <c r="K2008" t="s">
        <v>78</v>
      </c>
      <c r="L2008" t="s">
        <v>374</v>
      </c>
      <c r="M2008" t="s">
        <v>375</v>
      </c>
      <c r="N2008" t="s">
        <v>376</v>
      </c>
      <c r="O2008" t="s">
        <v>82</v>
      </c>
      <c r="P2008" t="str">
        <f>"4170039108                    "</f>
        <v xml:space="preserve">4170039108                    </v>
      </c>
      <c r="Q2008">
        <v>0</v>
      </c>
      <c r="R2008">
        <v>0</v>
      </c>
      <c r="S2008">
        <v>0</v>
      </c>
      <c r="T2008">
        <v>0</v>
      </c>
      <c r="U2008">
        <v>0</v>
      </c>
      <c r="V2008">
        <v>0</v>
      </c>
      <c r="W2008">
        <v>0</v>
      </c>
      <c r="X2008">
        <v>0</v>
      </c>
      <c r="Y2008">
        <v>0</v>
      </c>
      <c r="Z2008">
        <v>0</v>
      </c>
      <c r="AA2008">
        <v>0</v>
      </c>
      <c r="AB2008">
        <v>0</v>
      </c>
      <c r="AC2008">
        <v>0</v>
      </c>
      <c r="AD2008">
        <v>0</v>
      </c>
      <c r="AE2008">
        <v>0</v>
      </c>
      <c r="AF2008">
        <v>0</v>
      </c>
      <c r="AG2008">
        <v>0</v>
      </c>
      <c r="AH2008">
        <v>0</v>
      </c>
      <c r="AI2008">
        <v>0</v>
      </c>
      <c r="AJ2008">
        <v>0</v>
      </c>
      <c r="AK2008">
        <v>0</v>
      </c>
      <c r="AL2008">
        <v>0</v>
      </c>
      <c r="AM2008">
        <v>0</v>
      </c>
      <c r="AN2008">
        <v>0</v>
      </c>
      <c r="AO2008">
        <v>0</v>
      </c>
      <c r="AP2008">
        <v>0</v>
      </c>
      <c r="AQ2008">
        <v>41.43</v>
      </c>
      <c r="AR2008">
        <v>0</v>
      </c>
      <c r="AS2008">
        <v>0</v>
      </c>
      <c r="AT2008">
        <v>0</v>
      </c>
      <c r="AU2008">
        <v>0</v>
      </c>
      <c r="AV2008">
        <v>0</v>
      </c>
      <c r="AW2008">
        <v>0</v>
      </c>
      <c r="AX2008">
        <v>0</v>
      </c>
      <c r="AY2008">
        <v>0</v>
      </c>
      <c r="AZ2008">
        <v>0</v>
      </c>
      <c r="BA2008">
        <v>0</v>
      </c>
      <c r="BB2008">
        <v>0</v>
      </c>
      <c r="BC2008">
        <v>0</v>
      </c>
      <c r="BD2008">
        <v>0</v>
      </c>
      <c r="BE2008">
        <v>0</v>
      </c>
      <c r="BF2008">
        <v>0</v>
      </c>
      <c r="BG2008">
        <v>0</v>
      </c>
      <c r="BH2008">
        <v>1</v>
      </c>
      <c r="BI2008">
        <v>1</v>
      </c>
      <c r="BJ2008">
        <v>0.2</v>
      </c>
      <c r="BK2008">
        <v>1</v>
      </c>
      <c r="BL2008">
        <v>135.59</v>
      </c>
      <c r="BM2008">
        <v>20.34</v>
      </c>
      <c r="BN2008">
        <v>155.93</v>
      </c>
      <c r="BO2008">
        <v>155.93</v>
      </c>
      <c r="BQ2008" t="s">
        <v>377</v>
      </c>
      <c r="BR2008" t="s">
        <v>84</v>
      </c>
      <c r="BS2008" s="3">
        <v>45797</v>
      </c>
      <c r="BT2008" s="4">
        <v>0.40138888888888891</v>
      </c>
      <c r="BU2008" t="s">
        <v>378</v>
      </c>
      <c r="BV2008" t="s">
        <v>89</v>
      </c>
      <c r="BW2008" t="s">
        <v>340</v>
      </c>
      <c r="BX2008" t="s">
        <v>1315</v>
      </c>
      <c r="BY2008">
        <v>1200</v>
      </c>
      <c r="CA2008" t="s">
        <v>379</v>
      </c>
      <c r="CC2008" t="s">
        <v>375</v>
      </c>
      <c r="CD2008">
        <v>7130</v>
      </c>
      <c r="CE2008" t="s">
        <v>88</v>
      </c>
      <c r="CF2008" s="3">
        <v>45798</v>
      </c>
      <c r="CI2008">
        <v>1</v>
      </c>
      <c r="CJ2008">
        <v>2</v>
      </c>
      <c r="CK2008">
        <v>23</v>
      </c>
      <c r="CL2008" t="s">
        <v>89</v>
      </c>
    </row>
    <row r="2009" spans="1:90" x14ac:dyDescent="0.3">
      <c r="A2009" t="s">
        <v>72</v>
      </c>
      <c r="B2009" t="s">
        <v>73</v>
      </c>
      <c r="C2009" t="s">
        <v>74</v>
      </c>
      <c r="E2009" t="str">
        <f>"080065416872"</f>
        <v>080065416872</v>
      </c>
      <c r="F2009" s="3">
        <v>45793</v>
      </c>
      <c r="G2009">
        <v>202602</v>
      </c>
      <c r="H2009" t="s">
        <v>75</v>
      </c>
      <c r="I2009" t="s">
        <v>76</v>
      </c>
      <c r="J2009" t="s">
        <v>77</v>
      </c>
      <c r="K2009" t="s">
        <v>78</v>
      </c>
      <c r="L2009" t="s">
        <v>75</v>
      </c>
      <c r="M2009" t="s">
        <v>76</v>
      </c>
      <c r="N2009" t="s">
        <v>390</v>
      </c>
      <c r="O2009" t="s">
        <v>82</v>
      </c>
      <c r="P2009" t="str">
        <f>"4170038940                    "</f>
        <v xml:space="preserve">4170038940                    </v>
      </c>
      <c r="Q2009">
        <v>0</v>
      </c>
      <c r="R2009">
        <v>0</v>
      </c>
      <c r="S2009">
        <v>0</v>
      </c>
      <c r="T2009">
        <v>0</v>
      </c>
      <c r="U2009">
        <v>0</v>
      </c>
      <c r="V2009">
        <v>0</v>
      </c>
      <c r="W2009">
        <v>0</v>
      </c>
      <c r="X2009">
        <v>0</v>
      </c>
      <c r="Y2009">
        <v>0</v>
      </c>
      <c r="Z2009">
        <v>0</v>
      </c>
      <c r="AA2009">
        <v>0</v>
      </c>
      <c r="AB2009">
        <v>0</v>
      </c>
      <c r="AC2009">
        <v>0</v>
      </c>
      <c r="AD2009">
        <v>0</v>
      </c>
      <c r="AE2009">
        <v>0</v>
      </c>
      <c r="AF2009">
        <v>0</v>
      </c>
      <c r="AG2009">
        <v>0</v>
      </c>
      <c r="AH2009">
        <v>0</v>
      </c>
      <c r="AI2009">
        <v>0</v>
      </c>
      <c r="AJ2009">
        <v>0</v>
      </c>
      <c r="AK2009">
        <v>0</v>
      </c>
      <c r="AL2009">
        <v>0</v>
      </c>
      <c r="AM2009">
        <v>0</v>
      </c>
      <c r="AN2009">
        <v>0</v>
      </c>
      <c r="AO2009">
        <v>0</v>
      </c>
      <c r="AP2009">
        <v>0</v>
      </c>
      <c r="AQ2009">
        <v>16.7</v>
      </c>
      <c r="AR2009">
        <v>0</v>
      </c>
      <c r="AS2009">
        <v>0</v>
      </c>
      <c r="AT2009">
        <v>0</v>
      </c>
      <c r="AU2009">
        <v>0</v>
      </c>
      <c r="AV2009">
        <v>0</v>
      </c>
      <c r="AW2009">
        <v>0</v>
      </c>
      <c r="AX2009">
        <v>0</v>
      </c>
      <c r="AY2009">
        <v>0</v>
      </c>
      <c r="AZ2009">
        <v>0</v>
      </c>
      <c r="BA2009">
        <v>0</v>
      </c>
      <c r="BB2009">
        <v>0</v>
      </c>
      <c r="BC2009">
        <v>0</v>
      </c>
      <c r="BD2009">
        <v>0</v>
      </c>
      <c r="BE2009">
        <v>0</v>
      </c>
      <c r="BF2009">
        <v>0</v>
      </c>
      <c r="BG2009">
        <v>0</v>
      </c>
      <c r="BH2009">
        <v>1</v>
      </c>
      <c r="BI2009">
        <v>1</v>
      </c>
      <c r="BJ2009">
        <v>0.2</v>
      </c>
      <c r="BK2009">
        <v>1</v>
      </c>
      <c r="BL2009">
        <v>54.66</v>
      </c>
      <c r="BM2009">
        <v>8.1999999999999993</v>
      </c>
      <c r="BN2009">
        <v>62.86</v>
      </c>
      <c r="BO2009">
        <v>62.86</v>
      </c>
      <c r="BQ2009" t="s">
        <v>391</v>
      </c>
      <c r="BR2009" t="s">
        <v>84</v>
      </c>
      <c r="BS2009" s="3">
        <v>45796</v>
      </c>
      <c r="BT2009" s="4">
        <v>0.35</v>
      </c>
      <c r="BU2009" t="s">
        <v>392</v>
      </c>
      <c r="BV2009" t="s">
        <v>86</v>
      </c>
      <c r="BY2009">
        <v>1200</v>
      </c>
      <c r="CA2009" t="s">
        <v>115</v>
      </c>
      <c r="CC2009" t="s">
        <v>76</v>
      </c>
      <c r="CD2009">
        <v>1600</v>
      </c>
      <c r="CE2009" t="s">
        <v>88</v>
      </c>
      <c r="CF2009" s="3">
        <v>45797</v>
      </c>
      <c r="CI2009">
        <v>1</v>
      </c>
      <c r="CJ2009">
        <v>1</v>
      </c>
      <c r="CK2009">
        <v>22</v>
      </c>
      <c r="CL2009" t="s">
        <v>89</v>
      </c>
    </row>
    <row r="2010" spans="1:90" x14ac:dyDescent="0.3">
      <c r="A2010" t="s">
        <v>72</v>
      </c>
      <c r="B2010" t="s">
        <v>73</v>
      </c>
      <c r="C2010" t="s">
        <v>74</v>
      </c>
      <c r="E2010" t="str">
        <f>"080065416883"</f>
        <v>080065416883</v>
      </c>
      <c r="F2010" s="3">
        <v>45793</v>
      </c>
      <c r="G2010">
        <v>202602</v>
      </c>
      <c r="H2010" t="s">
        <v>75</v>
      </c>
      <c r="I2010" t="s">
        <v>76</v>
      </c>
      <c r="J2010" t="s">
        <v>77</v>
      </c>
      <c r="K2010" t="s">
        <v>78</v>
      </c>
      <c r="L2010" t="s">
        <v>90</v>
      </c>
      <c r="M2010" t="s">
        <v>91</v>
      </c>
      <c r="N2010" t="s">
        <v>92</v>
      </c>
      <c r="O2010" t="s">
        <v>602</v>
      </c>
      <c r="P2010" t="str">
        <f>"4170039051                    "</f>
        <v xml:space="preserve">4170039051                    </v>
      </c>
      <c r="Q2010">
        <v>0</v>
      </c>
      <c r="R2010">
        <v>0</v>
      </c>
      <c r="S2010">
        <v>0</v>
      </c>
      <c r="T2010">
        <v>0</v>
      </c>
      <c r="U2010">
        <v>0</v>
      </c>
      <c r="V2010">
        <v>0</v>
      </c>
      <c r="W2010">
        <v>0</v>
      </c>
      <c r="X2010">
        <v>0</v>
      </c>
      <c r="Y2010">
        <v>0</v>
      </c>
      <c r="Z2010">
        <v>0</v>
      </c>
      <c r="AA2010">
        <v>0</v>
      </c>
      <c r="AB2010">
        <v>0</v>
      </c>
      <c r="AC2010">
        <v>0</v>
      </c>
      <c r="AD2010">
        <v>0</v>
      </c>
      <c r="AE2010">
        <v>0</v>
      </c>
      <c r="AF2010">
        <v>0</v>
      </c>
      <c r="AG2010">
        <v>0</v>
      </c>
      <c r="AH2010">
        <v>0</v>
      </c>
      <c r="AI2010">
        <v>0</v>
      </c>
      <c r="AJ2010">
        <v>0</v>
      </c>
      <c r="AK2010">
        <v>0</v>
      </c>
      <c r="AL2010">
        <v>0</v>
      </c>
      <c r="AM2010">
        <v>0</v>
      </c>
      <c r="AN2010">
        <v>0</v>
      </c>
      <c r="AO2010">
        <v>0</v>
      </c>
      <c r="AP2010">
        <v>0</v>
      </c>
      <c r="AQ2010">
        <v>140.33000000000001</v>
      </c>
      <c r="AR2010">
        <v>0</v>
      </c>
      <c r="AS2010">
        <v>0</v>
      </c>
      <c r="AT2010">
        <v>0</v>
      </c>
      <c r="AU2010">
        <v>0</v>
      </c>
      <c r="AV2010">
        <v>0</v>
      </c>
      <c r="AW2010">
        <v>0</v>
      </c>
      <c r="AX2010">
        <v>0</v>
      </c>
      <c r="AY2010">
        <v>0</v>
      </c>
      <c r="AZ2010">
        <v>0</v>
      </c>
      <c r="BA2010">
        <v>0</v>
      </c>
      <c r="BB2010">
        <v>0</v>
      </c>
      <c r="BC2010">
        <v>0</v>
      </c>
      <c r="BD2010">
        <v>0</v>
      </c>
      <c r="BE2010">
        <v>0</v>
      </c>
      <c r="BF2010">
        <v>0</v>
      </c>
      <c r="BG2010">
        <v>0</v>
      </c>
      <c r="BH2010">
        <v>1</v>
      </c>
      <c r="BI2010">
        <v>7</v>
      </c>
      <c r="BJ2010">
        <v>4.0999999999999996</v>
      </c>
      <c r="BK2010">
        <v>7</v>
      </c>
      <c r="BL2010">
        <v>459.26</v>
      </c>
      <c r="BM2010">
        <v>68.89</v>
      </c>
      <c r="BN2010">
        <v>528.15</v>
      </c>
      <c r="BO2010">
        <v>528.15</v>
      </c>
      <c r="BQ2010" t="s">
        <v>93</v>
      </c>
      <c r="BR2010" t="s">
        <v>84</v>
      </c>
      <c r="BS2010" s="3">
        <v>45796</v>
      </c>
      <c r="BT2010" s="4">
        <v>0.39027777777777778</v>
      </c>
      <c r="BU2010" t="s">
        <v>2033</v>
      </c>
      <c r="BV2010" t="s">
        <v>86</v>
      </c>
      <c r="BY2010">
        <v>20358</v>
      </c>
      <c r="CA2010" t="s">
        <v>95</v>
      </c>
      <c r="CC2010" t="s">
        <v>91</v>
      </c>
      <c r="CD2010">
        <v>6001</v>
      </c>
      <c r="CE2010" t="s">
        <v>96</v>
      </c>
      <c r="CF2010" s="3">
        <v>45797</v>
      </c>
      <c r="CI2010">
        <v>1</v>
      </c>
      <c r="CJ2010">
        <v>1</v>
      </c>
      <c r="CK2010">
        <v>31</v>
      </c>
      <c r="CL2010" t="s">
        <v>89</v>
      </c>
    </row>
    <row r="2011" spans="1:90" x14ac:dyDescent="0.3">
      <c r="A2011" t="s">
        <v>72</v>
      </c>
      <c r="B2011" t="s">
        <v>73</v>
      </c>
      <c r="C2011" t="s">
        <v>74</v>
      </c>
      <c r="E2011" t="str">
        <f>"080065416908"</f>
        <v>080065416908</v>
      </c>
      <c r="F2011" s="3">
        <v>45793</v>
      </c>
      <c r="G2011">
        <v>202602</v>
      </c>
      <c r="H2011" t="s">
        <v>75</v>
      </c>
      <c r="I2011" t="s">
        <v>76</v>
      </c>
      <c r="J2011" t="s">
        <v>77</v>
      </c>
      <c r="K2011" t="s">
        <v>78</v>
      </c>
      <c r="L2011" t="s">
        <v>130</v>
      </c>
      <c r="M2011" t="s">
        <v>131</v>
      </c>
      <c r="N2011" t="s">
        <v>343</v>
      </c>
      <c r="O2011" t="s">
        <v>82</v>
      </c>
      <c r="P2011" t="str">
        <f>"4170038909                    "</f>
        <v xml:space="preserve">4170038909                    </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c r="AJ2011">
        <v>0</v>
      </c>
      <c r="AK2011">
        <v>0</v>
      </c>
      <c r="AL2011">
        <v>0</v>
      </c>
      <c r="AM2011">
        <v>0</v>
      </c>
      <c r="AN2011">
        <v>0</v>
      </c>
      <c r="AO2011">
        <v>0</v>
      </c>
      <c r="AP2011">
        <v>0</v>
      </c>
      <c r="AQ2011">
        <v>21.38</v>
      </c>
      <c r="AR2011">
        <v>0</v>
      </c>
      <c r="AS2011">
        <v>0</v>
      </c>
      <c r="AT2011">
        <v>0</v>
      </c>
      <c r="AU2011">
        <v>0</v>
      </c>
      <c r="AV2011">
        <v>0</v>
      </c>
      <c r="AW2011">
        <v>0</v>
      </c>
      <c r="AX2011">
        <v>0</v>
      </c>
      <c r="AY2011">
        <v>0</v>
      </c>
      <c r="AZ2011">
        <v>0</v>
      </c>
      <c r="BA2011">
        <v>0</v>
      </c>
      <c r="BB2011">
        <v>0</v>
      </c>
      <c r="BC2011">
        <v>0</v>
      </c>
      <c r="BD2011">
        <v>0</v>
      </c>
      <c r="BE2011">
        <v>0</v>
      </c>
      <c r="BF2011">
        <v>0</v>
      </c>
      <c r="BG2011">
        <v>0</v>
      </c>
      <c r="BH2011">
        <v>1</v>
      </c>
      <c r="BI2011">
        <v>1</v>
      </c>
      <c r="BJ2011">
        <v>0.2</v>
      </c>
      <c r="BK2011">
        <v>1</v>
      </c>
      <c r="BL2011">
        <v>69.98</v>
      </c>
      <c r="BM2011">
        <v>10.5</v>
      </c>
      <c r="BN2011">
        <v>80.48</v>
      </c>
      <c r="BO2011">
        <v>80.48</v>
      </c>
      <c r="BQ2011" t="s">
        <v>344</v>
      </c>
      <c r="BR2011" t="s">
        <v>84</v>
      </c>
      <c r="BS2011" s="3">
        <v>45797</v>
      </c>
      <c r="BT2011" s="4">
        <v>0.40625</v>
      </c>
      <c r="BU2011" t="s">
        <v>1427</v>
      </c>
      <c r="BV2011" t="s">
        <v>89</v>
      </c>
      <c r="BW2011" t="s">
        <v>340</v>
      </c>
      <c r="BX2011" t="s">
        <v>2355</v>
      </c>
      <c r="BY2011">
        <v>1200</v>
      </c>
      <c r="CA2011" t="s">
        <v>242</v>
      </c>
      <c r="CC2011" t="s">
        <v>131</v>
      </c>
      <c r="CD2011">
        <v>7441</v>
      </c>
      <c r="CE2011" t="s">
        <v>88</v>
      </c>
      <c r="CF2011" s="3">
        <v>45798</v>
      </c>
      <c r="CI2011">
        <v>1</v>
      </c>
      <c r="CJ2011">
        <v>2</v>
      </c>
      <c r="CK2011">
        <v>21</v>
      </c>
      <c r="CL2011" t="s">
        <v>89</v>
      </c>
    </row>
    <row r="2012" spans="1:90" x14ac:dyDescent="0.3">
      <c r="A2012" t="s">
        <v>72</v>
      </c>
      <c r="B2012" t="s">
        <v>73</v>
      </c>
      <c r="C2012" t="s">
        <v>74</v>
      </c>
      <c r="E2012" t="str">
        <f>"080065416934"</f>
        <v>080065416934</v>
      </c>
      <c r="F2012" s="3">
        <v>45793</v>
      </c>
      <c r="G2012">
        <v>202602</v>
      </c>
      <c r="H2012" t="s">
        <v>75</v>
      </c>
      <c r="I2012" t="s">
        <v>76</v>
      </c>
      <c r="J2012" t="s">
        <v>77</v>
      </c>
      <c r="K2012" t="s">
        <v>78</v>
      </c>
      <c r="L2012" t="s">
        <v>755</v>
      </c>
      <c r="M2012" t="s">
        <v>756</v>
      </c>
      <c r="N2012" t="s">
        <v>1543</v>
      </c>
      <c r="O2012" t="s">
        <v>82</v>
      </c>
      <c r="P2012" t="str">
        <f>"4170038933                    "</f>
        <v xml:space="preserve">4170038933                    </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c r="AI2012">
        <v>0</v>
      </c>
      <c r="AJ2012">
        <v>0</v>
      </c>
      <c r="AK2012">
        <v>0</v>
      </c>
      <c r="AL2012">
        <v>0</v>
      </c>
      <c r="AM2012">
        <v>0</v>
      </c>
      <c r="AN2012">
        <v>0</v>
      </c>
      <c r="AO2012">
        <v>0</v>
      </c>
      <c r="AP2012">
        <v>0</v>
      </c>
      <c r="AQ2012">
        <v>16.7</v>
      </c>
      <c r="AR2012">
        <v>0</v>
      </c>
      <c r="AS2012">
        <v>0</v>
      </c>
      <c r="AT2012">
        <v>0</v>
      </c>
      <c r="AU2012">
        <v>0</v>
      </c>
      <c r="AV2012">
        <v>0</v>
      </c>
      <c r="AW2012">
        <v>0</v>
      </c>
      <c r="AX2012">
        <v>0</v>
      </c>
      <c r="AY2012">
        <v>0</v>
      </c>
      <c r="AZ2012">
        <v>0</v>
      </c>
      <c r="BA2012">
        <v>0</v>
      </c>
      <c r="BB2012">
        <v>0</v>
      </c>
      <c r="BC2012">
        <v>0</v>
      </c>
      <c r="BD2012">
        <v>0</v>
      </c>
      <c r="BE2012">
        <v>0</v>
      </c>
      <c r="BF2012">
        <v>0</v>
      </c>
      <c r="BG2012">
        <v>0</v>
      </c>
      <c r="BH2012">
        <v>1</v>
      </c>
      <c r="BI2012">
        <v>2</v>
      </c>
      <c r="BJ2012">
        <v>1.1000000000000001</v>
      </c>
      <c r="BK2012">
        <v>2</v>
      </c>
      <c r="BL2012">
        <v>54.66</v>
      </c>
      <c r="BM2012">
        <v>8.1999999999999993</v>
      </c>
      <c r="BN2012">
        <v>62.86</v>
      </c>
      <c r="BO2012">
        <v>62.86</v>
      </c>
      <c r="BQ2012" t="s">
        <v>1544</v>
      </c>
      <c r="BR2012" t="s">
        <v>84</v>
      </c>
      <c r="BS2012" s="3">
        <v>45796</v>
      </c>
      <c r="BT2012" s="4">
        <v>0.3972222222222222</v>
      </c>
      <c r="BU2012" t="s">
        <v>392</v>
      </c>
      <c r="BV2012" t="s">
        <v>86</v>
      </c>
      <c r="BY2012">
        <v>5320</v>
      </c>
      <c r="CA2012" t="s">
        <v>1178</v>
      </c>
      <c r="CC2012" t="s">
        <v>756</v>
      </c>
      <c r="CD2012">
        <v>1684</v>
      </c>
      <c r="CE2012" t="s">
        <v>96</v>
      </c>
      <c r="CF2012" s="3">
        <v>45797</v>
      </c>
      <c r="CI2012">
        <v>1</v>
      </c>
      <c r="CJ2012">
        <v>1</v>
      </c>
      <c r="CK2012">
        <v>22</v>
      </c>
      <c r="CL2012" t="s">
        <v>89</v>
      </c>
    </row>
    <row r="2013" spans="1:90" x14ac:dyDescent="0.3">
      <c r="A2013" t="s">
        <v>72</v>
      </c>
      <c r="B2013" t="s">
        <v>73</v>
      </c>
      <c r="C2013" t="s">
        <v>74</v>
      </c>
      <c r="E2013" t="str">
        <f>"080065416944"</f>
        <v>080065416944</v>
      </c>
      <c r="F2013" s="3">
        <v>45793</v>
      </c>
      <c r="G2013">
        <v>202602</v>
      </c>
      <c r="H2013" t="s">
        <v>75</v>
      </c>
      <c r="I2013" t="s">
        <v>76</v>
      </c>
      <c r="J2013" t="s">
        <v>77</v>
      </c>
      <c r="K2013" t="s">
        <v>78</v>
      </c>
      <c r="L2013" t="s">
        <v>75</v>
      </c>
      <c r="M2013" t="s">
        <v>76</v>
      </c>
      <c r="N2013" t="s">
        <v>346</v>
      </c>
      <c r="O2013" t="s">
        <v>82</v>
      </c>
      <c r="P2013" t="str">
        <f>"4170038917                    "</f>
        <v xml:space="preserve">4170038917                    </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c r="AI2013">
        <v>0</v>
      </c>
      <c r="AJ2013">
        <v>0</v>
      </c>
      <c r="AK2013">
        <v>0</v>
      </c>
      <c r="AL2013">
        <v>0</v>
      </c>
      <c r="AM2013">
        <v>0</v>
      </c>
      <c r="AN2013">
        <v>0</v>
      </c>
      <c r="AO2013">
        <v>0</v>
      </c>
      <c r="AP2013">
        <v>0</v>
      </c>
      <c r="AQ2013">
        <v>16.7</v>
      </c>
      <c r="AR2013">
        <v>0</v>
      </c>
      <c r="AS2013">
        <v>0</v>
      </c>
      <c r="AT2013">
        <v>0</v>
      </c>
      <c r="AU2013">
        <v>0</v>
      </c>
      <c r="AV2013">
        <v>0</v>
      </c>
      <c r="AW2013">
        <v>0</v>
      </c>
      <c r="AX2013">
        <v>0</v>
      </c>
      <c r="AY2013">
        <v>0</v>
      </c>
      <c r="AZ2013">
        <v>0</v>
      </c>
      <c r="BA2013">
        <v>0</v>
      </c>
      <c r="BB2013">
        <v>0</v>
      </c>
      <c r="BC2013">
        <v>0</v>
      </c>
      <c r="BD2013">
        <v>0</v>
      </c>
      <c r="BE2013">
        <v>0</v>
      </c>
      <c r="BF2013">
        <v>0</v>
      </c>
      <c r="BG2013">
        <v>0</v>
      </c>
      <c r="BH2013">
        <v>1</v>
      </c>
      <c r="BI2013">
        <v>1</v>
      </c>
      <c r="BJ2013">
        <v>0.2</v>
      </c>
      <c r="BK2013">
        <v>1</v>
      </c>
      <c r="BL2013">
        <v>54.66</v>
      </c>
      <c r="BM2013">
        <v>8.1999999999999993</v>
      </c>
      <c r="BN2013">
        <v>62.86</v>
      </c>
      <c r="BO2013">
        <v>62.86</v>
      </c>
      <c r="BQ2013" t="s">
        <v>347</v>
      </c>
      <c r="BR2013" t="s">
        <v>84</v>
      </c>
      <c r="BS2013" s="3">
        <v>45796</v>
      </c>
      <c r="BT2013" s="4">
        <v>0.35625000000000001</v>
      </c>
      <c r="BU2013" t="s">
        <v>348</v>
      </c>
      <c r="BV2013" t="s">
        <v>86</v>
      </c>
      <c r="BY2013">
        <v>1200</v>
      </c>
      <c r="CA2013" t="s">
        <v>349</v>
      </c>
      <c r="CC2013" t="s">
        <v>76</v>
      </c>
      <c r="CD2013">
        <v>1619</v>
      </c>
      <c r="CE2013" t="s">
        <v>88</v>
      </c>
      <c r="CF2013" s="3">
        <v>45796</v>
      </c>
      <c r="CI2013">
        <v>1</v>
      </c>
      <c r="CJ2013">
        <v>1</v>
      </c>
      <c r="CK2013">
        <v>22</v>
      </c>
      <c r="CL2013" t="s">
        <v>89</v>
      </c>
    </row>
    <row r="2014" spans="1:90" x14ac:dyDescent="0.3">
      <c r="A2014" t="s">
        <v>72</v>
      </c>
      <c r="B2014" t="s">
        <v>73</v>
      </c>
      <c r="C2014" t="s">
        <v>74</v>
      </c>
      <c r="E2014" t="str">
        <f>"080065416961"</f>
        <v>080065416961</v>
      </c>
      <c r="F2014" s="3">
        <v>45793</v>
      </c>
      <c r="G2014">
        <v>202602</v>
      </c>
      <c r="H2014" t="s">
        <v>75</v>
      </c>
      <c r="I2014" t="s">
        <v>76</v>
      </c>
      <c r="J2014" t="s">
        <v>77</v>
      </c>
      <c r="K2014" t="s">
        <v>78</v>
      </c>
      <c r="L2014" t="s">
        <v>374</v>
      </c>
      <c r="M2014" t="s">
        <v>375</v>
      </c>
      <c r="N2014" t="s">
        <v>2476</v>
      </c>
      <c r="O2014" t="s">
        <v>82</v>
      </c>
      <c r="P2014" t="str">
        <f>"4170039071                    "</f>
        <v xml:space="preserve">4170039071                    </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c r="AJ2014">
        <v>0</v>
      </c>
      <c r="AK2014">
        <v>0</v>
      </c>
      <c r="AL2014">
        <v>0</v>
      </c>
      <c r="AM2014">
        <v>0</v>
      </c>
      <c r="AN2014">
        <v>0</v>
      </c>
      <c r="AO2014">
        <v>0</v>
      </c>
      <c r="AP2014">
        <v>0</v>
      </c>
      <c r="AQ2014">
        <v>125.62</v>
      </c>
      <c r="AR2014">
        <v>0</v>
      </c>
      <c r="AS2014">
        <v>0</v>
      </c>
      <c r="AT2014">
        <v>0</v>
      </c>
      <c r="AU2014">
        <v>0</v>
      </c>
      <c r="AV2014">
        <v>0</v>
      </c>
      <c r="AW2014">
        <v>0</v>
      </c>
      <c r="AX2014">
        <v>0</v>
      </c>
      <c r="AY2014">
        <v>0</v>
      </c>
      <c r="AZ2014">
        <v>0</v>
      </c>
      <c r="BA2014">
        <v>0</v>
      </c>
      <c r="BB2014">
        <v>0</v>
      </c>
      <c r="BC2014">
        <v>0</v>
      </c>
      <c r="BD2014">
        <v>0</v>
      </c>
      <c r="BE2014">
        <v>0</v>
      </c>
      <c r="BF2014">
        <v>0</v>
      </c>
      <c r="BG2014">
        <v>0</v>
      </c>
      <c r="BH2014">
        <v>1</v>
      </c>
      <c r="BI2014">
        <v>5</v>
      </c>
      <c r="BJ2014">
        <v>6.5</v>
      </c>
      <c r="BK2014">
        <v>6.5</v>
      </c>
      <c r="BL2014">
        <v>411.12</v>
      </c>
      <c r="BM2014">
        <v>61.67</v>
      </c>
      <c r="BN2014">
        <v>472.79</v>
      </c>
      <c r="BO2014">
        <v>472.79</v>
      </c>
      <c r="BQ2014" t="s">
        <v>2477</v>
      </c>
      <c r="BR2014" t="s">
        <v>84</v>
      </c>
      <c r="BS2014" s="3">
        <v>45796</v>
      </c>
      <c r="BT2014" s="4">
        <v>0.38124999999999998</v>
      </c>
      <c r="BU2014" t="s">
        <v>2478</v>
      </c>
      <c r="BV2014" t="s">
        <v>86</v>
      </c>
      <c r="BY2014">
        <v>32256</v>
      </c>
      <c r="CA2014" t="s">
        <v>815</v>
      </c>
      <c r="CC2014" t="s">
        <v>375</v>
      </c>
      <c r="CD2014">
        <v>7130</v>
      </c>
      <c r="CE2014" t="s">
        <v>221</v>
      </c>
      <c r="CF2014" s="3">
        <v>45797</v>
      </c>
      <c r="CI2014">
        <v>1</v>
      </c>
      <c r="CJ2014">
        <v>1</v>
      </c>
      <c r="CK2014">
        <v>23</v>
      </c>
      <c r="CL2014" t="s">
        <v>89</v>
      </c>
    </row>
    <row r="2015" spans="1:90" x14ac:dyDescent="0.3">
      <c r="A2015" t="s">
        <v>72</v>
      </c>
      <c r="B2015" t="s">
        <v>73</v>
      </c>
      <c r="C2015" t="s">
        <v>74</v>
      </c>
      <c r="E2015" t="str">
        <f>"080065416964"</f>
        <v>080065416964</v>
      </c>
      <c r="F2015" s="3">
        <v>45793</v>
      </c>
      <c r="G2015">
        <v>202602</v>
      </c>
      <c r="H2015" t="s">
        <v>75</v>
      </c>
      <c r="I2015" t="s">
        <v>76</v>
      </c>
      <c r="J2015" t="s">
        <v>77</v>
      </c>
      <c r="K2015" t="s">
        <v>78</v>
      </c>
      <c r="L2015" t="s">
        <v>136</v>
      </c>
      <c r="M2015" t="s">
        <v>137</v>
      </c>
      <c r="N2015" t="s">
        <v>2479</v>
      </c>
      <c r="O2015" t="s">
        <v>82</v>
      </c>
      <c r="P2015" t="str">
        <f>"4170038947                    "</f>
        <v xml:space="preserve">4170038947                    </v>
      </c>
      <c r="Q2015">
        <v>0</v>
      </c>
      <c r="R2015">
        <v>0</v>
      </c>
      <c r="S2015">
        <v>0</v>
      </c>
      <c r="T2015">
        <v>0</v>
      </c>
      <c r="U2015">
        <v>0</v>
      </c>
      <c r="V2015">
        <v>0</v>
      </c>
      <c r="W2015">
        <v>0</v>
      </c>
      <c r="X2015">
        <v>0</v>
      </c>
      <c r="Y2015">
        <v>0</v>
      </c>
      <c r="Z2015">
        <v>0</v>
      </c>
      <c r="AA2015">
        <v>0</v>
      </c>
      <c r="AB2015">
        <v>0</v>
      </c>
      <c r="AC2015">
        <v>0</v>
      </c>
      <c r="AD2015">
        <v>0</v>
      </c>
      <c r="AE2015">
        <v>0</v>
      </c>
      <c r="AF2015">
        <v>0</v>
      </c>
      <c r="AG2015">
        <v>0</v>
      </c>
      <c r="AH2015">
        <v>0</v>
      </c>
      <c r="AI2015">
        <v>0</v>
      </c>
      <c r="AJ2015">
        <v>0</v>
      </c>
      <c r="AK2015">
        <v>0</v>
      </c>
      <c r="AL2015">
        <v>0</v>
      </c>
      <c r="AM2015">
        <v>0</v>
      </c>
      <c r="AN2015">
        <v>0</v>
      </c>
      <c r="AO2015">
        <v>0</v>
      </c>
      <c r="AP2015">
        <v>0</v>
      </c>
      <c r="AQ2015">
        <v>21.38</v>
      </c>
      <c r="AR2015">
        <v>0</v>
      </c>
      <c r="AS2015">
        <v>0</v>
      </c>
      <c r="AT2015">
        <v>0</v>
      </c>
      <c r="AU2015">
        <v>0</v>
      </c>
      <c r="AV2015">
        <v>0</v>
      </c>
      <c r="AW2015">
        <v>0</v>
      </c>
      <c r="AX2015">
        <v>0</v>
      </c>
      <c r="AY2015">
        <v>0</v>
      </c>
      <c r="AZ2015">
        <v>0</v>
      </c>
      <c r="BA2015">
        <v>0</v>
      </c>
      <c r="BB2015">
        <v>0</v>
      </c>
      <c r="BC2015">
        <v>0</v>
      </c>
      <c r="BD2015">
        <v>0</v>
      </c>
      <c r="BE2015">
        <v>0</v>
      </c>
      <c r="BF2015">
        <v>0</v>
      </c>
      <c r="BG2015">
        <v>0</v>
      </c>
      <c r="BH2015">
        <v>1</v>
      </c>
      <c r="BI2015">
        <v>1</v>
      </c>
      <c r="BJ2015">
        <v>0.2</v>
      </c>
      <c r="BK2015">
        <v>1</v>
      </c>
      <c r="BL2015">
        <v>69.98</v>
      </c>
      <c r="BM2015">
        <v>10.5</v>
      </c>
      <c r="BN2015">
        <v>80.48</v>
      </c>
      <c r="BO2015">
        <v>80.48</v>
      </c>
      <c r="BQ2015" t="s">
        <v>2480</v>
      </c>
      <c r="BR2015" t="s">
        <v>84</v>
      </c>
      <c r="BS2015" s="3">
        <v>45794</v>
      </c>
      <c r="BT2015" s="4">
        <v>0.4513888888888889</v>
      </c>
      <c r="BU2015" t="s">
        <v>2481</v>
      </c>
      <c r="BV2015" t="s">
        <v>86</v>
      </c>
      <c r="BY2015">
        <v>1200</v>
      </c>
      <c r="CA2015" t="s">
        <v>253</v>
      </c>
      <c r="CC2015" t="s">
        <v>137</v>
      </c>
      <c r="CD2015" s="5" t="s">
        <v>895</v>
      </c>
      <c r="CE2015" t="s">
        <v>88</v>
      </c>
      <c r="CF2015" s="3">
        <v>45796</v>
      </c>
      <c r="CI2015">
        <v>1</v>
      </c>
      <c r="CJ2015">
        <v>0</v>
      </c>
      <c r="CK2015">
        <v>21</v>
      </c>
      <c r="CL2015" t="s">
        <v>89</v>
      </c>
    </row>
    <row r="2016" spans="1:90" x14ac:dyDescent="0.3">
      <c r="A2016" t="s">
        <v>72</v>
      </c>
      <c r="B2016" t="s">
        <v>73</v>
      </c>
      <c r="C2016" t="s">
        <v>74</v>
      </c>
      <c r="E2016" t="str">
        <f>"080065416986"</f>
        <v>080065416986</v>
      </c>
      <c r="F2016" s="3">
        <v>45793</v>
      </c>
      <c r="G2016">
        <v>202602</v>
      </c>
      <c r="H2016" t="s">
        <v>75</v>
      </c>
      <c r="I2016" t="s">
        <v>76</v>
      </c>
      <c r="J2016" t="s">
        <v>77</v>
      </c>
      <c r="K2016" t="s">
        <v>78</v>
      </c>
      <c r="L2016" t="s">
        <v>97</v>
      </c>
      <c r="M2016" t="s">
        <v>98</v>
      </c>
      <c r="N2016" t="s">
        <v>1061</v>
      </c>
      <c r="O2016" t="s">
        <v>82</v>
      </c>
      <c r="P2016" t="str">
        <f>"4170039120                    "</f>
        <v xml:space="preserve">4170039120                    </v>
      </c>
      <c r="Q2016">
        <v>0</v>
      </c>
      <c r="R2016">
        <v>0</v>
      </c>
      <c r="S2016">
        <v>0</v>
      </c>
      <c r="T2016">
        <v>0</v>
      </c>
      <c r="U2016">
        <v>0</v>
      </c>
      <c r="V2016">
        <v>0</v>
      </c>
      <c r="W2016">
        <v>0</v>
      </c>
      <c r="X2016">
        <v>0</v>
      </c>
      <c r="Y2016">
        <v>0</v>
      </c>
      <c r="Z2016">
        <v>0</v>
      </c>
      <c r="AA2016">
        <v>0</v>
      </c>
      <c r="AB2016">
        <v>0</v>
      </c>
      <c r="AC2016">
        <v>0</v>
      </c>
      <c r="AD2016">
        <v>0</v>
      </c>
      <c r="AE2016">
        <v>0</v>
      </c>
      <c r="AF2016">
        <v>0</v>
      </c>
      <c r="AG2016">
        <v>0</v>
      </c>
      <c r="AH2016">
        <v>0</v>
      </c>
      <c r="AI2016">
        <v>0</v>
      </c>
      <c r="AJ2016">
        <v>0</v>
      </c>
      <c r="AK2016">
        <v>0</v>
      </c>
      <c r="AL2016">
        <v>0</v>
      </c>
      <c r="AM2016">
        <v>0</v>
      </c>
      <c r="AN2016">
        <v>0</v>
      </c>
      <c r="AO2016">
        <v>0</v>
      </c>
      <c r="AP2016">
        <v>0</v>
      </c>
      <c r="AQ2016">
        <v>16.7</v>
      </c>
      <c r="AR2016">
        <v>0</v>
      </c>
      <c r="AS2016">
        <v>0</v>
      </c>
      <c r="AT2016">
        <v>0</v>
      </c>
      <c r="AU2016">
        <v>0</v>
      </c>
      <c r="AV2016">
        <v>0</v>
      </c>
      <c r="AW2016">
        <v>0</v>
      </c>
      <c r="AX2016">
        <v>0</v>
      </c>
      <c r="AY2016">
        <v>0</v>
      </c>
      <c r="AZ2016">
        <v>0</v>
      </c>
      <c r="BA2016">
        <v>0</v>
      </c>
      <c r="BB2016">
        <v>0</v>
      </c>
      <c r="BC2016">
        <v>0</v>
      </c>
      <c r="BD2016">
        <v>0</v>
      </c>
      <c r="BE2016">
        <v>0</v>
      </c>
      <c r="BF2016">
        <v>0</v>
      </c>
      <c r="BG2016">
        <v>0</v>
      </c>
      <c r="BH2016">
        <v>1</v>
      </c>
      <c r="BI2016">
        <v>1</v>
      </c>
      <c r="BJ2016">
        <v>0.2</v>
      </c>
      <c r="BK2016">
        <v>1</v>
      </c>
      <c r="BL2016">
        <v>54.66</v>
      </c>
      <c r="BM2016">
        <v>8.1999999999999993</v>
      </c>
      <c r="BN2016">
        <v>62.86</v>
      </c>
      <c r="BO2016">
        <v>62.86</v>
      </c>
      <c r="BQ2016" t="s">
        <v>1062</v>
      </c>
      <c r="BR2016" t="s">
        <v>84</v>
      </c>
      <c r="BS2016" s="3">
        <v>45796</v>
      </c>
      <c r="BT2016" s="4">
        <v>0.42708333333333331</v>
      </c>
      <c r="BU2016" t="s">
        <v>2275</v>
      </c>
      <c r="BV2016" t="s">
        <v>86</v>
      </c>
      <c r="BY2016">
        <v>1200</v>
      </c>
      <c r="CC2016" t="s">
        <v>98</v>
      </c>
      <c r="CD2016">
        <v>1459</v>
      </c>
      <c r="CE2016" t="s">
        <v>88</v>
      </c>
      <c r="CF2016" s="3">
        <v>45797</v>
      </c>
      <c r="CI2016">
        <v>1</v>
      </c>
      <c r="CJ2016">
        <v>1</v>
      </c>
      <c r="CK2016">
        <v>22</v>
      </c>
      <c r="CL2016" t="s">
        <v>89</v>
      </c>
    </row>
    <row r="2017" spans="1:90" x14ac:dyDescent="0.3">
      <c r="A2017" t="s">
        <v>72</v>
      </c>
      <c r="B2017" t="s">
        <v>73</v>
      </c>
      <c r="C2017" t="s">
        <v>74</v>
      </c>
      <c r="E2017" t="str">
        <f>"080065417018"</f>
        <v>080065417018</v>
      </c>
      <c r="F2017" s="3">
        <v>45793</v>
      </c>
      <c r="G2017">
        <v>202602</v>
      </c>
      <c r="H2017" t="s">
        <v>75</v>
      </c>
      <c r="I2017" t="s">
        <v>76</v>
      </c>
      <c r="J2017" t="s">
        <v>77</v>
      </c>
      <c r="K2017" t="s">
        <v>78</v>
      </c>
      <c r="L2017" t="s">
        <v>151</v>
      </c>
      <c r="M2017" t="s">
        <v>152</v>
      </c>
      <c r="N2017" t="s">
        <v>2482</v>
      </c>
      <c r="O2017" t="s">
        <v>82</v>
      </c>
      <c r="P2017" t="str">
        <f>"4170039070                    "</f>
        <v xml:space="preserve">4170039070                    </v>
      </c>
      <c r="Q2017">
        <v>0</v>
      </c>
      <c r="R2017">
        <v>0</v>
      </c>
      <c r="S2017">
        <v>0</v>
      </c>
      <c r="T2017">
        <v>0</v>
      </c>
      <c r="U2017">
        <v>0</v>
      </c>
      <c r="V2017">
        <v>0</v>
      </c>
      <c r="W2017">
        <v>0</v>
      </c>
      <c r="X2017">
        <v>0</v>
      </c>
      <c r="Y2017">
        <v>0</v>
      </c>
      <c r="Z2017">
        <v>0</v>
      </c>
      <c r="AA2017">
        <v>0</v>
      </c>
      <c r="AB2017">
        <v>0</v>
      </c>
      <c r="AC2017">
        <v>0</v>
      </c>
      <c r="AD2017">
        <v>0</v>
      </c>
      <c r="AE2017">
        <v>0</v>
      </c>
      <c r="AF2017">
        <v>0</v>
      </c>
      <c r="AG2017">
        <v>0</v>
      </c>
      <c r="AH2017">
        <v>0</v>
      </c>
      <c r="AI2017">
        <v>0</v>
      </c>
      <c r="AJ2017">
        <v>0</v>
      </c>
      <c r="AK2017">
        <v>0</v>
      </c>
      <c r="AL2017">
        <v>0</v>
      </c>
      <c r="AM2017">
        <v>0</v>
      </c>
      <c r="AN2017">
        <v>0</v>
      </c>
      <c r="AO2017">
        <v>0</v>
      </c>
      <c r="AP2017">
        <v>0</v>
      </c>
      <c r="AQ2017">
        <v>41.43</v>
      </c>
      <c r="AR2017">
        <v>0</v>
      </c>
      <c r="AS2017">
        <v>0</v>
      </c>
      <c r="AT2017">
        <v>0</v>
      </c>
      <c r="AU2017">
        <v>0</v>
      </c>
      <c r="AV2017">
        <v>0</v>
      </c>
      <c r="AW2017">
        <v>0</v>
      </c>
      <c r="AX2017">
        <v>0</v>
      </c>
      <c r="AY2017">
        <v>0</v>
      </c>
      <c r="AZ2017">
        <v>0</v>
      </c>
      <c r="BA2017">
        <v>0</v>
      </c>
      <c r="BB2017">
        <v>0</v>
      </c>
      <c r="BC2017">
        <v>0</v>
      </c>
      <c r="BD2017">
        <v>0</v>
      </c>
      <c r="BE2017">
        <v>0</v>
      </c>
      <c r="BF2017">
        <v>0</v>
      </c>
      <c r="BG2017">
        <v>0</v>
      </c>
      <c r="BH2017">
        <v>1</v>
      </c>
      <c r="BI2017">
        <v>1</v>
      </c>
      <c r="BJ2017">
        <v>0.2</v>
      </c>
      <c r="BK2017">
        <v>1</v>
      </c>
      <c r="BL2017">
        <v>135.59</v>
      </c>
      <c r="BM2017">
        <v>20.34</v>
      </c>
      <c r="BN2017">
        <v>155.93</v>
      </c>
      <c r="BO2017">
        <v>155.93</v>
      </c>
      <c r="BQ2017" t="s">
        <v>2483</v>
      </c>
      <c r="BR2017" t="s">
        <v>84</v>
      </c>
      <c r="BS2017" s="3">
        <v>45797</v>
      </c>
      <c r="BT2017" s="4">
        <v>0.42430555555555555</v>
      </c>
      <c r="BU2017" t="s">
        <v>2484</v>
      </c>
      <c r="BV2017" t="s">
        <v>89</v>
      </c>
      <c r="BW2017" t="s">
        <v>148</v>
      </c>
      <c r="BX2017" t="s">
        <v>1393</v>
      </c>
      <c r="BY2017">
        <v>1200</v>
      </c>
      <c r="CC2017" t="s">
        <v>152</v>
      </c>
      <c r="CD2017">
        <v>1911</v>
      </c>
      <c r="CE2017" t="s">
        <v>176</v>
      </c>
      <c r="CF2017" s="3">
        <v>45797</v>
      </c>
      <c r="CI2017">
        <v>1</v>
      </c>
      <c r="CJ2017">
        <v>2</v>
      </c>
      <c r="CK2017">
        <v>23</v>
      </c>
      <c r="CL2017" t="s">
        <v>89</v>
      </c>
    </row>
    <row r="2018" spans="1:90" x14ac:dyDescent="0.3">
      <c r="A2018" t="s">
        <v>72</v>
      </c>
      <c r="B2018" t="s">
        <v>73</v>
      </c>
      <c r="C2018" t="s">
        <v>74</v>
      </c>
      <c r="E2018" t="str">
        <f>"080065392411"</f>
        <v>080065392411</v>
      </c>
      <c r="F2018" s="3">
        <v>45792</v>
      </c>
      <c r="G2018">
        <v>202602</v>
      </c>
      <c r="H2018" t="s">
        <v>75</v>
      </c>
      <c r="I2018" t="s">
        <v>76</v>
      </c>
      <c r="J2018" t="s">
        <v>77</v>
      </c>
      <c r="K2018" t="s">
        <v>78</v>
      </c>
      <c r="L2018" t="s">
        <v>2485</v>
      </c>
      <c r="M2018" t="s">
        <v>2486</v>
      </c>
      <c r="N2018" t="s">
        <v>2487</v>
      </c>
      <c r="O2018" t="s">
        <v>300</v>
      </c>
      <c r="P2018" t="str">
        <f>"4170038868                    "</f>
        <v xml:space="preserve">4170038868                    </v>
      </c>
      <c r="Q2018">
        <v>0</v>
      </c>
      <c r="R2018">
        <v>0</v>
      </c>
      <c r="S2018">
        <v>0</v>
      </c>
      <c r="T2018">
        <v>0</v>
      </c>
      <c r="U2018">
        <v>0</v>
      </c>
      <c r="V2018">
        <v>0</v>
      </c>
      <c r="W2018">
        <v>0</v>
      </c>
      <c r="X2018">
        <v>0</v>
      </c>
      <c r="Y2018">
        <v>0</v>
      </c>
      <c r="Z2018">
        <v>0</v>
      </c>
      <c r="AA2018">
        <v>0</v>
      </c>
      <c r="AB2018">
        <v>0</v>
      </c>
      <c r="AC2018">
        <v>0</v>
      </c>
      <c r="AD2018">
        <v>0</v>
      </c>
      <c r="AE2018">
        <v>0</v>
      </c>
      <c r="AF2018">
        <v>0</v>
      </c>
      <c r="AG2018">
        <v>0</v>
      </c>
      <c r="AH2018">
        <v>0</v>
      </c>
      <c r="AI2018">
        <v>0</v>
      </c>
      <c r="AJ2018">
        <v>0</v>
      </c>
      <c r="AK2018">
        <v>0</v>
      </c>
      <c r="AL2018">
        <v>0</v>
      </c>
      <c r="AM2018">
        <v>0</v>
      </c>
      <c r="AN2018">
        <v>0</v>
      </c>
      <c r="AO2018">
        <v>0</v>
      </c>
      <c r="AP2018">
        <v>0</v>
      </c>
      <c r="AQ2018">
        <v>388.97</v>
      </c>
      <c r="AR2018">
        <v>0</v>
      </c>
      <c r="AS2018">
        <v>0</v>
      </c>
      <c r="AT2018">
        <v>0</v>
      </c>
      <c r="AU2018">
        <v>0</v>
      </c>
      <c r="AV2018">
        <v>0</v>
      </c>
      <c r="AW2018">
        <v>0</v>
      </c>
      <c r="AX2018">
        <v>0</v>
      </c>
      <c r="AY2018">
        <v>0</v>
      </c>
      <c r="AZ2018">
        <v>0</v>
      </c>
      <c r="BA2018">
        <v>0</v>
      </c>
      <c r="BB2018">
        <v>0</v>
      </c>
      <c r="BC2018">
        <v>0</v>
      </c>
      <c r="BD2018">
        <v>0</v>
      </c>
      <c r="BE2018">
        <v>0</v>
      </c>
      <c r="BF2018">
        <v>0</v>
      </c>
      <c r="BG2018">
        <v>0</v>
      </c>
      <c r="BH2018">
        <v>1</v>
      </c>
      <c r="BI2018">
        <v>63</v>
      </c>
      <c r="BJ2018">
        <v>125.5</v>
      </c>
      <c r="BK2018">
        <v>126</v>
      </c>
      <c r="BL2018">
        <v>1278.56</v>
      </c>
      <c r="BM2018">
        <v>191.78</v>
      </c>
      <c r="BN2018">
        <v>1470.34</v>
      </c>
      <c r="BO2018">
        <v>1470.34</v>
      </c>
      <c r="BQ2018" t="s">
        <v>2488</v>
      </c>
      <c r="BR2018" t="s">
        <v>84</v>
      </c>
      <c r="BS2018" s="3">
        <v>45796</v>
      </c>
      <c r="BT2018" s="4">
        <v>0.34027777777777779</v>
      </c>
      <c r="BU2018" t="s">
        <v>2489</v>
      </c>
      <c r="BV2018" t="s">
        <v>86</v>
      </c>
      <c r="BY2018">
        <v>627669</v>
      </c>
      <c r="BZ2018" t="s">
        <v>1795</v>
      </c>
      <c r="CA2018" t="s">
        <v>2490</v>
      </c>
      <c r="CC2018" t="s">
        <v>2486</v>
      </c>
      <c r="CD2018">
        <v>3900</v>
      </c>
      <c r="CE2018" t="s">
        <v>2491</v>
      </c>
      <c r="CF2018" s="3">
        <v>45796</v>
      </c>
      <c r="CI2018">
        <v>2</v>
      </c>
      <c r="CJ2018">
        <v>2</v>
      </c>
      <c r="CK2018">
        <v>43</v>
      </c>
      <c r="CL2018" t="s">
        <v>89</v>
      </c>
    </row>
    <row r="2019" spans="1:90" x14ac:dyDescent="0.3">
      <c r="A2019" t="s">
        <v>72</v>
      </c>
      <c r="B2019" t="s">
        <v>73</v>
      </c>
      <c r="C2019" t="s">
        <v>74</v>
      </c>
      <c r="E2019" t="str">
        <f>"080065408660"</f>
        <v>080065408660</v>
      </c>
      <c r="F2019" s="3">
        <v>45793</v>
      </c>
      <c r="G2019">
        <v>202602</v>
      </c>
      <c r="H2019" t="s">
        <v>75</v>
      </c>
      <c r="I2019" t="s">
        <v>76</v>
      </c>
      <c r="J2019" t="s">
        <v>1791</v>
      </c>
      <c r="K2019" t="s">
        <v>78</v>
      </c>
      <c r="L2019" t="s">
        <v>90</v>
      </c>
      <c r="M2019" t="s">
        <v>91</v>
      </c>
      <c r="N2019" t="s">
        <v>371</v>
      </c>
      <c r="O2019" t="s">
        <v>82</v>
      </c>
      <c r="P2019" t="str">
        <f>"4170038876                    "</f>
        <v xml:space="preserve">4170038876                    </v>
      </c>
      <c r="Q2019">
        <v>0</v>
      </c>
      <c r="R2019">
        <v>0</v>
      </c>
      <c r="S2019">
        <v>0</v>
      </c>
      <c r="T2019">
        <v>0</v>
      </c>
      <c r="U2019">
        <v>0</v>
      </c>
      <c r="V2019">
        <v>0</v>
      </c>
      <c r="W2019">
        <v>0</v>
      </c>
      <c r="X2019">
        <v>0</v>
      </c>
      <c r="Y2019">
        <v>0</v>
      </c>
      <c r="Z2019">
        <v>0</v>
      </c>
      <c r="AA2019">
        <v>0</v>
      </c>
      <c r="AB2019">
        <v>0</v>
      </c>
      <c r="AC2019">
        <v>0</v>
      </c>
      <c r="AD2019">
        <v>0</v>
      </c>
      <c r="AE2019">
        <v>0</v>
      </c>
      <c r="AF2019">
        <v>0</v>
      </c>
      <c r="AG2019">
        <v>0</v>
      </c>
      <c r="AH2019">
        <v>0</v>
      </c>
      <c r="AI2019">
        <v>0</v>
      </c>
      <c r="AJ2019">
        <v>0</v>
      </c>
      <c r="AK2019">
        <v>0</v>
      </c>
      <c r="AL2019">
        <v>0</v>
      </c>
      <c r="AM2019">
        <v>0</v>
      </c>
      <c r="AN2019">
        <v>0</v>
      </c>
      <c r="AO2019">
        <v>0</v>
      </c>
      <c r="AP2019">
        <v>0</v>
      </c>
      <c r="AQ2019">
        <v>21.38</v>
      </c>
      <c r="AR2019">
        <v>0</v>
      </c>
      <c r="AS2019">
        <v>0</v>
      </c>
      <c r="AT2019">
        <v>0</v>
      </c>
      <c r="AU2019">
        <v>0</v>
      </c>
      <c r="AV2019">
        <v>0</v>
      </c>
      <c r="AW2019">
        <v>0</v>
      </c>
      <c r="AX2019">
        <v>0</v>
      </c>
      <c r="AY2019">
        <v>0</v>
      </c>
      <c r="AZ2019">
        <v>0</v>
      </c>
      <c r="BA2019">
        <v>0</v>
      </c>
      <c r="BB2019">
        <v>0</v>
      </c>
      <c r="BC2019">
        <v>0</v>
      </c>
      <c r="BD2019">
        <v>0</v>
      </c>
      <c r="BE2019">
        <v>0</v>
      </c>
      <c r="BF2019">
        <v>0</v>
      </c>
      <c r="BG2019">
        <v>0</v>
      </c>
      <c r="BH2019">
        <v>1</v>
      </c>
      <c r="BI2019">
        <v>1</v>
      </c>
      <c r="BJ2019">
        <v>1.9</v>
      </c>
      <c r="BK2019">
        <v>2</v>
      </c>
      <c r="BL2019">
        <v>69.98</v>
      </c>
      <c r="BM2019">
        <v>10.5</v>
      </c>
      <c r="BN2019">
        <v>80.48</v>
      </c>
      <c r="BO2019">
        <v>80.48</v>
      </c>
      <c r="BQ2019" t="s">
        <v>372</v>
      </c>
      <c r="BR2019" t="s">
        <v>1793</v>
      </c>
      <c r="BS2019" s="3">
        <v>45796</v>
      </c>
      <c r="BT2019" s="4">
        <v>0.41180555555555554</v>
      </c>
      <c r="BU2019" t="s">
        <v>2492</v>
      </c>
      <c r="BV2019" t="s">
        <v>86</v>
      </c>
      <c r="BY2019">
        <v>9435</v>
      </c>
      <c r="BZ2019" t="s">
        <v>1795</v>
      </c>
      <c r="CA2019" t="s">
        <v>824</v>
      </c>
      <c r="CC2019" t="s">
        <v>91</v>
      </c>
      <c r="CD2019">
        <v>6001</v>
      </c>
      <c r="CE2019" t="s">
        <v>176</v>
      </c>
      <c r="CF2019" s="3">
        <v>45796</v>
      </c>
      <c r="CI2019">
        <v>1</v>
      </c>
      <c r="CJ2019">
        <v>1</v>
      </c>
      <c r="CK2019">
        <v>21</v>
      </c>
      <c r="CL2019" t="s">
        <v>89</v>
      </c>
    </row>
    <row r="2020" spans="1:90" x14ac:dyDescent="0.3">
      <c r="A2020" t="s">
        <v>72</v>
      </c>
      <c r="B2020" t="s">
        <v>73</v>
      </c>
      <c r="C2020" t="s">
        <v>74</v>
      </c>
      <c r="E2020" t="str">
        <f>"080065410358"</f>
        <v>080065410358</v>
      </c>
      <c r="F2020" s="3">
        <v>45793</v>
      </c>
      <c r="G2020">
        <v>202602</v>
      </c>
      <c r="H2020" t="s">
        <v>75</v>
      </c>
      <c r="I2020" t="s">
        <v>76</v>
      </c>
      <c r="J2020" t="s">
        <v>77</v>
      </c>
      <c r="K2020" t="s">
        <v>78</v>
      </c>
      <c r="L2020" t="s">
        <v>130</v>
      </c>
      <c r="M2020" t="s">
        <v>131</v>
      </c>
      <c r="N2020" t="s">
        <v>343</v>
      </c>
      <c r="O2020" t="s">
        <v>82</v>
      </c>
      <c r="P2020" t="str">
        <f>"4170038894                    "</f>
        <v xml:space="preserve">4170038894                    </v>
      </c>
      <c r="Q2020">
        <v>0</v>
      </c>
      <c r="R2020">
        <v>0</v>
      </c>
      <c r="S2020">
        <v>0</v>
      </c>
      <c r="T2020">
        <v>0</v>
      </c>
      <c r="U2020">
        <v>0</v>
      </c>
      <c r="V2020">
        <v>0</v>
      </c>
      <c r="W2020">
        <v>0</v>
      </c>
      <c r="X2020">
        <v>0</v>
      </c>
      <c r="Y2020">
        <v>0</v>
      </c>
      <c r="Z2020">
        <v>0</v>
      </c>
      <c r="AA2020">
        <v>0</v>
      </c>
      <c r="AB2020">
        <v>0</v>
      </c>
      <c r="AC2020">
        <v>0</v>
      </c>
      <c r="AD2020">
        <v>0</v>
      </c>
      <c r="AE2020">
        <v>0</v>
      </c>
      <c r="AF2020">
        <v>0</v>
      </c>
      <c r="AG2020">
        <v>0</v>
      </c>
      <c r="AH2020">
        <v>0</v>
      </c>
      <c r="AI2020">
        <v>0</v>
      </c>
      <c r="AJ2020">
        <v>0</v>
      </c>
      <c r="AK2020">
        <v>0</v>
      </c>
      <c r="AL2020">
        <v>0</v>
      </c>
      <c r="AM2020">
        <v>0</v>
      </c>
      <c r="AN2020">
        <v>0</v>
      </c>
      <c r="AO2020">
        <v>0</v>
      </c>
      <c r="AP2020">
        <v>0</v>
      </c>
      <c r="AQ2020">
        <v>0</v>
      </c>
      <c r="AR2020">
        <v>0</v>
      </c>
      <c r="AS2020">
        <v>0</v>
      </c>
      <c r="AT2020">
        <v>0</v>
      </c>
      <c r="AU2020">
        <v>0</v>
      </c>
      <c r="AV2020">
        <v>0</v>
      </c>
      <c r="AW2020">
        <v>0</v>
      </c>
      <c r="AX2020">
        <v>0</v>
      </c>
      <c r="AY2020">
        <v>0</v>
      </c>
      <c r="AZ2020">
        <v>0</v>
      </c>
      <c r="BA2020">
        <v>0</v>
      </c>
      <c r="BB2020">
        <v>0</v>
      </c>
      <c r="BC2020">
        <v>0</v>
      </c>
      <c r="BD2020">
        <v>0</v>
      </c>
      <c r="BE2020">
        <v>0</v>
      </c>
      <c r="BF2020">
        <v>0</v>
      </c>
      <c r="BG2020">
        <v>0</v>
      </c>
      <c r="BH2020">
        <v>1</v>
      </c>
      <c r="BI2020">
        <v>4</v>
      </c>
      <c r="BJ2020">
        <v>0</v>
      </c>
      <c r="BK2020">
        <v>4</v>
      </c>
      <c r="BL2020">
        <v>0</v>
      </c>
      <c r="BM2020">
        <v>0</v>
      </c>
      <c r="BN2020">
        <v>0</v>
      </c>
      <c r="BO2020">
        <v>0</v>
      </c>
      <c r="BQ2020" t="s">
        <v>344</v>
      </c>
      <c r="BR2020" t="s">
        <v>84</v>
      </c>
      <c r="BS2020" s="3">
        <v>45793</v>
      </c>
      <c r="BT2020" s="4">
        <v>0.60277777777777775</v>
      </c>
      <c r="BU2020" t="s">
        <v>1663</v>
      </c>
      <c r="BV2020" t="s">
        <v>86</v>
      </c>
      <c r="BY2020">
        <v>4560</v>
      </c>
      <c r="BZ2020" t="s">
        <v>127</v>
      </c>
      <c r="CA2020" t="s">
        <v>2493</v>
      </c>
      <c r="CC2020" t="s">
        <v>131</v>
      </c>
      <c r="CD2020">
        <v>7441</v>
      </c>
      <c r="CE2020" t="s">
        <v>408</v>
      </c>
      <c r="CI2020">
        <v>1</v>
      </c>
      <c r="CJ2020">
        <v>0</v>
      </c>
      <c r="CK2020">
        <v>-1</v>
      </c>
      <c r="CL2020" t="s">
        <v>89</v>
      </c>
    </row>
    <row r="2021" spans="1:90" x14ac:dyDescent="0.3">
      <c r="A2021" t="s">
        <v>72</v>
      </c>
      <c r="B2021" t="s">
        <v>73</v>
      </c>
      <c r="C2021" t="s">
        <v>74</v>
      </c>
      <c r="E2021" t="str">
        <f>"080065416205"</f>
        <v>080065416205</v>
      </c>
      <c r="F2021" s="3">
        <v>45793</v>
      </c>
      <c r="G2021">
        <v>202602</v>
      </c>
      <c r="H2021" t="s">
        <v>75</v>
      </c>
      <c r="I2021" t="s">
        <v>76</v>
      </c>
      <c r="J2021" t="s">
        <v>77</v>
      </c>
      <c r="K2021" t="s">
        <v>78</v>
      </c>
      <c r="L2021" t="s">
        <v>130</v>
      </c>
      <c r="M2021" t="s">
        <v>131</v>
      </c>
      <c r="N2021" t="s">
        <v>1619</v>
      </c>
      <c r="O2021" t="s">
        <v>300</v>
      </c>
      <c r="P2021" t="str">
        <f>"4170039131                    "</f>
        <v xml:space="preserve">4170039131                    </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c r="AJ2021">
        <v>0</v>
      </c>
      <c r="AK2021">
        <v>0</v>
      </c>
      <c r="AL2021">
        <v>0</v>
      </c>
      <c r="AM2021">
        <v>0</v>
      </c>
      <c r="AN2021">
        <v>0</v>
      </c>
      <c r="AO2021">
        <v>0</v>
      </c>
      <c r="AP2021">
        <v>0</v>
      </c>
      <c r="AQ2021">
        <v>77.2</v>
      </c>
      <c r="AR2021">
        <v>0</v>
      </c>
      <c r="AS2021">
        <v>0</v>
      </c>
      <c r="AT2021">
        <v>0</v>
      </c>
      <c r="AU2021">
        <v>0</v>
      </c>
      <c r="AV2021">
        <v>0</v>
      </c>
      <c r="AW2021">
        <v>0</v>
      </c>
      <c r="AX2021">
        <v>0</v>
      </c>
      <c r="AY2021">
        <v>0</v>
      </c>
      <c r="AZ2021">
        <v>0</v>
      </c>
      <c r="BA2021">
        <v>0</v>
      </c>
      <c r="BB2021">
        <v>0</v>
      </c>
      <c r="BC2021">
        <v>0</v>
      </c>
      <c r="BD2021">
        <v>0</v>
      </c>
      <c r="BE2021">
        <v>0</v>
      </c>
      <c r="BF2021">
        <v>0</v>
      </c>
      <c r="BG2021">
        <v>0</v>
      </c>
      <c r="BH2021">
        <v>2</v>
      </c>
      <c r="BI2021">
        <v>36</v>
      </c>
      <c r="BJ2021">
        <v>35.299999999999997</v>
      </c>
      <c r="BK2021">
        <v>36</v>
      </c>
      <c r="BL2021">
        <v>258.23</v>
      </c>
      <c r="BM2021">
        <v>38.729999999999997</v>
      </c>
      <c r="BN2021">
        <v>296.95999999999998</v>
      </c>
      <c r="BO2021">
        <v>296.95999999999998</v>
      </c>
      <c r="BQ2021" t="s">
        <v>1620</v>
      </c>
      <c r="BR2021" t="s">
        <v>84</v>
      </c>
      <c r="BS2021" t="s">
        <v>1540</v>
      </c>
      <c r="BY2021">
        <v>88320</v>
      </c>
      <c r="BZ2021" t="s">
        <v>1795</v>
      </c>
      <c r="CC2021" t="s">
        <v>131</v>
      </c>
      <c r="CD2021">
        <v>7405</v>
      </c>
      <c r="CE2021" t="s">
        <v>2494</v>
      </c>
      <c r="CF2021" s="3">
        <v>45799</v>
      </c>
      <c r="CI2021">
        <v>3</v>
      </c>
      <c r="CJ2021" t="s">
        <v>1540</v>
      </c>
      <c r="CK2021">
        <v>41</v>
      </c>
      <c r="CL2021" t="s">
        <v>89</v>
      </c>
    </row>
    <row r="2022" spans="1:90" x14ac:dyDescent="0.3">
      <c r="A2022" t="s">
        <v>72</v>
      </c>
      <c r="B2022" t="s">
        <v>73</v>
      </c>
      <c r="C2022" t="s">
        <v>74</v>
      </c>
      <c r="E2022" t="str">
        <f>"R080065376462"</f>
        <v>R080065376462</v>
      </c>
      <c r="F2022" s="3">
        <v>45796</v>
      </c>
      <c r="G2022">
        <v>202602</v>
      </c>
      <c r="H2022" t="s">
        <v>75</v>
      </c>
      <c r="I2022" t="s">
        <v>76</v>
      </c>
      <c r="J2022" t="s">
        <v>1123</v>
      </c>
      <c r="K2022" t="s">
        <v>78</v>
      </c>
      <c r="L2022" t="s">
        <v>130</v>
      </c>
      <c r="M2022" t="s">
        <v>131</v>
      </c>
      <c r="N2022" t="s">
        <v>2181</v>
      </c>
      <c r="O2022" t="s">
        <v>82</v>
      </c>
      <c r="P2022" t="str">
        <f>"4170038581                    "</f>
        <v xml:space="preserve">4170038581                    </v>
      </c>
      <c r="Q2022">
        <v>0</v>
      </c>
      <c r="R2022">
        <v>0</v>
      </c>
      <c r="S2022">
        <v>0</v>
      </c>
      <c r="T2022">
        <v>0</v>
      </c>
      <c r="U2022">
        <v>0</v>
      </c>
      <c r="V2022">
        <v>0</v>
      </c>
      <c r="W2022">
        <v>0</v>
      </c>
      <c r="X2022">
        <v>0</v>
      </c>
      <c r="Y2022">
        <v>0</v>
      </c>
      <c r="Z2022">
        <v>0</v>
      </c>
      <c r="AA2022">
        <v>0</v>
      </c>
      <c r="AB2022">
        <v>0</v>
      </c>
      <c r="AC2022">
        <v>0</v>
      </c>
      <c r="AD2022">
        <v>0</v>
      </c>
      <c r="AE2022">
        <v>0</v>
      </c>
      <c r="AF2022">
        <v>0</v>
      </c>
      <c r="AG2022">
        <v>0</v>
      </c>
      <c r="AH2022">
        <v>0</v>
      </c>
      <c r="AI2022">
        <v>0</v>
      </c>
      <c r="AJ2022">
        <v>0</v>
      </c>
      <c r="AK2022">
        <v>0</v>
      </c>
      <c r="AL2022">
        <v>0</v>
      </c>
      <c r="AM2022">
        <v>0</v>
      </c>
      <c r="AN2022">
        <v>0</v>
      </c>
      <c r="AO2022">
        <v>0</v>
      </c>
      <c r="AP2022">
        <v>0</v>
      </c>
      <c r="AQ2022">
        <v>21.38</v>
      </c>
      <c r="AR2022">
        <v>0</v>
      </c>
      <c r="AS2022">
        <v>0</v>
      </c>
      <c r="AT2022">
        <v>0</v>
      </c>
      <c r="AU2022">
        <v>0</v>
      </c>
      <c r="AV2022">
        <v>0</v>
      </c>
      <c r="AW2022">
        <v>0</v>
      </c>
      <c r="AX2022">
        <v>0</v>
      </c>
      <c r="AY2022">
        <v>0</v>
      </c>
      <c r="AZ2022">
        <v>0</v>
      </c>
      <c r="BA2022">
        <v>0</v>
      </c>
      <c r="BB2022">
        <v>0</v>
      </c>
      <c r="BC2022">
        <v>0</v>
      </c>
      <c r="BD2022">
        <v>0</v>
      </c>
      <c r="BE2022">
        <v>0</v>
      </c>
      <c r="BF2022">
        <v>0</v>
      </c>
      <c r="BG2022">
        <v>0</v>
      </c>
      <c r="BH2022">
        <v>1</v>
      </c>
      <c r="BI2022">
        <v>1</v>
      </c>
      <c r="BJ2022">
        <v>0.2</v>
      </c>
      <c r="BK2022">
        <v>1</v>
      </c>
      <c r="BL2022">
        <v>69.98</v>
      </c>
      <c r="BM2022">
        <v>10.5</v>
      </c>
      <c r="BN2022">
        <v>80.48</v>
      </c>
      <c r="BO2022">
        <v>80.48</v>
      </c>
      <c r="BQ2022" t="s">
        <v>2495</v>
      </c>
      <c r="BR2022" t="s">
        <v>84</v>
      </c>
      <c r="BS2022" s="3">
        <v>45800</v>
      </c>
      <c r="BT2022" s="4">
        <v>0.42638888888888887</v>
      </c>
      <c r="BU2022" t="s">
        <v>2496</v>
      </c>
      <c r="BV2022" t="s">
        <v>89</v>
      </c>
      <c r="BW2022" t="s">
        <v>2183</v>
      </c>
      <c r="BX2022" t="s">
        <v>618</v>
      </c>
      <c r="BY2022">
        <v>1200</v>
      </c>
      <c r="CA2022" t="s">
        <v>242</v>
      </c>
      <c r="CC2022" t="s">
        <v>131</v>
      </c>
      <c r="CD2022">
        <v>7441</v>
      </c>
      <c r="CE2022" t="s">
        <v>88</v>
      </c>
      <c r="CF2022" s="3">
        <v>45803</v>
      </c>
      <c r="CI2022">
        <v>1</v>
      </c>
      <c r="CJ2022">
        <v>4</v>
      </c>
      <c r="CK2022">
        <v>21</v>
      </c>
      <c r="CL2022" t="s">
        <v>89</v>
      </c>
    </row>
    <row r="2023" spans="1:90" x14ac:dyDescent="0.3">
      <c r="A2023" t="s">
        <v>72</v>
      </c>
      <c r="B2023" t="s">
        <v>73</v>
      </c>
      <c r="C2023" t="s">
        <v>74</v>
      </c>
      <c r="E2023" t="str">
        <f>"080065437041"</f>
        <v>080065437041</v>
      </c>
      <c r="F2023" s="3">
        <v>45796</v>
      </c>
      <c r="G2023">
        <v>202602</v>
      </c>
      <c r="H2023" t="s">
        <v>75</v>
      </c>
      <c r="I2023" t="s">
        <v>76</v>
      </c>
      <c r="J2023" t="s">
        <v>77</v>
      </c>
      <c r="K2023" t="s">
        <v>78</v>
      </c>
      <c r="L2023" t="s">
        <v>624</v>
      </c>
      <c r="M2023" t="s">
        <v>625</v>
      </c>
      <c r="N2023" t="s">
        <v>2382</v>
      </c>
      <c r="O2023" t="s">
        <v>82</v>
      </c>
      <c r="P2023" t="str">
        <f>"4170039204                    "</f>
        <v xml:space="preserve">4170039204                    </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c r="AJ2023">
        <v>0</v>
      </c>
      <c r="AK2023">
        <v>0</v>
      </c>
      <c r="AL2023">
        <v>0</v>
      </c>
      <c r="AM2023">
        <v>0</v>
      </c>
      <c r="AN2023">
        <v>0</v>
      </c>
      <c r="AO2023">
        <v>0</v>
      </c>
      <c r="AP2023">
        <v>0</v>
      </c>
      <c r="AQ2023">
        <v>41.43</v>
      </c>
      <c r="AR2023">
        <v>0</v>
      </c>
      <c r="AS2023">
        <v>0</v>
      </c>
      <c r="AT2023">
        <v>0</v>
      </c>
      <c r="AU2023">
        <v>0</v>
      </c>
      <c r="AV2023">
        <v>0</v>
      </c>
      <c r="AW2023">
        <v>0</v>
      </c>
      <c r="AX2023">
        <v>0</v>
      </c>
      <c r="AY2023">
        <v>0</v>
      </c>
      <c r="AZ2023">
        <v>0</v>
      </c>
      <c r="BA2023">
        <v>0</v>
      </c>
      <c r="BB2023">
        <v>0</v>
      </c>
      <c r="BC2023">
        <v>0</v>
      </c>
      <c r="BD2023">
        <v>0</v>
      </c>
      <c r="BE2023">
        <v>0</v>
      </c>
      <c r="BF2023">
        <v>0</v>
      </c>
      <c r="BG2023">
        <v>0</v>
      </c>
      <c r="BH2023">
        <v>1</v>
      </c>
      <c r="BI2023">
        <v>1</v>
      </c>
      <c r="BJ2023">
        <v>0.2</v>
      </c>
      <c r="BK2023">
        <v>1</v>
      </c>
      <c r="BL2023">
        <v>135.59</v>
      </c>
      <c r="BM2023">
        <v>20.34</v>
      </c>
      <c r="BN2023">
        <v>155.93</v>
      </c>
      <c r="BO2023">
        <v>155.93</v>
      </c>
      <c r="BQ2023" t="s">
        <v>2383</v>
      </c>
      <c r="BR2023" t="s">
        <v>84</v>
      </c>
      <c r="BS2023" s="3">
        <v>45797</v>
      </c>
      <c r="BT2023" s="4">
        <v>0.42291666666666666</v>
      </c>
      <c r="BU2023" t="s">
        <v>2497</v>
      </c>
      <c r="BV2023" t="s">
        <v>86</v>
      </c>
      <c r="BY2023">
        <v>1200</v>
      </c>
      <c r="CA2023" t="s">
        <v>629</v>
      </c>
      <c r="CC2023" t="s">
        <v>625</v>
      </c>
      <c r="CD2023">
        <v>1947</v>
      </c>
      <c r="CE2023" t="s">
        <v>1193</v>
      </c>
      <c r="CF2023" s="3">
        <v>45797</v>
      </c>
      <c r="CI2023">
        <v>1</v>
      </c>
      <c r="CJ2023">
        <v>1</v>
      </c>
      <c r="CK2023">
        <v>23</v>
      </c>
      <c r="CL2023" t="s">
        <v>89</v>
      </c>
    </row>
    <row r="2024" spans="1:90" x14ac:dyDescent="0.3">
      <c r="A2024" t="s">
        <v>72</v>
      </c>
      <c r="B2024" t="s">
        <v>73</v>
      </c>
      <c r="C2024" t="s">
        <v>74</v>
      </c>
      <c r="E2024" t="str">
        <f>"080065437058"</f>
        <v>080065437058</v>
      </c>
      <c r="F2024" s="3">
        <v>45796</v>
      </c>
      <c r="G2024">
        <v>202602</v>
      </c>
      <c r="H2024" t="s">
        <v>75</v>
      </c>
      <c r="I2024" t="s">
        <v>76</v>
      </c>
      <c r="J2024" t="s">
        <v>77</v>
      </c>
      <c r="K2024" t="s">
        <v>78</v>
      </c>
      <c r="L2024" t="s">
        <v>75</v>
      </c>
      <c r="M2024" t="s">
        <v>76</v>
      </c>
      <c r="N2024" t="s">
        <v>601</v>
      </c>
      <c r="O2024" t="s">
        <v>82</v>
      </c>
      <c r="P2024" t="str">
        <f>"4170039257                    "</f>
        <v xml:space="preserve">4170039257                    </v>
      </c>
      <c r="Q2024">
        <v>0</v>
      </c>
      <c r="R2024">
        <v>0</v>
      </c>
      <c r="S2024">
        <v>0</v>
      </c>
      <c r="T2024">
        <v>0</v>
      </c>
      <c r="U2024">
        <v>0</v>
      </c>
      <c r="V2024">
        <v>0</v>
      </c>
      <c r="W2024">
        <v>0</v>
      </c>
      <c r="X2024">
        <v>0</v>
      </c>
      <c r="Y2024">
        <v>0</v>
      </c>
      <c r="Z2024">
        <v>0</v>
      </c>
      <c r="AA2024">
        <v>0</v>
      </c>
      <c r="AB2024">
        <v>0</v>
      </c>
      <c r="AC2024">
        <v>0</v>
      </c>
      <c r="AD2024">
        <v>0</v>
      </c>
      <c r="AE2024">
        <v>0</v>
      </c>
      <c r="AF2024">
        <v>0</v>
      </c>
      <c r="AG2024">
        <v>0</v>
      </c>
      <c r="AH2024">
        <v>0</v>
      </c>
      <c r="AI2024">
        <v>0</v>
      </c>
      <c r="AJ2024">
        <v>0</v>
      </c>
      <c r="AK2024">
        <v>0</v>
      </c>
      <c r="AL2024">
        <v>0</v>
      </c>
      <c r="AM2024">
        <v>0</v>
      </c>
      <c r="AN2024">
        <v>0</v>
      </c>
      <c r="AO2024">
        <v>0</v>
      </c>
      <c r="AP2024">
        <v>0</v>
      </c>
      <c r="AQ2024">
        <v>16.7</v>
      </c>
      <c r="AR2024">
        <v>0</v>
      </c>
      <c r="AS2024">
        <v>0</v>
      </c>
      <c r="AT2024">
        <v>0</v>
      </c>
      <c r="AU2024">
        <v>0</v>
      </c>
      <c r="AV2024">
        <v>0</v>
      </c>
      <c r="AW2024">
        <v>0</v>
      </c>
      <c r="AX2024">
        <v>0</v>
      </c>
      <c r="AY2024">
        <v>0</v>
      </c>
      <c r="AZ2024">
        <v>0</v>
      </c>
      <c r="BA2024">
        <v>0</v>
      </c>
      <c r="BB2024">
        <v>0</v>
      </c>
      <c r="BC2024">
        <v>0</v>
      </c>
      <c r="BD2024">
        <v>0</v>
      </c>
      <c r="BE2024">
        <v>0</v>
      </c>
      <c r="BF2024">
        <v>0</v>
      </c>
      <c r="BG2024">
        <v>0</v>
      </c>
      <c r="BH2024">
        <v>1</v>
      </c>
      <c r="BI2024">
        <v>1</v>
      </c>
      <c r="BJ2024">
        <v>0.2</v>
      </c>
      <c r="BK2024">
        <v>1</v>
      </c>
      <c r="BL2024">
        <v>54.66</v>
      </c>
      <c r="BM2024">
        <v>8.1999999999999993</v>
      </c>
      <c r="BN2024">
        <v>62.86</v>
      </c>
      <c r="BO2024">
        <v>62.86</v>
      </c>
      <c r="BQ2024" t="s">
        <v>603</v>
      </c>
      <c r="BR2024" t="s">
        <v>84</v>
      </c>
      <c r="BS2024" s="3">
        <v>45797</v>
      </c>
      <c r="BT2024" s="4">
        <v>0.39444444444444443</v>
      </c>
      <c r="BU2024" t="s">
        <v>2498</v>
      </c>
      <c r="BV2024" t="s">
        <v>86</v>
      </c>
      <c r="BY2024">
        <v>1200</v>
      </c>
      <c r="CA2024" t="s">
        <v>605</v>
      </c>
      <c r="CC2024" t="s">
        <v>76</v>
      </c>
      <c r="CD2024">
        <v>1645</v>
      </c>
      <c r="CE2024" t="s">
        <v>88</v>
      </c>
      <c r="CF2024" s="3">
        <v>45798</v>
      </c>
      <c r="CI2024">
        <v>1</v>
      </c>
      <c r="CJ2024">
        <v>1</v>
      </c>
      <c r="CK2024">
        <v>22</v>
      </c>
      <c r="CL2024" t="s">
        <v>89</v>
      </c>
    </row>
    <row r="2025" spans="1:90" x14ac:dyDescent="0.3">
      <c r="A2025" t="s">
        <v>72</v>
      </c>
      <c r="B2025" t="s">
        <v>73</v>
      </c>
      <c r="C2025" t="s">
        <v>74</v>
      </c>
      <c r="E2025" t="str">
        <f>"080065437098"</f>
        <v>080065437098</v>
      </c>
      <c r="F2025" s="3">
        <v>45796</v>
      </c>
      <c r="G2025">
        <v>202602</v>
      </c>
      <c r="H2025" t="s">
        <v>75</v>
      </c>
      <c r="I2025" t="s">
        <v>76</v>
      </c>
      <c r="J2025" t="s">
        <v>77</v>
      </c>
      <c r="K2025" t="s">
        <v>78</v>
      </c>
      <c r="L2025" t="s">
        <v>130</v>
      </c>
      <c r="M2025" t="s">
        <v>131</v>
      </c>
      <c r="N2025" t="s">
        <v>343</v>
      </c>
      <c r="O2025" t="s">
        <v>82</v>
      </c>
      <c r="P2025" t="str">
        <f>"4170039259                    "</f>
        <v xml:space="preserve">4170039259                    </v>
      </c>
      <c r="Q2025">
        <v>0</v>
      </c>
      <c r="R2025">
        <v>0</v>
      </c>
      <c r="S2025">
        <v>0</v>
      </c>
      <c r="T2025">
        <v>0</v>
      </c>
      <c r="U2025">
        <v>0</v>
      </c>
      <c r="V2025">
        <v>0</v>
      </c>
      <c r="W2025">
        <v>0</v>
      </c>
      <c r="X2025">
        <v>0</v>
      </c>
      <c r="Y2025">
        <v>0</v>
      </c>
      <c r="Z2025">
        <v>0</v>
      </c>
      <c r="AA2025">
        <v>0</v>
      </c>
      <c r="AB2025">
        <v>0</v>
      </c>
      <c r="AC2025">
        <v>0</v>
      </c>
      <c r="AD2025">
        <v>0</v>
      </c>
      <c r="AE2025">
        <v>0</v>
      </c>
      <c r="AF2025">
        <v>0</v>
      </c>
      <c r="AG2025">
        <v>0</v>
      </c>
      <c r="AH2025">
        <v>0</v>
      </c>
      <c r="AI2025">
        <v>0</v>
      </c>
      <c r="AJ2025">
        <v>0</v>
      </c>
      <c r="AK2025">
        <v>0</v>
      </c>
      <c r="AL2025">
        <v>0</v>
      </c>
      <c r="AM2025">
        <v>0</v>
      </c>
      <c r="AN2025">
        <v>0</v>
      </c>
      <c r="AO2025">
        <v>0</v>
      </c>
      <c r="AP2025">
        <v>0</v>
      </c>
      <c r="AQ2025">
        <v>21.38</v>
      </c>
      <c r="AR2025">
        <v>0</v>
      </c>
      <c r="AS2025">
        <v>0</v>
      </c>
      <c r="AT2025">
        <v>0</v>
      </c>
      <c r="AU2025">
        <v>0</v>
      </c>
      <c r="AV2025">
        <v>0</v>
      </c>
      <c r="AW2025">
        <v>0</v>
      </c>
      <c r="AX2025">
        <v>0</v>
      </c>
      <c r="AY2025">
        <v>0</v>
      </c>
      <c r="AZ2025">
        <v>0</v>
      </c>
      <c r="BA2025">
        <v>0</v>
      </c>
      <c r="BB2025">
        <v>0</v>
      </c>
      <c r="BC2025">
        <v>0</v>
      </c>
      <c r="BD2025">
        <v>0</v>
      </c>
      <c r="BE2025">
        <v>0</v>
      </c>
      <c r="BF2025">
        <v>0</v>
      </c>
      <c r="BG2025">
        <v>0</v>
      </c>
      <c r="BH2025">
        <v>1</v>
      </c>
      <c r="BI2025">
        <v>1</v>
      </c>
      <c r="BJ2025">
        <v>0.2</v>
      </c>
      <c r="BK2025">
        <v>1</v>
      </c>
      <c r="BL2025">
        <v>69.98</v>
      </c>
      <c r="BM2025">
        <v>10.5</v>
      </c>
      <c r="BN2025">
        <v>80.48</v>
      </c>
      <c r="BO2025">
        <v>80.48</v>
      </c>
      <c r="BQ2025" t="s">
        <v>344</v>
      </c>
      <c r="BR2025" t="s">
        <v>84</v>
      </c>
      <c r="BS2025" s="3">
        <v>45797</v>
      </c>
      <c r="BT2025" s="4">
        <v>0.40625</v>
      </c>
      <c r="BU2025" t="s">
        <v>1427</v>
      </c>
      <c r="BV2025" t="s">
        <v>86</v>
      </c>
      <c r="BY2025">
        <v>1200</v>
      </c>
      <c r="CA2025" t="s">
        <v>242</v>
      </c>
      <c r="CC2025" t="s">
        <v>131</v>
      </c>
      <c r="CD2025">
        <v>7441</v>
      </c>
      <c r="CE2025" t="s">
        <v>88</v>
      </c>
      <c r="CF2025" s="3">
        <v>45798</v>
      </c>
      <c r="CI2025">
        <v>1</v>
      </c>
      <c r="CJ2025">
        <v>1</v>
      </c>
      <c r="CK2025">
        <v>21</v>
      </c>
      <c r="CL2025" t="s">
        <v>89</v>
      </c>
    </row>
    <row r="2026" spans="1:90" x14ac:dyDescent="0.3">
      <c r="A2026" t="s">
        <v>72</v>
      </c>
      <c r="B2026" t="s">
        <v>73</v>
      </c>
      <c r="C2026" t="s">
        <v>74</v>
      </c>
      <c r="E2026" t="str">
        <f>"080065437136"</f>
        <v>080065437136</v>
      </c>
      <c r="F2026" s="3">
        <v>45796</v>
      </c>
      <c r="G2026">
        <v>202602</v>
      </c>
      <c r="H2026" t="s">
        <v>75</v>
      </c>
      <c r="I2026" t="s">
        <v>76</v>
      </c>
      <c r="J2026" t="s">
        <v>77</v>
      </c>
      <c r="K2026" t="s">
        <v>78</v>
      </c>
      <c r="L2026" t="s">
        <v>186</v>
      </c>
      <c r="M2026" t="s">
        <v>187</v>
      </c>
      <c r="N2026" t="s">
        <v>1325</v>
      </c>
      <c r="O2026" t="s">
        <v>82</v>
      </c>
      <c r="P2026" t="str">
        <f>"4170039178                    "</f>
        <v xml:space="preserve">4170039178                    </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c r="AJ2026">
        <v>0</v>
      </c>
      <c r="AK2026">
        <v>0</v>
      </c>
      <c r="AL2026">
        <v>0</v>
      </c>
      <c r="AM2026">
        <v>0</v>
      </c>
      <c r="AN2026">
        <v>0</v>
      </c>
      <c r="AO2026">
        <v>0</v>
      </c>
      <c r="AP2026">
        <v>0</v>
      </c>
      <c r="AQ2026">
        <v>21.38</v>
      </c>
      <c r="AR2026">
        <v>0</v>
      </c>
      <c r="AS2026">
        <v>0</v>
      </c>
      <c r="AT2026">
        <v>0</v>
      </c>
      <c r="AU2026">
        <v>0</v>
      </c>
      <c r="AV2026">
        <v>0</v>
      </c>
      <c r="AW2026">
        <v>0</v>
      </c>
      <c r="AX2026">
        <v>0</v>
      </c>
      <c r="AY2026">
        <v>0</v>
      </c>
      <c r="AZ2026">
        <v>0</v>
      </c>
      <c r="BA2026">
        <v>0</v>
      </c>
      <c r="BB2026">
        <v>0</v>
      </c>
      <c r="BC2026">
        <v>0</v>
      </c>
      <c r="BD2026">
        <v>0</v>
      </c>
      <c r="BE2026">
        <v>0</v>
      </c>
      <c r="BF2026">
        <v>0</v>
      </c>
      <c r="BG2026">
        <v>0</v>
      </c>
      <c r="BH2026">
        <v>1</v>
      </c>
      <c r="BI2026">
        <v>1</v>
      </c>
      <c r="BJ2026">
        <v>0.2</v>
      </c>
      <c r="BK2026">
        <v>1</v>
      </c>
      <c r="BL2026">
        <v>69.98</v>
      </c>
      <c r="BM2026">
        <v>10.5</v>
      </c>
      <c r="BN2026">
        <v>80.48</v>
      </c>
      <c r="BO2026">
        <v>80.48</v>
      </c>
      <c r="BQ2026" t="s">
        <v>1326</v>
      </c>
      <c r="BR2026" t="s">
        <v>84</v>
      </c>
      <c r="BS2026" s="3">
        <v>45797</v>
      </c>
      <c r="BT2026" s="4">
        <v>0.43194444444444446</v>
      </c>
      <c r="BU2026" t="s">
        <v>1753</v>
      </c>
      <c r="BV2026" t="s">
        <v>86</v>
      </c>
      <c r="BY2026">
        <v>1200</v>
      </c>
      <c r="CA2026" t="s">
        <v>191</v>
      </c>
      <c r="CC2026" t="s">
        <v>187</v>
      </c>
      <c r="CD2026">
        <v>4126</v>
      </c>
      <c r="CE2026" t="s">
        <v>88</v>
      </c>
      <c r="CF2026" s="3">
        <v>45797</v>
      </c>
      <c r="CI2026">
        <v>1</v>
      </c>
      <c r="CJ2026">
        <v>1</v>
      </c>
      <c r="CK2026">
        <v>21</v>
      </c>
      <c r="CL2026" t="s">
        <v>89</v>
      </c>
    </row>
    <row r="2027" spans="1:90" x14ac:dyDescent="0.3">
      <c r="A2027" t="s">
        <v>72</v>
      </c>
      <c r="B2027" t="s">
        <v>73</v>
      </c>
      <c r="C2027" t="s">
        <v>74</v>
      </c>
      <c r="E2027" t="str">
        <f>"080065437166"</f>
        <v>080065437166</v>
      </c>
      <c r="F2027" s="3">
        <v>45796</v>
      </c>
      <c r="G2027">
        <v>202602</v>
      </c>
      <c r="H2027" t="s">
        <v>75</v>
      </c>
      <c r="I2027" t="s">
        <v>76</v>
      </c>
      <c r="J2027" t="s">
        <v>77</v>
      </c>
      <c r="K2027" t="s">
        <v>78</v>
      </c>
      <c r="L2027" t="s">
        <v>266</v>
      </c>
      <c r="M2027" t="s">
        <v>267</v>
      </c>
      <c r="N2027" t="s">
        <v>1750</v>
      </c>
      <c r="O2027" t="s">
        <v>82</v>
      </c>
      <c r="P2027" t="str">
        <f>"4170039263                    "</f>
        <v xml:space="preserve">4170039263                    </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c r="AJ2027">
        <v>0</v>
      </c>
      <c r="AK2027">
        <v>0</v>
      </c>
      <c r="AL2027">
        <v>0</v>
      </c>
      <c r="AM2027">
        <v>0</v>
      </c>
      <c r="AN2027">
        <v>0</v>
      </c>
      <c r="AO2027">
        <v>0</v>
      </c>
      <c r="AP2027">
        <v>0</v>
      </c>
      <c r="AQ2027">
        <v>21.38</v>
      </c>
      <c r="AR2027">
        <v>0</v>
      </c>
      <c r="AS2027">
        <v>0</v>
      </c>
      <c r="AT2027">
        <v>0</v>
      </c>
      <c r="AU2027">
        <v>0</v>
      </c>
      <c r="AV2027">
        <v>0</v>
      </c>
      <c r="AW2027">
        <v>0</v>
      </c>
      <c r="AX2027">
        <v>0</v>
      </c>
      <c r="AY2027">
        <v>0</v>
      </c>
      <c r="AZ2027">
        <v>0</v>
      </c>
      <c r="BA2027">
        <v>0</v>
      </c>
      <c r="BB2027">
        <v>0</v>
      </c>
      <c r="BC2027">
        <v>0</v>
      </c>
      <c r="BD2027">
        <v>0</v>
      </c>
      <c r="BE2027">
        <v>0</v>
      </c>
      <c r="BF2027">
        <v>0</v>
      </c>
      <c r="BG2027">
        <v>0</v>
      </c>
      <c r="BH2027">
        <v>1</v>
      </c>
      <c r="BI2027">
        <v>1</v>
      </c>
      <c r="BJ2027">
        <v>0.2</v>
      </c>
      <c r="BK2027">
        <v>1</v>
      </c>
      <c r="BL2027">
        <v>69.98</v>
      </c>
      <c r="BM2027">
        <v>10.5</v>
      </c>
      <c r="BN2027">
        <v>80.48</v>
      </c>
      <c r="BO2027">
        <v>80.48</v>
      </c>
      <c r="BQ2027" t="s">
        <v>1751</v>
      </c>
      <c r="BR2027" t="s">
        <v>84</v>
      </c>
      <c r="BS2027" s="3">
        <v>45797</v>
      </c>
      <c r="BT2027" s="4">
        <v>0.37986111111111109</v>
      </c>
      <c r="BU2027" t="s">
        <v>2499</v>
      </c>
      <c r="BV2027" t="s">
        <v>86</v>
      </c>
      <c r="BY2027">
        <v>1200</v>
      </c>
      <c r="CA2027" t="s">
        <v>632</v>
      </c>
      <c r="CC2027" t="s">
        <v>267</v>
      </c>
      <c r="CD2027">
        <v>6220</v>
      </c>
      <c r="CE2027" t="s">
        <v>88</v>
      </c>
      <c r="CF2027" s="3">
        <v>45797</v>
      </c>
      <c r="CI2027">
        <v>1</v>
      </c>
      <c r="CJ2027">
        <v>1</v>
      </c>
      <c r="CK2027">
        <v>21</v>
      </c>
      <c r="CL2027" t="s">
        <v>89</v>
      </c>
    </row>
    <row r="2028" spans="1:90" x14ac:dyDescent="0.3">
      <c r="A2028" t="s">
        <v>72</v>
      </c>
      <c r="B2028" t="s">
        <v>73</v>
      </c>
      <c r="C2028" t="s">
        <v>74</v>
      </c>
      <c r="E2028" t="str">
        <f>"080065437231"</f>
        <v>080065437231</v>
      </c>
      <c r="F2028" s="3">
        <v>45796</v>
      </c>
      <c r="G2028">
        <v>202602</v>
      </c>
      <c r="H2028" t="s">
        <v>75</v>
      </c>
      <c r="I2028" t="s">
        <v>76</v>
      </c>
      <c r="J2028" t="s">
        <v>77</v>
      </c>
      <c r="K2028" t="s">
        <v>78</v>
      </c>
      <c r="L2028" t="s">
        <v>463</v>
      </c>
      <c r="M2028" t="s">
        <v>464</v>
      </c>
      <c r="N2028" t="s">
        <v>1325</v>
      </c>
      <c r="O2028" t="s">
        <v>82</v>
      </c>
      <c r="P2028" t="str">
        <f>"4170039177                    "</f>
        <v xml:space="preserve">4170039177                    </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0</v>
      </c>
      <c r="AL2028">
        <v>0</v>
      </c>
      <c r="AM2028">
        <v>0</v>
      </c>
      <c r="AN2028">
        <v>0</v>
      </c>
      <c r="AO2028">
        <v>0</v>
      </c>
      <c r="AP2028">
        <v>0</v>
      </c>
      <c r="AQ2028">
        <v>21.38</v>
      </c>
      <c r="AR2028">
        <v>0</v>
      </c>
      <c r="AS2028">
        <v>0</v>
      </c>
      <c r="AT2028">
        <v>0</v>
      </c>
      <c r="AU2028">
        <v>0</v>
      </c>
      <c r="AV2028">
        <v>0</v>
      </c>
      <c r="AW2028">
        <v>0</v>
      </c>
      <c r="AX2028">
        <v>0</v>
      </c>
      <c r="AY2028">
        <v>0</v>
      </c>
      <c r="AZ2028">
        <v>0</v>
      </c>
      <c r="BA2028">
        <v>0</v>
      </c>
      <c r="BB2028">
        <v>0</v>
      </c>
      <c r="BC2028">
        <v>0</v>
      </c>
      <c r="BD2028">
        <v>0</v>
      </c>
      <c r="BE2028">
        <v>0</v>
      </c>
      <c r="BF2028">
        <v>0</v>
      </c>
      <c r="BG2028">
        <v>0</v>
      </c>
      <c r="BH2028">
        <v>1</v>
      </c>
      <c r="BI2028">
        <v>1</v>
      </c>
      <c r="BJ2028">
        <v>0.2</v>
      </c>
      <c r="BK2028">
        <v>1</v>
      </c>
      <c r="BL2028">
        <v>69.98</v>
      </c>
      <c r="BM2028">
        <v>10.5</v>
      </c>
      <c r="BN2028">
        <v>80.48</v>
      </c>
      <c r="BO2028">
        <v>80.48</v>
      </c>
      <c r="BQ2028" t="s">
        <v>1326</v>
      </c>
      <c r="BR2028" t="s">
        <v>84</v>
      </c>
      <c r="BS2028" s="3">
        <v>45797</v>
      </c>
      <c r="BT2028" s="4">
        <v>0.52361111111111114</v>
      </c>
      <c r="BU2028" t="s">
        <v>2500</v>
      </c>
      <c r="BV2028" t="s">
        <v>86</v>
      </c>
      <c r="BY2028">
        <v>1200</v>
      </c>
      <c r="CA2028" t="s">
        <v>468</v>
      </c>
      <c r="CC2028" t="s">
        <v>464</v>
      </c>
      <c r="CD2028">
        <v>5201</v>
      </c>
      <c r="CE2028" t="s">
        <v>88</v>
      </c>
      <c r="CF2028" s="3">
        <v>45797</v>
      </c>
      <c r="CI2028">
        <v>5</v>
      </c>
      <c r="CJ2028">
        <v>1</v>
      </c>
      <c r="CK2028">
        <v>21</v>
      </c>
      <c r="CL2028" t="s">
        <v>89</v>
      </c>
    </row>
    <row r="2029" spans="1:90" x14ac:dyDescent="0.3">
      <c r="A2029" t="s">
        <v>72</v>
      </c>
      <c r="B2029" t="s">
        <v>73</v>
      </c>
      <c r="C2029" t="s">
        <v>74</v>
      </c>
      <c r="E2029" t="str">
        <f>"080065437270"</f>
        <v>080065437270</v>
      </c>
      <c r="F2029" s="3">
        <v>45796</v>
      </c>
      <c r="G2029">
        <v>202602</v>
      </c>
      <c r="H2029" t="s">
        <v>75</v>
      </c>
      <c r="I2029" t="s">
        <v>76</v>
      </c>
      <c r="J2029" t="s">
        <v>77</v>
      </c>
      <c r="K2029" t="s">
        <v>78</v>
      </c>
      <c r="L2029" t="s">
        <v>143</v>
      </c>
      <c r="M2029" t="s">
        <v>144</v>
      </c>
      <c r="N2029" t="s">
        <v>1312</v>
      </c>
      <c r="O2029" t="s">
        <v>82</v>
      </c>
      <c r="P2029" t="str">
        <f>"4170039260                    "</f>
        <v xml:space="preserve">4170039260                    </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0</v>
      </c>
      <c r="AL2029">
        <v>0</v>
      </c>
      <c r="AM2029">
        <v>0</v>
      </c>
      <c r="AN2029">
        <v>0</v>
      </c>
      <c r="AO2029">
        <v>0</v>
      </c>
      <c r="AP2029">
        <v>0</v>
      </c>
      <c r="AQ2029">
        <v>16.7</v>
      </c>
      <c r="AR2029">
        <v>0</v>
      </c>
      <c r="AS2029">
        <v>0</v>
      </c>
      <c r="AT2029">
        <v>0</v>
      </c>
      <c r="AU2029">
        <v>0</v>
      </c>
      <c r="AV2029">
        <v>0</v>
      </c>
      <c r="AW2029">
        <v>0</v>
      </c>
      <c r="AX2029">
        <v>0</v>
      </c>
      <c r="AY2029">
        <v>0</v>
      </c>
      <c r="AZ2029">
        <v>0</v>
      </c>
      <c r="BA2029">
        <v>0</v>
      </c>
      <c r="BB2029">
        <v>0</v>
      </c>
      <c r="BC2029">
        <v>0</v>
      </c>
      <c r="BD2029">
        <v>0</v>
      </c>
      <c r="BE2029">
        <v>0</v>
      </c>
      <c r="BF2029">
        <v>0</v>
      </c>
      <c r="BG2029">
        <v>0</v>
      </c>
      <c r="BH2029">
        <v>1</v>
      </c>
      <c r="BI2029">
        <v>1</v>
      </c>
      <c r="BJ2029">
        <v>0.2</v>
      </c>
      <c r="BK2029">
        <v>1</v>
      </c>
      <c r="BL2029">
        <v>54.66</v>
      </c>
      <c r="BM2029">
        <v>8.1999999999999993</v>
      </c>
      <c r="BN2029">
        <v>62.86</v>
      </c>
      <c r="BO2029">
        <v>62.86</v>
      </c>
      <c r="BQ2029" t="s">
        <v>1313</v>
      </c>
      <c r="BR2029" t="s">
        <v>84</v>
      </c>
      <c r="BS2029" s="3">
        <v>45797</v>
      </c>
      <c r="BT2029" s="4">
        <v>0.37013888888888891</v>
      </c>
      <c r="BU2029" t="s">
        <v>2501</v>
      </c>
      <c r="BV2029" t="s">
        <v>86</v>
      </c>
      <c r="BY2029">
        <v>1200</v>
      </c>
      <c r="CA2029" t="s">
        <v>150</v>
      </c>
      <c r="CC2029" t="s">
        <v>144</v>
      </c>
      <c r="CD2029">
        <v>1429</v>
      </c>
      <c r="CE2029" t="s">
        <v>88</v>
      </c>
      <c r="CF2029" s="3">
        <v>45797</v>
      </c>
      <c r="CI2029">
        <v>1</v>
      </c>
      <c r="CJ2029">
        <v>1</v>
      </c>
      <c r="CK2029">
        <v>22</v>
      </c>
      <c r="CL2029" t="s">
        <v>89</v>
      </c>
    </row>
    <row r="2030" spans="1:90" x14ac:dyDescent="0.3">
      <c r="A2030" t="s">
        <v>72</v>
      </c>
      <c r="B2030" t="s">
        <v>73</v>
      </c>
      <c r="C2030" t="s">
        <v>74</v>
      </c>
      <c r="E2030" t="str">
        <f>"080065437296"</f>
        <v>080065437296</v>
      </c>
      <c r="F2030" s="3">
        <v>45796</v>
      </c>
      <c r="G2030">
        <v>202602</v>
      </c>
      <c r="H2030" t="s">
        <v>75</v>
      </c>
      <c r="I2030" t="s">
        <v>76</v>
      </c>
      <c r="J2030" t="s">
        <v>77</v>
      </c>
      <c r="K2030" t="s">
        <v>78</v>
      </c>
      <c r="L2030" t="s">
        <v>420</v>
      </c>
      <c r="M2030" t="s">
        <v>421</v>
      </c>
      <c r="N2030" t="s">
        <v>422</v>
      </c>
      <c r="O2030" t="s">
        <v>82</v>
      </c>
      <c r="P2030" t="str">
        <f>"4170039279                    "</f>
        <v xml:space="preserve">4170039279                    </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c r="AJ2030">
        <v>0</v>
      </c>
      <c r="AK2030">
        <v>0</v>
      </c>
      <c r="AL2030">
        <v>0</v>
      </c>
      <c r="AM2030">
        <v>0</v>
      </c>
      <c r="AN2030">
        <v>0</v>
      </c>
      <c r="AO2030">
        <v>0</v>
      </c>
      <c r="AP2030">
        <v>0</v>
      </c>
      <c r="AQ2030">
        <v>41.43</v>
      </c>
      <c r="AR2030">
        <v>0</v>
      </c>
      <c r="AS2030">
        <v>0</v>
      </c>
      <c r="AT2030">
        <v>0</v>
      </c>
      <c r="AU2030">
        <v>0</v>
      </c>
      <c r="AV2030">
        <v>0</v>
      </c>
      <c r="AW2030">
        <v>0</v>
      </c>
      <c r="AX2030">
        <v>0</v>
      </c>
      <c r="AY2030">
        <v>0</v>
      </c>
      <c r="AZ2030">
        <v>0</v>
      </c>
      <c r="BA2030">
        <v>0</v>
      </c>
      <c r="BB2030">
        <v>0</v>
      </c>
      <c r="BC2030">
        <v>0</v>
      </c>
      <c r="BD2030">
        <v>0</v>
      </c>
      <c r="BE2030">
        <v>0</v>
      </c>
      <c r="BF2030">
        <v>0</v>
      </c>
      <c r="BG2030">
        <v>0</v>
      </c>
      <c r="BH2030">
        <v>1</v>
      </c>
      <c r="BI2030">
        <v>1</v>
      </c>
      <c r="BJ2030">
        <v>0.2</v>
      </c>
      <c r="BK2030">
        <v>1</v>
      </c>
      <c r="BL2030">
        <v>135.59</v>
      </c>
      <c r="BM2030">
        <v>20.34</v>
      </c>
      <c r="BN2030">
        <v>155.93</v>
      </c>
      <c r="BO2030">
        <v>155.93</v>
      </c>
      <c r="BQ2030" t="s">
        <v>423</v>
      </c>
      <c r="BR2030" t="s">
        <v>84</v>
      </c>
      <c r="BS2030" s="3">
        <v>45797</v>
      </c>
      <c r="BT2030" s="4">
        <v>0.41666666666666669</v>
      </c>
      <c r="BU2030" t="s">
        <v>2502</v>
      </c>
      <c r="BV2030" t="s">
        <v>86</v>
      </c>
      <c r="BY2030">
        <v>1200</v>
      </c>
      <c r="CC2030" t="s">
        <v>421</v>
      </c>
      <c r="CD2030">
        <v>3280</v>
      </c>
      <c r="CE2030" t="s">
        <v>88</v>
      </c>
      <c r="CF2030" s="3">
        <v>45798</v>
      </c>
      <c r="CI2030">
        <v>1</v>
      </c>
      <c r="CJ2030">
        <v>1</v>
      </c>
      <c r="CK2030">
        <v>23</v>
      </c>
      <c r="CL2030" t="s">
        <v>89</v>
      </c>
    </row>
    <row r="2031" spans="1:90" x14ac:dyDescent="0.3">
      <c r="A2031" t="s">
        <v>72</v>
      </c>
      <c r="B2031" t="s">
        <v>73</v>
      </c>
      <c r="C2031" t="s">
        <v>74</v>
      </c>
      <c r="E2031" t="str">
        <f>"080065437601"</f>
        <v>080065437601</v>
      </c>
      <c r="F2031" s="3">
        <v>45796</v>
      </c>
      <c r="G2031">
        <v>202602</v>
      </c>
      <c r="H2031" t="s">
        <v>75</v>
      </c>
      <c r="I2031" t="s">
        <v>76</v>
      </c>
      <c r="J2031" t="s">
        <v>77</v>
      </c>
      <c r="K2031" t="s">
        <v>78</v>
      </c>
      <c r="L2031" t="s">
        <v>90</v>
      </c>
      <c r="M2031" t="s">
        <v>91</v>
      </c>
      <c r="N2031" t="s">
        <v>92</v>
      </c>
      <c r="O2031" t="s">
        <v>82</v>
      </c>
      <c r="P2031" t="str">
        <f>"4170039254                    "</f>
        <v xml:space="preserve">4170039254                    </v>
      </c>
      <c r="Q2031">
        <v>0</v>
      </c>
      <c r="R2031">
        <v>0</v>
      </c>
      <c r="S2031">
        <v>0</v>
      </c>
      <c r="T2031">
        <v>0</v>
      </c>
      <c r="U2031">
        <v>0</v>
      </c>
      <c r="V2031">
        <v>0</v>
      </c>
      <c r="W2031">
        <v>0</v>
      </c>
      <c r="X2031">
        <v>0</v>
      </c>
      <c r="Y2031">
        <v>0</v>
      </c>
      <c r="Z2031">
        <v>0</v>
      </c>
      <c r="AA2031">
        <v>0</v>
      </c>
      <c r="AB2031">
        <v>0</v>
      </c>
      <c r="AC2031">
        <v>0</v>
      </c>
      <c r="AD2031">
        <v>0</v>
      </c>
      <c r="AE2031">
        <v>0</v>
      </c>
      <c r="AF2031">
        <v>0</v>
      </c>
      <c r="AG2031">
        <v>0</v>
      </c>
      <c r="AH2031">
        <v>0</v>
      </c>
      <c r="AI2031">
        <v>0</v>
      </c>
      <c r="AJ2031">
        <v>0</v>
      </c>
      <c r="AK2031">
        <v>0</v>
      </c>
      <c r="AL2031">
        <v>0</v>
      </c>
      <c r="AM2031">
        <v>0</v>
      </c>
      <c r="AN2031">
        <v>0</v>
      </c>
      <c r="AO2031">
        <v>0</v>
      </c>
      <c r="AP2031">
        <v>0</v>
      </c>
      <c r="AQ2031">
        <v>21.38</v>
      </c>
      <c r="AR2031">
        <v>0</v>
      </c>
      <c r="AS2031">
        <v>0</v>
      </c>
      <c r="AT2031">
        <v>0</v>
      </c>
      <c r="AU2031">
        <v>0</v>
      </c>
      <c r="AV2031">
        <v>0</v>
      </c>
      <c r="AW2031">
        <v>0</v>
      </c>
      <c r="AX2031">
        <v>0</v>
      </c>
      <c r="AY2031">
        <v>0</v>
      </c>
      <c r="AZ2031">
        <v>0</v>
      </c>
      <c r="BA2031">
        <v>0</v>
      </c>
      <c r="BB2031">
        <v>0</v>
      </c>
      <c r="BC2031">
        <v>0</v>
      </c>
      <c r="BD2031">
        <v>0</v>
      </c>
      <c r="BE2031">
        <v>0</v>
      </c>
      <c r="BF2031">
        <v>0</v>
      </c>
      <c r="BG2031">
        <v>0</v>
      </c>
      <c r="BH2031">
        <v>1</v>
      </c>
      <c r="BI2031">
        <v>1</v>
      </c>
      <c r="BJ2031">
        <v>0.2</v>
      </c>
      <c r="BK2031">
        <v>1</v>
      </c>
      <c r="BL2031">
        <v>69.98</v>
      </c>
      <c r="BM2031">
        <v>10.5</v>
      </c>
      <c r="BN2031">
        <v>80.48</v>
      </c>
      <c r="BO2031">
        <v>80.48</v>
      </c>
      <c r="BQ2031" t="s">
        <v>93</v>
      </c>
      <c r="BR2031" t="s">
        <v>84</v>
      </c>
      <c r="BS2031" s="3">
        <v>45797</v>
      </c>
      <c r="BT2031" s="4">
        <v>0.34027777777777779</v>
      </c>
      <c r="BU2031" t="s">
        <v>94</v>
      </c>
      <c r="BV2031" t="s">
        <v>86</v>
      </c>
      <c r="BY2031">
        <v>1200</v>
      </c>
      <c r="CA2031" t="s">
        <v>95</v>
      </c>
      <c r="CC2031" t="s">
        <v>91</v>
      </c>
      <c r="CD2031">
        <v>6001</v>
      </c>
      <c r="CE2031" t="s">
        <v>88</v>
      </c>
      <c r="CF2031" s="3">
        <v>45797</v>
      </c>
      <c r="CI2031">
        <v>1</v>
      </c>
      <c r="CJ2031">
        <v>1</v>
      </c>
      <c r="CK2031">
        <v>21</v>
      </c>
      <c r="CL2031" t="s">
        <v>89</v>
      </c>
    </row>
    <row r="2032" spans="1:90" x14ac:dyDescent="0.3">
      <c r="A2032" t="s">
        <v>72</v>
      </c>
      <c r="B2032" t="s">
        <v>73</v>
      </c>
      <c r="C2032" t="s">
        <v>74</v>
      </c>
      <c r="E2032" t="str">
        <f>"080065437656"</f>
        <v>080065437656</v>
      </c>
      <c r="F2032" s="3">
        <v>45796</v>
      </c>
      <c r="G2032">
        <v>202602</v>
      </c>
      <c r="H2032" t="s">
        <v>75</v>
      </c>
      <c r="I2032" t="s">
        <v>76</v>
      </c>
      <c r="J2032" t="s">
        <v>77</v>
      </c>
      <c r="K2032" t="s">
        <v>78</v>
      </c>
      <c r="L2032" t="s">
        <v>90</v>
      </c>
      <c r="M2032" t="s">
        <v>91</v>
      </c>
      <c r="N2032" t="s">
        <v>515</v>
      </c>
      <c r="O2032" t="s">
        <v>82</v>
      </c>
      <c r="P2032" t="str">
        <f>"4170039276                    "</f>
        <v xml:space="preserve">4170039276                    </v>
      </c>
      <c r="Q2032">
        <v>0</v>
      </c>
      <c r="R2032">
        <v>0</v>
      </c>
      <c r="S2032">
        <v>0</v>
      </c>
      <c r="T2032">
        <v>0</v>
      </c>
      <c r="U2032">
        <v>0</v>
      </c>
      <c r="V2032">
        <v>0</v>
      </c>
      <c r="W2032">
        <v>0</v>
      </c>
      <c r="X2032">
        <v>0</v>
      </c>
      <c r="Y2032">
        <v>0</v>
      </c>
      <c r="Z2032">
        <v>0</v>
      </c>
      <c r="AA2032">
        <v>0</v>
      </c>
      <c r="AB2032">
        <v>0</v>
      </c>
      <c r="AC2032">
        <v>0</v>
      </c>
      <c r="AD2032">
        <v>0</v>
      </c>
      <c r="AE2032">
        <v>0</v>
      </c>
      <c r="AF2032">
        <v>0</v>
      </c>
      <c r="AG2032">
        <v>0</v>
      </c>
      <c r="AH2032">
        <v>0</v>
      </c>
      <c r="AI2032">
        <v>0</v>
      </c>
      <c r="AJ2032">
        <v>0</v>
      </c>
      <c r="AK2032">
        <v>0</v>
      </c>
      <c r="AL2032">
        <v>0</v>
      </c>
      <c r="AM2032">
        <v>0</v>
      </c>
      <c r="AN2032">
        <v>0</v>
      </c>
      <c r="AO2032">
        <v>0</v>
      </c>
      <c r="AP2032">
        <v>0</v>
      </c>
      <c r="AQ2032">
        <v>21.38</v>
      </c>
      <c r="AR2032">
        <v>0</v>
      </c>
      <c r="AS2032">
        <v>0</v>
      </c>
      <c r="AT2032">
        <v>0</v>
      </c>
      <c r="AU2032">
        <v>0</v>
      </c>
      <c r="AV2032">
        <v>0</v>
      </c>
      <c r="AW2032">
        <v>0</v>
      </c>
      <c r="AX2032">
        <v>0</v>
      </c>
      <c r="AY2032">
        <v>0</v>
      </c>
      <c r="AZ2032">
        <v>0</v>
      </c>
      <c r="BA2032">
        <v>0</v>
      </c>
      <c r="BB2032">
        <v>0</v>
      </c>
      <c r="BC2032">
        <v>0</v>
      </c>
      <c r="BD2032">
        <v>0</v>
      </c>
      <c r="BE2032">
        <v>0</v>
      </c>
      <c r="BF2032">
        <v>0</v>
      </c>
      <c r="BG2032">
        <v>0</v>
      </c>
      <c r="BH2032">
        <v>1</v>
      </c>
      <c r="BI2032">
        <v>1</v>
      </c>
      <c r="BJ2032">
        <v>0.2</v>
      </c>
      <c r="BK2032">
        <v>1</v>
      </c>
      <c r="BL2032">
        <v>69.98</v>
      </c>
      <c r="BM2032">
        <v>10.5</v>
      </c>
      <c r="BN2032">
        <v>80.48</v>
      </c>
      <c r="BO2032">
        <v>80.48</v>
      </c>
      <c r="BQ2032" t="s">
        <v>516</v>
      </c>
      <c r="BR2032" t="s">
        <v>84</v>
      </c>
      <c r="BS2032" s="3">
        <v>45797</v>
      </c>
      <c r="BT2032" s="4">
        <v>0.3576388888888889</v>
      </c>
      <c r="BU2032" t="s">
        <v>2503</v>
      </c>
      <c r="BV2032" t="s">
        <v>86</v>
      </c>
      <c r="BY2032">
        <v>1200</v>
      </c>
      <c r="CA2032" t="s">
        <v>632</v>
      </c>
      <c r="CC2032" t="s">
        <v>91</v>
      </c>
      <c r="CD2032">
        <v>6001</v>
      </c>
      <c r="CE2032" t="s">
        <v>88</v>
      </c>
      <c r="CF2032" s="3">
        <v>45797</v>
      </c>
      <c r="CI2032">
        <v>1</v>
      </c>
      <c r="CJ2032">
        <v>1</v>
      </c>
      <c r="CK2032">
        <v>21</v>
      </c>
      <c r="CL2032" t="s">
        <v>89</v>
      </c>
    </row>
    <row r="2033" spans="1:90" x14ac:dyDescent="0.3">
      <c r="A2033" t="s">
        <v>72</v>
      </c>
      <c r="B2033" t="s">
        <v>73</v>
      </c>
      <c r="C2033" t="s">
        <v>74</v>
      </c>
      <c r="E2033" t="str">
        <f>"080065437713"</f>
        <v>080065437713</v>
      </c>
      <c r="F2033" s="3">
        <v>45796</v>
      </c>
      <c r="G2033">
        <v>202602</v>
      </c>
      <c r="H2033" t="s">
        <v>75</v>
      </c>
      <c r="I2033" t="s">
        <v>76</v>
      </c>
      <c r="J2033" t="s">
        <v>77</v>
      </c>
      <c r="K2033" t="s">
        <v>78</v>
      </c>
      <c r="L2033" t="s">
        <v>90</v>
      </c>
      <c r="M2033" t="s">
        <v>91</v>
      </c>
      <c r="N2033" t="s">
        <v>841</v>
      </c>
      <c r="O2033" t="s">
        <v>82</v>
      </c>
      <c r="P2033" t="str">
        <f>"4170039239                    "</f>
        <v xml:space="preserve">4170039239                    </v>
      </c>
      <c r="Q2033">
        <v>0</v>
      </c>
      <c r="R2033">
        <v>0</v>
      </c>
      <c r="S2033">
        <v>0</v>
      </c>
      <c r="T2033">
        <v>0</v>
      </c>
      <c r="U2033">
        <v>0</v>
      </c>
      <c r="V2033">
        <v>0</v>
      </c>
      <c r="W2033">
        <v>0</v>
      </c>
      <c r="X2033">
        <v>0</v>
      </c>
      <c r="Y2033">
        <v>0</v>
      </c>
      <c r="Z2033">
        <v>0</v>
      </c>
      <c r="AA2033">
        <v>0</v>
      </c>
      <c r="AB2033">
        <v>0</v>
      </c>
      <c r="AC2033">
        <v>0</v>
      </c>
      <c r="AD2033">
        <v>0</v>
      </c>
      <c r="AE2033">
        <v>0</v>
      </c>
      <c r="AF2033">
        <v>0</v>
      </c>
      <c r="AG2033">
        <v>0</v>
      </c>
      <c r="AH2033">
        <v>0</v>
      </c>
      <c r="AI2033">
        <v>0</v>
      </c>
      <c r="AJ2033">
        <v>0</v>
      </c>
      <c r="AK2033">
        <v>0</v>
      </c>
      <c r="AL2033">
        <v>0</v>
      </c>
      <c r="AM2033">
        <v>0</v>
      </c>
      <c r="AN2033">
        <v>0</v>
      </c>
      <c r="AO2033">
        <v>0</v>
      </c>
      <c r="AP2033">
        <v>0</v>
      </c>
      <c r="AQ2033">
        <v>21.38</v>
      </c>
      <c r="AR2033">
        <v>0</v>
      </c>
      <c r="AS2033">
        <v>0</v>
      </c>
      <c r="AT2033">
        <v>0</v>
      </c>
      <c r="AU2033">
        <v>0</v>
      </c>
      <c r="AV2033">
        <v>0</v>
      </c>
      <c r="AW2033">
        <v>0</v>
      </c>
      <c r="AX2033">
        <v>0</v>
      </c>
      <c r="AY2033">
        <v>0</v>
      </c>
      <c r="AZ2033">
        <v>0</v>
      </c>
      <c r="BA2033">
        <v>0</v>
      </c>
      <c r="BB2033">
        <v>0</v>
      </c>
      <c r="BC2033">
        <v>0</v>
      </c>
      <c r="BD2033">
        <v>0</v>
      </c>
      <c r="BE2033">
        <v>0</v>
      </c>
      <c r="BF2033">
        <v>0</v>
      </c>
      <c r="BG2033">
        <v>0</v>
      </c>
      <c r="BH2033">
        <v>1</v>
      </c>
      <c r="BI2033">
        <v>1</v>
      </c>
      <c r="BJ2033">
        <v>0.2</v>
      </c>
      <c r="BK2033">
        <v>1</v>
      </c>
      <c r="BL2033">
        <v>69.98</v>
      </c>
      <c r="BM2033">
        <v>10.5</v>
      </c>
      <c r="BN2033">
        <v>80.48</v>
      </c>
      <c r="BO2033">
        <v>80.48</v>
      </c>
      <c r="BQ2033" t="s">
        <v>842</v>
      </c>
      <c r="BR2033" t="s">
        <v>84</v>
      </c>
      <c r="BS2033" s="3">
        <v>45797</v>
      </c>
      <c r="BT2033" s="4">
        <v>0.43611111111111112</v>
      </c>
      <c r="BU2033" t="s">
        <v>2504</v>
      </c>
      <c r="BV2033" t="s">
        <v>86</v>
      </c>
      <c r="BY2033">
        <v>1200</v>
      </c>
      <c r="CA2033" t="s">
        <v>298</v>
      </c>
      <c r="CC2033" t="s">
        <v>91</v>
      </c>
      <c r="CD2033">
        <v>6001</v>
      </c>
      <c r="CE2033" t="s">
        <v>88</v>
      </c>
      <c r="CF2033" s="3">
        <v>45797</v>
      </c>
      <c r="CI2033">
        <v>1</v>
      </c>
      <c r="CJ2033">
        <v>1</v>
      </c>
      <c r="CK2033">
        <v>21</v>
      </c>
      <c r="CL2033" t="s">
        <v>89</v>
      </c>
    </row>
    <row r="2034" spans="1:90" x14ac:dyDescent="0.3">
      <c r="A2034" t="s">
        <v>72</v>
      </c>
      <c r="B2034" t="s">
        <v>73</v>
      </c>
      <c r="C2034" t="s">
        <v>74</v>
      </c>
      <c r="E2034" t="str">
        <f>"080065437768"</f>
        <v>080065437768</v>
      </c>
      <c r="F2034" s="3">
        <v>45796</v>
      </c>
      <c r="G2034">
        <v>202602</v>
      </c>
      <c r="H2034" t="s">
        <v>75</v>
      </c>
      <c r="I2034" t="s">
        <v>76</v>
      </c>
      <c r="J2034" t="s">
        <v>77</v>
      </c>
      <c r="K2034" t="s">
        <v>78</v>
      </c>
      <c r="L2034" t="s">
        <v>123</v>
      </c>
      <c r="M2034" t="s">
        <v>123</v>
      </c>
      <c r="N2034" t="s">
        <v>317</v>
      </c>
      <c r="O2034" t="s">
        <v>82</v>
      </c>
      <c r="P2034" t="str">
        <f>"4170038042                    "</f>
        <v xml:space="preserve">4170038042                    </v>
      </c>
      <c r="Q2034">
        <v>0</v>
      </c>
      <c r="R2034">
        <v>0</v>
      </c>
      <c r="S2034">
        <v>0</v>
      </c>
      <c r="T2034">
        <v>0</v>
      </c>
      <c r="U2034">
        <v>0</v>
      </c>
      <c r="V2034">
        <v>0</v>
      </c>
      <c r="W2034">
        <v>0</v>
      </c>
      <c r="X2034">
        <v>0</v>
      </c>
      <c r="Y2034">
        <v>0</v>
      </c>
      <c r="Z2034">
        <v>0</v>
      </c>
      <c r="AA2034">
        <v>0</v>
      </c>
      <c r="AB2034">
        <v>0</v>
      </c>
      <c r="AC2034">
        <v>0</v>
      </c>
      <c r="AD2034">
        <v>0</v>
      </c>
      <c r="AE2034">
        <v>0</v>
      </c>
      <c r="AF2034">
        <v>0</v>
      </c>
      <c r="AG2034">
        <v>0</v>
      </c>
      <c r="AH2034">
        <v>0</v>
      </c>
      <c r="AI2034">
        <v>0</v>
      </c>
      <c r="AJ2034">
        <v>0</v>
      </c>
      <c r="AK2034">
        <v>0</v>
      </c>
      <c r="AL2034">
        <v>0</v>
      </c>
      <c r="AM2034">
        <v>0</v>
      </c>
      <c r="AN2034">
        <v>0</v>
      </c>
      <c r="AO2034">
        <v>0</v>
      </c>
      <c r="AP2034">
        <v>0</v>
      </c>
      <c r="AQ2034">
        <v>41.43</v>
      </c>
      <c r="AR2034">
        <v>0</v>
      </c>
      <c r="AS2034">
        <v>0</v>
      </c>
      <c r="AT2034">
        <v>0</v>
      </c>
      <c r="AU2034">
        <v>0</v>
      </c>
      <c r="AV2034">
        <v>0</v>
      </c>
      <c r="AW2034">
        <v>0</v>
      </c>
      <c r="AX2034">
        <v>0</v>
      </c>
      <c r="AY2034">
        <v>0</v>
      </c>
      <c r="AZ2034">
        <v>0</v>
      </c>
      <c r="BA2034">
        <v>0</v>
      </c>
      <c r="BB2034">
        <v>0</v>
      </c>
      <c r="BC2034">
        <v>0</v>
      </c>
      <c r="BD2034">
        <v>0</v>
      </c>
      <c r="BE2034">
        <v>0</v>
      </c>
      <c r="BF2034">
        <v>0</v>
      </c>
      <c r="BG2034">
        <v>0</v>
      </c>
      <c r="BH2034">
        <v>1</v>
      </c>
      <c r="BI2034">
        <v>1</v>
      </c>
      <c r="BJ2034">
        <v>0.2</v>
      </c>
      <c r="BK2034">
        <v>1</v>
      </c>
      <c r="BL2034">
        <v>135.59</v>
      </c>
      <c r="BM2034">
        <v>20.34</v>
      </c>
      <c r="BN2034">
        <v>155.93</v>
      </c>
      <c r="BO2034">
        <v>155.93</v>
      </c>
      <c r="BQ2034" t="s">
        <v>318</v>
      </c>
      <c r="BR2034" t="s">
        <v>84</v>
      </c>
      <c r="BS2034" s="3">
        <v>45797</v>
      </c>
      <c r="BT2034" s="4">
        <v>0.52361111111111114</v>
      </c>
      <c r="BU2034" t="s">
        <v>319</v>
      </c>
      <c r="BV2034" t="s">
        <v>86</v>
      </c>
      <c r="BY2034">
        <v>1200</v>
      </c>
      <c r="CA2034" t="s">
        <v>128</v>
      </c>
      <c r="CC2034" t="s">
        <v>123</v>
      </c>
      <c r="CD2034">
        <v>7646</v>
      </c>
      <c r="CE2034" t="s">
        <v>88</v>
      </c>
      <c r="CF2034" s="3">
        <v>45798</v>
      </c>
      <c r="CI2034">
        <v>1</v>
      </c>
      <c r="CJ2034">
        <v>1</v>
      </c>
      <c r="CK2034">
        <v>23</v>
      </c>
      <c r="CL2034" t="s">
        <v>89</v>
      </c>
    </row>
    <row r="2035" spans="1:90" x14ac:dyDescent="0.3">
      <c r="A2035" t="s">
        <v>72</v>
      </c>
      <c r="B2035" t="s">
        <v>73</v>
      </c>
      <c r="C2035" t="s">
        <v>74</v>
      </c>
      <c r="E2035" t="str">
        <f>"080065437818"</f>
        <v>080065437818</v>
      </c>
      <c r="F2035" s="3">
        <v>45796</v>
      </c>
      <c r="G2035">
        <v>202602</v>
      </c>
      <c r="H2035" t="s">
        <v>75</v>
      </c>
      <c r="I2035" t="s">
        <v>76</v>
      </c>
      <c r="J2035" t="s">
        <v>77</v>
      </c>
      <c r="K2035" t="s">
        <v>78</v>
      </c>
      <c r="L2035" t="s">
        <v>130</v>
      </c>
      <c r="M2035" t="s">
        <v>131</v>
      </c>
      <c r="N2035" t="s">
        <v>1406</v>
      </c>
      <c r="O2035" t="s">
        <v>82</v>
      </c>
      <c r="P2035" t="str">
        <f>"4170039338                    "</f>
        <v xml:space="preserve">4170039338                    </v>
      </c>
      <c r="Q2035">
        <v>0</v>
      </c>
      <c r="R2035">
        <v>0</v>
      </c>
      <c r="S2035">
        <v>0</v>
      </c>
      <c r="T2035">
        <v>0</v>
      </c>
      <c r="U2035">
        <v>0</v>
      </c>
      <c r="V2035">
        <v>0</v>
      </c>
      <c r="W2035">
        <v>0</v>
      </c>
      <c r="X2035">
        <v>0</v>
      </c>
      <c r="Y2035">
        <v>0</v>
      </c>
      <c r="Z2035">
        <v>0</v>
      </c>
      <c r="AA2035">
        <v>0</v>
      </c>
      <c r="AB2035">
        <v>0</v>
      </c>
      <c r="AC2035">
        <v>0</v>
      </c>
      <c r="AD2035">
        <v>0</v>
      </c>
      <c r="AE2035">
        <v>0</v>
      </c>
      <c r="AF2035">
        <v>0</v>
      </c>
      <c r="AG2035">
        <v>0</v>
      </c>
      <c r="AH2035">
        <v>0</v>
      </c>
      <c r="AI2035">
        <v>0</v>
      </c>
      <c r="AJ2035">
        <v>0</v>
      </c>
      <c r="AK2035">
        <v>0</v>
      </c>
      <c r="AL2035">
        <v>0</v>
      </c>
      <c r="AM2035">
        <v>0</v>
      </c>
      <c r="AN2035">
        <v>0</v>
      </c>
      <c r="AO2035">
        <v>0</v>
      </c>
      <c r="AP2035">
        <v>0</v>
      </c>
      <c r="AQ2035">
        <v>21.38</v>
      </c>
      <c r="AR2035">
        <v>0</v>
      </c>
      <c r="AS2035">
        <v>0</v>
      </c>
      <c r="AT2035">
        <v>0</v>
      </c>
      <c r="AU2035">
        <v>0</v>
      </c>
      <c r="AV2035">
        <v>0</v>
      </c>
      <c r="AW2035">
        <v>0</v>
      </c>
      <c r="AX2035">
        <v>0</v>
      </c>
      <c r="AY2035">
        <v>0</v>
      </c>
      <c r="AZ2035">
        <v>0</v>
      </c>
      <c r="BA2035">
        <v>0</v>
      </c>
      <c r="BB2035">
        <v>0</v>
      </c>
      <c r="BC2035">
        <v>0</v>
      </c>
      <c r="BD2035">
        <v>0</v>
      </c>
      <c r="BE2035">
        <v>0</v>
      </c>
      <c r="BF2035">
        <v>0</v>
      </c>
      <c r="BG2035">
        <v>0</v>
      </c>
      <c r="BH2035">
        <v>1</v>
      </c>
      <c r="BI2035">
        <v>1</v>
      </c>
      <c r="BJ2035">
        <v>1.9</v>
      </c>
      <c r="BK2035">
        <v>2</v>
      </c>
      <c r="BL2035">
        <v>69.98</v>
      </c>
      <c r="BM2035">
        <v>10.5</v>
      </c>
      <c r="BN2035">
        <v>80.48</v>
      </c>
      <c r="BO2035">
        <v>80.48</v>
      </c>
      <c r="BQ2035" t="s">
        <v>1407</v>
      </c>
      <c r="BR2035" t="s">
        <v>84</v>
      </c>
      <c r="BS2035" s="3">
        <v>45797</v>
      </c>
      <c r="BT2035" s="4">
        <v>0.50902777777777775</v>
      </c>
      <c r="BU2035" t="s">
        <v>1408</v>
      </c>
      <c r="BV2035" t="s">
        <v>89</v>
      </c>
      <c r="BW2035" t="s">
        <v>340</v>
      </c>
      <c r="BX2035" t="s">
        <v>2355</v>
      </c>
      <c r="BY2035">
        <v>9600</v>
      </c>
      <c r="CC2035" t="s">
        <v>131</v>
      </c>
      <c r="CD2035">
        <v>7925</v>
      </c>
      <c r="CE2035" t="s">
        <v>2505</v>
      </c>
      <c r="CF2035" s="3">
        <v>45798</v>
      </c>
      <c r="CI2035">
        <v>1</v>
      </c>
      <c r="CJ2035">
        <v>1</v>
      </c>
      <c r="CK2035">
        <v>21</v>
      </c>
      <c r="CL2035" t="s">
        <v>89</v>
      </c>
    </row>
    <row r="2036" spans="1:90" x14ac:dyDescent="0.3">
      <c r="A2036" t="s">
        <v>72</v>
      </c>
      <c r="B2036" t="s">
        <v>73</v>
      </c>
      <c r="C2036" t="s">
        <v>74</v>
      </c>
      <c r="E2036" t="str">
        <f>"080065437900"</f>
        <v>080065437900</v>
      </c>
      <c r="F2036" s="3">
        <v>45796</v>
      </c>
      <c r="G2036">
        <v>202602</v>
      </c>
      <c r="H2036" t="s">
        <v>75</v>
      </c>
      <c r="I2036" t="s">
        <v>76</v>
      </c>
      <c r="J2036" t="s">
        <v>77</v>
      </c>
      <c r="K2036" t="s">
        <v>78</v>
      </c>
      <c r="L2036" t="s">
        <v>2133</v>
      </c>
      <c r="M2036" t="s">
        <v>2134</v>
      </c>
      <c r="N2036" t="s">
        <v>2506</v>
      </c>
      <c r="O2036" t="s">
        <v>82</v>
      </c>
      <c r="P2036" t="str">
        <f>"4170039281                    "</f>
        <v xml:space="preserve">4170039281                    </v>
      </c>
      <c r="Q2036">
        <v>0</v>
      </c>
      <c r="R2036">
        <v>0</v>
      </c>
      <c r="S2036">
        <v>0</v>
      </c>
      <c r="T2036">
        <v>0</v>
      </c>
      <c r="U2036">
        <v>0</v>
      </c>
      <c r="V2036">
        <v>0</v>
      </c>
      <c r="W2036">
        <v>0</v>
      </c>
      <c r="X2036">
        <v>0</v>
      </c>
      <c r="Y2036">
        <v>0</v>
      </c>
      <c r="Z2036">
        <v>0</v>
      </c>
      <c r="AA2036">
        <v>0</v>
      </c>
      <c r="AB2036">
        <v>0</v>
      </c>
      <c r="AC2036">
        <v>0</v>
      </c>
      <c r="AD2036">
        <v>0</v>
      </c>
      <c r="AE2036">
        <v>0</v>
      </c>
      <c r="AF2036">
        <v>0</v>
      </c>
      <c r="AG2036">
        <v>0</v>
      </c>
      <c r="AH2036">
        <v>0</v>
      </c>
      <c r="AI2036">
        <v>0</v>
      </c>
      <c r="AJ2036">
        <v>0</v>
      </c>
      <c r="AK2036">
        <v>0</v>
      </c>
      <c r="AL2036">
        <v>0</v>
      </c>
      <c r="AM2036">
        <v>0</v>
      </c>
      <c r="AN2036">
        <v>0</v>
      </c>
      <c r="AO2036">
        <v>0</v>
      </c>
      <c r="AP2036">
        <v>0</v>
      </c>
      <c r="AQ2036">
        <v>41.43</v>
      </c>
      <c r="AR2036">
        <v>0</v>
      </c>
      <c r="AS2036">
        <v>0</v>
      </c>
      <c r="AT2036">
        <v>0</v>
      </c>
      <c r="AU2036">
        <v>0</v>
      </c>
      <c r="AV2036">
        <v>0</v>
      </c>
      <c r="AW2036">
        <v>0</v>
      </c>
      <c r="AX2036">
        <v>0</v>
      </c>
      <c r="AY2036">
        <v>0</v>
      </c>
      <c r="AZ2036">
        <v>0</v>
      </c>
      <c r="BA2036">
        <v>0</v>
      </c>
      <c r="BB2036">
        <v>0</v>
      </c>
      <c r="BC2036">
        <v>0</v>
      </c>
      <c r="BD2036">
        <v>0</v>
      </c>
      <c r="BE2036">
        <v>0</v>
      </c>
      <c r="BF2036">
        <v>0</v>
      </c>
      <c r="BG2036">
        <v>0</v>
      </c>
      <c r="BH2036">
        <v>1</v>
      </c>
      <c r="BI2036">
        <v>1</v>
      </c>
      <c r="BJ2036">
        <v>1.1000000000000001</v>
      </c>
      <c r="BK2036">
        <v>1.5</v>
      </c>
      <c r="BL2036">
        <v>135.59</v>
      </c>
      <c r="BM2036">
        <v>20.34</v>
      </c>
      <c r="BN2036">
        <v>155.93</v>
      </c>
      <c r="BO2036">
        <v>155.93</v>
      </c>
      <c r="BQ2036" t="s">
        <v>2507</v>
      </c>
      <c r="BR2036" t="s">
        <v>84</v>
      </c>
      <c r="BS2036" s="3">
        <v>45798</v>
      </c>
      <c r="BT2036" s="4">
        <v>0.32083333333333336</v>
      </c>
      <c r="BU2036" t="s">
        <v>2508</v>
      </c>
      <c r="BV2036" t="s">
        <v>86</v>
      </c>
      <c r="BY2036">
        <v>5320</v>
      </c>
      <c r="CC2036" t="s">
        <v>2134</v>
      </c>
      <c r="CD2036">
        <v>6740</v>
      </c>
      <c r="CE2036" t="s">
        <v>116</v>
      </c>
      <c r="CF2036" s="3">
        <v>45805</v>
      </c>
      <c r="CI2036">
        <v>2</v>
      </c>
      <c r="CJ2036">
        <v>2</v>
      </c>
      <c r="CK2036">
        <v>23</v>
      </c>
      <c r="CL2036" t="s">
        <v>89</v>
      </c>
    </row>
    <row r="2037" spans="1:90" x14ac:dyDescent="0.3">
      <c r="A2037" t="s">
        <v>72</v>
      </c>
      <c r="B2037" t="s">
        <v>73</v>
      </c>
      <c r="C2037" t="s">
        <v>74</v>
      </c>
      <c r="E2037" t="str">
        <f>"080065437961"</f>
        <v>080065437961</v>
      </c>
      <c r="F2037" s="3">
        <v>45796</v>
      </c>
      <c r="G2037">
        <v>202602</v>
      </c>
      <c r="H2037" t="s">
        <v>75</v>
      </c>
      <c r="I2037" t="s">
        <v>76</v>
      </c>
      <c r="J2037" t="s">
        <v>77</v>
      </c>
      <c r="K2037" t="s">
        <v>78</v>
      </c>
      <c r="L2037" t="s">
        <v>350</v>
      </c>
      <c r="M2037" t="s">
        <v>351</v>
      </c>
      <c r="N2037" t="s">
        <v>678</v>
      </c>
      <c r="O2037" t="s">
        <v>82</v>
      </c>
      <c r="P2037" t="str">
        <f>"4170039218                    "</f>
        <v xml:space="preserve">4170039218                    </v>
      </c>
      <c r="Q2037">
        <v>0</v>
      </c>
      <c r="R2037">
        <v>0</v>
      </c>
      <c r="S2037">
        <v>0</v>
      </c>
      <c r="T2037">
        <v>0</v>
      </c>
      <c r="U2037">
        <v>0</v>
      </c>
      <c r="V2037">
        <v>0</v>
      </c>
      <c r="W2037">
        <v>0</v>
      </c>
      <c r="X2037">
        <v>0</v>
      </c>
      <c r="Y2037">
        <v>0</v>
      </c>
      <c r="Z2037">
        <v>0</v>
      </c>
      <c r="AA2037">
        <v>0</v>
      </c>
      <c r="AB2037">
        <v>0</v>
      </c>
      <c r="AC2037">
        <v>0</v>
      </c>
      <c r="AD2037">
        <v>0</v>
      </c>
      <c r="AE2037">
        <v>0</v>
      </c>
      <c r="AF2037">
        <v>0</v>
      </c>
      <c r="AG2037">
        <v>0</v>
      </c>
      <c r="AH2037">
        <v>0</v>
      </c>
      <c r="AI2037">
        <v>0</v>
      </c>
      <c r="AJ2037">
        <v>0</v>
      </c>
      <c r="AK2037">
        <v>0</v>
      </c>
      <c r="AL2037">
        <v>0</v>
      </c>
      <c r="AM2037">
        <v>0</v>
      </c>
      <c r="AN2037">
        <v>0</v>
      </c>
      <c r="AO2037">
        <v>0</v>
      </c>
      <c r="AP2037">
        <v>0</v>
      </c>
      <c r="AQ2037">
        <v>21.38</v>
      </c>
      <c r="AR2037">
        <v>0</v>
      </c>
      <c r="AS2037">
        <v>0</v>
      </c>
      <c r="AT2037">
        <v>0</v>
      </c>
      <c r="AU2037">
        <v>0</v>
      </c>
      <c r="AV2037">
        <v>0</v>
      </c>
      <c r="AW2037">
        <v>0</v>
      </c>
      <c r="AX2037">
        <v>0</v>
      </c>
      <c r="AY2037">
        <v>0</v>
      </c>
      <c r="AZ2037">
        <v>0</v>
      </c>
      <c r="BA2037">
        <v>0</v>
      </c>
      <c r="BB2037">
        <v>0</v>
      </c>
      <c r="BC2037">
        <v>0</v>
      </c>
      <c r="BD2037">
        <v>0</v>
      </c>
      <c r="BE2037">
        <v>0</v>
      </c>
      <c r="BF2037">
        <v>0</v>
      </c>
      <c r="BG2037">
        <v>0</v>
      </c>
      <c r="BH2037">
        <v>1</v>
      </c>
      <c r="BI2037">
        <v>1</v>
      </c>
      <c r="BJ2037">
        <v>0.6</v>
      </c>
      <c r="BK2037">
        <v>1</v>
      </c>
      <c r="BL2037">
        <v>69.98</v>
      </c>
      <c r="BM2037">
        <v>10.5</v>
      </c>
      <c r="BN2037">
        <v>80.48</v>
      </c>
      <c r="BO2037">
        <v>80.48</v>
      </c>
      <c r="BQ2037" t="s">
        <v>679</v>
      </c>
      <c r="BR2037" t="s">
        <v>84</v>
      </c>
      <c r="BS2037" s="3">
        <v>45797</v>
      </c>
      <c r="BT2037" s="4">
        <v>0.38819444444444445</v>
      </c>
      <c r="BU2037" t="s">
        <v>680</v>
      </c>
      <c r="BV2037" t="s">
        <v>86</v>
      </c>
      <c r="BY2037">
        <v>3192</v>
      </c>
      <c r="CA2037" t="s">
        <v>326</v>
      </c>
      <c r="CC2037" t="s">
        <v>351</v>
      </c>
      <c r="CD2037">
        <v>4052</v>
      </c>
      <c r="CE2037" t="s">
        <v>116</v>
      </c>
      <c r="CF2037" s="3">
        <v>45797</v>
      </c>
      <c r="CI2037">
        <v>1</v>
      </c>
      <c r="CJ2037">
        <v>1</v>
      </c>
      <c r="CK2037">
        <v>21</v>
      </c>
      <c r="CL2037" t="s">
        <v>89</v>
      </c>
    </row>
    <row r="2038" spans="1:90" x14ac:dyDescent="0.3">
      <c r="A2038" t="s">
        <v>72</v>
      </c>
      <c r="B2038" t="s">
        <v>73</v>
      </c>
      <c r="C2038" t="s">
        <v>74</v>
      </c>
      <c r="E2038" t="str">
        <f>"080065438262"</f>
        <v>080065438262</v>
      </c>
      <c r="F2038" s="3">
        <v>45796</v>
      </c>
      <c r="G2038">
        <v>202602</v>
      </c>
      <c r="H2038" t="s">
        <v>75</v>
      </c>
      <c r="I2038" t="s">
        <v>76</v>
      </c>
      <c r="J2038" t="s">
        <v>77</v>
      </c>
      <c r="K2038" t="s">
        <v>78</v>
      </c>
      <c r="L2038" t="s">
        <v>350</v>
      </c>
      <c r="M2038" t="s">
        <v>351</v>
      </c>
      <c r="N2038" t="s">
        <v>2509</v>
      </c>
      <c r="O2038" t="s">
        <v>82</v>
      </c>
      <c r="P2038" t="str">
        <f>"4170038919                    "</f>
        <v xml:space="preserve">4170038919                    </v>
      </c>
      <c r="Q2038">
        <v>0</v>
      </c>
      <c r="R2038">
        <v>0</v>
      </c>
      <c r="S2038">
        <v>0</v>
      </c>
      <c r="T2038">
        <v>0</v>
      </c>
      <c r="U2038">
        <v>0</v>
      </c>
      <c r="V2038">
        <v>0</v>
      </c>
      <c r="W2038">
        <v>0</v>
      </c>
      <c r="X2038">
        <v>0</v>
      </c>
      <c r="Y2038">
        <v>0</v>
      </c>
      <c r="Z2038">
        <v>0</v>
      </c>
      <c r="AA2038">
        <v>0</v>
      </c>
      <c r="AB2038">
        <v>0</v>
      </c>
      <c r="AC2038">
        <v>0</v>
      </c>
      <c r="AD2038">
        <v>0</v>
      </c>
      <c r="AE2038">
        <v>0</v>
      </c>
      <c r="AF2038">
        <v>0</v>
      </c>
      <c r="AG2038">
        <v>0</v>
      </c>
      <c r="AH2038">
        <v>0</v>
      </c>
      <c r="AI2038">
        <v>0</v>
      </c>
      <c r="AJ2038">
        <v>0</v>
      </c>
      <c r="AK2038">
        <v>0</v>
      </c>
      <c r="AL2038">
        <v>0</v>
      </c>
      <c r="AM2038">
        <v>0</v>
      </c>
      <c r="AN2038">
        <v>0</v>
      </c>
      <c r="AO2038">
        <v>0</v>
      </c>
      <c r="AP2038">
        <v>0</v>
      </c>
      <c r="AQ2038">
        <v>48.09</v>
      </c>
      <c r="AR2038">
        <v>0</v>
      </c>
      <c r="AS2038">
        <v>0</v>
      </c>
      <c r="AT2038">
        <v>0</v>
      </c>
      <c r="AU2038">
        <v>0</v>
      </c>
      <c r="AV2038">
        <v>0</v>
      </c>
      <c r="AW2038">
        <v>0</v>
      </c>
      <c r="AX2038">
        <v>0</v>
      </c>
      <c r="AY2038">
        <v>0</v>
      </c>
      <c r="AZ2038">
        <v>0</v>
      </c>
      <c r="BA2038">
        <v>0</v>
      </c>
      <c r="BB2038">
        <v>0</v>
      </c>
      <c r="BC2038">
        <v>0</v>
      </c>
      <c r="BD2038">
        <v>0</v>
      </c>
      <c r="BE2038">
        <v>0</v>
      </c>
      <c r="BF2038">
        <v>0</v>
      </c>
      <c r="BG2038">
        <v>0</v>
      </c>
      <c r="BH2038">
        <v>1</v>
      </c>
      <c r="BI2038">
        <v>3</v>
      </c>
      <c r="BJ2038">
        <v>4.5</v>
      </c>
      <c r="BK2038">
        <v>4.5</v>
      </c>
      <c r="BL2038">
        <v>157.38999999999999</v>
      </c>
      <c r="BM2038">
        <v>23.61</v>
      </c>
      <c r="BN2038">
        <v>181</v>
      </c>
      <c r="BO2038">
        <v>181</v>
      </c>
      <c r="BQ2038" t="s">
        <v>2510</v>
      </c>
      <c r="BR2038" t="s">
        <v>84</v>
      </c>
      <c r="BS2038" s="3">
        <v>45798</v>
      </c>
      <c r="BT2038" s="4">
        <v>0.31527777777777777</v>
      </c>
      <c r="BU2038" t="s">
        <v>1642</v>
      </c>
      <c r="BV2038" t="s">
        <v>89</v>
      </c>
      <c r="BY2038">
        <v>22344</v>
      </c>
      <c r="CA2038" t="s">
        <v>1643</v>
      </c>
      <c r="CC2038" t="s">
        <v>351</v>
      </c>
      <c r="CD2038">
        <v>4052</v>
      </c>
      <c r="CE2038" t="s">
        <v>221</v>
      </c>
      <c r="CI2038">
        <v>1</v>
      </c>
      <c r="CJ2038">
        <v>2</v>
      </c>
      <c r="CK2038">
        <v>21</v>
      </c>
      <c r="CL2038" t="s">
        <v>89</v>
      </c>
    </row>
    <row r="2039" spans="1:90" x14ac:dyDescent="0.3">
      <c r="A2039" t="s">
        <v>72</v>
      </c>
      <c r="B2039" t="s">
        <v>73</v>
      </c>
      <c r="C2039" t="s">
        <v>74</v>
      </c>
      <c r="E2039" t="str">
        <f>"080065438299"</f>
        <v>080065438299</v>
      </c>
      <c r="F2039" s="3">
        <v>45796</v>
      </c>
      <c r="G2039">
        <v>202602</v>
      </c>
      <c r="H2039" t="s">
        <v>75</v>
      </c>
      <c r="I2039" t="s">
        <v>76</v>
      </c>
      <c r="J2039" t="s">
        <v>77</v>
      </c>
      <c r="K2039" t="s">
        <v>78</v>
      </c>
      <c r="L2039" t="s">
        <v>350</v>
      </c>
      <c r="M2039" t="s">
        <v>351</v>
      </c>
      <c r="N2039" t="s">
        <v>459</v>
      </c>
      <c r="O2039" t="s">
        <v>82</v>
      </c>
      <c r="P2039" t="str">
        <f>"4170038914                    "</f>
        <v xml:space="preserve">4170038914                    </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0</v>
      </c>
      <c r="AL2039">
        <v>0</v>
      </c>
      <c r="AM2039">
        <v>0</v>
      </c>
      <c r="AN2039">
        <v>0</v>
      </c>
      <c r="AO2039">
        <v>0</v>
      </c>
      <c r="AP2039">
        <v>0</v>
      </c>
      <c r="AQ2039">
        <v>64.12</v>
      </c>
      <c r="AR2039">
        <v>0</v>
      </c>
      <c r="AS2039">
        <v>0</v>
      </c>
      <c r="AT2039">
        <v>0</v>
      </c>
      <c r="AU2039">
        <v>0</v>
      </c>
      <c r="AV2039">
        <v>0</v>
      </c>
      <c r="AW2039">
        <v>0</v>
      </c>
      <c r="AX2039">
        <v>0</v>
      </c>
      <c r="AY2039">
        <v>0</v>
      </c>
      <c r="AZ2039">
        <v>0</v>
      </c>
      <c r="BA2039">
        <v>0</v>
      </c>
      <c r="BB2039">
        <v>0</v>
      </c>
      <c r="BC2039">
        <v>0</v>
      </c>
      <c r="BD2039">
        <v>0</v>
      </c>
      <c r="BE2039">
        <v>0</v>
      </c>
      <c r="BF2039">
        <v>0</v>
      </c>
      <c r="BG2039">
        <v>0</v>
      </c>
      <c r="BH2039">
        <v>1</v>
      </c>
      <c r="BI2039">
        <v>6</v>
      </c>
      <c r="BJ2039">
        <v>3.6</v>
      </c>
      <c r="BK2039">
        <v>6</v>
      </c>
      <c r="BL2039">
        <v>209.84</v>
      </c>
      <c r="BM2039">
        <v>31.48</v>
      </c>
      <c r="BN2039">
        <v>241.32</v>
      </c>
      <c r="BO2039">
        <v>241.32</v>
      </c>
      <c r="BQ2039" t="s">
        <v>460</v>
      </c>
      <c r="BR2039" t="s">
        <v>84</v>
      </c>
      <c r="BS2039" s="3">
        <v>45797</v>
      </c>
      <c r="BT2039" s="4">
        <v>0.33958333333333335</v>
      </c>
      <c r="BU2039" t="s">
        <v>1121</v>
      </c>
      <c r="BV2039" t="s">
        <v>86</v>
      </c>
      <c r="BY2039">
        <v>17820</v>
      </c>
      <c r="CA2039" t="s">
        <v>462</v>
      </c>
      <c r="CC2039" t="s">
        <v>351</v>
      </c>
      <c r="CD2039">
        <v>4051</v>
      </c>
      <c r="CE2039" t="s">
        <v>221</v>
      </c>
      <c r="CF2039" s="3">
        <v>45797</v>
      </c>
      <c r="CI2039">
        <v>1</v>
      </c>
      <c r="CJ2039">
        <v>1</v>
      </c>
      <c r="CK2039">
        <v>21</v>
      </c>
      <c r="CL2039" t="s">
        <v>89</v>
      </c>
    </row>
    <row r="2040" spans="1:90" x14ac:dyDescent="0.3">
      <c r="A2040" t="s">
        <v>72</v>
      </c>
      <c r="B2040" t="s">
        <v>73</v>
      </c>
      <c r="C2040" t="s">
        <v>74</v>
      </c>
      <c r="E2040" t="str">
        <f>"080065438322"</f>
        <v>080065438322</v>
      </c>
      <c r="F2040" s="3">
        <v>45796</v>
      </c>
      <c r="G2040">
        <v>202602</v>
      </c>
      <c r="H2040" t="s">
        <v>75</v>
      </c>
      <c r="I2040" t="s">
        <v>76</v>
      </c>
      <c r="J2040" t="s">
        <v>77</v>
      </c>
      <c r="K2040" t="s">
        <v>78</v>
      </c>
      <c r="L2040" t="s">
        <v>972</v>
      </c>
      <c r="M2040" t="s">
        <v>973</v>
      </c>
      <c r="N2040" t="s">
        <v>1744</v>
      </c>
      <c r="O2040" t="s">
        <v>82</v>
      </c>
      <c r="P2040" t="str">
        <f>"4170038873                    "</f>
        <v xml:space="preserve">4170038873                    </v>
      </c>
      <c r="Q2040">
        <v>0</v>
      </c>
      <c r="R2040">
        <v>0</v>
      </c>
      <c r="S2040">
        <v>0</v>
      </c>
      <c r="T2040">
        <v>0</v>
      </c>
      <c r="U2040">
        <v>0</v>
      </c>
      <c r="V2040">
        <v>0</v>
      </c>
      <c r="W2040">
        <v>0</v>
      </c>
      <c r="X2040">
        <v>0</v>
      </c>
      <c r="Y2040">
        <v>0</v>
      </c>
      <c r="Z2040">
        <v>0</v>
      </c>
      <c r="AA2040">
        <v>0</v>
      </c>
      <c r="AB2040">
        <v>0</v>
      </c>
      <c r="AC2040">
        <v>0</v>
      </c>
      <c r="AD2040">
        <v>0</v>
      </c>
      <c r="AE2040">
        <v>0</v>
      </c>
      <c r="AF2040">
        <v>0</v>
      </c>
      <c r="AG2040">
        <v>0</v>
      </c>
      <c r="AH2040">
        <v>0</v>
      </c>
      <c r="AI2040">
        <v>0</v>
      </c>
      <c r="AJ2040">
        <v>0</v>
      </c>
      <c r="AK2040">
        <v>0</v>
      </c>
      <c r="AL2040">
        <v>0</v>
      </c>
      <c r="AM2040">
        <v>0</v>
      </c>
      <c r="AN2040">
        <v>0</v>
      </c>
      <c r="AO2040">
        <v>0</v>
      </c>
      <c r="AP2040">
        <v>0</v>
      </c>
      <c r="AQ2040">
        <v>16.7</v>
      </c>
      <c r="AR2040">
        <v>0</v>
      </c>
      <c r="AS2040">
        <v>0</v>
      </c>
      <c r="AT2040">
        <v>0</v>
      </c>
      <c r="AU2040">
        <v>0</v>
      </c>
      <c r="AV2040">
        <v>0</v>
      </c>
      <c r="AW2040">
        <v>0</v>
      </c>
      <c r="AX2040">
        <v>0</v>
      </c>
      <c r="AY2040">
        <v>0</v>
      </c>
      <c r="AZ2040">
        <v>0</v>
      </c>
      <c r="BA2040">
        <v>0</v>
      </c>
      <c r="BB2040">
        <v>0</v>
      </c>
      <c r="BC2040">
        <v>0</v>
      </c>
      <c r="BD2040">
        <v>0</v>
      </c>
      <c r="BE2040">
        <v>0</v>
      </c>
      <c r="BF2040">
        <v>0</v>
      </c>
      <c r="BG2040">
        <v>0</v>
      </c>
      <c r="BH2040">
        <v>1</v>
      </c>
      <c r="BI2040">
        <v>2</v>
      </c>
      <c r="BJ2040">
        <v>3.3</v>
      </c>
      <c r="BK2040">
        <v>4</v>
      </c>
      <c r="BL2040">
        <v>54.66</v>
      </c>
      <c r="BM2040">
        <v>8.1999999999999993</v>
      </c>
      <c r="BN2040">
        <v>62.86</v>
      </c>
      <c r="BO2040">
        <v>62.86</v>
      </c>
      <c r="BQ2040" t="s">
        <v>1745</v>
      </c>
      <c r="BR2040" t="s">
        <v>84</v>
      </c>
      <c r="BS2040" s="3">
        <v>45797</v>
      </c>
      <c r="BT2040" s="4">
        <v>0.39305555555555555</v>
      </c>
      <c r="BU2040" t="s">
        <v>1992</v>
      </c>
      <c r="BV2040" t="s">
        <v>86</v>
      </c>
      <c r="BY2040">
        <v>16560</v>
      </c>
      <c r="CA2040" t="s">
        <v>1596</v>
      </c>
      <c r="CC2040" t="s">
        <v>973</v>
      </c>
      <c r="CD2040">
        <v>1709</v>
      </c>
      <c r="CE2040" t="s">
        <v>221</v>
      </c>
      <c r="CF2040" s="3">
        <v>45797</v>
      </c>
      <c r="CI2040">
        <v>1</v>
      </c>
      <c r="CJ2040">
        <v>1</v>
      </c>
      <c r="CK2040">
        <v>22</v>
      </c>
      <c r="CL2040" t="s">
        <v>89</v>
      </c>
    </row>
    <row r="2041" spans="1:90" x14ac:dyDescent="0.3">
      <c r="A2041" t="s">
        <v>72</v>
      </c>
      <c r="B2041" t="s">
        <v>73</v>
      </c>
      <c r="C2041" t="s">
        <v>74</v>
      </c>
      <c r="E2041" t="str">
        <f>"RR080064990676"</f>
        <v>RR080064990676</v>
      </c>
      <c r="F2041" s="3">
        <v>45796</v>
      </c>
      <c r="G2041">
        <v>202602</v>
      </c>
      <c r="H2041" t="s">
        <v>902</v>
      </c>
      <c r="I2041" t="s">
        <v>903</v>
      </c>
      <c r="J2041" t="s">
        <v>2511</v>
      </c>
      <c r="K2041" t="s">
        <v>78</v>
      </c>
      <c r="L2041" t="s">
        <v>624</v>
      </c>
      <c r="M2041" t="s">
        <v>625</v>
      </c>
      <c r="N2041" t="s">
        <v>2512</v>
      </c>
      <c r="O2041" t="s">
        <v>300</v>
      </c>
      <c r="P2041" t="str">
        <f>"4170035581                    "</f>
        <v xml:space="preserve">4170035581                    </v>
      </c>
      <c r="Q2041">
        <v>0</v>
      </c>
      <c r="R2041">
        <v>0</v>
      </c>
      <c r="S2041">
        <v>0</v>
      </c>
      <c r="T2041">
        <v>0</v>
      </c>
      <c r="U2041">
        <v>0</v>
      </c>
      <c r="V2041">
        <v>0</v>
      </c>
      <c r="W2041">
        <v>0</v>
      </c>
      <c r="X2041">
        <v>0</v>
      </c>
      <c r="Y2041">
        <v>0</v>
      </c>
      <c r="Z2041">
        <v>0</v>
      </c>
      <c r="AA2041">
        <v>0</v>
      </c>
      <c r="AB2041">
        <v>0</v>
      </c>
      <c r="AC2041">
        <v>0</v>
      </c>
      <c r="AD2041">
        <v>0</v>
      </c>
      <c r="AE2041">
        <v>0</v>
      </c>
      <c r="AF2041">
        <v>0</v>
      </c>
      <c r="AG2041">
        <v>0</v>
      </c>
      <c r="AH2041">
        <v>0</v>
      </c>
      <c r="AI2041">
        <v>0</v>
      </c>
      <c r="AJ2041">
        <v>0</v>
      </c>
      <c r="AK2041">
        <v>0</v>
      </c>
      <c r="AL2041">
        <v>0</v>
      </c>
      <c r="AM2041">
        <v>0</v>
      </c>
      <c r="AN2041">
        <v>0</v>
      </c>
      <c r="AO2041">
        <v>0</v>
      </c>
      <c r="AP2041">
        <v>0</v>
      </c>
      <c r="AQ2041">
        <v>58.32</v>
      </c>
      <c r="AR2041">
        <v>0</v>
      </c>
      <c r="AS2041">
        <v>0</v>
      </c>
      <c r="AT2041">
        <v>0</v>
      </c>
      <c r="AU2041">
        <v>0</v>
      </c>
      <c r="AV2041">
        <v>0</v>
      </c>
      <c r="AW2041">
        <v>0</v>
      </c>
      <c r="AX2041">
        <v>0</v>
      </c>
      <c r="AY2041">
        <v>0</v>
      </c>
      <c r="AZ2041">
        <v>0</v>
      </c>
      <c r="BA2041">
        <v>0</v>
      </c>
      <c r="BB2041">
        <v>0</v>
      </c>
      <c r="BC2041">
        <v>0</v>
      </c>
      <c r="BD2041">
        <v>0</v>
      </c>
      <c r="BE2041">
        <v>0</v>
      </c>
      <c r="BF2041">
        <v>0</v>
      </c>
      <c r="BG2041">
        <v>0</v>
      </c>
      <c r="BH2041">
        <v>1</v>
      </c>
      <c r="BI2041">
        <v>1</v>
      </c>
      <c r="BJ2041">
        <v>0.2</v>
      </c>
      <c r="BK2041">
        <v>1</v>
      </c>
      <c r="BL2041">
        <v>196.44</v>
      </c>
      <c r="BM2041">
        <v>29.47</v>
      </c>
      <c r="BN2041">
        <v>225.91</v>
      </c>
      <c r="BO2041">
        <v>225.91</v>
      </c>
      <c r="BQ2041" s="5" t="s">
        <v>2513</v>
      </c>
      <c r="BR2041" t="s">
        <v>2514</v>
      </c>
      <c r="BS2041" s="3">
        <v>45797</v>
      </c>
      <c r="BT2041" s="4">
        <v>0.41666666666666669</v>
      </c>
      <c r="BU2041" t="s">
        <v>1674</v>
      </c>
      <c r="BV2041" t="s">
        <v>86</v>
      </c>
      <c r="BY2041">
        <v>1200</v>
      </c>
      <c r="BZ2041" t="s">
        <v>2515</v>
      </c>
      <c r="CC2041" t="s">
        <v>625</v>
      </c>
      <c r="CD2041">
        <v>1946</v>
      </c>
      <c r="CE2041" t="s">
        <v>88</v>
      </c>
      <c r="CF2041" s="3">
        <v>45797</v>
      </c>
      <c r="CI2041">
        <v>1</v>
      </c>
      <c r="CJ2041">
        <v>1</v>
      </c>
      <c r="CK2041">
        <v>43</v>
      </c>
      <c r="CL2041" t="s">
        <v>89</v>
      </c>
    </row>
    <row r="2042" spans="1:90" x14ac:dyDescent="0.3">
      <c r="A2042" t="s">
        <v>72</v>
      </c>
      <c r="B2042" t="s">
        <v>73</v>
      </c>
      <c r="C2042" t="s">
        <v>74</v>
      </c>
      <c r="E2042" t="str">
        <f>"080065438513"</f>
        <v>080065438513</v>
      </c>
      <c r="F2042" s="3">
        <v>45796</v>
      </c>
      <c r="G2042">
        <v>202602</v>
      </c>
      <c r="H2042" t="s">
        <v>75</v>
      </c>
      <c r="I2042" t="s">
        <v>76</v>
      </c>
      <c r="J2042" t="s">
        <v>77</v>
      </c>
      <c r="K2042" t="s">
        <v>78</v>
      </c>
      <c r="L2042" t="s">
        <v>103</v>
      </c>
      <c r="M2042" t="s">
        <v>104</v>
      </c>
      <c r="N2042" t="s">
        <v>1372</v>
      </c>
      <c r="O2042" t="s">
        <v>82</v>
      </c>
      <c r="P2042" t="str">
        <f>"4170039214                    "</f>
        <v xml:space="preserve">4170039214                    </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c r="AJ2042">
        <v>0</v>
      </c>
      <c r="AK2042">
        <v>0</v>
      </c>
      <c r="AL2042">
        <v>0</v>
      </c>
      <c r="AM2042">
        <v>0</v>
      </c>
      <c r="AN2042">
        <v>0</v>
      </c>
      <c r="AO2042">
        <v>0</v>
      </c>
      <c r="AP2042">
        <v>0</v>
      </c>
      <c r="AQ2042">
        <v>21.38</v>
      </c>
      <c r="AR2042">
        <v>0</v>
      </c>
      <c r="AS2042">
        <v>0</v>
      </c>
      <c r="AT2042">
        <v>0</v>
      </c>
      <c r="AU2042">
        <v>0</v>
      </c>
      <c r="AV2042">
        <v>0</v>
      </c>
      <c r="AW2042">
        <v>0</v>
      </c>
      <c r="AX2042">
        <v>0</v>
      </c>
      <c r="AY2042">
        <v>0</v>
      </c>
      <c r="AZ2042">
        <v>0</v>
      </c>
      <c r="BA2042">
        <v>0</v>
      </c>
      <c r="BB2042">
        <v>0</v>
      </c>
      <c r="BC2042">
        <v>0</v>
      </c>
      <c r="BD2042">
        <v>0</v>
      </c>
      <c r="BE2042">
        <v>0</v>
      </c>
      <c r="BF2042">
        <v>0</v>
      </c>
      <c r="BG2042">
        <v>0</v>
      </c>
      <c r="BH2042">
        <v>1</v>
      </c>
      <c r="BI2042">
        <v>1</v>
      </c>
      <c r="BJ2042">
        <v>1.1000000000000001</v>
      </c>
      <c r="BK2042">
        <v>1.5</v>
      </c>
      <c r="BL2042">
        <v>69.98</v>
      </c>
      <c r="BM2042">
        <v>10.5</v>
      </c>
      <c r="BN2042">
        <v>80.48</v>
      </c>
      <c r="BO2042">
        <v>80.48</v>
      </c>
      <c r="BQ2042" t="s">
        <v>1373</v>
      </c>
      <c r="BR2042" t="s">
        <v>84</v>
      </c>
      <c r="BS2042" s="3">
        <v>45797</v>
      </c>
      <c r="BT2042" s="4">
        <v>0.41666666666666669</v>
      </c>
      <c r="BU2042" t="s">
        <v>1374</v>
      </c>
      <c r="BV2042" t="s">
        <v>86</v>
      </c>
      <c r="BY2042">
        <v>5320</v>
      </c>
      <c r="CA2042" t="s">
        <v>1375</v>
      </c>
      <c r="CC2042" t="s">
        <v>104</v>
      </c>
      <c r="CD2042">
        <v>3201</v>
      </c>
      <c r="CE2042" t="s">
        <v>116</v>
      </c>
      <c r="CF2042" s="3">
        <v>45798</v>
      </c>
      <c r="CI2042">
        <v>1</v>
      </c>
      <c r="CJ2042">
        <v>1</v>
      </c>
      <c r="CK2042">
        <v>21</v>
      </c>
      <c r="CL2042" t="s">
        <v>89</v>
      </c>
    </row>
    <row r="2043" spans="1:90" x14ac:dyDescent="0.3">
      <c r="A2043" t="s">
        <v>72</v>
      </c>
      <c r="B2043" t="s">
        <v>73</v>
      </c>
      <c r="C2043" t="s">
        <v>74</v>
      </c>
      <c r="E2043" t="str">
        <f>"080065438584"</f>
        <v>080065438584</v>
      </c>
      <c r="F2043" s="3">
        <v>45796</v>
      </c>
      <c r="G2043">
        <v>202602</v>
      </c>
      <c r="H2043" t="s">
        <v>75</v>
      </c>
      <c r="I2043" t="s">
        <v>76</v>
      </c>
      <c r="J2043" t="s">
        <v>77</v>
      </c>
      <c r="K2043" t="s">
        <v>78</v>
      </c>
      <c r="L2043" t="s">
        <v>75</v>
      </c>
      <c r="M2043" t="s">
        <v>76</v>
      </c>
      <c r="N2043" t="s">
        <v>2516</v>
      </c>
      <c r="O2043" t="s">
        <v>82</v>
      </c>
      <c r="P2043" t="str">
        <f>"4170039216                    "</f>
        <v xml:space="preserve">4170039216                    </v>
      </c>
      <c r="Q2043">
        <v>0</v>
      </c>
      <c r="R2043">
        <v>0</v>
      </c>
      <c r="S2043">
        <v>0</v>
      </c>
      <c r="T2043">
        <v>0</v>
      </c>
      <c r="U2043">
        <v>0</v>
      </c>
      <c r="V2043">
        <v>0</v>
      </c>
      <c r="W2043">
        <v>0</v>
      </c>
      <c r="X2043">
        <v>0</v>
      </c>
      <c r="Y2043">
        <v>0</v>
      </c>
      <c r="Z2043">
        <v>0</v>
      </c>
      <c r="AA2043">
        <v>0</v>
      </c>
      <c r="AB2043">
        <v>0</v>
      </c>
      <c r="AC2043">
        <v>0</v>
      </c>
      <c r="AD2043">
        <v>0</v>
      </c>
      <c r="AE2043">
        <v>0</v>
      </c>
      <c r="AF2043">
        <v>0</v>
      </c>
      <c r="AG2043">
        <v>0</v>
      </c>
      <c r="AH2043">
        <v>0</v>
      </c>
      <c r="AI2043">
        <v>0</v>
      </c>
      <c r="AJ2043">
        <v>0</v>
      </c>
      <c r="AK2043">
        <v>0</v>
      </c>
      <c r="AL2043">
        <v>0</v>
      </c>
      <c r="AM2043">
        <v>0</v>
      </c>
      <c r="AN2043">
        <v>0</v>
      </c>
      <c r="AO2043">
        <v>0</v>
      </c>
      <c r="AP2043">
        <v>0</v>
      </c>
      <c r="AQ2043">
        <v>16.7</v>
      </c>
      <c r="AR2043">
        <v>0</v>
      </c>
      <c r="AS2043">
        <v>0</v>
      </c>
      <c r="AT2043">
        <v>0</v>
      </c>
      <c r="AU2043">
        <v>0</v>
      </c>
      <c r="AV2043">
        <v>0</v>
      </c>
      <c r="AW2043">
        <v>0</v>
      </c>
      <c r="AX2043">
        <v>0</v>
      </c>
      <c r="AY2043">
        <v>0</v>
      </c>
      <c r="AZ2043">
        <v>0</v>
      </c>
      <c r="BA2043">
        <v>0</v>
      </c>
      <c r="BB2043">
        <v>0</v>
      </c>
      <c r="BC2043">
        <v>0</v>
      </c>
      <c r="BD2043">
        <v>0</v>
      </c>
      <c r="BE2043">
        <v>0</v>
      </c>
      <c r="BF2043">
        <v>0</v>
      </c>
      <c r="BG2043">
        <v>0</v>
      </c>
      <c r="BH2043">
        <v>1</v>
      </c>
      <c r="BI2043">
        <v>1</v>
      </c>
      <c r="BJ2043">
        <v>0.2</v>
      </c>
      <c r="BK2043">
        <v>1</v>
      </c>
      <c r="BL2043">
        <v>54.66</v>
      </c>
      <c r="BM2043">
        <v>8.1999999999999993</v>
      </c>
      <c r="BN2043">
        <v>62.86</v>
      </c>
      <c r="BO2043">
        <v>62.86</v>
      </c>
      <c r="BQ2043" t="s">
        <v>2517</v>
      </c>
      <c r="BR2043" t="s">
        <v>84</v>
      </c>
      <c r="BS2043" s="3">
        <v>45797</v>
      </c>
      <c r="BT2043" s="4">
        <v>0.30902777777777779</v>
      </c>
      <c r="BU2043" t="s">
        <v>2518</v>
      </c>
      <c r="BV2043" t="s">
        <v>86</v>
      </c>
      <c r="BY2043">
        <v>1200</v>
      </c>
      <c r="CA2043" t="s">
        <v>115</v>
      </c>
      <c r="CC2043" t="s">
        <v>76</v>
      </c>
      <c r="CD2043">
        <v>1600</v>
      </c>
      <c r="CE2043" t="s">
        <v>88</v>
      </c>
      <c r="CF2043" s="3">
        <v>45797</v>
      </c>
      <c r="CI2043">
        <v>1</v>
      </c>
      <c r="CJ2043">
        <v>1</v>
      </c>
      <c r="CK2043">
        <v>22</v>
      </c>
      <c r="CL2043" t="s">
        <v>89</v>
      </c>
    </row>
    <row r="2044" spans="1:90" x14ac:dyDescent="0.3">
      <c r="A2044" t="s">
        <v>72</v>
      </c>
      <c r="B2044" t="s">
        <v>73</v>
      </c>
      <c r="C2044" t="s">
        <v>74</v>
      </c>
      <c r="E2044" t="str">
        <f>"080065438602"</f>
        <v>080065438602</v>
      </c>
      <c r="F2044" s="3">
        <v>45796</v>
      </c>
      <c r="G2044">
        <v>202602</v>
      </c>
      <c r="H2044" t="s">
        <v>75</v>
      </c>
      <c r="I2044" t="s">
        <v>76</v>
      </c>
      <c r="J2044" t="s">
        <v>77</v>
      </c>
      <c r="K2044" t="s">
        <v>78</v>
      </c>
      <c r="L2044" t="s">
        <v>123</v>
      </c>
      <c r="M2044" t="s">
        <v>123</v>
      </c>
      <c r="N2044" t="s">
        <v>766</v>
      </c>
      <c r="O2044" t="s">
        <v>82</v>
      </c>
      <c r="P2044" t="str">
        <f>"4170039192                    "</f>
        <v xml:space="preserve">4170039192                    </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0</v>
      </c>
      <c r="AJ2044">
        <v>0</v>
      </c>
      <c r="AK2044">
        <v>0</v>
      </c>
      <c r="AL2044">
        <v>0</v>
      </c>
      <c r="AM2044">
        <v>0</v>
      </c>
      <c r="AN2044">
        <v>0</v>
      </c>
      <c r="AO2044">
        <v>0</v>
      </c>
      <c r="AP2044">
        <v>0</v>
      </c>
      <c r="AQ2044">
        <v>41.43</v>
      </c>
      <c r="AR2044">
        <v>0</v>
      </c>
      <c r="AS2044">
        <v>0</v>
      </c>
      <c r="AT2044">
        <v>0</v>
      </c>
      <c r="AU2044">
        <v>0</v>
      </c>
      <c r="AV2044">
        <v>0</v>
      </c>
      <c r="AW2044">
        <v>0</v>
      </c>
      <c r="AX2044">
        <v>0</v>
      </c>
      <c r="AY2044">
        <v>0</v>
      </c>
      <c r="AZ2044">
        <v>0</v>
      </c>
      <c r="BA2044">
        <v>0</v>
      </c>
      <c r="BB2044">
        <v>0</v>
      </c>
      <c r="BC2044">
        <v>0</v>
      </c>
      <c r="BD2044">
        <v>0</v>
      </c>
      <c r="BE2044">
        <v>0</v>
      </c>
      <c r="BF2044">
        <v>0</v>
      </c>
      <c r="BG2044">
        <v>0</v>
      </c>
      <c r="BH2044">
        <v>1</v>
      </c>
      <c r="BI2044">
        <v>1</v>
      </c>
      <c r="BJ2044">
        <v>0.2</v>
      </c>
      <c r="BK2044">
        <v>1</v>
      </c>
      <c r="BL2044">
        <v>135.59</v>
      </c>
      <c r="BM2044">
        <v>20.34</v>
      </c>
      <c r="BN2044">
        <v>155.93</v>
      </c>
      <c r="BO2044">
        <v>155.93</v>
      </c>
      <c r="BQ2044" t="s">
        <v>767</v>
      </c>
      <c r="BR2044" t="s">
        <v>84</v>
      </c>
      <c r="BS2044" s="3">
        <v>45797</v>
      </c>
      <c r="BT2044" s="4">
        <v>0.50208333333333333</v>
      </c>
      <c r="BU2044" t="s">
        <v>768</v>
      </c>
      <c r="BV2044" t="s">
        <v>86</v>
      </c>
      <c r="BY2044">
        <v>1200</v>
      </c>
      <c r="CA2044" t="s">
        <v>128</v>
      </c>
      <c r="CC2044" t="s">
        <v>123</v>
      </c>
      <c r="CD2044">
        <v>7646</v>
      </c>
      <c r="CE2044" t="s">
        <v>88</v>
      </c>
      <c r="CF2044" s="3">
        <v>45798</v>
      </c>
      <c r="CI2044">
        <v>1</v>
      </c>
      <c r="CJ2044">
        <v>1</v>
      </c>
      <c r="CK2044">
        <v>23</v>
      </c>
      <c r="CL2044" t="s">
        <v>89</v>
      </c>
    </row>
    <row r="2045" spans="1:90" x14ac:dyDescent="0.3">
      <c r="A2045" t="s">
        <v>72</v>
      </c>
      <c r="B2045" t="s">
        <v>73</v>
      </c>
      <c r="C2045" t="s">
        <v>74</v>
      </c>
      <c r="E2045" t="str">
        <f>"080065438615"</f>
        <v>080065438615</v>
      </c>
      <c r="F2045" s="3">
        <v>45796</v>
      </c>
      <c r="G2045">
        <v>202602</v>
      </c>
      <c r="H2045" t="s">
        <v>75</v>
      </c>
      <c r="I2045" t="s">
        <v>76</v>
      </c>
      <c r="J2045" t="s">
        <v>77</v>
      </c>
      <c r="K2045" t="s">
        <v>78</v>
      </c>
      <c r="L2045" t="s">
        <v>123</v>
      </c>
      <c r="M2045" t="s">
        <v>123</v>
      </c>
      <c r="N2045" t="s">
        <v>766</v>
      </c>
      <c r="O2045" t="s">
        <v>82</v>
      </c>
      <c r="P2045" t="str">
        <f>"4170039168                    "</f>
        <v xml:space="preserve">4170039168                    </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c r="AI2045">
        <v>0</v>
      </c>
      <c r="AJ2045">
        <v>0</v>
      </c>
      <c r="AK2045">
        <v>0</v>
      </c>
      <c r="AL2045">
        <v>0</v>
      </c>
      <c r="AM2045">
        <v>0</v>
      </c>
      <c r="AN2045">
        <v>0</v>
      </c>
      <c r="AO2045">
        <v>0</v>
      </c>
      <c r="AP2045">
        <v>0</v>
      </c>
      <c r="AQ2045">
        <v>41.43</v>
      </c>
      <c r="AR2045">
        <v>0</v>
      </c>
      <c r="AS2045">
        <v>0</v>
      </c>
      <c r="AT2045">
        <v>0</v>
      </c>
      <c r="AU2045">
        <v>0</v>
      </c>
      <c r="AV2045">
        <v>0</v>
      </c>
      <c r="AW2045">
        <v>0</v>
      </c>
      <c r="AX2045">
        <v>0</v>
      </c>
      <c r="AY2045">
        <v>0</v>
      </c>
      <c r="AZ2045">
        <v>0</v>
      </c>
      <c r="BA2045">
        <v>0</v>
      </c>
      <c r="BB2045">
        <v>0</v>
      </c>
      <c r="BC2045">
        <v>0</v>
      </c>
      <c r="BD2045">
        <v>0</v>
      </c>
      <c r="BE2045">
        <v>0</v>
      </c>
      <c r="BF2045">
        <v>0</v>
      </c>
      <c r="BG2045">
        <v>0</v>
      </c>
      <c r="BH2045">
        <v>1</v>
      </c>
      <c r="BI2045">
        <v>1</v>
      </c>
      <c r="BJ2045">
        <v>0.2</v>
      </c>
      <c r="BK2045">
        <v>1</v>
      </c>
      <c r="BL2045">
        <v>135.59</v>
      </c>
      <c r="BM2045">
        <v>20.34</v>
      </c>
      <c r="BN2045">
        <v>155.93</v>
      </c>
      <c r="BO2045">
        <v>155.93</v>
      </c>
      <c r="BQ2045" t="s">
        <v>767</v>
      </c>
      <c r="BR2045" t="s">
        <v>84</v>
      </c>
      <c r="BS2045" s="3">
        <v>45797</v>
      </c>
      <c r="BT2045" s="4">
        <v>0.50208333333333333</v>
      </c>
      <c r="BU2045" t="s">
        <v>768</v>
      </c>
      <c r="BV2045" t="s">
        <v>86</v>
      </c>
      <c r="BY2045">
        <v>1200</v>
      </c>
      <c r="CA2045" t="s">
        <v>128</v>
      </c>
      <c r="CC2045" t="s">
        <v>123</v>
      </c>
      <c r="CD2045">
        <v>7646</v>
      </c>
      <c r="CE2045" t="s">
        <v>88</v>
      </c>
      <c r="CF2045" s="3">
        <v>45798</v>
      </c>
      <c r="CI2045">
        <v>1</v>
      </c>
      <c r="CJ2045">
        <v>1</v>
      </c>
      <c r="CK2045">
        <v>23</v>
      </c>
      <c r="CL2045" t="s">
        <v>89</v>
      </c>
    </row>
    <row r="2046" spans="1:90" x14ac:dyDescent="0.3">
      <c r="A2046" t="s">
        <v>72</v>
      </c>
      <c r="B2046" t="s">
        <v>73</v>
      </c>
      <c r="C2046" t="s">
        <v>74</v>
      </c>
      <c r="E2046" t="str">
        <f>"080065438638"</f>
        <v>080065438638</v>
      </c>
      <c r="F2046" s="3">
        <v>45796</v>
      </c>
      <c r="G2046">
        <v>202602</v>
      </c>
      <c r="H2046" t="s">
        <v>75</v>
      </c>
      <c r="I2046" t="s">
        <v>76</v>
      </c>
      <c r="J2046" t="s">
        <v>77</v>
      </c>
      <c r="K2046" t="s">
        <v>78</v>
      </c>
      <c r="L2046" t="s">
        <v>90</v>
      </c>
      <c r="M2046" t="s">
        <v>91</v>
      </c>
      <c r="N2046" t="s">
        <v>109</v>
      </c>
      <c r="O2046" t="s">
        <v>82</v>
      </c>
      <c r="P2046" t="str">
        <f>"4170039412                    "</f>
        <v xml:space="preserve">4170039412                    </v>
      </c>
      <c r="Q2046">
        <v>0</v>
      </c>
      <c r="R2046">
        <v>0</v>
      </c>
      <c r="S2046">
        <v>0</v>
      </c>
      <c r="T2046">
        <v>0</v>
      </c>
      <c r="U2046">
        <v>0</v>
      </c>
      <c r="V2046">
        <v>0</v>
      </c>
      <c r="W2046">
        <v>0</v>
      </c>
      <c r="X2046">
        <v>0</v>
      </c>
      <c r="Y2046">
        <v>0</v>
      </c>
      <c r="Z2046">
        <v>0</v>
      </c>
      <c r="AA2046">
        <v>0</v>
      </c>
      <c r="AB2046">
        <v>0</v>
      </c>
      <c r="AC2046">
        <v>0</v>
      </c>
      <c r="AD2046">
        <v>0</v>
      </c>
      <c r="AE2046">
        <v>0</v>
      </c>
      <c r="AF2046">
        <v>0</v>
      </c>
      <c r="AG2046">
        <v>0</v>
      </c>
      <c r="AH2046">
        <v>0</v>
      </c>
      <c r="AI2046">
        <v>0</v>
      </c>
      <c r="AJ2046">
        <v>0</v>
      </c>
      <c r="AK2046">
        <v>0</v>
      </c>
      <c r="AL2046">
        <v>0</v>
      </c>
      <c r="AM2046">
        <v>0</v>
      </c>
      <c r="AN2046">
        <v>0</v>
      </c>
      <c r="AO2046">
        <v>0</v>
      </c>
      <c r="AP2046">
        <v>0</v>
      </c>
      <c r="AQ2046">
        <v>21.38</v>
      </c>
      <c r="AR2046">
        <v>0</v>
      </c>
      <c r="AS2046">
        <v>0</v>
      </c>
      <c r="AT2046">
        <v>0</v>
      </c>
      <c r="AU2046">
        <v>0</v>
      </c>
      <c r="AV2046">
        <v>0</v>
      </c>
      <c r="AW2046">
        <v>0</v>
      </c>
      <c r="AX2046">
        <v>0</v>
      </c>
      <c r="AY2046">
        <v>0</v>
      </c>
      <c r="AZ2046">
        <v>0</v>
      </c>
      <c r="BA2046">
        <v>0</v>
      </c>
      <c r="BB2046">
        <v>0</v>
      </c>
      <c r="BC2046">
        <v>0</v>
      </c>
      <c r="BD2046">
        <v>0</v>
      </c>
      <c r="BE2046">
        <v>0</v>
      </c>
      <c r="BF2046">
        <v>0</v>
      </c>
      <c r="BG2046">
        <v>0</v>
      </c>
      <c r="BH2046">
        <v>1</v>
      </c>
      <c r="BI2046">
        <v>1</v>
      </c>
      <c r="BJ2046">
        <v>0.2</v>
      </c>
      <c r="BK2046">
        <v>1</v>
      </c>
      <c r="BL2046">
        <v>69.98</v>
      </c>
      <c r="BM2046">
        <v>10.5</v>
      </c>
      <c r="BN2046">
        <v>80.48</v>
      </c>
      <c r="BO2046">
        <v>80.48</v>
      </c>
      <c r="BQ2046" t="s">
        <v>110</v>
      </c>
      <c r="BR2046" t="s">
        <v>84</v>
      </c>
      <c r="BS2046" s="3">
        <v>45797</v>
      </c>
      <c r="BT2046" s="4">
        <v>0.36875000000000002</v>
      </c>
      <c r="BU2046" t="s">
        <v>2519</v>
      </c>
      <c r="BV2046" t="s">
        <v>86</v>
      </c>
      <c r="BY2046">
        <v>1200</v>
      </c>
      <c r="BZ2046" t="s">
        <v>127</v>
      </c>
      <c r="CA2046" t="s">
        <v>95</v>
      </c>
      <c r="CC2046" t="s">
        <v>91</v>
      </c>
      <c r="CD2046">
        <v>6001</v>
      </c>
      <c r="CE2046" t="s">
        <v>129</v>
      </c>
      <c r="CF2046" s="3">
        <v>45797</v>
      </c>
      <c r="CI2046">
        <v>1</v>
      </c>
      <c r="CJ2046">
        <v>1</v>
      </c>
      <c r="CK2046">
        <v>21</v>
      </c>
      <c r="CL2046" t="s">
        <v>89</v>
      </c>
    </row>
    <row r="2047" spans="1:90" x14ac:dyDescent="0.3">
      <c r="A2047" t="s">
        <v>72</v>
      </c>
      <c r="B2047" t="s">
        <v>73</v>
      </c>
      <c r="C2047" t="s">
        <v>74</v>
      </c>
      <c r="E2047" t="str">
        <f>"080065438661"</f>
        <v>080065438661</v>
      </c>
      <c r="F2047" s="3">
        <v>45796</v>
      </c>
      <c r="G2047">
        <v>202602</v>
      </c>
      <c r="H2047" t="s">
        <v>75</v>
      </c>
      <c r="I2047" t="s">
        <v>76</v>
      </c>
      <c r="J2047" t="s">
        <v>77</v>
      </c>
      <c r="K2047" t="s">
        <v>78</v>
      </c>
      <c r="L2047" t="s">
        <v>463</v>
      </c>
      <c r="M2047" t="s">
        <v>464</v>
      </c>
      <c r="N2047" t="s">
        <v>1260</v>
      </c>
      <c r="O2047" t="s">
        <v>82</v>
      </c>
      <c r="P2047" t="str">
        <f>"4170039359                    "</f>
        <v xml:space="preserve">4170039359                    </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0</v>
      </c>
      <c r="AJ2047">
        <v>0</v>
      </c>
      <c r="AK2047">
        <v>0</v>
      </c>
      <c r="AL2047">
        <v>0</v>
      </c>
      <c r="AM2047">
        <v>0</v>
      </c>
      <c r="AN2047">
        <v>0</v>
      </c>
      <c r="AO2047">
        <v>0</v>
      </c>
      <c r="AP2047">
        <v>0</v>
      </c>
      <c r="AQ2047">
        <v>21.38</v>
      </c>
      <c r="AR2047">
        <v>0</v>
      </c>
      <c r="AS2047">
        <v>0</v>
      </c>
      <c r="AT2047">
        <v>0</v>
      </c>
      <c r="AU2047">
        <v>0</v>
      </c>
      <c r="AV2047">
        <v>0</v>
      </c>
      <c r="AW2047">
        <v>0</v>
      </c>
      <c r="AX2047">
        <v>0</v>
      </c>
      <c r="AY2047">
        <v>0</v>
      </c>
      <c r="AZ2047">
        <v>0</v>
      </c>
      <c r="BA2047">
        <v>0</v>
      </c>
      <c r="BB2047">
        <v>0</v>
      </c>
      <c r="BC2047">
        <v>0</v>
      </c>
      <c r="BD2047">
        <v>0</v>
      </c>
      <c r="BE2047">
        <v>0</v>
      </c>
      <c r="BF2047">
        <v>0</v>
      </c>
      <c r="BG2047">
        <v>0</v>
      </c>
      <c r="BH2047">
        <v>1</v>
      </c>
      <c r="BI2047">
        <v>1</v>
      </c>
      <c r="BJ2047">
        <v>0.2</v>
      </c>
      <c r="BK2047">
        <v>1</v>
      </c>
      <c r="BL2047">
        <v>69.98</v>
      </c>
      <c r="BM2047">
        <v>10.5</v>
      </c>
      <c r="BN2047">
        <v>80.48</v>
      </c>
      <c r="BO2047">
        <v>80.48</v>
      </c>
      <c r="BQ2047" t="s">
        <v>1261</v>
      </c>
      <c r="BR2047" t="s">
        <v>84</v>
      </c>
      <c r="BS2047" s="3">
        <v>45797</v>
      </c>
      <c r="BT2047" s="4">
        <v>0.41666666666666669</v>
      </c>
      <c r="BU2047" t="s">
        <v>2327</v>
      </c>
      <c r="BV2047" t="s">
        <v>86</v>
      </c>
      <c r="BY2047">
        <v>1200</v>
      </c>
      <c r="BZ2047" t="s">
        <v>127</v>
      </c>
      <c r="CA2047" t="s">
        <v>588</v>
      </c>
      <c r="CC2047" t="s">
        <v>464</v>
      </c>
      <c r="CD2047">
        <v>5201</v>
      </c>
      <c r="CE2047" t="s">
        <v>129</v>
      </c>
      <c r="CF2047" s="3">
        <v>45797</v>
      </c>
      <c r="CI2047">
        <v>1</v>
      </c>
      <c r="CJ2047">
        <v>1</v>
      </c>
      <c r="CK2047">
        <v>21</v>
      </c>
      <c r="CL2047" t="s">
        <v>89</v>
      </c>
    </row>
    <row r="2048" spans="1:90" x14ac:dyDescent="0.3">
      <c r="A2048" t="s">
        <v>72</v>
      </c>
      <c r="B2048" t="s">
        <v>73</v>
      </c>
      <c r="C2048" t="s">
        <v>74</v>
      </c>
      <c r="E2048" t="str">
        <f>"080065438692"</f>
        <v>080065438692</v>
      </c>
      <c r="F2048" s="3">
        <v>45796</v>
      </c>
      <c r="G2048">
        <v>202602</v>
      </c>
      <c r="H2048" t="s">
        <v>75</v>
      </c>
      <c r="I2048" t="s">
        <v>76</v>
      </c>
      <c r="J2048" t="s">
        <v>77</v>
      </c>
      <c r="K2048" t="s">
        <v>78</v>
      </c>
      <c r="L2048" t="s">
        <v>79</v>
      </c>
      <c r="M2048" t="s">
        <v>80</v>
      </c>
      <c r="N2048" t="s">
        <v>880</v>
      </c>
      <c r="O2048" t="s">
        <v>82</v>
      </c>
      <c r="P2048" t="str">
        <f>"4170037670                    "</f>
        <v xml:space="preserve">4170037670                    </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0</v>
      </c>
      <c r="AJ2048">
        <v>0</v>
      </c>
      <c r="AK2048">
        <v>0</v>
      </c>
      <c r="AL2048">
        <v>0</v>
      </c>
      <c r="AM2048">
        <v>0</v>
      </c>
      <c r="AN2048">
        <v>0</v>
      </c>
      <c r="AO2048">
        <v>0</v>
      </c>
      <c r="AP2048">
        <v>0</v>
      </c>
      <c r="AQ2048">
        <v>21.38</v>
      </c>
      <c r="AR2048">
        <v>0</v>
      </c>
      <c r="AS2048">
        <v>0</v>
      </c>
      <c r="AT2048">
        <v>0</v>
      </c>
      <c r="AU2048">
        <v>0</v>
      </c>
      <c r="AV2048">
        <v>0</v>
      </c>
      <c r="AW2048">
        <v>0</v>
      </c>
      <c r="AX2048">
        <v>0</v>
      </c>
      <c r="AY2048">
        <v>0</v>
      </c>
      <c r="AZ2048">
        <v>0</v>
      </c>
      <c r="BA2048">
        <v>0</v>
      </c>
      <c r="BB2048">
        <v>0</v>
      </c>
      <c r="BC2048">
        <v>0</v>
      </c>
      <c r="BD2048">
        <v>0</v>
      </c>
      <c r="BE2048">
        <v>0</v>
      </c>
      <c r="BF2048">
        <v>0</v>
      </c>
      <c r="BG2048">
        <v>0</v>
      </c>
      <c r="BH2048">
        <v>1</v>
      </c>
      <c r="BI2048">
        <v>1</v>
      </c>
      <c r="BJ2048">
        <v>0.2</v>
      </c>
      <c r="BK2048">
        <v>1</v>
      </c>
      <c r="BL2048">
        <v>69.98</v>
      </c>
      <c r="BM2048">
        <v>10.5</v>
      </c>
      <c r="BN2048">
        <v>80.48</v>
      </c>
      <c r="BO2048">
        <v>80.48</v>
      </c>
      <c r="BQ2048" t="s">
        <v>881</v>
      </c>
      <c r="BR2048" t="s">
        <v>84</v>
      </c>
      <c r="BS2048" s="3">
        <v>45797</v>
      </c>
      <c r="BT2048" s="4">
        <v>0.41805555555555557</v>
      </c>
      <c r="BU2048" t="s">
        <v>882</v>
      </c>
      <c r="BV2048" t="s">
        <v>86</v>
      </c>
      <c r="BY2048">
        <v>1200</v>
      </c>
      <c r="CA2048" t="s">
        <v>160</v>
      </c>
      <c r="CC2048" t="s">
        <v>80</v>
      </c>
      <c r="CD2048">
        <v>3620</v>
      </c>
      <c r="CE2048" t="s">
        <v>88</v>
      </c>
      <c r="CF2048" s="3">
        <v>45798</v>
      </c>
      <c r="CI2048">
        <v>1</v>
      </c>
      <c r="CJ2048">
        <v>1</v>
      </c>
      <c r="CK2048">
        <v>21</v>
      </c>
      <c r="CL2048" t="s">
        <v>89</v>
      </c>
    </row>
    <row r="2049" spans="1:90" x14ac:dyDescent="0.3">
      <c r="A2049" t="s">
        <v>72</v>
      </c>
      <c r="B2049" t="s">
        <v>73</v>
      </c>
      <c r="C2049" t="s">
        <v>74</v>
      </c>
      <c r="E2049" t="str">
        <f>"080065438735"</f>
        <v>080065438735</v>
      </c>
      <c r="F2049" s="3">
        <v>45796</v>
      </c>
      <c r="G2049">
        <v>202602</v>
      </c>
      <c r="H2049" t="s">
        <v>75</v>
      </c>
      <c r="I2049" t="s">
        <v>76</v>
      </c>
      <c r="J2049" t="s">
        <v>77</v>
      </c>
      <c r="K2049" t="s">
        <v>78</v>
      </c>
      <c r="L2049" t="s">
        <v>90</v>
      </c>
      <c r="M2049" t="s">
        <v>91</v>
      </c>
      <c r="N2049" t="s">
        <v>371</v>
      </c>
      <c r="O2049" t="s">
        <v>82</v>
      </c>
      <c r="P2049" t="str">
        <f>"4170039220                    "</f>
        <v xml:space="preserve">4170039220                    </v>
      </c>
      <c r="Q2049">
        <v>0</v>
      </c>
      <c r="R2049">
        <v>0</v>
      </c>
      <c r="S2049">
        <v>0</v>
      </c>
      <c r="T2049">
        <v>0</v>
      </c>
      <c r="U2049">
        <v>0</v>
      </c>
      <c r="V2049">
        <v>0</v>
      </c>
      <c r="W2049">
        <v>0</v>
      </c>
      <c r="X2049">
        <v>0</v>
      </c>
      <c r="Y2049">
        <v>0</v>
      </c>
      <c r="Z2049">
        <v>0</v>
      </c>
      <c r="AA2049">
        <v>0</v>
      </c>
      <c r="AB2049">
        <v>0</v>
      </c>
      <c r="AC2049">
        <v>0</v>
      </c>
      <c r="AD2049">
        <v>0</v>
      </c>
      <c r="AE2049">
        <v>0</v>
      </c>
      <c r="AF2049">
        <v>0</v>
      </c>
      <c r="AG2049">
        <v>0</v>
      </c>
      <c r="AH2049">
        <v>0</v>
      </c>
      <c r="AI2049">
        <v>0</v>
      </c>
      <c r="AJ2049">
        <v>0</v>
      </c>
      <c r="AK2049">
        <v>0</v>
      </c>
      <c r="AL2049">
        <v>0</v>
      </c>
      <c r="AM2049">
        <v>0</v>
      </c>
      <c r="AN2049">
        <v>0</v>
      </c>
      <c r="AO2049">
        <v>0</v>
      </c>
      <c r="AP2049">
        <v>0</v>
      </c>
      <c r="AQ2049">
        <v>21.38</v>
      </c>
      <c r="AR2049">
        <v>0</v>
      </c>
      <c r="AS2049">
        <v>0</v>
      </c>
      <c r="AT2049">
        <v>0</v>
      </c>
      <c r="AU2049">
        <v>0</v>
      </c>
      <c r="AV2049">
        <v>0</v>
      </c>
      <c r="AW2049">
        <v>0</v>
      </c>
      <c r="AX2049">
        <v>0</v>
      </c>
      <c r="AY2049">
        <v>0</v>
      </c>
      <c r="AZ2049">
        <v>0</v>
      </c>
      <c r="BA2049">
        <v>0</v>
      </c>
      <c r="BB2049">
        <v>0</v>
      </c>
      <c r="BC2049">
        <v>0</v>
      </c>
      <c r="BD2049">
        <v>0</v>
      </c>
      <c r="BE2049">
        <v>0</v>
      </c>
      <c r="BF2049">
        <v>0</v>
      </c>
      <c r="BG2049">
        <v>0</v>
      </c>
      <c r="BH2049">
        <v>1</v>
      </c>
      <c r="BI2049">
        <v>1</v>
      </c>
      <c r="BJ2049">
        <v>0.2</v>
      </c>
      <c r="BK2049">
        <v>1</v>
      </c>
      <c r="BL2049">
        <v>69.98</v>
      </c>
      <c r="BM2049">
        <v>10.5</v>
      </c>
      <c r="BN2049">
        <v>80.48</v>
      </c>
      <c r="BO2049">
        <v>80.48</v>
      </c>
      <c r="BQ2049" t="s">
        <v>372</v>
      </c>
      <c r="BR2049" t="s">
        <v>84</v>
      </c>
      <c r="BS2049" s="3">
        <v>45797</v>
      </c>
      <c r="BT2049" s="4">
        <v>0.43055555555555558</v>
      </c>
      <c r="BU2049" t="s">
        <v>954</v>
      </c>
      <c r="BV2049" t="s">
        <v>86</v>
      </c>
      <c r="BY2049">
        <v>1200</v>
      </c>
      <c r="CA2049" t="s">
        <v>298</v>
      </c>
      <c r="CC2049" t="s">
        <v>91</v>
      </c>
      <c r="CD2049">
        <v>6001</v>
      </c>
      <c r="CE2049" t="s">
        <v>88</v>
      </c>
      <c r="CF2049" s="3">
        <v>45797</v>
      </c>
      <c r="CI2049">
        <v>1</v>
      </c>
      <c r="CJ2049">
        <v>1</v>
      </c>
      <c r="CK2049">
        <v>21</v>
      </c>
      <c r="CL2049" t="s">
        <v>89</v>
      </c>
    </row>
    <row r="2050" spans="1:90" x14ac:dyDescent="0.3">
      <c r="A2050" t="s">
        <v>72</v>
      </c>
      <c r="B2050" t="s">
        <v>73</v>
      </c>
      <c r="C2050" t="s">
        <v>74</v>
      </c>
      <c r="E2050" t="str">
        <f>"080065438797"</f>
        <v>080065438797</v>
      </c>
      <c r="F2050" s="3">
        <v>45796</v>
      </c>
      <c r="G2050">
        <v>202602</v>
      </c>
      <c r="H2050" t="s">
        <v>75</v>
      </c>
      <c r="I2050" t="s">
        <v>76</v>
      </c>
      <c r="J2050" t="s">
        <v>77</v>
      </c>
      <c r="K2050" t="s">
        <v>78</v>
      </c>
      <c r="L2050" t="s">
        <v>117</v>
      </c>
      <c r="M2050" t="s">
        <v>118</v>
      </c>
      <c r="N2050" t="s">
        <v>921</v>
      </c>
      <c r="O2050" t="s">
        <v>82</v>
      </c>
      <c r="P2050" t="str">
        <f>"4170039161                    "</f>
        <v xml:space="preserve">4170039161                    </v>
      </c>
      <c r="Q2050">
        <v>0</v>
      </c>
      <c r="R2050">
        <v>0</v>
      </c>
      <c r="S2050">
        <v>0</v>
      </c>
      <c r="T2050">
        <v>0</v>
      </c>
      <c r="U2050">
        <v>0</v>
      </c>
      <c r="V2050">
        <v>0</v>
      </c>
      <c r="W2050">
        <v>0</v>
      </c>
      <c r="X2050">
        <v>0</v>
      </c>
      <c r="Y2050">
        <v>0</v>
      </c>
      <c r="Z2050">
        <v>0</v>
      </c>
      <c r="AA2050">
        <v>0</v>
      </c>
      <c r="AB2050">
        <v>0</v>
      </c>
      <c r="AC2050">
        <v>0</v>
      </c>
      <c r="AD2050">
        <v>0</v>
      </c>
      <c r="AE2050">
        <v>0</v>
      </c>
      <c r="AF2050">
        <v>0</v>
      </c>
      <c r="AG2050">
        <v>0</v>
      </c>
      <c r="AH2050">
        <v>0</v>
      </c>
      <c r="AI2050">
        <v>0</v>
      </c>
      <c r="AJ2050">
        <v>0</v>
      </c>
      <c r="AK2050">
        <v>0</v>
      </c>
      <c r="AL2050">
        <v>0</v>
      </c>
      <c r="AM2050">
        <v>0</v>
      </c>
      <c r="AN2050">
        <v>0</v>
      </c>
      <c r="AO2050">
        <v>0</v>
      </c>
      <c r="AP2050">
        <v>0</v>
      </c>
      <c r="AQ2050">
        <v>16.7</v>
      </c>
      <c r="AR2050">
        <v>0</v>
      </c>
      <c r="AS2050">
        <v>0</v>
      </c>
      <c r="AT2050">
        <v>0</v>
      </c>
      <c r="AU2050">
        <v>0</v>
      </c>
      <c r="AV2050">
        <v>0</v>
      </c>
      <c r="AW2050">
        <v>0</v>
      </c>
      <c r="AX2050">
        <v>0</v>
      </c>
      <c r="AY2050">
        <v>0</v>
      </c>
      <c r="AZ2050">
        <v>0</v>
      </c>
      <c r="BA2050">
        <v>0</v>
      </c>
      <c r="BB2050">
        <v>0</v>
      </c>
      <c r="BC2050">
        <v>0</v>
      </c>
      <c r="BD2050">
        <v>0</v>
      </c>
      <c r="BE2050">
        <v>0</v>
      </c>
      <c r="BF2050">
        <v>0</v>
      </c>
      <c r="BG2050">
        <v>0</v>
      </c>
      <c r="BH2050">
        <v>1</v>
      </c>
      <c r="BI2050">
        <v>1</v>
      </c>
      <c r="BJ2050">
        <v>0.2</v>
      </c>
      <c r="BK2050">
        <v>1</v>
      </c>
      <c r="BL2050">
        <v>54.66</v>
      </c>
      <c r="BM2050">
        <v>8.1999999999999993</v>
      </c>
      <c r="BN2050">
        <v>62.86</v>
      </c>
      <c r="BO2050">
        <v>62.86</v>
      </c>
      <c r="BQ2050" t="s">
        <v>922</v>
      </c>
      <c r="BR2050" t="s">
        <v>84</v>
      </c>
      <c r="BS2050" s="3">
        <v>45797</v>
      </c>
      <c r="BT2050" s="4">
        <v>0.37569444444444444</v>
      </c>
      <c r="BU2050" t="s">
        <v>923</v>
      </c>
      <c r="BV2050" t="s">
        <v>86</v>
      </c>
      <c r="BY2050">
        <v>1200</v>
      </c>
      <c r="CA2050" t="s">
        <v>924</v>
      </c>
      <c r="CC2050" t="s">
        <v>118</v>
      </c>
      <c r="CD2050">
        <v>2091</v>
      </c>
      <c r="CE2050" t="s">
        <v>88</v>
      </c>
      <c r="CF2050" s="3">
        <v>45798</v>
      </c>
      <c r="CI2050">
        <v>1</v>
      </c>
      <c r="CJ2050">
        <v>1</v>
      </c>
      <c r="CK2050">
        <v>22</v>
      </c>
      <c r="CL2050" t="s">
        <v>89</v>
      </c>
    </row>
    <row r="2051" spans="1:90" x14ac:dyDescent="0.3">
      <c r="A2051" t="s">
        <v>72</v>
      </c>
      <c r="B2051" t="s">
        <v>73</v>
      </c>
      <c r="C2051" t="s">
        <v>74</v>
      </c>
      <c r="E2051" t="str">
        <f>"080065438840"</f>
        <v>080065438840</v>
      </c>
      <c r="F2051" s="3">
        <v>45796</v>
      </c>
      <c r="G2051">
        <v>202602</v>
      </c>
      <c r="H2051" t="s">
        <v>75</v>
      </c>
      <c r="I2051" t="s">
        <v>76</v>
      </c>
      <c r="J2051" t="s">
        <v>77</v>
      </c>
      <c r="K2051" t="s">
        <v>78</v>
      </c>
      <c r="L2051" t="s">
        <v>463</v>
      </c>
      <c r="M2051" t="s">
        <v>464</v>
      </c>
      <c r="N2051" t="s">
        <v>585</v>
      </c>
      <c r="O2051" t="s">
        <v>82</v>
      </c>
      <c r="P2051" t="str">
        <f>"4170039317                    "</f>
        <v xml:space="preserve">4170039317                    </v>
      </c>
      <c r="Q2051">
        <v>0</v>
      </c>
      <c r="R2051">
        <v>0</v>
      </c>
      <c r="S2051">
        <v>0</v>
      </c>
      <c r="T2051">
        <v>0</v>
      </c>
      <c r="U2051">
        <v>0</v>
      </c>
      <c r="V2051">
        <v>0</v>
      </c>
      <c r="W2051">
        <v>0</v>
      </c>
      <c r="X2051">
        <v>0</v>
      </c>
      <c r="Y2051">
        <v>0</v>
      </c>
      <c r="Z2051">
        <v>0</v>
      </c>
      <c r="AA2051">
        <v>0</v>
      </c>
      <c r="AB2051">
        <v>0</v>
      </c>
      <c r="AC2051">
        <v>0</v>
      </c>
      <c r="AD2051">
        <v>0</v>
      </c>
      <c r="AE2051">
        <v>0</v>
      </c>
      <c r="AF2051">
        <v>0</v>
      </c>
      <c r="AG2051">
        <v>0</v>
      </c>
      <c r="AH2051">
        <v>0</v>
      </c>
      <c r="AI2051">
        <v>0</v>
      </c>
      <c r="AJ2051">
        <v>0</v>
      </c>
      <c r="AK2051">
        <v>0</v>
      </c>
      <c r="AL2051">
        <v>0</v>
      </c>
      <c r="AM2051">
        <v>0</v>
      </c>
      <c r="AN2051">
        <v>0</v>
      </c>
      <c r="AO2051">
        <v>0</v>
      </c>
      <c r="AP2051">
        <v>0</v>
      </c>
      <c r="AQ2051">
        <v>21.38</v>
      </c>
      <c r="AR2051">
        <v>0</v>
      </c>
      <c r="AS2051">
        <v>0</v>
      </c>
      <c r="AT2051">
        <v>0</v>
      </c>
      <c r="AU2051">
        <v>0</v>
      </c>
      <c r="AV2051">
        <v>0</v>
      </c>
      <c r="AW2051">
        <v>0</v>
      </c>
      <c r="AX2051">
        <v>0</v>
      </c>
      <c r="AY2051">
        <v>0</v>
      </c>
      <c r="AZ2051">
        <v>0</v>
      </c>
      <c r="BA2051">
        <v>0</v>
      </c>
      <c r="BB2051">
        <v>0</v>
      </c>
      <c r="BC2051">
        <v>0</v>
      </c>
      <c r="BD2051">
        <v>0</v>
      </c>
      <c r="BE2051">
        <v>0</v>
      </c>
      <c r="BF2051">
        <v>0</v>
      </c>
      <c r="BG2051">
        <v>0</v>
      </c>
      <c r="BH2051">
        <v>1</v>
      </c>
      <c r="BI2051">
        <v>1</v>
      </c>
      <c r="BJ2051">
        <v>0.2</v>
      </c>
      <c r="BK2051">
        <v>1</v>
      </c>
      <c r="BL2051">
        <v>69.98</v>
      </c>
      <c r="BM2051">
        <v>10.5</v>
      </c>
      <c r="BN2051">
        <v>80.48</v>
      </c>
      <c r="BO2051">
        <v>80.48</v>
      </c>
      <c r="BQ2051" t="s">
        <v>586</v>
      </c>
      <c r="BR2051" t="s">
        <v>84</v>
      </c>
      <c r="BS2051" s="3">
        <v>45797</v>
      </c>
      <c r="BT2051" s="4">
        <v>0.45069444444444445</v>
      </c>
      <c r="BU2051" t="s">
        <v>2297</v>
      </c>
      <c r="BV2051" t="s">
        <v>89</v>
      </c>
      <c r="BY2051">
        <v>1200</v>
      </c>
      <c r="CA2051" t="s">
        <v>588</v>
      </c>
      <c r="CC2051" t="s">
        <v>464</v>
      </c>
      <c r="CD2051">
        <v>5201</v>
      </c>
      <c r="CE2051" t="s">
        <v>88</v>
      </c>
      <c r="CF2051" s="3">
        <v>45797</v>
      </c>
      <c r="CI2051">
        <v>1</v>
      </c>
      <c r="CJ2051">
        <v>1</v>
      </c>
      <c r="CK2051">
        <v>21</v>
      </c>
      <c r="CL2051" t="s">
        <v>89</v>
      </c>
    </row>
    <row r="2052" spans="1:90" x14ac:dyDescent="0.3">
      <c r="A2052" t="s">
        <v>72</v>
      </c>
      <c r="B2052" t="s">
        <v>73</v>
      </c>
      <c r="C2052" t="s">
        <v>74</v>
      </c>
      <c r="E2052" t="str">
        <f>"080065439043"</f>
        <v>080065439043</v>
      </c>
      <c r="F2052" s="3">
        <v>45796</v>
      </c>
      <c r="G2052">
        <v>202602</v>
      </c>
      <c r="H2052" t="s">
        <v>75</v>
      </c>
      <c r="I2052" t="s">
        <v>76</v>
      </c>
      <c r="J2052" t="s">
        <v>77</v>
      </c>
      <c r="K2052" t="s">
        <v>78</v>
      </c>
      <c r="L2052" t="s">
        <v>610</v>
      </c>
      <c r="M2052" t="s">
        <v>611</v>
      </c>
      <c r="N2052" t="s">
        <v>612</v>
      </c>
      <c r="O2052" t="s">
        <v>82</v>
      </c>
      <c r="P2052" t="str">
        <f>"4170039232                    "</f>
        <v xml:space="preserve">4170039232                    </v>
      </c>
      <c r="Q2052">
        <v>0</v>
      </c>
      <c r="R2052">
        <v>0</v>
      </c>
      <c r="S2052">
        <v>0</v>
      </c>
      <c r="T2052">
        <v>0</v>
      </c>
      <c r="U2052">
        <v>0</v>
      </c>
      <c r="V2052">
        <v>0</v>
      </c>
      <c r="W2052">
        <v>0</v>
      </c>
      <c r="X2052">
        <v>0</v>
      </c>
      <c r="Y2052">
        <v>0</v>
      </c>
      <c r="Z2052">
        <v>0</v>
      </c>
      <c r="AA2052">
        <v>0</v>
      </c>
      <c r="AB2052">
        <v>0</v>
      </c>
      <c r="AC2052">
        <v>0</v>
      </c>
      <c r="AD2052">
        <v>0</v>
      </c>
      <c r="AE2052">
        <v>0</v>
      </c>
      <c r="AF2052">
        <v>0</v>
      </c>
      <c r="AG2052">
        <v>0</v>
      </c>
      <c r="AH2052">
        <v>0</v>
      </c>
      <c r="AI2052">
        <v>0</v>
      </c>
      <c r="AJ2052">
        <v>0</v>
      </c>
      <c r="AK2052">
        <v>0</v>
      </c>
      <c r="AL2052">
        <v>0</v>
      </c>
      <c r="AM2052">
        <v>0</v>
      </c>
      <c r="AN2052">
        <v>0</v>
      </c>
      <c r="AO2052">
        <v>0</v>
      </c>
      <c r="AP2052">
        <v>0</v>
      </c>
      <c r="AQ2052">
        <v>41.43</v>
      </c>
      <c r="AR2052">
        <v>0</v>
      </c>
      <c r="AS2052">
        <v>0</v>
      </c>
      <c r="AT2052">
        <v>0</v>
      </c>
      <c r="AU2052">
        <v>0</v>
      </c>
      <c r="AV2052">
        <v>0</v>
      </c>
      <c r="AW2052">
        <v>0</v>
      </c>
      <c r="AX2052">
        <v>0</v>
      </c>
      <c r="AY2052">
        <v>0</v>
      </c>
      <c r="AZ2052">
        <v>0</v>
      </c>
      <c r="BA2052">
        <v>0</v>
      </c>
      <c r="BB2052">
        <v>0</v>
      </c>
      <c r="BC2052">
        <v>0</v>
      </c>
      <c r="BD2052">
        <v>0</v>
      </c>
      <c r="BE2052">
        <v>0</v>
      </c>
      <c r="BF2052">
        <v>0</v>
      </c>
      <c r="BG2052">
        <v>0</v>
      </c>
      <c r="BH2052">
        <v>1</v>
      </c>
      <c r="BI2052">
        <v>1</v>
      </c>
      <c r="BJ2052">
        <v>0.2</v>
      </c>
      <c r="BK2052">
        <v>1</v>
      </c>
      <c r="BL2052">
        <v>135.59</v>
      </c>
      <c r="BM2052">
        <v>20.34</v>
      </c>
      <c r="BN2052">
        <v>155.93</v>
      </c>
      <c r="BO2052">
        <v>155.93</v>
      </c>
      <c r="BQ2052" t="s">
        <v>613</v>
      </c>
      <c r="BR2052" t="s">
        <v>84</v>
      </c>
      <c r="BS2052" s="3">
        <v>45797</v>
      </c>
      <c r="BT2052" s="4">
        <v>0.45</v>
      </c>
      <c r="BU2052" t="s">
        <v>2520</v>
      </c>
      <c r="BV2052" t="s">
        <v>86</v>
      </c>
      <c r="BY2052">
        <v>1200</v>
      </c>
      <c r="CC2052" t="s">
        <v>611</v>
      </c>
      <c r="CD2052">
        <v>7349</v>
      </c>
      <c r="CE2052" t="s">
        <v>88</v>
      </c>
      <c r="CF2052" s="3">
        <v>45798</v>
      </c>
      <c r="CI2052">
        <v>1</v>
      </c>
      <c r="CJ2052">
        <v>1</v>
      </c>
      <c r="CK2052">
        <v>23</v>
      </c>
      <c r="CL2052" t="s">
        <v>89</v>
      </c>
    </row>
    <row r="2053" spans="1:90" x14ac:dyDescent="0.3">
      <c r="A2053" t="s">
        <v>72</v>
      </c>
      <c r="B2053" t="s">
        <v>73</v>
      </c>
      <c r="C2053" t="s">
        <v>74</v>
      </c>
      <c r="E2053" t="str">
        <f>"080065439069"</f>
        <v>080065439069</v>
      </c>
      <c r="F2053" s="3">
        <v>45796</v>
      </c>
      <c r="G2053">
        <v>202602</v>
      </c>
      <c r="H2053" t="s">
        <v>75</v>
      </c>
      <c r="I2053" t="s">
        <v>76</v>
      </c>
      <c r="J2053" t="s">
        <v>77</v>
      </c>
      <c r="K2053" t="s">
        <v>78</v>
      </c>
      <c r="L2053" t="s">
        <v>648</v>
      </c>
      <c r="M2053" t="s">
        <v>649</v>
      </c>
      <c r="N2053" t="s">
        <v>695</v>
      </c>
      <c r="O2053" t="s">
        <v>82</v>
      </c>
      <c r="P2053" t="str">
        <f>"4170039129                    "</f>
        <v xml:space="preserve">4170039129                    </v>
      </c>
      <c r="Q2053">
        <v>0</v>
      </c>
      <c r="R2053">
        <v>0</v>
      </c>
      <c r="S2053">
        <v>0</v>
      </c>
      <c r="T2053">
        <v>0</v>
      </c>
      <c r="U2053">
        <v>0</v>
      </c>
      <c r="V2053">
        <v>0</v>
      </c>
      <c r="W2053">
        <v>0</v>
      </c>
      <c r="X2053">
        <v>0</v>
      </c>
      <c r="Y2053">
        <v>0</v>
      </c>
      <c r="Z2053">
        <v>0</v>
      </c>
      <c r="AA2053">
        <v>0</v>
      </c>
      <c r="AB2053">
        <v>0</v>
      </c>
      <c r="AC2053">
        <v>0</v>
      </c>
      <c r="AD2053">
        <v>0</v>
      </c>
      <c r="AE2053">
        <v>0</v>
      </c>
      <c r="AF2053">
        <v>0</v>
      </c>
      <c r="AG2053">
        <v>0</v>
      </c>
      <c r="AH2053">
        <v>0</v>
      </c>
      <c r="AI2053">
        <v>0</v>
      </c>
      <c r="AJ2053">
        <v>0</v>
      </c>
      <c r="AK2053">
        <v>0</v>
      </c>
      <c r="AL2053">
        <v>0</v>
      </c>
      <c r="AM2053">
        <v>0</v>
      </c>
      <c r="AN2053">
        <v>0</v>
      </c>
      <c r="AO2053">
        <v>0</v>
      </c>
      <c r="AP2053">
        <v>0</v>
      </c>
      <c r="AQ2053">
        <v>16.7</v>
      </c>
      <c r="AR2053">
        <v>0</v>
      </c>
      <c r="AS2053">
        <v>0</v>
      </c>
      <c r="AT2053">
        <v>0</v>
      </c>
      <c r="AU2053">
        <v>0</v>
      </c>
      <c r="AV2053">
        <v>0</v>
      </c>
      <c r="AW2053">
        <v>0</v>
      </c>
      <c r="AX2053">
        <v>0</v>
      </c>
      <c r="AY2053">
        <v>0</v>
      </c>
      <c r="AZ2053">
        <v>0</v>
      </c>
      <c r="BA2053">
        <v>0</v>
      </c>
      <c r="BB2053">
        <v>0</v>
      </c>
      <c r="BC2053">
        <v>0</v>
      </c>
      <c r="BD2053">
        <v>0</v>
      </c>
      <c r="BE2053">
        <v>0</v>
      </c>
      <c r="BF2053">
        <v>0</v>
      </c>
      <c r="BG2053">
        <v>0</v>
      </c>
      <c r="BH2053">
        <v>1</v>
      </c>
      <c r="BI2053">
        <v>3</v>
      </c>
      <c r="BJ2053">
        <v>1.1000000000000001</v>
      </c>
      <c r="BK2053">
        <v>3</v>
      </c>
      <c r="BL2053">
        <v>54.66</v>
      </c>
      <c r="BM2053">
        <v>8.1999999999999993</v>
      </c>
      <c r="BN2053">
        <v>62.86</v>
      </c>
      <c r="BO2053">
        <v>62.86</v>
      </c>
      <c r="BQ2053" t="s">
        <v>696</v>
      </c>
      <c r="BR2053" t="s">
        <v>84</v>
      </c>
      <c r="BS2053" s="3">
        <v>45797</v>
      </c>
      <c r="BT2053" s="4">
        <v>0.42499999999999999</v>
      </c>
      <c r="BU2053" t="s">
        <v>697</v>
      </c>
      <c r="BV2053" t="s">
        <v>86</v>
      </c>
      <c r="BY2053">
        <v>5320</v>
      </c>
      <c r="CA2053" t="s">
        <v>698</v>
      </c>
      <c r="CC2053" t="s">
        <v>649</v>
      </c>
      <c r="CD2053">
        <v>1559</v>
      </c>
      <c r="CE2053" t="s">
        <v>116</v>
      </c>
      <c r="CF2053" s="3">
        <v>45797</v>
      </c>
      <c r="CI2053">
        <v>1</v>
      </c>
      <c r="CJ2053">
        <v>1</v>
      </c>
      <c r="CK2053">
        <v>22</v>
      </c>
      <c r="CL2053" t="s">
        <v>89</v>
      </c>
    </row>
    <row r="2054" spans="1:90" x14ac:dyDescent="0.3">
      <c r="A2054" t="s">
        <v>72</v>
      </c>
      <c r="B2054" t="s">
        <v>73</v>
      </c>
      <c r="C2054" t="s">
        <v>74</v>
      </c>
      <c r="E2054" t="str">
        <f>"080065439108"</f>
        <v>080065439108</v>
      </c>
      <c r="F2054" s="3">
        <v>45796</v>
      </c>
      <c r="G2054">
        <v>202602</v>
      </c>
      <c r="H2054" t="s">
        <v>75</v>
      </c>
      <c r="I2054" t="s">
        <v>76</v>
      </c>
      <c r="J2054" t="s">
        <v>77</v>
      </c>
      <c r="K2054" t="s">
        <v>78</v>
      </c>
      <c r="L2054" t="s">
        <v>463</v>
      </c>
      <c r="M2054" t="s">
        <v>464</v>
      </c>
      <c r="N2054" t="s">
        <v>636</v>
      </c>
      <c r="O2054" t="s">
        <v>82</v>
      </c>
      <c r="P2054" t="str">
        <f>"4170039134                    "</f>
        <v xml:space="preserve">4170039134                    </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0</v>
      </c>
      <c r="AJ2054">
        <v>0</v>
      </c>
      <c r="AK2054">
        <v>0</v>
      </c>
      <c r="AL2054">
        <v>0</v>
      </c>
      <c r="AM2054">
        <v>0</v>
      </c>
      <c r="AN2054">
        <v>0</v>
      </c>
      <c r="AO2054">
        <v>0</v>
      </c>
      <c r="AP2054">
        <v>0</v>
      </c>
      <c r="AQ2054">
        <v>58.78</v>
      </c>
      <c r="AR2054">
        <v>0</v>
      </c>
      <c r="AS2054">
        <v>0</v>
      </c>
      <c r="AT2054">
        <v>0</v>
      </c>
      <c r="AU2054">
        <v>0</v>
      </c>
      <c r="AV2054">
        <v>0</v>
      </c>
      <c r="AW2054">
        <v>0</v>
      </c>
      <c r="AX2054">
        <v>0</v>
      </c>
      <c r="AY2054">
        <v>0</v>
      </c>
      <c r="AZ2054">
        <v>0</v>
      </c>
      <c r="BA2054">
        <v>0</v>
      </c>
      <c r="BB2054">
        <v>0</v>
      </c>
      <c r="BC2054">
        <v>0</v>
      </c>
      <c r="BD2054">
        <v>0</v>
      </c>
      <c r="BE2054">
        <v>0</v>
      </c>
      <c r="BF2054">
        <v>0</v>
      </c>
      <c r="BG2054">
        <v>0</v>
      </c>
      <c r="BH2054">
        <v>1</v>
      </c>
      <c r="BI2054">
        <v>3</v>
      </c>
      <c r="BJ2054">
        <v>5.0999999999999996</v>
      </c>
      <c r="BK2054">
        <v>5.5</v>
      </c>
      <c r="BL2054">
        <v>192.36</v>
      </c>
      <c r="BM2054">
        <v>28.85</v>
      </c>
      <c r="BN2054">
        <v>221.21</v>
      </c>
      <c r="BO2054">
        <v>221.21</v>
      </c>
      <c r="BQ2054" t="s">
        <v>637</v>
      </c>
      <c r="BR2054" t="s">
        <v>84</v>
      </c>
      <c r="BS2054" s="3">
        <v>45797</v>
      </c>
      <c r="BT2054" s="4">
        <v>0.52916666666666667</v>
      </c>
      <c r="BU2054" t="s">
        <v>1948</v>
      </c>
      <c r="BV2054" t="s">
        <v>86</v>
      </c>
      <c r="BY2054">
        <v>25300</v>
      </c>
      <c r="CA2054" t="s">
        <v>468</v>
      </c>
      <c r="CC2054" t="s">
        <v>464</v>
      </c>
      <c r="CD2054">
        <v>5201</v>
      </c>
      <c r="CE2054" t="s">
        <v>96</v>
      </c>
      <c r="CF2054" s="3">
        <v>45797</v>
      </c>
      <c r="CI2054">
        <v>5</v>
      </c>
      <c r="CJ2054">
        <v>1</v>
      </c>
      <c r="CK2054">
        <v>21</v>
      </c>
      <c r="CL2054" t="s">
        <v>89</v>
      </c>
    </row>
    <row r="2055" spans="1:90" x14ac:dyDescent="0.3">
      <c r="A2055" t="s">
        <v>72</v>
      </c>
      <c r="B2055" t="s">
        <v>73</v>
      </c>
      <c r="C2055" t="s">
        <v>74</v>
      </c>
      <c r="E2055" t="str">
        <f>"080065439236"</f>
        <v>080065439236</v>
      </c>
      <c r="F2055" s="3">
        <v>45796</v>
      </c>
      <c r="G2055">
        <v>202602</v>
      </c>
      <c r="H2055" t="s">
        <v>75</v>
      </c>
      <c r="I2055" t="s">
        <v>76</v>
      </c>
      <c r="J2055" t="s">
        <v>77</v>
      </c>
      <c r="K2055" t="s">
        <v>78</v>
      </c>
      <c r="L2055" t="s">
        <v>97</v>
      </c>
      <c r="M2055" t="s">
        <v>98</v>
      </c>
      <c r="N2055" t="s">
        <v>2521</v>
      </c>
      <c r="O2055" t="s">
        <v>82</v>
      </c>
      <c r="P2055" t="str">
        <f>"4170039277                    "</f>
        <v xml:space="preserve">4170039277                    </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0</v>
      </c>
      <c r="AJ2055">
        <v>0</v>
      </c>
      <c r="AK2055">
        <v>0</v>
      </c>
      <c r="AL2055">
        <v>0</v>
      </c>
      <c r="AM2055">
        <v>0</v>
      </c>
      <c r="AN2055">
        <v>0</v>
      </c>
      <c r="AO2055">
        <v>0</v>
      </c>
      <c r="AP2055">
        <v>0</v>
      </c>
      <c r="AQ2055">
        <v>16.7</v>
      </c>
      <c r="AR2055">
        <v>0</v>
      </c>
      <c r="AS2055">
        <v>0</v>
      </c>
      <c r="AT2055">
        <v>0</v>
      </c>
      <c r="AU2055">
        <v>0</v>
      </c>
      <c r="AV2055">
        <v>0</v>
      </c>
      <c r="AW2055">
        <v>0</v>
      </c>
      <c r="AX2055">
        <v>0</v>
      </c>
      <c r="AY2055">
        <v>0</v>
      </c>
      <c r="AZ2055">
        <v>0</v>
      </c>
      <c r="BA2055">
        <v>0</v>
      </c>
      <c r="BB2055">
        <v>0</v>
      </c>
      <c r="BC2055">
        <v>0</v>
      </c>
      <c r="BD2055">
        <v>0</v>
      </c>
      <c r="BE2055">
        <v>0</v>
      </c>
      <c r="BF2055">
        <v>0</v>
      </c>
      <c r="BG2055">
        <v>0</v>
      </c>
      <c r="BH2055">
        <v>1</v>
      </c>
      <c r="BI2055">
        <v>1</v>
      </c>
      <c r="BJ2055">
        <v>1.1000000000000001</v>
      </c>
      <c r="BK2055">
        <v>2</v>
      </c>
      <c r="BL2055">
        <v>54.66</v>
      </c>
      <c r="BM2055">
        <v>8.1999999999999993</v>
      </c>
      <c r="BN2055">
        <v>62.86</v>
      </c>
      <c r="BO2055">
        <v>62.86</v>
      </c>
      <c r="BQ2055" t="s">
        <v>1025</v>
      </c>
      <c r="BR2055" t="s">
        <v>84</v>
      </c>
      <c r="BS2055" s="3">
        <v>45797</v>
      </c>
      <c r="BT2055" s="4">
        <v>0.32361111111111113</v>
      </c>
      <c r="BU2055" t="s">
        <v>2522</v>
      </c>
      <c r="BV2055" t="s">
        <v>86</v>
      </c>
      <c r="BY2055">
        <v>5320</v>
      </c>
      <c r="CA2055" t="s">
        <v>279</v>
      </c>
      <c r="CC2055" t="s">
        <v>98</v>
      </c>
      <c r="CD2055">
        <v>1459</v>
      </c>
      <c r="CE2055" t="s">
        <v>116</v>
      </c>
      <c r="CF2055" s="3">
        <v>45797</v>
      </c>
      <c r="CI2055">
        <v>1</v>
      </c>
      <c r="CJ2055">
        <v>1</v>
      </c>
      <c r="CK2055">
        <v>22</v>
      </c>
      <c r="CL2055" t="s">
        <v>89</v>
      </c>
    </row>
    <row r="2056" spans="1:90" x14ac:dyDescent="0.3">
      <c r="A2056" t="s">
        <v>72</v>
      </c>
      <c r="B2056" t="s">
        <v>73</v>
      </c>
      <c r="C2056" t="s">
        <v>74</v>
      </c>
      <c r="E2056" t="str">
        <f>"080065439284"</f>
        <v>080065439284</v>
      </c>
      <c r="F2056" s="3">
        <v>45796</v>
      </c>
      <c r="G2056">
        <v>202602</v>
      </c>
      <c r="H2056" t="s">
        <v>75</v>
      </c>
      <c r="I2056" t="s">
        <v>76</v>
      </c>
      <c r="J2056" t="s">
        <v>77</v>
      </c>
      <c r="K2056" t="s">
        <v>78</v>
      </c>
      <c r="L2056" t="s">
        <v>90</v>
      </c>
      <c r="M2056" t="s">
        <v>91</v>
      </c>
      <c r="N2056" t="s">
        <v>371</v>
      </c>
      <c r="O2056" t="s">
        <v>82</v>
      </c>
      <c r="P2056" t="str">
        <f>"4170039273                    "</f>
        <v xml:space="preserve">4170039273                    </v>
      </c>
      <c r="Q2056">
        <v>0</v>
      </c>
      <c r="R2056">
        <v>0</v>
      </c>
      <c r="S2056">
        <v>0</v>
      </c>
      <c r="T2056">
        <v>0</v>
      </c>
      <c r="U2056">
        <v>0</v>
      </c>
      <c r="V2056">
        <v>0</v>
      </c>
      <c r="W2056">
        <v>0</v>
      </c>
      <c r="X2056">
        <v>0</v>
      </c>
      <c r="Y2056">
        <v>0</v>
      </c>
      <c r="Z2056">
        <v>0</v>
      </c>
      <c r="AA2056">
        <v>0</v>
      </c>
      <c r="AB2056">
        <v>0</v>
      </c>
      <c r="AC2056">
        <v>0</v>
      </c>
      <c r="AD2056">
        <v>0</v>
      </c>
      <c r="AE2056">
        <v>0</v>
      </c>
      <c r="AF2056">
        <v>0</v>
      </c>
      <c r="AG2056">
        <v>0</v>
      </c>
      <c r="AH2056">
        <v>0</v>
      </c>
      <c r="AI2056">
        <v>0</v>
      </c>
      <c r="AJ2056">
        <v>0</v>
      </c>
      <c r="AK2056">
        <v>0</v>
      </c>
      <c r="AL2056">
        <v>0</v>
      </c>
      <c r="AM2056">
        <v>0</v>
      </c>
      <c r="AN2056">
        <v>0</v>
      </c>
      <c r="AO2056">
        <v>0</v>
      </c>
      <c r="AP2056">
        <v>0</v>
      </c>
      <c r="AQ2056">
        <v>32.07</v>
      </c>
      <c r="AR2056">
        <v>0</v>
      </c>
      <c r="AS2056">
        <v>0</v>
      </c>
      <c r="AT2056">
        <v>0</v>
      </c>
      <c r="AU2056">
        <v>0</v>
      </c>
      <c r="AV2056">
        <v>0</v>
      </c>
      <c r="AW2056">
        <v>0</v>
      </c>
      <c r="AX2056">
        <v>0</v>
      </c>
      <c r="AY2056">
        <v>0</v>
      </c>
      <c r="AZ2056">
        <v>0</v>
      </c>
      <c r="BA2056">
        <v>0</v>
      </c>
      <c r="BB2056">
        <v>0</v>
      </c>
      <c r="BC2056">
        <v>0</v>
      </c>
      <c r="BD2056">
        <v>0</v>
      </c>
      <c r="BE2056">
        <v>0</v>
      </c>
      <c r="BF2056">
        <v>0</v>
      </c>
      <c r="BG2056">
        <v>0</v>
      </c>
      <c r="BH2056">
        <v>1</v>
      </c>
      <c r="BI2056">
        <v>3</v>
      </c>
      <c r="BJ2056">
        <v>1.1000000000000001</v>
      </c>
      <c r="BK2056">
        <v>3</v>
      </c>
      <c r="BL2056">
        <v>104.95</v>
      </c>
      <c r="BM2056">
        <v>15.74</v>
      </c>
      <c r="BN2056">
        <v>120.69</v>
      </c>
      <c r="BO2056">
        <v>120.69</v>
      </c>
      <c r="BQ2056" t="s">
        <v>372</v>
      </c>
      <c r="BR2056" t="s">
        <v>84</v>
      </c>
      <c r="BS2056" s="3">
        <v>45797</v>
      </c>
      <c r="BT2056" s="4">
        <v>0.36944444444444446</v>
      </c>
      <c r="BU2056" t="s">
        <v>373</v>
      </c>
      <c r="BV2056" t="s">
        <v>86</v>
      </c>
      <c r="BY2056">
        <v>5320</v>
      </c>
      <c r="CA2056" t="s">
        <v>824</v>
      </c>
      <c r="CC2056" t="s">
        <v>91</v>
      </c>
      <c r="CD2056">
        <v>6001</v>
      </c>
      <c r="CE2056" t="s">
        <v>116</v>
      </c>
      <c r="CF2056" s="3">
        <v>45797</v>
      </c>
      <c r="CI2056">
        <v>1</v>
      </c>
      <c r="CJ2056">
        <v>1</v>
      </c>
      <c r="CK2056">
        <v>21</v>
      </c>
      <c r="CL2056" t="s">
        <v>89</v>
      </c>
    </row>
    <row r="2057" spans="1:90" x14ac:dyDescent="0.3">
      <c r="A2057" t="s">
        <v>72</v>
      </c>
      <c r="B2057" t="s">
        <v>73</v>
      </c>
      <c r="C2057" t="s">
        <v>74</v>
      </c>
      <c r="E2057" t="str">
        <f>"080065439338"</f>
        <v>080065439338</v>
      </c>
      <c r="F2057" s="3">
        <v>45796</v>
      </c>
      <c r="G2057">
        <v>202602</v>
      </c>
      <c r="H2057" t="s">
        <v>75</v>
      </c>
      <c r="I2057" t="s">
        <v>76</v>
      </c>
      <c r="J2057" t="s">
        <v>77</v>
      </c>
      <c r="K2057" t="s">
        <v>78</v>
      </c>
      <c r="L2057" t="s">
        <v>755</v>
      </c>
      <c r="M2057" t="s">
        <v>756</v>
      </c>
      <c r="N2057" t="s">
        <v>2523</v>
      </c>
      <c r="O2057" t="s">
        <v>82</v>
      </c>
      <c r="P2057" t="str">
        <f>"4170037904                    "</f>
        <v xml:space="preserve">4170037904                    </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0</v>
      </c>
      <c r="AJ2057">
        <v>0</v>
      </c>
      <c r="AK2057">
        <v>0</v>
      </c>
      <c r="AL2057">
        <v>0</v>
      </c>
      <c r="AM2057">
        <v>0</v>
      </c>
      <c r="AN2057">
        <v>0</v>
      </c>
      <c r="AO2057">
        <v>0</v>
      </c>
      <c r="AP2057">
        <v>0</v>
      </c>
      <c r="AQ2057">
        <v>16.7</v>
      </c>
      <c r="AR2057">
        <v>0</v>
      </c>
      <c r="AS2057">
        <v>0</v>
      </c>
      <c r="AT2057">
        <v>0</v>
      </c>
      <c r="AU2057">
        <v>0</v>
      </c>
      <c r="AV2057">
        <v>0</v>
      </c>
      <c r="AW2057">
        <v>0</v>
      </c>
      <c r="AX2057">
        <v>0</v>
      </c>
      <c r="AY2057">
        <v>0</v>
      </c>
      <c r="AZ2057">
        <v>0</v>
      </c>
      <c r="BA2057">
        <v>0</v>
      </c>
      <c r="BB2057">
        <v>0</v>
      </c>
      <c r="BC2057">
        <v>0</v>
      </c>
      <c r="BD2057">
        <v>0</v>
      </c>
      <c r="BE2057">
        <v>0</v>
      </c>
      <c r="BF2057">
        <v>0</v>
      </c>
      <c r="BG2057">
        <v>0</v>
      </c>
      <c r="BH2057">
        <v>1</v>
      </c>
      <c r="BI2057">
        <v>1</v>
      </c>
      <c r="BJ2057">
        <v>0.2</v>
      </c>
      <c r="BK2057">
        <v>1</v>
      </c>
      <c r="BL2057">
        <v>54.66</v>
      </c>
      <c r="BM2057">
        <v>8.1999999999999993</v>
      </c>
      <c r="BN2057">
        <v>62.86</v>
      </c>
      <c r="BO2057">
        <v>62.86</v>
      </c>
      <c r="BQ2057" t="s">
        <v>2524</v>
      </c>
      <c r="BR2057" t="s">
        <v>84</v>
      </c>
      <c r="BS2057" s="3">
        <v>45797</v>
      </c>
      <c r="BT2057" s="4">
        <v>0.35625000000000001</v>
      </c>
      <c r="BU2057" t="s">
        <v>2525</v>
      </c>
      <c r="BV2057" t="s">
        <v>86</v>
      </c>
      <c r="BY2057">
        <v>1200</v>
      </c>
      <c r="CA2057" t="s">
        <v>2526</v>
      </c>
      <c r="CC2057" t="s">
        <v>756</v>
      </c>
      <c r="CD2057">
        <v>1684</v>
      </c>
      <c r="CE2057" t="s">
        <v>88</v>
      </c>
      <c r="CF2057" s="3">
        <v>45797</v>
      </c>
      <c r="CI2057">
        <v>1</v>
      </c>
      <c r="CJ2057">
        <v>1</v>
      </c>
      <c r="CK2057">
        <v>22</v>
      </c>
      <c r="CL2057" t="s">
        <v>89</v>
      </c>
    </row>
    <row r="2058" spans="1:90" x14ac:dyDescent="0.3">
      <c r="A2058" t="s">
        <v>72</v>
      </c>
      <c r="B2058" t="s">
        <v>73</v>
      </c>
      <c r="C2058" t="s">
        <v>74</v>
      </c>
      <c r="E2058" t="str">
        <f>"080065439495"</f>
        <v>080065439495</v>
      </c>
      <c r="F2058" s="3">
        <v>45796</v>
      </c>
      <c r="G2058">
        <v>202602</v>
      </c>
      <c r="H2058" t="s">
        <v>75</v>
      </c>
      <c r="I2058" t="s">
        <v>76</v>
      </c>
      <c r="J2058" t="s">
        <v>77</v>
      </c>
      <c r="K2058" t="s">
        <v>78</v>
      </c>
      <c r="L2058" t="s">
        <v>902</v>
      </c>
      <c r="M2058" t="s">
        <v>903</v>
      </c>
      <c r="N2058" t="s">
        <v>2527</v>
      </c>
      <c r="O2058" t="s">
        <v>300</v>
      </c>
      <c r="P2058" t="str">
        <f>"4170039073                    "</f>
        <v xml:space="preserve">4170039073                    </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0</v>
      </c>
      <c r="AJ2058">
        <v>0</v>
      </c>
      <c r="AK2058">
        <v>0</v>
      </c>
      <c r="AL2058">
        <v>0</v>
      </c>
      <c r="AM2058">
        <v>0</v>
      </c>
      <c r="AN2058">
        <v>0</v>
      </c>
      <c r="AO2058">
        <v>0</v>
      </c>
      <c r="AP2058">
        <v>0</v>
      </c>
      <c r="AQ2058">
        <v>58.32</v>
      </c>
      <c r="AR2058">
        <v>0</v>
      </c>
      <c r="AS2058">
        <v>0</v>
      </c>
      <c r="AT2058">
        <v>0</v>
      </c>
      <c r="AU2058">
        <v>0</v>
      </c>
      <c r="AV2058">
        <v>0</v>
      </c>
      <c r="AW2058">
        <v>0</v>
      </c>
      <c r="AX2058">
        <v>0</v>
      </c>
      <c r="AY2058">
        <v>0</v>
      </c>
      <c r="AZ2058">
        <v>0</v>
      </c>
      <c r="BA2058">
        <v>0</v>
      </c>
      <c r="BB2058">
        <v>0</v>
      </c>
      <c r="BC2058">
        <v>0</v>
      </c>
      <c r="BD2058">
        <v>0</v>
      </c>
      <c r="BE2058">
        <v>0</v>
      </c>
      <c r="BF2058">
        <v>0</v>
      </c>
      <c r="BG2058">
        <v>0</v>
      </c>
      <c r="BH2058">
        <v>1</v>
      </c>
      <c r="BI2058">
        <v>5</v>
      </c>
      <c r="BJ2058">
        <v>12.5</v>
      </c>
      <c r="BK2058">
        <v>13</v>
      </c>
      <c r="BL2058">
        <v>196.44</v>
      </c>
      <c r="BM2058">
        <v>29.47</v>
      </c>
      <c r="BN2058">
        <v>225.91</v>
      </c>
      <c r="BO2058">
        <v>225.91</v>
      </c>
      <c r="BQ2058" t="s">
        <v>2528</v>
      </c>
      <c r="BR2058" t="s">
        <v>84</v>
      </c>
      <c r="BS2058" s="3">
        <v>45797</v>
      </c>
      <c r="BT2058" s="4">
        <v>0.47222222222222221</v>
      </c>
      <c r="BU2058" t="s">
        <v>2529</v>
      </c>
      <c r="BV2058" t="s">
        <v>86</v>
      </c>
      <c r="BY2058">
        <v>62400</v>
      </c>
      <c r="CA2058" t="s">
        <v>1306</v>
      </c>
      <c r="CC2058" t="s">
        <v>903</v>
      </c>
      <c r="CD2058">
        <v>1020</v>
      </c>
      <c r="CE2058" t="s">
        <v>221</v>
      </c>
      <c r="CF2058" s="3">
        <v>45797</v>
      </c>
      <c r="CI2058">
        <v>1</v>
      </c>
      <c r="CJ2058">
        <v>1</v>
      </c>
      <c r="CK2058">
        <v>43</v>
      </c>
      <c r="CL2058" t="s">
        <v>89</v>
      </c>
    </row>
    <row r="2059" spans="1:90" x14ac:dyDescent="0.3">
      <c r="A2059" t="s">
        <v>72</v>
      </c>
      <c r="B2059" t="s">
        <v>73</v>
      </c>
      <c r="C2059" t="s">
        <v>74</v>
      </c>
      <c r="E2059" t="str">
        <f>"080065439521"</f>
        <v>080065439521</v>
      </c>
      <c r="F2059" s="3">
        <v>45796</v>
      </c>
      <c r="G2059">
        <v>202602</v>
      </c>
      <c r="H2059" t="s">
        <v>75</v>
      </c>
      <c r="I2059" t="s">
        <v>76</v>
      </c>
      <c r="J2059" t="s">
        <v>77</v>
      </c>
      <c r="K2059" t="s">
        <v>78</v>
      </c>
      <c r="L2059" t="s">
        <v>2278</v>
      </c>
      <c r="M2059" t="s">
        <v>2279</v>
      </c>
      <c r="N2059" t="s">
        <v>2374</v>
      </c>
      <c r="O2059" t="s">
        <v>82</v>
      </c>
      <c r="P2059" t="str">
        <f>"4170039206                    "</f>
        <v xml:space="preserve">4170039206                    </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0</v>
      </c>
      <c r="AJ2059">
        <v>0</v>
      </c>
      <c r="AK2059">
        <v>0</v>
      </c>
      <c r="AL2059">
        <v>0</v>
      </c>
      <c r="AM2059">
        <v>0</v>
      </c>
      <c r="AN2059">
        <v>0</v>
      </c>
      <c r="AO2059">
        <v>0</v>
      </c>
      <c r="AP2059">
        <v>0</v>
      </c>
      <c r="AQ2059">
        <v>21.38</v>
      </c>
      <c r="AR2059">
        <v>0</v>
      </c>
      <c r="AS2059">
        <v>0</v>
      </c>
      <c r="AT2059">
        <v>0</v>
      </c>
      <c r="AU2059">
        <v>0</v>
      </c>
      <c r="AV2059">
        <v>0</v>
      </c>
      <c r="AW2059">
        <v>0</v>
      </c>
      <c r="AX2059">
        <v>0</v>
      </c>
      <c r="AY2059">
        <v>0</v>
      </c>
      <c r="AZ2059">
        <v>0</v>
      </c>
      <c r="BA2059">
        <v>0</v>
      </c>
      <c r="BB2059">
        <v>0</v>
      </c>
      <c r="BC2059">
        <v>0</v>
      </c>
      <c r="BD2059">
        <v>0</v>
      </c>
      <c r="BE2059">
        <v>0</v>
      </c>
      <c r="BF2059">
        <v>0</v>
      </c>
      <c r="BG2059">
        <v>0</v>
      </c>
      <c r="BH2059">
        <v>1</v>
      </c>
      <c r="BI2059">
        <v>1</v>
      </c>
      <c r="BJ2059">
        <v>1.1000000000000001</v>
      </c>
      <c r="BK2059">
        <v>1.5</v>
      </c>
      <c r="BL2059">
        <v>69.98</v>
      </c>
      <c r="BM2059">
        <v>10.5</v>
      </c>
      <c r="BN2059">
        <v>80.48</v>
      </c>
      <c r="BO2059">
        <v>80.48</v>
      </c>
      <c r="BQ2059" t="s">
        <v>2375</v>
      </c>
      <c r="BR2059" t="s">
        <v>84</v>
      </c>
      <c r="BS2059" s="3">
        <v>45797</v>
      </c>
      <c r="BT2059" s="4">
        <v>0.37083333333333335</v>
      </c>
      <c r="BU2059" t="s">
        <v>2376</v>
      </c>
      <c r="BV2059" t="s">
        <v>86</v>
      </c>
      <c r="BY2059">
        <v>5320</v>
      </c>
      <c r="CA2059" t="s">
        <v>326</v>
      </c>
      <c r="CC2059" t="s">
        <v>2279</v>
      </c>
      <c r="CD2059">
        <v>4026</v>
      </c>
      <c r="CE2059" t="s">
        <v>116</v>
      </c>
      <c r="CF2059" s="3">
        <v>45797</v>
      </c>
      <c r="CI2059">
        <v>1</v>
      </c>
      <c r="CJ2059">
        <v>1</v>
      </c>
      <c r="CK2059">
        <v>21</v>
      </c>
      <c r="CL2059" t="s">
        <v>89</v>
      </c>
    </row>
    <row r="2060" spans="1:90" x14ac:dyDescent="0.3">
      <c r="A2060" t="s">
        <v>72</v>
      </c>
      <c r="B2060" t="s">
        <v>73</v>
      </c>
      <c r="C2060" t="s">
        <v>74</v>
      </c>
      <c r="E2060" t="str">
        <f>"080065439539"</f>
        <v>080065439539</v>
      </c>
      <c r="F2060" s="3">
        <v>45796</v>
      </c>
      <c r="G2060">
        <v>202602</v>
      </c>
      <c r="H2060" t="s">
        <v>75</v>
      </c>
      <c r="I2060" t="s">
        <v>76</v>
      </c>
      <c r="J2060" t="s">
        <v>77</v>
      </c>
      <c r="K2060" t="s">
        <v>78</v>
      </c>
      <c r="L2060" t="s">
        <v>75</v>
      </c>
      <c r="M2060" t="s">
        <v>76</v>
      </c>
      <c r="N2060" t="s">
        <v>346</v>
      </c>
      <c r="O2060" t="s">
        <v>82</v>
      </c>
      <c r="P2060" t="str">
        <f>"4170039275                    "</f>
        <v xml:space="preserve">4170039275                    </v>
      </c>
      <c r="Q2060">
        <v>0</v>
      </c>
      <c r="R2060">
        <v>0</v>
      </c>
      <c r="S2060">
        <v>0</v>
      </c>
      <c r="T2060">
        <v>0</v>
      </c>
      <c r="U2060">
        <v>0</v>
      </c>
      <c r="V2060">
        <v>0</v>
      </c>
      <c r="W2060">
        <v>0</v>
      </c>
      <c r="X2060">
        <v>0</v>
      </c>
      <c r="Y2060">
        <v>0</v>
      </c>
      <c r="Z2060">
        <v>0</v>
      </c>
      <c r="AA2060">
        <v>0</v>
      </c>
      <c r="AB2060">
        <v>0</v>
      </c>
      <c r="AC2060">
        <v>0</v>
      </c>
      <c r="AD2060">
        <v>0</v>
      </c>
      <c r="AE2060">
        <v>0</v>
      </c>
      <c r="AF2060">
        <v>0</v>
      </c>
      <c r="AG2060">
        <v>0</v>
      </c>
      <c r="AH2060">
        <v>0</v>
      </c>
      <c r="AI2060">
        <v>0</v>
      </c>
      <c r="AJ2060">
        <v>0</v>
      </c>
      <c r="AK2060">
        <v>0</v>
      </c>
      <c r="AL2060">
        <v>0</v>
      </c>
      <c r="AM2060">
        <v>0</v>
      </c>
      <c r="AN2060">
        <v>0</v>
      </c>
      <c r="AO2060">
        <v>0</v>
      </c>
      <c r="AP2060">
        <v>0</v>
      </c>
      <c r="AQ2060">
        <v>16.7</v>
      </c>
      <c r="AR2060">
        <v>0</v>
      </c>
      <c r="AS2060">
        <v>0</v>
      </c>
      <c r="AT2060">
        <v>0</v>
      </c>
      <c r="AU2060">
        <v>0</v>
      </c>
      <c r="AV2060">
        <v>0</v>
      </c>
      <c r="AW2060">
        <v>0</v>
      </c>
      <c r="AX2060">
        <v>0</v>
      </c>
      <c r="AY2060">
        <v>0</v>
      </c>
      <c r="AZ2060">
        <v>0</v>
      </c>
      <c r="BA2060">
        <v>0</v>
      </c>
      <c r="BB2060">
        <v>0</v>
      </c>
      <c r="BC2060">
        <v>0</v>
      </c>
      <c r="BD2060">
        <v>0</v>
      </c>
      <c r="BE2060">
        <v>0</v>
      </c>
      <c r="BF2060">
        <v>0</v>
      </c>
      <c r="BG2060">
        <v>0</v>
      </c>
      <c r="BH2060">
        <v>1</v>
      </c>
      <c r="BI2060">
        <v>1</v>
      </c>
      <c r="BJ2060">
        <v>0.2</v>
      </c>
      <c r="BK2060">
        <v>1</v>
      </c>
      <c r="BL2060">
        <v>54.66</v>
      </c>
      <c r="BM2060">
        <v>8.1999999999999993</v>
      </c>
      <c r="BN2060">
        <v>62.86</v>
      </c>
      <c r="BO2060">
        <v>62.86</v>
      </c>
      <c r="BQ2060" t="s">
        <v>347</v>
      </c>
      <c r="BR2060" t="s">
        <v>84</v>
      </c>
      <c r="BS2060" s="3">
        <v>45797</v>
      </c>
      <c r="BT2060" s="4">
        <v>0.35486111111111113</v>
      </c>
      <c r="BU2060" t="s">
        <v>348</v>
      </c>
      <c r="BV2060" t="s">
        <v>86</v>
      </c>
      <c r="BY2060">
        <v>1200</v>
      </c>
      <c r="CA2060" t="s">
        <v>349</v>
      </c>
      <c r="CC2060" t="s">
        <v>76</v>
      </c>
      <c r="CD2060">
        <v>1619</v>
      </c>
      <c r="CE2060" t="s">
        <v>88</v>
      </c>
      <c r="CF2060" s="3">
        <v>45797</v>
      </c>
      <c r="CI2060">
        <v>1</v>
      </c>
      <c r="CJ2060">
        <v>1</v>
      </c>
      <c r="CK2060">
        <v>22</v>
      </c>
      <c r="CL2060" t="s">
        <v>89</v>
      </c>
    </row>
    <row r="2061" spans="1:90" x14ac:dyDescent="0.3">
      <c r="A2061" t="s">
        <v>72</v>
      </c>
      <c r="B2061" t="s">
        <v>73</v>
      </c>
      <c r="C2061" t="s">
        <v>74</v>
      </c>
      <c r="E2061" t="str">
        <f>"080065439788"</f>
        <v>080065439788</v>
      </c>
      <c r="F2061" s="3">
        <v>45796</v>
      </c>
      <c r="G2061">
        <v>202602</v>
      </c>
      <c r="H2061" t="s">
        <v>75</v>
      </c>
      <c r="I2061" t="s">
        <v>76</v>
      </c>
      <c r="J2061" t="s">
        <v>77</v>
      </c>
      <c r="K2061" t="s">
        <v>78</v>
      </c>
      <c r="L2061" t="s">
        <v>136</v>
      </c>
      <c r="M2061" t="s">
        <v>137</v>
      </c>
      <c r="N2061" t="s">
        <v>1235</v>
      </c>
      <c r="O2061" t="s">
        <v>300</v>
      </c>
      <c r="P2061" t="str">
        <f>"4170039189                    "</f>
        <v xml:space="preserve">4170039189                    </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c r="AJ2061">
        <v>0</v>
      </c>
      <c r="AK2061">
        <v>0</v>
      </c>
      <c r="AL2061">
        <v>0</v>
      </c>
      <c r="AM2061">
        <v>0</v>
      </c>
      <c r="AN2061">
        <v>0</v>
      </c>
      <c r="AO2061">
        <v>0</v>
      </c>
      <c r="AP2061">
        <v>0</v>
      </c>
      <c r="AQ2061">
        <v>58.42</v>
      </c>
      <c r="AR2061">
        <v>0</v>
      </c>
      <c r="AS2061">
        <v>0</v>
      </c>
      <c r="AT2061">
        <v>0</v>
      </c>
      <c r="AU2061">
        <v>0</v>
      </c>
      <c r="AV2061">
        <v>0</v>
      </c>
      <c r="AW2061">
        <v>0</v>
      </c>
      <c r="AX2061">
        <v>0</v>
      </c>
      <c r="AY2061">
        <v>0</v>
      </c>
      <c r="AZ2061">
        <v>0</v>
      </c>
      <c r="BA2061">
        <v>0</v>
      </c>
      <c r="BB2061">
        <v>0</v>
      </c>
      <c r="BC2061">
        <v>0</v>
      </c>
      <c r="BD2061">
        <v>0</v>
      </c>
      <c r="BE2061">
        <v>0</v>
      </c>
      <c r="BF2061">
        <v>0</v>
      </c>
      <c r="BG2061">
        <v>0</v>
      </c>
      <c r="BH2061">
        <v>1</v>
      </c>
      <c r="BI2061">
        <v>25</v>
      </c>
      <c r="BJ2061">
        <v>8.9</v>
      </c>
      <c r="BK2061">
        <v>25</v>
      </c>
      <c r="BL2061">
        <v>196.77</v>
      </c>
      <c r="BM2061">
        <v>29.52</v>
      </c>
      <c r="BN2061">
        <v>226.29</v>
      </c>
      <c r="BO2061">
        <v>226.29</v>
      </c>
      <c r="BQ2061" t="s">
        <v>1236</v>
      </c>
      <c r="BR2061" t="s">
        <v>84</v>
      </c>
      <c r="BS2061" s="3">
        <v>45797</v>
      </c>
      <c r="BT2061" s="4">
        <v>0.38958333333333334</v>
      </c>
      <c r="BU2061" t="s">
        <v>1237</v>
      </c>
      <c r="BV2061" t="s">
        <v>86</v>
      </c>
      <c r="BY2061">
        <v>44640</v>
      </c>
      <c r="CA2061" t="s">
        <v>1238</v>
      </c>
      <c r="CC2061" t="s">
        <v>137</v>
      </c>
      <c r="CD2061" s="5" t="s">
        <v>1239</v>
      </c>
      <c r="CE2061" t="s">
        <v>96</v>
      </c>
      <c r="CF2061" s="3">
        <v>45797</v>
      </c>
      <c r="CI2061">
        <v>1</v>
      </c>
      <c r="CJ2061">
        <v>1</v>
      </c>
      <c r="CK2061">
        <v>41</v>
      </c>
      <c r="CL2061" t="s">
        <v>89</v>
      </c>
    </row>
    <row r="2062" spans="1:90" x14ac:dyDescent="0.3">
      <c r="A2062" t="s">
        <v>72</v>
      </c>
      <c r="B2062" t="s">
        <v>73</v>
      </c>
      <c r="C2062" t="s">
        <v>74</v>
      </c>
      <c r="E2062" t="str">
        <f>"080065440031"</f>
        <v>080065440031</v>
      </c>
      <c r="F2062" s="3">
        <v>45796</v>
      </c>
      <c r="G2062">
        <v>202602</v>
      </c>
      <c r="H2062" t="s">
        <v>75</v>
      </c>
      <c r="I2062" t="s">
        <v>76</v>
      </c>
      <c r="J2062" t="s">
        <v>77</v>
      </c>
      <c r="K2062" t="s">
        <v>78</v>
      </c>
      <c r="L2062" t="s">
        <v>489</v>
      </c>
      <c r="M2062" t="s">
        <v>490</v>
      </c>
      <c r="N2062" t="s">
        <v>491</v>
      </c>
      <c r="O2062" t="s">
        <v>82</v>
      </c>
      <c r="P2062" t="str">
        <f>"4170039318                    "</f>
        <v xml:space="preserve">4170039318                    </v>
      </c>
      <c r="Q2062">
        <v>0</v>
      </c>
      <c r="R2062">
        <v>0</v>
      </c>
      <c r="S2062">
        <v>0</v>
      </c>
      <c r="T2062">
        <v>0</v>
      </c>
      <c r="U2062">
        <v>0</v>
      </c>
      <c r="V2062">
        <v>0</v>
      </c>
      <c r="W2062">
        <v>0</v>
      </c>
      <c r="X2062">
        <v>0</v>
      </c>
      <c r="Y2062">
        <v>0</v>
      </c>
      <c r="Z2062">
        <v>0</v>
      </c>
      <c r="AA2062">
        <v>0</v>
      </c>
      <c r="AB2062">
        <v>0</v>
      </c>
      <c r="AC2062">
        <v>0</v>
      </c>
      <c r="AD2062">
        <v>0</v>
      </c>
      <c r="AE2062">
        <v>0</v>
      </c>
      <c r="AF2062">
        <v>0</v>
      </c>
      <c r="AG2062">
        <v>0</v>
      </c>
      <c r="AH2062">
        <v>0</v>
      </c>
      <c r="AI2062">
        <v>0</v>
      </c>
      <c r="AJ2062">
        <v>0</v>
      </c>
      <c r="AK2062">
        <v>0</v>
      </c>
      <c r="AL2062">
        <v>0</v>
      </c>
      <c r="AM2062">
        <v>0</v>
      </c>
      <c r="AN2062">
        <v>0</v>
      </c>
      <c r="AO2062">
        <v>0</v>
      </c>
      <c r="AP2062">
        <v>0</v>
      </c>
      <c r="AQ2062">
        <v>41.43</v>
      </c>
      <c r="AR2062">
        <v>0</v>
      </c>
      <c r="AS2062">
        <v>0</v>
      </c>
      <c r="AT2062">
        <v>0</v>
      </c>
      <c r="AU2062">
        <v>0</v>
      </c>
      <c r="AV2062">
        <v>0</v>
      </c>
      <c r="AW2062">
        <v>0</v>
      </c>
      <c r="AX2062">
        <v>0</v>
      </c>
      <c r="AY2062">
        <v>0</v>
      </c>
      <c r="AZ2062">
        <v>0</v>
      </c>
      <c r="BA2062">
        <v>0</v>
      </c>
      <c r="BB2062">
        <v>0</v>
      </c>
      <c r="BC2062">
        <v>0</v>
      </c>
      <c r="BD2062">
        <v>0</v>
      </c>
      <c r="BE2062">
        <v>0</v>
      </c>
      <c r="BF2062">
        <v>0</v>
      </c>
      <c r="BG2062">
        <v>0</v>
      </c>
      <c r="BH2062">
        <v>1</v>
      </c>
      <c r="BI2062">
        <v>1</v>
      </c>
      <c r="BJ2062">
        <v>0.2</v>
      </c>
      <c r="BK2062">
        <v>1</v>
      </c>
      <c r="BL2062">
        <v>135.59</v>
      </c>
      <c r="BM2062">
        <v>20.34</v>
      </c>
      <c r="BN2062">
        <v>155.93</v>
      </c>
      <c r="BO2062">
        <v>155.93</v>
      </c>
      <c r="BQ2062" t="s">
        <v>492</v>
      </c>
      <c r="BR2062" t="s">
        <v>84</v>
      </c>
      <c r="BS2062" s="3">
        <v>45797</v>
      </c>
      <c r="BT2062" s="4">
        <v>0.33958333333333335</v>
      </c>
      <c r="BU2062" t="s">
        <v>2530</v>
      </c>
      <c r="BV2062" t="s">
        <v>86</v>
      </c>
      <c r="BY2062">
        <v>1200</v>
      </c>
      <c r="CA2062" t="s">
        <v>913</v>
      </c>
      <c r="CC2062" t="s">
        <v>490</v>
      </c>
      <c r="CD2062">
        <v>2740</v>
      </c>
      <c r="CE2062" t="s">
        <v>88</v>
      </c>
      <c r="CF2062" s="3">
        <v>45798</v>
      </c>
      <c r="CI2062">
        <v>1</v>
      </c>
      <c r="CJ2062">
        <v>1</v>
      </c>
      <c r="CK2062">
        <v>23</v>
      </c>
      <c r="CL2062" t="s">
        <v>89</v>
      </c>
    </row>
    <row r="2063" spans="1:90" x14ac:dyDescent="0.3">
      <c r="A2063" t="s">
        <v>72</v>
      </c>
      <c r="B2063" t="s">
        <v>73</v>
      </c>
      <c r="C2063" t="s">
        <v>74</v>
      </c>
      <c r="E2063" t="str">
        <f>"080065440050"</f>
        <v>080065440050</v>
      </c>
      <c r="F2063" s="3">
        <v>45796</v>
      </c>
      <c r="G2063">
        <v>202602</v>
      </c>
      <c r="H2063" t="s">
        <v>75</v>
      </c>
      <c r="I2063" t="s">
        <v>76</v>
      </c>
      <c r="J2063" t="s">
        <v>77</v>
      </c>
      <c r="K2063" t="s">
        <v>78</v>
      </c>
      <c r="L2063" t="s">
        <v>672</v>
      </c>
      <c r="M2063" t="s">
        <v>673</v>
      </c>
      <c r="N2063" t="s">
        <v>674</v>
      </c>
      <c r="O2063" t="s">
        <v>82</v>
      </c>
      <c r="P2063" t="str">
        <f>"4170039269                    "</f>
        <v xml:space="preserve">4170039269                    </v>
      </c>
      <c r="Q2063">
        <v>0</v>
      </c>
      <c r="R2063">
        <v>0</v>
      </c>
      <c r="S2063">
        <v>0</v>
      </c>
      <c r="T2063">
        <v>0</v>
      </c>
      <c r="U2063">
        <v>0</v>
      </c>
      <c r="V2063">
        <v>0</v>
      </c>
      <c r="W2063">
        <v>0</v>
      </c>
      <c r="X2063">
        <v>0</v>
      </c>
      <c r="Y2063">
        <v>0</v>
      </c>
      <c r="Z2063">
        <v>0</v>
      </c>
      <c r="AA2063">
        <v>0</v>
      </c>
      <c r="AB2063">
        <v>0</v>
      </c>
      <c r="AC2063">
        <v>0</v>
      </c>
      <c r="AD2063">
        <v>0</v>
      </c>
      <c r="AE2063">
        <v>0</v>
      </c>
      <c r="AF2063">
        <v>0</v>
      </c>
      <c r="AG2063">
        <v>0</v>
      </c>
      <c r="AH2063">
        <v>0</v>
      </c>
      <c r="AI2063">
        <v>0</v>
      </c>
      <c r="AJ2063">
        <v>0</v>
      </c>
      <c r="AK2063">
        <v>0</v>
      </c>
      <c r="AL2063">
        <v>0</v>
      </c>
      <c r="AM2063">
        <v>0</v>
      </c>
      <c r="AN2063">
        <v>0</v>
      </c>
      <c r="AO2063">
        <v>0</v>
      </c>
      <c r="AP2063">
        <v>0</v>
      </c>
      <c r="AQ2063">
        <v>191.1</v>
      </c>
      <c r="AR2063">
        <v>0</v>
      </c>
      <c r="AS2063">
        <v>0</v>
      </c>
      <c r="AT2063">
        <v>0</v>
      </c>
      <c r="AU2063">
        <v>0</v>
      </c>
      <c r="AV2063">
        <v>0</v>
      </c>
      <c r="AW2063">
        <v>0</v>
      </c>
      <c r="AX2063">
        <v>0</v>
      </c>
      <c r="AY2063">
        <v>0</v>
      </c>
      <c r="AZ2063">
        <v>0</v>
      </c>
      <c r="BA2063">
        <v>0</v>
      </c>
      <c r="BB2063">
        <v>0</v>
      </c>
      <c r="BC2063">
        <v>0</v>
      </c>
      <c r="BD2063">
        <v>0</v>
      </c>
      <c r="BE2063">
        <v>0</v>
      </c>
      <c r="BF2063">
        <v>0</v>
      </c>
      <c r="BG2063">
        <v>0</v>
      </c>
      <c r="BH2063">
        <v>1</v>
      </c>
      <c r="BI2063">
        <v>10</v>
      </c>
      <c r="BJ2063">
        <v>3.7</v>
      </c>
      <c r="BK2063">
        <v>10</v>
      </c>
      <c r="BL2063">
        <v>625.41999999999996</v>
      </c>
      <c r="BM2063">
        <v>93.81</v>
      </c>
      <c r="BN2063">
        <v>719.23</v>
      </c>
      <c r="BO2063">
        <v>719.23</v>
      </c>
      <c r="BQ2063" t="s">
        <v>675</v>
      </c>
      <c r="BR2063" t="s">
        <v>84</v>
      </c>
      <c r="BS2063" s="3">
        <v>45797</v>
      </c>
      <c r="BT2063" s="4">
        <v>0.46875</v>
      </c>
      <c r="BU2063" t="s">
        <v>2531</v>
      </c>
      <c r="BV2063" t="s">
        <v>86</v>
      </c>
      <c r="BY2063">
        <v>18354</v>
      </c>
      <c r="CA2063" t="s">
        <v>677</v>
      </c>
      <c r="CC2063" t="s">
        <v>673</v>
      </c>
      <c r="CD2063">
        <v>2531</v>
      </c>
      <c r="CE2063" t="s">
        <v>221</v>
      </c>
      <c r="CF2063" s="3">
        <v>45798</v>
      </c>
      <c r="CI2063">
        <v>1</v>
      </c>
      <c r="CJ2063">
        <v>1</v>
      </c>
      <c r="CK2063">
        <v>23</v>
      </c>
      <c r="CL2063" t="s">
        <v>89</v>
      </c>
    </row>
    <row r="2064" spans="1:90" x14ac:dyDescent="0.3">
      <c r="A2064" t="s">
        <v>72</v>
      </c>
      <c r="B2064" t="s">
        <v>73</v>
      </c>
      <c r="C2064" t="s">
        <v>74</v>
      </c>
      <c r="E2064" t="str">
        <f>"080065440074"</f>
        <v>080065440074</v>
      </c>
      <c r="F2064" s="3">
        <v>45796</v>
      </c>
      <c r="G2064">
        <v>202602</v>
      </c>
      <c r="H2064" t="s">
        <v>75</v>
      </c>
      <c r="I2064" t="s">
        <v>76</v>
      </c>
      <c r="J2064" t="s">
        <v>77</v>
      </c>
      <c r="K2064" t="s">
        <v>78</v>
      </c>
      <c r="L2064" t="s">
        <v>1737</v>
      </c>
      <c r="M2064" t="s">
        <v>1738</v>
      </c>
      <c r="N2064" t="s">
        <v>261</v>
      </c>
      <c r="O2064" t="s">
        <v>82</v>
      </c>
      <c r="P2064" t="str">
        <f>"4170039154                    "</f>
        <v xml:space="preserve">4170039154                    </v>
      </c>
      <c r="Q2064">
        <v>0</v>
      </c>
      <c r="R2064">
        <v>0</v>
      </c>
      <c r="S2064">
        <v>0</v>
      </c>
      <c r="T2064">
        <v>0</v>
      </c>
      <c r="U2064">
        <v>0</v>
      </c>
      <c r="V2064">
        <v>0</v>
      </c>
      <c r="W2064">
        <v>0</v>
      </c>
      <c r="X2064">
        <v>0</v>
      </c>
      <c r="Y2064">
        <v>0</v>
      </c>
      <c r="Z2064">
        <v>0</v>
      </c>
      <c r="AA2064">
        <v>0</v>
      </c>
      <c r="AB2064">
        <v>0</v>
      </c>
      <c r="AC2064">
        <v>0</v>
      </c>
      <c r="AD2064">
        <v>0</v>
      </c>
      <c r="AE2064">
        <v>0</v>
      </c>
      <c r="AF2064">
        <v>0</v>
      </c>
      <c r="AG2064">
        <v>0</v>
      </c>
      <c r="AH2064">
        <v>0</v>
      </c>
      <c r="AI2064">
        <v>0</v>
      </c>
      <c r="AJ2064">
        <v>0</v>
      </c>
      <c r="AK2064">
        <v>0</v>
      </c>
      <c r="AL2064">
        <v>0</v>
      </c>
      <c r="AM2064">
        <v>0</v>
      </c>
      <c r="AN2064">
        <v>0</v>
      </c>
      <c r="AO2064">
        <v>0</v>
      </c>
      <c r="AP2064">
        <v>0</v>
      </c>
      <c r="AQ2064">
        <v>41.43</v>
      </c>
      <c r="AR2064">
        <v>0</v>
      </c>
      <c r="AS2064">
        <v>0</v>
      </c>
      <c r="AT2064">
        <v>0</v>
      </c>
      <c r="AU2064">
        <v>0</v>
      </c>
      <c r="AV2064">
        <v>0</v>
      </c>
      <c r="AW2064">
        <v>0</v>
      </c>
      <c r="AX2064">
        <v>0</v>
      </c>
      <c r="AY2064">
        <v>0</v>
      </c>
      <c r="AZ2064">
        <v>0</v>
      </c>
      <c r="BA2064">
        <v>0</v>
      </c>
      <c r="BB2064">
        <v>0</v>
      </c>
      <c r="BC2064">
        <v>0</v>
      </c>
      <c r="BD2064">
        <v>0</v>
      </c>
      <c r="BE2064">
        <v>0</v>
      </c>
      <c r="BF2064">
        <v>0</v>
      </c>
      <c r="BG2064">
        <v>0</v>
      </c>
      <c r="BH2064">
        <v>1</v>
      </c>
      <c r="BI2064">
        <v>1</v>
      </c>
      <c r="BJ2064">
        <v>0.2</v>
      </c>
      <c r="BK2064">
        <v>1</v>
      </c>
      <c r="BL2064">
        <v>135.59</v>
      </c>
      <c r="BM2064">
        <v>20.34</v>
      </c>
      <c r="BN2064">
        <v>155.93</v>
      </c>
      <c r="BO2064">
        <v>155.93</v>
      </c>
      <c r="BQ2064" t="s">
        <v>262</v>
      </c>
      <c r="BR2064" t="s">
        <v>84</v>
      </c>
      <c r="BS2064" s="3">
        <v>45797</v>
      </c>
      <c r="BT2064" s="4">
        <v>0.61736111111111114</v>
      </c>
      <c r="BU2064" t="s">
        <v>2532</v>
      </c>
      <c r="BV2064" t="s">
        <v>86</v>
      </c>
      <c r="BY2064">
        <v>1200</v>
      </c>
      <c r="CA2064" t="s">
        <v>1740</v>
      </c>
      <c r="CC2064" t="s">
        <v>1738</v>
      </c>
      <c r="CD2064">
        <v>9880</v>
      </c>
      <c r="CE2064" t="s">
        <v>88</v>
      </c>
      <c r="CF2064" s="3">
        <v>45798</v>
      </c>
      <c r="CI2064">
        <v>1</v>
      </c>
      <c r="CJ2064">
        <v>1</v>
      </c>
      <c r="CK2064">
        <v>23</v>
      </c>
      <c r="CL2064" t="s">
        <v>89</v>
      </c>
    </row>
    <row r="2065" spans="1:90" x14ac:dyDescent="0.3">
      <c r="A2065" t="s">
        <v>72</v>
      </c>
      <c r="B2065" t="s">
        <v>73</v>
      </c>
      <c r="C2065" t="s">
        <v>74</v>
      </c>
      <c r="E2065" t="str">
        <f>"080065440101"</f>
        <v>080065440101</v>
      </c>
      <c r="F2065" s="3">
        <v>45796</v>
      </c>
      <c r="G2065">
        <v>202602</v>
      </c>
      <c r="H2065" t="s">
        <v>75</v>
      </c>
      <c r="I2065" t="s">
        <v>76</v>
      </c>
      <c r="J2065" t="s">
        <v>77</v>
      </c>
      <c r="K2065" t="s">
        <v>78</v>
      </c>
      <c r="L2065" t="s">
        <v>90</v>
      </c>
      <c r="M2065" t="s">
        <v>91</v>
      </c>
      <c r="N2065" t="s">
        <v>543</v>
      </c>
      <c r="O2065" t="s">
        <v>82</v>
      </c>
      <c r="P2065" t="str">
        <f>"4170039158                    "</f>
        <v xml:space="preserve">4170039158                    </v>
      </c>
      <c r="Q2065">
        <v>0</v>
      </c>
      <c r="R2065">
        <v>0</v>
      </c>
      <c r="S2065">
        <v>0</v>
      </c>
      <c r="T2065">
        <v>0</v>
      </c>
      <c r="U2065">
        <v>0</v>
      </c>
      <c r="V2065">
        <v>0</v>
      </c>
      <c r="W2065">
        <v>0</v>
      </c>
      <c r="X2065">
        <v>0</v>
      </c>
      <c r="Y2065">
        <v>0</v>
      </c>
      <c r="Z2065">
        <v>0</v>
      </c>
      <c r="AA2065">
        <v>0</v>
      </c>
      <c r="AB2065">
        <v>0</v>
      </c>
      <c r="AC2065">
        <v>0</v>
      </c>
      <c r="AD2065">
        <v>0</v>
      </c>
      <c r="AE2065">
        <v>0</v>
      </c>
      <c r="AF2065">
        <v>0</v>
      </c>
      <c r="AG2065">
        <v>0</v>
      </c>
      <c r="AH2065">
        <v>0</v>
      </c>
      <c r="AI2065">
        <v>0</v>
      </c>
      <c r="AJ2065">
        <v>0</v>
      </c>
      <c r="AK2065">
        <v>0</v>
      </c>
      <c r="AL2065">
        <v>0</v>
      </c>
      <c r="AM2065">
        <v>0</v>
      </c>
      <c r="AN2065">
        <v>0</v>
      </c>
      <c r="AO2065">
        <v>0</v>
      </c>
      <c r="AP2065">
        <v>0</v>
      </c>
      <c r="AQ2065">
        <v>21.38</v>
      </c>
      <c r="AR2065">
        <v>0</v>
      </c>
      <c r="AS2065">
        <v>0</v>
      </c>
      <c r="AT2065">
        <v>0</v>
      </c>
      <c r="AU2065">
        <v>0</v>
      </c>
      <c r="AV2065">
        <v>0</v>
      </c>
      <c r="AW2065">
        <v>0</v>
      </c>
      <c r="AX2065">
        <v>0</v>
      </c>
      <c r="AY2065">
        <v>0</v>
      </c>
      <c r="AZ2065">
        <v>0</v>
      </c>
      <c r="BA2065">
        <v>0</v>
      </c>
      <c r="BB2065">
        <v>0</v>
      </c>
      <c r="BC2065">
        <v>0</v>
      </c>
      <c r="BD2065">
        <v>0</v>
      </c>
      <c r="BE2065">
        <v>0</v>
      </c>
      <c r="BF2065">
        <v>0</v>
      </c>
      <c r="BG2065">
        <v>0</v>
      </c>
      <c r="BH2065">
        <v>1</v>
      </c>
      <c r="BI2065">
        <v>1</v>
      </c>
      <c r="BJ2065">
        <v>0.2</v>
      </c>
      <c r="BK2065">
        <v>1</v>
      </c>
      <c r="BL2065">
        <v>69.98</v>
      </c>
      <c r="BM2065">
        <v>10.5</v>
      </c>
      <c r="BN2065">
        <v>80.48</v>
      </c>
      <c r="BO2065">
        <v>80.48</v>
      </c>
      <c r="BQ2065" t="s">
        <v>544</v>
      </c>
      <c r="BR2065" t="s">
        <v>84</v>
      </c>
      <c r="BS2065" s="3">
        <v>45797</v>
      </c>
      <c r="BT2065" s="4">
        <v>0.38472222222222224</v>
      </c>
      <c r="BU2065" t="s">
        <v>545</v>
      </c>
      <c r="BV2065" t="s">
        <v>86</v>
      </c>
      <c r="BY2065">
        <v>1200</v>
      </c>
      <c r="CC2065" t="s">
        <v>91</v>
      </c>
      <c r="CD2065">
        <v>6001</v>
      </c>
      <c r="CE2065" t="s">
        <v>88</v>
      </c>
      <c r="CF2065" s="3">
        <v>45797</v>
      </c>
      <c r="CI2065">
        <v>1</v>
      </c>
      <c r="CJ2065">
        <v>1</v>
      </c>
      <c r="CK2065">
        <v>21</v>
      </c>
      <c r="CL2065" t="s">
        <v>89</v>
      </c>
    </row>
    <row r="2066" spans="1:90" x14ac:dyDescent="0.3">
      <c r="A2066" t="s">
        <v>72</v>
      </c>
      <c r="B2066" t="s">
        <v>73</v>
      </c>
      <c r="C2066" t="s">
        <v>74</v>
      </c>
      <c r="E2066" t="str">
        <f>"080065440127"</f>
        <v>080065440127</v>
      </c>
      <c r="F2066" s="3">
        <v>45796</v>
      </c>
      <c r="G2066">
        <v>202602</v>
      </c>
      <c r="H2066" t="s">
        <v>75</v>
      </c>
      <c r="I2066" t="s">
        <v>76</v>
      </c>
      <c r="J2066" t="s">
        <v>77</v>
      </c>
      <c r="K2066" t="s">
        <v>78</v>
      </c>
      <c r="L2066" t="s">
        <v>350</v>
      </c>
      <c r="M2066" t="s">
        <v>351</v>
      </c>
      <c r="N2066" t="s">
        <v>2533</v>
      </c>
      <c r="O2066" t="s">
        <v>82</v>
      </c>
      <c r="P2066" t="str">
        <f>"4170039210                    "</f>
        <v xml:space="preserve">4170039210                    </v>
      </c>
      <c r="Q2066">
        <v>0</v>
      </c>
      <c r="R2066">
        <v>0</v>
      </c>
      <c r="S2066">
        <v>0</v>
      </c>
      <c r="T2066">
        <v>0</v>
      </c>
      <c r="U2066">
        <v>0</v>
      </c>
      <c r="V2066">
        <v>0</v>
      </c>
      <c r="W2066">
        <v>0</v>
      </c>
      <c r="X2066">
        <v>0</v>
      </c>
      <c r="Y2066">
        <v>0</v>
      </c>
      <c r="Z2066">
        <v>0</v>
      </c>
      <c r="AA2066">
        <v>0</v>
      </c>
      <c r="AB2066">
        <v>0</v>
      </c>
      <c r="AC2066">
        <v>0</v>
      </c>
      <c r="AD2066">
        <v>0</v>
      </c>
      <c r="AE2066">
        <v>0</v>
      </c>
      <c r="AF2066">
        <v>0</v>
      </c>
      <c r="AG2066">
        <v>0</v>
      </c>
      <c r="AH2066">
        <v>0</v>
      </c>
      <c r="AI2066">
        <v>0</v>
      </c>
      <c r="AJ2066">
        <v>0</v>
      </c>
      <c r="AK2066">
        <v>0</v>
      </c>
      <c r="AL2066">
        <v>0</v>
      </c>
      <c r="AM2066">
        <v>0</v>
      </c>
      <c r="AN2066">
        <v>0</v>
      </c>
      <c r="AO2066">
        <v>0</v>
      </c>
      <c r="AP2066">
        <v>0</v>
      </c>
      <c r="AQ2066">
        <v>21.38</v>
      </c>
      <c r="AR2066">
        <v>0</v>
      </c>
      <c r="AS2066">
        <v>0</v>
      </c>
      <c r="AT2066">
        <v>0</v>
      </c>
      <c r="AU2066">
        <v>0</v>
      </c>
      <c r="AV2066">
        <v>0</v>
      </c>
      <c r="AW2066">
        <v>0</v>
      </c>
      <c r="AX2066">
        <v>0</v>
      </c>
      <c r="AY2066">
        <v>0</v>
      </c>
      <c r="AZ2066">
        <v>0</v>
      </c>
      <c r="BA2066">
        <v>0</v>
      </c>
      <c r="BB2066">
        <v>0</v>
      </c>
      <c r="BC2066">
        <v>0</v>
      </c>
      <c r="BD2066">
        <v>0</v>
      </c>
      <c r="BE2066">
        <v>0</v>
      </c>
      <c r="BF2066">
        <v>0</v>
      </c>
      <c r="BG2066">
        <v>0</v>
      </c>
      <c r="BH2066">
        <v>1</v>
      </c>
      <c r="BI2066">
        <v>1</v>
      </c>
      <c r="BJ2066">
        <v>0.2</v>
      </c>
      <c r="BK2066">
        <v>1</v>
      </c>
      <c r="BL2066">
        <v>69.98</v>
      </c>
      <c r="BM2066">
        <v>10.5</v>
      </c>
      <c r="BN2066">
        <v>80.48</v>
      </c>
      <c r="BO2066">
        <v>80.48</v>
      </c>
      <c r="BQ2066" t="s">
        <v>2534</v>
      </c>
      <c r="BR2066" t="s">
        <v>84</v>
      </c>
      <c r="BS2066" s="3">
        <v>45797</v>
      </c>
      <c r="BT2066" s="4">
        <v>0.41666666666666669</v>
      </c>
      <c r="BU2066" t="s">
        <v>2535</v>
      </c>
      <c r="BV2066" t="s">
        <v>86</v>
      </c>
      <c r="BY2066">
        <v>1200</v>
      </c>
      <c r="CA2066" t="s">
        <v>1410</v>
      </c>
      <c r="CC2066" t="s">
        <v>351</v>
      </c>
      <c r="CD2066">
        <v>4051</v>
      </c>
      <c r="CE2066" t="s">
        <v>88</v>
      </c>
      <c r="CF2066" s="3">
        <v>45797</v>
      </c>
      <c r="CI2066">
        <v>1</v>
      </c>
      <c r="CJ2066">
        <v>1</v>
      </c>
      <c r="CK2066">
        <v>21</v>
      </c>
      <c r="CL2066" t="s">
        <v>89</v>
      </c>
    </row>
    <row r="2067" spans="1:90" x14ac:dyDescent="0.3">
      <c r="A2067" t="s">
        <v>72</v>
      </c>
      <c r="B2067" t="s">
        <v>73</v>
      </c>
      <c r="C2067" t="s">
        <v>74</v>
      </c>
      <c r="E2067" t="str">
        <f>"080065440129"</f>
        <v>080065440129</v>
      </c>
      <c r="F2067" s="3">
        <v>45796</v>
      </c>
      <c r="G2067">
        <v>202602</v>
      </c>
      <c r="H2067" t="s">
        <v>75</v>
      </c>
      <c r="I2067" t="s">
        <v>76</v>
      </c>
      <c r="J2067" t="s">
        <v>77</v>
      </c>
      <c r="K2067" t="s">
        <v>78</v>
      </c>
      <c r="L2067" t="s">
        <v>350</v>
      </c>
      <c r="M2067" t="s">
        <v>351</v>
      </c>
      <c r="N2067" t="s">
        <v>678</v>
      </c>
      <c r="O2067" t="s">
        <v>82</v>
      </c>
      <c r="P2067" t="str">
        <f>"4170038020                    "</f>
        <v xml:space="preserve">4170038020                    </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c r="AI2067">
        <v>0</v>
      </c>
      <c r="AJ2067">
        <v>0</v>
      </c>
      <c r="AK2067">
        <v>0</v>
      </c>
      <c r="AL2067">
        <v>0</v>
      </c>
      <c r="AM2067">
        <v>0</v>
      </c>
      <c r="AN2067">
        <v>0</v>
      </c>
      <c r="AO2067">
        <v>0</v>
      </c>
      <c r="AP2067">
        <v>0</v>
      </c>
      <c r="AQ2067">
        <v>176.29</v>
      </c>
      <c r="AR2067">
        <v>0</v>
      </c>
      <c r="AS2067">
        <v>0</v>
      </c>
      <c r="AT2067">
        <v>0</v>
      </c>
      <c r="AU2067">
        <v>0</v>
      </c>
      <c r="AV2067">
        <v>0</v>
      </c>
      <c r="AW2067">
        <v>0</v>
      </c>
      <c r="AX2067">
        <v>0</v>
      </c>
      <c r="AY2067">
        <v>0</v>
      </c>
      <c r="AZ2067">
        <v>0</v>
      </c>
      <c r="BA2067">
        <v>0</v>
      </c>
      <c r="BB2067">
        <v>0</v>
      </c>
      <c r="BC2067">
        <v>0</v>
      </c>
      <c r="BD2067">
        <v>0</v>
      </c>
      <c r="BE2067">
        <v>0</v>
      </c>
      <c r="BF2067">
        <v>0</v>
      </c>
      <c r="BG2067">
        <v>0</v>
      </c>
      <c r="BH2067">
        <v>1</v>
      </c>
      <c r="BI2067">
        <v>16</v>
      </c>
      <c r="BJ2067">
        <v>16.3</v>
      </c>
      <c r="BK2067">
        <v>16.5</v>
      </c>
      <c r="BL2067">
        <v>576.95000000000005</v>
      </c>
      <c r="BM2067">
        <v>86.54</v>
      </c>
      <c r="BN2067">
        <v>663.49</v>
      </c>
      <c r="BO2067">
        <v>663.49</v>
      </c>
      <c r="BQ2067" t="s">
        <v>679</v>
      </c>
      <c r="BR2067" t="s">
        <v>84</v>
      </c>
      <c r="BS2067" s="3">
        <v>45797</v>
      </c>
      <c r="BT2067" s="4">
        <v>0.38819444444444445</v>
      </c>
      <c r="BU2067" t="s">
        <v>680</v>
      </c>
      <c r="BV2067" t="s">
        <v>86</v>
      </c>
      <c r="BY2067">
        <v>81675</v>
      </c>
      <c r="CA2067" t="s">
        <v>326</v>
      </c>
      <c r="CC2067" t="s">
        <v>351</v>
      </c>
      <c r="CD2067">
        <v>4052</v>
      </c>
      <c r="CE2067" t="s">
        <v>511</v>
      </c>
      <c r="CF2067" s="3">
        <v>45797</v>
      </c>
      <c r="CI2067">
        <v>1</v>
      </c>
      <c r="CJ2067">
        <v>1</v>
      </c>
      <c r="CK2067">
        <v>21</v>
      </c>
      <c r="CL2067" t="s">
        <v>89</v>
      </c>
    </row>
    <row r="2068" spans="1:90" x14ac:dyDescent="0.3">
      <c r="A2068" t="s">
        <v>72</v>
      </c>
      <c r="B2068" t="s">
        <v>73</v>
      </c>
      <c r="C2068" t="s">
        <v>74</v>
      </c>
      <c r="E2068" t="str">
        <f>"080065440153"</f>
        <v>080065440153</v>
      </c>
      <c r="F2068" s="3">
        <v>45796</v>
      </c>
      <c r="G2068">
        <v>202602</v>
      </c>
      <c r="H2068" t="s">
        <v>75</v>
      </c>
      <c r="I2068" t="s">
        <v>76</v>
      </c>
      <c r="J2068" t="s">
        <v>77</v>
      </c>
      <c r="K2068" t="s">
        <v>78</v>
      </c>
      <c r="L2068" t="s">
        <v>1503</v>
      </c>
      <c r="M2068" t="s">
        <v>1504</v>
      </c>
      <c r="N2068" t="s">
        <v>2536</v>
      </c>
      <c r="O2068" t="s">
        <v>82</v>
      </c>
      <c r="P2068" t="str">
        <f>"4170039327                    "</f>
        <v xml:space="preserve">4170039327                    </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c r="AI2068">
        <v>0</v>
      </c>
      <c r="AJ2068">
        <v>0</v>
      </c>
      <c r="AK2068">
        <v>0</v>
      </c>
      <c r="AL2068">
        <v>0</v>
      </c>
      <c r="AM2068">
        <v>0</v>
      </c>
      <c r="AN2068">
        <v>0</v>
      </c>
      <c r="AO2068">
        <v>0</v>
      </c>
      <c r="AP2068">
        <v>0</v>
      </c>
      <c r="AQ2068">
        <v>41.43</v>
      </c>
      <c r="AR2068">
        <v>0</v>
      </c>
      <c r="AS2068">
        <v>0</v>
      </c>
      <c r="AT2068">
        <v>0</v>
      </c>
      <c r="AU2068">
        <v>0</v>
      </c>
      <c r="AV2068">
        <v>0</v>
      </c>
      <c r="AW2068">
        <v>0</v>
      </c>
      <c r="AX2068">
        <v>0</v>
      </c>
      <c r="AY2068">
        <v>0</v>
      </c>
      <c r="AZ2068">
        <v>0</v>
      </c>
      <c r="BA2068">
        <v>0</v>
      </c>
      <c r="BB2068">
        <v>0</v>
      </c>
      <c r="BC2068">
        <v>0</v>
      </c>
      <c r="BD2068">
        <v>0</v>
      </c>
      <c r="BE2068">
        <v>0</v>
      </c>
      <c r="BF2068">
        <v>0</v>
      </c>
      <c r="BG2068">
        <v>0</v>
      </c>
      <c r="BH2068">
        <v>1</v>
      </c>
      <c r="BI2068">
        <v>1</v>
      </c>
      <c r="BJ2068">
        <v>0.2</v>
      </c>
      <c r="BK2068">
        <v>1</v>
      </c>
      <c r="BL2068">
        <v>135.59</v>
      </c>
      <c r="BM2068">
        <v>20.34</v>
      </c>
      <c r="BN2068">
        <v>155.93</v>
      </c>
      <c r="BO2068">
        <v>155.93</v>
      </c>
      <c r="BQ2068" t="s">
        <v>2537</v>
      </c>
      <c r="BR2068" t="s">
        <v>84</v>
      </c>
      <c r="BS2068" s="3">
        <v>45797</v>
      </c>
      <c r="BT2068" s="4">
        <v>0.41597222222222224</v>
      </c>
      <c r="BU2068" t="s">
        <v>2395</v>
      </c>
      <c r="BV2068" t="s">
        <v>86</v>
      </c>
      <c r="BY2068">
        <v>1200</v>
      </c>
      <c r="CA2068" t="s">
        <v>2538</v>
      </c>
      <c r="CC2068" t="s">
        <v>1504</v>
      </c>
      <c r="CD2068">
        <v>4340</v>
      </c>
      <c r="CE2068" t="s">
        <v>88</v>
      </c>
      <c r="CF2068" s="3">
        <v>45798</v>
      </c>
      <c r="CI2068">
        <v>1</v>
      </c>
      <c r="CJ2068">
        <v>1</v>
      </c>
      <c r="CK2068">
        <v>23</v>
      </c>
      <c r="CL2068" t="s">
        <v>89</v>
      </c>
    </row>
    <row r="2069" spans="1:90" x14ac:dyDescent="0.3">
      <c r="A2069" t="s">
        <v>72</v>
      </c>
      <c r="B2069" t="s">
        <v>73</v>
      </c>
      <c r="C2069" t="s">
        <v>74</v>
      </c>
      <c r="E2069" t="str">
        <f>"080065440164"</f>
        <v>080065440164</v>
      </c>
      <c r="F2069" s="3">
        <v>45796</v>
      </c>
      <c r="G2069">
        <v>202602</v>
      </c>
      <c r="H2069" t="s">
        <v>75</v>
      </c>
      <c r="I2069" t="s">
        <v>76</v>
      </c>
      <c r="J2069" t="s">
        <v>77</v>
      </c>
      <c r="K2069" t="s">
        <v>78</v>
      </c>
      <c r="L2069" t="s">
        <v>103</v>
      </c>
      <c r="M2069" t="s">
        <v>104</v>
      </c>
      <c r="N2069" t="s">
        <v>952</v>
      </c>
      <c r="O2069" t="s">
        <v>82</v>
      </c>
      <c r="P2069" t="str">
        <f>"4170039205                    "</f>
        <v xml:space="preserve">4170039205                    </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0</v>
      </c>
      <c r="AJ2069">
        <v>0</v>
      </c>
      <c r="AK2069">
        <v>0</v>
      </c>
      <c r="AL2069">
        <v>0</v>
      </c>
      <c r="AM2069">
        <v>0</v>
      </c>
      <c r="AN2069">
        <v>0</v>
      </c>
      <c r="AO2069">
        <v>0</v>
      </c>
      <c r="AP2069">
        <v>0</v>
      </c>
      <c r="AQ2069">
        <v>21.38</v>
      </c>
      <c r="AR2069">
        <v>0</v>
      </c>
      <c r="AS2069">
        <v>0</v>
      </c>
      <c r="AT2069">
        <v>0</v>
      </c>
      <c r="AU2069">
        <v>0</v>
      </c>
      <c r="AV2069">
        <v>0</v>
      </c>
      <c r="AW2069">
        <v>0</v>
      </c>
      <c r="AX2069">
        <v>0</v>
      </c>
      <c r="AY2069">
        <v>0</v>
      </c>
      <c r="AZ2069">
        <v>0</v>
      </c>
      <c r="BA2069">
        <v>0</v>
      </c>
      <c r="BB2069">
        <v>0</v>
      </c>
      <c r="BC2069">
        <v>0</v>
      </c>
      <c r="BD2069">
        <v>0</v>
      </c>
      <c r="BE2069">
        <v>0</v>
      </c>
      <c r="BF2069">
        <v>0</v>
      </c>
      <c r="BG2069">
        <v>0</v>
      </c>
      <c r="BH2069">
        <v>1</v>
      </c>
      <c r="BI2069">
        <v>2</v>
      </c>
      <c r="BJ2069">
        <v>1.4</v>
      </c>
      <c r="BK2069">
        <v>2</v>
      </c>
      <c r="BL2069">
        <v>69.98</v>
      </c>
      <c r="BM2069">
        <v>10.5</v>
      </c>
      <c r="BN2069">
        <v>80.48</v>
      </c>
      <c r="BO2069">
        <v>80.48</v>
      </c>
      <c r="BQ2069" t="s">
        <v>953</v>
      </c>
      <c r="BR2069" t="s">
        <v>84</v>
      </c>
      <c r="BS2069" s="3">
        <v>45797</v>
      </c>
      <c r="BT2069" s="4">
        <v>0.3888888888888889</v>
      </c>
      <c r="BU2069" t="s">
        <v>2539</v>
      </c>
      <c r="BV2069" t="s">
        <v>86</v>
      </c>
      <c r="BY2069">
        <v>7000</v>
      </c>
      <c r="CA2069" t="s">
        <v>108</v>
      </c>
      <c r="CC2069" t="s">
        <v>104</v>
      </c>
      <c r="CD2069">
        <v>3201</v>
      </c>
      <c r="CE2069" t="s">
        <v>96</v>
      </c>
      <c r="CF2069" s="3">
        <v>45798</v>
      </c>
      <c r="CI2069">
        <v>1</v>
      </c>
      <c r="CJ2069">
        <v>1</v>
      </c>
      <c r="CK2069">
        <v>21</v>
      </c>
      <c r="CL2069" t="s">
        <v>89</v>
      </c>
    </row>
    <row r="2070" spans="1:90" x14ac:dyDescent="0.3">
      <c r="A2070" t="s">
        <v>72</v>
      </c>
      <c r="B2070" t="s">
        <v>73</v>
      </c>
      <c r="C2070" t="s">
        <v>74</v>
      </c>
      <c r="E2070" t="str">
        <f>"080065440184"</f>
        <v>080065440184</v>
      </c>
      <c r="F2070" s="3">
        <v>45796</v>
      </c>
      <c r="G2070">
        <v>202602</v>
      </c>
      <c r="H2070" t="s">
        <v>75</v>
      </c>
      <c r="I2070" t="s">
        <v>76</v>
      </c>
      <c r="J2070" t="s">
        <v>77</v>
      </c>
      <c r="K2070" t="s">
        <v>78</v>
      </c>
      <c r="L2070" t="s">
        <v>90</v>
      </c>
      <c r="M2070" t="s">
        <v>91</v>
      </c>
      <c r="N2070" t="s">
        <v>1211</v>
      </c>
      <c r="O2070" t="s">
        <v>82</v>
      </c>
      <c r="P2070" t="str">
        <f>"4170039230                    "</f>
        <v xml:space="preserve">4170039230                    </v>
      </c>
      <c r="Q2070">
        <v>0</v>
      </c>
      <c r="R2070">
        <v>0</v>
      </c>
      <c r="S2070">
        <v>0</v>
      </c>
      <c r="T2070">
        <v>0</v>
      </c>
      <c r="U2070">
        <v>0</v>
      </c>
      <c r="V2070">
        <v>0</v>
      </c>
      <c r="W2070">
        <v>0</v>
      </c>
      <c r="X2070">
        <v>0</v>
      </c>
      <c r="Y2070">
        <v>0</v>
      </c>
      <c r="Z2070">
        <v>0</v>
      </c>
      <c r="AA2070">
        <v>0</v>
      </c>
      <c r="AB2070">
        <v>0</v>
      </c>
      <c r="AC2070">
        <v>0</v>
      </c>
      <c r="AD2070">
        <v>0</v>
      </c>
      <c r="AE2070">
        <v>0</v>
      </c>
      <c r="AF2070">
        <v>0</v>
      </c>
      <c r="AG2070">
        <v>0</v>
      </c>
      <c r="AH2070">
        <v>0</v>
      </c>
      <c r="AI2070">
        <v>0</v>
      </c>
      <c r="AJ2070">
        <v>0</v>
      </c>
      <c r="AK2070">
        <v>0</v>
      </c>
      <c r="AL2070">
        <v>0</v>
      </c>
      <c r="AM2070">
        <v>0</v>
      </c>
      <c r="AN2070">
        <v>0</v>
      </c>
      <c r="AO2070">
        <v>0</v>
      </c>
      <c r="AP2070">
        <v>0</v>
      </c>
      <c r="AQ2070">
        <v>21.38</v>
      </c>
      <c r="AR2070">
        <v>0</v>
      </c>
      <c r="AS2070">
        <v>0</v>
      </c>
      <c r="AT2070">
        <v>0</v>
      </c>
      <c r="AU2070">
        <v>0</v>
      </c>
      <c r="AV2070">
        <v>0</v>
      </c>
      <c r="AW2070">
        <v>0</v>
      </c>
      <c r="AX2070">
        <v>0</v>
      </c>
      <c r="AY2070">
        <v>0</v>
      </c>
      <c r="AZ2070">
        <v>0</v>
      </c>
      <c r="BA2070">
        <v>0</v>
      </c>
      <c r="BB2070">
        <v>0</v>
      </c>
      <c r="BC2070">
        <v>0</v>
      </c>
      <c r="BD2070">
        <v>0</v>
      </c>
      <c r="BE2070">
        <v>0</v>
      </c>
      <c r="BF2070">
        <v>0</v>
      </c>
      <c r="BG2070">
        <v>0</v>
      </c>
      <c r="BH2070">
        <v>1</v>
      </c>
      <c r="BI2070">
        <v>1</v>
      </c>
      <c r="BJ2070">
        <v>0.2</v>
      </c>
      <c r="BK2070">
        <v>1</v>
      </c>
      <c r="BL2070">
        <v>69.98</v>
      </c>
      <c r="BM2070">
        <v>10.5</v>
      </c>
      <c r="BN2070">
        <v>80.48</v>
      </c>
      <c r="BO2070">
        <v>80.48</v>
      </c>
      <c r="BQ2070" t="s">
        <v>1212</v>
      </c>
      <c r="BR2070" t="s">
        <v>84</v>
      </c>
      <c r="BS2070" s="3">
        <v>45797</v>
      </c>
      <c r="BT2070" s="4">
        <v>0.37083333333333335</v>
      </c>
      <c r="BU2070" t="s">
        <v>1213</v>
      </c>
      <c r="BV2070" t="s">
        <v>86</v>
      </c>
      <c r="BY2070">
        <v>1200</v>
      </c>
      <c r="CA2070" t="s">
        <v>283</v>
      </c>
      <c r="CC2070" t="s">
        <v>91</v>
      </c>
      <c r="CD2070">
        <v>6012</v>
      </c>
      <c r="CE2070" t="s">
        <v>88</v>
      </c>
      <c r="CF2070" s="3">
        <v>45797</v>
      </c>
      <c r="CI2070">
        <v>1</v>
      </c>
      <c r="CJ2070">
        <v>1</v>
      </c>
      <c r="CK2070">
        <v>21</v>
      </c>
      <c r="CL2070" t="s">
        <v>89</v>
      </c>
    </row>
    <row r="2071" spans="1:90" x14ac:dyDescent="0.3">
      <c r="A2071" t="s">
        <v>72</v>
      </c>
      <c r="B2071" t="s">
        <v>73</v>
      </c>
      <c r="C2071" t="s">
        <v>74</v>
      </c>
      <c r="E2071" t="str">
        <f>"080065440205"</f>
        <v>080065440205</v>
      </c>
      <c r="F2071" s="3">
        <v>45796</v>
      </c>
      <c r="G2071">
        <v>202602</v>
      </c>
      <c r="H2071" t="s">
        <v>75</v>
      </c>
      <c r="I2071" t="s">
        <v>76</v>
      </c>
      <c r="J2071" t="s">
        <v>77</v>
      </c>
      <c r="K2071" t="s">
        <v>78</v>
      </c>
      <c r="L2071" t="s">
        <v>350</v>
      </c>
      <c r="M2071" t="s">
        <v>351</v>
      </c>
      <c r="N2071" t="s">
        <v>459</v>
      </c>
      <c r="O2071" t="s">
        <v>82</v>
      </c>
      <c r="P2071" t="str">
        <f>"4170039104                    "</f>
        <v xml:space="preserve">4170039104                    </v>
      </c>
      <c r="Q2071">
        <v>0</v>
      </c>
      <c r="R2071">
        <v>0</v>
      </c>
      <c r="S2071">
        <v>0</v>
      </c>
      <c r="T2071">
        <v>0</v>
      </c>
      <c r="U2071">
        <v>0</v>
      </c>
      <c r="V2071">
        <v>0</v>
      </c>
      <c r="W2071">
        <v>0</v>
      </c>
      <c r="X2071">
        <v>0</v>
      </c>
      <c r="Y2071">
        <v>0</v>
      </c>
      <c r="Z2071">
        <v>0</v>
      </c>
      <c r="AA2071">
        <v>0</v>
      </c>
      <c r="AB2071">
        <v>0</v>
      </c>
      <c r="AC2071">
        <v>0</v>
      </c>
      <c r="AD2071">
        <v>0</v>
      </c>
      <c r="AE2071">
        <v>0</v>
      </c>
      <c r="AF2071">
        <v>0</v>
      </c>
      <c r="AG2071">
        <v>0</v>
      </c>
      <c r="AH2071">
        <v>0</v>
      </c>
      <c r="AI2071">
        <v>0</v>
      </c>
      <c r="AJ2071">
        <v>0</v>
      </c>
      <c r="AK2071">
        <v>0</v>
      </c>
      <c r="AL2071">
        <v>0</v>
      </c>
      <c r="AM2071">
        <v>0</v>
      </c>
      <c r="AN2071">
        <v>0</v>
      </c>
      <c r="AO2071">
        <v>0</v>
      </c>
      <c r="AP2071">
        <v>0</v>
      </c>
      <c r="AQ2071">
        <v>32.07</v>
      </c>
      <c r="AR2071">
        <v>0</v>
      </c>
      <c r="AS2071">
        <v>0</v>
      </c>
      <c r="AT2071">
        <v>0</v>
      </c>
      <c r="AU2071">
        <v>0</v>
      </c>
      <c r="AV2071">
        <v>0</v>
      </c>
      <c r="AW2071">
        <v>0</v>
      </c>
      <c r="AX2071">
        <v>0</v>
      </c>
      <c r="AY2071">
        <v>0</v>
      </c>
      <c r="AZ2071">
        <v>0</v>
      </c>
      <c r="BA2071">
        <v>0</v>
      </c>
      <c r="BB2071">
        <v>0</v>
      </c>
      <c r="BC2071">
        <v>0</v>
      </c>
      <c r="BD2071">
        <v>0</v>
      </c>
      <c r="BE2071">
        <v>0</v>
      </c>
      <c r="BF2071">
        <v>0</v>
      </c>
      <c r="BG2071">
        <v>0</v>
      </c>
      <c r="BH2071">
        <v>1</v>
      </c>
      <c r="BI2071">
        <v>3</v>
      </c>
      <c r="BJ2071">
        <v>1.9</v>
      </c>
      <c r="BK2071">
        <v>3</v>
      </c>
      <c r="BL2071">
        <v>104.95</v>
      </c>
      <c r="BM2071">
        <v>15.74</v>
      </c>
      <c r="BN2071">
        <v>120.69</v>
      </c>
      <c r="BO2071">
        <v>120.69</v>
      </c>
      <c r="BQ2071" t="s">
        <v>460</v>
      </c>
      <c r="BR2071" t="s">
        <v>84</v>
      </c>
      <c r="BS2071" s="3">
        <v>45797</v>
      </c>
      <c r="BT2071" s="4">
        <v>0.33958333333333335</v>
      </c>
      <c r="BU2071" t="s">
        <v>1121</v>
      </c>
      <c r="BV2071" t="s">
        <v>86</v>
      </c>
      <c r="BY2071">
        <v>9600</v>
      </c>
      <c r="CA2071" t="s">
        <v>462</v>
      </c>
      <c r="CC2071" t="s">
        <v>351</v>
      </c>
      <c r="CD2071">
        <v>4051</v>
      </c>
      <c r="CE2071" t="s">
        <v>96</v>
      </c>
      <c r="CF2071" s="3">
        <v>45797</v>
      </c>
      <c r="CI2071">
        <v>1</v>
      </c>
      <c r="CJ2071">
        <v>1</v>
      </c>
      <c r="CK2071">
        <v>21</v>
      </c>
      <c r="CL2071" t="s">
        <v>89</v>
      </c>
    </row>
    <row r="2072" spans="1:90" x14ac:dyDescent="0.3">
      <c r="A2072" t="s">
        <v>72</v>
      </c>
      <c r="B2072" t="s">
        <v>73</v>
      </c>
      <c r="C2072" t="s">
        <v>74</v>
      </c>
      <c r="E2072" t="str">
        <f>"080065440223"</f>
        <v>080065440223</v>
      </c>
      <c r="F2072" s="3">
        <v>45796</v>
      </c>
      <c r="G2072">
        <v>202602</v>
      </c>
      <c r="H2072" t="s">
        <v>75</v>
      </c>
      <c r="I2072" t="s">
        <v>76</v>
      </c>
      <c r="J2072" t="s">
        <v>77</v>
      </c>
      <c r="K2072" t="s">
        <v>78</v>
      </c>
      <c r="L2072" t="s">
        <v>75</v>
      </c>
      <c r="M2072" t="s">
        <v>76</v>
      </c>
      <c r="N2072" t="s">
        <v>247</v>
      </c>
      <c r="O2072" t="s">
        <v>82</v>
      </c>
      <c r="P2072" t="str">
        <f>"4170039182                    "</f>
        <v xml:space="preserve">4170039182                    </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0</v>
      </c>
      <c r="AJ2072">
        <v>0</v>
      </c>
      <c r="AK2072">
        <v>0</v>
      </c>
      <c r="AL2072">
        <v>0</v>
      </c>
      <c r="AM2072">
        <v>0</v>
      </c>
      <c r="AN2072">
        <v>0</v>
      </c>
      <c r="AO2072">
        <v>0</v>
      </c>
      <c r="AP2072">
        <v>0</v>
      </c>
      <c r="AQ2072">
        <v>16.7</v>
      </c>
      <c r="AR2072">
        <v>0</v>
      </c>
      <c r="AS2072">
        <v>0</v>
      </c>
      <c r="AT2072">
        <v>0</v>
      </c>
      <c r="AU2072">
        <v>0</v>
      </c>
      <c r="AV2072">
        <v>0</v>
      </c>
      <c r="AW2072">
        <v>0</v>
      </c>
      <c r="AX2072">
        <v>0</v>
      </c>
      <c r="AY2072">
        <v>0</v>
      </c>
      <c r="AZ2072">
        <v>0</v>
      </c>
      <c r="BA2072">
        <v>0</v>
      </c>
      <c r="BB2072">
        <v>0</v>
      </c>
      <c r="BC2072">
        <v>0</v>
      </c>
      <c r="BD2072">
        <v>0</v>
      </c>
      <c r="BE2072">
        <v>0</v>
      </c>
      <c r="BF2072">
        <v>0</v>
      </c>
      <c r="BG2072">
        <v>0</v>
      </c>
      <c r="BH2072">
        <v>1</v>
      </c>
      <c r="BI2072">
        <v>1</v>
      </c>
      <c r="BJ2072">
        <v>0.2</v>
      </c>
      <c r="BK2072">
        <v>1</v>
      </c>
      <c r="BL2072">
        <v>54.66</v>
      </c>
      <c r="BM2072">
        <v>8.1999999999999993</v>
      </c>
      <c r="BN2072">
        <v>62.86</v>
      </c>
      <c r="BO2072">
        <v>62.86</v>
      </c>
      <c r="BQ2072" t="s">
        <v>248</v>
      </c>
      <c r="BR2072" t="s">
        <v>84</v>
      </c>
      <c r="BS2072" s="3">
        <v>45797</v>
      </c>
      <c r="BT2072" s="4">
        <v>0.39097222222222222</v>
      </c>
      <c r="BU2072" t="s">
        <v>249</v>
      </c>
      <c r="BV2072" t="s">
        <v>86</v>
      </c>
      <c r="BY2072">
        <v>1200</v>
      </c>
      <c r="CA2072" t="s">
        <v>115</v>
      </c>
      <c r="CC2072" t="s">
        <v>76</v>
      </c>
      <c r="CD2072">
        <v>1624</v>
      </c>
      <c r="CE2072" t="s">
        <v>88</v>
      </c>
      <c r="CF2072" s="3">
        <v>45797</v>
      </c>
      <c r="CI2072">
        <v>1</v>
      </c>
      <c r="CJ2072">
        <v>1</v>
      </c>
      <c r="CK2072">
        <v>22</v>
      </c>
      <c r="CL2072" t="s">
        <v>89</v>
      </c>
    </row>
    <row r="2073" spans="1:90" x14ac:dyDescent="0.3">
      <c r="A2073" t="s">
        <v>72</v>
      </c>
      <c r="B2073" t="s">
        <v>73</v>
      </c>
      <c r="C2073" t="s">
        <v>74</v>
      </c>
      <c r="E2073" t="str">
        <f>"080065440239"</f>
        <v>080065440239</v>
      </c>
      <c r="F2073" s="3">
        <v>45796</v>
      </c>
      <c r="G2073">
        <v>202602</v>
      </c>
      <c r="H2073" t="s">
        <v>75</v>
      </c>
      <c r="I2073" t="s">
        <v>76</v>
      </c>
      <c r="J2073" t="s">
        <v>77</v>
      </c>
      <c r="K2073" t="s">
        <v>78</v>
      </c>
      <c r="L2073" t="s">
        <v>130</v>
      </c>
      <c r="M2073" t="s">
        <v>131</v>
      </c>
      <c r="N2073" t="s">
        <v>343</v>
      </c>
      <c r="O2073" t="s">
        <v>82</v>
      </c>
      <c r="P2073" t="str">
        <f>"4170039167                    "</f>
        <v xml:space="preserve">4170039167                    </v>
      </c>
      <c r="Q2073">
        <v>0</v>
      </c>
      <c r="R2073">
        <v>0</v>
      </c>
      <c r="S2073">
        <v>0</v>
      </c>
      <c r="T2073">
        <v>0</v>
      </c>
      <c r="U2073">
        <v>0</v>
      </c>
      <c r="V2073">
        <v>0</v>
      </c>
      <c r="W2073">
        <v>0</v>
      </c>
      <c r="X2073">
        <v>0</v>
      </c>
      <c r="Y2073">
        <v>0</v>
      </c>
      <c r="Z2073">
        <v>0</v>
      </c>
      <c r="AA2073">
        <v>0</v>
      </c>
      <c r="AB2073">
        <v>0</v>
      </c>
      <c r="AC2073">
        <v>0</v>
      </c>
      <c r="AD2073">
        <v>0</v>
      </c>
      <c r="AE2073">
        <v>0</v>
      </c>
      <c r="AF2073">
        <v>0</v>
      </c>
      <c r="AG2073">
        <v>0</v>
      </c>
      <c r="AH2073">
        <v>0</v>
      </c>
      <c r="AI2073">
        <v>0</v>
      </c>
      <c r="AJ2073">
        <v>0</v>
      </c>
      <c r="AK2073">
        <v>0</v>
      </c>
      <c r="AL2073">
        <v>0</v>
      </c>
      <c r="AM2073">
        <v>0</v>
      </c>
      <c r="AN2073">
        <v>0</v>
      </c>
      <c r="AO2073">
        <v>0</v>
      </c>
      <c r="AP2073">
        <v>0</v>
      </c>
      <c r="AQ2073">
        <v>21.38</v>
      </c>
      <c r="AR2073">
        <v>0</v>
      </c>
      <c r="AS2073">
        <v>0</v>
      </c>
      <c r="AT2073">
        <v>0</v>
      </c>
      <c r="AU2073">
        <v>0</v>
      </c>
      <c r="AV2073">
        <v>0</v>
      </c>
      <c r="AW2073">
        <v>0</v>
      </c>
      <c r="AX2073">
        <v>0</v>
      </c>
      <c r="AY2073">
        <v>0</v>
      </c>
      <c r="AZ2073">
        <v>0</v>
      </c>
      <c r="BA2073">
        <v>0</v>
      </c>
      <c r="BB2073">
        <v>0</v>
      </c>
      <c r="BC2073">
        <v>0</v>
      </c>
      <c r="BD2073">
        <v>0</v>
      </c>
      <c r="BE2073">
        <v>0</v>
      </c>
      <c r="BF2073">
        <v>0</v>
      </c>
      <c r="BG2073">
        <v>0</v>
      </c>
      <c r="BH2073">
        <v>1</v>
      </c>
      <c r="BI2073">
        <v>2</v>
      </c>
      <c r="BJ2073">
        <v>1.9</v>
      </c>
      <c r="BK2073">
        <v>2</v>
      </c>
      <c r="BL2073">
        <v>69.98</v>
      </c>
      <c r="BM2073">
        <v>10.5</v>
      </c>
      <c r="BN2073">
        <v>80.48</v>
      </c>
      <c r="BO2073">
        <v>80.48</v>
      </c>
      <c r="BQ2073" t="s">
        <v>344</v>
      </c>
      <c r="BR2073" t="s">
        <v>84</v>
      </c>
      <c r="BS2073" s="3">
        <v>45797</v>
      </c>
      <c r="BT2073" s="4">
        <v>0.40625</v>
      </c>
      <c r="BU2073" t="s">
        <v>1427</v>
      </c>
      <c r="BV2073" t="s">
        <v>86</v>
      </c>
      <c r="BY2073">
        <v>9600</v>
      </c>
      <c r="CA2073" t="s">
        <v>242</v>
      </c>
      <c r="CC2073" t="s">
        <v>131</v>
      </c>
      <c r="CD2073">
        <v>7441</v>
      </c>
      <c r="CE2073" t="s">
        <v>96</v>
      </c>
      <c r="CF2073" s="3">
        <v>45798</v>
      </c>
      <c r="CI2073">
        <v>1</v>
      </c>
      <c r="CJ2073">
        <v>1</v>
      </c>
      <c r="CK2073">
        <v>21</v>
      </c>
      <c r="CL2073" t="s">
        <v>89</v>
      </c>
    </row>
    <row r="2074" spans="1:90" x14ac:dyDescent="0.3">
      <c r="A2074" t="s">
        <v>72</v>
      </c>
      <c r="B2074" t="s">
        <v>73</v>
      </c>
      <c r="C2074" t="s">
        <v>74</v>
      </c>
      <c r="E2074" t="str">
        <f>"080065440258"</f>
        <v>080065440258</v>
      </c>
      <c r="F2074" s="3">
        <v>45796</v>
      </c>
      <c r="G2074">
        <v>202602</v>
      </c>
      <c r="H2074" t="s">
        <v>75</v>
      </c>
      <c r="I2074" t="s">
        <v>76</v>
      </c>
      <c r="J2074" t="s">
        <v>77</v>
      </c>
      <c r="K2074" t="s">
        <v>78</v>
      </c>
      <c r="L2074" t="s">
        <v>103</v>
      </c>
      <c r="M2074" t="s">
        <v>104</v>
      </c>
      <c r="N2074" t="s">
        <v>105</v>
      </c>
      <c r="O2074" t="s">
        <v>82</v>
      </c>
      <c r="P2074" t="str">
        <f>"4170039415                    "</f>
        <v xml:space="preserve">4170039415                    </v>
      </c>
      <c r="Q2074">
        <v>0</v>
      </c>
      <c r="R2074">
        <v>0</v>
      </c>
      <c r="S2074">
        <v>0</v>
      </c>
      <c r="T2074">
        <v>0</v>
      </c>
      <c r="U2074">
        <v>0</v>
      </c>
      <c r="V2074">
        <v>0</v>
      </c>
      <c r="W2074">
        <v>0</v>
      </c>
      <c r="X2074">
        <v>0</v>
      </c>
      <c r="Y2074">
        <v>0</v>
      </c>
      <c r="Z2074">
        <v>0</v>
      </c>
      <c r="AA2074">
        <v>0</v>
      </c>
      <c r="AB2074">
        <v>0</v>
      </c>
      <c r="AC2074">
        <v>0</v>
      </c>
      <c r="AD2074">
        <v>0</v>
      </c>
      <c r="AE2074">
        <v>0</v>
      </c>
      <c r="AF2074">
        <v>0</v>
      </c>
      <c r="AG2074">
        <v>0</v>
      </c>
      <c r="AH2074">
        <v>0</v>
      </c>
      <c r="AI2074">
        <v>0</v>
      </c>
      <c r="AJ2074">
        <v>0</v>
      </c>
      <c r="AK2074">
        <v>0</v>
      </c>
      <c r="AL2074">
        <v>0</v>
      </c>
      <c r="AM2074">
        <v>0</v>
      </c>
      <c r="AN2074">
        <v>0</v>
      </c>
      <c r="AO2074">
        <v>0</v>
      </c>
      <c r="AP2074">
        <v>0</v>
      </c>
      <c r="AQ2074">
        <v>21.38</v>
      </c>
      <c r="AR2074">
        <v>0</v>
      </c>
      <c r="AS2074">
        <v>0</v>
      </c>
      <c r="AT2074">
        <v>0</v>
      </c>
      <c r="AU2074">
        <v>0</v>
      </c>
      <c r="AV2074">
        <v>0</v>
      </c>
      <c r="AW2074">
        <v>0</v>
      </c>
      <c r="AX2074">
        <v>0</v>
      </c>
      <c r="AY2074">
        <v>0</v>
      </c>
      <c r="AZ2074">
        <v>0</v>
      </c>
      <c r="BA2074">
        <v>0</v>
      </c>
      <c r="BB2074">
        <v>0</v>
      </c>
      <c r="BC2074">
        <v>0</v>
      </c>
      <c r="BD2074">
        <v>0</v>
      </c>
      <c r="BE2074">
        <v>0</v>
      </c>
      <c r="BF2074">
        <v>0</v>
      </c>
      <c r="BG2074">
        <v>0</v>
      </c>
      <c r="BH2074">
        <v>1</v>
      </c>
      <c r="BI2074">
        <v>1</v>
      </c>
      <c r="BJ2074">
        <v>0.2</v>
      </c>
      <c r="BK2074">
        <v>1</v>
      </c>
      <c r="BL2074">
        <v>69.98</v>
      </c>
      <c r="BM2074">
        <v>10.5</v>
      </c>
      <c r="BN2074">
        <v>80.48</v>
      </c>
      <c r="BO2074">
        <v>80.48</v>
      </c>
      <c r="BQ2074" t="s">
        <v>106</v>
      </c>
      <c r="BR2074" t="s">
        <v>84</v>
      </c>
      <c r="BS2074" s="3">
        <v>45797</v>
      </c>
      <c r="BT2074" s="4">
        <v>0.41666666666666669</v>
      </c>
      <c r="BU2074" t="s">
        <v>2540</v>
      </c>
      <c r="BV2074" t="s">
        <v>86</v>
      </c>
      <c r="BY2074">
        <v>1200</v>
      </c>
      <c r="CA2074" t="s">
        <v>108</v>
      </c>
      <c r="CC2074" t="s">
        <v>104</v>
      </c>
      <c r="CD2074">
        <v>3201</v>
      </c>
      <c r="CE2074" t="s">
        <v>88</v>
      </c>
      <c r="CF2074" s="3">
        <v>45798</v>
      </c>
      <c r="CI2074">
        <v>1</v>
      </c>
      <c r="CJ2074">
        <v>1</v>
      </c>
      <c r="CK2074">
        <v>21</v>
      </c>
      <c r="CL2074" t="s">
        <v>89</v>
      </c>
    </row>
    <row r="2075" spans="1:90" x14ac:dyDescent="0.3">
      <c r="A2075" t="s">
        <v>72</v>
      </c>
      <c r="B2075" t="s">
        <v>73</v>
      </c>
      <c r="C2075" t="s">
        <v>74</v>
      </c>
      <c r="E2075" t="str">
        <f>"080065440285"</f>
        <v>080065440285</v>
      </c>
      <c r="F2075" s="3">
        <v>45796</v>
      </c>
      <c r="G2075">
        <v>202602</v>
      </c>
      <c r="H2075" t="s">
        <v>75</v>
      </c>
      <c r="I2075" t="s">
        <v>76</v>
      </c>
      <c r="J2075" t="s">
        <v>77</v>
      </c>
      <c r="K2075" t="s">
        <v>78</v>
      </c>
      <c r="L2075" t="s">
        <v>331</v>
      </c>
      <c r="M2075" t="s">
        <v>332</v>
      </c>
      <c r="N2075" t="s">
        <v>333</v>
      </c>
      <c r="O2075" t="s">
        <v>82</v>
      </c>
      <c r="P2075" t="str">
        <f>"4170039309                    "</f>
        <v xml:space="preserve">4170039309                    </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c r="AI2075">
        <v>0</v>
      </c>
      <c r="AJ2075">
        <v>0</v>
      </c>
      <c r="AK2075">
        <v>0</v>
      </c>
      <c r="AL2075">
        <v>0</v>
      </c>
      <c r="AM2075">
        <v>0</v>
      </c>
      <c r="AN2075">
        <v>0</v>
      </c>
      <c r="AO2075">
        <v>0</v>
      </c>
      <c r="AP2075">
        <v>0</v>
      </c>
      <c r="AQ2075">
        <v>16.7</v>
      </c>
      <c r="AR2075">
        <v>0</v>
      </c>
      <c r="AS2075">
        <v>0</v>
      </c>
      <c r="AT2075">
        <v>0</v>
      </c>
      <c r="AU2075">
        <v>0</v>
      </c>
      <c r="AV2075">
        <v>0</v>
      </c>
      <c r="AW2075">
        <v>0</v>
      </c>
      <c r="AX2075">
        <v>0</v>
      </c>
      <c r="AY2075">
        <v>0</v>
      </c>
      <c r="AZ2075">
        <v>0</v>
      </c>
      <c r="BA2075">
        <v>0</v>
      </c>
      <c r="BB2075">
        <v>0</v>
      </c>
      <c r="BC2075">
        <v>0</v>
      </c>
      <c r="BD2075">
        <v>0</v>
      </c>
      <c r="BE2075">
        <v>0</v>
      </c>
      <c r="BF2075">
        <v>0</v>
      </c>
      <c r="BG2075">
        <v>0</v>
      </c>
      <c r="BH2075">
        <v>1</v>
      </c>
      <c r="BI2075">
        <v>3</v>
      </c>
      <c r="BJ2075">
        <v>1.4</v>
      </c>
      <c r="BK2075">
        <v>3</v>
      </c>
      <c r="BL2075">
        <v>54.66</v>
      </c>
      <c r="BM2075">
        <v>8.1999999999999993</v>
      </c>
      <c r="BN2075">
        <v>62.86</v>
      </c>
      <c r="BO2075">
        <v>62.86</v>
      </c>
      <c r="BQ2075" t="s">
        <v>334</v>
      </c>
      <c r="BR2075" t="s">
        <v>84</v>
      </c>
      <c r="BS2075" s="3">
        <v>45797</v>
      </c>
      <c r="BT2075" s="4">
        <v>0.41944444444444445</v>
      </c>
      <c r="BU2075" t="s">
        <v>335</v>
      </c>
      <c r="BV2075" t="s">
        <v>86</v>
      </c>
      <c r="BY2075">
        <v>7000</v>
      </c>
      <c r="CA2075" t="s">
        <v>336</v>
      </c>
      <c r="CC2075" t="s">
        <v>332</v>
      </c>
      <c r="CD2075">
        <v>1451</v>
      </c>
      <c r="CE2075" t="s">
        <v>96</v>
      </c>
      <c r="CF2075" s="3">
        <v>45797</v>
      </c>
      <c r="CI2075">
        <v>1</v>
      </c>
      <c r="CJ2075">
        <v>1</v>
      </c>
      <c r="CK2075">
        <v>22</v>
      </c>
      <c r="CL2075" t="s">
        <v>89</v>
      </c>
    </row>
    <row r="2076" spans="1:90" x14ac:dyDescent="0.3">
      <c r="A2076" t="s">
        <v>72</v>
      </c>
      <c r="B2076" t="s">
        <v>73</v>
      </c>
      <c r="C2076" t="s">
        <v>74</v>
      </c>
      <c r="E2076" t="str">
        <f>"080065440306"</f>
        <v>080065440306</v>
      </c>
      <c r="F2076" s="3">
        <v>45796</v>
      </c>
      <c r="G2076">
        <v>202602</v>
      </c>
      <c r="H2076" t="s">
        <v>75</v>
      </c>
      <c r="I2076" t="s">
        <v>76</v>
      </c>
      <c r="J2076" t="s">
        <v>77</v>
      </c>
      <c r="K2076" t="s">
        <v>78</v>
      </c>
      <c r="L2076" t="s">
        <v>123</v>
      </c>
      <c r="M2076" t="s">
        <v>123</v>
      </c>
      <c r="N2076" t="s">
        <v>766</v>
      </c>
      <c r="O2076" t="s">
        <v>82</v>
      </c>
      <c r="P2076" t="str">
        <f>"4170039164                    "</f>
        <v xml:space="preserve">4170039164                    </v>
      </c>
      <c r="Q2076">
        <v>0</v>
      </c>
      <c r="R2076">
        <v>0</v>
      </c>
      <c r="S2076">
        <v>0</v>
      </c>
      <c r="T2076">
        <v>0</v>
      </c>
      <c r="U2076">
        <v>0</v>
      </c>
      <c r="V2076">
        <v>0</v>
      </c>
      <c r="W2076">
        <v>0</v>
      </c>
      <c r="X2076">
        <v>0</v>
      </c>
      <c r="Y2076">
        <v>0</v>
      </c>
      <c r="Z2076">
        <v>0</v>
      </c>
      <c r="AA2076">
        <v>0</v>
      </c>
      <c r="AB2076">
        <v>0</v>
      </c>
      <c r="AC2076">
        <v>0</v>
      </c>
      <c r="AD2076">
        <v>0</v>
      </c>
      <c r="AE2076">
        <v>0</v>
      </c>
      <c r="AF2076">
        <v>0</v>
      </c>
      <c r="AG2076">
        <v>0</v>
      </c>
      <c r="AH2076">
        <v>0</v>
      </c>
      <c r="AI2076">
        <v>0</v>
      </c>
      <c r="AJ2076">
        <v>0</v>
      </c>
      <c r="AK2076">
        <v>0</v>
      </c>
      <c r="AL2076">
        <v>0</v>
      </c>
      <c r="AM2076">
        <v>0</v>
      </c>
      <c r="AN2076">
        <v>0</v>
      </c>
      <c r="AO2076">
        <v>0</v>
      </c>
      <c r="AP2076">
        <v>0</v>
      </c>
      <c r="AQ2076">
        <v>41.43</v>
      </c>
      <c r="AR2076">
        <v>0</v>
      </c>
      <c r="AS2076">
        <v>0</v>
      </c>
      <c r="AT2076">
        <v>0</v>
      </c>
      <c r="AU2076">
        <v>0</v>
      </c>
      <c r="AV2076">
        <v>0</v>
      </c>
      <c r="AW2076">
        <v>0</v>
      </c>
      <c r="AX2076">
        <v>0</v>
      </c>
      <c r="AY2076">
        <v>0</v>
      </c>
      <c r="AZ2076">
        <v>0</v>
      </c>
      <c r="BA2076">
        <v>0</v>
      </c>
      <c r="BB2076">
        <v>0</v>
      </c>
      <c r="BC2076">
        <v>0</v>
      </c>
      <c r="BD2076">
        <v>0</v>
      </c>
      <c r="BE2076">
        <v>0</v>
      </c>
      <c r="BF2076">
        <v>0</v>
      </c>
      <c r="BG2076">
        <v>0</v>
      </c>
      <c r="BH2076">
        <v>1</v>
      </c>
      <c r="BI2076">
        <v>1</v>
      </c>
      <c r="BJ2076">
        <v>0.2</v>
      </c>
      <c r="BK2076">
        <v>1</v>
      </c>
      <c r="BL2076">
        <v>135.59</v>
      </c>
      <c r="BM2076">
        <v>20.34</v>
      </c>
      <c r="BN2076">
        <v>155.93</v>
      </c>
      <c r="BO2076">
        <v>155.93</v>
      </c>
      <c r="BQ2076" t="s">
        <v>767</v>
      </c>
      <c r="BR2076" t="s">
        <v>84</v>
      </c>
      <c r="BS2076" s="3">
        <v>45797</v>
      </c>
      <c r="BT2076" s="4">
        <v>0.50208333333333333</v>
      </c>
      <c r="BU2076" t="s">
        <v>768</v>
      </c>
      <c r="BV2076" t="s">
        <v>86</v>
      </c>
      <c r="BY2076">
        <v>1200</v>
      </c>
      <c r="CA2076" t="s">
        <v>128</v>
      </c>
      <c r="CC2076" t="s">
        <v>123</v>
      </c>
      <c r="CD2076">
        <v>7646</v>
      </c>
      <c r="CE2076" t="s">
        <v>88</v>
      </c>
      <c r="CF2076" s="3">
        <v>45798</v>
      </c>
      <c r="CI2076">
        <v>1</v>
      </c>
      <c r="CJ2076">
        <v>1</v>
      </c>
      <c r="CK2076">
        <v>23</v>
      </c>
      <c r="CL2076" t="s">
        <v>89</v>
      </c>
    </row>
    <row r="2077" spans="1:90" x14ac:dyDescent="0.3">
      <c r="A2077" t="s">
        <v>72</v>
      </c>
      <c r="B2077" t="s">
        <v>73</v>
      </c>
      <c r="C2077" t="s">
        <v>74</v>
      </c>
      <c r="E2077" t="str">
        <f>"080065440414"</f>
        <v>080065440414</v>
      </c>
      <c r="F2077" s="3">
        <v>45796</v>
      </c>
      <c r="G2077">
        <v>202602</v>
      </c>
      <c r="H2077" t="s">
        <v>75</v>
      </c>
      <c r="I2077" t="s">
        <v>76</v>
      </c>
      <c r="J2077" t="s">
        <v>77</v>
      </c>
      <c r="K2077" t="s">
        <v>78</v>
      </c>
      <c r="L2077" t="s">
        <v>75</v>
      </c>
      <c r="M2077" t="s">
        <v>76</v>
      </c>
      <c r="N2077" t="s">
        <v>390</v>
      </c>
      <c r="O2077" t="s">
        <v>82</v>
      </c>
      <c r="P2077" t="str">
        <f>"4170039224                    "</f>
        <v xml:space="preserve">4170039224                    </v>
      </c>
      <c r="Q2077">
        <v>0</v>
      </c>
      <c r="R2077">
        <v>0</v>
      </c>
      <c r="S2077">
        <v>0</v>
      </c>
      <c r="T2077">
        <v>0</v>
      </c>
      <c r="U2077">
        <v>0</v>
      </c>
      <c r="V2077">
        <v>0</v>
      </c>
      <c r="W2077">
        <v>0</v>
      </c>
      <c r="X2077">
        <v>0</v>
      </c>
      <c r="Y2077">
        <v>0</v>
      </c>
      <c r="Z2077">
        <v>0</v>
      </c>
      <c r="AA2077">
        <v>0</v>
      </c>
      <c r="AB2077">
        <v>0</v>
      </c>
      <c r="AC2077">
        <v>0</v>
      </c>
      <c r="AD2077">
        <v>0</v>
      </c>
      <c r="AE2077">
        <v>0</v>
      </c>
      <c r="AF2077">
        <v>0</v>
      </c>
      <c r="AG2077">
        <v>0</v>
      </c>
      <c r="AH2077">
        <v>0</v>
      </c>
      <c r="AI2077">
        <v>0</v>
      </c>
      <c r="AJ2077">
        <v>0</v>
      </c>
      <c r="AK2077">
        <v>0</v>
      </c>
      <c r="AL2077">
        <v>0</v>
      </c>
      <c r="AM2077">
        <v>0</v>
      </c>
      <c r="AN2077">
        <v>0</v>
      </c>
      <c r="AO2077">
        <v>0</v>
      </c>
      <c r="AP2077">
        <v>0</v>
      </c>
      <c r="AQ2077">
        <v>16.7</v>
      </c>
      <c r="AR2077">
        <v>0</v>
      </c>
      <c r="AS2077">
        <v>0</v>
      </c>
      <c r="AT2077">
        <v>0</v>
      </c>
      <c r="AU2077">
        <v>0</v>
      </c>
      <c r="AV2077">
        <v>0</v>
      </c>
      <c r="AW2077">
        <v>0</v>
      </c>
      <c r="AX2077">
        <v>0</v>
      </c>
      <c r="AY2077">
        <v>0</v>
      </c>
      <c r="AZ2077">
        <v>0</v>
      </c>
      <c r="BA2077">
        <v>0</v>
      </c>
      <c r="BB2077">
        <v>0</v>
      </c>
      <c r="BC2077">
        <v>0</v>
      </c>
      <c r="BD2077">
        <v>0</v>
      </c>
      <c r="BE2077">
        <v>0</v>
      </c>
      <c r="BF2077">
        <v>0</v>
      </c>
      <c r="BG2077">
        <v>0</v>
      </c>
      <c r="BH2077">
        <v>1</v>
      </c>
      <c r="BI2077">
        <v>1</v>
      </c>
      <c r="BJ2077">
        <v>0.2</v>
      </c>
      <c r="BK2077">
        <v>1</v>
      </c>
      <c r="BL2077">
        <v>54.66</v>
      </c>
      <c r="BM2077">
        <v>8.1999999999999993</v>
      </c>
      <c r="BN2077">
        <v>62.86</v>
      </c>
      <c r="BO2077">
        <v>62.86</v>
      </c>
      <c r="BQ2077" t="s">
        <v>391</v>
      </c>
      <c r="BR2077" t="s">
        <v>84</v>
      </c>
      <c r="BS2077" s="3">
        <v>45797</v>
      </c>
      <c r="BT2077" s="4">
        <v>0.34861111111111109</v>
      </c>
      <c r="BU2077" t="s">
        <v>392</v>
      </c>
      <c r="BV2077" t="s">
        <v>86</v>
      </c>
      <c r="BY2077">
        <v>1200</v>
      </c>
      <c r="CA2077" t="s">
        <v>115</v>
      </c>
      <c r="CC2077" t="s">
        <v>76</v>
      </c>
      <c r="CD2077">
        <v>1600</v>
      </c>
      <c r="CE2077" t="s">
        <v>88</v>
      </c>
      <c r="CF2077" s="3">
        <v>45797</v>
      </c>
      <c r="CI2077">
        <v>1</v>
      </c>
      <c r="CJ2077">
        <v>1</v>
      </c>
      <c r="CK2077">
        <v>22</v>
      </c>
      <c r="CL2077" t="s">
        <v>89</v>
      </c>
    </row>
    <row r="2078" spans="1:90" x14ac:dyDescent="0.3">
      <c r="A2078" t="s">
        <v>72</v>
      </c>
      <c r="B2078" t="s">
        <v>73</v>
      </c>
      <c r="C2078" t="s">
        <v>74</v>
      </c>
      <c r="E2078" t="str">
        <f>"080065440454"</f>
        <v>080065440454</v>
      </c>
      <c r="F2078" s="3">
        <v>45796</v>
      </c>
      <c r="G2078">
        <v>202602</v>
      </c>
      <c r="H2078" t="s">
        <v>75</v>
      </c>
      <c r="I2078" t="s">
        <v>76</v>
      </c>
      <c r="J2078" t="s">
        <v>77</v>
      </c>
      <c r="K2078" t="s">
        <v>78</v>
      </c>
      <c r="L2078" t="s">
        <v>350</v>
      </c>
      <c r="M2078" t="s">
        <v>351</v>
      </c>
      <c r="N2078" t="s">
        <v>678</v>
      </c>
      <c r="O2078" t="s">
        <v>82</v>
      </c>
      <c r="P2078" t="str">
        <f>"4170039195                    "</f>
        <v xml:space="preserve">4170039195                    </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0</v>
      </c>
      <c r="AL2078">
        <v>0</v>
      </c>
      <c r="AM2078">
        <v>0</v>
      </c>
      <c r="AN2078">
        <v>0</v>
      </c>
      <c r="AO2078">
        <v>0</v>
      </c>
      <c r="AP2078">
        <v>0</v>
      </c>
      <c r="AQ2078">
        <v>21.38</v>
      </c>
      <c r="AR2078">
        <v>0</v>
      </c>
      <c r="AS2078">
        <v>0</v>
      </c>
      <c r="AT2078">
        <v>0</v>
      </c>
      <c r="AU2078">
        <v>0</v>
      </c>
      <c r="AV2078">
        <v>0</v>
      </c>
      <c r="AW2078">
        <v>0</v>
      </c>
      <c r="AX2078">
        <v>0</v>
      </c>
      <c r="AY2078">
        <v>0</v>
      </c>
      <c r="AZ2078">
        <v>0</v>
      </c>
      <c r="BA2078">
        <v>0</v>
      </c>
      <c r="BB2078">
        <v>0</v>
      </c>
      <c r="BC2078">
        <v>0</v>
      </c>
      <c r="BD2078">
        <v>0</v>
      </c>
      <c r="BE2078">
        <v>0</v>
      </c>
      <c r="BF2078">
        <v>0</v>
      </c>
      <c r="BG2078">
        <v>0</v>
      </c>
      <c r="BH2078">
        <v>1</v>
      </c>
      <c r="BI2078">
        <v>1</v>
      </c>
      <c r="BJ2078">
        <v>0.2</v>
      </c>
      <c r="BK2078">
        <v>1</v>
      </c>
      <c r="BL2078">
        <v>69.98</v>
      </c>
      <c r="BM2078">
        <v>10.5</v>
      </c>
      <c r="BN2078">
        <v>80.48</v>
      </c>
      <c r="BO2078">
        <v>80.48</v>
      </c>
      <c r="BQ2078" t="s">
        <v>679</v>
      </c>
      <c r="BR2078" t="s">
        <v>84</v>
      </c>
      <c r="BS2078" s="3">
        <v>45797</v>
      </c>
      <c r="BT2078" s="4">
        <v>0.38819444444444445</v>
      </c>
      <c r="BU2078" t="s">
        <v>680</v>
      </c>
      <c r="BV2078" t="s">
        <v>86</v>
      </c>
      <c r="BY2078">
        <v>1200</v>
      </c>
      <c r="CA2078" t="s">
        <v>326</v>
      </c>
      <c r="CC2078" t="s">
        <v>351</v>
      </c>
      <c r="CD2078">
        <v>4052</v>
      </c>
      <c r="CE2078" t="s">
        <v>88</v>
      </c>
      <c r="CF2078" s="3">
        <v>45797</v>
      </c>
      <c r="CI2078">
        <v>1</v>
      </c>
      <c r="CJ2078">
        <v>1</v>
      </c>
      <c r="CK2078">
        <v>21</v>
      </c>
      <c r="CL2078" t="s">
        <v>89</v>
      </c>
    </row>
    <row r="2079" spans="1:90" x14ac:dyDescent="0.3">
      <c r="A2079" t="s">
        <v>72</v>
      </c>
      <c r="B2079" t="s">
        <v>73</v>
      </c>
      <c r="C2079" t="s">
        <v>74</v>
      </c>
      <c r="E2079" t="str">
        <f>"080065440499"</f>
        <v>080065440499</v>
      </c>
      <c r="F2079" s="3">
        <v>45796</v>
      </c>
      <c r="G2079">
        <v>202602</v>
      </c>
      <c r="H2079" t="s">
        <v>75</v>
      </c>
      <c r="I2079" t="s">
        <v>76</v>
      </c>
      <c r="J2079" t="s">
        <v>77</v>
      </c>
      <c r="K2079" t="s">
        <v>78</v>
      </c>
      <c r="L2079" t="s">
        <v>90</v>
      </c>
      <c r="M2079" t="s">
        <v>91</v>
      </c>
      <c r="N2079" t="s">
        <v>385</v>
      </c>
      <c r="O2079" t="s">
        <v>82</v>
      </c>
      <c r="P2079" t="str">
        <f>"4170039238                    "</f>
        <v xml:space="preserve">4170039238                    </v>
      </c>
      <c r="Q2079">
        <v>0</v>
      </c>
      <c r="R2079">
        <v>0</v>
      </c>
      <c r="S2079">
        <v>0</v>
      </c>
      <c r="T2079">
        <v>0</v>
      </c>
      <c r="U2079">
        <v>0</v>
      </c>
      <c r="V2079">
        <v>0</v>
      </c>
      <c r="W2079">
        <v>0</v>
      </c>
      <c r="X2079">
        <v>0</v>
      </c>
      <c r="Y2079">
        <v>0</v>
      </c>
      <c r="Z2079">
        <v>0</v>
      </c>
      <c r="AA2079">
        <v>0</v>
      </c>
      <c r="AB2079">
        <v>0</v>
      </c>
      <c r="AC2079">
        <v>0</v>
      </c>
      <c r="AD2079">
        <v>0</v>
      </c>
      <c r="AE2079">
        <v>0</v>
      </c>
      <c r="AF2079">
        <v>0</v>
      </c>
      <c r="AG2079">
        <v>0</v>
      </c>
      <c r="AH2079">
        <v>0</v>
      </c>
      <c r="AI2079">
        <v>0</v>
      </c>
      <c r="AJ2079">
        <v>0</v>
      </c>
      <c r="AK2079">
        <v>0</v>
      </c>
      <c r="AL2079">
        <v>0</v>
      </c>
      <c r="AM2079">
        <v>0</v>
      </c>
      <c r="AN2079">
        <v>0</v>
      </c>
      <c r="AO2079">
        <v>0</v>
      </c>
      <c r="AP2079">
        <v>0</v>
      </c>
      <c r="AQ2079">
        <v>117.53</v>
      </c>
      <c r="AR2079">
        <v>0</v>
      </c>
      <c r="AS2079">
        <v>0</v>
      </c>
      <c r="AT2079">
        <v>0</v>
      </c>
      <c r="AU2079">
        <v>0</v>
      </c>
      <c r="AV2079">
        <v>0</v>
      </c>
      <c r="AW2079">
        <v>0</v>
      </c>
      <c r="AX2079">
        <v>0</v>
      </c>
      <c r="AY2079">
        <v>0</v>
      </c>
      <c r="AZ2079">
        <v>0</v>
      </c>
      <c r="BA2079">
        <v>0</v>
      </c>
      <c r="BB2079">
        <v>0</v>
      </c>
      <c r="BC2079">
        <v>0</v>
      </c>
      <c r="BD2079">
        <v>0</v>
      </c>
      <c r="BE2079">
        <v>0</v>
      </c>
      <c r="BF2079">
        <v>0</v>
      </c>
      <c r="BG2079">
        <v>0</v>
      </c>
      <c r="BH2079">
        <v>1</v>
      </c>
      <c r="BI2079">
        <v>8</v>
      </c>
      <c r="BJ2079">
        <v>10.6</v>
      </c>
      <c r="BK2079">
        <v>11</v>
      </c>
      <c r="BL2079">
        <v>384.65</v>
      </c>
      <c r="BM2079">
        <v>57.7</v>
      </c>
      <c r="BN2079">
        <v>442.35</v>
      </c>
      <c r="BO2079">
        <v>442.35</v>
      </c>
      <c r="BQ2079" t="s">
        <v>386</v>
      </c>
      <c r="BR2079" t="s">
        <v>84</v>
      </c>
      <c r="BS2079" s="3">
        <v>45797</v>
      </c>
      <c r="BT2079" s="4">
        <v>0.37777777777777777</v>
      </c>
      <c r="BU2079" t="s">
        <v>387</v>
      </c>
      <c r="BV2079" t="s">
        <v>86</v>
      </c>
      <c r="BY2079">
        <v>52992</v>
      </c>
      <c r="CA2079" t="s">
        <v>95</v>
      </c>
      <c r="CC2079" t="s">
        <v>91</v>
      </c>
      <c r="CD2079">
        <v>6056</v>
      </c>
      <c r="CE2079" t="s">
        <v>221</v>
      </c>
      <c r="CF2079" s="3">
        <v>45797</v>
      </c>
      <c r="CI2079">
        <v>1</v>
      </c>
      <c r="CJ2079">
        <v>1</v>
      </c>
      <c r="CK2079">
        <v>21</v>
      </c>
      <c r="CL2079" t="s">
        <v>89</v>
      </c>
    </row>
    <row r="2080" spans="1:90" x14ac:dyDescent="0.3">
      <c r="A2080" t="s">
        <v>72</v>
      </c>
      <c r="B2080" t="s">
        <v>73</v>
      </c>
      <c r="C2080" t="s">
        <v>74</v>
      </c>
      <c r="E2080" t="str">
        <f>"080065440549"</f>
        <v>080065440549</v>
      </c>
      <c r="F2080" s="3">
        <v>45796</v>
      </c>
      <c r="G2080">
        <v>202602</v>
      </c>
      <c r="H2080" t="s">
        <v>75</v>
      </c>
      <c r="I2080" t="s">
        <v>76</v>
      </c>
      <c r="J2080" t="s">
        <v>77</v>
      </c>
      <c r="K2080" t="s">
        <v>78</v>
      </c>
      <c r="L2080" t="s">
        <v>463</v>
      </c>
      <c r="M2080" t="s">
        <v>464</v>
      </c>
      <c r="N2080" t="s">
        <v>883</v>
      </c>
      <c r="O2080" t="s">
        <v>82</v>
      </c>
      <c r="P2080" t="str">
        <f>"4170039127                    "</f>
        <v xml:space="preserve">4170039127                    </v>
      </c>
      <c r="Q2080">
        <v>0</v>
      </c>
      <c r="R2080">
        <v>0</v>
      </c>
      <c r="S2080">
        <v>0</v>
      </c>
      <c r="T2080">
        <v>0</v>
      </c>
      <c r="U2080">
        <v>0</v>
      </c>
      <c r="V2080">
        <v>0</v>
      </c>
      <c r="W2080">
        <v>0</v>
      </c>
      <c r="X2080">
        <v>0</v>
      </c>
      <c r="Y2080">
        <v>0</v>
      </c>
      <c r="Z2080">
        <v>0</v>
      </c>
      <c r="AA2080">
        <v>0</v>
      </c>
      <c r="AB2080">
        <v>0</v>
      </c>
      <c r="AC2080">
        <v>0</v>
      </c>
      <c r="AD2080">
        <v>0</v>
      </c>
      <c r="AE2080">
        <v>0</v>
      </c>
      <c r="AF2080">
        <v>0</v>
      </c>
      <c r="AG2080">
        <v>0</v>
      </c>
      <c r="AH2080">
        <v>0</v>
      </c>
      <c r="AI2080">
        <v>0</v>
      </c>
      <c r="AJ2080">
        <v>0</v>
      </c>
      <c r="AK2080">
        <v>0</v>
      </c>
      <c r="AL2080">
        <v>0</v>
      </c>
      <c r="AM2080">
        <v>0</v>
      </c>
      <c r="AN2080">
        <v>0</v>
      </c>
      <c r="AO2080">
        <v>0</v>
      </c>
      <c r="AP2080">
        <v>0</v>
      </c>
      <c r="AQ2080">
        <v>64.12</v>
      </c>
      <c r="AR2080">
        <v>0</v>
      </c>
      <c r="AS2080">
        <v>0</v>
      </c>
      <c r="AT2080">
        <v>0</v>
      </c>
      <c r="AU2080">
        <v>0</v>
      </c>
      <c r="AV2080">
        <v>0</v>
      </c>
      <c r="AW2080">
        <v>0</v>
      </c>
      <c r="AX2080">
        <v>0</v>
      </c>
      <c r="AY2080">
        <v>0</v>
      </c>
      <c r="AZ2080">
        <v>0</v>
      </c>
      <c r="BA2080">
        <v>0</v>
      </c>
      <c r="BB2080">
        <v>0</v>
      </c>
      <c r="BC2080">
        <v>0</v>
      </c>
      <c r="BD2080">
        <v>0</v>
      </c>
      <c r="BE2080">
        <v>0</v>
      </c>
      <c r="BF2080">
        <v>0</v>
      </c>
      <c r="BG2080">
        <v>0</v>
      </c>
      <c r="BH2080">
        <v>1</v>
      </c>
      <c r="BI2080">
        <v>6</v>
      </c>
      <c r="BJ2080">
        <v>4.7</v>
      </c>
      <c r="BK2080">
        <v>6</v>
      </c>
      <c r="BL2080">
        <v>209.84</v>
      </c>
      <c r="BM2080">
        <v>31.48</v>
      </c>
      <c r="BN2080">
        <v>241.32</v>
      </c>
      <c r="BO2080">
        <v>241.32</v>
      </c>
      <c r="BQ2080" t="s">
        <v>884</v>
      </c>
      <c r="BR2080" t="s">
        <v>84</v>
      </c>
      <c r="BS2080" s="3">
        <v>45797</v>
      </c>
      <c r="BT2080" s="4">
        <v>0.45833333333333331</v>
      </c>
      <c r="BU2080" t="s">
        <v>2233</v>
      </c>
      <c r="BV2080" t="s">
        <v>89</v>
      </c>
      <c r="BY2080">
        <v>23296</v>
      </c>
      <c r="CA2080" t="s">
        <v>2234</v>
      </c>
      <c r="CC2080" t="s">
        <v>464</v>
      </c>
      <c r="CD2080">
        <v>5201</v>
      </c>
      <c r="CE2080" t="s">
        <v>221</v>
      </c>
      <c r="CF2080" s="3">
        <v>45797</v>
      </c>
      <c r="CI2080">
        <v>1</v>
      </c>
      <c r="CJ2080">
        <v>1</v>
      </c>
      <c r="CK2080">
        <v>21</v>
      </c>
      <c r="CL2080" t="s">
        <v>89</v>
      </c>
    </row>
    <row r="2081" spans="1:90" x14ac:dyDescent="0.3">
      <c r="A2081" t="s">
        <v>72</v>
      </c>
      <c r="B2081" t="s">
        <v>73</v>
      </c>
      <c r="C2081" t="s">
        <v>74</v>
      </c>
      <c r="E2081" t="str">
        <f>"080065440597"</f>
        <v>080065440597</v>
      </c>
      <c r="F2081" s="3">
        <v>45796</v>
      </c>
      <c r="G2081">
        <v>202602</v>
      </c>
      <c r="H2081" t="s">
        <v>75</v>
      </c>
      <c r="I2081" t="s">
        <v>76</v>
      </c>
      <c r="J2081" t="s">
        <v>77</v>
      </c>
      <c r="K2081" t="s">
        <v>78</v>
      </c>
      <c r="L2081" t="s">
        <v>75</v>
      </c>
      <c r="M2081" t="s">
        <v>76</v>
      </c>
      <c r="N2081" t="s">
        <v>390</v>
      </c>
      <c r="O2081" t="s">
        <v>300</v>
      </c>
      <c r="P2081" t="str">
        <f>"4170039246                    "</f>
        <v xml:space="preserve">4170039246                    </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c r="AJ2081">
        <v>0</v>
      </c>
      <c r="AK2081">
        <v>0</v>
      </c>
      <c r="AL2081">
        <v>0</v>
      </c>
      <c r="AM2081">
        <v>0</v>
      </c>
      <c r="AN2081">
        <v>0</v>
      </c>
      <c r="AO2081">
        <v>0</v>
      </c>
      <c r="AP2081">
        <v>0</v>
      </c>
      <c r="AQ2081">
        <v>33.770000000000003</v>
      </c>
      <c r="AR2081">
        <v>0</v>
      </c>
      <c r="AS2081">
        <v>0</v>
      </c>
      <c r="AT2081">
        <v>0</v>
      </c>
      <c r="AU2081">
        <v>0</v>
      </c>
      <c r="AV2081">
        <v>0</v>
      </c>
      <c r="AW2081">
        <v>0</v>
      </c>
      <c r="AX2081">
        <v>0</v>
      </c>
      <c r="AY2081">
        <v>0</v>
      </c>
      <c r="AZ2081">
        <v>0</v>
      </c>
      <c r="BA2081">
        <v>0</v>
      </c>
      <c r="BB2081">
        <v>0</v>
      </c>
      <c r="BC2081">
        <v>0</v>
      </c>
      <c r="BD2081">
        <v>0</v>
      </c>
      <c r="BE2081">
        <v>0</v>
      </c>
      <c r="BF2081">
        <v>0</v>
      </c>
      <c r="BG2081">
        <v>0</v>
      </c>
      <c r="BH2081">
        <v>1</v>
      </c>
      <c r="BI2081">
        <v>15</v>
      </c>
      <c r="BJ2081">
        <v>16.3</v>
      </c>
      <c r="BK2081">
        <v>17</v>
      </c>
      <c r="BL2081">
        <v>116.1</v>
      </c>
      <c r="BM2081">
        <v>17.420000000000002</v>
      </c>
      <c r="BN2081">
        <v>133.52000000000001</v>
      </c>
      <c r="BO2081">
        <v>133.52000000000001</v>
      </c>
      <c r="BQ2081" t="s">
        <v>391</v>
      </c>
      <c r="BR2081" t="s">
        <v>84</v>
      </c>
      <c r="BS2081" s="3">
        <v>45797</v>
      </c>
      <c r="BT2081" s="4">
        <v>0.34861111111111109</v>
      </c>
      <c r="BU2081" t="s">
        <v>392</v>
      </c>
      <c r="BV2081" t="s">
        <v>86</v>
      </c>
      <c r="BY2081">
        <v>81675</v>
      </c>
      <c r="CA2081" t="s">
        <v>115</v>
      </c>
      <c r="CC2081" t="s">
        <v>76</v>
      </c>
      <c r="CD2081">
        <v>1600</v>
      </c>
      <c r="CE2081" t="s">
        <v>511</v>
      </c>
      <c r="CF2081" s="3">
        <v>45797</v>
      </c>
      <c r="CI2081">
        <v>1</v>
      </c>
      <c r="CJ2081">
        <v>1</v>
      </c>
      <c r="CK2081">
        <v>42</v>
      </c>
      <c r="CL2081" t="s">
        <v>89</v>
      </c>
    </row>
    <row r="2082" spans="1:90" x14ac:dyDescent="0.3">
      <c r="A2082" t="s">
        <v>72</v>
      </c>
      <c r="B2082" t="s">
        <v>73</v>
      </c>
      <c r="C2082" t="s">
        <v>74</v>
      </c>
      <c r="E2082" t="str">
        <f>"080065440948"</f>
        <v>080065440948</v>
      </c>
      <c r="F2082" s="3">
        <v>45796</v>
      </c>
      <c r="G2082">
        <v>202602</v>
      </c>
      <c r="H2082" t="s">
        <v>75</v>
      </c>
      <c r="I2082" t="s">
        <v>76</v>
      </c>
      <c r="J2082" t="s">
        <v>77</v>
      </c>
      <c r="K2082" t="s">
        <v>78</v>
      </c>
      <c r="L2082" t="s">
        <v>624</v>
      </c>
      <c r="M2082" t="s">
        <v>625</v>
      </c>
      <c r="N2082" t="s">
        <v>626</v>
      </c>
      <c r="O2082" t="s">
        <v>300</v>
      </c>
      <c r="P2082" t="str">
        <f>"4170039266                    "</f>
        <v xml:space="preserve">4170039266                    </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0</v>
      </c>
      <c r="AL2082">
        <v>0</v>
      </c>
      <c r="AM2082">
        <v>0</v>
      </c>
      <c r="AN2082">
        <v>0</v>
      </c>
      <c r="AO2082">
        <v>0</v>
      </c>
      <c r="AP2082">
        <v>0</v>
      </c>
      <c r="AQ2082">
        <v>67.260000000000005</v>
      </c>
      <c r="AR2082">
        <v>0</v>
      </c>
      <c r="AS2082">
        <v>0</v>
      </c>
      <c r="AT2082">
        <v>0</v>
      </c>
      <c r="AU2082">
        <v>0</v>
      </c>
      <c r="AV2082">
        <v>0</v>
      </c>
      <c r="AW2082">
        <v>0</v>
      </c>
      <c r="AX2082">
        <v>0</v>
      </c>
      <c r="AY2082">
        <v>0</v>
      </c>
      <c r="AZ2082">
        <v>0</v>
      </c>
      <c r="BA2082">
        <v>0</v>
      </c>
      <c r="BB2082">
        <v>0</v>
      </c>
      <c r="BC2082">
        <v>0</v>
      </c>
      <c r="BD2082">
        <v>0</v>
      </c>
      <c r="BE2082">
        <v>0</v>
      </c>
      <c r="BF2082">
        <v>0</v>
      </c>
      <c r="BG2082">
        <v>0</v>
      </c>
      <c r="BH2082">
        <v>1</v>
      </c>
      <c r="BI2082">
        <v>9</v>
      </c>
      <c r="BJ2082">
        <v>17.7</v>
      </c>
      <c r="BK2082">
        <v>18</v>
      </c>
      <c r="BL2082">
        <v>225.69</v>
      </c>
      <c r="BM2082">
        <v>33.85</v>
      </c>
      <c r="BN2082">
        <v>259.54000000000002</v>
      </c>
      <c r="BO2082">
        <v>259.54000000000002</v>
      </c>
      <c r="BQ2082" t="s">
        <v>627</v>
      </c>
      <c r="BR2082" t="s">
        <v>84</v>
      </c>
      <c r="BS2082" s="3">
        <v>45797</v>
      </c>
      <c r="BT2082" s="4">
        <v>0.35069444444444442</v>
      </c>
      <c r="BU2082" t="s">
        <v>628</v>
      </c>
      <c r="BV2082" t="s">
        <v>86</v>
      </c>
      <c r="BY2082">
        <v>88320</v>
      </c>
      <c r="CA2082" t="s">
        <v>629</v>
      </c>
      <c r="CC2082" t="s">
        <v>625</v>
      </c>
      <c r="CD2082">
        <v>1947</v>
      </c>
      <c r="CE2082" t="s">
        <v>176</v>
      </c>
      <c r="CF2082" s="3">
        <v>45797</v>
      </c>
      <c r="CI2082">
        <v>1</v>
      </c>
      <c r="CJ2082">
        <v>1</v>
      </c>
      <c r="CK2082">
        <v>43</v>
      </c>
      <c r="CL2082" t="s">
        <v>89</v>
      </c>
    </row>
    <row r="2083" spans="1:90" x14ac:dyDescent="0.3">
      <c r="A2083" t="s">
        <v>72</v>
      </c>
      <c r="B2083" t="s">
        <v>73</v>
      </c>
      <c r="C2083" t="s">
        <v>74</v>
      </c>
      <c r="E2083" t="str">
        <f>"080065440983"</f>
        <v>080065440983</v>
      </c>
      <c r="F2083" s="3">
        <v>45796</v>
      </c>
      <c r="G2083">
        <v>202602</v>
      </c>
      <c r="H2083" t="s">
        <v>75</v>
      </c>
      <c r="I2083" t="s">
        <v>76</v>
      </c>
      <c r="J2083" t="s">
        <v>77</v>
      </c>
      <c r="K2083" t="s">
        <v>78</v>
      </c>
      <c r="L2083" t="s">
        <v>130</v>
      </c>
      <c r="M2083" t="s">
        <v>131</v>
      </c>
      <c r="N2083" t="s">
        <v>239</v>
      </c>
      <c r="O2083" t="s">
        <v>82</v>
      </c>
      <c r="P2083" t="str">
        <f>"4170039169                    "</f>
        <v xml:space="preserve">4170039169                    </v>
      </c>
      <c r="Q2083">
        <v>0</v>
      </c>
      <c r="R2083">
        <v>0</v>
      </c>
      <c r="S2083">
        <v>0</v>
      </c>
      <c r="T2083">
        <v>0</v>
      </c>
      <c r="U2083">
        <v>0</v>
      </c>
      <c r="V2083">
        <v>0</v>
      </c>
      <c r="W2083">
        <v>0</v>
      </c>
      <c r="X2083">
        <v>0</v>
      </c>
      <c r="Y2083">
        <v>0</v>
      </c>
      <c r="Z2083">
        <v>0</v>
      </c>
      <c r="AA2083">
        <v>0</v>
      </c>
      <c r="AB2083">
        <v>0</v>
      </c>
      <c r="AC2083">
        <v>0</v>
      </c>
      <c r="AD2083">
        <v>0</v>
      </c>
      <c r="AE2083">
        <v>0</v>
      </c>
      <c r="AF2083">
        <v>0</v>
      </c>
      <c r="AG2083">
        <v>0</v>
      </c>
      <c r="AH2083">
        <v>0</v>
      </c>
      <c r="AI2083">
        <v>0</v>
      </c>
      <c r="AJ2083">
        <v>0</v>
      </c>
      <c r="AK2083">
        <v>0</v>
      </c>
      <c r="AL2083">
        <v>0</v>
      </c>
      <c r="AM2083">
        <v>0</v>
      </c>
      <c r="AN2083">
        <v>0</v>
      </c>
      <c r="AO2083">
        <v>0</v>
      </c>
      <c r="AP2083">
        <v>0</v>
      </c>
      <c r="AQ2083">
        <v>21.38</v>
      </c>
      <c r="AR2083">
        <v>0</v>
      </c>
      <c r="AS2083">
        <v>0</v>
      </c>
      <c r="AT2083">
        <v>0</v>
      </c>
      <c r="AU2083">
        <v>0</v>
      </c>
      <c r="AV2083">
        <v>0</v>
      </c>
      <c r="AW2083">
        <v>0</v>
      </c>
      <c r="AX2083">
        <v>0</v>
      </c>
      <c r="AY2083">
        <v>0</v>
      </c>
      <c r="AZ2083">
        <v>0</v>
      </c>
      <c r="BA2083">
        <v>0</v>
      </c>
      <c r="BB2083">
        <v>0</v>
      </c>
      <c r="BC2083">
        <v>0</v>
      </c>
      <c r="BD2083">
        <v>0</v>
      </c>
      <c r="BE2083">
        <v>0</v>
      </c>
      <c r="BF2083">
        <v>0</v>
      </c>
      <c r="BG2083">
        <v>0</v>
      </c>
      <c r="BH2083">
        <v>1</v>
      </c>
      <c r="BI2083">
        <v>1</v>
      </c>
      <c r="BJ2083">
        <v>0.2</v>
      </c>
      <c r="BK2083">
        <v>1</v>
      </c>
      <c r="BL2083">
        <v>69.98</v>
      </c>
      <c r="BM2083">
        <v>10.5</v>
      </c>
      <c r="BN2083">
        <v>80.48</v>
      </c>
      <c r="BO2083">
        <v>80.48</v>
      </c>
      <c r="BQ2083" t="s">
        <v>240</v>
      </c>
      <c r="BR2083" t="s">
        <v>84</v>
      </c>
      <c r="BS2083" s="3">
        <v>45797</v>
      </c>
      <c r="BT2083" s="4">
        <v>0.3611111111111111</v>
      </c>
      <c r="BU2083" t="s">
        <v>2541</v>
      </c>
      <c r="BV2083" t="s">
        <v>86</v>
      </c>
      <c r="BY2083">
        <v>1200</v>
      </c>
      <c r="CA2083" t="s">
        <v>1634</v>
      </c>
      <c r="CC2083" t="s">
        <v>131</v>
      </c>
      <c r="CD2083">
        <v>7441</v>
      </c>
      <c r="CE2083" t="s">
        <v>176</v>
      </c>
      <c r="CF2083" s="3">
        <v>45798</v>
      </c>
      <c r="CI2083">
        <v>1</v>
      </c>
      <c r="CJ2083">
        <v>1</v>
      </c>
      <c r="CK2083">
        <v>21</v>
      </c>
      <c r="CL2083" t="s">
        <v>89</v>
      </c>
    </row>
    <row r="2084" spans="1:90" x14ac:dyDescent="0.3">
      <c r="A2084" t="s">
        <v>72</v>
      </c>
      <c r="B2084" t="s">
        <v>73</v>
      </c>
      <c r="C2084" t="s">
        <v>74</v>
      </c>
      <c r="E2084" t="str">
        <f>"080065441055"</f>
        <v>080065441055</v>
      </c>
      <c r="F2084" s="3">
        <v>45796</v>
      </c>
      <c r="G2084">
        <v>202602</v>
      </c>
      <c r="H2084" t="s">
        <v>75</v>
      </c>
      <c r="I2084" t="s">
        <v>76</v>
      </c>
      <c r="J2084" t="s">
        <v>77</v>
      </c>
      <c r="K2084" t="s">
        <v>78</v>
      </c>
      <c r="L2084" t="s">
        <v>117</v>
      </c>
      <c r="M2084" t="s">
        <v>118</v>
      </c>
      <c r="N2084" t="s">
        <v>532</v>
      </c>
      <c r="O2084" t="s">
        <v>82</v>
      </c>
      <c r="P2084" t="str">
        <f>"4170039184                    "</f>
        <v xml:space="preserve">4170039184                    </v>
      </c>
      <c r="Q2084">
        <v>0</v>
      </c>
      <c r="R2084">
        <v>0</v>
      </c>
      <c r="S2084">
        <v>0</v>
      </c>
      <c r="T2084">
        <v>0</v>
      </c>
      <c r="U2084">
        <v>0</v>
      </c>
      <c r="V2084">
        <v>0</v>
      </c>
      <c r="W2084">
        <v>0</v>
      </c>
      <c r="X2084">
        <v>0</v>
      </c>
      <c r="Y2084">
        <v>0</v>
      </c>
      <c r="Z2084">
        <v>0</v>
      </c>
      <c r="AA2084">
        <v>0</v>
      </c>
      <c r="AB2084">
        <v>0</v>
      </c>
      <c r="AC2084">
        <v>0</v>
      </c>
      <c r="AD2084">
        <v>0</v>
      </c>
      <c r="AE2084">
        <v>0</v>
      </c>
      <c r="AF2084">
        <v>0</v>
      </c>
      <c r="AG2084">
        <v>0</v>
      </c>
      <c r="AH2084">
        <v>0</v>
      </c>
      <c r="AI2084">
        <v>0</v>
      </c>
      <c r="AJ2084">
        <v>0</v>
      </c>
      <c r="AK2084">
        <v>0</v>
      </c>
      <c r="AL2084">
        <v>0</v>
      </c>
      <c r="AM2084">
        <v>0</v>
      </c>
      <c r="AN2084">
        <v>0</v>
      </c>
      <c r="AO2084">
        <v>0</v>
      </c>
      <c r="AP2084">
        <v>0</v>
      </c>
      <c r="AQ2084">
        <v>16.7</v>
      </c>
      <c r="AR2084">
        <v>0</v>
      </c>
      <c r="AS2084">
        <v>0</v>
      </c>
      <c r="AT2084">
        <v>0</v>
      </c>
      <c r="AU2084">
        <v>0</v>
      </c>
      <c r="AV2084">
        <v>0</v>
      </c>
      <c r="AW2084">
        <v>0</v>
      </c>
      <c r="AX2084">
        <v>0</v>
      </c>
      <c r="AY2084">
        <v>0</v>
      </c>
      <c r="AZ2084">
        <v>0</v>
      </c>
      <c r="BA2084">
        <v>0</v>
      </c>
      <c r="BB2084">
        <v>0</v>
      </c>
      <c r="BC2084">
        <v>0</v>
      </c>
      <c r="BD2084">
        <v>0</v>
      </c>
      <c r="BE2084">
        <v>0</v>
      </c>
      <c r="BF2084">
        <v>0</v>
      </c>
      <c r="BG2084">
        <v>0</v>
      </c>
      <c r="BH2084">
        <v>1</v>
      </c>
      <c r="BI2084">
        <v>1</v>
      </c>
      <c r="BJ2084">
        <v>0.2</v>
      </c>
      <c r="BK2084">
        <v>1</v>
      </c>
      <c r="BL2084">
        <v>54.66</v>
      </c>
      <c r="BM2084">
        <v>8.1999999999999993</v>
      </c>
      <c r="BN2084">
        <v>62.86</v>
      </c>
      <c r="BO2084">
        <v>62.86</v>
      </c>
      <c r="BQ2084" t="s">
        <v>533</v>
      </c>
      <c r="BR2084" t="s">
        <v>84</v>
      </c>
      <c r="BS2084" s="3">
        <v>45797</v>
      </c>
      <c r="BT2084" s="4">
        <v>0.40347222222222223</v>
      </c>
      <c r="BU2084" t="s">
        <v>2542</v>
      </c>
      <c r="BV2084" t="s">
        <v>86</v>
      </c>
      <c r="BY2084">
        <v>1200</v>
      </c>
      <c r="CA2084" t="s">
        <v>2543</v>
      </c>
      <c r="CC2084" t="s">
        <v>118</v>
      </c>
      <c r="CD2084">
        <v>2094</v>
      </c>
      <c r="CE2084" t="s">
        <v>176</v>
      </c>
      <c r="CF2084" s="3">
        <v>45797</v>
      </c>
      <c r="CI2084">
        <v>1</v>
      </c>
      <c r="CJ2084">
        <v>1</v>
      </c>
      <c r="CK2084">
        <v>22</v>
      </c>
      <c r="CL2084" t="s">
        <v>89</v>
      </c>
    </row>
    <row r="2085" spans="1:90" x14ac:dyDescent="0.3">
      <c r="A2085" t="s">
        <v>72</v>
      </c>
      <c r="B2085" t="s">
        <v>73</v>
      </c>
      <c r="C2085" t="s">
        <v>74</v>
      </c>
      <c r="E2085" t="str">
        <f>"080065441107"</f>
        <v>080065441107</v>
      </c>
      <c r="F2085" s="3">
        <v>45796</v>
      </c>
      <c r="G2085">
        <v>202602</v>
      </c>
      <c r="H2085" t="s">
        <v>75</v>
      </c>
      <c r="I2085" t="s">
        <v>76</v>
      </c>
      <c r="J2085" t="s">
        <v>77</v>
      </c>
      <c r="K2085" t="s">
        <v>78</v>
      </c>
      <c r="L2085" t="s">
        <v>117</v>
      </c>
      <c r="M2085" t="s">
        <v>118</v>
      </c>
      <c r="N2085" t="s">
        <v>1533</v>
      </c>
      <c r="O2085" t="s">
        <v>82</v>
      </c>
      <c r="P2085" t="str">
        <f>"4170039208                    "</f>
        <v xml:space="preserve">4170039208                    </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0</v>
      </c>
      <c r="AL2085">
        <v>0</v>
      </c>
      <c r="AM2085">
        <v>0</v>
      </c>
      <c r="AN2085">
        <v>0</v>
      </c>
      <c r="AO2085">
        <v>0</v>
      </c>
      <c r="AP2085">
        <v>0</v>
      </c>
      <c r="AQ2085">
        <v>16.7</v>
      </c>
      <c r="AR2085">
        <v>0</v>
      </c>
      <c r="AS2085">
        <v>0</v>
      </c>
      <c r="AT2085">
        <v>0</v>
      </c>
      <c r="AU2085">
        <v>0</v>
      </c>
      <c r="AV2085">
        <v>0</v>
      </c>
      <c r="AW2085">
        <v>0</v>
      </c>
      <c r="AX2085">
        <v>0</v>
      </c>
      <c r="AY2085">
        <v>0</v>
      </c>
      <c r="AZ2085">
        <v>0</v>
      </c>
      <c r="BA2085">
        <v>0</v>
      </c>
      <c r="BB2085">
        <v>0</v>
      </c>
      <c r="BC2085">
        <v>0</v>
      </c>
      <c r="BD2085">
        <v>0</v>
      </c>
      <c r="BE2085">
        <v>0</v>
      </c>
      <c r="BF2085">
        <v>0</v>
      </c>
      <c r="BG2085">
        <v>0</v>
      </c>
      <c r="BH2085">
        <v>1</v>
      </c>
      <c r="BI2085">
        <v>1</v>
      </c>
      <c r="BJ2085">
        <v>0.2</v>
      </c>
      <c r="BK2085">
        <v>1</v>
      </c>
      <c r="BL2085">
        <v>54.66</v>
      </c>
      <c r="BM2085">
        <v>8.1999999999999993</v>
      </c>
      <c r="BN2085">
        <v>62.86</v>
      </c>
      <c r="BO2085">
        <v>62.86</v>
      </c>
      <c r="BQ2085" t="s">
        <v>1534</v>
      </c>
      <c r="BR2085" t="s">
        <v>84</v>
      </c>
      <c r="BS2085" s="3">
        <v>45797</v>
      </c>
      <c r="BT2085" s="4">
        <v>0.34375</v>
      </c>
      <c r="BU2085" t="s">
        <v>1535</v>
      </c>
      <c r="BV2085" t="s">
        <v>86</v>
      </c>
      <c r="BY2085">
        <v>1200</v>
      </c>
      <c r="CA2085" t="s">
        <v>275</v>
      </c>
      <c r="CC2085" t="s">
        <v>118</v>
      </c>
      <c r="CD2085">
        <v>2091</v>
      </c>
      <c r="CE2085" t="s">
        <v>176</v>
      </c>
      <c r="CF2085" s="3">
        <v>45797</v>
      </c>
      <c r="CI2085">
        <v>1</v>
      </c>
      <c r="CJ2085">
        <v>1</v>
      </c>
      <c r="CK2085">
        <v>22</v>
      </c>
      <c r="CL2085" t="s">
        <v>89</v>
      </c>
    </row>
    <row r="2086" spans="1:90" x14ac:dyDescent="0.3">
      <c r="A2086" t="s">
        <v>72</v>
      </c>
      <c r="B2086" t="s">
        <v>73</v>
      </c>
      <c r="C2086" t="s">
        <v>74</v>
      </c>
      <c r="E2086" t="str">
        <f>"080065441159"</f>
        <v>080065441159</v>
      </c>
      <c r="F2086" s="3">
        <v>45796</v>
      </c>
      <c r="G2086">
        <v>202602</v>
      </c>
      <c r="H2086" t="s">
        <v>75</v>
      </c>
      <c r="I2086" t="s">
        <v>76</v>
      </c>
      <c r="J2086" t="s">
        <v>77</v>
      </c>
      <c r="K2086" t="s">
        <v>78</v>
      </c>
      <c r="L2086" t="s">
        <v>1250</v>
      </c>
      <c r="M2086" t="s">
        <v>1251</v>
      </c>
      <c r="N2086" t="s">
        <v>1252</v>
      </c>
      <c r="O2086" t="s">
        <v>82</v>
      </c>
      <c r="P2086" t="str">
        <f>"4170039222                    "</f>
        <v xml:space="preserve">4170039222                    </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c r="AI2086">
        <v>0</v>
      </c>
      <c r="AJ2086">
        <v>0</v>
      </c>
      <c r="AK2086">
        <v>0</v>
      </c>
      <c r="AL2086">
        <v>0</v>
      </c>
      <c r="AM2086">
        <v>0</v>
      </c>
      <c r="AN2086">
        <v>0</v>
      </c>
      <c r="AO2086">
        <v>0</v>
      </c>
      <c r="AP2086">
        <v>0</v>
      </c>
      <c r="AQ2086">
        <v>41.43</v>
      </c>
      <c r="AR2086">
        <v>0</v>
      </c>
      <c r="AS2086">
        <v>0</v>
      </c>
      <c r="AT2086">
        <v>0</v>
      </c>
      <c r="AU2086">
        <v>0</v>
      </c>
      <c r="AV2086">
        <v>0</v>
      </c>
      <c r="AW2086">
        <v>0</v>
      </c>
      <c r="AX2086">
        <v>0</v>
      </c>
      <c r="AY2086">
        <v>0</v>
      </c>
      <c r="AZ2086">
        <v>0</v>
      </c>
      <c r="BA2086">
        <v>0</v>
      </c>
      <c r="BB2086">
        <v>0</v>
      </c>
      <c r="BC2086">
        <v>0</v>
      </c>
      <c r="BD2086">
        <v>0</v>
      </c>
      <c r="BE2086">
        <v>0</v>
      </c>
      <c r="BF2086">
        <v>0</v>
      </c>
      <c r="BG2086">
        <v>0</v>
      </c>
      <c r="BH2086">
        <v>1</v>
      </c>
      <c r="BI2086">
        <v>1</v>
      </c>
      <c r="BJ2086">
        <v>0.2</v>
      </c>
      <c r="BK2086">
        <v>1</v>
      </c>
      <c r="BL2086">
        <v>135.59</v>
      </c>
      <c r="BM2086">
        <v>20.34</v>
      </c>
      <c r="BN2086">
        <v>155.93</v>
      </c>
      <c r="BO2086">
        <v>155.93</v>
      </c>
      <c r="BQ2086" t="s">
        <v>1253</v>
      </c>
      <c r="BR2086" t="s">
        <v>84</v>
      </c>
      <c r="BS2086" s="3">
        <v>45797</v>
      </c>
      <c r="BT2086" s="4">
        <v>0.41666666666666669</v>
      </c>
      <c r="BU2086" t="s">
        <v>2544</v>
      </c>
      <c r="BV2086" t="s">
        <v>86</v>
      </c>
      <c r="BY2086">
        <v>1200</v>
      </c>
      <c r="BZ2086" t="s">
        <v>35</v>
      </c>
      <c r="CA2086" t="s">
        <v>945</v>
      </c>
      <c r="CC2086" t="s">
        <v>1251</v>
      </c>
      <c r="CD2086">
        <v>3760</v>
      </c>
      <c r="CE2086" t="s">
        <v>176</v>
      </c>
      <c r="CF2086" s="3">
        <v>45798</v>
      </c>
      <c r="CI2086">
        <v>5</v>
      </c>
      <c r="CJ2086">
        <v>1</v>
      </c>
      <c r="CK2086">
        <v>23</v>
      </c>
      <c r="CL2086" t="s">
        <v>89</v>
      </c>
    </row>
    <row r="2087" spans="1:90" x14ac:dyDescent="0.3">
      <c r="A2087" t="s">
        <v>72</v>
      </c>
      <c r="B2087" t="s">
        <v>73</v>
      </c>
      <c r="C2087" t="s">
        <v>74</v>
      </c>
      <c r="E2087" t="str">
        <f>"080065441168"</f>
        <v>080065441168</v>
      </c>
      <c r="F2087" s="3">
        <v>45796</v>
      </c>
      <c r="G2087">
        <v>202602</v>
      </c>
      <c r="H2087" t="s">
        <v>75</v>
      </c>
      <c r="I2087" t="s">
        <v>76</v>
      </c>
      <c r="J2087" t="s">
        <v>77</v>
      </c>
      <c r="K2087" t="s">
        <v>78</v>
      </c>
      <c r="L2087" t="s">
        <v>90</v>
      </c>
      <c r="M2087" t="s">
        <v>91</v>
      </c>
      <c r="N2087" t="s">
        <v>371</v>
      </c>
      <c r="O2087" t="s">
        <v>82</v>
      </c>
      <c r="P2087" t="str">
        <f>"4170037999                    "</f>
        <v xml:space="preserve">4170037999                    </v>
      </c>
      <c r="Q2087">
        <v>0</v>
      </c>
      <c r="R2087">
        <v>0</v>
      </c>
      <c r="S2087">
        <v>0</v>
      </c>
      <c r="T2087">
        <v>0</v>
      </c>
      <c r="U2087">
        <v>0</v>
      </c>
      <c r="V2087">
        <v>0</v>
      </c>
      <c r="W2087">
        <v>0</v>
      </c>
      <c r="X2087">
        <v>0</v>
      </c>
      <c r="Y2087">
        <v>0</v>
      </c>
      <c r="Z2087">
        <v>0</v>
      </c>
      <c r="AA2087">
        <v>0</v>
      </c>
      <c r="AB2087">
        <v>0</v>
      </c>
      <c r="AC2087">
        <v>0</v>
      </c>
      <c r="AD2087">
        <v>0</v>
      </c>
      <c r="AE2087">
        <v>0</v>
      </c>
      <c r="AF2087">
        <v>0</v>
      </c>
      <c r="AG2087">
        <v>0</v>
      </c>
      <c r="AH2087">
        <v>0</v>
      </c>
      <c r="AI2087">
        <v>0</v>
      </c>
      <c r="AJ2087">
        <v>0</v>
      </c>
      <c r="AK2087">
        <v>0</v>
      </c>
      <c r="AL2087">
        <v>0</v>
      </c>
      <c r="AM2087">
        <v>0</v>
      </c>
      <c r="AN2087">
        <v>0</v>
      </c>
      <c r="AO2087">
        <v>0</v>
      </c>
      <c r="AP2087">
        <v>0</v>
      </c>
      <c r="AQ2087">
        <v>64.12</v>
      </c>
      <c r="AR2087">
        <v>0</v>
      </c>
      <c r="AS2087">
        <v>0</v>
      </c>
      <c r="AT2087">
        <v>0</v>
      </c>
      <c r="AU2087">
        <v>0</v>
      </c>
      <c r="AV2087">
        <v>0</v>
      </c>
      <c r="AW2087">
        <v>0</v>
      </c>
      <c r="AX2087">
        <v>0</v>
      </c>
      <c r="AY2087">
        <v>0</v>
      </c>
      <c r="AZ2087">
        <v>0</v>
      </c>
      <c r="BA2087">
        <v>0</v>
      </c>
      <c r="BB2087">
        <v>0</v>
      </c>
      <c r="BC2087">
        <v>0</v>
      </c>
      <c r="BD2087">
        <v>0</v>
      </c>
      <c r="BE2087">
        <v>0</v>
      </c>
      <c r="BF2087">
        <v>0</v>
      </c>
      <c r="BG2087">
        <v>0</v>
      </c>
      <c r="BH2087">
        <v>1</v>
      </c>
      <c r="BI2087">
        <v>6</v>
      </c>
      <c r="BJ2087">
        <v>2.5</v>
      </c>
      <c r="BK2087">
        <v>6</v>
      </c>
      <c r="BL2087">
        <v>209.84</v>
      </c>
      <c r="BM2087">
        <v>31.48</v>
      </c>
      <c r="BN2087">
        <v>241.32</v>
      </c>
      <c r="BO2087">
        <v>241.32</v>
      </c>
      <c r="BQ2087" t="s">
        <v>372</v>
      </c>
      <c r="BR2087" t="s">
        <v>84</v>
      </c>
      <c r="BS2087" s="3">
        <v>45797</v>
      </c>
      <c r="BT2087" s="4">
        <v>0.43055555555555558</v>
      </c>
      <c r="BU2087" t="s">
        <v>954</v>
      </c>
      <c r="BV2087" t="s">
        <v>86</v>
      </c>
      <c r="BY2087">
        <v>12312</v>
      </c>
      <c r="CA2087" t="s">
        <v>298</v>
      </c>
      <c r="CC2087" t="s">
        <v>91</v>
      </c>
      <c r="CD2087">
        <v>6001</v>
      </c>
      <c r="CE2087" t="s">
        <v>176</v>
      </c>
      <c r="CF2087" s="3">
        <v>45797</v>
      </c>
      <c r="CI2087">
        <v>1</v>
      </c>
      <c r="CJ2087">
        <v>1</v>
      </c>
      <c r="CK2087">
        <v>21</v>
      </c>
      <c r="CL2087" t="s">
        <v>89</v>
      </c>
    </row>
    <row r="2088" spans="1:90" x14ac:dyDescent="0.3">
      <c r="A2088" t="s">
        <v>72</v>
      </c>
      <c r="B2088" t="s">
        <v>73</v>
      </c>
      <c r="C2088" t="s">
        <v>74</v>
      </c>
      <c r="E2088" t="str">
        <f>"080065441211"</f>
        <v>080065441211</v>
      </c>
      <c r="F2088" s="3">
        <v>45796</v>
      </c>
      <c r="G2088">
        <v>202602</v>
      </c>
      <c r="H2088" t="s">
        <v>75</v>
      </c>
      <c r="I2088" t="s">
        <v>76</v>
      </c>
      <c r="J2088" t="s">
        <v>77</v>
      </c>
      <c r="K2088" t="s">
        <v>78</v>
      </c>
      <c r="L2088" t="s">
        <v>90</v>
      </c>
      <c r="M2088" t="s">
        <v>91</v>
      </c>
      <c r="N2088" t="s">
        <v>748</v>
      </c>
      <c r="O2088" t="s">
        <v>82</v>
      </c>
      <c r="P2088" t="str">
        <f>"4170039228                    "</f>
        <v xml:space="preserve">4170039228                    </v>
      </c>
      <c r="Q2088">
        <v>0</v>
      </c>
      <c r="R2088">
        <v>0</v>
      </c>
      <c r="S2088">
        <v>0</v>
      </c>
      <c r="T2088">
        <v>0</v>
      </c>
      <c r="U2088">
        <v>0</v>
      </c>
      <c r="V2088">
        <v>0</v>
      </c>
      <c r="W2088">
        <v>0</v>
      </c>
      <c r="X2088">
        <v>0</v>
      </c>
      <c r="Y2088">
        <v>0</v>
      </c>
      <c r="Z2088">
        <v>0</v>
      </c>
      <c r="AA2088">
        <v>0</v>
      </c>
      <c r="AB2088">
        <v>0</v>
      </c>
      <c r="AC2088">
        <v>0</v>
      </c>
      <c r="AD2088">
        <v>0</v>
      </c>
      <c r="AE2088">
        <v>0</v>
      </c>
      <c r="AF2088">
        <v>0</v>
      </c>
      <c r="AG2088">
        <v>0</v>
      </c>
      <c r="AH2088">
        <v>0</v>
      </c>
      <c r="AI2088">
        <v>0</v>
      </c>
      <c r="AJ2088">
        <v>0</v>
      </c>
      <c r="AK2088">
        <v>0</v>
      </c>
      <c r="AL2088">
        <v>0</v>
      </c>
      <c r="AM2088">
        <v>0</v>
      </c>
      <c r="AN2088">
        <v>0</v>
      </c>
      <c r="AO2088">
        <v>0</v>
      </c>
      <c r="AP2088">
        <v>0</v>
      </c>
      <c r="AQ2088">
        <v>21.38</v>
      </c>
      <c r="AR2088">
        <v>0</v>
      </c>
      <c r="AS2088">
        <v>0</v>
      </c>
      <c r="AT2088">
        <v>0</v>
      </c>
      <c r="AU2088">
        <v>0</v>
      </c>
      <c r="AV2088">
        <v>0</v>
      </c>
      <c r="AW2088">
        <v>0</v>
      </c>
      <c r="AX2088">
        <v>0</v>
      </c>
      <c r="AY2088">
        <v>0</v>
      </c>
      <c r="AZ2088">
        <v>0</v>
      </c>
      <c r="BA2088">
        <v>0</v>
      </c>
      <c r="BB2088">
        <v>0</v>
      </c>
      <c r="BC2088">
        <v>0</v>
      </c>
      <c r="BD2088">
        <v>0</v>
      </c>
      <c r="BE2088">
        <v>0</v>
      </c>
      <c r="BF2088">
        <v>0</v>
      </c>
      <c r="BG2088">
        <v>0</v>
      </c>
      <c r="BH2088">
        <v>1</v>
      </c>
      <c r="BI2088">
        <v>1</v>
      </c>
      <c r="BJ2088">
        <v>0.2</v>
      </c>
      <c r="BK2088">
        <v>1</v>
      </c>
      <c r="BL2088">
        <v>69.98</v>
      </c>
      <c r="BM2088">
        <v>10.5</v>
      </c>
      <c r="BN2088">
        <v>80.48</v>
      </c>
      <c r="BO2088">
        <v>80.48</v>
      </c>
      <c r="BQ2088" t="s">
        <v>1198</v>
      </c>
      <c r="BR2088" t="s">
        <v>84</v>
      </c>
      <c r="BS2088" s="3">
        <v>45797</v>
      </c>
      <c r="BT2088" s="4">
        <v>0.33819444444444446</v>
      </c>
      <c r="BU2088" t="s">
        <v>2545</v>
      </c>
      <c r="BV2088" t="s">
        <v>86</v>
      </c>
      <c r="BY2088">
        <v>1200</v>
      </c>
      <c r="CA2088" t="s">
        <v>298</v>
      </c>
      <c r="CC2088" t="s">
        <v>91</v>
      </c>
      <c r="CD2088">
        <v>6045</v>
      </c>
      <c r="CE2088" t="s">
        <v>88</v>
      </c>
      <c r="CF2088" s="3">
        <v>45797</v>
      </c>
      <c r="CI2088">
        <v>1</v>
      </c>
      <c r="CJ2088">
        <v>1</v>
      </c>
      <c r="CK2088">
        <v>21</v>
      </c>
      <c r="CL2088" t="s">
        <v>89</v>
      </c>
    </row>
    <row r="2089" spans="1:90" x14ac:dyDescent="0.3">
      <c r="A2089" t="s">
        <v>72</v>
      </c>
      <c r="B2089" t="s">
        <v>73</v>
      </c>
      <c r="C2089" t="s">
        <v>74</v>
      </c>
      <c r="E2089" t="str">
        <f>"080065441238"</f>
        <v>080065441238</v>
      </c>
      <c r="F2089" s="3">
        <v>45796</v>
      </c>
      <c r="G2089">
        <v>202602</v>
      </c>
      <c r="H2089" t="s">
        <v>75</v>
      </c>
      <c r="I2089" t="s">
        <v>76</v>
      </c>
      <c r="J2089" t="s">
        <v>77</v>
      </c>
      <c r="K2089" t="s">
        <v>78</v>
      </c>
      <c r="L2089" t="s">
        <v>75</v>
      </c>
      <c r="M2089" t="s">
        <v>76</v>
      </c>
      <c r="N2089" t="s">
        <v>390</v>
      </c>
      <c r="O2089" t="s">
        <v>300</v>
      </c>
      <c r="P2089" t="str">
        <f>"4170039130                    "</f>
        <v xml:space="preserve">4170039130                    </v>
      </c>
      <c r="Q2089">
        <v>0</v>
      </c>
      <c r="R2089">
        <v>0</v>
      </c>
      <c r="S2089">
        <v>0</v>
      </c>
      <c r="T2089">
        <v>0</v>
      </c>
      <c r="U2089">
        <v>0</v>
      </c>
      <c r="V2089">
        <v>0</v>
      </c>
      <c r="W2089">
        <v>0</v>
      </c>
      <c r="X2089">
        <v>0</v>
      </c>
      <c r="Y2089">
        <v>0</v>
      </c>
      <c r="Z2089">
        <v>0</v>
      </c>
      <c r="AA2089">
        <v>0</v>
      </c>
      <c r="AB2089">
        <v>0</v>
      </c>
      <c r="AC2089">
        <v>0</v>
      </c>
      <c r="AD2089">
        <v>0</v>
      </c>
      <c r="AE2089">
        <v>0</v>
      </c>
      <c r="AF2089">
        <v>0</v>
      </c>
      <c r="AG2089">
        <v>0</v>
      </c>
      <c r="AH2089">
        <v>0</v>
      </c>
      <c r="AI2089">
        <v>0</v>
      </c>
      <c r="AJ2089">
        <v>0</v>
      </c>
      <c r="AK2089">
        <v>0</v>
      </c>
      <c r="AL2089">
        <v>0</v>
      </c>
      <c r="AM2089">
        <v>0</v>
      </c>
      <c r="AN2089">
        <v>0</v>
      </c>
      <c r="AO2089">
        <v>0</v>
      </c>
      <c r="AP2089">
        <v>0</v>
      </c>
      <c r="AQ2089">
        <v>40.299999999999997</v>
      </c>
      <c r="AR2089">
        <v>0</v>
      </c>
      <c r="AS2089">
        <v>0</v>
      </c>
      <c r="AT2089">
        <v>0</v>
      </c>
      <c r="AU2089">
        <v>0</v>
      </c>
      <c r="AV2089">
        <v>0</v>
      </c>
      <c r="AW2089">
        <v>0</v>
      </c>
      <c r="AX2089">
        <v>0</v>
      </c>
      <c r="AY2089">
        <v>0</v>
      </c>
      <c r="AZ2089">
        <v>0</v>
      </c>
      <c r="BA2089">
        <v>0</v>
      </c>
      <c r="BB2089">
        <v>0</v>
      </c>
      <c r="BC2089">
        <v>0</v>
      </c>
      <c r="BD2089">
        <v>0</v>
      </c>
      <c r="BE2089">
        <v>0</v>
      </c>
      <c r="BF2089">
        <v>0</v>
      </c>
      <c r="BG2089">
        <v>0</v>
      </c>
      <c r="BH2089">
        <v>1</v>
      </c>
      <c r="BI2089">
        <v>24</v>
      </c>
      <c r="BJ2089">
        <v>11.2</v>
      </c>
      <c r="BK2089">
        <v>24</v>
      </c>
      <c r="BL2089">
        <v>137.47</v>
      </c>
      <c r="BM2089">
        <v>20.62</v>
      </c>
      <c r="BN2089">
        <v>158.09</v>
      </c>
      <c r="BO2089">
        <v>158.09</v>
      </c>
      <c r="BQ2089" t="s">
        <v>391</v>
      </c>
      <c r="BR2089" t="s">
        <v>84</v>
      </c>
      <c r="BS2089" s="3">
        <v>45797</v>
      </c>
      <c r="BT2089" s="4">
        <v>0.36388888888888887</v>
      </c>
      <c r="BU2089" t="s">
        <v>392</v>
      </c>
      <c r="BV2089" t="s">
        <v>86</v>
      </c>
      <c r="BY2089">
        <v>56160</v>
      </c>
      <c r="CA2089" t="s">
        <v>115</v>
      </c>
      <c r="CC2089" t="s">
        <v>76</v>
      </c>
      <c r="CD2089">
        <v>1600</v>
      </c>
      <c r="CE2089" t="s">
        <v>550</v>
      </c>
      <c r="CF2089" s="3">
        <v>45797</v>
      </c>
      <c r="CI2089">
        <v>1</v>
      </c>
      <c r="CJ2089">
        <v>1</v>
      </c>
      <c r="CK2089">
        <v>42</v>
      </c>
      <c r="CL2089" t="s">
        <v>89</v>
      </c>
    </row>
    <row r="2090" spans="1:90" x14ac:dyDescent="0.3">
      <c r="A2090" t="s">
        <v>72</v>
      </c>
      <c r="B2090" t="s">
        <v>73</v>
      </c>
      <c r="C2090" t="s">
        <v>74</v>
      </c>
      <c r="E2090" t="str">
        <f>"080065441262"</f>
        <v>080065441262</v>
      </c>
      <c r="F2090" s="3">
        <v>45796</v>
      </c>
      <c r="G2090">
        <v>202602</v>
      </c>
      <c r="H2090" t="s">
        <v>75</v>
      </c>
      <c r="I2090" t="s">
        <v>76</v>
      </c>
      <c r="J2090" t="s">
        <v>77</v>
      </c>
      <c r="K2090" t="s">
        <v>78</v>
      </c>
      <c r="L2090" t="s">
        <v>350</v>
      </c>
      <c r="M2090" t="s">
        <v>351</v>
      </c>
      <c r="N2090" t="s">
        <v>2546</v>
      </c>
      <c r="O2090" t="s">
        <v>82</v>
      </c>
      <c r="P2090" t="str">
        <f>"4170039200                    "</f>
        <v xml:space="preserve">4170039200                    </v>
      </c>
      <c r="Q2090">
        <v>0</v>
      </c>
      <c r="R2090">
        <v>0</v>
      </c>
      <c r="S2090">
        <v>0</v>
      </c>
      <c r="T2090">
        <v>0</v>
      </c>
      <c r="U2090">
        <v>0</v>
      </c>
      <c r="V2090">
        <v>0</v>
      </c>
      <c r="W2090">
        <v>0</v>
      </c>
      <c r="X2090">
        <v>0</v>
      </c>
      <c r="Y2090">
        <v>0</v>
      </c>
      <c r="Z2090">
        <v>0</v>
      </c>
      <c r="AA2090">
        <v>0</v>
      </c>
      <c r="AB2090">
        <v>0</v>
      </c>
      <c r="AC2090">
        <v>0</v>
      </c>
      <c r="AD2090">
        <v>0</v>
      </c>
      <c r="AE2090">
        <v>0</v>
      </c>
      <c r="AF2090">
        <v>0</v>
      </c>
      <c r="AG2090">
        <v>0</v>
      </c>
      <c r="AH2090">
        <v>0</v>
      </c>
      <c r="AI2090">
        <v>0</v>
      </c>
      <c r="AJ2090">
        <v>0</v>
      </c>
      <c r="AK2090">
        <v>0</v>
      </c>
      <c r="AL2090">
        <v>0</v>
      </c>
      <c r="AM2090">
        <v>0</v>
      </c>
      <c r="AN2090">
        <v>0</v>
      </c>
      <c r="AO2090">
        <v>0</v>
      </c>
      <c r="AP2090">
        <v>0</v>
      </c>
      <c r="AQ2090">
        <v>21.38</v>
      </c>
      <c r="AR2090">
        <v>0</v>
      </c>
      <c r="AS2090">
        <v>0</v>
      </c>
      <c r="AT2090">
        <v>0</v>
      </c>
      <c r="AU2090">
        <v>0</v>
      </c>
      <c r="AV2090">
        <v>0</v>
      </c>
      <c r="AW2090">
        <v>0</v>
      </c>
      <c r="AX2090">
        <v>0</v>
      </c>
      <c r="AY2090">
        <v>0</v>
      </c>
      <c r="AZ2090">
        <v>0</v>
      </c>
      <c r="BA2090">
        <v>0</v>
      </c>
      <c r="BB2090">
        <v>0</v>
      </c>
      <c r="BC2090">
        <v>0</v>
      </c>
      <c r="BD2090">
        <v>0</v>
      </c>
      <c r="BE2090">
        <v>0</v>
      </c>
      <c r="BF2090">
        <v>0</v>
      </c>
      <c r="BG2090">
        <v>0</v>
      </c>
      <c r="BH2090">
        <v>1</v>
      </c>
      <c r="BI2090">
        <v>1</v>
      </c>
      <c r="BJ2090">
        <v>0.2</v>
      </c>
      <c r="BK2090">
        <v>1</v>
      </c>
      <c r="BL2090">
        <v>69.98</v>
      </c>
      <c r="BM2090">
        <v>10.5</v>
      </c>
      <c r="BN2090">
        <v>80.48</v>
      </c>
      <c r="BO2090">
        <v>80.48</v>
      </c>
      <c r="BQ2090" t="s">
        <v>2547</v>
      </c>
      <c r="BR2090" t="s">
        <v>84</v>
      </c>
      <c r="BS2090" s="3">
        <v>45797</v>
      </c>
      <c r="BT2090" s="4">
        <v>0.37847222222222221</v>
      </c>
      <c r="BU2090" t="s">
        <v>2548</v>
      </c>
      <c r="BV2090" t="s">
        <v>86</v>
      </c>
      <c r="BY2090">
        <v>1200</v>
      </c>
      <c r="CA2090" t="s">
        <v>326</v>
      </c>
      <c r="CC2090" t="s">
        <v>351</v>
      </c>
      <c r="CD2090">
        <v>4052</v>
      </c>
      <c r="CE2090" t="s">
        <v>88</v>
      </c>
      <c r="CF2090" s="3">
        <v>45797</v>
      </c>
      <c r="CI2090">
        <v>1</v>
      </c>
      <c r="CJ2090">
        <v>1</v>
      </c>
      <c r="CK2090">
        <v>21</v>
      </c>
      <c r="CL2090" t="s">
        <v>89</v>
      </c>
    </row>
    <row r="2091" spans="1:90" x14ac:dyDescent="0.3">
      <c r="A2091" t="s">
        <v>72</v>
      </c>
      <c r="B2091" t="s">
        <v>73</v>
      </c>
      <c r="C2091" t="s">
        <v>74</v>
      </c>
      <c r="E2091" t="str">
        <f>"080065441296"</f>
        <v>080065441296</v>
      </c>
      <c r="F2091" s="3">
        <v>45796</v>
      </c>
      <c r="G2091">
        <v>202602</v>
      </c>
      <c r="H2091" t="s">
        <v>75</v>
      </c>
      <c r="I2091" t="s">
        <v>76</v>
      </c>
      <c r="J2091" t="s">
        <v>77</v>
      </c>
      <c r="K2091" t="s">
        <v>78</v>
      </c>
      <c r="L2091" t="s">
        <v>222</v>
      </c>
      <c r="M2091" t="s">
        <v>223</v>
      </c>
      <c r="N2091" t="s">
        <v>589</v>
      </c>
      <c r="O2091" t="s">
        <v>300</v>
      </c>
      <c r="P2091" t="str">
        <f>"4170039079                    "</f>
        <v xml:space="preserve">4170039079                    </v>
      </c>
      <c r="Q2091">
        <v>0</v>
      </c>
      <c r="R2091">
        <v>0</v>
      </c>
      <c r="S2091">
        <v>0</v>
      </c>
      <c r="T2091">
        <v>0</v>
      </c>
      <c r="U2091">
        <v>0</v>
      </c>
      <c r="V2091">
        <v>0</v>
      </c>
      <c r="W2091">
        <v>0</v>
      </c>
      <c r="X2091">
        <v>0</v>
      </c>
      <c r="Y2091">
        <v>0</v>
      </c>
      <c r="Z2091">
        <v>0</v>
      </c>
      <c r="AA2091">
        <v>0</v>
      </c>
      <c r="AB2091">
        <v>0</v>
      </c>
      <c r="AC2091">
        <v>0</v>
      </c>
      <c r="AD2091">
        <v>0</v>
      </c>
      <c r="AE2091">
        <v>0</v>
      </c>
      <c r="AF2091">
        <v>0</v>
      </c>
      <c r="AG2091">
        <v>0</v>
      </c>
      <c r="AH2091">
        <v>0</v>
      </c>
      <c r="AI2091">
        <v>0</v>
      </c>
      <c r="AJ2091">
        <v>0</v>
      </c>
      <c r="AK2091">
        <v>0</v>
      </c>
      <c r="AL2091">
        <v>0</v>
      </c>
      <c r="AM2091">
        <v>0</v>
      </c>
      <c r="AN2091">
        <v>0</v>
      </c>
      <c r="AO2091">
        <v>0</v>
      </c>
      <c r="AP2091">
        <v>0</v>
      </c>
      <c r="AQ2091">
        <v>48.05</v>
      </c>
      <c r="AR2091">
        <v>0</v>
      </c>
      <c r="AS2091">
        <v>0</v>
      </c>
      <c r="AT2091">
        <v>0</v>
      </c>
      <c r="AU2091">
        <v>0</v>
      </c>
      <c r="AV2091">
        <v>0</v>
      </c>
      <c r="AW2091">
        <v>0</v>
      </c>
      <c r="AX2091">
        <v>0</v>
      </c>
      <c r="AY2091">
        <v>0</v>
      </c>
      <c r="AZ2091">
        <v>0</v>
      </c>
      <c r="BA2091">
        <v>0</v>
      </c>
      <c r="BB2091">
        <v>0</v>
      </c>
      <c r="BC2091">
        <v>0</v>
      </c>
      <c r="BD2091">
        <v>0</v>
      </c>
      <c r="BE2091">
        <v>0</v>
      </c>
      <c r="BF2091">
        <v>0</v>
      </c>
      <c r="BG2091">
        <v>0</v>
      </c>
      <c r="BH2091">
        <v>1</v>
      </c>
      <c r="BI2091">
        <v>17</v>
      </c>
      <c r="BJ2091">
        <v>8.9</v>
      </c>
      <c r="BK2091">
        <v>17</v>
      </c>
      <c r="BL2091">
        <v>162.83000000000001</v>
      </c>
      <c r="BM2091">
        <v>24.42</v>
      </c>
      <c r="BN2091">
        <v>187.25</v>
      </c>
      <c r="BO2091">
        <v>187.25</v>
      </c>
      <c r="BQ2091" t="s">
        <v>590</v>
      </c>
      <c r="BR2091" t="s">
        <v>84</v>
      </c>
      <c r="BS2091" s="3">
        <v>45797</v>
      </c>
      <c r="BT2091" s="4">
        <v>0.3263888888888889</v>
      </c>
      <c r="BU2091" t="s">
        <v>2167</v>
      </c>
      <c r="BV2091" t="s">
        <v>86</v>
      </c>
      <c r="BY2091">
        <v>44640</v>
      </c>
      <c r="CA2091" t="s">
        <v>592</v>
      </c>
      <c r="CC2091" t="s">
        <v>223</v>
      </c>
      <c r="CD2091">
        <v>1748</v>
      </c>
      <c r="CE2091" t="s">
        <v>96</v>
      </c>
      <c r="CF2091" s="3">
        <v>45797</v>
      </c>
      <c r="CI2091">
        <v>1</v>
      </c>
      <c r="CJ2091">
        <v>1</v>
      </c>
      <c r="CK2091">
        <v>44</v>
      </c>
      <c r="CL2091" t="s">
        <v>89</v>
      </c>
    </row>
    <row r="2092" spans="1:90" x14ac:dyDescent="0.3">
      <c r="A2092" t="s">
        <v>72</v>
      </c>
      <c r="B2092" t="s">
        <v>73</v>
      </c>
      <c r="C2092" t="s">
        <v>74</v>
      </c>
      <c r="E2092" t="str">
        <f>"080065441311"</f>
        <v>080065441311</v>
      </c>
      <c r="F2092" s="3">
        <v>45796</v>
      </c>
      <c r="G2092">
        <v>202602</v>
      </c>
      <c r="H2092" t="s">
        <v>75</v>
      </c>
      <c r="I2092" t="s">
        <v>76</v>
      </c>
      <c r="J2092" t="s">
        <v>77</v>
      </c>
      <c r="K2092" t="s">
        <v>78</v>
      </c>
      <c r="L2092" t="s">
        <v>90</v>
      </c>
      <c r="M2092" t="s">
        <v>91</v>
      </c>
      <c r="N2092" t="s">
        <v>748</v>
      </c>
      <c r="O2092" t="s">
        <v>82</v>
      </c>
      <c r="P2092" t="str">
        <f>"4170039226                    "</f>
        <v xml:space="preserve">4170039226                    </v>
      </c>
      <c r="Q2092">
        <v>0</v>
      </c>
      <c r="R2092">
        <v>0</v>
      </c>
      <c r="S2092">
        <v>0</v>
      </c>
      <c r="T2092">
        <v>0</v>
      </c>
      <c r="U2092">
        <v>0</v>
      </c>
      <c r="V2092">
        <v>0</v>
      </c>
      <c r="W2092">
        <v>0</v>
      </c>
      <c r="X2092">
        <v>0</v>
      </c>
      <c r="Y2092">
        <v>0</v>
      </c>
      <c r="Z2092">
        <v>0</v>
      </c>
      <c r="AA2092">
        <v>0</v>
      </c>
      <c r="AB2092">
        <v>0</v>
      </c>
      <c r="AC2092">
        <v>0</v>
      </c>
      <c r="AD2092">
        <v>0</v>
      </c>
      <c r="AE2092">
        <v>0</v>
      </c>
      <c r="AF2092">
        <v>0</v>
      </c>
      <c r="AG2092">
        <v>0</v>
      </c>
      <c r="AH2092">
        <v>0</v>
      </c>
      <c r="AI2092">
        <v>0</v>
      </c>
      <c r="AJ2092">
        <v>0</v>
      </c>
      <c r="AK2092">
        <v>0</v>
      </c>
      <c r="AL2092">
        <v>0</v>
      </c>
      <c r="AM2092">
        <v>0</v>
      </c>
      <c r="AN2092">
        <v>0</v>
      </c>
      <c r="AO2092">
        <v>0</v>
      </c>
      <c r="AP2092">
        <v>0</v>
      </c>
      <c r="AQ2092">
        <v>21.38</v>
      </c>
      <c r="AR2092">
        <v>0</v>
      </c>
      <c r="AS2092">
        <v>0</v>
      </c>
      <c r="AT2092">
        <v>0</v>
      </c>
      <c r="AU2092">
        <v>0</v>
      </c>
      <c r="AV2092">
        <v>0</v>
      </c>
      <c r="AW2092">
        <v>0</v>
      </c>
      <c r="AX2092">
        <v>0</v>
      </c>
      <c r="AY2092">
        <v>0</v>
      </c>
      <c r="AZ2092">
        <v>0</v>
      </c>
      <c r="BA2092">
        <v>0</v>
      </c>
      <c r="BB2092">
        <v>0</v>
      </c>
      <c r="BC2092">
        <v>0</v>
      </c>
      <c r="BD2092">
        <v>0</v>
      </c>
      <c r="BE2092">
        <v>0</v>
      </c>
      <c r="BF2092">
        <v>0</v>
      </c>
      <c r="BG2092">
        <v>0</v>
      </c>
      <c r="BH2092">
        <v>1</v>
      </c>
      <c r="BI2092">
        <v>1</v>
      </c>
      <c r="BJ2092">
        <v>0.2</v>
      </c>
      <c r="BK2092">
        <v>1</v>
      </c>
      <c r="BL2092">
        <v>69.98</v>
      </c>
      <c r="BM2092">
        <v>10.5</v>
      </c>
      <c r="BN2092">
        <v>80.48</v>
      </c>
      <c r="BO2092">
        <v>80.48</v>
      </c>
      <c r="BQ2092" t="s">
        <v>1198</v>
      </c>
      <c r="BR2092" t="s">
        <v>84</v>
      </c>
      <c r="BS2092" s="3">
        <v>45797</v>
      </c>
      <c r="BT2092" s="4">
        <v>0.33819444444444446</v>
      </c>
      <c r="BU2092" t="s">
        <v>2545</v>
      </c>
      <c r="BV2092" t="s">
        <v>86</v>
      </c>
      <c r="BY2092">
        <v>1200</v>
      </c>
      <c r="CA2092" t="s">
        <v>298</v>
      </c>
      <c r="CC2092" t="s">
        <v>91</v>
      </c>
      <c r="CD2092">
        <v>6045</v>
      </c>
      <c r="CE2092" t="s">
        <v>88</v>
      </c>
      <c r="CF2092" s="3">
        <v>45797</v>
      </c>
      <c r="CI2092">
        <v>1</v>
      </c>
      <c r="CJ2092">
        <v>1</v>
      </c>
      <c r="CK2092">
        <v>21</v>
      </c>
      <c r="CL2092" t="s">
        <v>89</v>
      </c>
    </row>
    <row r="2093" spans="1:90" x14ac:dyDescent="0.3">
      <c r="A2093" t="s">
        <v>72</v>
      </c>
      <c r="B2093" t="s">
        <v>73</v>
      </c>
      <c r="C2093" t="s">
        <v>74</v>
      </c>
      <c r="E2093" t="str">
        <f>"080065441402"</f>
        <v>080065441402</v>
      </c>
      <c r="F2093" s="3">
        <v>45796</v>
      </c>
      <c r="G2093">
        <v>202602</v>
      </c>
      <c r="H2093" t="s">
        <v>75</v>
      </c>
      <c r="I2093" t="s">
        <v>76</v>
      </c>
      <c r="J2093" t="s">
        <v>77</v>
      </c>
      <c r="K2093" t="s">
        <v>78</v>
      </c>
      <c r="L2093" t="s">
        <v>672</v>
      </c>
      <c r="M2093" t="s">
        <v>673</v>
      </c>
      <c r="N2093" t="s">
        <v>674</v>
      </c>
      <c r="O2093" t="s">
        <v>82</v>
      </c>
      <c r="P2093" t="str">
        <f>"4170039187                    "</f>
        <v xml:space="preserve">4170039187                    </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c r="AI2093">
        <v>0</v>
      </c>
      <c r="AJ2093">
        <v>0</v>
      </c>
      <c r="AK2093">
        <v>0</v>
      </c>
      <c r="AL2093">
        <v>0</v>
      </c>
      <c r="AM2093">
        <v>0</v>
      </c>
      <c r="AN2093">
        <v>0</v>
      </c>
      <c r="AO2093">
        <v>0</v>
      </c>
      <c r="AP2093">
        <v>0</v>
      </c>
      <c r="AQ2093">
        <v>41.43</v>
      </c>
      <c r="AR2093">
        <v>0</v>
      </c>
      <c r="AS2093">
        <v>0</v>
      </c>
      <c r="AT2093">
        <v>0</v>
      </c>
      <c r="AU2093">
        <v>0</v>
      </c>
      <c r="AV2093">
        <v>0</v>
      </c>
      <c r="AW2093">
        <v>0</v>
      </c>
      <c r="AX2093">
        <v>0</v>
      </c>
      <c r="AY2093">
        <v>0</v>
      </c>
      <c r="AZ2093">
        <v>0</v>
      </c>
      <c r="BA2093">
        <v>0</v>
      </c>
      <c r="BB2093">
        <v>0</v>
      </c>
      <c r="BC2093">
        <v>0</v>
      </c>
      <c r="BD2093">
        <v>0</v>
      </c>
      <c r="BE2093">
        <v>0</v>
      </c>
      <c r="BF2093">
        <v>0</v>
      </c>
      <c r="BG2093">
        <v>0</v>
      </c>
      <c r="BH2093">
        <v>1</v>
      </c>
      <c r="BI2093">
        <v>1</v>
      </c>
      <c r="BJ2093">
        <v>0.2</v>
      </c>
      <c r="BK2093">
        <v>1</v>
      </c>
      <c r="BL2093">
        <v>135.59</v>
      </c>
      <c r="BM2093">
        <v>20.34</v>
      </c>
      <c r="BN2093">
        <v>155.93</v>
      </c>
      <c r="BO2093">
        <v>155.93</v>
      </c>
      <c r="BQ2093" t="s">
        <v>675</v>
      </c>
      <c r="BR2093" t="s">
        <v>84</v>
      </c>
      <c r="BS2093" s="3">
        <v>45797</v>
      </c>
      <c r="BT2093" s="4">
        <v>0.46666666666666667</v>
      </c>
      <c r="BU2093" t="s">
        <v>2549</v>
      </c>
      <c r="BV2093" t="s">
        <v>86</v>
      </c>
      <c r="BY2093">
        <v>1200</v>
      </c>
      <c r="BZ2093" t="s">
        <v>127</v>
      </c>
      <c r="CA2093" t="s">
        <v>677</v>
      </c>
      <c r="CC2093" t="s">
        <v>673</v>
      </c>
      <c r="CD2093">
        <v>2531</v>
      </c>
      <c r="CE2093" t="s">
        <v>129</v>
      </c>
      <c r="CF2093" s="3">
        <v>45798</v>
      </c>
      <c r="CI2093">
        <v>1</v>
      </c>
      <c r="CJ2093">
        <v>1</v>
      </c>
      <c r="CK2093">
        <v>23</v>
      </c>
      <c r="CL2093" t="s">
        <v>89</v>
      </c>
    </row>
    <row r="2094" spans="1:90" x14ac:dyDescent="0.3">
      <c r="A2094" t="s">
        <v>72</v>
      </c>
      <c r="B2094" t="s">
        <v>73</v>
      </c>
      <c r="C2094" t="s">
        <v>74</v>
      </c>
      <c r="E2094" t="str">
        <f>"080065441437"</f>
        <v>080065441437</v>
      </c>
      <c r="F2094" s="3">
        <v>45796</v>
      </c>
      <c r="G2094">
        <v>202602</v>
      </c>
      <c r="H2094" t="s">
        <v>75</v>
      </c>
      <c r="I2094" t="s">
        <v>76</v>
      </c>
      <c r="J2094" t="s">
        <v>77</v>
      </c>
      <c r="K2094" t="s">
        <v>78</v>
      </c>
      <c r="L2094" t="s">
        <v>672</v>
      </c>
      <c r="M2094" t="s">
        <v>673</v>
      </c>
      <c r="N2094" t="s">
        <v>674</v>
      </c>
      <c r="O2094" t="s">
        <v>82</v>
      </c>
      <c r="P2094" t="str">
        <f>"4170039225                    "</f>
        <v xml:space="preserve">4170039225                    </v>
      </c>
      <c r="Q2094">
        <v>0</v>
      </c>
      <c r="R2094">
        <v>0</v>
      </c>
      <c r="S2094">
        <v>0</v>
      </c>
      <c r="T2094">
        <v>0</v>
      </c>
      <c r="U2094">
        <v>0</v>
      </c>
      <c r="V2094">
        <v>0</v>
      </c>
      <c r="W2094">
        <v>0</v>
      </c>
      <c r="X2094">
        <v>0</v>
      </c>
      <c r="Y2094">
        <v>0</v>
      </c>
      <c r="Z2094">
        <v>0</v>
      </c>
      <c r="AA2094">
        <v>0</v>
      </c>
      <c r="AB2094">
        <v>0</v>
      </c>
      <c r="AC2094">
        <v>0</v>
      </c>
      <c r="AD2094">
        <v>0</v>
      </c>
      <c r="AE2094">
        <v>0</v>
      </c>
      <c r="AF2094">
        <v>0</v>
      </c>
      <c r="AG2094">
        <v>0</v>
      </c>
      <c r="AH2094">
        <v>0</v>
      </c>
      <c r="AI2094">
        <v>0</v>
      </c>
      <c r="AJ2094">
        <v>0</v>
      </c>
      <c r="AK2094">
        <v>0</v>
      </c>
      <c r="AL2094">
        <v>0</v>
      </c>
      <c r="AM2094">
        <v>0</v>
      </c>
      <c r="AN2094">
        <v>0</v>
      </c>
      <c r="AO2094">
        <v>0</v>
      </c>
      <c r="AP2094">
        <v>0</v>
      </c>
      <c r="AQ2094">
        <v>41.43</v>
      </c>
      <c r="AR2094">
        <v>0</v>
      </c>
      <c r="AS2094">
        <v>0</v>
      </c>
      <c r="AT2094">
        <v>0</v>
      </c>
      <c r="AU2094">
        <v>0</v>
      </c>
      <c r="AV2094">
        <v>0</v>
      </c>
      <c r="AW2094">
        <v>0</v>
      </c>
      <c r="AX2094">
        <v>0</v>
      </c>
      <c r="AY2094">
        <v>0</v>
      </c>
      <c r="AZ2094">
        <v>0</v>
      </c>
      <c r="BA2094">
        <v>0</v>
      </c>
      <c r="BB2094">
        <v>0</v>
      </c>
      <c r="BC2094">
        <v>0</v>
      </c>
      <c r="BD2094">
        <v>0</v>
      </c>
      <c r="BE2094">
        <v>0</v>
      </c>
      <c r="BF2094">
        <v>0</v>
      </c>
      <c r="BG2094">
        <v>0</v>
      </c>
      <c r="BH2094">
        <v>1</v>
      </c>
      <c r="BI2094">
        <v>1</v>
      </c>
      <c r="BJ2094">
        <v>0.2</v>
      </c>
      <c r="BK2094">
        <v>1</v>
      </c>
      <c r="BL2094">
        <v>135.59</v>
      </c>
      <c r="BM2094">
        <v>20.34</v>
      </c>
      <c r="BN2094">
        <v>155.93</v>
      </c>
      <c r="BO2094">
        <v>155.93</v>
      </c>
      <c r="BQ2094" t="s">
        <v>675</v>
      </c>
      <c r="BR2094" t="s">
        <v>84</v>
      </c>
      <c r="BS2094" s="3">
        <v>45797</v>
      </c>
      <c r="BT2094" s="4">
        <v>0.46666666666666667</v>
      </c>
      <c r="BU2094" t="s">
        <v>2531</v>
      </c>
      <c r="BV2094" t="s">
        <v>86</v>
      </c>
      <c r="BY2094">
        <v>1200</v>
      </c>
      <c r="BZ2094" t="s">
        <v>127</v>
      </c>
      <c r="CA2094" t="s">
        <v>677</v>
      </c>
      <c r="CC2094" t="s">
        <v>673</v>
      </c>
      <c r="CD2094">
        <v>2531</v>
      </c>
      <c r="CE2094" t="s">
        <v>129</v>
      </c>
      <c r="CF2094" s="3">
        <v>45798</v>
      </c>
      <c r="CI2094">
        <v>1</v>
      </c>
      <c r="CJ2094">
        <v>1</v>
      </c>
      <c r="CK2094">
        <v>23</v>
      </c>
      <c r="CL2094" t="s">
        <v>89</v>
      </c>
    </row>
    <row r="2095" spans="1:90" x14ac:dyDescent="0.3">
      <c r="A2095" t="s">
        <v>72</v>
      </c>
      <c r="B2095" t="s">
        <v>73</v>
      </c>
      <c r="C2095" t="s">
        <v>74</v>
      </c>
      <c r="E2095" t="str">
        <f>"080065441497"</f>
        <v>080065441497</v>
      </c>
      <c r="F2095" s="3">
        <v>45796</v>
      </c>
      <c r="G2095">
        <v>202602</v>
      </c>
      <c r="H2095" t="s">
        <v>75</v>
      </c>
      <c r="I2095" t="s">
        <v>76</v>
      </c>
      <c r="J2095" t="s">
        <v>77</v>
      </c>
      <c r="K2095" t="s">
        <v>78</v>
      </c>
      <c r="L2095" t="s">
        <v>130</v>
      </c>
      <c r="M2095" t="s">
        <v>131</v>
      </c>
      <c r="N2095" t="s">
        <v>239</v>
      </c>
      <c r="O2095" t="s">
        <v>82</v>
      </c>
      <c r="P2095" t="str">
        <f>"4170039203                    "</f>
        <v xml:space="preserve">4170039203                    </v>
      </c>
      <c r="Q2095">
        <v>0</v>
      </c>
      <c r="R2095">
        <v>0</v>
      </c>
      <c r="S2095">
        <v>0</v>
      </c>
      <c r="T2095">
        <v>0</v>
      </c>
      <c r="U2095">
        <v>0</v>
      </c>
      <c r="V2095">
        <v>0</v>
      </c>
      <c r="W2095">
        <v>0</v>
      </c>
      <c r="X2095">
        <v>0</v>
      </c>
      <c r="Y2095">
        <v>0</v>
      </c>
      <c r="Z2095">
        <v>0</v>
      </c>
      <c r="AA2095">
        <v>0</v>
      </c>
      <c r="AB2095">
        <v>0</v>
      </c>
      <c r="AC2095">
        <v>0</v>
      </c>
      <c r="AD2095">
        <v>0</v>
      </c>
      <c r="AE2095">
        <v>0</v>
      </c>
      <c r="AF2095">
        <v>0</v>
      </c>
      <c r="AG2095">
        <v>0</v>
      </c>
      <c r="AH2095">
        <v>0</v>
      </c>
      <c r="AI2095">
        <v>0</v>
      </c>
      <c r="AJ2095">
        <v>0</v>
      </c>
      <c r="AK2095">
        <v>0</v>
      </c>
      <c r="AL2095">
        <v>0</v>
      </c>
      <c r="AM2095">
        <v>0</v>
      </c>
      <c r="AN2095">
        <v>0</v>
      </c>
      <c r="AO2095">
        <v>0</v>
      </c>
      <c r="AP2095">
        <v>0</v>
      </c>
      <c r="AQ2095">
        <v>21.38</v>
      </c>
      <c r="AR2095">
        <v>0</v>
      </c>
      <c r="AS2095">
        <v>0</v>
      </c>
      <c r="AT2095">
        <v>0</v>
      </c>
      <c r="AU2095">
        <v>0</v>
      </c>
      <c r="AV2095">
        <v>0</v>
      </c>
      <c r="AW2095">
        <v>0</v>
      </c>
      <c r="AX2095">
        <v>0</v>
      </c>
      <c r="AY2095">
        <v>0</v>
      </c>
      <c r="AZ2095">
        <v>0</v>
      </c>
      <c r="BA2095">
        <v>0</v>
      </c>
      <c r="BB2095">
        <v>0</v>
      </c>
      <c r="BC2095">
        <v>0</v>
      </c>
      <c r="BD2095">
        <v>0</v>
      </c>
      <c r="BE2095">
        <v>0</v>
      </c>
      <c r="BF2095">
        <v>0</v>
      </c>
      <c r="BG2095">
        <v>0</v>
      </c>
      <c r="BH2095">
        <v>1</v>
      </c>
      <c r="BI2095">
        <v>1</v>
      </c>
      <c r="BJ2095">
        <v>0.2</v>
      </c>
      <c r="BK2095">
        <v>1</v>
      </c>
      <c r="BL2095">
        <v>69.98</v>
      </c>
      <c r="BM2095">
        <v>10.5</v>
      </c>
      <c r="BN2095">
        <v>80.48</v>
      </c>
      <c r="BO2095">
        <v>80.48</v>
      </c>
      <c r="BQ2095" t="s">
        <v>240</v>
      </c>
      <c r="BR2095" t="s">
        <v>84</v>
      </c>
      <c r="BS2095" s="3">
        <v>45797</v>
      </c>
      <c r="BT2095" s="4">
        <v>0.3611111111111111</v>
      </c>
      <c r="BU2095" t="s">
        <v>2541</v>
      </c>
      <c r="BV2095" t="s">
        <v>86</v>
      </c>
      <c r="BY2095">
        <v>1200</v>
      </c>
      <c r="BZ2095" t="s">
        <v>127</v>
      </c>
      <c r="CA2095" t="s">
        <v>1634</v>
      </c>
      <c r="CC2095" t="s">
        <v>131</v>
      </c>
      <c r="CD2095">
        <v>7441</v>
      </c>
      <c r="CE2095" t="s">
        <v>129</v>
      </c>
      <c r="CF2095" s="3">
        <v>45798</v>
      </c>
      <c r="CI2095">
        <v>1</v>
      </c>
      <c r="CJ2095">
        <v>1</v>
      </c>
      <c r="CK2095">
        <v>21</v>
      </c>
      <c r="CL2095" t="s">
        <v>89</v>
      </c>
    </row>
    <row r="2096" spans="1:90" x14ac:dyDescent="0.3">
      <c r="A2096" t="s">
        <v>72</v>
      </c>
      <c r="B2096" t="s">
        <v>73</v>
      </c>
      <c r="C2096" t="s">
        <v>74</v>
      </c>
      <c r="E2096" t="str">
        <f>"080065441525"</f>
        <v>080065441525</v>
      </c>
      <c r="F2096" s="3">
        <v>45796</v>
      </c>
      <c r="G2096">
        <v>202602</v>
      </c>
      <c r="H2096" t="s">
        <v>75</v>
      </c>
      <c r="I2096" t="s">
        <v>76</v>
      </c>
      <c r="J2096" t="s">
        <v>77</v>
      </c>
      <c r="K2096" t="s">
        <v>78</v>
      </c>
      <c r="L2096" t="s">
        <v>672</v>
      </c>
      <c r="M2096" t="s">
        <v>673</v>
      </c>
      <c r="N2096" t="s">
        <v>674</v>
      </c>
      <c r="O2096" t="s">
        <v>82</v>
      </c>
      <c r="P2096" t="str">
        <f>"4170039186                    "</f>
        <v xml:space="preserve">4170039186                    </v>
      </c>
      <c r="Q2096">
        <v>0</v>
      </c>
      <c r="R2096">
        <v>0</v>
      </c>
      <c r="S2096">
        <v>0</v>
      </c>
      <c r="T2096">
        <v>0</v>
      </c>
      <c r="U2096">
        <v>0</v>
      </c>
      <c r="V2096">
        <v>0</v>
      </c>
      <c r="W2096">
        <v>0</v>
      </c>
      <c r="X2096">
        <v>0</v>
      </c>
      <c r="Y2096">
        <v>0</v>
      </c>
      <c r="Z2096">
        <v>0</v>
      </c>
      <c r="AA2096">
        <v>0</v>
      </c>
      <c r="AB2096">
        <v>0</v>
      </c>
      <c r="AC2096">
        <v>0</v>
      </c>
      <c r="AD2096">
        <v>0</v>
      </c>
      <c r="AE2096">
        <v>0</v>
      </c>
      <c r="AF2096">
        <v>0</v>
      </c>
      <c r="AG2096">
        <v>0</v>
      </c>
      <c r="AH2096">
        <v>0</v>
      </c>
      <c r="AI2096">
        <v>0</v>
      </c>
      <c r="AJ2096">
        <v>0</v>
      </c>
      <c r="AK2096">
        <v>0</v>
      </c>
      <c r="AL2096">
        <v>0</v>
      </c>
      <c r="AM2096">
        <v>0</v>
      </c>
      <c r="AN2096">
        <v>0</v>
      </c>
      <c r="AO2096">
        <v>0</v>
      </c>
      <c r="AP2096">
        <v>0</v>
      </c>
      <c r="AQ2096">
        <v>41.43</v>
      </c>
      <c r="AR2096">
        <v>0</v>
      </c>
      <c r="AS2096">
        <v>0</v>
      </c>
      <c r="AT2096">
        <v>0</v>
      </c>
      <c r="AU2096">
        <v>0</v>
      </c>
      <c r="AV2096">
        <v>0</v>
      </c>
      <c r="AW2096">
        <v>0</v>
      </c>
      <c r="AX2096">
        <v>0</v>
      </c>
      <c r="AY2096">
        <v>0</v>
      </c>
      <c r="AZ2096">
        <v>0</v>
      </c>
      <c r="BA2096">
        <v>0</v>
      </c>
      <c r="BB2096">
        <v>0</v>
      </c>
      <c r="BC2096">
        <v>0</v>
      </c>
      <c r="BD2096">
        <v>0</v>
      </c>
      <c r="BE2096">
        <v>0</v>
      </c>
      <c r="BF2096">
        <v>0</v>
      </c>
      <c r="BG2096">
        <v>0</v>
      </c>
      <c r="BH2096">
        <v>1</v>
      </c>
      <c r="BI2096">
        <v>1</v>
      </c>
      <c r="BJ2096">
        <v>0.2</v>
      </c>
      <c r="BK2096">
        <v>1</v>
      </c>
      <c r="BL2096">
        <v>135.59</v>
      </c>
      <c r="BM2096">
        <v>20.34</v>
      </c>
      <c r="BN2096">
        <v>155.93</v>
      </c>
      <c r="BO2096">
        <v>155.93</v>
      </c>
      <c r="BQ2096" t="s">
        <v>675</v>
      </c>
      <c r="BR2096" t="s">
        <v>84</v>
      </c>
      <c r="BS2096" s="3">
        <v>45797</v>
      </c>
      <c r="BT2096" s="4">
        <v>0.46736111111111112</v>
      </c>
      <c r="BU2096" t="s">
        <v>2531</v>
      </c>
      <c r="BV2096" t="s">
        <v>86</v>
      </c>
      <c r="BY2096">
        <v>1200</v>
      </c>
      <c r="CA2096" t="s">
        <v>677</v>
      </c>
      <c r="CC2096" t="s">
        <v>673</v>
      </c>
      <c r="CD2096">
        <v>2531</v>
      </c>
      <c r="CE2096" t="s">
        <v>88</v>
      </c>
      <c r="CF2096" s="3">
        <v>45798</v>
      </c>
      <c r="CI2096">
        <v>1</v>
      </c>
      <c r="CJ2096">
        <v>1</v>
      </c>
      <c r="CK2096">
        <v>23</v>
      </c>
      <c r="CL2096" t="s">
        <v>89</v>
      </c>
    </row>
    <row r="2097" spans="1:90" x14ac:dyDescent="0.3">
      <c r="A2097" t="s">
        <v>72</v>
      </c>
      <c r="B2097" t="s">
        <v>73</v>
      </c>
      <c r="C2097" t="s">
        <v>74</v>
      </c>
      <c r="E2097" t="str">
        <f>"080065441561"</f>
        <v>080065441561</v>
      </c>
      <c r="F2097" s="3">
        <v>45796</v>
      </c>
      <c r="G2097">
        <v>202602</v>
      </c>
      <c r="H2097" t="s">
        <v>75</v>
      </c>
      <c r="I2097" t="s">
        <v>76</v>
      </c>
      <c r="J2097" t="s">
        <v>77</v>
      </c>
      <c r="K2097" t="s">
        <v>78</v>
      </c>
      <c r="L2097" t="s">
        <v>123</v>
      </c>
      <c r="M2097" t="s">
        <v>123</v>
      </c>
      <c r="N2097" t="s">
        <v>2378</v>
      </c>
      <c r="O2097" t="s">
        <v>82</v>
      </c>
      <c r="P2097" t="str">
        <f>"4170039201                    "</f>
        <v xml:space="preserve">4170039201                    </v>
      </c>
      <c r="Q2097">
        <v>0</v>
      </c>
      <c r="R2097">
        <v>0</v>
      </c>
      <c r="S2097">
        <v>0</v>
      </c>
      <c r="T2097">
        <v>0</v>
      </c>
      <c r="U2097">
        <v>0</v>
      </c>
      <c r="V2097">
        <v>0</v>
      </c>
      <c r="W2097">
        <v>0</v>
      </c>
      <c r="X2097">
        <v>0</v>
      </c>
      <c r="Y2097">
        <v>0</v>
      </c>
      <c r="Z2097">
        <v>0</v>
      </c>
      <c r="AA2097">
        <v>0</v>
      </c>
      <c r="AB2097">
        <v>0</v>
      </c>
      <c r="AC2097">
        <v>0</v>
      </c>
      <c r="AD2097">
        <v>0</v>
      </c>
      <c r="AE2097">
        <v>0</v>
      </c>
      <c r="AF2097">
        <v>0</v>
      </c>
      <c r="AG2097">
        <v>0</v>
      </c>
      <c r="AH2097">
        <v>0</v>
      </c>
      <c r="AI2097">
        <v>0</v>
      </c>
      <c r="AJ2097">
        <v>0</v>
      </c>
      <c r="AK2097">
        <v>0</v>
      </c>
      <c r="AL2097">
        <v>0</v>
      </c>
      <c r="AM2097">
        <v>0</v>
      </c>
      <c r="AN2097">
        <v>0</v>
      </c>
      <c r="AO2097">
        <v>0</v>
      </c>
      <c r="AP2097">
        <v>0</v>
      </c>
      <c r="AQ2097">
        <v>41.43</v>
      </c>
      <c r="AR2097">
        <v>0</v>
      </c>
      <c r="AS2097">
        <v>0</v>
      </c>
      <c r="AT2097">
        <v>0</v>
      </c>
      <c r="AU2097">
        <v>0</v>
      </c>
      <c r="AV2097">
        <v>0</v>
      </c>
      <c r="AW2097">
        <v>0</v>
      </c>
      <c r="AX2097">
        <v>0</v>
      </c>
      <c r="AY2097">
        <v>0</v>
      </c>
      <c r="AZ2097">
        <v>0</v>
      </c>
      <c r="BA2097">
        <v>0</v>
      </c>
      <c r="BB2097">
        <v>0</v>
      </c>
      <c r="BC2097">
        <v>0</v>
      </c>
      <c r="BD2097">
        <v>0</v>
      </c>
      <c r="BE2097">
        <v>0</v>
      </c>
      <c r="BF2097">
        <v>0</v>
      </c>
      <c r="BG2097">
        <v>0</v>
      </c>
      <c r="BH2097">
        <v>1</v>
      </c>
      <c r="BI2097">
        <v>1</v>
      </c>
      <c r="BJ2097">
        <v>0.2</v>
      </c>
      <c r="BK2097">
        <v>1</v>
      </c>
      <c r="BL2097">
        <v>135.59</v>
      </c>
      <c r="BM2097">
        <v>20.34</v>
      </c>
      <c r="BN2097">
        <v>155.93</v>
      </c>
      <c r="BO2097">
        <v>155.93</v>
      </c>
      <c r="BQ2097" t="s">
        <v>2379</v>
      </c>
      <c r="BR2097" t="s">
        <v>84</v>
      </c>
      <c r="BS2097" s="3">
        <v>45797</v>
      </c>
      <c r="BT2097" s="4">
        <v>0.52916666666666667</v>
      </c>
      <c r="BU2097" t="s">
        <v>2550</v>
      </c>
      <c r="BV2097" t="s">
        <v>86</v>
      </c>
      <c r="BY2097">
        <v>1200</v>
      </c>
      <c r="CA2097" t="s">
        <v>128</v>
      </c>
      <c r="CC2097" t="s">
        <v>123</v>
      </c>
      <c r="CD2097">
        <v>7654</v>
      </c>
      <c r="CE2097" t="s">
        <v>88</v>
      </c>
      <c r="CF2097" s="3">
        <v>45798</v>
      </c>
      <c r="CI2097">
        <v>1</v>
      </c>
      <c r="CJ2097">
        <v>1</v>
      </c>
      <c r="CK2097">
        <v>23</v>
      </c>
      <c r="CL2097" t="s">
        <v>89</v>
      </c>
    </row>
    <row r="2098" spans="1:90" x14ac:dyDescent="0.3">
      <c r="A2098" t="s">
        <v>72</v>
      </c>
      <c r="B2098" t="s">
        <v>73</v>
      </c>
      <c r="C2098" t="s">
        <v>74</v>
      </c>
      <c r="E2098" t="str">
        <f>"080065441579"</f>
        <v>080065441579</v>
      </c>
      <c r="F2098" s="3">
        <v>45796</v>
      </c>
      <c r="G2098">
        <v>202602</v>
      </c>
      <c r="H2098" t="s">
        <v>75</v>
      </c>
      <c r="I2098" t="s">
        <v>76</v>
      </c>
      <c r="J2098" t="s">
        <v>77</v>
      </c>
      <c r="K2098" t="s">
        <v>78</v>
      </c>
      <c r="L2098" t="s">
        <v>130</v>
      </c>
      <c r="M2098" t="s">
        <v>131</v>
      </c>
      <c r="N2098" t="s">
        <v>699</v>
      </c>
      <c r="O2098" t="s">
        <v>82</v>
      </c>
      <c r="P2098" t="str">
        <f>"4170039172                    "</f>
        <v xml:space="preserve">4170039172                    </v>
      </c>
      <c r="Q2098">
        <v>0</v>
      </c>
      <c r="R2098">
        <v>0</v>
      </c>
      <c r="S2098">
        <v>0</v>
      </c>
      <c r="T2098">
        <v>0</v>
      </c>
      <c r="U2098">
        <v>0</v>
      </c>
      <c r="V2098">
        <v>0</v>
      </c>
      <c r="W2098">
        <v>0</v>
      </c>
      <c r="X2098">
        <v>0</v>
      </c>
      <c r="Y2098">
        <v>0</v>
      </c>
      <c r="Z2098">
        <v>0</v>
      </c>
      <c r="AA2098">
        <v>0</v>
      </c>
      <c r="AB2098">
        <v>0</v>
      </c>
      <c r="AC2098">
        <v>0</v>
      </c>
      <c r="AD2098">
        <v>0</v>
      </c>
      <c r="AE2098">
        <v>0</v>
      </c>
      <c r="AF2098">
        <v>0</v>
      </c>
      <c r="AG2098">
        <v>0</v>
      </c>
      <c r="AH2098">
        <v>0</v>
      </c>
      <c r="AI2098">
        <v>0</v>
      </c>
      <c r="AJ2098">
        <v>0</v>
      </c>
      <c r="AK2098">
        <v>0</v>
      </c>
      <c r="AL2098">
        <v>0</v>
      </c>
      <c r="AM2098">
        <v>0</v>
      </c>
      <c r="AN2098">
        <v>0</v>
      </c>
      <c r="AO2098">
        <v>0</v>
      </c>
      <c r="AP2098">
        <v>0</v>
      </c>
      <c r="AQ2098">
        <v>21.38</v>
      </c>
      <c r="AR2098">
        <v>0</v>
      </c>
      <c r="AS2098">
        <v>0</v>
      </c>
      <c r="AT2098">
        <v>0</v>
      </c>
      <c r="AU2098">
        <v>0</v>
      </c>
      <c r="AV2098">
        <v>0</v>
      </c>
      <c r="AW2098">
        <v>0</v>
      </c>
      <c r="AX2098">
        <v>0</v>
      </c>
      <c r="AY2098">
        <v>0</v>
      </c>
      <c r="AZ2098">
        <v>0</v>
      </c>
      <c r="BA2098">
        <v>0</v>
      </c>
      <c r="BB2098">
        <v>0</v>
      </c>
      <c r="BC2098">
        <v>0</v>
      </c>
      <c r="BD2098">
        <v>0</v>
      </c>
      <c r="BE2098">
        <v>0</v>
      </c>
      <c r="BF2098">
        <v>0</v>
      </c>
      <c r="BG2098">
        <v>0</v>
      </c>
      <c r="BH2098">
        <v>1</v>
      </c>
      <c r="BI2098">
        <v>1</v>
      </c>
      <c r="BJ2098">
        <v>0.2</v>
      </c>
      <c r="BK2098">
        <v>1</v>
      </c>
      <c r="BL2098">
        <v>69.98</v>
      </c>
      <c r="BM2098">
        <v>10.5</v>
      </c>
      <c r="BN2098">
        <v>80.48</v>
      </c>
      <c r="BO2098">
        <v>80.48</v>
      </c>
      <c r="BQ2098" t="s">
        <v>700</v>
      </c>
      <c r="BR2098" t="s">
        <v>84</v>
      </c>
      <c r="BS2098" s="3">
        <v>45797</v>
      </c>
      <c r="BT2098" s="4">
        <v>0.41319444444444442</v>
      </c>
      <c r="BU2098" t="s">
        <v>2551</v>
      </c>
      <c r="BV2098" t="s">
        <v>86</v>
      </c>
      <c r="BY2098">
        <v>1200</v>
      </c>
      <c r="CA2098" t="s">
        <v>330</v>
      </c>
      <c r="CC2098" t="s">
        <v>131</v>
      </c>
      <c r="CD2098">
        <v>7480</v>
      </c>
      <c r="CE2098" t="s">
        <v>88</v>
      </c>
      <c r="CF2098" s="3">
        <v>45798</v>
      </c>
      <c r="CI2098">
        <v>1</v>
      </c>
      <c r="CJ2098">
        <v>1</v>
      </c>
      <c r="CK2098">
        <v>21</v>
      </c>
      <c r="CL2098" t="s">
        <v>89</v>
      </c>
    </row>
    <row r="2099" spans="1:90" x14ac:dyDescent="0.3">
      <c r="A2099" t="s">
        <v>72</v>
      </c>
      <c r="B2099" t="s">
        <v>73</v>
      </c>
      <c r="C2099" t="s">
        <v>74</v>
      </c>
      <c r="E2099" t="str">
        <f>"080065441586"</f>
        <v>080065441586</v>
      </c>
      <c r="F2099" s="3">
        <v>45796</v>
      </c>
      <c r="G2099">
        <v>202602</v>
      </c>
      <c r="H2099" t="s">
        <v>75</v>
      </c>
      <c r="I2099" t="s">
        <v>76</v>
      </c>
      <c r="J2099" t="s">
        <v>77</v>
      </c>
      <c r="K2099" t="s">
        <v>78</v>
      </c>
      <c r="L2099" t="s">
        <v>75</v>
      </c>
      <c r="M2099" t="s">
        <v>76</v>
      </c>
      <c r="N2099" t="s">
        <v>390</v>
      </c>
      <c r="O2099" t="s">
        <v>82</v>
      </c>
      <c r="P2099" t="str">
        <f>"4170039223                    "</f>
        <v xml:space="preserve">4170039223                    </v>
      </c>
      <c r="Q2099">
        <v>0</v>
      </c>
      <c r="R2099">
        <v>0</v>
      </c>
      <c r="S2099">
        <v>0</v>
      </c>
      <c r="T2099">
        <v>0</v>
      </c>
      <c r="U2099">
        <v>0</v>
      </c>
      <c r="V2099">
        <v>0</v>
      </c>
      <c r="W2099">
        <v>0</v>
      </c>
      <c r="X2099">
        <v>0</v>
      </c>
      <c r="Y2099">
        <v>0</v>
      </c>
      <c r="Z2099">
        <v>0</v>
      </c>
      <c r="AA2099">
        <v>0</v>
      </c>
      <c r="AB2099">
        <v>0</v>
      </c>
      <c r="AC2099">
        <v>0</v>
      </c>
      <c r="AD2099">
        <v>0</v>
      </c>
      <c r="AE2099">
        <v>0</v>
      </c>
      <c r="AF2099">
        <v>0</v>
      </c>
      <c r="AG2099">
        <v>0</v>
      </c>
      <c r="AH2099">
        <v>0</v>
      </c>
      <c r="AI2099">
        <v>0</v>
      </c>
      <c r="AJ2099">
        <v>0</v>
      </c>
      <c r="AK2099">
        <v>0</v>
      </c>
      <c r="AL2099">
        <v>0</v>
      </c>
      <c r="AM2099">
        <v>0</v>
      </c>
      <c r="AN2099">
        <v>0</v>
      </c>
      <c r="AO2099">
        <v>0</v>
      </c>
      <c r="AP2099">
        <v>0</v>
      </c>
      <c r="AQ2099">
        <v>16.7</v>
      </c>
      <c r="AR2099">
        <v>0</v>
      </c>
      <c r="AS2099">
        <v>0</v>
      </c>
      <c r="AT2099">
        <v>0</v>
      </c>
      <c r="AU2099">
        <v>0</v>
      </c>
      <c r="AV2099">
        <v>0</v>
      </c>
      <c r="AW2099">
        <v>0</v>
      </c>
      <c r="AX2099">
        <v>0</v>
      </c>
      <c r="AY2099">
        <v>0</v>
      </c>
      <c r="AZ2099">
        <v>0</v>
      </c>
      <c r="BA2099">
        <v>0</v>
      </c>
      <c r="BB2099">
        <v>0</v>
      </c>
      <c r="BC2099">
        <v>0</v>
      </c>
      <c r="BD2099">
        <v>0</v>
      </c>
      <c r="BE2099">
        <v>0</v>
      </c>
      <c r="BF2099">
        <v>0</v>
      </c>
      <c r="BG2099">
        <v>0</v>
      </c>
      <c r="BH2099">
        <v>1</v>
      </c>
      <c r="BI2099">
        <v>2</v>
      </c>
      <c r="BJ2099">
        <v>4.8</v>
      </c>
      <c r="BK2099">
        <v>5</v>
      </c>
      <c r="BL2099">
        <v>54.66</v>
      </c>
      <c r="BM2099">
        <v>8.1999999999999993</v>
      </c>
      <c r="BN2099">
        <v>62.86</v>
      </c>
      <c r="BO2099">
        <v>62.86</v>
      </c>
      <c r="BQ2099" t="s">
        <v>391</v>
      </c>
      <c r="BR2099" t="s">
        <v>84</v>
      </c>
      <c r="BS2099" s="3">
        <v>45797</v>
      </c>
      <c r="BT2099" s="4">
        <v>0.34861111111111109</v>
      </c>
      <c r="BU2099" t="s">
        <v>392</v>
      </c>
      <c r="BV2099" t="s">
        <v>86</v>
      </c>
      <c r="BY2099">
        <v>23751</v>
      </c>
      <c r="CA2099" t="s">
        <v>115</v>
      </c>
      <c r="CC2099" t="s">
        <v>76</v>
      </c>
      <c r="CD2099">
        <v>1600</v>
      </c>
      <c r="CE2099" t="s">
        <v>96</v>
      </c>
      <c r="CF2099" s="3">
        <v>45797</v>
      </c>
      <c r="CI2099">
        <v>1</v>
      </c>
      <c r="CJ2099">
        <v>1</v>
      </c>
      <c r="CK2099">
        <v>22</v>
      </c>
      <c r="CL2099" t="s">
        <v>89</v>
      </c>
    </row>
    <row r="2100" spans="1:90" x14ac:dyDescent="0.3">
      <c r="A2100" t="s">
        <v>72</v>
      </c>
      <c r="B2100" t="s">
        <v>73</v>
      </c>
      <c r="C2100" t="s">
        <v>74</v>
      </c>
      <c r="E2100" t="str">
        <f>"080065441606"</f>
        <v>080065441606</v>
      </c>
      <c r="F2100" s="3">
        <v>45796</v>
      </c>
      <c r="G2100">
        <v>202602</v>
      </c>
      <c r="H2100" t="s">
        <v>75</v>
      </c>
      <c r="I2100" t="s">
        <v>76</v>
      </c>
      <c r="J2100" t="s">
        <v>77</v>
      </c>
      <c r="K2100" t="s">
        <v>78</v>
      </c>
      <c r="L2100" t="s">
        <v>75</v>
      </c>
      <c r="M2100" t="s">
        <v>76</v>
      </c>
      <c r="N2100" t="s">
        <v>822</v>
      </c>
      <c r="O2100" t="s">
        <v>82</v>
      </c>
      <c r="P2100" t="str">
        <f>"4170039180                    "</f>
        <v xml:space="preserve">4170039180                    </v>
      </c>
      <c r="Q2100">
        <v>0</v>
      </c>
      <c r="R2100">
        <v>0</v>
      </c>
      <c r="S2100">
        <v>0</v>
      </c>
      <c r="T2100">
        <v>0</v>
      </c>
      <c r="U2100">
        <v>0</v>
      </c>
      <c r="V2100">
        <v>0</v>
      </c>
      <c r="W2100">
        <v>0</v>
      </c>
      <c r="X2100">
        <v>0</v>
      </c>
      <c r="Y2100">
        <v>0</v>
      </c>
      <c r="Z2100">
        <v>0</v>
      </c>
      <c r="AA2100">
        <v>0</v>
      </c>
      <c r="AB2100">
        <v>0</v>
      </c>
      <c r="AC2100">
        <v>0</v>
      </c>
      <c r="AD2100">
        <v>0</v>
      </c>
      <c r="AE2100">
        <v>0</v>
      </c>
      <c r="AF2100">
        <v>0</v>
      </c>
      <c r="AG2100">
        <v>0</v>
      </c>
      <c r="AH2100">
        <v>0</v>
      </c>
      <c r="AI2100">
        <v>0</v>
      </c>
      <c r="AJ2100">
        <v>0</v>
      </c>
      <c r="AK2100">
        <v>0</v>
      </c>
      <c r="AL2100">
        <v>0</v>
      </c>
      <c r="AM2100">
        <v>0</v>
      </c>
      <c r="AN2100">
        <v>0</v>
      </c>
      <c r="AO2100">
        <v>0</v>
      </c>
      <c r="AP2100">
        <v>0</v>
      </c>
      <c r="AQ2100">
        <v>16.7</v>
      </c>
      <c r="AR2100">
        <v>0</v>
      </c>
      <c r="AS2100">
        <v>0</v>
      </c>
      <c r="AT2100">
        <v>0</v>
      </c>
      <c r="AU2100">
        <v>0</v>
      </c>
      <c r="AV2100">
        <v>0</v>
      </c>
      <c r="AW2100">
        <v>0</v>
      </c>
      <c r="AX2100">
        <v>0</v>
      </c>
      <c r="AY2100">
        <v>0</v>
      </c>
      <c r="AZ2100">
        <v>0</v>
      </c>
      <c r="BA2100">
        <v>0</v>
      </c>
      <c r="BB2100">
        <v>0</v>
      </c>
      <c r="BC2100">
        <v>0</v>
      </c>
      <c r="BD2100">
        <v>0</v>
      </c>
      <c r="BE2100">
        <v>0</v>
      </c>
      <c r="BF2100">
        <v>0</v>
      </c>
      <c r="BG2100">
        <v>0</v>
      </c>
      <c r="BH2100">
        <v>1</v>
      </c>
      <c r="BI2100">
        <v>1</v>
      </c>
      <c r="BJ2100">
        <v>0.2</v>
      </c>
      <c r="BK2100">
        <v>1</v>
      </c>
      <c r="BL2100">
        <v>54.66</v>
      </c>
      <c r="BM2100">
        <v>8.1999999999999993</v>
      </c>
      <c r="BN2100">
        <v>62.86</v>
      </c>
      <c r="BO2100">
        <v>62.86</v>
      </c>
      <c r="BQ2100" t="s">
        <v>823</v>
      </c>
      <c r="BR2100" t="s">
        <v>84</v>
      </c>
      <c r="BS2100" s="3">
        <v>45797</v>
      </c>
      <c r="BT2100" s="4">
        <v>0.41666666666666669</v>
      </c>
      <c r="BU2100" t="s">
        <v>2552</v>
      </c>
      <c r="BV2100" t="s">
        <v>86</v>
      </c>
      <c r="BY2100">
        <v>1200</v>
      </c>
      <c r="CA2100" t="s">
        <v>150</v>
      </c>
      <c r="CC2100" t="s">
        <v>76</v>
      </c>
      <c r="CD2100">
        <v>1614</v>
      </c>
      <c r="CE2100" t="s">
        <v>88</v>
      </c>
      <c r="CF2100" s="3">
        <v>45797</v>
      </c>
      <c r="CI2100">
        <v>1</v>
      </c>
      <c r="CJ2100">
        <v>1</v>
      </c>
      <c r="CK2100">
        <v>22</v>
      </c>
      <c r="CL2100" t="s">
        <v>89</v>
      </c>
    </row>
    <row r="2101" spans="1:90" x14ac:dyDescent="0.3">
      <c r="A2101" t="s">
        <v>72</v>
      </c>
      <c r="B2101" t="s">
        <v>73</v>
      </c>
      <c r="C2101" t="s">
        <v>74</v>
      </c>
      <c r="E2101" t="str">
        <f>"080065441618"</f>
        <v>080065441618</v>
      </c>
      <c r="F2101" s="3">
        <v>45796</v>
      </c>
      <c r="G2101">
        <v>202602</v>
      </c>
      <c r="H2101" t="s">
        <v>75</v>
      </c>
      <c r="I2101" t="s">
        <v>76</v>
      </c>
      <c r="J2101" t="s">
        <v>77</v>
      </c>
      <c r="K2101" t="s">
        <v>78</v>
      </c>
      <c r="L2101" t="s">
        <v>136</v>
      </c>
      <c r="M2101" t="s">
        <v>137</v>
      </c>
      <c r="N2101" t="s">
        <v>441</v>
      </c>
      <c r="O2101" t="s">
        <v>82</v>
      </c>
      <c r="P2101" t="str">
        <f>"4170039160                    "</f>
        <v xml:space="preserve">4170039160                    </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0</v>
      </c>
      <c r="AL2101">
        <v>0</v>
      </c>
      <c r="AM2101">
        <v>0</v>
      </c>
      <c r="AN2101">
        <v>0</v>
      </c>
      <c r="AO2101">
        <v>0</v>
      </c>
      <c r="AP2101">
        <v>0</v>
      </c>
      <c r="AQ2101">
        <v>21.38</v>
      </c>
      <c r="AR2101">
        <v>0</v>
      </c>
      <c r="AS2101">
        <v>0</v>
      </c>
      <c r="AT2101">
        <v>0</v>
      </c>
      <c r="AU2101">
        <v>0</v>
      </c>
      <c r="AV2101">
        <v>0</v>
      </c>
      <c r="AW2101">
        <v>0</v>
      </c>
      <c r="AX2101">
        <v>0</v>
      </c>
      <c r="AY2101">
        <v>0</v>
      </c>
      <c r="AZ2101">
        <v>0</v>
      </c>
      <c r="BA2101">
        <v>0</v>
      </c>
      <c r="BB2101">
        <v>0</v>
      </c>
      <c r="BC2101">
        <v>0</v>
      </c>
      <c r="BD2101">
        <v>0</v>
      </c>
      <c r="BE2101">
        <v>0</v>
      </c>
      <c r="BF2101">
        <v>0</v>
      </c>
      <c r="BG2101">
        <v>0</v>
      </c>
      <c r="BH2101">
        <v>1</v>
      </c>
      <c r="BI2101">
        <v>1</v>
      </c>
      <c r="BJ2101">
        <v>0.9</v>
      </c>
      <c r="BK2101">
        <v>1</v>
      </c>
      <c r="BL2101">
        <v>69.98</v>
      </c>
      <c r="BM2101">
        <v>10.5</v>
      </c>
      <c r="BN2101">
        <v>80.48</v>
      </c>
      <c r="BO2101">
        <v>80.48</v>
      </c>
      <c r="BQ2101" t="s">
        <v>442</v>
      </c>
      <c r="BR2101" t="s">
        <v>84</v>
      </c>
      <c r="BS2101" s="3">
        <v>45797</v>
      </c>
      <c r="BT2101" s="4">
        <v>0.5444444444444444</v>
      </c>
      <c r="BU2101" t="s">
        <v>1940</v>
      </c>
      <c r="BV2101" t="s">
        <v>86</v>
      </c>
      <c r="BY2101">
        <v>4560</v>
      </c>
      <c r="CA2101" t="s">
        <v>2273</v>
      </c>
      <c r="CC2101" t="s">
        <v>137</v>
      </c>
      <c r="CD2101" s="5" t="s">
        <v>444</v>
      </c>
      <c r="CE2101" t="s">
        <v>116</v>
      </c>
      <c r="CF2101" s="3">
        <v>45797</v>
      </c>
      <c r="CI2101">
        <v>1</v>
      </c>
      <c r="CJ2101">
        <v>1</v>
      </c>
      <c r="CK2101">
        <v>21</v>
      </c>
      <c r="CL2101" t="s">
        <v>89</v>
      </c>
    </row>
    <row r="2102" spans="1:90" x14ac:dyDescent="0.3">
      <c r="A2102" t="s">
        <v>72</v>
      </c>
      <c r="B2102" t="s">
        <v>73</v>
      </c>
      <c r="C2102" t="s">
        <v>74</v>
      </c>
      <c r="E2102" t="str">
        <f>"080065441663"</f>
        <v>080065441663</v>
      </c>
      <c r="F2102" s="3">
        <v>45796</v>
      </c>
      <c r="G2102">
        <v>202602</v>
      </c>
      <c r="H2102" t="s">
        <v>75</v>
      </c>
      <c r="I2102" t="s">
        <v>76</v>
      </c>
      <c r="J2102" t="s">
        <v>77</v>
      </c>
      <c r="K2102" t="s">
        <v>78</v>
      </c>
      <c r="L2102" t="s">
        <v>75</v>
      </c>
      <c r="M2102" t="s">
        <v>76</v>
      </c>
      <c r="N2102" t="s">
        <v>112</v>
      </c>
      <c r="O2102" t="s">
        <v>82</v>
      </c>
      <c r="P2102" t="str">
        <f>"4170039142                    "</f>
        <v xml:space="preserve">4170039142                    </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c r="AJ2102">
        <v>0</v>
      </c>
      <c r="AK2102">
        <v>0</v>
      </c>
      <c r="AL2102">
        <v>0</v>
      </c>
      <c r="AM2102">
        <v>0</v>
      </c>
      <c r="AN2102">
        <v>0</v>
      </c>
      <c r="AO2102">
        <v>0</v>
      </c>
      <c r="AP2102">
        <v>0</v>
      </c>
      <c r="AQ2102">
        <v>16.7</v>
      </c>
      <c r="AR2102">
        <v>0</v>
      </c>
      <c r="AS2102">
        <v>0</v>
      </c>
      <c r="AT2102">
        <v>0</v>
      </c>
      <c r="AU2102">
        <v>0</v>
      </c>
      <c r="AV2102">
        <v>0</v>
      </c>
      <c r="AW2102">
        <v>0</v>
      </c>
      <c r="AX2102">
        <v>0</v>
      </c>
      <c r="AY2102">
        <v>0</v>
      </c>
      <c r="AZ2102">
        <v>0</v>
      </c>
      <c r="BA2102">
        <v>0</v>
      </c>
      <c r="BB2102">
        <v>0</v>
      </c>
      <c r="BC2102">
        <v>0</v>
      </c>
      <c r="BD2102">
        <v>0</v>
      </c>
      <c r="BE2102">
        <v>0</v>
      </c>
      <c r="BF2102">
        <v>0</v>
      </c>
      <c r="BG2102">
        <v>0</v>
      </c>
      <c r="BH2102">
        <v>1</v>
      </c>
      <c r="BI2102">
        <v>1</v>
      </c>
      <c r="BJ2102">
        <v>1.4</v>
      </c>
      <c r="BK2102">
        <v>2</v>
      </c>
      <c r="BL2102">
        <v>54.66</v>
      </c>
      <c r="BM2102">
        <v>8.1999999999999993</v>
      </c>
      <c r="BN2102">
        <v>62.86</v>
      </c>
      <c r="BO2102">
        <v>62.86</v>
      </c>
      <c r="BQ2102" t="s">
        <v>113</v>
      </c>
      <c r="BR2102" t="s">
        <v>84</v>
      </c>
      <c r="BS2102" s="3">
        <v>45797</v>
      </c>
      <c r="BT2102" s="4">
        <v>0.40069444444444446</v>
      </c>
      <c r="BU2102" t="s">
        <v>2553</v>
      </c>
      <c r="BV2102" t="s">
        <v>86</v>
      </c>
      <c r="BY2102">
        <v>7000</v>
      </c>
      <c r="CA2102" t="s">
        <v>115</v>
      </c>
      <c r="CC2102" t="s">
        <v>76</v>
      </c>
      <c r="CD2102">
        <v>1624</v>
      </c>
      <c r="CE2102" t="s">
        <v>96</v>
      </c>
      <c r="CF2102" s="3">
        <v>45797</v>
      </c>
      <c r="CI2102">
        <v>1</v>
      </c>
      <c r="CJ2102">
        <v>1</v>
      </c>
      <c r="CK2102">
        <v>22</v>
      </c>
      <c r="CL2102" t="s">
        <v>89</v>
      </c>
    </row>
    <row r="2103" spans="1:90" x14ac:dyDescent="0.3">
      <c r="A2103" t="s">
        <v>72</v>
      </c>
      <c r="B2103" t="s">
        <v>73</v>
      </c>
      <c r="C2103" t="s">
        <v>74</v>
      </c>
      <c r="E2103" t="str">
        <f>"080065441706"</f>
        <v>080065441706</v>
      </c>
      <c r="F2103" s="3">
        <v>45796</v>
      </c>
      <c r="G2103">
        <v>202602</v>
      </c>
      <c r="H2103" t="s">
        <v>75</v>
      </c>
      <c r="I2103" t="s">
        <v>76</v>
      </c>
      <c r="J2103" t="s">
        <v>77</v>
      </c>
      <c r="K2103" t="s">
        <v>78</v>
      </c>
      <c r="L2103" t="s">
        <v>463</v>
      </c>
      <c r="M2103" t="s">
        <v>464</v>
      </c>
      <c r="N2103" t="s">
        <v>585</v>
      </c>
      <c r="O2103" t="s">
        <v>300</v>
      </c>
      <c r="P2103" t="str">
        <f>"4170039221                    "</f>
        <v xml:space="preserve">4170039221                    </v>
      </c>
      <c r="Q2103">
        <v>0</v>
      </c>
      <c r="R2103">
        <v>0</v>
      </c>
      <c r="S2103">
        <v>0</v>
      </c>
      <c r="T2103">
        <v>0</v>
      </c>
      <c r="U2103">
        <v>0</v>
      </c>
      <c r="V2103">
        <v>0</v>
      </c>
      <c r="W2103">
        <v>0</v>
      </c>
      <c r="X2103">
        <v>0</v>
      </c>
      <c r="Y2103">
        <v>0</v>
      </c>
      <c r="Z2103">
        <v>0</v>
      </c>
      <c r="AA2103">
        <v>0</v>
      </c>
      <c r="AB2103">
        <v>0</v>
      </c>
      <c r="AC2103">
        <v>0</v>
      </c>
      <c r="AD2103">
        <v>0</v>
      </c>
      <c r="AE2103">
        <v>0</v>
      </c>
      <c r="AF2103">
        <v>0</v>
      </c>
      <c r="AG2103">
        <v>0</v>
      </c>
      <c r="AH2103">
        <v>0</v>
      </c>
      <c r="AI2103">
        <v>0</v>
      </c>
      <c r="AJ2103">
        <v>0</v>
      </c>
      <c r="AK2103">
        <v>0</v>
      </c>
      <c r="AL2103">
        <v>0</v>
      </c>
      <c r="AM2103">
        <v>0</v>
      </c>
      <c r="AN2103">
        <v>0</v>
      </c>
      <c r="AO2103">
        <v>0</v>
      </c>
      <c r="AP2103">
        <v>0</v>
      </c>
      <c r="AQ2103">
        <v>46.47</v>
      </c>
      <c r="AR2103">
        <v>0</v>
      </c>
      <c r="AS2103">
        <v>0</v>
      </c>
      <c r="AT2103">
        <v>0</v>
      </c>
      <c r="AU2103">
        <v>0</v>
      </c>
      <c r="AV2103">
        <v>0</v>
      </c>
      <c r="AW2103">
        <v>0</v>
      </c>
      <c r="AX2103">
        <v>0</v>
      </c>
      <c r="AY2103">
        <v>0</v>
      </c>
      <c r="AZ2103">
        <v>0</v>
      </c>
      <c r="BA2103">
        <v>0</v>
      </c>
      <c r="BB2103">
        <v>0</v>
      </c>
      <c r="BC2103">
        <v>0</v>
      </c>
      <c r="BD2103">
        <v>0</v>
      </c>
      <c r="BE2103">
        <v>0</v>
      </c>
      <c r="BF2103">
        <v>0</v>
      </c>
      <c r="BG2103">
        <v>0</v>
      </c>
      <c r="BH2103">
        <v>1</v>
      </c>
      <c r="BI2103">
        <v>11</v>
      </c>
      <c r="BJ2103">
        <v>17.7</v>
      </c>
      <c r="BK2103">
        <v>18</v>
      </c>
      <c r="BL2103">
        <v>157.66</v>
      </c>
      <c r="BM2103">
        <v>23.65</v>
      </c>
      <c r="BN2103">
        <v>181.31</v>
      </c>
      <c r="BO2103">
        <v>181.31</v>
      </c>
      <c r="BQ2103" t="s">
        <v>586</v>
      </c>
      <c r="BR2103" t="s">
        <v>84</v>
      </c>
      <c r="BS2103" s="3">
        <v>45798</v>
      </c>
      <c r="BT2103" s="4">
        <v>0.4909722222222222</v>
      </c>
      <c r="BU2103" t="s">
        <v>587</v>
      </c>
      <c r="BV2103" t="s">
        <v>86</v>
      </c>
      <c r="BY2103">
        <v>88320</v>
      </c>
      <c r="CA2103" t="s">
        <v>588</v>
      </c>
      <c r="CC2103" t="s">
        <v>464</v>
      </c>
      <c r="CD2103">
        <v>5201</v>
      </c>
      <c r="CE2103" t="s">
        <v>96</v>
      </c>
      <c r="CF2103" s="3">
        <v>45798</v>
      </c>
      <c r="CI2103">
        <v>3</v>
      </c>
      <c r="CJ2103">
        <v>2</v>
      </c>
      <c r="CK2103">
        <v>41</v>
      </c>
      <c r="CL2103" t="s">
        <v>89</v>
      </c>
    </row>
    <row r="2104" spans="1:90" x14ac:dyDescent="0.3">
      <c r="A2104" t="s">
        <v>72</v>
      </c>
      <c r="B2104" t="s">
        <v>73</v>
      </c>
      <c r="C2104" t="s">
        <v>74</v>
      </c>
      <c r="E2104" t="str">
        <f>"080065441753"</f>
        <v>080065441753</v>
      </c>
      <c r="F2104" s="3">
        <v>45796</v>
      </c>
      <c r="G2104">
        <v>202602</v>
      </c>
      <c r="H2104" t="s">
        <v>75</v>
      </c>
      <c r="I2104" t="s">
        <v>76</v>
      </c>
      <c r="J2104" t="s">
        <v>77</v>
      </c>
      <c r="K2104" t="s">
        <v>78</v>
      </c>
      <c r="L2104" t="s">
        <v>90</v>
      </c>
      <c r="M2104" t="s">
        <v>91</v>
      </c>
      <c r="N2104" t="s">
        <v>1586</v>
      </c>
      <c r="O2104" t="s">
        <v>82</v>
      </c>
      <c r="P2104" t="str">
        <f>"4170039234                    "</f>
        <v xml:space="preserve">4170039234                    </v>
      </c>
      <c r="Q2104">
        <v>0</v>
      </c>
      <c r="R2104">
        <v>0</v>
      </c>
      <c r="S2104">
        <v>0</v>
      </c>
      <c r="T2104">
        <v>0</v>
      </c>
      <c r="U2104">
        <v>0</v>
      </c>
      <c r="V2104">
        <v>0</v>
      </c>
      <c r="W2104">
        <v>0</v>
      </c>
      <c r="X2104">
        <v>0</v>
      </c>
      <c r="Y2104">
        <v>0</v>
      </c>
      <c r="Z2104">
        <v>0</v>
      </c>
      <c r="AA2104">
        <v>0</v>
      </c>
      <c r="AB2104">
        <v>0</v>
      </c>
      <c r="AC2104">
        <v>0</v>
      </c>
      <c r="AD2104">
        <v>0</v>
      </c>
      <c r="AE2104">
        <v>0</v>
      </c>
      <c r="AF2104">
        <v>0</v>
      </c>
      <c r="AG2104">
        <v>0</v>
      </c>
      <c r="AH2104">
        <v>0</v>
      </c>
      <c r="AI2104">
        <v>0</v>
      </c>
      <c r="AJ2104">
        <v>0</v>
      </c>
      <c r="AK2104">
        <v>0</v>
      </c>
      <c r="AL2104">
        <v>0</v>
      </c>
      <c r="AM2104">
        <v>0</v>
      </c>
      <c r="AN2104">
        <v>0</v>
      </c>
      <c r="AO2104">
        <v>0</v>
      </c>
      <c r="AP2104">
        <v>0</v>
      </c>
      <c r="AQ2104">
        <v>21.38</v>
      </c>
      <c r="AR2104">
        <v>0</v>
      </c>
      <c r="AS2104">
        <v>0</v>
      </c>
      <c r="AT2104">
        <v>0</v>
      </c>
      <c r="AU2104">
        <v>0</v>
      </c>
      <c r="AV2104">
        <v>0</v>
      </c>
      <c r="AW2104">
        <v>0</v>
      </c>
      <c r="AX2104">
        <v>0</v>
      </c>
      <c r="AY2104">
        <v>0</v>
      </c>
      <c r="AZ2104">
        <v>0</v>
      </c>
      <c r="BA2104">
        <v>0</v>
      </c>
      <c r="BB2104">
        <v>0</v>
      </c>
      <c r="BC2104">
        <v>0</v>
      </c>
      <c r="BD2104">
        <v>0</v>
      </c>
      <c r="BE2104">
        <v>0</v>
      </c>
      <c r="BF2104">
        <v>0</v>
      </c>
      <c r="BG2104">
        <v>0</v>
      </c>
      <c r="BH2104">
        <v>1</v>
      </c>
      <c r="BI2104">
        <v>2</v>
      </c>
      <c r="BJ2104">
        <v>1.4</v>
      </c>
      <c r="BK2104">
        <v>2</v>
      </c>
      <c r="BL2104">
        <v>69.98</v>
      </c>
      <c r="BM2104">
        <v>10.5</v>
      </c>
      <c r="BN2104">
        <v>80.48</v>
      </c>
      <c r="BO2104">
        <v>80.48</v>
      </c>
      <c r="BQ2104" t="s">
        <v>1587</v>
      </c>
      <c r="BR2104" t="s">
        <v>84</v>
      </c>
      <c r="BS2104" s="3">
        <v>45797</v>
      </c>
      <c r="BT2104" s="4">
        <v>0.33333333333333331</v>
      </c>
      <c r="BU2104" t="s">
        <v>742</v>
      </c>
      <c r="BV2104" t="s">
        <v>86</v>
      </c>
      <c r="BY2104">
        <v>7000</v>
      </c>
      <c r="CA2104" t="s">
        <v>824</v>
      </c>
      <c r="CC2104" t="s">
        <v>91</v>
      </c>
      <c r="CD2104">
        <v>6001</v>
      </c>
      <c r="CE2104" t="s">
        <v>96</v>
      </c>
      <c r="CF2104" s="3">
        <v>45797</v>
      </c>
      <c r="CI2104">
        <v>1</v>
      </c>
      <c r="CJ2104">
        <v>1</v>
      </c>
      <c r="CK2104">
        <v>21</v>
      </c>
      <c r="CL2104" t="s">
        <v>89</v>
      </c>
    </row>
    <row r="2105" spans="1:90" x14ac:dyDescent="0.3">
      <c r="A2105" t="s">
        <v>72</v>
      </c>
      <c r="B2105" t="s">
        <v>73</v>
      </c>
      <c r="C2105" t="s">
        <v>74</v>
      </c>
      <c r="E2105" t="str">
        <f>"080065441791"</f>
        <v>080065441791</v>
      </c>
      <c r="F2105" s="3">
        <v>45796</v>
      </c>
      <c r="G2105">
        <v>202602</v>
      </c>
      <c r="H2105" t="s">
        <v>75</v>
      </c>
      <c r="I2105" t="s">
        <v>76</v>
      </c>
      <c r="J2105" t="s">
        <v>77</v>
      </c>
      <c r="K2105" t="s">
        <v>78</v>
      </c>
      <c r="L2105" t="s">
        <v>1456</v>
      </c>
      <c r="M2105" t="s">
        <v>1457</v>
      </c>
      <c r="N2105" t="s">
        <v>1458</v>
      </c>
      <c r="O2105" t="s">
        <v>82</v>
      </c>
      <c r="P2105" t="str">
        <f>"4170039209                    "</f>
        <v xml:space="preserve">4170039209                    </v>
      </c>
      <c r="Q2105">
        <v>0</v>
      </c>
      <c r="R2105">
        <v>0</v>
      </c>
      <c r="S2105">
        <v>0</v>
      </c>
      <c r="T2105">
        <v>0</v>
      </c>
      <c r="U2105">
        <v>0</v>
      </c>
      <c r="V2105">
        <v>0</v>
      </c>
      <c r="W2105">
        <v>0</v>
      </c>
      <c r="X2105">
        <v>0</v>
      </c>
      <c r="Y2105">
        <v>0</v>
      </c>
      <c r="Z2105">
        <v>0</v>
      </c>
      <c r="AA2105">
        <v>0</v>
      </c>
      <c r="AB2105">
        <v>0</v>
      </c>
      <c r="AC2105">
        <v>0</v>
      </c>
      <c r="AD2105">
        <v>0</v>
      </c>
      <c r="AE2105">
        <v>0</v>
      </c>
      <c r="AF2105">
        <v>0</v>
      </c>
      <c r="AG2105">
        <v>0</v>
      </c>
      <c r="AH2105">
        <v>0</v>
      </c>
      <c r="AI2105">
        <v>0</v>
      </c>
      <c r="AJ2105">
        <v>0</v>
      </c>
      <c r="AK2105">
        <v>0</v>
      </c>
      <c r="AL2105">
        <v>0</v>
      </c>
      <c r="AM2105">
        <v>0</v>
      </c>
      <c r="AN2105">
        <v>0</v>
      </c>
      <c r="AO2105">
        <v>0</v>
      </c>
      <c r="AP2105">
        <v>0</v>
      </c>
      <c r="AQ2105">
        <v>32.07</v>
      </c>
      <c r="AR2105">
        <v>0</v>
      </c>
      <c r="AS2105">
        <v>0</v>
      </c>
      <c r="AT2105">
        <v>0</v>
      </c>
      <c r="AU2105">
        <v>0</v>
      </c>
      <c r="AV2105">
        <v>0</v>
      </c>
      <c r="AW2105">
        <v>0</v>
      </c>
      <c r="AX2105">
        <v>0</v>
      </c>
      <c r="AY2105">
        <v>0</v>
      </c>
      <c r="AZ2105">
        <v>0</v>
      </c>
      <c r="BA2105">
        <v>0</v>
      </c>
      <c r="BB2105">
        <v>0</v>
      </c>
      <c r="BC2105">
        <v>0</v>
      </c>
      <c r="BD2105">
        <v>0</v>
      </c>
      <c r="BE2105">
        <v>0</v>
      </c>
      <c r="BF2105">
        <v>0</v>
      </c>
      <c r="BG2105">
        <v>0</v>
      </c>
      <c r="BH2105">
        <v>1</v>
      </c>
      <c r="BI2105">
        <v>1</v>
      </c>
      <c r="BJ2105">
        <v>2.7</v>
      </c>
      <c r="BK2105">
        <v>3</v>
      </c>
      <c r="BL2105">
        <v>104.95</v>
      </c>
      <c r="BM2105">
        <v>15.74</v>
      </c>
      <c r="BN2105">
        <v>120.69</v>
      </c>
      <c r="BO2105">
        <v>120.69</v>
      </c>
      <c r="BQ2105" t="s">
        <v>1459</v>
      </c>
      <c r="BR2105" t="s">
        <v>84</v>
      </c>
      <c r="BS2105" s="3">
        <v>45797</v>
      </c>
      <c r="BT2105" s="4">
        <v>0.43333333333333335</v>
      </c>
      <c r="BU2105" t="s">
        <v>1460</v>
      </c>
      <c r="BV2105" t="s">
        <v>86</v>
      </c>
      <c r="BY2105">
        <v>13680</v>
      </c>
      <c r="CA2105" t="s">
        <v>1461</v>
      </c>
      <c r="CC2105" t="s">
        <v>1457</v>
      </c>
      <c r="CD2105">
        <v>6529</v>
      </c>
      <c r="CE2105" t="s">
        <v>221</v>
      </c>
      <c r="CF2105" s="3">
        <v>45798</v>
      </c>
      <c r="CI2105">
        <v>1</v>
      </c>
      <c r="CJ2105">
        <v>1</v>
      </c>
      <c r="CK2105">
        <v>21</v>
      </c>
      <c r="CL2105" t="s">
        <v>89</v>
      </c>
    </row>
    <row r="2106" spans="1:90" x14ac:dyDescent="0.3">
      <c r="A2106" t="s">
        <v>72</v>
      </c>
      <c r="B2106" t="s">
        <v>73</v>
      </c>
      <c r="C2106" t="s">
        <v>74</v>
      </c>
      <c r="E2106" t="str">
        <f>"080065441846"</f>
        <v>080065441846</v>
      </c>
      <c r="F2106" s="3">
        <v>45796</v>
      </c>
      <c r="G2106">
        <v>202602</v>
      </c>
      <c r="H2106" t="s">
        <v>75</v>
      </c>
      <c r="I2106" t="s">
        <v>76</v>
      </c>
      <c r="J2106" t="s">
        <v>77</v>
      </c>
      <c r="K2106" t="s">
        <v>78</v>
      </c>
      <c r="L2106" t="s">
        <v>1076</v>
      </c>
      <c r="M2106" t="s">
        <v>1077</v>
      </c>
      <c r="N2106" t="s">
        <v>2554</v>
      </c>
      <c r="O2106" t="s">
        <v>82</v>
      </c>
      <c r="P2106" t="str">
        <f>"4170039163                    "</f>
        <v xml:space="preserve">4170039163                    </v>
      </c>
      <c r="Q2106">
        <v>0</v>
      </c>
      <c r="R2106">
        <v>0</v>
      </c>
      <c r="S2106">
        <v>0</v>
      </c>
      <c r="T2106">
        <v>0</v>
      </c>
      <c r="U2106">
        <v>0</v>
      </c>
      <c r="V2106">
        <v>0</v>
      </c>
      <c r="W2106">
        <v>0</v>
      </c>
      <c r="X2106">
        <v>0</v>
      </c>
      <c r="Y2106">
        <v>0</v>
      </c>
      <c r="Z2106">
        <v>0</v>
      </c>
      <c r="AA2106">
        <v>0</v>
      </c>
      <c r="AB2106">
        <v>0</v>
      </c>
      <c r="AC2106">
        <v>0</v>
      </c>
      <c r="AD2106">
        <v>0</v>
      </c>
      <c r="AE2106">
        <v>0</v>
      </c>
      <c r="AF2106">
        <v>0</v>
      </c>
      <c r="AG2106">
        <v>0</v>
      </c>
      <c r="AH2106">
        <v>0</v>
      </c>
      <c r="AI2106">
        <v>0</v>
      </c>
      <c r="AJ2106">
        <v>0</v>
      </c>
      <c r="AK2106">
        <v>0</v>
      </c>
      <c r="AL2106">
        <v>0</v>
      </c>
      <c r="AM2106">
        <v>0</v>
      </c>
      <c r="AN2106">
        <v>0</v>
      </c>
      <c r="AO2106">
        <v>0</v>
      </c>
      <c r="AP2106">
        <v>0</v>
      </c>
      <c r="AQ2106">
        <v>16.7</v>
      </c>
      <c r="AR2106">
        <v>0</v>
      </c>
      <c r="AS2106">
        <v>0</v>
      </c>
      <c r="AT2106">
        <v>0</v>
      </c>
      <c r="AU2106">
        <v>0</v>
      </c>
      <c r="AV2106">
        <v>0</v>
      </c>
      <c r="AW2106">
        <v>0</v>
      </c>
      <c r="AX2106">
        <v>0</v>
      </c>
      <c r="AY2106">
        <v>0</v>
      </c>
      <c r="AZ2106">
        <v>0</v>
      </c>
      <c r="BA2106">
        <v>0</v>
      </c>
      <c r="BB2106">
        <v>0</v>
      </c>
      <c r="BC2106">
        <v>0</v>
      </c>
      <c r="BD2106">
        <v>0</v>
      </c>
      <c r="BE2106">
        <v>0</v>
      </c>
      <c r="BF2106">
        <v>0</v>
      </c>
      <c r="BG2106">
        <v>0</v>
      </c>
      <c r="BH2106">
        <v>1</v>
      </c>
      <c r="BI2106">
        <v>1</v>
      </c>
      <c r="BJ2106">
        <v>0.9</v>
      </c>
      <c r="BK2106">
        <v>1</v>
      </c>
      <c r="BL2106">
        <v>54.66</v>
      </c>
      <c r="BM2106">
        <v>8.1999999999999993</v>
      </c>
      <c r="BN2106">
        <v>62.86</v>
      </c>
      <c r="BO2106">
        <v>62.86</v>
      </c>
      <c r="BQ2106" t="s">
        <v>2555</v>
      </c>
      <c r="BR2106" t="s">
        <v>84</v>
      </c>
      <c r="BS2106" s="3">
        <v>45799</v>
      </c>
      <c r="BT2106" s="4">
        <v>0.41458333333333336</v>
      </c>
      <c r="BU2106" t="s">
        <v>2556</v>
      </c>
      <c r="BV2106" t="s">
        <v>89</v>
      </c>
      <c r="BW2106" t="s">
        <v>148</v>
      </c>
      <c r="BX2106" t="s">
        <v>1382</v>
      </c>
      <c r="BY2106">
        <v>4275</v>
      </c>
      <c r="CA2106" t="s">
        <v>1081</v>
      </c>
      <c r="CC2106" t="s">
        <v>1077</v>
      </c>
      <c r="CD2106">
        <v>1540</v>
      </c>
      <c r="CE2106" t="s">
        <v>116</v>
      </c>
      <c r="CF2106" s="3">
        <v>45800</v>
      </c>
      <c r="CI2106">
        <v>1</v>
      </c>
      <c r="CJ2106">
        <v>3</v>
      </c>
      <c r="CK2106">
        <v>22</v>
      </c>
      <c r="CL2106" t="s">
        <v>89</v>
      </c>
    </row>
    <row r="2107" spans="1:90" x14ac:dyDescent="0.3">
      <c r="A2107" t="s">
        <v>72</v>
      </c>
      <c r="B2107" t="s">
        <v>73</v>
      </c>
      <c r="C2107" t="s">
        <v>74</v>
      </c>
      <c r="E2107" t="str">
        <f>"080065441903"</f>
        <v>080065441903</v>
      </c>
      <c r="F2107" s="3">
        <v>45796</v>
      </c>
      <c r="G2107">
        <v>202602</v>
      </c>
      <c r="H2107" t="s">
        <v>75</v>
      </c>
      <c r="I2107" t="s">
        <v>76</v>
      </c>
      <c r="J2107" t="s">
        <v>77</v>
      </c>
      <c r="K2107" t="s">
        <v>78</v>
      </c>
      <c r="L2107" t="s">
        <v>130</v>
      </c>
      <c r="M2107" t="s">
        <v>131</v>
      </c>
      <c r="N2107" t="s">
        <v>665</v>
      </c>
      <c r="O2107" t="s">
        <v>82</v>
      </c>
      <c r="P2107" t="str">
        <f>"4170039171                    "</f>
        <v xml:space="preserve">4170039171                    </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c r="AJ2107">
        <v>0</v>
      </c>
      <c r="AK2107">
        <v>0</v>
      </c>
      <c r="AL2107">
        <v>0</v>
      </c>
      <c r="AM2107">
        <v>0</v>
      </c>
      <c r="AN2107">
        <v>0</v>
      </c>
      <c r="AO2107">
        <v>0</v>
      </c>
      <c r="AP2107">
        <v>0</v>
      </c>
      <c r="AQ2107">
        <v>21.38</v>
      </c>
      <c r="AR2107">
        <v>0</v>
      </c>
      <c r="AS2107">
        <v>0</v>
      </c>
      <c r="AT2107">
        <v>0</v>
      </c>
      <c r="AU2107">
        <v>0</v>
      </c>
      <c r="AV2107">
        <v>0</v>
      </c>
      <c r="AW2107">
        <v>0</v>
      </c>
      <c r="AX2107">
        <v>0</v>
      </c>
      <c r="AY2107">
        <v>0</v>
      </c>
      <c r="AZ2107">
        <v>0</v>
      </c>
      <c r="BA2107">
        <v>0</v>
      </c>
      <c r="BB2107">
        <v>0</v>
      </c>
      <c r="BC2107">
        <v>0</v>
      </c>
      <c r="BD2107">
        <v>0</v>
      </c>
      <c r="BE2107">
        <v>0</v>
      </c>
      <c r="BF2107">
        <v>0</v>
      </c>
      <c r="BG2107">
        <v>0</v>
      </c>
      <c r="BH2107">
        <v>1</v>
      </c>
      <c r="BI2107">
        <v>1</v>
      </c>
      <c r="BJ2107">
        <v>0.2</v>
      </c>
      <c r="BK2107">
        <v>1</v>
      </c>
      <c r="BL2107">
        <v>69.98</v>
      </c>
      <c r="BM2107">
        <v>10.5</v>
      </c>
      <c r="BN2107">
        <v>80.48</v>
      </c>
      <c r="BO2107">
        <v>80.48</v>
      </c>
      <c r="BQ2107" t="s">
        <v>666</v>
      </c>
      <c r="BR2107" t="s">
        <v>84</v>
      </c>
      <c r="BS2107" s="3">
        <v>45797</v>
      </c>
      <c r="BT2107" s="4">
        <v>0.39652777777777776</v>
      </c>
      <c r="BU2107" t="s">
        <v>1051</v>
      </c>
      <c r="BV2107" t="s">
        <v>86</v>
      </c>
      <c r="BY2107">
        <v>1200</v>
      </c>
      <c r="CA2107" t="s">
        <v>389</v>
      </c>
      <c r="CC2107" t="s">
        <v>131</v>
      </c>
      <c r="CD2107">
        <v>7535</v>
      </c>
      <c r="CE2107" t="s">
        <v>88</v>
      </c>
      <c r="CF2107" s="3">
        <v>45798</v>
      </c>
      <c r="CI2107">
        <v>1</v>
      </c>
      <c r="CJ2107">
        <v>1</v>
      </c>
      <c r="CK2107">
        <v>21</v>
      </c>
      <c r="CL2107" t="s">
        <v>89</v>
      </c>
    </row>
    <row r="2108" spans="1:90" x14ac:dyDescent="0.3">
      <c r="A2108" t="s">
        <v>72</v>
      </c>
      <c r="B2108" t="s">
        <v>73</v>
      </c>
      <c r="C2108" t="s">
        <v>74</v>
      </c>
      <c r="E2108" t="str">
        <f>"080065441947"</f>
        <v>080065441947</v>
      </c>
      <c r="F2108" s="3">
        <v>45796</v>
      </c>
      <c r="G2108">
        <v>202602</v>
      </c>
      <c r="H2108" t="s">
        <v>75</v>
      </c>
      <c r="I2108" t="s">
        <v>76</v>
      </c>
      <c r="J2108" t="s">
        <v>77</v>
      </c>
      <c r="K2108" t="s">
        <v>78</v>
      </c>
      <c r="L2108" t="s">
        <v>90</v>
      </c>
      <c r="M2108" t="s">
        <v>91</v>
      </c>
      <c r="N2108" t="s">
        <v>1211</v>
      </c>
      <c r="O2108" t="s">
        <v>82</v>
      </c>
      <c r="P2108" t="str">
        <f>"4170039231                    "</f>
        <v xml:space="preserve">4170039231                    </v>
      </c>
      <c r="Q2108">
        <v>0</v>
      </c>
      <c r="R2108">
        <v>0</v>
      </c>
      <c r="S2108">
        <v>0</v>
      </c>
      <c r="T2108">
        <v>0</v>
      </c>
      <c r="U2108">
        <v>0</v>
      </c>
      <c r="V2108">
        <v>0</v>
      </c>
      <c r="W2108">
        <v>0</v>
      </c>
      <c r="X2108">
        <v>0</v>
      </c>
      <c r="Y2108">
        <v>0</v>
      </c>
      <c r="Z2108">
        <v>0</v>
      </c>
      <c r="AA2108">
        <v>0</v>
      </c>
      <c r="AB2108">
        <v>0</v>
      </c>
      <c r="AC2108">
        <v>0</v>
      </c>
      <c r="AD2108">
        <v>0</v>
      </c>
      <c r="AE2108">
        <v>0</v>
      </c>
      <c r="AF2108">
        <v>0</v>
      </c>
      <c r="AG2108">
        <v>0</v>
      </c>
      <c r="AH2108">
        <v>0</v>
      </c>
      <c r="AI2108">
        <v>0</v>
      </c>
      <c r="AJ2108">
        <v>0</v>
      </c>
      <c r="AK2108">
        <v>0</v>
      </c>
      <c r="AL2108">
        <v>0</v>
      </c>
      <c r="AM2108">
        <v>0</v>
      </c>
      <c r="AN2108">
        <v>0</v>
      </c>
      <c r="AO2108">
        <v>0</v>
      </c>
      <c r="AP2108">
        <v>0</v>
      </c>
      <c r="AQ2108">
        <v>21.38</v>
      </c>
      <c r="AR2108">
        <v>0</v>
      </c>
      <c r="AS2108">
        <v>0</v>
      </c>
      <c r="AT2108">
        <v>0</v>
      </c>
      <c r="AU2108">
        <v>0</v>
      </c>
      <c r="AV2108">
        <v>0</v>
      </c>
      <c r="AW2108">
        <v>0</v>
      </c>
      <c r="AX2108">
        <v>0</v>
      </c>
      <c r="AY2108">
        <v>0</v>
      </c>
      <c r="AZ2108">
        <v>0</v>
      </c>
      <c r="BA2108">
        <v>0</v>
      </c>
      <c r="BB2108">
        <v>0</v>
      </c>
      <c r="BC2108">
        <v>0</v>
      </c>
      <c r="BD2108">
        <v>0</v>
      </c>
      <c r="BE2108">
        <v>0</v>
      </c>
      <c r="BF2108">
        <v>0</v>
      </c>
      <c r="BG2108">
        <v>0</v>
      </c>
      <c r="BH2108">
        <v>1</v>
      </c>
      <c r="BI2108">
        <v>1</v>
      </c>
      <c r="BJ2108">
        <v>0.2</v>
      </c>
      <c r="BK2108">
        <v>1</v>
      </c>
      <c r="BL2108">
        <v>69.98</v>
      </c>
      <c r="BM2108">
        <v>10.5</v>
      </c>
      <c r="BN2108">
        <v>80.48</v>
      </c>
      <c r="BO2108">
        <v>80.48</v>
      </c>
      <c r="BQ2108" t="s">
        <v>1212</v>
      </c>
      <c r="BR2108" t="s">
        <v>84</v>
      </c>
      <c r="BS2108" s="3">
        <v>45797</v>
      </c>
      <c r="BT2108" s="4">
        <v>0.37083333333333335</v>
      </c>
      <c r="BU2108" t="s">
        <v>1213</v>
      </c>
      <c r="BV2108" t="s">
        <v>86</v>
      </c>
      <c r="BY2108">
        <v>1200</v>
      </c>
      <c r="CA2108" t="s">
        <v>283</v>
      </c>
      <c r="CC2108" t="s">
        <v>91</v>
      </c>
      <c r="CD2108">
        <v>6012</v>
      </c>
      <c r="CE2108" t="s">
        <v>88</v>
      </c>
      <c r="CF2108" s="3">
        <v>45797</v>
      </c>
      <c r="CI2108">
        <v>1</v>
      </c>
      <c r="CJ2108">
        <v>1</v>
      </c>
      <c r="CK2108">
        <v>21</v>
      </c>
      <c r="CL2108" t="s">
        <v>89</v>
      </c>
    </row>
    <row r="2109" spans="1:90" x14ac:dyDescent="0.3">
      <c r="A2109" t="s">
        <v>72</v>
      </c>
      <c r="B2109" t="s">
        <v>73</v>
      </c>
      <c r="C2109" t="s">
        <v>74</v>
      </c>
      <c r="E2109" t="str">
        <f>"080065442166"</f>
        <v>080065442166</v>
      </c>
      <c r="F2109" s="3">
        <v>45796</v>
      </c>
      <c r="G2109">
        <v>202602</v>
      </c>
      <c r="H2109" t="s">
        <v>75</v>
      </c>
      <c r="I2109" t="s">
        <v>76</v>
      </c>
      <c r="J2109" t="s">
        <v>77</v>
      </c>
      <c r="K2109" t="s">
        <v>78</v>
      </c>
      <c r="L2109" t="s">
        <v>90</v>
      </c>
      <c r="M2109" t="s">
        <v>91</v>
      </c>
      <c r="N2109" t="s">
        <v>563</v>
      </c>
      <c r="O2109" t="s">
        <v>82</v>
      </c>
      <c r="P2109" t="str">
        <f>"4170039181                    "</f>
        <v xml:space="preserve">4170039181                    </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c r="AJ2109">
        <v>0</v>
      </c>
      <c r="AK2109">
        <v>0</v>
      </c>
      <c r="AL2109">
        <v>0</v>
      </c>
      <c r="AM2109">
        <v>0</v>
      </c>
      <c r="AN2109">
        <v>0</v>
      </c>
      <c r="AO2109">
        <v>0</v>
      </c>
      <c r="AP2109">
        <v>0</v>
      </c>
      <c r="AQ2109">
        <v>21.38</v>
      </c>
      <c r="AR2109">
        <v>0</v>
      </c>
      <c r="AS2109">
        <v>0</v>
      </c>
      <c r="AT2109">
        <v>0</v>
      </c>
      <c r="AU2109">
        <v>0</v>
      </c>
      <c r="AV2109">
        <v>0</v>
      </c>
      <c r="AW2109">
        <v>0</v>
      </c>
      <c r="AX2109">
        <v>0</v>
      </c>
      <c r="AY2109">
        <v>0</v>
      </c>
      <c r="AZ2109">
        <v>0</v>
      </c>
      <c r="BA2109">
        <v>0</v>
      </c>
      <c r="BB2109">
        <v>0</v>
      </c>
      <c r="BC2109">
        <v>0</v>
      </c>
      <c r="BD2109">
        <v>0</v>
      </c>
      <c r="BE2109">
        <v>0</v>
      </c>
      <c r="BF2109">
        <v>0</v>
      </c>
      <c r="BG2109">
        <v>0</v>
      </c>
      <c r="BH2109">
        <v>1</v>
      </c>
      <c r="BI2109">
        <v>1</v>
      </c>
      <c r="BJ2109">
        <v>0.2</v>
      </c>
      <c r="BK2109">
        <v>1</v>
      </c>
      <c r="BL2109">
        <v>69.98</v>
      </c>
      <c r="BM2109">
        <v>10.5</v>
      </c>
      <c r="BN2109">
        <v>80.48</v>
      </c>
      <c r="BO2109">
        <v>80.48</v>
      </c>
      <c r="BQ2109" t="s">
        <v>564</v>
      </c>
      <c r="BR2109" t="s">
        <v>84</v>
      </c>
      <c r="BS2109" s="3">
        <v>45797</v>
      </c>
      <c r="BT2109" s="4">
        <v>0.37430555555555556</v>
      </c>
      <c r="BU2109" t="s">
        <v>2557</v>
      </c>
      <c r="BV2109" t="s">
        <v>86</v>
      </c>
      <c r="BY2109">
        <v>1200</v>
      </c>
      <c r="CA2109" t="s">
        <v>566</v>
      </c>
      <c r="CC2109" t="s">
        <v>91</v>
      </c>
      <c r="CD2109">
        <v>6001</v>
      </c>
      <c r="CE2109" t="s">
        <v>88</v>
      </c>
      <c r="CF2109" s="3">
        <v>45797</v>
      </c>
      <c r="CI2109">
        <v>1</v>
      </c>
      <c r="CJ2109">
        <v>1</v>
      </c>
      <c r="CK2109">
        <v>21</v>
      </c>
      <c r="CL2109" t="s">
        <v>89</v>
      </c>
    </row>
    <row r="2110" spans="1:90" x14ac:dyDescent="0.3">
      <c r="A2110" t="s">
        <v>72</v>
      </c>
      <c r="B2110" t="s">
        <v>73</v>
      </c>
      <c r="C2110" t="s">
        <v>74</v>
      </c>
      <c r="E2110" t="str">
        <f>"080065442191"</f>
        <v>080065442191</v>
      </c>
      <c r="F2110" s="3">
        <v>45796</v>
      </c>
      <c r="G2110">
        <v>202602</v>
      </c>
      <c r="H2110" t="s">
        <v>75</v>
      </c>
      <c r="I2110" t="s">
        <v>76</v>
      </c>
      <c r="J2110" t="s">
        <v>77</v>
      </c>
      <c r="K2110" t="s">
        <v>78</v>
      </c>
      <c r="L2110" t="s">
        <v>409</v>
      </c>
      <c r="M2110" t="s">
        <v>410</v>
      </c>
      <c r="N2110" t="s">
        <v>1682</v>
      </c>
      <c r="O2110" t="s">
        <v>82</v>
      </c>
      <c r="P2110" t="str">
        <f>"4170039245                    "</f>
        <v xml:space="preserve">4170039245                    </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0</v>
      </c>
      <c r="AL2110">
        <v>0</v>
      </c>
      <c r="AM2110">
        <v>0</v>
      </c>
      <c r="AN2110">
        <v>0</v>
      </c>
      <c r="AO2110">
        <v>0</v>
      </c>
      <c r="AP2110">
        <v>0</v>
      </c>
      <c r="AQ2110">
        <v>41.43</v>
      </c>
      <c r="AR2110">
        <v>0</v>
      </c>
      <c r="AS2110">
        <v>0</v>
      </c>
      <c r="AT2110">
        <v>0</v>
      </c>
      <c r="AU2110">
        <v>0</v>
      </c>
      <c r="AV2110">
        <v>0</v>
      </c>
      <c r="AW2110">
        <v>0</v>
      </c>
      <c r="AX2110">
        <v>0</v>
      </c>
      <c r="AY2110">
        <v>0</v>
      </c>
      <c r="AZ2110">
        <v>0</v>
      </c>
      <c r="BA2110">
        <v>0</v>
      </c>
      <c r="BB2110">
        <v>0</v>
      </c>
      <c r="BC2110">
        <v>0</v>
      </c>
      <c r="BD2110">
        <v>0</v>
      </c>
      <c r="BE2110">
        <v>0</v>
      </c>
      <c r="BF2110">
        <v>0</v>
      </c>
      <c r="BG2110">
        <v>0</v>
      </c>
      <c r="BH2110">
        <v>1</v>
      </c>
      <c r="BI2110">
        <v>1</v>
      </c>
      <c r="BJ2110">
        <v>0.2</v>
      </c>
      <c r="BK2110">
        <v>1</v>
      </c>
      <c r="BL2110">
        <v>135.59</v>
      </c>
      <c r="BM2110">
        <v>20.34</v>
      </c>
      <c r="BN2110">
        <v>155.93</v>
      </c>
      <c r="BO2110">
        <v>155.93</v>
      </c>
      <c r="BQ2110" t="s">
        <v>1683</v>
      </c>
      <c r="BR2110" t="s">
        <v>84</v>
      </c>
      <c r="BS2110" s="3">
        <v>45797</v>
      </c>
      <c r="BT2110" s="4">
        <v>0.52152777777777781</v>
      </c>
      <c r="BU2110" t="s">
        <v>2558</v>
      </c>
      <c r="BV2110" t="s">
        <v>86</v>
      </c>
      <c r="BY2110">
        <v>1200</v>
      </c>
      <c r="CA2110" t="s">
        <v>1088</v>
      </c>
      <c r="CC2110" t="s">
        <v>410</v>
      </c>
      <c r="CD2110">
        <v>6850</v>
      </c>
      <c r="CE2110" t="s">
        <v>88</v>
      </c>
      <c r="CF2110" s="3">
        <v>45798</v>
      </c>
      <c r="CI2110">
        <v>2</v>
      </c>
      <c r="CJ2110">
        <v>1</v>
      </c>
      <c r="CK2110">
        <v>23</v>
      </c>
      <c r="CL2110" t="s">
        <v>89</v>
      </c>
    </row>
    <row r="2111" spans="1:90" x14ac:dyDescent="0.3">
      <c r="A2111" t="s">
        <v>72</v>
      </c>
      <c r="B2111" t="s">
        <v>73</v>
      </c>
      <c r="C2111" t="s">
        <v>74</v>
      </c>
      <c r="E2111" t="str">
        <f>"080065442202"</f>
        <v>080065442202</v>
      </c>
      <c r="F2111" s="3">
        <v>45796</v>
      </c>
      <c r="G2111">
        <v>202602</v>
      </c>
      <c r="H2111" t="s">
        <v>75</v>
      </c>
      <c r="I2111" t="s">
        <v>76</v>
      </c>
      <c r="J2111" t="s">
        <v>77</v>
      </c>
      <c r="K2111" t="s">
        <v>78</v>
      </c>
      <c r="L2111" t="s">
        <v>320</v>
      </c>
      <c r="M2111" t="s">
        <v>321</v>
      </c>
      <c r="N2111" t="s">
        <v>1607</v>
      </c>
      <c r="O2111" t="s">
        <v>82</v>
      </c>
      <c r="P2111" t="str">
        <f>"4170039139                    "</f>
        <v xml:space="preserve">4170039139                    </v>
      </c>
      <c r="Q2111">
        <v>0</v>
      </c>
      <c r="R2111">
        <v>0</v>
      </c>
      <c r="S2111">
        <v>0</v>
      </c>
      <c r="T2111">
        <v>0</v>
      </c>
      <c r="U2111">
        <v>0</v>
      </c>
      <c r="V2111">
        <v>0</v>
      </c>
      <c r="W2111">
        <v>0</v>
      </c>
      <c r="X2111">
        <v>0</v>
      </c>
      <c r="Y2111">
        <v>0</v>
      </c>
      <c r="Z2111">
        <v>0</v>
      </c>
      <c r="AA2111">
        <v>0</v>
      </c>
      <c r="AB2111">
        <v>0</v>
      </c>
      <c r="AC2111">
        <v>0</v>
      </c>
      <c r="AD2111">
        <v>0</v>
      </c>
      <c r="AE2111">
        <v>0</v>
      </c>
      <c r="AF2111">
        <v>0</v>
      </c>
      <c r="AG2111">
        <v>0</v>
      </c>
      <c r="AH2111">
        <v>0</v>
      </c>
      <c r="AI2111">
        <v>0</v>
      </c>
      <c r="AJ2111">
        <v>0</v>
      </c>
      <c r="AK2111">
        <v>0</v>
      </c>
      <c r="AL2111">
        <v>0</v>
      </c>
      <c r="AM2111">
        <v>0</v>
      </c>
      <c r="AN2111">
        <v>0</v>
      </c>
      <c r="AO2111">
        <v>0</v>
      </c>
      <c r="AP2111">
        <v>0</v>
      </c>
      <c r="AQ2111">
        <v>106.85</v>
      </c>
      <c r="AR2111">
        <v>0</v>
      </c>
      <c r="AS2111">
        <v>0</v>
      </c>
      <c r="AT2111">
        <v>0</v>
      </c>
      <c r="AU2111">
        <v>0</v>
      </c>
      <c r="AV2111">
        <v>0</v>
      </c>
      <c r="AW2111">
        <v>0</v>
      </c>
      <c r="AX2111">
        <v>0</v>
      </c>
      <c r="AY2111">
        <v>0</v>
      </c>
      <c r="AZ2111">
        <v>0</v>
      </c>
      <c r="BA2111">
        <v>0</v>
      </c>
      <c r="BB2111">
        <v>0</v>
      </c>
      <c r="BC2111">
        <v>0</v>
      </c>
      <c r="BD2111">
        <v>0</v>
      </c>
      <c r="BE2111">
        <v>0</v>
      </c>
      <c r="BF2111">
        <v>0</v>
      </c>
      <c r="BG2111">
        <v>0</v>
      </c>
      <c r="BH2111">
        <v>2</v>
      </c>
      <c r="BI2111">
        <v>10</v>
      </c>
      <c r="BJ2111">
        <v>3.4</v>
      </c>
      <c r="BK2111">
        <v>10</v>
      </c>
      <c r="BL2111">
        <v>349.69</v>
      </c>
      <c r="BM2111">
        <v>52.45</v>
      </c>
      <c r="BN2111">
        <v>402.14</v>
      </c>
      <c r="BO2111">
        <v>402.14</v>
      </c>
      <c r="BQ2111" t="s">
        <v>1608</v>
      </c>
      <c r="BR2111" t="s">
        <v>84</v>
      </c>
      <c r="BS2111" s="3">
        <v>45797</v>
      </c>
      <c r="BT2111" s="4">
        <v>0.53749999999999998</v>
      </c>
      <c r="BU2111" t="s">
        <v>2559</v>
      </c>
      <c r="BV2111" t="s">
        <v>89</v>
      </c>
      <c r="BW2111" t="s">
        <v>296</v>
      </c>
      <c r="BX2111" t="s">
        <v>325</v>
      </c>
      <c r="BY2111">
        <v>17100</v>
      </c>
      <c r="CA2111" t="s">
        <v>326</v>
      </c>
      <c r="CC2111" t="s">
        <v>321</v>
      </c>
      <c r="CD2111">
        <v>4113</v>
      </c>
      <c r="CE2111" t="s">
        <v>116</v>
      </c>
      <c r="CF2111" s="3">
        <v>45797</v>
      </c>
      <c r="CI2111">
        <v>1</v>
      </c>
      <c r="CJ2111">
        <v>1</v>
      </c>
      <c r="CK2111">
        <v>21</v>
      </c>
      <c r="CL2111" t="s">
        <v>89</v>
      </c>
    </row>
    <row r="2112" spans="1:90" x14ac:dyDescent="0.3">
      <c r="A2112" t="s">
        <v>72</v>
      </c>
      <c r="B2112" t="s">
        <v>73</v>
      </c>
      <c r="C2112" t="s">
        <v>74</v>
      </c>
      <c r="E2112" t="str">
        <f>"080065442214"</f>
        <v>080065442214</v>
      </c>
      <c r="F2112" s="3">
        <v>45796</v>
      </c>
      <c r="G2112">
        <v>202602</v>
      </c>
      <c r="H2112" t="s">
        <v>75</v>
      </c>
      <c r="I2112" t="s">
        <v>76</v>
      </c>
      <c r="J2112" t="s">
        <v>77</v>
      </c>
      <c r="K2112" t="s">
        <v>78</v>
      </c>
      <c r="L2112" t="s">
        <v>90</v>
      </c>
      <c r="M2112" t="s">
        <v>91</v>
      </c>
      <c r="N2112" t="s">
        <v>563</v>
      </c>
      <c r="O2112" t="s">
        <v>82</v>
      </c>
      <c r="P2112" t="str">
        <f>"4170039252                    "</f>
        <v xml:space="preserve">4170039252                    </v>
      </c>
      <c r="Q2112">
        <v>0</v>
      </c>
      <c r="R2112">
        <v>0</v>
      </c>
      <c r="S2112">
        <v>0</v>
      </c>
      <c r="T2112">
        <v>0</v>
      </c>
      <c r="U2112">
        <v>0</v>
      </c>
      <c r="V2112">
        <v>0</v>
      </c>
      <c r="W2112">
        <v>0</v>
      </c>
      <c r="X2112">
        <v>0</v>
      </c>
      <c r="Y2112">
        <v>0</v>
      </c>
      <c r="Z2112">
        <v>0</v>
      </c>
      <c r="AA2112">
        <v>0</v>
      </c>
      <c r="AB2112">
        <v>0</v>
      </c>
      <c r="AC2112">
        <v>0</v>
      </c>
      <c r="AD2112">
        <v>0</v>
      </c>
      <c r="AE2112">
        <v>0</v>
      </c>
      <c r="AF2112">
        <v>0</v>
      </c>
      <c r="AG2112">
        <v>0</v>
      </c>
      <c r="AH2112">
        <v>0</v>
      </c>
      <c r="AI2112">
        <v>0</v>
      </c>
      <c r="AJ2112">
        <v>0</v>
      </c>
      <c r="AK2112">
        <v>0</v>
      </c>
      <c r="AL2112">
        <v>0</v>
      </c>
      <c r="AM2112">
        <v>0</v>
      </c>
      <c r="AN2112">
        <v>0</v>
      </c>
      <c r="AO2112">
        <v>0</v>
      </c>
      <c r="AP2112">
        <v>0</v>
      </c>
      <c r="AQ2112">
        <v>21.38</v>
      </c>
      <c r="AR2112">
        <v>0</v>
      </c>
      <c r="AS2112">
        <v>0</v>
      </c>
      <c r="AT2112">
        <v>0</v>
      </c>
      <c r="AU2112">
        <v>0</v>
      </c>
      <c r="AV2112">
        <v>0</v>
      </c>
      <c r="AW2112">
        <v>0</v>
      </c>
      <c r="AX2112">
        <v>0</v>
      </c>
      <c r="AY2112">
        <v>0</v>
      </c>
      <c r="AZ2112">
        <v>0</v>
      </c>
      <c r="BA2112">
        <v>0</v>
      </c>
      <c r="BB2112">
        <v>0</v>
      </c>
      <c r="BC2112">
        <v>0</v>
      </c>
      <c r="BD2112">
        <v>0</v>
      </c>
      <c r="BE2112">
        <v>0</v>
      </c>
      <c r="BF2112">
        <v>0</v>
      </c>
      <c r="BG2112">
        <v>0</v>
      </c>
      <c r="BH2112">
        <v>1</v>
      </c>
      <c r="BI2112">
        <v>1</v>
      </c>
      <c r="BJ2112">
        <v>0.2</v>
      </c>
      <c r="BK2112">
        <v>1</v>
      </c>
      <c r="BL2112">
        <v>69.98</v>
      </c>
      <c r="BM2112">
        <v>10.5</v>
      </c>
      <c r="BN2112">
        <v>80.48</v>
      </c>
      <c r="BO2112">
        <v>80.48</v>
      </c>
      <c r="BQ2112" t="s">
        <v>564</v>
      </c>
      <c r="BR2112" t="s">
        <v>84</v>
      </c>
      <c r="BS2112" s="3">
        <v>45797</v>
      </c>
      <c r="BT2112" s="4">
        <v>0.37430555555555556</v>
      </c>
      <c r="BU2112" t="s">
        <v>2557</v>
      </c>
      <c r="BV2112" t="s">
        <v>86</v>
      </c>
      <c r="BY2112">
        <v>1200</v>
      </c>
      <c r="CA2112" t="s">
        <v>566</v>
      </c>
      <c r="CC2112" t="s">
        <v>91</v>
      </c>
      <c r="CD2112">
        <v>6001</v>
      </c>
      <c r="CE2112" t="s">
        <v>88</v>
      </c>
      <c r="CF2112" s="3">
        <v>45797</v>
      </c>
      <c r="CI2112">
        <v>1</v>
      </c>
      <c r="CJ2112">
        <v>1</v>
      </c>
      <c r="CK2112">
        <v>21</v>
      </c>
      <c r="CL2112" t="s">
        <v>89</v>
      </c>
    </row>
    <row r="2113" spans="1:90" x14ac:dyDescent="0.3">
      <c r="A2113" t="s">
        <v>72</v>
      </c>
      <c r="B2113" t="s">
        <v>73</v>
      </c>
      <c r="C2113" t="s">
        <v>74</v>
      </c>
      <c r="E2113" t="str">
        <f>"080065442241"</f>
        <v>080065442241</v>
      </c>
      <c r="F2113" s="3">
        <v>45796</v>
      </c>
      <c r="G2113">
        <v>202602</v>
      </c>
      <c r="H2113" t="s">
        <v>75</v>
      </c>
      <c r="I2113" t="s">
        <v>76</v>
      </c>
      <c r="J2113" t="s">
        <v>77</v>
      </c>
      <c r="K2113" t="s">
        <v>78</v>
      </c>
      <c r="L2113" t="s">
        <v>136</v>
      </c>
      <c r="M2113" t="s">
        <v>137</v>
      </c>
      <c r="N2113" t="s">
        <v>1235</v>
      </c>
      <c r="O2113" t="s">
        <v>82</v>
      </c>
      <c r="P2113" t="str">
        <f>"4170039190                    "</f>
        <v xml:space="preserve">4170039190                    </v>
      </c>
      <c r="Q2113">
        <v>0</v>
      </c>
      <c r="R2113">
        <v>0</v>
      </c>
      <c r="S2113">
        <v>0</v>
      </c>
      <c r="T2113">
        <v>0</v>
      </c>
      <c r="U2113">
        <v>0</v>
      </c>
      <c r="V2113">
        <v>0</v>
      </c>
      <c r="W2113">
        <v>0</v>
      </c>
      <c r="X2113">
        <v>0</v>
      </c>
      <c r="Y2113">
        <v>0</v>
      </c>
      <c r="Z2113">
        <v>0</v>
      </c>
      <c r="AA2113">
        <v>0</v>
      </c>
      <c r="AB2113">
        <v>0</v>
      </c>
      <c r="AC2113">
        <v>0</v>
      </c>
      <c r="AD2113">
        <v>0</v>
      </c>
      <c r="AE2113">
        <v>0</v>
      </c>
      <c r="AF2113">
        <v>0</v>
      </c>
      <c r="AG2113">
        <v>0</v>
      </c>
      <c r="AH2113">
        <v>0</v>
      </c>
      <c r="AI2113">
        <v>0</v>
      </c>
      <c r="AJ2113">
        <v>0</v>
      </c>
      <c r="AK2113">
        <v>0</v>
      </c>
      <c r="AL2113">
        <v>0</v>
      </c>
      <c r="AM2113">
        <v>0</v>
      </c>
      <c r="AN2113">
        <v>0</v>
      </c>
      <c r="AO2113">
        <v>0</v>
      </c>
      <c r="AP2113">
        <v>0</v>
      </c>
      <c r="AQ2113">
        <v>37.409999999999997</v>
      </c>
      <c r="AR2113">
        <v>0</v>
      </c>
      <c r="AS2113">
        <v>0</v>
      </c>
      <c r="AT2113">
        <v>0</v>
      </c>
      <c r="AU2113">
        <v>0</v>
      </c>
      <c r="AV2113">
        <v>0</v>
      </c>
      <c r="AW2113">
        <v>0</v>
      </c>
      <c r="AX2113">
        <v>0</v>
      </c>
      <c r="AY2113">
        <v>0</v>
      </c>
      <c r="AZ2113">
        <v>0</v>
      </c>
      <c r="BA2113">
        <v>0</v>
      </c>
      <c r="BB2113">
        <v>0</v>
      </c>
      <c r="BC2113">
        <v>0</v>
      </c>
      <c r="BD2113">
        <v>0</v>
      </c>
      <c r="BE2113">
        <v>0</v>
      </c>
      <c r="BF2113">
        <v>0</v>
      </c>
      <c r="BG2113">
        <v>0</v>
      </c>
      <c r="BH2113">
        <v>1</v>
      </c>
      <c r="BI2113">
        <v>2</v>
      </c>
      <c r="BJ2113">
        <v>3.4</v>
      </c>
      <c r="BK2113">
        <v>3.5</v>
      </c>
      <c r="BL2113">
        <v>122.43</v>
      </c>
      <c r="BM2113">
        <v>18.36</v>
      </c>
      <c r="BN2113">
        <v>140.79</v>
      </c>
      <c r="BO2113">
        <v>140.79</v>
      </c>
      <c r="BQ2113" t="s">
        <v>1236</v>
      </c>
      <c r="BR2113" t="s">
        <v>84</v>
      </c>
      <c r="BS2113" s="3">
        <v>45797</v>
      </c>
      <c r="BT2113" s="4">
        <v>0.38958333333333334</v>
      </c>
      <c r="BU2113" t="s">
        <v>1237</v>
      </c>
      <c r="BV2113" t="s">
        <v>86</v>
      </c>
      <c r="BY2113">
        <v>16965</v>
      </c>
      <c r="CA2113" t="s">
        <v>1238</v>
      </c>
      <c r="CC2113" t="s">
        <v>137</v>
      </c>
      <c r="CD2113" s="5" t="s">
        <v>1239</v>
      </c>
      <c r="CE2113" t="s">
        <v>96</v>
      </c>
      <c r="CF2113" s="3">
        <v>45797</v>
      </c>
      <c r="CI2113">
        <v>1</v>
      </c>
      <c r="CJ2113">
        <v>1</v>
      </c>
      <c r="CK2113">
        <v>21</v>
      </c>
      <c r="CL2113" t="s">
        <v>89</v>
      </c>
    </row>
    <row r="2114" spans="1:90" x14ac:dyDescent="0.3">
      <c r="A2114" t="s">
        <v>72</v>
      </c>
      <c r="B2114" t="s">
        <v>73</v>
      </c>
      <c r="C2114" t="s">
        <v>74</v>
      </c>
      <c r="E2114" t="str">
        <f>"080065442266"</f>
        <v>080065442266</v>
      </c>
      <c r="F2114" s="3">
        <v>45796</v>
      </c>
      <c r="G2114">
        <v>202602</v>
      </c>
      <c r="H2114" t="s">
        <v>75</v>
      </c>
      <c r="I2114" t="s">
        <v>76</v>
      </c>
      <c r="J2114" t="s">
        <v>77</v>
      </c>
      <c r="K2114" t="s">
        <v>78</v>
      </c>
      <c r="L2114" t="s">
        <v>624</v>
      </c>
      <c r="M2114" t="s">
        <v>625</v>
      </c>
      <c r="N2114" t="s">
        <v>481</v>
      </c>
      <c r="O2114" t="s">
        <v>82</v>
      </c>
      <c r="P2114" t="str">
        <f>"4170039227                    "</f>
        <v xml:space="preserve">4170039227                    </v>
      </c>
      <c r="Q2114">
        <v>0</v>
      </c>
      <c r="R2114">
        <v>0</v>
      </c>
      <c r="S2114">
        <v>0</v>
      </c>
      <c r="T2114">
        <v>0</v>
      </c>
      <c r="U2114">
        <v>0</v>
      </c>
      <c r="V2114">
        <v>0</v>
      </c>
      <c r="W2114">
        <v>0</v>
      </c>
      <c r="X2114">
        <v>0</v>
      </c>
      <c r="Y2114">
        <v>0</v>
      </c>
      <c r="Z2114">
        <v>0</v>
      </c>
      <c r="AA2114">
        <v>0</v>
      </c>
      <c r="AB2114">
        <v>0</v>
      </c>
      <c r="AC2114">
        <v>0</v>
      </c>
      <c r="AD2114">
        <v>0</v>
      </c>
      <c r="AE2114">
        <v>0</v>
      </c>
      <c r="AF2114">
        <v>0</v>
      </c>
      <c r="AG2114">
        <v>0</v>
      </c>
      <c r="AH2114">
        <v>0</v>
      </c>
      <c r="AI2114">
        <v>0</v>
      </c>
      <c r="AJ2114">
        <v>0</v>
      </c>
      <c r="AK2114">
        <v>0</v>
      </c>
      <c r="AL2114">
        <v>0</v>
      </c>
      <c r="AM2114">
        <v>0</v>
      </c>
      <c r="AN2114">
        <v>0</v>
      </c>
      <c r="AO2114">
        <v>0</v>
      </c>
      <c r="AP2114">
        <v>0</v>
      </c>
      <c r="AQ2114">
        <v>41.43</v>
      </c>
      <c r="AR2114">
        <v>0</v>
      </c>
      <c r="AS2114">
        <v>0</v>
      </c>
      <c r="AT2114">
        <v>0</v>
      </c>
      <c r="AU2114">
        <v>0</v>
      </c>
      <c r="AV2114">
        <v>0</v>
      </c>
      <c r="AW2114">
        <v>0</v>
      </c>
      <c r="AX2114">
        <v>0</v>
      </c>
      <c r="AY2114">
        <v>0</v>
      </c>
      <c r="AZ2114">
        <v>0</v>
      </c>
      <c r="BA2114">
        <v>0</v>
      </c>
      <c r="BB2114">
        <v>0</v>
      </c>
      <c r="BC2114">
        <v>0</v>
      </c>
      <c r="BD2114">
        <v>0</v>
      </c>
      <c r="BE2114">
        <v>0</v>
      </c>
      <c r="BF2114">
        <v>0</v>
      </c>
      <c r="BG2114">
        <v>0</v>
      </c>
      <c r="BH2114">
        <v>1</v>
      </c>
      <c r="BI2114">
        <v>1</v>
      </c>
      <c r="BJ2114">
        <v>0.2</v>
      </c>
      <c r="BK2114">
        <v>1</v>
      </c>
      <c r="BL2114">
        <v>135.59</v>
      </c>
      <c r="BM2114">
        <v>20.34</v>
      </c>
      <c r="BN2114">
        <v>155.93</v>
      </c>
      <c r="BO2114">
        <v>155.93</v>
      </c>
      <c r="BQ2114" t="s">
        <v>482</v>
      </c>
      <c r="BR2114" t="s">
        <v>84</v>
      </c>
      <c r="BS2114" s="3">
        <v>45797</v>
      </c>
      <c r="BT2114" s="4">
        <v>0.38055555555555554</v>
      </c>
      <c r="BU2114" t="s">
        <v>1806</v>
      </c>
      <c r="BV2114" t="s">
        <v>86</v>
      </c>
      <c r="BY2114">
        <v>1200</v>
      </c>
      <c r="CA2114" t="s">
        <v>629</v>
      </c>
      <c r="CC2114" t="s">
        <v>625</v>
      </c>
      <c r="CD2114">
        <v>1947</v>
      </c>
      <c r="CE2114" t="s">
        <v>88</v>
      </c>
      <c r="CF2114" s="3">
        <v>45797</v>
      </c>
      <c r="CI2114">
        <v>1</v>
      </c>
      <c r="CJ2114">
        <v>1</v>
      </c>
      <c r="CK2114">
        <v>23</v>
      </c>
      <c r="CL2114" t="s">
        <v>89</v>
      </c>
    </row>
    <row r="2115" spans="1:90" x14ac:dyDescent="0.3">
      <c r="A2115" t="s">
        <v>72</v>
      </c>
      <c r="B2115" t="s">
        <v>73</v>
      </c>
      <c r="C2115" t="s">
        <v>74</v>
      </c>
      <c r="E2115" t="str">
        <f>"080065442288"</f>
        <v>080065442288</v>
      </c>
      <c r="F2115" s="3">
        <v>45796</v>
      </c>
      <c r="G2115">
        <v>202602</v>
      </c>
      <c r="H2115" t="s">
        <v>75</v>
      </c>
      <c r="I2115" t="s">
        <v>76</v>
      </c>
      <c r="J2115" t="s">
        <v>77</v>
      </c>
      <c r="K2115" t="s">
        <v>78</v>
      </c>
      <c r="L2115" t="s">
        <v>143</v>
      </c>
      <c r="M2115" t="s">
        <v>144</v>
      </c>
      <c r="N2115" t="s">
        <v>2158</v>
      </c>
      <c r="O2115" t="s">
        <v>82</v>
      </c>
      <c r="P2115" t="str">
        <f>"4170039137                    "</f>
        <v xml:space="preserve">4170039137                    </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c r="AI2115">
        <v>0</v>
      </c>
      <c r="AJ2115">
        <v>0</v>
      </c>
      <c r="AK2115">
        <v>0</v>
      </c>
      <c r="AL2115">
        <v>0</v>
      </c>
      <c r="AM2115">
        <v>0</v>
      </c>
      <c r="AN2115">
        <v>0</v>
      </c>
      <c r="AO2115">
        <v>0</v>
      </c>
      <c r="AP2115">
        <v>0</v>
      </c>
      <c r="AQ2115">
        <v>16.7</v>
      </c>
      <c r="AR2115">
        <v>0</v>
      </c>
      <c r="AS2115">
        <v>0</v>
      </c>
      <c r="AT2115">
        <v>0</v>
      </c>
      <c r="AU2115">
        <v>0</v>
      </c>
      <c r="AV2115">
        <v>0</v>
      </c>
      <c r="AW2115">
        <v>0</v>
      </c>
      <c r="AX2115">
        <v>0</v>
      </c>
      <c r="AY2115">
        <v>0</v>
      </c>
      <c r="AZ2115">
        <v>0</v>
      </c>
      <c r="BA2115">
        <v>0</v>
      </c>
      <c r="BB2115">
        <v>0</v>
      </c>
      <c r="BC2115">
        <v>0</v>
      </c>
      <c r="BD2115">
        <v>0</v>
      </c>
      <c r="BE2115">
        <v>0</v>
      </c>
      <c r="BF2115">
        <v>0</v>
      </c>
      <c r="BG2115">
        <v>0</v>
      </c>
      <c r="BH2115">
        <v>1</v>
      </c>
      <c r="BI2115">
        <v>1</v>
      </c>
      <c r="BJ2115">
        <v>0.2</v>
      </c>
      <c r="BK2115">
        <v>1</v>
      </c>
      <c r="BL2115">
        <v>54.66</v>
      </c>
      <c r="BM2115">
        <v>8.1999999999999993</v>
      </c>
      <c r="BN2115">
        <v>62.86</v>
      </c>
      <c r="BO2115">
        <v>62.86</v>
      </c>
      <c r="BQ2115" t="s">
        <v>2159</v>
      </c>
      <c r="BR2115" t="s">
        <v>84</v>
      </c>
      <c r="BS2115" s="3">
        <v>45797</v>
      </c>
      <c r="BT2115" s="4">
        <v>0.40833333333333333</v>
      </c>
      <c r="BU2115" t="s">
        <v>2160</v>
      </c>
      <c r="BV2115" t="s">
        <v>86</v>
      </c>
      <c r="BY2115">
        <v>1200</v>
      </c>
      <c r="CA2115" t="s">
        <v>765</v>
      </c>
      <c r="CC2115" t="s">
        <v>144</v>
      </c>
      <c r="CD2115">
        <v>1422</v>
      </c>
      <c r="CE2115" t="s">
        <v>88</v>
      </c>
      <c r="CF2115" s="3">
        <v>45798</v>
      </c>
      <c r="CI2115">
        <v>1</v>
      </c>
      <c r="CJ2115">
        <v>1</v>
      </c>
      <c r="CK2115">
        <v>22</v>
      </c>
      <c r="CL2115" t="s">
        <v>89</v>
      </c>
    </row>
    <row r="2116" spans="1:90" x14ac:dyDescent="0.3">
      <c r="A2116" t="s">
        <v>72</v>
      </c>
      <c r="B2116" t="s">
        <v>73</v>
      </c>
      <c r="C2116" t="s">
        <v>74</v>
      </c>
      <c r="E2116" t="str">
        <f>"080065442311"</f>
        <v>080065442311</v>
      </c>
      <c r="F2116" s="3">
        <v>45796</v>
      </c>
      <c r="G2116">
        <v>202602</v>
      </c>
      <c r="H2116" t="s">
        <v>75</v>
      </c>
      <c r="I2116" t="s">
        <v>76</v>
      </c>
      <c r="J2116" t="s">
        <v>77</v>
      </c>
      <c r="K2116" t="s">
        <v>78</v>
      </c>
      <c r="L2116" t="s">
        <v>75</v>
      </c>
      <c r="M2116" t="s">
        <v>76</v>
      </c>
      <c r="N2116" t="s">
        <v>601</v>
      </c>
      <c r="O2116" t="s">
        <v>82</v>
      </c>
      <c r="P2116" t="str">
        <f>"4170039157                    "</f>
        <v xml:space="preserve">4170039157                    </v>
      </c>
      <c r="Q2116">
        <v>0</v>
      </c>
      <c r="R2116">
        <v>0</v>
      </c>
      <c r="S2116">
        <v>0</v>
      </c>
      <c r="T2116">
        <v>0</v>
      </c>
      <c r="U2116">
        <v>0</v>
      </c>
      <c r="V2116">
        <v>0</v>
      </c>
      <c r="W2116">
        <v>0</v>
      </c>
      <c r="X2116">
        <v>0</v>
      </c>
      <c r="Y2116">
        <v>0</v>
      </c>
      <c r="Z2116">
        <v>0</v>
      </c>
      <c r="AA2116">
        <v>0</v>
      </c>
      <c r="AB2116">
        <v>0</v>
      </c>
      <c r="AC2116">
        <v>0</v>
      </c>
      <c r="AD2116">
        <v>0</v>
      </c>
      <c r="AE2116">
        <v>0</v>
      </c>
      <c r="AF2116">
        <v>0</v>
      </c>
      <c r="AG2116">
        <v>0</v>
      </c>
      <c r="AH2116">
        <v>0</v>
      </c>
      <c r="AI2116">
        <v>0</v>
      </c>
      <c r="AJ2116">
        <v>0</v>
      </c>
      <c r="AK2116">
        <v>0</v>
      </c>
      <c r="AL2116">
        <v>0</v>
      </c>
      <c r="AM2116">
        <v>0</v>
      </c>
      <c r="AN2116">
        <v>0</v>
      </c>
      <c r="AO2116">
        <v>0</v>
      </c>
      <c r="AP2116">
        <v>0</v>
      </c>
      <c r="AQ2116">
        <v>16.7</v>
      </c>
      <c r="AR2116">
        <v>0</v>
      </c>
      <c r="AS2116">
        <v>0</v>
      </c>
      <c r="AT2116">
        <v>0</v>
      </c>
      <c r="AU2116">
        <v>0</v>
      </c>
      <c r="AV2116">
        <v>0</v>
      </c>
      <c r="AW2116">
        <v>0</v>
      </c>
      <c r="AX2116">
        <v>0</v>
      </c>
      <c r="AY2116">
        <v>0</v>
      </c>
      <c r="AZ2116">
        <v>0</v>
      </c>
      <c r="BA2116">
        <v>0</v>
      </c>
      <c r="BB2116">
        <v>0</v>
      </c>
      <c r="BC2116">
        <v>0</v>
      </c>
      <c r="BD2116">
        <v>0</v>
      </c>
      <c r="BE2116">
        <v>0</v>
      </c>
      <c r="BF2116">
        <v>0</v>
      </c>
      <c r="BG2116">
        <v>0</v>
      </c>
      <c r="BH2116">
        <v>1</v>
      </c>
      <c r="BI2116">
        <v>1</v>
      </c>
      <c r="BJ2116">
        <v>0.2</v>
      </c>
      <c r="BK2116">
        <v>1</v>
      </c>
      <c r="BL2116">
        <v>54.66</v>
      </c>
      <c r="BM2116">
        <v>8.1999999999999993</v>
      </c>
      <c r="BN2116">
        <v>62.86</v>
      </c>
      <c r="BO2116">
        <v>62.86</v>
      </c>
      <c r="BQ2116" t="s">
        <v>603</v>
      </c>
      <c r="BR2116" t="s">
        <v>84</v>
      </c>
      <c r="BS2116" s="3">
        <v>45797</v>
      </c>
      <c r="BT2116" s="4">
        <v>0.39374999999999999</v>
      </c>
      <c r="BU2116" t="s">
        <v>2498</v>
      </c>
      <c r="BV2116" t="s">
        <v>86</v>
      </c>
      <c r="BY2116">
        <v>1200</v>
      </c>
      <c r="CA2116" t="s">
        <v>605</v>
      </c>
      <c r="CC2116" t="s">
        <v>76</v>
      </c>
      <c r="CD2116">
        <v>1645</v>
      </c>
      <c r="CE2116" t="s">
        <v>88</v>
      </c>
      <c r="CF2116" s="3">
        <v>45798</v>
      </c>
      <c r="CI2116">
        <v>1</v>
      </c>
      <c r="CJ2116">
        <v>1</v>
      </c>
      <c r="CK2116">
        <v>22</v>
      </c>
      <c r="CL2116" t="s">
        <v>89</v>
      </c>
    </row>
    <row r="2117" spans="1:90" x14ac:dyDescent="0.3">
      <c r="A2117" t="s">
        <v>72</v>
      </c>
      <c r="B2117" t="s">
        <v>73</v>
      </c>
      <c r="C2117" t="s">
        <v>74</v>
      </c>
      <c r="E2117" t="str">
        <f>"080065442350"</f>
        <v>080065442350</v>
      </c>
      <c r="F2117" s="3">
        <v>45796</v>
      </c>
      <c r="G2117">
        <v>202602</v>
      </c>
      <c r="H2117" t="s">
        <v>75</v>
      </c>
      <c r="I2117" t="s">
        <v>76</v>
      </c>
      <c r="J2117" t="s">
        <v>77</v>
      </c>
      <c r="K2117" t="s">
        <v>78</v>
      </c>
      <c r="L2117" t="s">
        <v>75</v>
      </c>
      <c r="M2117" t="s">
        <v>76</v>
      </c>
      <c r="N2117" t="s">
        <v>2371</v>
      </c>
      <c r="O2117" t="s">
        <v>82</v>
      </c>
      <c r="P2117" t="str">
        <f>"4170039202                    "</f>
        <v xml:space="preserve">4170039202                    </v>
      </c>
      <c r="Q2117">
        <v>0</v>
      </c>
      <c r="R2117">
        <v>0</v>
      </c>
      <c r="S2117">
        <v>0</v>
      </c>
      <c r="T2117">
        <v>0</v>
      </c>
      <c r="U2117">
        <v>0</v>
      </c>
      <c r="V2117">
        <v>0</v>
      </c>
      <c r="W2117">
        <v>0</v>
      </c>
      <c r="X2117">
        <v>0</v>
      </c>
      <c r="Y2117">
        <v>0</v>
      </c>
      <c r="Z2117">
        <v>0</v>
      </c>
      <c r="AA2117">
        <v>0</v>
      </c>
      <c r="AB2117">
        <v>0</v>
      </c>
      <c r="AC2117">
        <v>0</v>
      </c>
      <c r="AD2117">
        <v>0</v>
      </c>
      <c r="AE2117">
        <v>0</v>
      </c>
      <c r="AF2117">
        <v>0</v>
      </c>
      <c r="AG2117">
        <v>0</v>
      </c>
      <c r="AH2117">
        <v>0</v>
      </c>
      <c r="AI2117">
        <v>0</v>
      </c>
      <c r="AJ2117">
        <v>0</v>
      </c>
      <c r="AK2117">
        <v>0</v>
      </c>
      <c r="AL2117">
        <v>0</v>
      </c>
      <c r="AM2117">
        <v>0</v>
      </c>
      <c r="AN2117">
        <v>0</v>
      </c>
      <c r="AO2117">
        <v>0</v>
      </c>
      <c r="AP2117">
        <v>0</v>
      </c>
      <c r="AQ2117">
        <v>16.7</v>
      </c>
      <c r="AR2117">
        <v>0</v>
      </c>
      <c r="AS2117">
        <v>0</v>
      </c>
      <c r="AT2117">
        <v>0</v>
      </c>
      <c r="AU2117">
        <v>0</v>
      </c>
      <c r="AV2117">
        <v>0</v>
      </c>
      <c r="AW2117">
        <v>0</v>
      </c>
      <c r="AX2117">
        <v>0</v>
      </c>
      <c r="AY2117">
        <v>0</v>
      </c>
      <c r="AZ2117">
        <v>0</v>
      </c>
      <c r="BA2117">
        <v>0</v>
      </c>
      <c r="BB2117">
        <v>0</v>
      </c>
      <c r="BC2117">
        <v>0</v>
      </c>
      <c r="BD2117">
        <v>0</v>
      </c>
      <c r="BE2117">
        <v>0</v>
      </c>
      <c r="BF2117">
        <v>0</v>
      </c>
      <c r="BG2117">
        <v>0</v>
      </c>
      <c r="BH2117">
        <v>1</v>
      </c>
      <c r="BI2117">
        <v>1</v>
      </c>
      <c r="BJ2117">
        <v>0.2</v>
      </c>
      <c r="BK2117">
        <v>1</v>
      </c>
      <c r="BL2117">
        <v>54.66</v>
      </c>
      <c r="BM2117">
        <v>8.1999999999999993</v>
      </c>
      <c r="BN2117">
        <v>62.86</v>
      </c>
      <c r="BO2117">
        <v>62.86</v>
      </c>
      <c r="BQ2117" t="s">
        <v>2372</v>
      </c>
      <c r="BR2117" t="s">
        <v>84</v>
      </c>
      <c r="BS2117" s="3">
        <v>45797</v>
      </c>
      <c r="BT2117" s="4">
        <v>0.4201388888888889</v>
      </c>
      <c r="BU2117" t="s">
        <v>2560</v>
      </c>
      <c r="BV2117" t="s">
        <v>86</v>
      </c>
      <c r="BY2117">
        <v>1200</v>
      </c>
      <c r="CA2117" t="s">
        <v>115</v>
      </c>
      <c r="CC2117" t="s">
        <v>76</v>
      </c>
      <c r="CD2117">
        <v>1600</v>
      </c>
      <c r="CE2117" t="s">
        <v>88</v>
      </c>
      <c r="CF2117" s="3">
        <v>45797</v>
      </c>
      <c r="CI2117">
        <v>1</v>
      </c>
      <c r="CJ2117">
        <v>1</v>
      </c>
      <c r="CK2117">
        <v>22</v>
      </c>
      <c r="CL2117" t="s">
        <v>89</v>
      </c>
    </row>
    <row r="2118" spans="1:90" x14ac:dyDescent="0.3">
      <c r="A2118" t="s">
        <v>72</v>
      </c>
      <c r="B2118" t="s">
        <v>73</v>
      </c>
      <c r="C2118" t="s">
        <v>74</v>
      </c>
      <c r="E2118" t="str">
        <f>"080065442385"</f>
        <v>080065442385</v>
      </c>
      <c r="F2118" s="3">
        <v>45796</v>
      </c>
      <c r="G2118">
        <v>202602</v>
      </c>
      <c r="H2118" t="s">
        <v>75</v>
      </c>
      <c r="I2118" t="s">
        <v>76</v>
      </c>
      <c r="J2118" t="s">
        <v>77</v>
      </c>
      <c r="K2118" t="s">
        <v>78</v>
      </c>
      <c r="L2118" t="s">
        <v>143</v>
      </c>
      <c r="M2118" t="s">
        <v>144</v>
      </c>
      <c r="N2118" t="s">
        <v>2127</v>
      </c>
      <c r="O2118" t="s">
        <v>82</v>
      </c>
      <c r="P2118" t="str">
        <f>"4170039132                    "</f>
        <v xml:space="preserve">4170039132                    </v>
      </c>
      <c r="Q2118">
        <v>0</v>
      </c>
      <c r="R2118">
        <v>0</v>
      </c>
      <c r="S2118">
        <v>0</v>
      </c>
      <c r="T2118">
        <v>0</v>
      </c>
      <c r="U2118">
        <v>0</v>
      </c>
      <c r="V2118">
        <v>0</v>
      </c>
      <c r="W2118">
        <v>0</v>
      </c>
      <c r="X2118">
        <v>0</v>
      </c>
      <c r="Y2118">
        <v>0</v>
      </c>
      <c r="Z2118">
        <v>0</v>
      </c>
      <c r="AA2118">
        <v>0</v>
      </c>
      <c r="AB2118">
        <v>0</v>
      </c>
      <c r="AC2118">
        <v>0</v>
      </c>
      <c r="AD2118">
        <v>0</v>
      </c>
      <c r="AE2118">
        <v>0</v>
      </c>
      <c r="AF2118">
        <v>0</v>
      </c>
      <c r="AG2118">
        <v>0</v>
      </c>
      <c r="AH2118">
        <v>0</v>
      </c>
      <c r="AI2118">
        <v>0</v>
      </c>
      <c r="AJ2118">
        <v>0</v>
      </c>
      <c r="AK2118">
        <v>0</v>
      </c>
      <c r="AL2118">
        <v>0</v>
      </c>
      <c r="AM2118">
        <v>0</v>
      </c>
      <c r="AN2118">
        <v>0</v>
      </c>
      <c r="AO2118">
        <v>0</v>
      </c>
      <c r="AP2118">
        <v>0</v>
      </c>
      <c r="AQ2118">
        <v>16.7</v>
      </c>
      <c r="AR2118">
        <v>0</v>
      </c>
      <c r="AS2118">
        <v>0</v>
      </c>
      <c r="AT2118">
        <v>0</v>
      </c>
      <c r="AU2118">
        <v>0</v>
      </c>
      <c r="AV2118">
        <v>0</v>
      </c>
      <c r="AW2118">
        <v>0</v>
      </c>
      <c r="AX2118">
        <v>0</v>
      </c>
      <c r="AY2118">
        <v>0</v>
      </c>
      <c r="AZ2118">
        <v>0</v>
      </c>
      <c r="BA2118">
        <v>0</v>
      </c>
      <c r="BB2118">
        <v>0</v>
      </c>
      <c r="BC2118">
        <v>0</v>
      </c>
      <c r="BD2118">
        <v>0</v>
      </c>
      <c r="BE2118">
        <v>0</v>
      </c>
      <c r="BF2118">
        <v>0</v>
      </c>
      <c r="BG2118">
        <v>0</v>
      </c>
      <c r="BH2118">
        <v>1</v>
      </c>
      <c r="BI2118">
        <v>1</v>
      </c>
      <c r="BJ2118">
        <v>0.2</v>
      </c>
      <c r="BK2118">
        <v>1</v>
      </c>
      <c r="BL2118">
        <v>54.66</v>
      </c>
      <c r="BM2118">
        <v>8.1999999999999993</v>
      </c>
      <c r="BN2118">
        <v>62.86</v>
      </c>
      <c r="BO2118">
        <v>62.86</v>
      </c>
      <c r="BQ2118" t="s">
        <v>2128</v>
      </c>
      <c r="BR2118" t="s">
        <v>84</v>
      </c>
      <c r="BS2118" s="3">
        <v>45797</v>
      </c>
      <c r="BT2118" s="4">
        <v>0.39513888888888887</v>
      </c>
      <c r="BU2118" t="s">
        <v>335</v>
      </c>
      <c r="BV2118" t="s">
        <v>86</v>
      </c>
      <c r="BY2118">
        <v>1200</v>
      </c>
      <c r="CA2118" t="s">
        <v>2230</v>
      </c>
      <c r="CC2118" t="s">
        <v>144</v>
      </c>
      <c r="CD2118">
        <v>1401</v>
      </c>
      <c r="CE2118" t="s">
        <v>88</v>
      </c>
      <c r="CF2118" s="3">
        <v>45797</v>
      </c>
      <c r="CI2118">
        <v>1</v>
      </c>
      <c r="CJ2118">
        <v>1</v>
      </c>
      <c r="CK2118">
        <v>22</v>
      </c>
      <c r="CL2118" t="s">
        <v>89</v>
      </c>
    </row>
    <row r="2119" spans="1:90" x14ac:dyDescent="0.3">
      <c r="A2119" t="s">
        <v>72</v>
      </c>
      <c r="B2119" t="s">
        <v>73</v>
      </c>
      <c r="C2119" t="s">
        <v>74</v>
      </c>
      <c r="E2119" t="str">
        <f>"080065442415"</f>
        <v>080065442415</v>
      </c>
      <c r="F2119" s="3">
        <v>45796</v>
      </c>
      <c r="G2119">
        <v>202602</v>
      </c>
      <c r="H2119" t="s">
        <v>75</v>
      </c>
      <c r="I2119" t="s">
        <v>76</v>
      </c>
      <c r="J2119" t="s">
        <v>77</v>
      </c>
      <c r="K2119" t="s">
        <v>78</v>
      </c>
      <c r="L2119" t="s">
        <v>136</v>
      </c>
      <c r="M2119" t="s">
        <v>137</v>
      </c>
      <c r="N2119" t="s">
        <v>925</v>
      </c>
      <c r="O2119" t="s">
        <v>300</v>
      </c>
      <c r="P2119" t="str">
        <f>"4170039237                    "</f>
        <v xml:space="preserve">4170039237                    </v>
      </c>
      <c r="Q2119">
        <v>0</v>
      </c>
      <c r="R2119">
        <v>0</v>
      </c>
      <c r="S2119">
        <v>0</v>
      </c>
      <c r="T2119">
        <v>0</v>
      </c>
      <c r="U2119">
        <v>0</v>
      </c>
      <c r="V2119">
        <v>0</v>
      </c>
      <c r="W2119">
        <v>0</v>
      </c>
      <c r="X2119">
        <v>0</v>
      </c>
      <c r="Y2119">
        <v>0</v>
      </c>
      <c r="Z2119">
        <v>0</v>
      </c>
      <c r="AA2119">
        <v>0</v>
      </c>
      <c r="AB2119">
        <v>0</v>
      </c>
      <c r="AC2119">
        <v>0</v>
      </c>
      <c r="AD2119">
        <v>0</v>
      </c>
      <c r="AE2119">
        <v>0</v>
      </c>
      <c r="AF2119">
        <v>0</v>
      </c>
      <c r="AG2119">
        <v>0</v>
      </c>
      <c r="AH2119">
        <v>0</v>
      </c>
      <c r="AI2119">
        <v>0</v>
      </c>
      <c r="AJ2119">
        <v>0</v>
      </c>
      <c r="AK2119">
        <v>0</v>
      </c>
      <c r="AL2119">
        <v>0</v>
      </c>
      <c r="AM2119">
        <v>0</v>
      </c>
      <c r="AN2119">
        <v>0</v>
      </c>
      <c r="AO2119">
        <v>0</v>
      </c>
      <c r="AP2119">
        <v>0</v>
      </c>
      <c r="AQ2119">
        <v>220.61</v>
      </c>
      <c r="AR2119">
        <v>0</v>
      </c>
      <c r="AS2119">
        <v>0</v>
      </c>
      <c r="AT2119">
        <v>0</v>
      </c>
      <c r="AU2119">
        <v>0</v>
      </c>
      <c r="AV2119">
        <v>0</v>
      </c>
      <c r="AW2119">
        <v>0</v>
      </c>
      <c r="AX2119">
        <v>0</v>
      </c>
      <c r="AY2119">
        <v>0</v>
      </c>
      <c r="AZ2119">
        <v>0</v>
      </c>
      <c r="BA2119">
        <v>0</v>
      </c>
      <c r="BB2119">
        <v>0</v>
      </c>
      <c r="BC2119">
        <v>0</v>
      </c>
      <c r="BD2119">
        <v>0</v>
      </c>
      <c r="BE2119">
        <v>0</v>
      </c>
      <c r="BF2119">
        <v>0</v>
      </c>
      <c r="BG2119">
        <v>0</v>
      </c>
      <c r="BH2119">
        <v>1</v>
      </c>
      <c r="BI2119">
        <v>120</v>
      </c>
      <c r="BJ2119">
        <v>101.6</v>
      </c>
      <c r="BK2119">
        <v>120</v>
      </c>
      <c r="BL2119">
        <v>727.56</v>
      </c>
      <c r="BM2119">
        <v>109.13</v>
      </c>
      <c r="BN2119">
        <v>836.69</v>
      </c>
      <c r="BO2119">
        <v>836.69</v>
      </c>
      <c r="BQ2119" t="s">
        <v>926</v>
      </c>
      <c r="BR2119" t="s">
        <v>84</v>
      </c>
      <c r="BS2119" s="3">
        <v>45797</v>
      </c>
      <c r="BT2119" s="4">
        <v>0.57499999999999996</v>
      </c>
      <c r="BU2119" t="s">
        <v>2561</v>
      </c>
      <c r="BV2119" t="s">
        <v>86</v>
      </c>
      <c r="BY2119">
        <v>508113</v>
      </c>
      <c r="CC2119" t="s">
        <v>137</v>
      </c>
      <c r="CD2119" s="5" t="s">
        <v>142</v>
      </c>
      <c r="CE2119" t="s">
        <v>1434</v>
      </c>
      <c r="CF2119" s="3">
        <v>45797</v>
      </c>
      <c r="CI2119">
        <v>1</v>
      </c>
      <c r="CJ2119">
        <v>1</v>
      </c>
      <c r="CK2119">
        <v>41</v>
      </c>
      <c r="CL2119" t="s">
        <v>89</v>
      </c>
    </row>
    <row r="2120" spans="1:90" x14ac:dyDescent="0.3">
      <c r="A2120" t="s">
        <v>72</v>
      </c>
      <c r="B2120" t="s">
        <v>73</v>
      </c>
      <c r="C2120" t="s">
        <v>74</v>
      </c>
      <c r="E2120" t="str">
        <f>"080065442420"</f>
        <v>080065442420</v>
      </c>
      <c r="F2120" s="3">
        <v>45796</v>
      </c>
      <c r="G2120">
        <v>202602</v>
      </c>
      <c r="H2120" t="s">
        <v>75</v>
      </c>
      <c r="I2120" t="s">
        <v>76</v>
      </c>
      <c r="J2120" t="s">
        <v>77</v>
      </c>
      <c r="K2120" t="s">
        <v>78</v>
      </c>
      <c r="L2120" t="s">
        <v>130</v>
      </c>
      <c r="M2120" t="s">
        <v>131</v>
      </c>
      <c r="N2120" t="s">
        <v>1066</v>
      </c>
      <c r="O2120" t="s">
        <v>82</v>
      </c>
      <c r="P2120" t="str">
        <f>"4170039166                    "</f>
        <v xml:space="preserve">4170039166                    </v>
      </c>
      <c r="Q2120">
        <v>0</v>
      </c>
      <c r="R2120">
        <v>0</v>
      </c>
      <c r="S2120">
        <v>0</v>
      </c>
      <c r="T2120">
        <v>0</v>
      </c>
      <c r="U2120">
        <v>0</v>
      </c>
      <c r="V2120">
        <v>0</v>
      </c>
      <c r="W2120">
        <v>0</v>
      </c>
      <c r="X2120">
        <v>0</v>
      </c>
      <c r="Y2120">
        <v>0</v>
      </c>
      <c r="Z2120">
        <v>0</v>
      </c>
      <c r="AA2120">
        <v>0</v>
      </c>
      <c r="AB2120">
        <v>0</v>
      </c>
      <c r="AC2120">
        <v>0</v>
      </c>
      <c r="AD2120">
        <v>0</v>
      </c>
      <c r="AE2120">
        <v>0</v>
      </c>
      <c r="AF2120">
        <v>0</v>
      </c>
      <c r="AG2120">
        <v>0</v>
      </c>
      <c r="AH2120">
        <v>0</v>
      </c>
      <c r="AI2120">
        <v>0</v>
      </c>
      <c r="AJ2120">
        <v>0</v>
      </c>
      <c r="AK2120">
        <v>0</v>
      </c>
      <c r="AL2120">
        <v>0</v>
      </c>
      <c r="AM2120">
        <v>0</v>
      </c>
      <c r="AN2120">
        <v>0</v>
      </c>
      <c r="AO2120">
        <v>0</v>
      </c>
      <c r="AP2120">
        <v>0</v>
      </c>
      <c r="AQ2120">
        <v>21.38</v>
      </c>
      <c r="AR2120">
        <v>0</v>
      </c>
      <c r="AS2120">
        <v>0</v>
      </c>
      <c r="AT2120">
        <v>0</v>
      </c>
      <c r="AU2120">
        <v>0</v>
      </c>
      <c r="AV2120">
        <v>0</v>
      </c>
      <c r="AW2120">
        <v>0</v>
      </c>
      <c r="AX2120">
        <v>0</v>
      </c>
      <c r="AY2120">
        <v>0</v>
      </c>
      <c r="AZ2120">
        <v>0</v>
      </c>
      <c r="BA2120">
        <v>0</v>
      </c>
      <c r="BB2120">
        <v>0</v>
      </c>
      <c r="BC2120">
        <v>0</v>
      </c>
      <c r="BD2120">
        <v>0</v>
      </c>
      <c r="BE2120">
        <v>0</v>
      </c>
      <c r="BF2120">
        <v>0</v>
      </c>
      <c r="BG2120">
        <v>0</v>
      </c>
      <c r="BH2120">
        <v>1</v>
      </c>
      <c r="BI2120">
        <v>1</v>
      </c>
      <c r="BJ2120">
        <v>0.2</v>
      </c>
      <c r="BK2120">
        <v>1</v>
      </c>
      <c r="BL2120">
        <v>69.98</v>
      </c>
      <c r="BM2120">
        <v>10.5</v>
      </c>
      <c r="BN2120">
        <v>80.48</v>
      </c>
      <c r="BO2120">
        <v>80.48</v>
      </c>
      <c r="BQ2120" t="s">
        <v>1067</v>
      </c>
      <c r="BR2120" t="s">
        <v>84</v>
      </c>
      <c r="BS2120" s="3">
        <v>45797</v>
      </c>
      <c r="BT2120" s="4">
        <v>0.4152777777777778</v>
      </c>
      <c r="BU2120" t="s">
        <v>1202</v>
      </c>
      <c r="BV2120" t="s">
        <v>86</v>
      </c>
      <c r="BY2120">
        <v>1200</v>
      </c>
      <c r="CA2120" t="s">
        <v>712</v>
      </c>
      <c r="CC2120" t="s">
        <v>131</v>
      </c>
      <c r="CD2120">
        <v>7561</v>
      </c>
      <c r="CE2120" t="s">
        <v>88</v>
      </c>
      <c r="CF2120" s="3">
        <v>45798</v>
      </c>
      <c r="CI2120">
        <v>1</v>
      </c>
      <c r="CJ2120">
        <v>1</v>
      </c>
      <c r="CK2120">
        <v>21</v>
      </c>
      <c r="CL2120" t="s">
        <v>89</v>
      </c>
    </row>
    <row r="2121" spans="1:90" x14ac:dyDescent="0.3">
      <c r="A2121" t="s">
        <v>72</v>
      </c>
      <c r="B2121" t="s">
        <v>73</v>
      </c>
      <c r="C2121" t="s">
        <v>74</v>
      </c>
      <c r="E2121" t="str">
        <f>"080065442448"</f>
        <v>080065442448</v>
      </c>
      <c r="F2121" s="3">
        <v>45796</v>
      </c>
      <c r="G2121">
        <v>202602</v>
      </c>
      <c r="H2121" t="s">
        <v>75</v>
      </c>
      <c r="I2121" t="s">
        <v>76</v>
      </c>
      <c r="J2121" t="s">
        <v>77</v>
      </c>
      <c r="K2121" t="s">
        <v>78</v>
      </c>
      <c r="L2121" t="s">
        <v>311</v>
      </c>
      <c r="M2121" t="s">
        <v>312</v>
      </c>
      <c r="N2121" t="s">
        <v>2562</v>
      </c>
      <c r="O2121" t="s">
        <v>82</v>
      </c>
      <c r="P2121" t="str">
        <f>"4170039153                    "</f>
        <v xml:space="preserve">4170039153                    </v>
      </c>
      <c r="Q2121">
        <v>0</v>
      </c>
      <c r="R2121">
        <v>0</v>
      </c>
      <c r="S2121">
        <v>0</v>
      </c>
      <c r="T2121">
        <v>0</v>
      </c>
      <c r="U2121">
        <v>0</v>
      </c>
      <c r="V2121">
        <v>0</v>
      </c>
      <c r="W2121">
        <v>0</v>
      </c>
      <c r="X2121">
        <v>0</v>
      </c>
      <c r="Y2121">
        <v>0</v>
      </c>
      <c r="Z2121">
        <v>0</v>
      </c>
      <c r="AA2121">
        <v>0</v>
      </c>
      <c r="AB2121">
        <v>0</v>
      </c>
      <c r="AC2121">
        <v>0</v>
      </c>
      <c r="AD2121">
        <v>0</v>
      </c>
      <c r="AE2121">
        <v>0</v>
      </c>
      <c r="AF2121">
        <v>0</v>
      </c>
      <c r="AG2121">
        <v>0</v>
      </c>
      <c r="AH2121">
        <v>0</v>
      </c>
      <c r="AI2121">
        <v>0</v>
      </c>
      <c r="AJ2121">
        <v>0</v>
      </c>
      <c r="AK2121">
        <v>0</v>
      </c>
      <c r="AL2121">
        <v>0</v>
      </c>
      <c r="AM2121">
        <v>0</v>
      </c>
      <c r="AN2121">
        <v>0</v>
      </c>
      <c r="AO2121">
        <v>0</v>
      </c>
      <c r="AP2121">
        <v>0</v>
      </c>
      <c r="AQ2121">
        <v>16.7</v>
      </c>
      <c r="AR2121">
        <v>0</v>
      </c>
      <c r="AS2121">
        <v>0</v>
      </c>
      <c r="AT2121">
        <v>0</v>
      </c>
      <c r="AU2121">
        <v>0</v>
      </c>
      <c r="AV2121">
        <v>0</v>
      </c>
      <c r="AW2121">
        <v>0</v>
      </c>
      <c r="AX2121">
        <v>0</v>
      </c>
      <c r="AY2121">
        <v>0</v>
      </c>
      <c r="AZ2121">
        <v>0</v>
      </c>
      <c r="BA2121">
        <v>0</v>
      </c>
      <c r="BB2121">
        <v>0</v>
      </c>
      <c r="BC2121">
        <v>0</v>
      </c>
      <c r="BD2121">
        <v>0</v>
      </c>
      <c r="BE2121">
        <v>0</v>
      </c>
      <c r="BF2121">
        <v>0</v>
      </c>
      <c r="BG2121">
        <v>0</v>
      </c>
      <c r="BH2121">
        <v>1</v>
      </c>
      <c r="BI2121">
        <v>1</v>
      </c>
      <c r="BJ2121">
        <v>0.2</v>
      </c>
      <c r="BK2121">
        <v>1</v>
      </c>
      <c r="BL2121">
        <v>54.66</v>
      </c>
      <c r="BM2121">
        <v>8.1999999999999993</v>
      </c>
      <c r="BN2121">
        <v>62.86</v>
      </c>
      <c r="BO2121">
        <v>62.86</v>
      </c>
      <c r="BQ2121" t="s">
        <v>2563</v>
      </c>
      <c r="BR2121" t="s">
        <v>84</v>
      </c>
      <c r="BS2121" s="3">
        <v>45797</v>
      </c>
      <c r="BT2121" s="4">
        <v>0.4236111111111111</v>
      </c>
      <c r="BU2121" t="s">
        <v>2564</v>
      </c>
      <c r="BV2121" t="s">
        <v>86</v>
      </c>
      <c r="BY2121">
        <v>1200</v>
      </c>
      <c r="CA2121" t="s">
        <v>316</v>
      </c>
      <c r="CC2121" t="s">
        <v>312</v>
      </c>
      <c r="CD2121">
        <v>1502</v>
      </c>
      <c r="CE2121" t="s">
        <v>88</v>
      </c>
      <c r="CF2121" s="3">
        <v>45797</v>
      </c>
      <c r="CI2121">
        <v>1</v>
      </c>
      <c r="CJ2121">
        <v>1</v>
      </c>
      <c r="CK2121">
        <v>22</v>
      </c>
      <c r="CL2121" t="s">
        <v>89</v>
      </c>
    </row>
    <row r="2122" spans="1:90" x14ac:dyDescent="0.3">
      <c r="A2122" t="s">
        <v>72</v>
      </c>
      <c r="B2122" t="s">
        <v>73</v>
      </c>
      <c r="C2122" t="s">
        <v>74</v>
      </c>
      <c r="E2122" t="str">
        <f>"080065442960"</f>
        <v>080065442960</v>
      </c>
      <c r="F2122" s="3">
        <v>45796</v>
      </c>
      <c r="G2122">
        <v>202602</v>
      </c>
      <c r="H2122" t="s">
        <v>75</v>
      </c>
      <c r="I2122" t="s">
        <v>76</v>
      </c>
      <c r="J2122" t="s">
        <v>77</v>
      </c>
      <c r="K2122" t="s">
        <v>78</v>
      </c>
      <c r="L2122" t="s">
        <v>136</v>
      </c>
      <c r="M2122" t="s">
        <v>137</v>
      </c>
      <c r="N2122" t="s">
        <v>2479</v>
      </c>
      <c r="O2122" t="s">
        <v>82</v>
      </c>
      <c r="P2122" t="str">
        <f>"4170039385                    "</f>
        <v xml:space="preserve">4170039385                    </v>
      </c>
      <c r="Q2122">
        <v>0</v>
      </c>
      <c r="R2122">
        <v>0</v>
      </c>
      <c r="S2122">
        <v>0</v>
      </c>
      <c r="T2122">
        <v>0</v>
      </c>
      <c r="U2122">
        <v>0</v>
      </c>
      <c r="V2122">
        <v>0</v>
      </c>
      <c r="W2122">
        <v>0</v>
      </c>
      <c r="X2122">
        <v>0</v>
      </c>
      <c r="Y2122">
        <v>0</v>
      </c>
      <c r="Z2122">
        <v>0</v>
      </c>
      <c r="AA2122">
        <v>0</v>
      </c>
      <c r="AB2122">
        <v>0</v>
      </c>
      <c r="AC2122">
        <v>0</v>
      </c>
      <c r="AD2122">
        <v>0</v>
      </c>
      <c r="AE2122">
        <v>0</v>
      </c>
      <c r="AF2122">
        <v>0</v>
      </c>
      <c r="AG2122">
        <v>0</v>
      </c>
      <c r="AH2122">
        <v>0</v>
      </c>
      <c r="AI2122">
        <v>0</v>
      </c>
      <c r="AJ2122">
        <v>0</v>
      </c>
      <c r="AK2122">
        <v>0</v>
      </c>
      <c r="AL2122">
        <v>0</v>
      </c>
      <c r="AM2122">
        <v>0</v>
      </c>
      <c r="AN2122">
        <v>0</v>
      </c>
      <c r="AO2122">
        <v>0</v>
      </c>
      <c r="AP2122">
        <v>0</v>
      </c>
      <c r="AQ2122">
        <v>21.38</v>
      </c>
      <c r="AR2122">
        <v>0</v>
      </c>
      <c r="AS2122">
        <v>0</v>
      </c>
      <c r="AT2122">
        <v>0</v>
      </c>
      <c r="AU2122">
        <v>0</v>
      </c>
      <c r="AV2122">
        <v>0</v>
      </c>
      <c r="AW2122">
        <v>0</v>
      </c>
      <c r="AX2122">
        <v>0</v>
      </c>
      <c r="AY2122">
        <v>0</v>
      </c>
      <c r="AZ2122">
        <v>0</v>
      </c>
      <c r="BA2122">
        <v>0</v>
      </c>
      <c r="BB2122">
        <v>0</v>
      </c>
      <c r="BC2122">
        <v>0</v>
      </c>
      <c r="BD2122">
        <v>0</v>
      </c>
      <c r="BE2122">
        <v>0</v>
      </c>
      <c r="BF2122">
        <v>0</v>
      </c>
      <c r="BG2122">
        <v>0</v>
      </c>
      <c r="BH2122">
        <v>1</v>
      </c>
      <c r="BI2122">
        <v>1</v>
      </c>
      <c r="BJ2122">
        <v>0.2</v>
      </c>
      <c r="BK2122">
        <v>1</v>
      </c>
      <c r="BL2122">
        <v>69.98</v>
      </c>
      <c r="BM2122">
        <v>10.5</v>
      </c>
      <c r="BN2122">
        <v>80.48</v>
      </c>
      <c r="BO2122">
        <v>80.48</v>
      </c>
      <c r="BQ2122" t="s">
        <v>2480</v>
      </c>
      <c r="BR2122" t="s">
        <v>84</v>
      </c>
      <c r="BS2122" s="3">
        <v>45797</v>
      </c>
      <c r="BT2122" s="4">
        <v>0.42708333333333331</v>
      </c>
      <c r="BU2122" t="s">
        <v>2481</v>
      </c>
      <c r="BV2122" t="s">
        <v>86</v>
      </c>
      <c r="BY2122">
        <v>1200</v>
      </c>
      <c r="CA2122" t="s">
        <v>253</v>
      </c>
      <c r="CC2122" t="s">
        <v>137</v>
      </c>
      <c r="CD2122" s="5" t="s">
        <v>895</v>
      </c>
      <c r="CE2122" t="s">
        <v>88</v>
      </c>
      <c r="CF2122" s="3">
        <v>45797</v>
      </c>
      <c r="CI2122">
        <v>1</v>
      </c>
      <c r="CJ2122">
        <v>1</v>
      </c>
      <c r="CK2122">
        <v>21</v>
      </c>
      <c r="CL2122" t="s">
        <v>89</v>
      </c>
    </row>
    <row r="2123" spans="1:90" x14ac:dyDescent="0.3">
      <c r="A2123" t="s">
        <v>72</v>
      </c>
      <c r="B2123" t="s">
        <v>73</v>
      </c>
      <c r="C2123" t="s">
        <v>74</v>
      </c>
      <c r="E2123" t="str">
        <f>"080065442994"</f>
        <v>080065442994</v>
      </c>
      <c r="F2123" s="3">
        <v>45796</v>
      </c>
      <c r="G2123">
        <v>202602</v>
      </c>
      <c r="H2123" t="s">
        <v>75</v>
      </c>
      <c r="I2123" t="s">
        <v>76</v>
      </c>
      <c r="J2123" t="s">
        <v>77</v>
      </c>
      <c r="K2123" t="s">
        <v>78</v>
      </c>
      <c r="L2123" t="s">
        <v>672</v>
      </c>
      <c r="M2123" t="s">
        <v>673</v>
      </c>
      <c r="N2123" t="s">
        <v>674</v>
      </c>
      <c r="O2123" t="s">
        <v>82</v>
      </c>
      <c r="P2123" t="str">
        <f>"4170039145                    "</f>
        <v xml:space="preserve">4170039145                    </v>
      </c>
      <c r="Q2123">
        <v>0</v>
      </c>
      <c r="R2123">
        <v>0</v>
      </c>
      <c r="S2123">
        <v>0</v>
      </c>
      <c r="T2123">
        <v>0</v>
      </c>
      <c r="U2123">
        <v>0</v>
      </c>
      <c r="V2123">
        <v>0</v>
      </c>
      <c r="W2123">
        <v>0</v>
      </c>
      <c r="X2123">
        <v>0</v>
      </c>
      <c r="Y2123">
        <v>0</v>
      </c>
      <c r="Z2123">
        <v>0</v>
      </c>
      <c r="AA2123">
        <v>0</v>
      </c>
      <c r="AB2123">
        <v>0</v>
      </c>
      <c r="AC2123">
        <v>0</v>
      </c>
      <c r="AD2123">
        <v>0</v>
      </c>
      <c r="AE2123">
        <v>0</v>
      </c>
      <c r="AF2123">
        <v>0</v>
      </c>
      <c r="AG2123">
        <v>0</v>
      </c>
      <c r="AH2123">
        <v>0</v>
      </c>
      <c r="AI2123">
        <v>0</v>
      </c>
      <c r="AJ2123">
        <v>0</v>
      </c>
      <c r="AK2123">
        <v>0</v>
      </c>
      <c r="AL2123">
        <v>0</v>
      </c>
      <c r="AM2123">
        <v>0</v>
      </c>
      <c r="AN2123">
        <v>0</v>
      </c>
      <c r="AO2123">
        <v>0</v>
      </c>
      <c r="AP2123">
        <v>0</v>
      </c>
      <c r="AQ2123">
        <v>60.14</v>
      </c>
      <c r="AR2123">
        <v>0</v>
      </c>
      <c r="AS2123">
        <v>0</v>
      </c>
      <c r="AT2123">
        <v>0</v>
      </c>
      <c r="AU2123">
        <v>0</v>
      </c>
      <c r="AV2123">
        <v>0</v>
      </c>
      <c r="AW2123">
        <v>0</v>
      </c>
      <c r="AX2123">
        <v>0</v>
      </c>
      <c r="AY2123">
        <v>0</v>
      </c>
      <c r="AZ2123">
        <v>0</v>
      </c>
      <c r="BA2123">
        <v>0</v>
      </c>
      <c r="BB2123">
        <v>0</v>
      </c>
      <c r="BC2123">
        <v>0</v>
      </c>
      <c r="BD2123">
        <v>0</v>
      </c>
      <c r="BE2123">
        <v>0</v>
      </c>
      <c r="BF2123">
        <v>0</v>
      </c>
      <c r="BG2123">
        <v>0</v>
      </c>
      <c r="BH2123">
        <v>1</v>
      </c>
      <c r="BI2123">
        <v>3</v>
      </c>
      <c r="BJ2123">
        <v>1.1000000000000001</v>
      </c>
      <c r="BK2123">
        <v>3</v>
      </c>
      <c r="BL2123">
        <v>196.82</v>
      </c>
      <c r="BM2123">
        <v>29.52</v>
      </c>
      <c r="BN2123">
        <v>226.34</v>
      </c>
      <c r="BO2123">
        <v>226.34</v>
      </c>
      <c r="BQ2123" t="s">
        <v>675</v>
      </c>
      <c r="BR2123" t="s">
        <v>84</v>
      </c>
      <c r="BS2123" s="3">
        <v>45797</v>
      </c>
      <c r="BT2123" s="4">
        <v>0.46805555555555556</v>
      </c>
      <c r="BU2123" t="s">
        <v>2531</v>
      </c>
      <c r="BV2123" t="s">
        <v>86</v>
      </c>
      <c r="BY2123">
        <v>5320</v>
      </c>
      <c r="CA2123" t="s">
        <v>677</v>
      </c>
      <c r="CC2123" t="s">
        <v>673</v>
      </c>
      <c r="CD2123">
        <v>2531</v>
      </c>
      <c r="CE2123" t="s">
        <v>116</v>
      </c>
      <c r="CF2123" s="3">
        <v>45798</v>
      </c>
      <c r="CI2123">
        <v>1</v>
      </c>
      <c r="CJ2123">
        <v>1</v>
      </c>
      <c r="CK2123">
        <v>23</v>
      </c>
      <c r="CL2123" t="s">
        <v>89</v>
      </c>
    </row>
    <row r="2124" spans="1:90" x14ac:dyDescent="0.3">
      <c r="A2124" t="s">
        <v>72</v>
      </c>
      <c r="B2124" t="s">
        <v>73</v>
      </c>
      <c r="C2124" t="s">
        <v>74</v>
      </c>
      <c r="E2124" t="str">
        <f>"080065443001"</f>
        <v>080065443001</v>
      </c>
      <c r="F2124" s="3">
        <v>45796</v>
      </c>
      <c r="G2124">
        <v>202602</v>
      </c>
      <c r="H2124" t="s">
        <v>75</v>
      </c>
      <c r="I2124" t="s">
        <v>76</v>
      </c>
      <c r="J2124" t="s">
        <v>77</v>
      </c>
      <c r="K2124" t="s">
        <v>78</v>
      </c>
      <c r="L2124" t="s">
        <v>136</v>
      </c>
      <c r="M2124" t="s">
        <v>137</v>
      </c>
      <c r="N2124" t="s">
        <v>886</v>
      </c>
      <c r="O2124" t="s">
        <v>82</v>
      </c>
      <c r="P2124" t="str">
        <f>"4170039422                    "</f>
        <v xml:space="preserve">4170039422                    </v>
      </c>
      <c r="Q2124">
        <v>0</v>
      </c>
      <c r="R2124">
        <v>0</v>
      </c>
      <c r="S2124">
        <v>0</v>
      </c>
      <c r="T2124">
        <v>0</v>
      </c>
      <c r="U2124">
        <v>0</v>
      </c>
      <c r="V2124">
        <v>0</v>
      </c>
      <c r="W2124">
        <v>0</v>
      </c>
      <c r="X2124">
        <v>0</v>
      </c>
      <c r="Y2124">
        <v>0</v>
      </c>
      <c r="Z2124">
        <v>0</v>
      </c>
      <c r="AA2124">
        <v>0</v>
      </c>
      <c r="AB2124">
        <v>0</v>
      </c>
      <c r="AC2124">
        <v>0</v>
      </c>
      <c r="AD2124">
        <v>0</v>
      </c>
      <c r="AE2124">
        <v>0</v>
      </c>
      <c r="AF2124">
        <v>0</v>
      </c>
      <c r="AG2124">
        <v>0</v>
      </c>
      <c r="AH2124">
        <v>0</v>
      </c>
      <c r="AI2124">
        <v>0</v>
      </c>
      <c r="AJ2124">
        <v>0</v>
      </c>
      <c r="AK2124">
        <v>0</v>
      </c>
      <c r="AL2124">
        <v>0</v>
      </c>
      <c r="AM2124">
        <v>0</v>
      </c>
      <c r="AN2124">
        <v>0</v>
      </c>
      <c r="AO2124">
        <v>0</v>
      </c>
      <c r="AP2124">
        <v>0</v>
      </c>
      <c r="AQ2124">
        <v>21.38</v>
      </c>
      <c r="AR2124">
        <v>0</v>
      </c>
      <c r="AS2124">
        <v>0</v>
      </c>
      <c r="AT2124">
        <v>0</v>
      </c>
      <c r="AU2124">
        <v>0</v>
      </c>
      <c r="AV2124">
        <v>0</v>
      </c>
      <c r="AW2124">
        <v>0</v>
      </c>
      <c r="AX2124">
        <v>0</v>
      </c>
      <c r="AY2124">
        <v>0</v>
      </c>
      <c r="AZ2124">
        <v>0</v>
      </c>
      <c r="BA2124">
        <v>0</v>
      </c>
      <c r="BB2124">
        <v>0</v>
      </c>
      <c r="BC2124">
        <v>0</v>
      </c>
      <c r="BD2124">
        <v>0</v>
      </c>
      <c r="BE2124">
        <v>0</v>
      </c>
      <c r="BF2124">
        <v>0</v>
      </c>
      <c r="BG2124">
        <v>0</v>
      </c>
      <c r="BH2124">
        <v>1</v>
      </c>
      <c r="BI2124">
        <v>1</v>
      </c>
      <c r="BJ2124">
        <v>0.2</v>
      </c>
      <c r="BK2124">
        <v>1</v>
      </c>
      <c r="BL2124">
        <v>69.98</v>
      </c>
      <c r="BM2124">
        <v>10.5</v>
      </c>
      <c r="BN2124">
        <v>80.48</v>
      </c>
      <c r="BO2124">
        <v>80.48</v>
      </c>
      <c r="BQ2124" t="s">
        <v>887</v>
      </c>
      <c r="BR2124" t="s">
        <v>84</v>
      </c>
      <c r="BS2124" s="3">
        <v>45797</v>
      </c>
      <c r="BT2124" s="4">
        <v>0.42083333333333334</v>
      </c>
      <c r="BU2124" t="s">
        <v>2565</v>
      </c>
      <c r="BV2124" t="s">
        <v>86</v>
      </c>
      <c r="BY2124">
        <v>1200</v>
      </c>
      <c r="CA2124" t="s">
        <v>889</v>
      </c>
      <c r="CC2124" t="s">
        <v>137</v>
      </c>
      <c r="CD2124" s="5" t="s">
        <v>738</v>
      </c>
      <c r="CE2124" t="s">
        <v>88</v>
      </c>
      <c r="CF2124" s="3">
        <v>45797</v>
      </c>
      <c r="CI2124">
        <v>1</v>
      </c>
      <c r="CJ2124">
        <v>1</v>
      </c>
      <c r="CK2124">
        <v>21</v>
      </c>
      <c r="CL2124" t="s">
        <v>89</v>
      </c>
    </row>
    <row r="2125" spans="1:90" x14ac:dyDescent="0.3">
      <c r="A2125" t="s">
        <v>72</v>
      </c>
      <c r="B2125" t="s">
        <v>73</v>
      </c>
      <c r="C2125" t="s">
        <v>74</v>
      </c>
      <c r="E2125" t="str">
        <f>"080065443064"</f>
        <v>080065443064</v>
      </c>
      <c r="F2125" s="3">
        <v>45796</v>
      </c>
      <c r="G2125">
        <v>202602</v>
      </c>
      <c r="H2125" t="s">
        <v>75</v>
      </c>
      <c r="I2125" t="s">
        <v>76</v>
      </c>
      <c r="J2125" t="s">
        <v>77</v>
      </c>
      <c r="K2125" t="s">
        <v>78</v>
      </c>
      <c r="L2125" t="s">
        <v>463</v>
      </c>
      <c r="M2125" t="s">
        <v>464</v>
      </c>
      <c r="N2125" t="s">
        <v>744</v>
      </c>
      <c r="O2125" t="s">
        <v>82</v>
      </c>
      <c r="P2125" t="str">
        <f>"4170039179                    "</f>
        <v xml:space="preserve">4170039179                    </v>
      </c>
      <c r="Q2125">
        <v>0</v>
      </c>
      <c r="R2125">
        <v>0</v>
      </c>
      <c r="S2125">
        <v>0</v>
      </c>
      <c r="T2125">
        <v>0</v>
      </c>
      <c r="U2125">
        <v>0</v>
      </c>
      <c r="V2125">
        <v>0</v>
      </c>
      <c r="W2125">
        <v>0</v>
      </c>
      <c r="X2125">
        <v>0</v>
      </c>
      <c r="Y2125">
        <v>0</v>
      </c>
      <c r="Z2125">
        <v>0</v>
      </c>
      <c r="AA2125">
        <v>0</v>
      </c>
      <c r="AB2125">
        <v>0</v>
      </c>
      <c r="AC2125">
        <v>0</v>
      </c>
      <c r="AD2125">
        <v>0</v>
      </c>
      <c r="AE2125">
        <v>0</v>
      </c>
      <c r="AF2125">
        <v>0</v>
      </c>
      <c r="AG2125">
        <v>0</v>
      </c>
      <c r="AH2125">
        <v>0</v>
      </c>
      <c r="AI2125">
        <v>0</v>
      </c>
      <c r="AJ2125">
        <v>0</v>
      </c>
      <c r="AK2125">
        <v>0</v>
      </c>
      <c r="AL2125">
        <v>0</v>
      </c>
      <c r="AM2125">
        <v>0</v>
      </c>
      <c r="AN2125">
        <v>0</v>
      </c>
      <c r="AO2125">
        <v>0</v>
      </c>
      <c r="AP2125">
        <v>0</v>
      </c>
      <c r="AQ2125">
        <v>21.38</v>
      </c>
      <c r="AR2125">
        <v>0</v>
      </c>
      <c r="AS2125">
        <v>0</v>
      </c>
      <c r="AT2125">
        <v>0</v>
      </c>
      <c r="AU2125">
        <v>0</v>
      </c>
      <c r="AV2125">
        <v>0</v>
      </c>
      <c r="AW2125">
        <v>0</v>
      </c>
      <c r="AX2125">
        <v>0</v>
      </c>
      <c r="AY2125">
        <v>0</v>
      </c>
      <c r="AZ2125">
        <v>0</v>
      </c>
      <c r="BA2125">
        <v>0</v>
      </c>
      <c r="BB2125">
        <v>0</v>
      </c>
      <c r="BC2125">
        <v>0</v>
      </c>
      <c r="BD2125">
        <v>0</v>
      </c>
      <c r="BE2125">
        <v>0</v>
      </c>
      <c r="BF2125">
        <v>0</v>
      </c>
      <c r="BG2125">
        <v>0</v>
      </c>
      <c r="BH2125">
        <v>1</v>
      </c>
      <c r="BI2125">
        <v>1</v>
      </c>
      <c r="BJ2125">
        <v>0.2</v>
      </c>
      <c r="BK2125">
        <v>1</v>
      </c>
      <c r="BL2125">
        <v>69.98</v>
      </c>
      <c r="BM2125">
        <v>10.5</v>
      </c>
      <c r="BN2125">
        <v>80.48</v>
      </c>
      <c r="BO2125">
        <v>80.48</v>
      </c>
      <c r="BQ2125" t="s">
        <v>745</v>
      </c>
      <c r="BR2125" t="s">
        <v>84</v>
      </c>
      <c r="BS2125" s="3">
        <v>45797</v>
      </c>
      <c r="BT2125" s="4">
        <v>0.46180555555555558</v>
      </c>
      <c r="BU2125" t="s">
        <v>746</v>
      </c>
      <c r="BV2125" t="s">
        <v>89</v>
      </c>
      <c r="BY2125">
        <v>1200</v>
      </c>
      <c r="CA2125" t="s">
        <v>588</v>
      </c>
      <c r="CC2125" t="s">
        <v>464</v>
      </c>
      <c r="CD2125">
        <v>5201</v>
      </c>
      <c r="CE2125" t="s">
        <v>88</v>
      </c>
      <c r="CF2125" s="3">
        <v>45797</v>
      </c>
      <c r="CI2125">
        <v>1</v>
      </c>
      <c r="CJ2125">
        <v>1</v>
      </c>
      <c r="CK2125">
        <v>21</v>
      </c>
      <c r="CL2125" t="s">
        <v>89</v>
      </c>
    </row>
    <row r="2126" spans="1:90" x14ac:dyDescent="0.3">
      <c r="A2126" t="s">
        <v>72</v>
      </c>
      <c r="B2126" t="s">
        <v>73</v>
      </c>
      <c r="C2126" t="s">
        <v>74</v>
      </c>
      <c r="E2126" t="str">
        <f>"080065443101"</f>
        <v>080065443101</v>
      </c>
      <c r="F2126" s="3">
        <v>45796</v>
      </c>
      <c r="G2126">
        <v>202602</v>
      </c>
      <c r="H2126" t="s">
        <v>75</v>
      </c>
      <c r="I2126" t="s">
        <v>76</v>
      </c>
      <c r="J2126" t="s">
        <v>77</v>
      </c>
      <c r="K2126" t="s">
        <v>78</v>
      </c>
      <c r="L2126" t="s">
        <v>624</v>
      </c>
      <c r="M2126" t="s">
        <v>625</v>
      </c>
      <c r="N2126" t="s">
        <v>626</v>
      </c>
      <c r="O2126" t="s">
        <v>82</v>
      </c>
      <c r="P2126" t="str">
        <f>"4170039247                    "</f>
        <v xml:space="preserve">4170039247                    </v>
      </c>
      <c r="Q2126">
        <v>0</v>
      </c>
      <c r="R2126">
        <v>0</v>
      </c>
      <c r="S2126">
        <v>0</v>
      </c>
      <c r="T2126">
        <v>0</v>
      </c>
      <c r="U2126">
        <v>0</v>
      </c>
      <c r="V2126">
        <v>0</v>
      </c>
      <c r="W2126">
        <v>0</v>
      </c>
      <c r="X2126">
        <v>0</v>
      </c>
      <c r="Y2126">
        <v>0</v>
      </c>
      <c r="Z2126">
        <v>0</v>
      </c>
      <c r="AA2126">
        <v>0</v>
      </c>
      <c r="AB2126">
        <v>0</v>
      </c>
      <c r="AC2126">
        <v>0</v>
      </c>
      <c r="AD2126">
        <v>0</v>
      </c>
      <c r="AE2126">
        <v>0</v>
      </c>
      <c r="AF2126">
        <v>0</v>
      </c>
      <c r="AG2126">
        <v>0</v>
      </c>
      <c r="AH2126">
        <v>0</v>
      </c>
      <c r="AI2126">
        <v>0</v>
      </c>
      <c r="AJ2126">
        <v>0</v>
      </c>
      <c r="AK2126">
        <v>0</v>
      </c>
      <c r="AL2126">
        <v>0</v>
      </c>
      <c r="AM2126">
        <v>0</v>
      </c>
      <c r="AN2126">
        <v>0</v>
      </c>
      <c r="AO2126">
        <v>0</v>
      </c>
      <c r="AP2126">
        <v>0</v>
      </c>
      <c r="AQ2126">
        <v>41.43</v>
      </c>
      <c r="AR2126">
        <v>0</v>
      </c>
      <c r="AS2126">
        <v>0</v>
      </c>
      <c r="AT2126">
        <v>0</v>
      </c>
      <c r="AU2126">
        <v>0</v>
      </c>
      <c r="AV2126">
        <v>0</v>
      </c>
      <c r="AW2126">
        <v>0</v>
      </c>
      <c r="AX2126">
        <v>0</v>
      </c>
      <c r="AY2126">
        <v>0</v>
      </c>
      <c r="AZ2126">
        <v>0</v>
      </c>
      <c r="BA2126">
        <v>0</v>
      </c>
      <c r="BB2126">
        <v>0</v>
      </c>
      <c r="BC2126">
        <v>0</v>
      </c>
      <c r="BD2126">
        <v>0</v>
      </c>
      <c r="BE2126">
        <v>0</v>
      </c>
      <c r="BF2126">
        <v>0</v>
      </c>
      <c r="BG2126">
        <v>0</v>
      </c>
      <c r="BH2126">
        <v>1</v>
      </c>
      <c r="BI2126">
        <v>1</v>
      </c>
      <c r="BJ2126">
        <v>0.2</v>
      </c>
      <c r="BK2126">
        <v>1</v>
      </c>
      <c r="BL2126">
        <v>135.59</v>
      </c>
      <c r="BM2126">
        <v>20.34</v>
      </c>
      <c r="BN2126">
        <v>155.93</v>
      </c>
      <c r="BO2126">
        <v>155.93</v>
      </c>
      <c r="BQ2126" t="s">
        <v>627</v>
      </c>
      <c r="BR2126" t="s">
        <v>84</v>
      </c>
      <c r="BS2126" s="3">
        <v>45797</v>
      </c>
      <c r="BT2126" s="4">
        <v>0.35069444444444442</v>
      </c>
      <c r="BU2126" t="s">
        <v>628</v>
      </c>
      <c r="BV2126" t="s">
        <v>86</v>
      </c>
      <c r="BY2126">
        <v>1200</v>
      </c>
      <c r="CA2126" t="s">
        <v>629</v>
      </c>
      <c r="CC2126" t="s">
        <v>625</v>
      </c>
      <c r="CD2126">
        <v>1947</v>
      </c>
      <c r="CE2126" t="s">
        <v>88</v>
      </c>
      <c r="CF2126" s="3">
        <v>45797</v>
      </c>
      <c r="CI2126">
        <v>1</v>
      </c>
      <c r="CJ2126">
        <v>1</v>
      </c>
      <c r="CK2126">
        <v>23</v>
      </c>
      <c r="CL2126" t="s">
        <v>89</v>
      </c>
    </row>
    <row r="2127" spans="1:90" x14ac:dyDescent="0.3">
      <c r="A2127" t="s">
        <v>72</v>
      </c>
      <c r="B2127" t="s">
        <v>73</v>
      </c>
      <c r="C2127" t="s">
        <v>74</v>
      </c>
      <c r="E2127" t="str">
        <f>"080065443129"</f>
        <v>080065443129</v>
      </c>
      <c r="F2127" s="3">
        <v>45796</v>
      </c>
      <c r="G2127">
        <v>202602</v>
      </c>
      <c r="H2127" t="s">
        <v>75</v>
      </c>
      <c r="I2127" t="s">
        <v>76</v>
      </c>
      <c r="J2127" t="s">
        <v>77</v>
      </c>
      <c r="K2127" t="s">
        <v>78</v>
      </c>
      <c r="L2127" t="s">
        <v>143</v>
      </c>
      <c r="M2127" t="s">
        <v>144</v>
      </c>
      <c r="N2127" t="s">
        <v>1118</v>
      </c>
      <c r="O2127" t="s">
        <v>82</v>
      </c>
      <c r="P2127" t="str">
        <f>"4170039151                    "</f>
        <v xml:space="preserve">4170039151                    </v>
      </c>
      <c r="Q2127">
        <v>0</v>
      </c>
      <c r="R2127">
        <v>0</v>
      </c>
      <c r="S2127">
        <v>0</v>
      </c>
      <c r="T2127">
        <v>0</v>
      </c>
      <c r="U2127">
        <v>0</v>
      </c>
      <c r="V2127">
        <v>0</v>
      </c>
      <c r="W2127">
        <v>0</v>
      </c>
      <c r="X2127">
        <v>0</v>
      </c>
      <c r="Y2127">
        <v>0</v>
      </c>
      <c r="Z2127">
        <v>0</v>
      </c>
      <c r="AA2127">
        <v>0</v>
      </c>
      <c r="AB2127">
        <v>0</v>
      </c>
      <c r="AC2127">
        <v>0</v>
      </c>
      <c r="AD2127">
        <v>0</v>
      </c>
      <c r="AE2127">
        <v>0</v>
      </c>
      <c r="AF2127">
        <v>0</v>
      </c>
      <c r="AG2127">
        <v>0</v>
      </c>
      <c r="AH2127">
        <v>0</v>
      </c>
      <c r="AI2127">
        <v>0</v>
      </c>
      <c r="AJ2127">
        <v>0</v>
      </c>
      <c r="AK2127">
        <v>0</v>
      </c>
      <c r="AL2127">
        <v>0</v>
      </c>
      <c r="AM2127">
        <v>0</v>
      </c>
      <c r="AN2127">
        <v>0</v>
      </c>
      <c r="AO2127">
        <v>0</v>
      </c>
      <c r="AP2127">
        <v>0</v>
      </c>
      <c r="AQ2127">
        <v>16.7</v>
      </c>
      <c r="AR2127">
        <v>0</v>
      </c>
      <c r="AS2127">
        <v>0</v>
      </c>
      <c r="AT2127">
        <v>0</v>
      </c>
      <c r="AU2127">
        <v>0</v>
      </c>
      <c r="AV2127">
        <v>0</v>
      </c>
      <c r="AW2127">
        <v>0</v>
      </c>
      <c r="AX2127">
        <v>0</v>
      </c>
      <c r="AY2127">
        <v>0</v>
      </c>
      <c r="AZ2127">
        <v>0</v>
      </c>
      <c r="BA2127">
        <v>0</v>
      </c>
      <c r="BB2127">
        <v>0</v>
      </c>
      <c r="BC2127">
        <v>0</v>
      </c>
      <c r="BD2127">
        <v>0</v>
      </c>
      <c r="BE2127">
        <v>0</v>
      </c>
      <c r="BF2127">
        <v>0</v>
      </c>
      <c r="BG2127">
        <v>0</v>
      </c>
      <c r="BH2127">
        <v>1</v>
      </c>
      <c r="BI2127">
        <v>2</v>
      </c>
      <c r="BJ2127">
        <v>1.4</v>
      </c>
      <c r="BK2127">
        <v>2</v>
      </c>
      <c r="BL2127">
        <v>54.66</v>
      </c>
      <c r="BM2127">
        <v>8.1999999999999993</v>
      </c>
      <c r="BN2127">
        <v>62.86</v>
      </c>
      <c r="BO2127">
        <v>62.86</v>
      </c>
      <c r="BQ2127" t="s">
        <v>1119</v>
      </c>
      <c r="BR2127" t="s">
        <v>84</v>
      </c>
      <c r="BS2127" s="3">
        <v>45797</v>
      </c>
      <c r="BT2127" s="4">
        <v>0.36458333333333331</v>
      </c>
      <c r="BU2127" t="s">
        <v>2157</v>
      </c>
      <c r="BV2127" t="s">
        <v>86</v>
      </c>
      <c r="BY2127">
        <v>7000</v>
      </c>
      <c r="CA2127" t="s">
        <v>765</v>
      </c>
      <c r="CC2127" t="s">
        <v>144</v>
      </c>
      <c r="CD2127">
        <v>1422</v>
      </c>
      <c r="CE2127" t="s">
        <v>96</v>
      </c>
      <c r="CF2127" s="3">
        <v>45798</v>
      </c>
      <c r="CI2127">
        <v>1</v>
      </c>
      <c r="CJ2127">
        <v>1</v>
      </c>
      <c r="CK2127">
        <v>22</v>
      </c>
      <c r="CL2127" t="s">
        <v>89</v>
      </c>
    </row>
    <row r="2128" spans="1:90" x14ac:dyDescent="0.3">
      <c r="A2128" t="s">
        <v>72</v>
      </c>
      <c r="B2128" t="s">
        <v>73</v>
      </c>
      <c r="C2128" t="s">
        <v>74</v>
      </c>
      <c r="E2128" t="str">
        <f>"080065443141"</f>
        <v>080065443141</v>
      </c>
      <c r="F2128" s="3">
        <v>45796</v>
      </c>
      <c r="G2128">
        <v>202602</v>
      </c>
      <c r="H2128" t="s">
        <v>75</v>
      </c>
      <c r="I2128" t="s">
        <v>76</v>
      </c>
      <c r="J2128" t="s">
        <v>77</v>
      </c>
      <c r="K2128" t="s">
        <v>78</v>
      </c>
      <c r="L2128" t="s">
        <v>130</v>
      </c>
      <c r="M2128" t="s">
        <v>131</v>
      </c>
      <c r="N2128" t="s">
        <v>239</v>
      </c>
      <c r="O2128" t="s">
        <v>82</v>
      </c>
      <c r="P2128" t="str">
        <f>"4170039211                    "</f>
        <v xml:space="preserve">4170039211                    </v>
      </c>
      <c r="Q2128">
        <v>0</v>
      </c>
      <c r="R2128">
        <v>0</v>
      </c>
      <c r="S2128">
        <v>0</v>
      </c>
      <c r="T2128">
        <v>0</v>
      </c>
      <c r="U2128">
        <v>0</v>
      </c>
      <c r="V2128">
        <v>0</v>
      </c>
      <c r="W2128">
        <v>0</v>
      </c>
      <c r="X2128">
        <v>0</v>
      </c>
      <c r="Y2128">
        <v>0</v>
      </c>
      <c r="Z2128">
        <v>0</v>
      </c>
      <c r="AA2128">
        <v>0</v>
      </c>
      <c r="AB2128">
        <v>0</v>
      </c>
      <c r="AC2128">
        <v>0</v>
      </c>
      <c r="AD2128">
        <v>0</v>
      </c>
      <c r="AE2128">
        <v>0</v>
      </c>
      <c r="AF2128">
        <v>0</v>
      </c>
      <c r="AG2128">
        <v>0</v>
      </c>
      <c r="AH2128">
        <v>0</v>
      </c>
      <c r="AI2128">
        <v>0</v>
      </c>
      <c r="AJ2128">
        <v>0</v>
      </c>
      <c r="AK2128">
        <v>0</v>
      </c>
      <c r="AL2128">
        <v>0</v>
      </c>
      <c r="AM2128">
        <v>0</v>
      </c>
      <c r="AN2128">
        <v>0</v>
      </c>
      <c r="AO2128">
        <v>0</v>
      </c>
      <c r="AP2128">
        <v>0</v>
      </c>
      <c r="AQ2128">
        <v>21.38</v>
      </c>
      <c r="AR2128">
        <v>0</v>
      </c>
      <c r="AS2128">
        <v>0</v>
      </c>
      <c r="AT2128">
        <v>0</v>
      </c>
      <c r="AU2128">
        <v>0</v>
      </c>
      <c r="AV2128">
        <v>0</v>
      </c>
      <c r="AW2128">
        <v>0</v>
      </c>
      <c r="AX2128">
        <v>0</v>
      </c>
      <c r="AY2128">
        <v>0</v>
      </c>
      <c r="AZ2128">
        <v>0</v>
      </c>
      <c r="BA2128">
        <v>0</v>
      </c>
      <c r="BB2128">
        <v>0</v>
      </c>
      <c r="BC2128">
        <v>0</v>
      </c>
      <c r="BD2128">
        <v>0</v>
      </c>
      <c r="BE2128">
        <v>0</v>
      </c>
      <c r="BF2128">
        <v>0</v>
      </c>
      <c r="BG2128">
        <v>0</v>
      </c>
      <c r="BH2128">
        <v>1</v>
      </c>
      <c r="BI2128">
        <v>1</v>
      </c>
      <c r="BJ2128">
        <v>0.2</v>
      </c>
      <c r="BK2128">
        <v>1</v>
      </c>
      <c r="BL2128">
        <v>69.98</v>
      </c>
      <c r="BM2128">
        <v>10.5</v>
      </c>
      <c r="BN2128">
        <v>80.48</v>
      </c>
      <c r="BO2128">
        <v>80.48</v>
      </c>
      <c r="BQ2128" t="s">
        <v>240</v>
      </c>
      <c r="BR2128" t="s">
        <v>84</v>
      </c>
      <c r="BS2128" s="3">
        <v>45797</v>
      </c>
      <c r="BT2128" s="4">
        <v>0.3611111111111111</v>
      </c>
      <c r="BU2128" t="s">
        <v>2541</v>
      </c>
      <c r="BV2128" t="s">
        <v>86</v>
      </c>
      <c r="BY2128">
        <v>1200</v>
      </c>
      <c r="CA2128" t="s">
        <v>1634</v>
      </c>
      <c r="CC2128" t="s">
        <v>131</v>
      </c>
      <c r="CD2128">
        <v>7441</v>
      </c>
      <c r="CE2128" t="s">
        <v>88</v>
      </c>
      <c r="CF2128" s="3">
        <v>45798</v>
      </c>
      <c r="CI2128">
        <v>1</v>
      </c>
      <c r="CJ2128">
        <v>1</v>
      </c>
      <c r="CK2128">
        <v>21</v>
      </c>
      <c r="CL2128" t="s">
        <v>89</v>
      </c>
    </row>
    <row r="2129" spans="1:90" x14ac:dyDescent="0.3">
      <c r="A2129" t="s">
        <v>72</v>
      </c>
      <c r="B2129" t="s">
        <v>73</v>
      </c>
      <c r="C2129" t="s">
        <v>74</v>
      </c>
      <c r="E2129" t="str">
        <f>"080065443177"</f>
        <v>080065443177</v>
      </c>
      <c r="F2129" s="3">
        <v>45796</v>
      </c>
      <c r="G2129">
        <v>202602</v>
      </c>
      <c r="H2129" t="s">
        <v>75</v>
      </c>
      <c r="I2129" t="s">
        <v>76</v>
      </c>
      <c r="J2129" t="s">
        <v>77</v>
      </c>
      <c r="K2129" t="s">
        <v>78</v>
      </c>
      <c r="L2129" t="s">
        <v>672</v>
      </c>
      <c r="M2129" t="s">
        <v>673</v>
      </c>
      <c r="N2129" t="s">
        <v>674</v>
      </c>
      <c r="O2129" t="s">
        <v>82</v>
      </c>
      <c r="P2129" t="str">
        <f>"4170039191                    "</f>
        <v xml:space="preserve">4170039191                    </v>
      </c>
      <c r="Q2129">
        <v>0</v>
      </c>
      <c r="R2129">
        <v>0</v>
      </c>
      <c r="S2129">
        <v>0</v>
      </c>
      <c r="T2129">
        <v>0</v>
      </c>
      <c r="U2129">
        <v>0</v>
      </c>
      <c r="V2129">
        <v>0</v>
      </c>
      <c r="W2129">
        <v>0</v>
      </c>
      <c r="X2129">
        <v>0</v>
      </c>
      <c r="Y2129">
        <v>0</v>
      </c>
      <c r="Z2129">
        <v>0</v>
      </c>
      <c r="AA2129">
        <v>0</v>
      </c>
      <c r="AB2129">
        <v>0</v>
      </c>
      <c r="AC2129">
        <v>0</v>
      </c>
      <c r="AD2129">
        <v>0</v>
      </c>
      <c r="AE2129">
        <v>0</v>
      </c>
      <c r="AF2129">
        <v>0</v>
      </c>
      <c r="AG2129">
        <v>0</v>
      </c>
      <c r="AH2129">
        <v>0</v>
      </c>
      <c r="AI2129">
        <v>0</v>
      </c>
      <c r="AJ2129">
        <v>0</v>
      </c>
      <c r="AK2129">
        <v>0</v>
      </c>
      <c r="AL2129">
        <v>0</v>
      </c>
      <c r="AM2129">
        <v>0</v>
      </c>
      <c r="AN2129">
        <v>0</v>
      </c>
      <c r="AO2129">
        <v>0</v>
      </c>
      <c r="AP2129">
        <v>0</v>
      </c>
      <c r="AQ2129">
        <v>97.56</v>
      </c>
      <c r="AR2129">
        <v>0</v>
      </c>
      <c r="AS2129">
        <v>0</v>
      </c>
      <c r="AT2129">
        <v>0</v>
      </c>
      <c r="AU2129">
        <v>0</v>
      </c>
      <c r="AV2129">
        <v>0</v>
      </c>
      <c r="AW2129">
        <v>0</v>
      </c>
      <c r="AX2129">
        <v>0</v>
      </c>
      <c r="AY2129">
        <v>0</v>
      </c>
      <c r="AZ2129">
        <v>0</v>
      </c>
      <c r="BA2129">
        <v>0</v>
      </c>
      <c r="BB2129">
        <v>0</v>
      </c>
      <c r="BC2129">
        <v>0</v>
      </c>
      <c r="BD2129">
        <v>0</v>
      </c>
      <c r="BE2129">
        <v>0</v>
      </c>
      <c r="BF2129">
        <v>0</v>
      </c>
      <c r="BG2129">
        <v>0</v>
      </c>
      <c r="BH2129">
        <v>1</v>
      </c>
      <c r="BI2129">
        <v>5</v>
      </c>
      <c r="BJ2129">
        <v>2.2000000000000002</v>
      </c>
      <c r="BK2129">
        <v>5</v>
      </c>
      <c r="BL2129">
        <v>319.27999999999997</v>
      </c>
      <c r="BM2129">
        <v>47.89</v>
      </c>
      <c r="BN2129">
        <v>367.17</v>
      </c>
      <c r="BO2129">
        <v>367.17</v>
      </c>
      <c r="BQ2129" t="s">
        <v>675</v>
      </c>
      <c r="BR2129" t="s">
        <v>84</v>
      </c>
      <c r="BS2129" s="3">
        <v>45797</v>
      </c>
      <c r="BT2129" s="4">
        <v>0.46875</v>
      </c>
      <c r="BU2129" t="s">
        <v>2531</v>
      </c>
      <c r="BV2129" t="s">
        <v>86</v>
      </c>
      <c r="BY2129">
        <v>11172</v>
      </c>
      <c r="CA2129" t="s">
        <v>677</v>
      </c>
      <c r="CC2129" t="s">
        <v>673</v>
      </c>
      <c r="CD2129">
        <v>2531</v>
      </c>
      <c r="CE2129" t="s">
        <v>221</v>
      </c>
      <c r="CF2129" s="3">
        <v>45798</v>
      </c>
      <c r="CI2129">
        <v>1</v>
      </c>
      <c r="CJ2129">
        <v>1</v>
      </c>
      <c r="CK2129">
        <v>23</v>
      </c>
      <c r="CL2129" t="s">
        <v>89</v>
      </c>
    </row>
    <row r="2130" spans="1:90" x14ac:dyDescent="0.3">
      <c r="A2130" t="s">
        <v>72</v>
      </c>
      <c r="B2130" t="s">
        <v>73</v>
      </c>
      <c r="C2130" t="s">
        <v>74</v>
      </c>
      <c r="E2130" t="str">
        <f>"080065443184"</f>
        <v>080065443184</v>
      </c>
      <c r="F2130" s="3">
        <v>45796</v>
      </c>
      <c r="G2130">
        <v>202602</v>
      </c>
      <c r="H2130" t="s">
        <v>75</v>
      </c>
      <c r="I2130" t="s">
        <v>76</v>
      </c>
      <c r="J2130" t="s">
        <v>77</v>
      </c>
      <c r="K2130" t="s">
        <v>78</v>
      </c>
      <c r="L2130" t="s">
        <v>844</v>
      </c>
      <c r="M2130" t="s">
        <v>845</v>
      </c>
      <c r="N2130" t="s">
        <v>846</v>
      </c>
      <c r="O2130" t="s">
        <v>82</v>
      </c>
      <c r="P2130" t="str">
        <f>"4170039417                    "</f>
        <v xml:space="preserve">4170039417                    </v>
      </c>
      <c r="Q2130">
        <v>0</v>
      </c>
      <c r="R2130">
        <v>0</v>
      </c>
      <c r="S2130">
        <v>0</v>
      </c>
      <c r="T2130">
        <v>0</v>
      </c>
      <c r="U2130">
        <v>0</v>
      </c>
      <c r="V2130">
        <v>0</v>
      </c>
      <c r="W2130">
        <v>0</v>
      </c>
      <c r="X2130">
        <v>0</v>
      </c>
      <c r="Y2130">
        <v>0</v>
      </c>
      <c r="Z2130">
        <v>0</v>
      </c>
      <c r="AA2130">
        <v>0</v>
      </c>
      <c r="AB2130">
        <v>0</v>
      </c>
      <c r="AC2130">
        <v>0</v>
      </c>
      <c r="AD2130">
        <v>0</v>
      </c>
      <c r="AE2130">
        <v>0</v>
      </c>
      <c r="AF2130">
        <v>0</v>
      </c>
      <c r="AG2130">
        <v>0</v>
      </c>
      <c r="AH2130">
        <v>0</v>
      </c>
      <c r="AI2130">
        <v>0</v>
      </c>
      <c r="AJ2130">
        <v>0</v>
      </c>
      <c r="AK2130">
        <v>0</v>
      </c>
      <c r="AL2130">
        <v>0</v>
      </c>
      <c r="AM2130">
        <v>0</v>
      </c>
      <c r="AN2130">
        <v>0</v>
      </c>
      <c r="AO2130">
        <v>0</v>
      </c>
      <c r="AP2130">
        <v>0</v>
      </c>
      <c r="AQ2130">
        <v>21.38</v>
      </c>
      <c r="AR2130">
        <v>0</v>
      </c>
      <c r="AS2130">
        <v>0</v>
      </c>
      <c r="AT2130">
        <v>0</v>
      </c>
      <c r="AU2130">
        <v>0</v>
      </c>
      <c r="AV2130">
        <v>0</v>
      </c>
      <c r="AW2130">
        <v>0</v>
      </c>
      <c r="AX2130">
        <v>0</v>
      </c>
      <c r="AY2130">
        <v>0</v>
      </c>
      <c r="AZ2130">
        <v>0</v>
      </c>
      <c r="BA2130">
        <v>0</v>
      </c>
      <c r="BB2130">
        <v>0</v>
      </c>
      <c r="BC2130">
        <v>0</v>
      </c>
      <c r="BD2130">
        <v>0</v>
      </c>
      <c r="BE2130">
        <v>0</v>
      </c>
      <c r="BF2130">
        <v>0</v>
      </c>
      <c r="BG2130">
        <v>0</v>
      </c>
      <c r="BH2130">
        <v>1</v>
      </c>
      <c r="BI2130">
        <v>1</v>
      </c>
      <c r="BJ2130">
        <v>0.2</v>
      </c>
      <c r="BK2130">
        <v>1</v>
      </c>
      <c r="BL2130">
        <v>69.98</v>
      </c>
      <c r="BM2130">
        <v>10.5</v>
      </c>
      <c r="BN2130">
        <v>80.48</v>
      </c>
      <c r="BO2130">
        <v>80.48</v>
      </c>
      <c r="BQ2130" t="s">
        <v>847</v>
      </c>
      <c r="BR2130" t="s">
        <v>84</v>
      </c>
      <c r="BS2130" s="3">
        <v>45797</v>
      </c>
      <c r="BT2130" s="4">
        <v>0.3576388888888889</v>
      </c>
      <c r="BU2130" t="s">
        <v>1058</v>
      </c>
      <c r="BV2130" t="s">
        <v>86</v>
      </c>
      <c r="BY2130">
        <v>1200</v>
      </c>
      <c r="CA2130" t="s">
        <v>849</v>
      </c>
      <c r="CC2130" t="s">
        <v>845</v>
      </c>
      <c r="CD2130">
        <v>7600</v>
      </c>
      <c r="CE2130" t="s">
        <v>88</v>
      </c>
      <c r="CF2130" s="3">
        <v>45798</v>
      </c>
      <c r="CI2130">
        <v>1</v>
      </c>
      <c r="CJ2130">
        <v>1</v>
      </c>
      <c r="CK2130">
        <v>21</v>
      </c>
      <c r="CL2130" t="s">
        <v>89</v>
      </c>
    </row>
    <row r="2131" spans="1:90" x14ac:dyDescent="0.3">
      <c r="A2131" t="s">
        <v>72</v>
      </c>
      <c r="B2131" t="s">
        <v>73</v>
      </c>
      <c r="C2131" t="s">
        <v>74</v>
      </c>
      <c r="E2131" t="str">
        <f>"080065443242"</f>
        <v>080065443242</v>
      </c>
      <c r="F2131" s="3">
        <v>45796</v>
      </c>
      <c r="G2131">
        <v>202602</v>
      </c>
      <c r="H2131" t="s">
        <v>75</v>
      </c>
      <c r="I2131" t="s">
        <v>76</v>
      </c>
      <c r="J2131" t="s">
        <v>77</v>
      </c>
      <c r="K2131" t="s">
        <v>78</v>
      </c>
      <c r="L2131" t="s">
        <v>117</v>
      </c>
      <c r="M2131" t="s">
        <v>118</v>
      </c>
      <c r="N2131" t="s">
        <v>304</v>
      </c>
      <c r="O2131" t="s">
        <v>82</v>
      </c>
      <c r="P2131" t="str">
        <f>"4170039156                    "</f>
        <v xml:space="preserve">4170039156                    </v>
      </c>
      <c r="Q2131">
        <v>0</v>
      </c>
      <c r="R2131">
        <v>0</v>
      </c>
      <c r="S2131">
        <v>0</v>
      </c>
      <c r="T2131">
        <v>0</v>
      </c>
      <c r="U2131">
        <v>0</v>
      </c>
      <c r="V2131">
        <v>0</v>
      </c>
      <c r="W2131">
        <v>0</v>
      </c>
      <c r="X2131">
        <v>0</v>
      </c>
      <c r="Y2131">
        <v>0</v>
      </c>
      <c r="Z2131">
        <v>0</v>
      </c>
      <c r="AA2131">
        <v>0</v>
      </c>
      <c r="AB2131">
        <v>0</v>
      </c>
      <c r="AC2131">
        <v>0</v>
      </c>
      <c r="AD2131">
        <v>0</v>
      </c>
      <c r="AE2131">
        <v>0</v>
      </c>
      <c r="AF2131">
        <v>0</v>
      </c>
      <c r="AG2131">
        <v>0</v>
      </c>
      <c r="AH2131">
        <v>0</v>
      </c>
      <c r="AI2131">
        <v>0</v>
      </c>
      <c r="AJ2131">
        <v>0</v>
      </c>
      <c r="AK2131">
        <v>0</v>
      </c>
      <c r="AL2131">
        <v>0</v>
      </c>
      <c r="AM2131">
        <v>0</v>
      </c>
      <c r="AN2131">
        <v>0</v>
      </c>
      <c r="AO2131">
        <v>0</v>
      </c>
      <c r="AP2131">
        <v>0</v>
      </c>
      <c r="AQ2131">
        <v>16.7</v>
      </c>
      <c r="AR2131">
        <v>0</v>
      </c>
      <c r="AS2131">
        <v>0</v>
      </c>
      <c r="AT2131">
        <v>0</v>
      </c>
      <c r="AU2131">
        <v>0</v>
      </c>
      <c r="AV2131">
        <v>0</v>
      </c>
      <c r="AW2131">
        <v>0</v>
      </c>
      <c r="AX2131">
        <v>0</v>
      </c>
      <c r="AY2131">
        <v>0</v>
      </c>
      <c r="AZ2131">
        <v>0</v>
      </c>
      <c r="BA2131">
        <v>0</v>
      </c>
      <c r="BB2131">
        <v>0</v>
      </c>
      <c r="BC2131">
        <v>0</v>
      </c>
      <c r="BD2131">
        <v>0</v>
      </c>
      <c r="BE2131">
        <v>0</v>
      </c>
      <c r="BF2131">
        <v>0</v>
      </c>
      <c r="BG2131">
        <v>0</v>
      </c>
      <c r="BH2131">
        <v>1</v>
      </c>
      <c r="BI2131">
        <v>2</v>
      </c>
      <c r="BJ2131">
        <v>0.7</v>
      </c>
      <c r="BK2131">
        <v>2</v>
      </c>
      <c r="BL2131">
        <v>54.66</v>
      </c>
      <c r="BM2131">
        <v>8.1999999999999993</v>
      </c>
      <c r="BN2131">
        <v>62.86</v>
      </c>
      <c r="BO2131">
        <v>62.86</v>
      </c>
      <c r="BQ2131" t="s">
        <v>305</v>
      </c>
      <c r="BR2131" t="s">
        <v>84</v>
      </c>
      <c r="BS2131" s="3">
        <v>45797</v>
      </c>
      <c r="BT2131" s="4">
        <v>0.36458333333333331</v>
      </c>
      <c r="BU2131" t="s">
        <v>1827</v>
      </c>
      <c r="BV2131" t="s">
        <v>86</v>
      </c>
      <c r="BY2131">
        <v>3360</v>
      </c>
      <c r="CA2131" t="s">
        <v>275</v>
      </c>
      <c r="CC2131" t="s">
        <v>118</v>
      </c>
      <c r="CD2131">
        <v>2190</v>
      </c>
      <c r="CE2131" t="s">
        <v>221</v>
      </c>
      <c r="CF2131" s="3">
        <v>45797</v>
      </c>
      <c r="CI2131">
        <v>1</v>
      </c>
      <c r="CJ2131">
        <v>1</v>
      </c>
      <c r="CK2131">
        <v>22</v>
      </c>
      <c r="CL2131" t="s">
        <v>89</v>
      </c>
    </row>
    <row r="2132" spans="1:90" x14ac:dyDescent="0.3">
      <c r="A2132" t="s">
        <v>72</v>
      </c>
      <c r="B2132" t="s">
        <v>73</v>
      </c>
      <c r="C2132" t="s">
        <v>74</v>
      </c>
      <c r="E2132" t="str">
        <f>"080065443265"</f>
        <v>080065443265</v>
      </c>
      <c r="F2132" s="3">
        <v>45796</v>
      </c>
      <c r="G2132">
        <v>202602</v>
      </c>
      <c r="H2132" t="s">
        <v>75</v>
      </c>
      <c r="I2132" t="s">
        <v>76</v>
      </c>
      <c r="J2132" t="s">
        <v>77</v>
      </c>
      <c r="K2132" t="s">
        <v>78</v>
      </c>
      <c r="L2132" t="s">
        <v>463</v>
      </c>
      <c r="M2132" t="s">
        <v>464</v>
      </c>
      <c r="N2132" t="s">
        <v>1325</v>
      </c>
      <c r="O2132" t="s">
        <v>82</v>
      </c>
      <c r="P2132" t="str">
        <f>"4170039416                    "</f>
        <v xml:space="preserve">4170039416                    </v>
      </c>
      <c r="Q2132">
        <v>0</v>
      </c>
      <c r="R2132">
        <v>0</v>
      </c>
      <c r="S2132">
        <v>0</v>
      </c>
      <c r="T2132">
        <v>0</v>
      </c>
      <c r="U2132">
        <v>0</v>
      </c>
      <c r="V2132">
        <v>0</v>
      </c>
      <c r="W2132">
        <v>0</v>
      </c>
      <c r="X2132">
        <v>0</v>
      </c>
      <c r="Y2132">
        <v>0</v>
      </c>
      <c r="Z2132">
        <v>0</v>
      </c>
      <c r="AA2132">
        <v>0</v>
      </c>
      <c r="AB2132">
        <v>0</v>
      </c>
      <c r="AC2132">
        <v>0</v>
      </c>
      <c r="AD2132">
        <v>0</v>
      </c>
      <c r="AE2132">
        <v>0</v>
      </c>
      <c r="AF2132">
        <v>0</v>
      </c>
      <c r="AG2132">
        <v>0</v>
      </c>
      <c r="AH2132">
        <v>0</v>
      </c>
      <c r="AI2132">
        <v>0</v>
      </c>
      <c r="AJ2132">
        <v>0</v>
      </c>
      <c r="AK2132">
        <v>0</v>
      </c>
      <c r="AL2132">
        <v>0</v>
      </c>
      <c r="AM2132">
        <v>0</v>
      </c>
      <c r="AN2132">
        <v>0</v>
      </c>
      <c r="AO2132">
        <v>0</v>
      </c>
      <c r="AP2132">
        <v>0</v>
      </c>
      <c r="AQ2132">
        <v>21.38</v>
      </c>
      <c r="AR2132">
        <v>0</v>
      </c>
      <c r="AS2132">
        <v>0</v>
      </c>
      <c r="AT2132">
        <v>0</v>
      </c>
      <c r="AU2132">
        <v>0</v>
      </c>
      <c r="AV2132">
        <v>0</v>
      </c>
      <c r="AW2132">
        <v>0</v>
      </c>
      <c r="AX2132">
        <v>0</v>
      </c>
      <c r="AY2132">
        <v>0</v>
      </c>
      <c r="AZ2132">
        <v>0</v>
      </c>
      <c r="BA2132">
        <v>0</v>
      </c>
      <c r="BB2132">
        <v>0</v>
      </c>
      <c r="BC2132">
        <v>0</v>
      </c>
      <c r="BD2132">
        <v>0</v>
      </c>
      <c r="BE2132">
        <v>0</v>
      </c>
      <c r="BF2132">
        <v>0</v>
      </c>
      <c r="BG2132">
        <v>0</v>
      </c>
      <c r="BH2132">
        <v>1</v>
      </c>
      <c r="BI2132">
        <v>1</v>
      </c>
      <c r="BJ2132">
        <v>0.2</v>
      </c>
      <c r="BK2132">
        <v>1</v>
      </c>
      <c r="BL2132">
        <v>69.98</v>
      </c>
      <c r="BM2132">
        <v>10.5</v>
      </c>
      <c r="BN2132">
        <v>80.48</v>
      </c>
      <c r="BO2132">
        <v>80.48</v>
      </c>
      <c r="BQ2132" t="s">
        <v>1326</v>
      </c>
      <c r="BR2132" t="s">
        <v>84</v>
      </c>
      <c r="BS2132" s="3">
        <v>45797</v>
      </c>
      <c r="BT2132" s="4">
        <v>0.52430555555555558</v>
      </c>
      <c r="BU2132" t="s">
        <v>2500</v>
      </c>
      <c r="BV2132" t="s">
        <v>86</v>
      </c>
      <c r="BY2132">
        <v>1200</v>
      </c>
      <c r="CA2132" t="s">
        <v>468</v>
      </c>
      <c r="CC2132" t="s">
        <v>464</v>
      </c>
      <c r="CD2132">
        <v>5201</v>
      </c>
      <c r="CE2132" t="s">
        <v>88</v>
      </c>
      <c r="CF2132" s="3">
        <v>45797</v>
      </c>
      <c r="CI2132">
        <v>5</v>
      </c>
      <c r="CJ2132">
        <v>1</v>
      </c>
      <c r="CK2132">
        <v>21</v>
      </c>
      <c r="CL2132" t="s">
        <v>89</v>
      </c>
    </row>
    <row r="2133" spans="1:90" x14ac:dyDescent="0.3">
      <c r="A2133" t="s">
        <v>72</v>
      </c>
      <c r="B2133" t="s">
        <v>73</v>
      </c>
      <c r="C2133" t="s">
        <v>74</v>
      </c>
      <c r="E2133" t="str">
        <f>"080065443302"</f>
        <v>080065443302</v>
      </c>
      <c r="F2133" s="3">
        <v>45796</v>
      </c>
      <c r="G2133">
        <v>202602</v>
      </c>
      <c r="H2133" t="s">
        <v>75</v>
      </c>
      <c r="I2133" t="s">
        <v>76</v>
      </c>
      <c r="J2133" t="s">
        <v>77</v>
      </c>
      <c r="K2133" t="s">
        <v>78</v>
      </c>
      <c r="L2133" t="s">
        <v>130</v>
      </c>
      <c r="M2133" t="s">
        <v>131</v>
      </c>
      <c r="N2133" t="s">
        <v>343</v>
      </c>
      <c r="O2133" t="s">
        <v>82</v>
      </c>
      <c r="P2133" t="str">
        <f>"4170039136                    "</f>
        <v xml:space="preserve">4170039136                    </v>
      </c>
      <c r="Q2133">
        <v>0</v>
      </c>
      <c r="R2133">
        <v>0</v>
      </c>
      <c r="S2133">
        <v>0</v>
      </c>
      <c r="T2133">
        <v>0</v>
      </c>
      <c r="U2133">
        <v>0</v>
      </c>
      <c r="V2133">
        <v>0</v>
      </c>
      <c r="W2133">
        <v>0</v>
      </c>
      <c r="X2133">
        <v>0</v>
      </c>
      <c r="Y2133">
        <v>0</v>
      </c>
      <c r="Z2133">
        <v>0</v>
      </c>
      <c r="AA2133">
        <v>0</v>
      </c>
      <c r="AB2133">
        <v>0</v>
      </c>
      <c r="AC2133">
        <v>0</v>
      </c>
      <c r="AD2133">
        <v>0</v>
      </c>
      <c r="AE2133">
        <v>0</v>
      </c>
      <c r="AF2133">
        <v>0</v>
      </c>
      <c r="AG2133">
        <v>0</v>
      </c>
      <c r="AH2133">
        <v>0</v>
      </c>
      <c r="AI2133">
        <v>0</v>
      </c>
      <c r="AJ2133">
        <v>0</v>
      </c>
      <c r="AK2133">
        <v>0</v>
      </c>
      <c r="AL2133">
        <v>0</v>
      </c>
      <c r="AM2133">
        <v>0</v>
      </c>
      <c r="AN2133">
        <v>0</v>
      </c>
      <c r="AO2133">
        <v>0</v>
      </c>
      <c r="AP2133">
        <v>0</v>
      </c>
      <c r="AQ2133">
        <v>21.38</v>
      </c>
      <c r="AR2133">
        <v>0</v>
      </c>
      <c r="AS2133">
        <v>0</v>
      </c>
      <c r="AT2133">
        <v>0</v>
      </c>
      <c r="AU2133">
        <v>0</v>
      </c>
      <c r="AV2133">
        <v>0</v>
      </c>
      <c r="AW2133">
        <v>0</v>
      </c>
      <c r="AX2133">
        <v>0</v>
      </c>
      <c r="AY2133">
        <v>0</v>
      </c>
      <c r="AZ2133">
        <v>0</v>
      </c>
      <c r="BA2133">
        <v>0</v>
      </c>
      <c r="BB2133">
        <v>0</v>
      </c>
      <c r="BC2133">
        <v>0</v>
      </c>
      <c r="BD2133">
        <v>0</v>
      </c>
      <c r="BE2133">
        <v>0</v>
      </c>
      <c r="BF2133">
        <v>0</v>
      </c>
      <c r="BG2133">
        <v>0</v>
      </c>
      <c r="BH2133">
        <v>1</v>
      </c>
      <c r="BI2133">
        <v>2</v>
      </c>
      <c r="BJ2133">
        <v>1.7</v>
      </c>
      <c r="BK2133">
        <v>2</v>
      </c>
      <c r="BL2133">
        <v>69.98</v>
      </c>
      <c r="BM2133">
        <v>10.5</v>
      </c>
      <c r="BN2133">
        <v>80.48</v>
      </c>
      <c r="BO2133">
        <v>80.48</v>
      </c>
      <c r="BQ2133" t="s">
        <v>344</v>
      </c>
      <c r="BR2133" t="s">
        <v>84</v>
      </c>
      <c r="BS2133" s="3">
        <v>45797</v>
      </c>
      <c r="BT2133" s="4">
        <v>0.40625</v>
      </c>
      <c r="BU2133" t="s">
        <v>1427</v>
      </c>
      <c r="BV2133" t="s">
        <v>86</v>
      </c>
      <c r="BY2133">
        <v>8512</v>
      </c>
      <c r="CA2133" t="s">
        <v>242</v>
      </c>
      <c r="CC2133" t="s">
        <v>131</v>
      </c>
      <c r="CD2133">
        <v>7441</v>
      </c>
      <c r="CE2133" t="s">
        <v>116</v>
      </c>
      <c r="CF2133" s="3">
        <v>45798</v>
      </c>
      <c r="CI2133">
        <v>1</v>
      </c>
      <c r="CJ2133">
        <v>1</v>
      </c>
      <c r="CK2133">
        <v>21</v>
      </c>
      <c r="CL2133" t="s">
        <v>89</v>
      </c>
    </row>
    <row r="2134" spans="1:90" x14ac:dyDescent="0.3">
      <c r="A2134" t="s">
        <v>72</v>
      </c>
      <c r="B2134" t="s">
        <v>73</v>
      </c>
      <c r="C2134" t="s">
        <v>74</v>
      </c>
      <c r="E2134" t="str">
        <f>"080065443349"</f>
        <v>080065443349</v>
      </c>
      <c r="F2134" s="3">
        <v>45796</v>
      </c>
      <c r="G2134">
        <v>202602</v>
      </c>
      <c r="H2134" t="s">
        <v>75</v>
      </c>
      <c r="I2134" t="s">
        <v>76</v>
      </c>
      <c r="J2134" t="s">
        <v>77</v>
      </c>
      <c r="K2134" t="s">
        <v>78</v>
      </c>
      <c r="L2134" t="s">
        <v>90</v>
      </c>
      <c r="M2134" t="s">
        <v>91</v>
      </c>
      <c r="N2134" t="s">
        <v>563</v>
      </c>
      <c r="O2134" t="s">
        <v>82</v>
      </c>
      <c r="P2134" t="str">
        <f>"4170039148                    "</f>
        <v xml:space="preserve">4170039148                    </v>
      </c>
      <c r="Q2134">
        <v>0</v>
      </c>
      <c r="R2134">
        <v>0</v>
      </c>
      <c r="S2134">
        <v>0</v>
      </c>
      <c r="T2134">
        <v>0</v>
      </c>
      <c r="U2134">
        <v>0</v>
      </c>
      <c r="V2134">
        <v>0</v>
      </c>
      <c r="W2134">
        <v>0</v>
      </c>
      <c r="X2134">
        <v>0</v>
      </c>
      <c r="Y2134">
        <v>0</v>
      </c>
      <c r="Z2134">
        <v>0</v>
      </c>
      <c r="AA2134">
        <v>0</v>
      </c>
      <c r="AB2134">
        <v>0</v>
      </c>
      <c r="AC2134">
        <v>0</v>
      </c>
      <c r="AD2134">
        <v>0</v>
      </c>
      <c r="AE2134">
        <v>0</v>
      </c>
      <c r="AF2134">
        <v>0</v>
      </c>
      <c r="AG2134">
        <v>0</v>
      </c>
      <c r="AH2134">
        <v>0</v>
      </c>
      <c r="AI2134">
        <v>0</v>
      </c>
      <c r="AJ2134">
        <v>0</v>
      </c>
      <c r="AK2134">
        <v>0</v>
      </c>
      <c r="AL2134">
        <v>0</v>
      </c>
      <c r="AM2134">
        <v>0</v>
      </c>
      <c r="AN2134">
        <v>0</v>
      </c>
      <c r="AO2134">
        <v>0</v>
      </c>
      <c r="AP2134">
        <v>0</v>
      </c>
      <c r="AQ2134">
        <v>21.38</v>
      </c>
      <c r="AR2134">
        <v>0</v>
      </c>
      <c r="AS2134">
        <v>0</v>
      </c>
      <c r="AT2134">
        <v>0</v>
      </c>
      <c r="AU2134">
        <v>0</v>
      </c>
      <c r="AV2134">
        <v>0</v>
      </c>
      <c r="AW2134">
        <v>0</v>
      </c>
      <c r="AX2134">
        <v>0</v>
      </c>
      <c r="AY2134">
        <v>0</v>
      </c>
      <c r="AZ2134">
        <v>0</v>
      </c>
      <c r="BA2134">
        <v>0</v>
      </c>
      <c r="BB2134">
        <v>0</v>
      </c>
      <c r="BC2134">
        <v>0</v>
      </c>
      <c r="BD2134">
        <v>0</v>
      </c>
      <c r="BE2134">
        <v>0</v>
      </c>
      <c r="BF2134">
        <v>0</v>
      </c>
      <c r="BG2134">
        <v>0</v>
      </c>
      <c r="BH2134">
        <v>1</v>
      </c>
      <c r="BI2134">
        <v>1</v>
      </c>
      <c r="BJ2134">
        <v>0.6</v>
      </c>
      <c r="BK2134">
        <v>1</v>
      </c>
      <c r="BL2134">
        <v>69.98</v>
      </c>
      <c r="BM2134">
        <v>10.5</v>
      </c>
      <c r="BN2134">
        <v>80.48</v>
      </c>
      <c r="BO2134">
        <v>80.48</v>
      </c>
      <c r="BQ2134" t="s">
        <v>564</v>
      </c>
      <c r="BR2134" t="s">
        <v>84</v>
      </c>
      <c r="BS2134" s="3">
        <v>45797</v>
      </c>
      <c r="BT2134" s="4">
        <v>0.37430555555555556</v>
      </c>
      <c r="BU2134" t="s">
        <v>2557</v>
      </c>
      <c r="BV2134" t="s">
        <v>86</v>
      </c>
      <c r="BY2134">
        <v>3192</v>
      </c>
      <c r="CA2134" t="s">
        <v>566</v>
      </c>
      <c r="CC2134" t="s">
        <v>91</v>
      </c>
      <c r="CD2134">
        <v>6001</v>
      </c>
      <c r="CE2134" t="s">
        <v>116</v>
      </c>
      <c r="CF2134" s="3">
        <v>45797</v>
      </c>
      <c r="CI2134">
        <v>1</v>
      </c>
      <c r="CJ2134">
        <v>1</v>
      </c>
      <c r="CK2134">
        <v>21</v>
      </c>
      <c r="CL2134" t="s">
        <v>89</v>
      </c>
    </row>
    <row r="2135" spans="1:90" x14ac:dyDescent="0.3">
      <c r="A2135" t="s">
        <v>72</v>
      </c>
      <c r="B2135" t="s">
        <v>73</v>
      </c>
      <c r="C2135" t="s">
        <v>74</v>
      </c>
      <c r="E2135" t="str">
        <f>"080065443401"</f>
        <v>080065443401</v>
      </c>
      <c r="F2135" s="3">
        <v>45796</v>
      </c>
      <c r="G2135">
        <v>202602</v>
      </c>
      <c r="H2135" t="s">
        <v>75</v>
      </c>
      <c r="I2135" t="s">
        <v>76</v>
      </c>
      <c r="J2135" t="s">
        <v>77</v>
      </c>
      <c r="K2135" t="s">
        <v>78</v>
      </c>
      <c r="L2135" t="s">
        <v>90</v>
      </c>
      <c r="M2135" t="s">
        <v>91</v>
      </c>
      <c r="N2135" t="s">
        <v>563</v>
      </c>
      <c r="O2135" t="s">
        <v>300</v>
      </c>
      <c r="P2135" t="str">
        <f>"4170038870                    "</f>
        <v xml:space="preserve">4170038870                    </v>
      </c>
      <c r="Q2135">
        <v>0</v>
      </c>
      <c r="R2135">
        <v>0</v>
      </c>
      <c r="S2135">
        <v>0</v>
      </c>
      <c r="T2135">
        <v>0</v>
      </c>
      <c r="U2135">
        <v>0</v>
      </c>
      <c r="V2135">
        <v>0</v>
      </c>
      <c r="W2135">
        <v>0</v>
      </c>
      <c r="X2135">
        <v>0</v>
      </c>
      <c r="Y2135">
        <v>0</v>
      </c>
      <c r="Z2135">
        <v>0</v>
      </c>
      <c r="AA2135">
        <v>0</v>
      </c>
      <c r="AB2135">
        <v>0</v>
      </c>
      <c r="AC2135">
        <v>0</v>
      </c>
      <c r="AD2135">
        <v>0</v>
      </c>
      <c r="AE2135">
        <v>0</v>
      </c>
      <c r="AF2135">
        <v>0</v>
      </c>
      <c r="AG2135">
        <v>0</v>
      </c>
      <c r="AH2135">
        <v>0</v>
      </c>
      <c r="AI2135">
        <v>0</v>
      </c>
      <c r="AJ2135">
        <v>0</v>
      </c>
      <c r="AK2135">
        <v>0</v>
      </c>
      <c r="AL2135">
        <v>0</v>
      </c>
      <c r="AM2135">
        <v>0</v>
      </c>
      <c r="AN2135">
        <v>0</v>
      </c>
      <c r="AO2135">
        <v>0</v>
      </c>
      <c r="AP2135">
        <v>0</v>
      </c>
      <c r="AQ2135">
        <v>61.84</v>
      </c>
      <c r="AR2135">
        <v>0</v>
      </c>
      <c r="AS2135">
        <v>0</v>
      </c>
      <c r="AT2135">
        <v>0</v>
      </c>
      <c r="AU2135">
        <v>0</v>
      </c>
      <c r="AV2135">
        <v>0</v>
      </c>
      <c r="AW2135">
        <v>0</v>
      </c>
      <c r="AX2135">
        <v>0</v>
      </c>
      <c r="AY2135">
        <v>0</v>
      </c>
      <c r="AZ2135">
        <v>0</v>
      </c>
      <c r="BA2135">
        <v>0</v>
      </c>
      <c r="BB2135">
        <v>0</v>
      </c>
      <c r="BC2135">
        <v>0</v>
      </c>
      <c r="BD2135">
        <v>0</v>
      </c>
      <c r="BE2135">
        <v>0</v>
      </c>
      <c r="BF2135">
        <v>0</v>
      </c>
      <c r="BG2135">
        <v>0</v>
      </c>
      <c r="BH2135">
        <v>3</v>
      </c>
      <c r="BI2135">
        <v>9</v>
      </c>
      <c r="BJ2135">
        <v>26.8</v>
      </c>
      <c r="BK2135">
        <v>27</v>
      </c>
      <c r="BL2135">
        <v>207.95</v>
      </c>
      <c r="BM2135">
        <v>31.19</v>
      </c>
      <c r="BN2135">
        <v>239.14</v>
      </c>
      <c r="BO2135">
        <v>239.14</v>
      </c>
      <c r="BQ2135" t="s">
        <v>564</v>
      </c>
      <c r="BR2135" t="s">
        <v>84</v>
      </c>
      <c r="BS2135" s="3">
        <v>45798</v>
      </c>
      <c r="BT2135" s="4">
        <v>0.35833333333333334</v>
      </c>
      <c r="BU2135" t="s">
        <v>987</v>
      </c>
      <c r="BV2135" t="s">
        <v>86</v>
      </c>
      <c r="BY2135">
        <v>44640</v>
      </c>
      <c r="CA2135" t="s">
        <v>566</v>
      </c>
      <c r="CC2135" t="s">
        <v>91</v>
      </c>
      <c r="CD2135">
        <v>6001</v>
      </c>
      <c r="CE2135" t="s">
        <v>1494</v>
      </c>
      <c r="CF2135" s="3">
        <v>45798</v>
      </c>
      <c r="CI2135">
        <v>3</v>
      </c>
      <c r="CJ2135">
        <v>2</v>
      </c>
      <c r="CK2135">
        <v>41</v>
      </c>
      <c r="CL2135" t="s">
        <v>89</v>
      </c>
    </row>
    <row r="2136" spans="1:90" x14ac:dyDescent="0.3">
      <c r="A2136" t="s">
        <v>72</v>
      </c>
      <c r="B2136" t="s">
        <v>73</v>
      </c>
      <c r="C2136" t="s">
        <v>74</v>
      </c>
      <c r="E2136" t="str">
        <f>"080065443678"</f>
        <v>080065443678</v>
      </c>
      <c r="F2136" s="3">
        <v>45796</v>
      </c>
      <c r="G2136">
        <v>202602</v>
      </c>
      <c r="H2136" t="s">
        <v>75</v>
      </c>
      <c r="I2136" t="s">
        <v>76</v>
      </c>
      <c r="J2136" t="s">
        <v>77</v>
      </c>
      <c r="K2136" t="s">
        <v>78</v>
      </c>
      <c r="L2136" t="s">
        <v>479</v>
      </c>
      <c r="M2136" t="s">
        <v>480</v>
      </c>
      <c r="N2136" t="s">
        <v>1953</v>
      </c>
      <c r="O2136" t="s">
        <v>82</v>
      </c>
      <c r="P2136" t="str">
        <f>"4170039244                    "</f>
        <v xml:space="preserve">4170039244                    </v>
      </c>
      <c r="Q2136">
        <v>0</v>
      </c>
      <c r="R2136">
        <v>0</v>
      </c>
      <c r="S2136">
        <v>0</v>
      </c>
      <c r="T2136">
        <v>0</v>
      </c>
      <c r="U2136">
        <v>0</v>
      </c>
      <c r="V2136">
        <v>0</v>
      </c>
      <c r="W2136">
        <v>0</v>
      </c>
      <c r="X2136">
        <v>0</v>
      </c>
      <c r="Y2136">
        <v>0</v>
      </c>
      <c r="Z2136">
        <v>0</v>
      </c>
      <c r="AA2136">
        <v>0</v>
      </c>
      <c r="AB2136">
        <v>0</v>
      </c>
      <c r="AC2136">
        <v>0</v>
      </c>
      <c r="AD2136">
        <v>0</v>
      </c>
      <c r="AE2136">
        <v>0</v>
      </c>
      <c r="AF2136">
        <v>0</v>
      </c>
      <c r="AG2136">
        <v>0</v>
      </c>
      <c r="AH2136">
        <v>0</v>
      </c>
      <c r="AI2136">
        <v>0</v>
      </c>
      <c r="AJ2136">
        <v>0</v>
      </c>
      <c r="AK2136">
        <v>0</v>
      </c>
      <c r="AL2136">
        <v>0</v>
      </c>
      <c r="AM2136">
        <v>0</v>
      </c>
      <c r="AN2136">
        <v>0</v>
      </c>
      <c r="AO2136">
        <v>0</v>
      </c>
      <c r="AP2136">
        <v>0</v>
      </c>
      <c r="AQ2136">
        <v>16.7</v>
      </c>
      <c r="AR2136">
        <v>0</v>
      </c>
      <c r="AS2136">
        <v>0</v>
      </c>
      <c r="AT2136">
        <v>0</v>
      </c>
      <c r="AU2136">
        <v>0</v>
      </c>
      <c r="AV2136">
        <v>0</v>
      </c>
      <c r="AW2136">
        <v>0</v>
      </c>
      <c r="AX2136">
        <v>0</v>
      </c>
      <c r="AY2136">
        <v>0</v>
      </c>
      <c r="AZ2136">
        <v>0</v>
      </c>
      <c r="BA2136">
        <v>0</v>
      </c>
      <c r="BB2136">
        <v>0</v>
      </c>
      <c r="BC2136">
        <v>0</v>
      </c>
      <c r="BD2136">
        <v>0</v>
      </c>
      <c r="BE2136">
        <v>0</v>
      </c>
      <c r="BF2136">
        <v>0</v>
      </c>
      <c r="BG2136">
        <v>0</v>
      </c>
      <c r="BH2136">
        <v>1</v>
      </c>
      <c r="BI2136">
        <v>2</v>
      </c>
      <c r="BJ2136">
        <v>5.2</v>
      </c>
      <c r="BK2136">
        <v>6</v>
      </c>
      <c r="BL2136">
        <v>54.66</v>
      </c>
      <c r="BM2136">
        <v>8.1999999999999993</v>
      </c>
      <c r="BN2136">
        <v>62.86</v>
      </c>
      <c r="BO2136">
        <v>62.86</v>
      </c>
      <c r="BQ2136" t="s">
        <v>1954</v>
      </c>
      <c r="BR2136" t="s">
        <v>84</v>
      </c>
      <c r="BS2136" s="3">
        <v>45797</v>
      </c>
      <c r="BT2136" s="4">
        <v>0.42152777777777778</v>
      </c>
      <c r="BU2136" t="s">
        <v>2566</v>
      </c>
      <c r="BV2136" t="s">
        <v>86</v>
      </c>
      <c r="BY2136">
        <v>26013</v>
      </c>
      <c r="CA2136" t="s">
        <v>796</v>
      </c>
      <c r="CC2136" t="s">
        <v>480</v>
      </c>
      <c r="CD2136">
        <v>2163</v>
      </c>
      <c r="CE2136" t="s">
        <v>96</v>
      </c>
      <c r="CF2136" s="3">
        <v>45798</v>
      </c>
      <c r="CI2136">
        <v>1</v>
      </c>
      <c r="CJ2136">
        <v>1</v>
      </c>
      <c r="CK2136">
        <v>22</v>
      </c>
      <c r="CL2136" t="s">
        <v>89</v>
      </c>
    </row>
    <row r="2137" spans="1:90" x14ac:dyDescent="0.3">
      <c r="A2137" t="s">
        <v>72</v>
      </c>
      <c r="B2137" t="s">
        <v>73</v>
      </c>
      <c r="C2137" t="s">
        <v>74</v>
      </c>
      <c r="E2137" t="str">
        <f>"080065443788"</f>
        <v>080065443788</v>
      </c>
      <c r="F2137" s="3">
        <v>45796</v>
      </c>
      <c r="G2137">
        <v>202602</v>
      </c>
      <c r="H2137" t="s">
        <v>75</v>
      </c>
      <c r="I2137" t="s">
        <v>76</v>
      </c>
      <c r="J2137" t="s">
        <v>77</v>
      </c>
      <c r="K2137" t="s">
        <v>78</v>
      </c>
      <c r="L2137" t="s">
        <v>97</v>
      </c>
      <c r="M2137" t="s">
        <v>98</v>
      </c>
      <c r="N2137" t="s">
        <v>1061</v>
      </c>
      <c r="O2137" t="s">
        <v>602</v>
      </c>
      <c r="P2137" t="str">
        <f>"4170039241                    "</f>
        <v xml:space="preserve">4170039241                    </v>
      </c>
      <c r="Q2137">
        <v>0</v>
      </c>
      <c r="R2137">
        <v>0</v>
      </c>
      <c r="S2137">
        <v>0</v>
      </c>
      <c r="T2137">
        <v>0</v>
      </c>
      <c r="U2137">
        <v>0</v>
      </c>
      <c r="V2137">
        <v>0</v>
      </c>
      <c r="W2137">
        <v>0</v>
      </c>
      <c r="X2137">
        <v>0</v>
      </c>
      <c r="Y2137">
        <v>0</v>
      </c>
      <c r="Z2137">
        <v>0</v>
      </c>
      <c r="AA2137">
        <v>0</v>
      </c>
      <c r="AB2137">
        <v>0</v>
      </c>
      <c r="AC2137">
        <v>0</v>
      </c>
      <c r="AD2137">
        <v>0</v>
      </c>
      <c r="AE2137">
        <v>0</v>
      </c>
      <c r="AF2137">
        <v>0</v>
      </c>
      <c r="AG2137">
        <v>0</v>
      </c>
      <c r="AH2137">
        <v>0</v>
      </c>
      <c r="AI2137">
        <v>0</v>
      </c>
      <c r="AJ2137">
        <v>0</v>
      </c>
      <c r="AK2137">
        <v>0</v>
      </c>
      <c r="AL2137">
        <v>0</v>
      </c>
      <c r="AM2137">
        <v>0</v>
      </c>
      <c r="AN2137">
        <v>0</v>
      </c>
      <c r="AO2137">
        <v>0</v>
      </c>
      <c r="AP2137">
        <v>0</v>
      </c>
      <c r="AQ2137">
        <v>18.579999999999998</v>
      </c>
      <c r="AR2137">
        <v>0</v>
      </c>
      <c r="AS2137">
        <v>0</v>
      </c>
      <c r="AT2137">
        <v>0</v>
      </c>
      <c r="AU2137">
        <v>0</v>
      </c>
      <c r="AV2137">
        <v>0</v>
      </c>
      <c r="AW2137">
        <v>0</v>
      </c>
      <c r="AX2137">
        <v>0</v>
      </c>
      <c r="AY2137">
        <v>0</v>
      </c>
      <c r="AZ2137">
        <v>0</v>
      </c>
      <c r="BA2137">
        <v>0</v>
      </c>
      <c r="BB2137">
        <v>0</v>
      </c>
      <c r="BC2137">
        <v>0</v>
      </c>
      <c r="BD2137">
        <v>0</v>
      </c>
      <c r="BE2137">
        <v>0</v>
      </c>
      <c r="BF2137">
        <v>0</v>
      </c>
      <c r="BG2137">
        <v>0</v>
      </c>
      <c r="BH2137">
        <v>1</v>
      </c>
      <c r="BI2137">
        <v>5</v>
      </c>
      <c r="BJ2137">
        <v>8.6999999999999993</v>
      </c>
      <c r="BK2137">
        <v>9</v>
      </c>
      <c r="BL2137">
        <v>60.81</v>
      </c>
      <c r="BM2137">
        <v>9.1199999999999992</v>
      </c>
      <c r="BN2137">
        <v>69.930000000000007</v>
      </c>
      <c r="BO2137">
        <v>69.930000000000007</v>
      </c>
      <c r="BQ2137" t="s">
        <v>1062</v>
      </c>
      <c r="BR2137" t="s">
        <v>84</v>
      </c>
      <c r="BS2137" s="3">
        <v>45798</v>
      </c>
      <c r="BT2137" s="4">
        <v>0.39444444444444443</v>
      </c>
      <c r="BU2137" t="s">
        <v>1351</v>
      </c>
      <c r="BV2137" t="s">
        <v>89</v>
      </c>
      <c r="BW2137" t="s">
        <v>148</v>
      </c>
      <c r="BX2137" t="s">
        <v>203</v>
      </c>
      <c r="BY2137">
        <v>43264</v>
      </c>
      <c r="CA2137" t="s">
        <v>1320</v>
      </c>
      <c r="CC2137" t="s">
        <v>98</v>
      </c>
      <c r="CD2137">
        <v>1459</v>
      </c>
      <c r="CE2137" t="s">
        <v>221</v>
      </c>
      <c r="CF2137" s="3">
        <v>45798</v>
      </c>
      <c r="CI2137">
        <v>1</v>
      </c>
      <c r="CJ2137">
        <v>2</v>
      </c>
      <c r="CK2137">
        <v>32</v>
      </c>
      <c r="CL2137" t="s">
        <v>89</v>
      </c>
    </row>
    <row r="2138" spans="1:90" x14ac:dyDescent="0.3">
      <c r="A2138" t="s">
        <v>72</v>
      </c>
      <c r="B2138" t="s">
        <v>73</v>
      </c>
      <c r="C2138" t="s">
        <v>74</v>
      </c>
      <c r="E2138" t="str">
        <f>"080065443811"</f>
        <v>080065443811</v>
      </c>
      <c r="F2138" s="3">
        <v>45796</v>
      </c>
      <c r="G2138">
        <v>202602</v>
      </c>
      <c r="H2138" t="s">
        <v>75</v>
      </c>
      <c r="I2138" t="s">
        <v>76</v>
      </c>
      <c r="J2138" t="s">
        <v>77</v>
      </c>
      <c r="K2138" t="s">
        <v>78</v>
      </c>
      <c r="L2138" t="s">
        <v>117</v>
      </c>
      <c r="M2138" t="s">
        <v>118</v>
      </c>
      <c r="N2138" t="s">
        <v>2567</v>
      </c>
      <c r="O2138" t="s">
        <v>82</v>
      </c>
      <c r="P2138" t="str">
        <f>"4170039242                    "</f>
        <v xml:space="preserve">4170039242                    </v>
      </c>
      <c r="Q2138">
        <v>0</v>
      </c>
      <c r="R2138">
        <v>0</v>
      </c>
      <c r="S2138">
        <v>0</v>
      </c>
      <c r="T2138">
        <v>0</v>
      </c>
      <c r="U2138">
        <v>0</v>
      </c>
      <c r="V2138">
        <v>0</v>
      </c>
      <c r="W2138">
        <v>0</v>
      </c>
      <c r="X2138">
        <v>0</v>
      </c>
      <c r="Y2138">
        <v>0</v>
      </c>
      <c r="Z2138">
        <v>0</v>
      </c>
      <c r="AA2138">
        <v>0</v>
      </c>
      <c r="AB2138">
        <v>0</v>
      </c>
      <c r="AC2138">
        <v>0</v>
      </c>
      <c r="AD2138">
        <v>0</v>
      </c>
      <c r="AE2138">
        <v>0</v>
      </c>
      <c r="AF2138">
        <v>0</v>
      </c>
      <c r="AG2138">
        <v>0</v>
      </c>
      <c r="AH2138">
        <v>0</v>
      </c>
      <c r="AI2138">
        <v>0</v>
      </c>
      <c r="AJ2138">
        <v>0</v>
      </c>
      <c r="AK2138">
        <v>0</v>
      </c>
      <c r="AL2138">
        <v>0</v>
      </c>
      <c r="AM2138">
        <v>0</v>
      </c>
      <c r="AN2138">
        <v>0</v>
      </c>
      <c r="AO2138">
        <v>0</v>
      </c>
      <c r="AP2138">
        <v>0</v>
      </c>
      <c r="AQ2138">
        <v>16.7</v>
      </c>
      <c r="AR2138">
        <v>0</v>
      </c>
      <c r="AS2138">
        <v>0</v>
      </c>
      <c r="AT2138">
        <v>0</v>
      </c>
      <c r="AU2138">
        <v>0</v>
      </c>
      <c r="AV2138">
        <v>0</v>
      </c>
      <c r="AW2138">
        <v>0</v>
      </c>
      <c r="AX2138">
        <v>0</v>
      </c>
      <c r="AY2138">
        <v>0</v>
      </c>
      <c r="AZ2138">
        <v>0</v>
      </c>
      <c r="BA2138">
        <v>0</v>
      </c>
      <c r="BB2138">
        <v>0</v>
      </c>
      <c r="BC2138">
        <v>0</v>
      </c>
      <c r="BD2138">
        <v>0</v>
      </c>
      <c r="BE2138">
        <v>0</v>
      </c>
      <c r="BF2138">
        <v>0</v>
      </c>
      <c r="BG2138">
        <v>0</v>
      </c>
      <c r="BH2138">
        <v>1</v>
      </c>
      <c r="BI2138">
        <v>1</v>
      </c>
      <c r="BJ2138">
        <v>2</v>
      </c>
      <c r="BK2138">
        <v>2</v>
      </c>
      <c r="BL2138">
        <v>54.66</v>
      </c>
      <c r="BM2138">
        <v>8.1999999999999993</v>
      </c>
      <c r="BN2138">
        <v>62.86</v>
      </c>
      <c r="BO2138">
        <v>62.86</v>
      </c>
      <c r="BQ2138" t="s">
        <v>2047</v>
      </c>
      <c r="BR2138" t="s">
        <v>84</v>
      </c>
      <c r="BS2138" s="3">
        <v>45797</v>
      </c>
      <c r="BT2138" s="4">
        <v>0.4513888888888889</v>
      </c>
      <c r="BU2138" t="s">
        <v>2568</v>
      </c>
      <c r="BV2138" t="s">
        <v>89</v>
      </c>
      <c r="BW2138" t="s">
        <v>148</v>
      </c>
      <c r="BX2138" t="s">
        <v>1143</v>
      </c>
      <c r="BY2138">
        <v>9900</v>
      </c>
      <c r="CA2138" t="s">
        <v>2569</v>
      </c>
      <c r="CC2138" t="s">
        <v>118</v>
      </c>
      <c r="CD2138">
        <v>2001</v>
      </c>
      <c r="CE2138" t="s">
        <v>96</v>
      </c>
      <c r="CF2138" s="3">
        <v>45797</v>
      </c>
      <c r="CI2138">
        <v>1</v>
      </c>
      <c r="CJ2138">
        <v>1</v>
      </c>
      <c r="CK2138">
        <v>22</v>
      </c>
      <c r="CL2138" t="s">
        <v>89</v>
      </c>
    </row>
    <row r="2139" spans="1:90" x14ac:dyDescent="0.3">
      <c r="A2139" t="s">
        <v>72</v>
      </c>
      <c r="B2139" t="s">
        <v>73</v>
      </c>
      <c r="C2139" t="s">
        <v>74</v>
      </c>
      <c r="E2139" t="str">
        <f>"080065443850"</f>
        <v>080065443850</v>
      </c>
      <c r="F2139" s="3">
        <v>45796</v>
      </c>
      <c r="G2139">
        <v>202602</v>
      </c>
      <c r="H2139" t="s">
        <v>75</v>
      </c>
      <c r="I2139" t="s">
        <v>76</v>
      </c>
      <c r="J2139" t="s">
        <v>77</v>
      </c>
      <c r="K2139" t="s">
        <v>78</v>
      </c>
      <c r="L2139" t="s">
        <v>123</v>
      </c>
      <c r="M2139" t="s">
        <v>123</v>
      </c>
      <c r="N2139" t="s">
        <v>1877</v>
      </c>
      <c r="O2139" t="s">
        <v>82</v>
      </c>
      <c r="P2139" t="str">
        <f>"4170039395                    "</f>
        <v xml:space="preserve">4170039395                    </v>
      </c>
      <c r="Q2139">
        <v>0</v>
      </c>
      <c r="R2139">
        <v>0</v>
      </c>
      <c r="S2139">
        <v>0</v>
      </c>
      <c r="T2139">
        <v>0</v>
      </c>
      <c r="U2139">
        <v>0</v>
      </c>
      <c r="V2139">
        <v>0</v>
      </c>
      <c r="W2139">
        <v>0</v>
      </c>
      <c r="X2139">
        <v>0</v>
      </c>
      <c r="Y2139">
        <v>0</v>
      </c>
      <c r="Z2139">
        <v>0</v>
      </c>
      <c r="AA2139">
        <v>0</v>
      </c>
      <c r="AB2139">
        <v>0</v>
      </c>
      <c r="AC2139">
        <v>0</v>
      </c>
      <c r="AD2139">
        <v>0</v>
      </c>
      <c r="AE2139">
        <v>0</v>
      </c>
      <c r="AF2139">
        <v>0</v>
      </c>
      <c r="AG2139">
        <v>0</v>
      </c>
      <c r="AH2139">
        <v>0</v>
      </c>
      <c r="AI2139">
        <v>0</v>
      </c>
      <c r="AJ2139">
        <v>0</v>
      </c>
      <c r="AK2139">
        <v>0</v>
      </c>
      <c r="AL2139">
        <v>0</v>
      </c>
      <c r="AM2139">
        <v>0</v>
      </c>
      <c r="AN2139">
        <v>0</v>
      </c>
      <c r="AO2139">
        <v>0</v>
      </c>
      <c r="AP2139">
        <v>0</v>
      </c>
      <c r="AQ2139">
        <v>78.849999999999994</v>
      </c>
      <c r="AR2139">
        <v>0</v>
      </c>
      <c r="AS2139">
        <v>0</v>
      </c>
      <c r="AT2139">
        <v>0</v>
      </c>
      <c r="AU2139">
        <v>0</v>
      </c>
      <c r="AV2139">
        <v>0</v>
      </c>
      <c r="AW2139">
        <v>0</v>
      </c>
      <c r="AX2139">
        <v>0</v>
      </c>
      <c r="AY2139">
        <v>0</v>
      </c>
      <c r="AZ2139">
        <v>0</v>
      </c>
      <c r="BA2139">
        <v>0</v>
      </c>
      <c r="BB2139">
        <v>0</v>
      </c>
      <c r="BC2139">
        <v>0</v>
      </c>
      <c r="BD2139">
        <v>0</v>
      </c>
      <c r="BE2139">
        <v>0</v>
      </c>
      <c r="BF2139">
        <v>0</v>
      </c>
      <c r="BG2139">
        <v>0</v>
      </c>
      <c r="BH2139">
        <v>1</v>
      </c>
      <c r="BI2139">
        <v>4</v>
      </c>
      <c r="BJ2139">
        <v>3.2</v>
      </c>
      <c r="BK2139">
        <v>4</v>
      </c>
      <c r="BL2139">
        <v>258.05</v>
      </c>
      <c r="BM2139">
        <v>38.71</v>
      </c>
      <c r="BN2139">
        <v>296.76</v>
      </c>
      <c r="BO2139">
        <v>296.76</v>
      </c>
      <c r="BQ2139" t="s">
        <v>1878</v>
      </c>
      <c r="BR2139" t="s">
        <v>84</v>
      </c>
      <c r="BS2139" s="3">
        <v>45797</v>
      </c>
      <c r="BT2139" s="4">
        <v>0.52638888888888891</v>
      </c>
      <c r="BU2139" t="s">
        <v>1879</v>
      </c>
      <c r="BV2139" t="s">
        <v>86</v>
      </c>
      <c r="BY2139">
        <v>15872</v>
      </c>
      <c r="CA2139" t="s">
        <v>128</v>
      </c>
      <c r="CC2139" t="s">
        <v>123</v>
      </c>
      <c r="CD2139">
        <v>7646</v>
      </c>
      <c r="CE2139" t="s">
        <v>221</v>
      </c>
      <c r="CF2139" s="3">
        <v>45798</v>
      </c>
      <c r="CI2139">
        <v>1</v>
      </c>
      <c r="CJ2139">
        <v>1</v>
      </c>
      <c r="CK2139">
        <v>23</v>
      </c>
      <c r="CL2139" t="s">
        <v>89</v>
      </c>
    </row>
    <row r="2140" spans="1:90" x14ac:dyDescent="0.3">
      <c r="A2140" t="s">
        <v>72</v>
      </c>
      <c r="B2140" t="s">
        <v>73</v>
      </c>
      <c r="C2140" t="s">
        <v>74</v>
      </c>
      <c r="E2140" t="str">
        <f>"080065443897"</f>
        <v>080065443897</v>
      </c>
      <c r="F2140" s="3">
        <v>45796</v>
      </c>
      <c r="G2140">
        <v>202602</v>
      </c>
      <c r="H2140" t="s">
        <v>75</v>
      </c>
      <c r="I2140" t="s">
        <v>76</v>
      </c>
      <c r="J2140" t="s">
        <v>77</v>
      </c>
      <c r="K2140" t="s">
        <v>78</v>
      </c>
      <c r="L2140" t="s">
        <v>117</v>
      </c>
      <c r="M2140" t="s">
        <v>118</v>
      </c>
      <c r="N2140" t="s">
        <v>1533</v>
      </c>
      <c r="O2140" t="s">
        <v>82</v>
      </c>
      <c r="P2140" t="str">
        <f>"4170038752                    "</f>
        <v xml:space="preserve">4170038752                    </v>
      </c>
      <c r="Q2140">
        <v>0</v>
      </c>
      <c r="R2140">
        <v>0</v>
      </c>
      <c r="S2140">
        <v>0</v>
      </c>
      <c r="T2140">
        <v>0</v>
      </c>
      <c r="U2140">
        <v>0</v>
      </c>
      <c r="V2140">
        <v>0</v>
      </c>
      <c r="W2140">
        <v>0</v>
      </c>
      <c r="X2140">
        <v>0</v>
      </c>
      <c r="Y2140">
        <v>0</v>
      </c>
      <c r="Z2140">
        <v>0</v>
      </c>
      <c r="AA2140">
        <v>0</v>
      </c>
      <c r="AB2140">
        <v>0</v>
      </c>
      <c r="AC2140">
        <v>0</v>
      </c>
      <c r="AD2140">
        <v>0</v>
      </c>
      <c r="AE2140">
        <v>0</v>
      </c>
      <c r="AF2140">
        <v>0</v>
      </c>
      <c r="AG2140">
        <v>0</v>
      </c>
      <c r="AH2140">
        <v>0</v>
      </c>
      <c r="AI2140">
        <v>0</v>
      </c>
      <c r="AJ2140">
        <v>0</v>
      </c>
      <c r="AK2140">
        <v>0</v>
      </c>
      <c r="AL2140">
        <v>0</v>
      </c>
      <c r="AM2140">
        <v>0</v>
      </c>
      <c r="AN2140">
        <v>0</v>
      </c>
      <c r="AO2140">
        <v>0</v>
      </c>
      <c r="AP2140">
        <v>0</v>
      </c>
      <c r="AQ2140">
        <v>16.7</v>
      </c>
      <c r="AR2140">
        <v>0</v>
      </c>
      <c r="AS2140">
        <v>0</v>
      </c>
      <c r="AT2140">
        <v>0</v>
      </c>
      <c r="AU2140">
        <v>0</v>
      </c>
      <c r="AV2140">
        <v>0</v>
      </c>
      <c r="AW2140">
        <v>0</v>
      </c>
      <c r="AX2140">
        <v>0</v>
      </c>
      <c r="AY2140">
        <v>0</v>
      </c>
      <c r="AZ2140">
        <v>0</v>
      </c>
      <c r="BA2140">
        <v>0</v>
      </c>
      <c r="BB2140">
        <v>0</v>
      </c>
      <c r="BC2140">
        <v>0</v>
      </c>
      <c r="BD2140">
        <v>0</v>
      </c>
      <c r="BE2140">
        <v>0</v>
      </c>
      <c r="BF2140">
        <v>0</v>
      </c>
      <c r="BG2140">
        <v>0</v>
      </c>
      <c r="BH2140">
        <v>1</v>
      </c>
      <c r="BI2140">
        <v>1</v>
      </c>
      <c r="BJ2140">
        <v>0.6</v>
      </c>
      <c r="BK2140">
        <v>1</v>
      </c>
      <c r="BL2140">
        <v>54.66</v>
      </c>
      <c r="BM2140">
        <v>8.1999999999999993</v>
      </c>
      <c r="BN2140">
        <v>62.86</v>
      </c>
      <c r="BO2140">
        <v>62.86</v>
      </c>
      <c r="BQ2140" t="s">
        <v>1534</v>
      </c>
      <c r="BR2140" t="s">
        <v>84</v>
      </c>
      <c r="BS2140" s="3">
        <v>45797</v>
      </c>
      <c r="BT2140" s="4">
        <v>0.34375</v>
      </c>
      <c r="BU2140" t="s">
        <v>1535</v>
      </c>
      <c r="BV2140" t="s">
        <v>86</v>
      </c>
      <c r="BY2140">
        <v>3192</v>
      </c>
      <c r="CA2140" t="s">
        <v>275</v>
      </c>
      <c r="CC2140" t="s">
        <v>118</v>
      </c>
      <c r="CD2140">
        <v>2091</v>
      </c>
      <c r="CE2140" t="s">
        <v>116</v>
      </c>
      <c r="CF2140" s="3">
        <v>45797</v>
      </c>
      <c r="CI2140">
        <v>1</v>
      </c>
      <c r="CJ2140">
        <v>1</v>
      </c>
      <c r="CK2140">
        <v>22</v>
      </c>
      <c r="CL2140" t="s">
        <v>89</v>
      </c>
    </row>
    <row r="2141" spans="1:90" x14ac:dyDescent="0.3">
      <c r="A2141" t="s">
        <v>72</v>
      </c>
      <c r="B2141" t="s">
        <v>73</v>
      </c>
      <c r="C2141" t="s">
        <v>74</v>
      </c>
      <c r="E2141" t="str">
        <f>"080065443922"</f>
        <v>080065443922</v>
      </c>
      <c r="F2141" s="3">
        <v>45796</v>
      </c>
      <c r="G2141">
        <v>202602</v>
      </c>
      <c r="H2141" t="s">
        <v>75</v>
      </c>
      <c r="I2141" t="s">
        <v>76</v>
      </c>
      <c r="J2141" t="s">
        <v>77</v>
      </c>
      <c r="K2141" t="s">
        <v>78</v>
      </c>
      <c r="L2141" t="s">
        <v>103</v>
      </c>
      <c r="M2141" t="s">
        <v>104</v>
      </c>
      <c r="N2141" t="s">
        <v>437</v>
      </c>
      <c r="O2141" t="s">
        <v>82</v>
      </c>
      <c r="P2141" t="str">
        <f>"4170039170                    "</f>
        <v xml:space="preserve">4170039170                    </v>
      </c>
      <c r="Q2141">
        <v>0</v>
      </c>
      <c r="R2141">
        <v>0</v>
      </c>
      <c r="S2141">
        <v>0</v>
      </c>
      <c r="T2141">
        <v>0</v>
      </c>
      <c r="U2141">
        <v>0</v>
      </c>
      <c r="V2141">
        <v>0</v>
      </c>
      <c r="W2141">
        <v>0</v>
      </c>
      <c r="X2141">
        <v>0</v>
      </c>
      <c r="Y2141">
        <v>0</v>
      </c>
      <c r="Z2141">
        <v>0</v>
      </c>
      <c r="AA2141">
        <v>0</v>
      </c>
      <c r="AB2141">
        <v>0</v>
      </c>
      <c r="AC2141">
        <v>0</v>
      </c>
      <c r="AD2141">
        <v>0</v>
      </c>
      <c r="AE2141">
        <v>0</v>
      </c>
      <c r="AF2141">
        <v>0</v>
      </c>
      <c r="AG2141">
        <v>0</v>
      </c>
      <c r="AH2141">
        <v>0</v>
      </c>
      <c r="AI2141">
        <v>0</v>
      </c>
      <c r="AJ2141">
        <v>0</v>
      </c>
      <c r="AK2141">
        <v>0</v>
      </c>
      <c r="AL2141">
        <v>0</v>
      </c>
      <c r="AM2141">
        <v>0</v>
      </c>
      <c r="AN2141">
        <v>0</v>
      </c>
      <c r="AO2141">
        <v>0</v>
      </c>
      <c r="AP2141">
        <v>0</v>
      </c>
      <c r="AQ2141">
        <v>21.38</v>
      </c>
      <c r="AR2141">
        <v>0</v>
      </c>
      <c r="AS2141">
        <v>0</v>
      </c>
      <c r="AT2141">
        <v>0</v>
      </c>
      <c r="AU2141">
        <v>0</v>
      </c>
      <c r="AV2141">
        <v>0</v>
      </c>
      <c r="AW2141">
        <v>0</v>
      </c>
      <c r="AX2141">
        <v>0</v>
      </c>
      <c r="AY2141">
        <v>0</v>
      </c>
      <c r="AZ2141">
        <v>0</v>
      </c>
      <c r="BA2141">
        <v>0</v>
      </c>
      <c r="BB2141">
        <v>0</v>
      </c>
      <c r="BC2141">
        <v>0</v>
      </c>
      <c r="BD2141">
        <v>0</v>
      </c>
      <c r="BE2141">
        <v>0</v>
      </c>
      <c r="BF2141">
        <v>0</v>
      </c>
      <c r="BG2141">
        <v>0</v>
      </c>
      <c r="BH2141">
        <v>1</v>
      </c>
      <c r="BI2141">
        <v>1</v>
      </c>
      <c r="BJ2141">
        <v>0.2</v>
      </c>
      <c r="BK2141">
        <v>1</v>
      </c>
      <c r="BL2141">
        <v>69.98</v>
      </c>
      <c r="BM2141">
        <v>10.5</v>
      </c>
      <c r="BN2141">
        <v>80.48</v>
      </c>
      <c r="BO2141">
        <v>80.48</v>
      </c>
      <c r="BQ2141" t="s">
        <v>438</v>
      </c>
      <c r="BR2141" t="s">
        <v>84</v>
      </c>
      <c r="BS2141" s="3">
        <v>45797</v>
      </c>
      <c r="BT2141" s="4">
        <v>0.48958333333333331</v>
      </c>
      <c r="BU2141" t="s">
        <v>1863</v>
      </c>
      <c r="BV2141" t="s">
        <v>86</v>
      </c>
      <c r="BY2141">
        <v>1200</v>
      </c>
      <c r="CA2141" t="s">
        <v>440</v>
      </c>
      <c r="CC2141" t="s">
        <v>104</v>
      </c>
      <c r="CD2141">
        <v>3212</v>
      </c>
      <c r="CE2141" t="s">
        <v>88</v>
      </c>
      <c r="CF2141" s="3">
        <v>45797</v>
      </c>
      <c r="CI2141">
        <v>2</v>
      </c>
      <c r="CJ2141">
        <v>1</v>
      </c>
      <c r="CK2141">
        <v>21</v>
      </c>
      <c r="CL2141" t="s">
        <v>89</v>
      </c>
    </row>
    <row r="2142" spans="1:90" x14ac:dyDescent="0.3">
      <c r="A2142" t="s">
        <v>72</v>
      </c>
      <c r="B2142" t="s">
        <v>73</v>
      </c>
      <c r="C2142" t="s">
        <v>74</v>
      </c>
      <c r="E2142" t="str">
        <f>"080065443949"</f>
        <v>080065443949</v>
      </c>
      <c r="F2142" s="3">
        <v>45796</v>
      </c>
      <c r="G2142">
        <v>202602</v>
      </c>
      <c r="H2142" t="s">
        <v>75</v>
      </c>
      <c r="I2142" t="s">
        <v>76</v>
      </c>
      <c r="J2142" t="s">
        <v>77</v>
      </c>
      <c r="K2142" t="s">
        <v>78</v>
      </c>
      <c r="L2142" t="s">
        <v>75</v>
      </c>
      <c r="M2142" t="s">
        <v>76</v>
      </c>
      <c r="N2142" t="s">
        <v>601</v>
      </c>
      <c r="O2142" t="s">
        <v>82</v>
      </c>
      <c r="P2142" t="str">
        <f>"4170039147                    "</f>
        <v xml:space="preserve">4170039147                    </v>
      </c>
      <c r="Q2142">
        <v>0</v>
      </c>
      <c r="R2142">
        <v>0</v>
      </c>
      <c r="S2142">
        <v>0</v>
      </c>
      <c r="T2142">
        <v>0</v>
      </c>
      <c r="U2142">
        <v>0</v>
      </c>
      <c r="V2142">
        <v>0</v>
      </c>
      <c r="W2142">
        <v>0</v>
      </c>
      <c r="X2142">
        <v>0</v>
      </c>
      <c r="Y2142">
        <v>0</v>
      </c>
      <c r="Z2142">
        <v>0</v>
      </c>
      <c r="AA2142">
        <v>0</v>
      </c>
      <c r="AB2142">
        <v>0</v>
      </c>
      <c r="AC2142">
        <v>0</v>
      </c>
      <c r="AD2142">
        <v>0</v>
      </c>
      <c r="AE2142">
        <v>0</v>
      </c>
      <c r="AF2142">
        <v>0</v>
      </c>
      <c r="AG2142">
        <v>0</v>
      </c>
      <c r="AH2142">
        <v>0</v>
      </c>
      <c r="AI2142">
        <v>0</v>
      </c>
      <c r="AJ2142">
        <v>0</v>
      </c>
      <c r="AK2142">
        <v>0</v>
      </c>
      <c r="AL2142">
        <v>0</v>
      </c>
      <c r="AM2142">
        <v>0</v>
      </c>
      <c r="AN2142">
        <v>0</v>
      </c>
      <c r="AO2142">
        <v>0</v>
      </c>
      <c r="AP2142">
        <v>0</v>
      </c>
      <c r="AQ2142">
        <v>16.7</v>
      </c>
      <c r="AR2142">
        <v>0</v>
      </c>
      <c r="AS2142">
        <v>0</v>
      </c>
      <c r="AT2142">
        <v>0</v>
      </c>
      <c r="AU2142">
        <v>0</v>
      </c>
      <c r="AV2142">
        <v>0</v>
      </c>
      <c r="AW2142">
        <v>0</v>
      </c>
      <c r="AX2142">
        <v>0</v>
      </c>
      <c r="AY2142">
        <v>0</v>
      </c>
      <c r="AZ2142">
        <v>0</v>
      </c>
      <c r="BA2142">
        <v>0</v>
      </c>
      <c r="BB2142">
        <v>0</v>
      </c>
      <c r="BC2142">
        <v>0</v>
      </c>
      <c r="BD2142">
        <v>0</v>
      </c>
      <c r="BE2142">
        <v>0</v>
      </c>
      <c r="BF2142">
        <v>0</v>
      </c>
      <c r="BG2142">
        <v>0</v>
      </c>
      <c r="BH2142">
        <v>1</v>
      </c>
      <c r="BI2142">
        <v>1</v>
      </c>
      <c r="BJ2142">
        <v>0.6</v>
      </c>
      <c r="BK2142">
        <v>1</v>
      </c>
      <c r="BL2142">
        <v>54.66</v>
      </c>
      <c r="BM2142">
        <v>8.1999999999999993</v>
      </c>
      <c r="BN2142">
        <v>62.86</v>
      </c>
      <c r="BO2142">
        <v>62.86</v>
      </c>
      <c r="BQ2142" t="s">
        <v>603</v>
      </c>
      <c r="BR2142" t="s">
        <v>84</v>
      </c>
      <c r="BS2142" s="3">
        <v>45797</v>
      </c>
      <c r="BT2142" s="4">
        <v>0.39305555555555555</v>
      </c>
      <c r="BU2142" t="s">
        <v>789</v>
      </c>
      <c r="BV2142" t="s">
        <v>86</v>
      </c>
      <c r="BY2142">
        <v>3192</v>
      </c>
      <c r="CA2142" t="s">
        <v>605</v>
      </c>
      <c r="CC2142" t="s">
        <v>76</v>
      </c>
      <c r="CD2142">
        <v>1645</v>
      </c>
      <c r="CE2142" t="s">
        <v>116</v>
      </c>
      <c r="CF2142" s="3">
        <v>45798</v>
      </c>
      <c r="CI2142">
        <v>1</v>
      </c>
      <c r="CJ2142">
        <v>1</v>
      </c>
      <c r="CK2142">
        <v>22</v>
      </c>
      <c r="CL2142" t="s">
        <v>89</v>
      </c>
    </row>
    <row r="2143" spans="1:90" x14ac:dyDescent="0.3">
      <c r="A2143" t="s">
        <v>72</v>
      </c>
      <c r="B2143" t="s">
        <v>73</v>
      </c>
      <c r="C2143" t="s">
        <v>74</v>
      </c>
      <c r="E2143" t="str">
        <f>"080065443963"</f>
        <v>080065443963</v>
      </c>
      <c r="F2143" s="3">
        <v>45796</v>
      </c>
      <c r="G2143">
        <v>202602</v>
      </c>
      <c r="H2143" t="s">
        <v>75</v>
      </c>
      <c r="I2143" t="s">
        <v>76</v>
      </c>
      <c r="J2143" t="s">
        <v>77</v>
      </c>
      <c r="K2143" t="s">
        <v>78</v>
      </c>
      <c r="L2143" t="s">
        <v>90</v>
      </c>
      <c r="M2143" t="s">
        <v>91</v>
      </c>
      <c r="N2143" t="s">
        <v>469</v>
      </c>
      <c r="O2143" t="s">
        <v>82</v>
      </c>
      <c r="P2143" t="str">
        <f>"4170039250                    "</f>
        <v xml:space="preserve">4170039250                    </v>
      </c>
      <c r="Q2143">
        <v>0</v>
      </c>
      <c r="R2143">
        <v>0</v>
      </c>
      <c r="S2143">
        <v>0</v>
      </c>
      <c r="T2143">
        <v>0</v>
      </c>
      <c r="U2143">
        <v>0</v>
      </c>
      <c r="V2143">
        <v>0</v>
      </c>
      <c r="W2143">
        <v>0</v>
      </c>
      <c r="X2143">
        <v>0</v>
      </c>
      <c r="Y2143">
        <v>0</v>
      </c>
      <c r="Z2143">
        <v>0</v>
      </c>
      <c r="AA2143">
        <v>0</v>
      </c>
      <c r="AB2143">
        <v>0</v>
      </c>
      <c r="AC2143">
        <v>0</v>
      </c>
      <c r="AD2143">
        <v>0</v>
      </c>
      <c r="AE2143">
        <v>0</v>
      </c>
      <c r="AF2143">
        <v>0</v>
      </c>
      <c r="AG2143">
        <v>0</v>
      </c>
      <c r="AH2143">
        <v>0</v>
      </c>
      <c r="AI2143">
        <v>0</v>
      </c>
      <c r="AJ2143">
        <v>0</v>
      </c>
      <c r="AK2143">
        <v>0</v>
      </c>
      <c r="AL2143">
        <v>0</v>
      </c>
      <c r="AM2143">
        <v>0</v>
      </c>
      <c r="AN2143">
        <v>0</v>
      </c>
      <c r="AO2143">
        <v>0</v>
      </c>
      <c r="AP2143">
        <v>0</v>
      </c>
      <c r="AQ2143">
        <v>21.38</v>
      </c>
      <c r="AR2143">
        <v>0</v>
      </c>
      <c r="AS2143">
        <v>0</v>
      </c>
      <c r="AT2143">
        <v>0</v>
      </c>
      <c r="AU2143">
        <v>0</v>
      </c>
      <c r="AV2143">
        <v>0</v>
      </c>
      <c r="AW2143">
        <v>0</v>
      </c>
      <c r="AX2143">
        <v>0</v>
      </c>
      <c r="AY2143">
        <v>0</v>
      </c>
      <c r="AZ2143">
        <v>0</v>
      </c>
      <c r="BA2143">
        <v>0</v>
      </c>
      <c r="BB2143">
        <v>0</v>
      </c>
      <c r="BC2143">
        <v>0</v>
      </c>
      <c r="BD2143">
        <v>0</v>
      </c>
      <c r="BE2143">
        <v>0</v>
      </c>
      <c r="BF2143">
        <v>0</v>
      </c>
      <c r="BG2143">
        <v>0</v>
      </c>
      <c r="BH2143">
        <v>1</v>
      </c>
      <c r="BI2143">
        <v>1</v>
      </c>
      <c r="BJ2143">
        <v>0.2</v>
      </c>
      <c r="BK2143">
        <v>1</v>
      </c>
      <c r="BL2143">
        <v>69.98</v>
      </c>
      <c r="BM2143">
        <v>10.5</v>
      </c>
      <c r="BN2143">
        <v>80.48</v>
      </c>
      <c r="BO2143">
        <v>80.48</v>
      </c>
      <c r="BQ2143" t="s">
        <v>470</v>
      </c>
      <c r="BR2143" t="s">
        <v>84</v>
      </c>
      <c r="BS2143" s="3">
        <v>45797</v>
      </c>
      <c r="BT2143" s="4">
        <v>0.35416666666666669</v>
      </c>
      <c r="BU2143" t="s">
        <v>2570</v>
      </c>
      <c r="BV2143" t="s">
        <v>86</v>
      </c>
      <c r="BY2143">
        <v>1200</v>
      </c>
      <c r="CA2143" t="s">
        <v>182</v>
      </c>
      <c r="CC2143" t="s">
        <v>91</v>
      </c>
      <c r="CD2143">
        <v>6001</v>
      </c>
      <c r="CE2143" t="s">
        <v>88</v>
      </c>
      <c r="CF2143" s="3">
        <v>45797</v>
      </c>
      <c r="CI2143">
        <v>1</v>
      </c>
      <c r="CJ2143">
        <v>1</v>
      </c>
      <c r="CK2143">
        <v>21</v>
      </c>
      <c r="CL2143" t="s">
        <v>89</v>
      </c>
    </row>
    <row r="2144" spans="1:90" x14ac:dyDescent="0.3">
      <c r="A2144" t="s">
        <v>72</v>
      </c>
      <c r="B2144" t="s">
        <v>73</v>
      </c>
      <c r="C2144" t="s">
        <v>74</v>
      </c>
      <c r="E2144" t="str">
        <f>"080065443991"</f>
        <v>080065443991</v>
      </c>
      <c r="F2144" s="3">
        <v>45796</v>
      </c>
      <c r="G2144">
        <v>202602</v>
      </c>
      <c r="H2144" t="s">
        <v>75</v>
      </c>
      <c r="I2144" t="s">
        <v>76</v>
      </c>
      <c r="J2144" t="s">
        <v>77</v>
      </c>
      <c r="K2144" t="s">
        <v>78</v>
      </c>
      <c r="L2144" t="s">
        <v>136</v>
      </c>
      <c r="M2144" t="s">
        <v>137</v>
      </c>
      <c r="N2144" t="s">
        <v>886</v>
      </c>
      <c r="O2144" t="s">
        <v>300</v>
      </c>
      <c r="P2144" t="str">
        <f>"4170039424                    "</f>
        <v xml:space="preserve">4170039424                    </v>
      </c>
      <c r="Q2144">
        <v>0</v>
      </c>
      <c r="R2144">
        <v>0</v>
      </c>
      <c r="S2144">
        <v>0</v>
      </c>
      <c r="T2144">
        <v>0</v>
      </c>
      <c r="U2144">
        <v>0</v>
      </c>
      <c r="V2144">
        <v>0</v>
      </c>
      <c r="W2144">
        <v>0</v>
      </c>
      <c r="X2144">
        <v>0</v>
      </c>
      <c r="Y2144">
        <v>0</v>
      </c>
      <c r="Z2144">
        <v>0</v>
      </c>
      <c r="AA2144">
        <v>0</v>
      </c>
      <c r="AB2144">
        <v>0</v>
      </c>
      <c r="AC2144">
        <v>0</v>
      </c>
      <c r="AD2144">
        <v>0</v>
      </c>
      <c r="AE2144">
        <v>0</v>
      </c>
      <c r="AF2144">
        <v>0</v>
      </c>
      <c r="AG2144">
        <v>0</v>
      </c>
      <c r="AH2144">
        <v>0</v>
      </c>
      <c r="AI2144">
        <v>0</v>
      </c>
      <c r="AJ2144">
        <v>0</v>
      </c>
      <c r="AK2144">
        <v>0</v>
      </c>
      <c r="AL2144">
        <v>0</v>
      </c>
      <c r="AM2144">
        <v>0</v>
      </c>
      <c r="AN2144">
        <v>0</v>
      </c>
      <c r="AO2144">
        <v>0</v>
      </c>
      <c r="AP2144">
        <v>0</v>
      </c>
      <c r="AQ2144">
        <v>46.47</v>
      </c>
      <c r="AR2144">
        <v>0</v>
      </c>
      <c r="AS2144">
        <v>0</v>
      </c>
      <c r="AT2144">
        <v>0</v>
      </c>
      <c r="AU2144">
        <v>0</v>
      </c>
      <c r="AV2144">
        <v>0</v>
      </c>
      <c r="AW2144">
        <v>0</v>
      </c>
      <c r="AX2144">
        <v>0</v>
      </c>
      <c r="AY2144">
        <v>0</v>
      </c>
      <c r="AZ2144">
        <v>0</v>
      </c>
      <c r="BA2144">
        <v>0</v>
      </c>
      <c r="BB2144">
        <v>0</v>
      </c>
      <c r="BC2144">
        <v>0</v>
      </c>
      <c r="BD2144">
        <v>0</v>
      </c>
      <c r="BE2144">
        <v>0</v>
      </c>
      <c r="BF2144">
        <v>0</v>
      </c>
      <c r="BG2144">
        <v>0</v>
      </c>
      <c r="BH2144">
        <v>1</v>
      </c>
      <c r="BI2144">
        <v>7</v>
      </c>
      <c r="BJ2144">
        <v>17.7</v>
      </c>
      <c r="BK2144">
        <v>18</v>
      </c>
      <c r="BL2144">
        <v>157.66</v>
      </c>
      <c r="BM2144">
        <v>23.65</v>
      </c>
      <c r="BN2144">
        <v>181.31</v>
      </c>
      <c r="BO2144">
        <v>181.31</v>
      </c>
      <c r="BQ2144" t="s">
        <v>887</v>
      </c>
      <c r="BR2144" t="s">
        <v>84</v>
      </c>
      <c r="BS2144" s="3">
        <v>45797</v>
      </c>
      <c r="BT2144" s="4">
        <v>0.43263888888888891</v>
      </c>
      <c r="BU2144" t="s">
        <v>2402</v>
      </c>
      <c r="BV2144" t="s">
        <v>86</v>
      </c>
      <c r="BY2144">
        <v>88320</v>
      </c>
      <c r="CA2144" t="s">
        <v>889</v>
      </c>
      <c r="CC2144" t="s">
        <v>137</v>
      </c>
      <c r="CD2144" s="5" t="s">
        <v>738</v>
      </c>
      <c r="CE2144" t="s">
        <v>96</v>
      </c>
      <c r="CF2144" s="3">
        <v>45797</v>
      </c>
      <c r="CI2144">
        <v>1</v>
      </c>
      <c r="CJ2144">
        <v>1</v>
      </c>
      <c r="CK2144">
        <v>41</v>
      </c>
      <c r="CL2144" t="s">
        <v>89</v>
      </c>
    </row>
    <row r="2145" spans="1:90" x14ac:dyDescent="0.3">
      <c r="A2145" t="s">
        <v>72</v>
      </c>
      <c r="B2145" t="s">
        <v>73</v>
      </c>
      <c r="C2145" t="s">
        <v>74</v>
      </c>
      <c r="E2145" t="str">
        <f>"080065444003"</f>
        <v>080065444003</v>
      </c>
      <c r="F2145" s="3">
        <v>45796</v>
      </c>
      <c r="G2145">
        <v>202602</v>
      </c>
      <c r="H2145" t="s">
        <v>75</v>
      </c>
      <c r="I2145" t="s">
        <v>76</v>
      </c>
      <c r="J2145" t="s">
        <v>77</v>
      </c>
      <c r="K2145" t="s">
        <v>78</v>
      </c>
      <c r="L2145" t="s">
        <v>1328</v>
      </c>
      <c r="M2145" t="s">
        <v>1329</v>
      </c>
      <c r="N2145" t="s">
        <v>1330</v>
      </c>
      <c r="O2145" t="s">
        <v>82</v>
      </c>
      <c r="P2145" t="str">
        <f>"4170039278                    "</f>
        <v xml:space="preserve">4170039278                    </v>
      </c>
      <c r="Q2145">
        <v>0</v>
      </c>
      <c r="R2145">
        <v>0</v>
      </c>
      <c r="S2145">
        <v>0</v>
      </c>
      <c r="T2145">
        <v>0</v>
      </c>
      <c r="U2145">
        <v>0</v>
      </c>
      <c r="V2145">
        <v>0</v>
      </c>
      <c r="W2145">
        <v>0</v>
      </c>
      <c r="X2145">
        <v>0</v>
      </c>
      <c r="Y2145">
        <v>0</v>
      </c>
      <c r="Z2145">
        <v>0</v>
      </c>
      <c r="AA2145">
        <v>0</v>
      </c>
      <c r="AB2145">
        <v>0</v>
      </c>
      <c r="AC2145">
        <v>0</v>
      </c>
      <c r="AD2145">
        <v>0</v>
      </c>
      <c r="AE2145">
        <v>0</v>
      </c>
      <c r="AF2145">
        <v>0</v>
      </c>
      <c r="AG2145">
        <v>0</v>
      </c>
      <c r="AH2145">
        <v>0</v>
      </c>
      <c r="AI2145">
        <v>0</v>
      </c>
      <c r="AJ2145">
        <v>0</v>
      </c>
      <c r="AK2145">
        <v>0</v>
      </c>
      <c r="AL2145">
        <v>0</v>
      </c>
      <c r="AM2145">
        <v>0</v>
      </c>
      <c r="AN2145">
        <v>0</v>
      </c>
      <c r="AO2145">
        <v>0</v>
      </c>
      <c r="AP2145">
        <v>0</v>
      </c>
      <c r="AQ2145">
        <v>30.07</v>
      </c>
      <c r="AR2145">
        <v>0</v>
      </c>
      <c r="AS2145">
        <v>0</v>
      </c>
      <c r="AT2145">
        <v>0</v>
      </c>
      <c r="AU2145">
        <v>0</v>
      </c>
      <c r="AV2145">
        <v>0</v>
      </c>
      <c r="AW2145">
        <v>0</v>
      </c>
      <c r="AX2145">
        <v>0</v>
      </c>
      <c r="AY2145">
        <v>0</v>
      </c>
      <c r="AZ2145">
        <v>0</v>
      </c>
      <c r="BA2145">
        <v>0</v>
      </c>
      <c r="BB2145">
        <v>0</v>
      </c>
      <c r="BC2145">
        <v>0</v>
      </c>
      <c r="BD2145">
        <v>0</v>
      </c>
      <c r="BE2145">
        <v>0</v>
      </c>
      <c r="BF2145">
        <v>0</v>
      </c>
      <c r="BG2145">
        <v>0</v>
      </c>
      <c r="BH2145">
        <v>1</v>
      </c>
      <c r="BI2145">
        <v>1</v>
      </c>
      <c r="BJ2145">
        <v>0.2</v>
      </c>
      <c r="BK2145">
        <v>1</v>
      </c>
      <c r="BL2145">
        <v>98.42</v>
      </c>
      <c r="BM2145">
        <v>14.76</v>
      </c>
      <c r="BN2145">
        <v>113.18</v>
      </c>
      <c r="BO2145">
        <v>113.18</v>
      </c>
      <c r="BQ2145" t="s">
        <v>1331</v>
      </c>
      <c r="BR2145" t="s">
        <v>84</v>
      </c>
      <c r="BS2145" s="3">
        <v>45797</v>
      </c>
      <c r="BT2145" s="4">
        <v>0.35555555555555557</v>
      </c>
      <c r="BU2145" t="s">
        <v>2571</v>
      </c>
      <c r="BV2145" t="s">
        <v>86</v>
      </c>
      <c r="BY2145">
        <v>1200</v>
      </c>
      <c r="CC2145" t="s">
        <v>1329</v>
      </c>
      <c r="CD2145">
        <v>2210</v>
      </c>
      <c r="CE2145" t="s">
        <v>88</v>
      </c>
      <c r="CF2145" s="3">
        <v>45798</v>
      </c>
      <c r="CI2145">
        <v>1</v>
      </c>
      <c r="CJ2145">
        <v>1</v>
      </c>
      <c r="CK2145">
        <v>24</v>
      </c>
      <c r="CL2145" t="s">
        <v>89</v>
      </c>
    </row>
    <row r="2146" spans="1:90" x14ac:dyDescent="0.3">
      <c r="A2146" t="s">
        <v>72</v>
      </c>
      <c r="B2146" t="s">
        <v>73</v>
      </c>
      <c r="C2146" t="s">
        <v>74</v>
      </c>
      <c r="E2146" t="str">
        <f>"080065444032"</f>
        <v>080065444032</v>
      </c>
      <c r="F2146" s="3">
        <v>45796</v>
      </c>
      <c r="G2146">
        <v>202602</v>
      </c>
      <c r="H2146" t="s">
        <v>75</v>
      </c>
      <c r="I2146" t="s">
        <v>76</v>
      </c>
      <c r="J2146" t="s">
        <v>77</v>
      </c>
      <c r="K2146" t="s">
        <v>78</v>
      </c>
      <c r="L2146" t="s">
        <v>79</v>
      </c>
      <c r="M2146" t="s">
        <v>80</v>
      </c>
      <c r="N2146" t="s">
        <v>452</v>
      </c>
      <c r="O2146" t="s">
        <v>300</v>
      </c>
      <c r="P2146" t="str">
        <f>"4170039253                    "</f>
        <v xml:space="preserve">4170039253                    </v>
      </c>
      <c r="Q2146">
        <v>0</v>
      </c>
      <c r="R2146">
        <v>0</v>
      </c>
      <c r="S2146">
        <v>0</v>
      </c>
      <c r="T2146">
        <v>0</v>
      </c>
      <c r="U2146">
        <v>0</v>
      </c>
      <c r="V2146">
        <v>0</v>
      </c>
      <c r="W2146">
        <v>0</v>
      </c>
      <c r="X2146">
        <v>0</v>
      </c>
      <c r="Y2146">
        <v>0</v>
      </c>
      <c r="Z2146">
        <v>0</v>
      </c>
      <c r="AA2146">
        <v>0</v>
      </c>
      <c r="AB2146">
        <v>0</v>
      </c>
      <c r="AC2146">
        <v>0</v>
      </c>
      <c r="AD2146">
        <v>0</v>
      </c>
      <c r="AE2146">
        <v>0</v>
      </c>
      <c r="AF2146">
        <v>0</v>
      </c>
      <c r="AG2146">
        <v>0</v>
      </c>
      <c r="AH2146">
        <v>0</v>
      </c>
      <c r="AI2146">
        <v>0</v>
      </c>
      <c r="AJ2146">
        <v>0</v>
      </c>
      <c r="AK2146">
        <v>0</v>
      </c>
      <c r="AL2146">
        <v>0</v>
      </c>
      <c r="AM2146">
        <v>0</v>
      </c>
      <c r="AN2146">
        <v>0</v>
      </c>
      <c r="AO2146">
        <v>0</v>
      </c>
      <c r="AP2146">
        <v>0</v>
      </c>
      <c r="AQ2146">
        <v>46.47</v>
      </c>
      <c r="AR2146">
        <v>0</v>
      </c>
      <c r="AS2146">
        <v>0</v>
      </c>
      <c r="AT2146">
        <v>0</v>
      </c>
      <c r="AU2146">
        <v>0</v>
      </c>
      <c r="AV2146">
        <v>0</v>
      </c>
      <c r="AW2146">
        <v>0</v>
      </c>
      <c r="AX2146">
        <v>0</v>
      </c>
      <c r="AY2146">
        <v>0</v>
      </c>
      <c r="AZ2146">
        <v>0</v>
      </c>
      <c r="BA2146">
        <v>0</v>
      </c>
      <c r="BB2146">
        <v>0</v>
      </c>
      <c r="BC2146">
        <v>0</v>
      </c>
      <c r="BD2146">
        <v>0</v>
      </c>
      <c r="BE2146">
        <v>0</v>
      </c>
      <c r="BF2146">
        <v>0</v>
      </c>
      <c r="BG2146">
        <v>0</v>
      </c>
      <c r="BH2146">
        <v>1</v>
      </c>
      <c r="BI2146">
        <v>7</v>
      </c>
      <c r="BJ2146">
        <v>17.7</v>
      </c>
      <c r="BK2146">
        <v>18</v>
      </c>
      <c r="BL2146">
        <v>157.66</v>
      </c>
      <c r="BM2146">
        <v>23.65</v>
      </c>
      <c r="BN2146">
        <v>181.31</v>
      </c>
      <c r="BO2146">
        <v>181.31</v>
      </c>
      <c r="BQ2146" t="s">
        <v>453</v>
      </c>
      <c r="BR2146" t="s">
        <v>84</v>
      </c>
      <c r="BS2146" s="3">
        <v>45797</v>
      </c>
      <c r="BT2146" s="4">
        <v>0.4</v>
      </c>
      <c r="BU2146" t="s">
        <v>1071</v>
      </c>
      <c r="BV2146" t="s">
        <v>86</v>
      </c>
      <c r="BY2146">
        <v>88320</v>
      </c>
      <c r="CA2146" t="s">
        <v>160</v>
      </c>
      <c r="CC2146" t="s">
        <v>80</v>
      </c>
      <c r="CD2146">
        <v>3610</v>
      </c>
      <c r="CE2146" t="s">
        <v>96</v>
      </c>
      <c r="CF2146" s="3">
        <v>45798</v>
      </c>
      <c r="CI2146">
        <v>1</v>
      </c>
      <c r="CJ2146">
        <v>1</v>
      </c>
      <c r="CK2146">
        <v>41</v>
      </c>
      <c r="CL2146" t="s">
        <v>89</v>
      </c>
    </row>
    <row r="2147" spans="1:90" x14ac:dyDescent="0.3">
      <c r="A2147" t="s">
        <v>72</v>
      </c>
      <c r="B2147" t="s">
        <v>73</v>
      </c>
      <c r="C2147" t="s">
        <v>74</v>
      </c>
      <c r="E2147" t="str">
        <f>"080065444030"</f>
        <v>080065444030</v>
      </c>
      <c r="F2147" s="3">
        <v>45796</v>
      </c>
      <c r="G2147">
        <v>202602</v>
      </c>
      <c r="H2147" t="s">
        <v>75</v>
      </c>
      <c r="I2147" t="s">
        <v>76</v>
      </c>
      <c r="J2147" t="s">
        <v>77</v>
      </c>
      <c r="K2147" t="s">
        <v>78</v>
      </c>
      <c r="L2147" t="s">
        <v>90</v>
      </c>
      <c r="M2147" t="s">
        <v>91</v>
      </c>
      <c r="N2147" t="s">
        <v>1411</v>
      </c>
      <c r="O2147" t="s">
        <v>82</v>
      </c>
      <c r="P2147" t="str">
        <f>"4170039426                    "</f>
        <v xml:space="preserve">4170039426                    </v>
      </c>
      <c r="Q2147">
        <v>0</v>
      </c>
      <c r="R2147">
        <v>0</v>
      </c>
      <c r="S2147">
        <v>0</v>
      </c>
      <c r="T2147">
        <v>0</v>
      </c>
      <c r="U2147">
        <v>0</v>
      </c>
      <c r="V2147">
        <v>0</v>
      </c>
      <c r="W2147">
        <v>0</v>
      </c>
      <c r="X2147">
        <v>0</v>
      </c>
      <c r="Y2147">
        <v>0</v>
      </c>
      <c r="Z2147">
        <v>0</v>
      </c>
      <c r="AA2147">
        <v>0</v>
      </c>
      <c r="AB2147">
        <v>0</v>
      </c>
      <c r="AC2147">
        <v>0</v>
      </c>
      <c r="AD2147">
        <v>0</v>
      </c>
      <c r="AE2147">
        <v>0</v>
      </c>
      <c r="AF2147">
        <v>0</v>
      </c>
      <c r="AG2147">
        <v>0</v>
      </c>
      <c r="AH2147">
        <v>0</v>
      </c>
      <c r="AI2147">
        <v>0</v>
      </c>
      <c r="AJ2147">
        <v>0</v>
      </c>
      <c r="AK2147">
        <v>0</v>
      </c>
      <c r="AL2147">
        <v>0</v>
      </c>
      <c r="AM2147">
        <v>0</v>
      </c>
      <c r="AN2147">
        <v>0</v>
      </c>
      <c r="AO2147">
        <v>0</v>
      </c>
      <c r="AP2147">
        <v>0</v>
      </c>
      <c r="AQ2147">
        <v>21.38</v>
      </c>
      <c r="AR2147">
        <v>0</v>
      </c>
      <c r="AS2147">
        <v>0</v>
      </c>
      <c r="AT2147">
        <v>0</v>
      </c>
      <c r="AU2147">
        <v>0</v>
      </c>
      <c r="AV2147">
        <v>0</v>
      </c>
      <c r="AW2147">
        <v>0</v>
      </c>
      <c r="AX2147">
        <v>0</v>
      </c>
      <c r="AY2147">
        <v>0</v>
      </c>
      <c r="AZ2147">
        <v>0</v>
      </c>
      <c r="BA2147">
        <v>0</v>
      </c>
      <c r="BB2147">
        <v>0</v>
      </c>
      <c r="BC2147">
        <v>0</v>
      </c>
      <c r="BD2147">
        <v>0</v>
      </c>
      <c r="BE2147">
        <v>0</v>
      </c>
      <c r="BF2147">
        <v>0</v>
      </c>
      <c r="BG2147">
        <v>0</v>
      </c>
      <c r="BH2147">
        <v>1</v>
      </c>
      <c r="BI2147">
        <v>1</v>
      </c>
      <c r="BJ2147">
        <v>0.2</v>
      </c>
      <c r="BK2147">
        <v>1</v>
      </c>
      <c r="BL2147">
        <v>69.98</v>
      </c>
      <c r="BM2147">
        <v>10.5</v>
      </c>
      <c r="BN2147">
        <v>80.48</v>
      </c>
      <c r="BO2147">
        <v>80.48</v>
      </c>
      <c r="BQ2147" t="s">
        <v>1412</v>
      </c>
      <c r="BR2147" t="s">
        <v>84</v>
      </c>
      <c r="BS2147" s="3">
        <v>45797</v>
      </c>
      <c r="BT2147" s="4">
        <v>0.34722222222222221</v>
      </c>
      <c r="BU2147" t="s">
        <v>2572</v>
      </c>
      <c r="BV2147" t="s">
        <v>86</v>
      </c>
      <c r="BY2147">
        <v>1200</v>
      </c>
      <c r="CA2147" t="s">
        <v>632</v>
      </c>
      <c r="CC2147" t="s">
        <v>91</v>
      </c>
      <c r="CD2147">
        <v>6001</v>
      </c>
      <c r="CE2147" t="s">
        <v>88</v>
      </c>
      <c r="CF2147" s="3">
        <v>45797</v>
      </c>
      <c r="CI2147">
        <v>1</v>
      </c>
      <c r="CJ2147">
        <v>1</v>
      </c>
      <c r="CK2147">
        <v>21</v>
      </c>
      <c r="CL2147" t="s">
        <v>89</v>
      </c>
    </row>
    <row r="2148" spans="1:90" x14ac:dyDescent="0.3">
      <c r="A2148" t="s">
        <v>72</v>
      </c>
      <c r="B2148" t="s">
        <v>73</v>
      </c>
      <c r="C2148" t="s">
        <v>74</v>
      </c>
      <c r="E2148" t="str">
        <f>"080065444106"</f>
        <v>080065444106</v>
      </c>
      <c r="F2148" s="3">
        <v>45796</v>
      </c>
      <c r="G2148">
        <v>202602</v>
      </c>
      <c r="H2148" t="s">
        <v>75</v>
      </c>
      <c r="I2148" t="s">
        <v>76</v>
      </c>
      <c r="J2148" t="s">
        <v>77</v>
      </c>
      <c r="K2148" t="s">
        <v>78</v>
      </c>
      <c r="L2148" t="s">
        <v>103</v>
      </c>
      <c r="M2148" t="s">
        <v>104</v>
      </c>
      <c r="N2148" t="s">
        <v>1815</v>
      </c>
      <c r="O2148" t="s">
        <v>300</v>
      </c>
      <c r="P2148" t="str">
        <f>"4170039248                    "</f>
        <v xml:space="preserve">4170039248                    </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c r="AJ2148">
        <v>0</v>
      </c>
      <c r="AK2148">
        <v>0</v>
      </c>
      <c r="AL2148">
        <v>0</v>
      </c>
      <c r="AM2148">
        <v>0</v>
      </c>
      <c r="AN2148">
        <v>0</v>
      </c>
      <c r="AO2148">
        <v>0</v>
      </c>
      <c r="AP2148">
        <v>0</v>
      </c>
      <c r="AQ2148">
        <v>61.84</v>
      </c>
      <c r="AR2148">
        <v>0</v>
      </c>
      <c r="AS2148">
        <v>0</v>
      </c>
      <c r="AT2148">
        <v>0</v>
      </c>
      <c r="AU2148">
        <v>0</v>
      </c>
      <c r="AV2148">
        <v>0</v>
      </c>
      <c r="AW2148">
        <v>0</v>
      </c>
      <c r="AX2148">
        <v>0</v>
      </c>
      <c r="AY2148">
        <v>0</v>
      </c>
      <c r="AZ2148">
        <v>0</v>
      </c>
      <c r="BA2148">
        <v>0</v>
      </c>
      <c r="BB2148">
        <v>0</v>
      </c>
      <c r="BC2148">
        <v>0</v>
      </c>
      <c r="BD2148">
        <v>0</v>
      </c>
      <c r="BE2148">
        <v>0</v>
      </c>
      <c r="BF2148">
        <v>0</v>
      </c>
      <c r="BG2148">
        <v>0</v>
      </c>
      <c r="BH2148">
        <v>2</v>
      </c>
      <c r="BI2148">
        <v>17</v>
      </c>
      <c r="BJ2148">
        <v>26.3</v>
      </c>
      <c r="BK2148">
        <v>27</v>
      </c>
      <c r="BL2148">
        <v>207.95</v>
      </c>
      <c r="BM2148">
        <v>31.19</v>
      </c>
      <c r="BN2148">
        <v>239.14</v>
      </c>
      <c r="BO2148">
        <v>239.14</v>
      </c>
      <c r="BQ2148" t="s">
        <v>1816</v>
      </c>
      <c r="BR2148" t="s">
        <v>84</v>
      </c>
      <c r="BS2148" s="3">
        <v>45797</v>
      </c>
      <c r="BT2148" s="4">
        <v>0.43055555555555558</v>
      </c>
      <c r="BU2148" t="s">
        <v>1817</v>
      </c>
      <c r="BV2148" t="s">
        <v>86</v>
      </c>
      <c r="BY2148">
        <v>131584</v>
      </c>
      <c r="CA2148" t="s">
        <v>1375</v>
      </c>
      <c r="CC2148" t="s">
        <v>104</v>
      </c>
      <c r="CD2148">
        <v>3201</v>
      </c>
      <c r="CE2148" t="s">
        <v>221</v>
      </c>
      <c r="CF2148" s="3">
        <v>45798</v>
      </c>
      <c r="CI2148">
        <v>2</v>
      </c>
      <c r="CJ2148">
        <v>1</v>
      </c>
      <c r="CK2148">
        <v>41</v>
      </c>
      <c r="CL2148" t="s">
        <v>89</v>
      </c>
    </row>
    <row r="2149" spans="1:90" x14ac:dyDescent="0.3">
      <c r="A2149" t="s">
        <v>72</v>
      </c>
      <c r="B2149" t="s">
        <v>73</v>
      </c>
      <c r="C2149" t="s">
        <v>74</v>
      </c>
      <c r="E2149" t="str">
        <f>"080065444440"</f>
        <v>080065444440</v>
      </c>
      <c r="F2149" s="3">
        <v>45796</v>
      </c>
      <c r="G2149">
        <v>202602</v>
      </c>
      <c r="H2149" t="s">
        <v>75</v>
      </c>
      <c r="I2149" t="s">
        <v>76</v>
      </c>
      <c r="J2149" t="s">
        <v>77</v>
      </c>
      <c r="K2149" t="s">
        <v>78</v>
      </c>
      <c r="L2149" t="s">
        <v>967</v>
      </c>
      <c r="M2149" t="s">
        <v>967</v>
      </c>
      <c r="N2149" t="s">
        <v>968</v>
      </c>
      <c r="O2149" t="s">
        <v>82</v>
      </c>
      <c r="P2149" t="str">
        <f>"4170039215                    "</f>
        <v xml:space="preserve">4170039215                    </v>
      </c>
      <c r="Q2149">
        <v>0</v>
      </c>
      <c r="R2149">
        <v>0</v>
      </c>
      <c r="S2149">
        <v>0</v>
      </c>
      <c r="T2149">
        <v>0</v>
      </c>
      <c r="U2149">
        <v>0</v>
      </c>
      <c r="V2149">
        <v>0</v>
      </c>
      <c r="W2149">
        <v>0</v>
      </c>
      <c r="X2149">
        <v>0</v>
      </c>
      <c r="Y2149">
        <v>0</v>
      </c>
      <c r="Z2149">
        <v>0</v>
      </c>
      <c r="AA2149">
        <v>0</v>
      </c>
      <c r="AB2149">
        <v>0</v>
      </c>
      <c r="AC2149">
        <v>0</v>
      </c>
      <c r="AD2149">
        <v>0</v>
      </c>
      <c r="AE2149">
        <v>0</v>
      </c>
      <c r="AF2149">
        <v>0</v>
      </c>
      <c r="AG2149">
        <v>0</v>
      </c>
      <c r="AH2149">
        <v>0</v>
      </c>
      <c r="AI2149">
        <v>0</v>
      </c>
      <c r="AJ2149">
        <v>0</v>
      </c>
      <c r="AK2149">
        <v>0</v>
      </c>
      <c r="AL2149">
        <v>0</v>
      </c>
      <c r="AM2149">
        <v>0</v>
      </c>
      <c r="AN2149">
        <v>0</v>
      </c>
      <c r="AO2149">
        <v>0</v>
      </c>
      <c r="AP2149">
        <v>0</v>
      </c>
      <c r="AQ2149">
        <v>30.07</v>
      </c>
      <c r="AR2149">
        <v>0</v>
      </c>
      <c r="AS2149">
        <v>0</v>
      </c>
      <c r="AT2149">
        <v>0</v>
      </c>
      <c r="AU2149">
        <v>0</v>
      </c>
      <c r="AV2149">
        <v>0</v>
      </c>
      <c r="AW2149">
        <v>0</v>
      </c>
      <c r="AX2149">
        <v>0</v>
      </c>
      <c r="AY2149">
        <v>0</v>
      </c>
      <c r="AZ2149">
        <v>0</v>
      </c>
      <c r="BA2149">
        <v>0</v>
      </c>
      <c r="BB2149">
        <v>0</v>
      </c>
      <c r="BC2149">
        <v>0</v>
      </c>
      <c r="BD2149">
        <v>0</v>
      </c>
      <c r="BE2149">
        <v>0</v>
      </c>
      <c r="BF2149">
        <v>0</v>
      </c>
      <c r="BG2149">
        <v>0</v>
      </c>
      <c r="BH2149">
        <v>1</v>
      </c>
      <c r="BI2149">
        <v>2</v>
      </c>
      <c r="BJ2149">
        <v>1.3</v>
      </c>
      <c r="BK2149">
        <v>2</v>
      </c>
      <c r="BL2149">
        <v>98.42</v>
      </c>
      <c r="BM2149">
        <v>14.76</v>
      </c>
      <c r="BN2149">
        <v>113.18</v>
      </c>
      <c r="BO2149">
        <v>113.18</v>
      </c>
      <c r="BQ2149" t="s">
        <v>969</v>
      </c>
      <c r="BR2149" t="s">
        <v>84</v>
      </c>
      <c r="BS2149" s="3">
        <v>45797</v>
      </c>
      <c r="BT2149" s="4">
        <v>0.49305555555555558</v>
      </c>
      <c r="BU2149" t="s">
        <v>970</v>
      </c>
      <c r="BV2149" t="s">
        <v>86</v>
      </c>
      <c r="BY2149">
        <v>6450</v>
      </c>
      <c r="CA2149" t="s">
        <v>971</v>
      </c>
      <c r="CC2149" t="s">
        <v>967</v>
      </c>
      <c r="CD2149">
        <v>1490</v>
      </c>
      <c r="CE2149" t="s">
        <v>96</v>
      </c>
      <c r="CF2149" s="3">
        <v>45798</v>
      </c>
      <c r="CI2149">
        <v>1</v>
      </c>
      <c r="CJ2149">
        <v>1</v>
      </c>
      <c r="CK2149">
        <v>24</v>
      </c>
      <c r="CL2149" t="s">
        <v>89</v>
      </c>
    </row>
    <row r="2150" spans="1:90" x14ac:dyDescent="0.3">
      <c r="A2150" t="s">
        <v>72</v>
      </c>
      <c r="B2150" t="s">
        <v>73</v>
      </c>
      <c r="C2150" t="s">
        <v>74</v>
      </c>
      <c r="E2150" t="str">
        <f>"080065444488"</f>
        <v>080065444488</v>
      </c>
      <c r="F2150" s="3">
        <v>45796</v>
      </c>
      <c r="G2150">
        <v>202602</v>
      </c>
      <c r="H2150" t="s">
        <v>75</v>
      </c>
      <c r="I2150" t="s">
        <v>76</v>
      </c>
      <c r="J2150" t="s">
        <v>77</v>
      </c>
      <c r="K2150" t="s">
        <v>78</v>
      </c>
      <c r="L2150" t="s">
        <v>117</v>
      </c>
      <c r="M2150" t="s">
        <v>118</v>
      </c>
      <c r="N2150" t="s">
        <v>2074</v>
      </c>
      <c r="O2150" t="s">
        <v>82</v>
      </c>
      <c r="P2150" t="str">
        <f>"4170039219                    "</f>
        <v xml:space="preserve">4170039219                    </v>
      </c>
      <c r="Q2150">
        <v>0</v>
      </c>
      <c r="R2150">
        <v>0</v>
      </c>
      <c r="S2150">
        <v>0</v>
      </c>
      <c r="T2150">
        <v>0</v>
      </c>
      <c r="U2150">
        <v>0</v>
      </c>
      <c r="V2150">
        <v>0</v>
      </c>
      <c r="W2150">
        <v>0</v>
      </c>
      <c r="X2150">
        <v>0</v>
      </c>
      <c r="Y2150">
        <v>0</v>
      </c>
      <c r="Z2150">
        <v>0</v>
      </c>
      <c r="AA2150">
        <v>0</v>
      </c>
      <c r="AB2150">
        <v>0</v>
      </c>
      <c r="AC2150">
        <v>0</v>
      </c>
      <c r="AD2150">
        <v>0</v>
      </c>
      <c r="AE2150">
        <v>0</v>
      </c>
      <c r="AF2150">
        <v>0</v>
      </c>
      <c r="AG2150">
        <v>0</v>
      </c>
      <c r="AH2150">
        <v>0</v>
      </c>
      <c r="AI2150">
        <v>0</v>
      </c>
      <c r="AJ2150">
        <v>0</v>
      </c>
      <c r="AK2150">
        <v>0</v>
      </c>
      <c r="AL2150">
        <v>0</v>
      </c>
      <c r="AM2150">
        <v>0</v>
      </c>
      <c r="AN2150">
        <v>0</v>
      </c>
      <c r="AO2150">
        <v>0</v>
      </c>
      <c r="AP2150">
        <v>0</v>
      </c>
      <c r="AQ2150">
        <v>16.7</v>
      </c>
      <c r="AR2150">
        <v>0</v>
      </c>
      <c r="AS2150">
        <v>0</v>
      </c>
      <c r="AT2150">
        <v>0</v>
      </c>
      <c r="AU2150">
        <v>0</v>
      </c>
      <c r="AV2150">
        <v>0</v>
      </c>
      <c r="AW2150">
        <v>0</v>
      </c>
      <c r="AX2150">
        <v>0</v>
      </c>
      <c r="AY2150">
        <v>0</v>
      </c>
      <c r="AZ2150">
        <v>0</v>
      </c>
      <c r="BA2150">
        <v>0</v>
      </c>
      <c r="BB2150">
        <v>0</v>
      </c>
      <c r="BC2150">
        <v>0</v>
      </c>
      <c r="BD2150">
        <v>0</v>
      </c>
      <c r="BE2150">
        <v>0</v>
      </c>
      <c r="BF2150">
        <v>0</v>
      </c>
      <c r="BG2150">
        <v>0</v>
      </c>
      <c r="BH2150">
        <v>1</v>
      </c>
      <c r="BI2150">
        <v>1</v>
      </c>
      <c r="BJ2150">
        <v>0.2</v>
      </c>
      <c r="BK2150">
        <v>1</v>
      </c>
      <c r="BL2150">
        <v>54.66</v>
      </c>
      <c r="BM2150">
        <v>8.1999999999999993</v>
      </c>
      <c r="BN2150">
        <v>62.86</v>
      </c>
      <c r="BO2150">
        <v>62.86</v>
      </c>
      <c r="BQ2150" t="s">
        <v>2075</v>
      </c>
      <c r="BR2150" t="s">
        <v>84</v>
      </c>
      <c r="BS2150" s="3">
        <v>45797</v>
      </c>
      <c r="BT2150" s="4">
        <v>0.34305555555555556</v>
      </c>
      <c r="BU2150" t="s">
        <v>950</v>
      </c>
      <c r="BV2150" t="s">
        <v>86</v>
      </c>
      <c r="BY2150">
        <v>1200</v>
      </c>
      <c r="CA2150" t="s">
        <v>1596</v>
      </c>
      <c r="CC2150" t="s">
        <v>118</v>
      </c>
      <c r="CD2150">
        <v>2042</v>
      </c>
      <c r="CE2150" t="s">
        <v>88</v>
      </c>
      <c r="CF2150" s="3">
        <v>45797</v>
      </c>
      <c r="CI2150">
        <v>1</v>
      </c>
      <c r="CJ2150">
        <v>1</v>
      </c>
      <c r="CK2150">
        <v>22</v>
      </c>
      <c r="CL2150" t="s">
        <v>89</v>
      </c>
    </row>
    <row r="2151" spans="1:90" x14ac:dyDescent="0.3">
      <c r="A2151" t="s">
        <v>72</v>
      </c>
      <c r="B2151" t="s">
        <v>73</v>
      </c>
      <c r="C2151" t="s">
        <v>74</v>
      </c>
      <c r="E2151" t="str">
        <f>"080065444532"</f>
        <v>080065444532</v>
      </c>
      <c r="F2151" s="3">
        <v>45796</v>
      </c>
      <c r="G2151">
        <v>202602</v>
      </c>
      <c r="H2151" t="s">
        <v>75</v>
      </c>
      <c r="I2151" t="s">
        <v>76</v>
      </c>
      <c r="J2151" t="s">
        <v>77</v>
      </c>
      <c r="K2151" t="s">
        <v>78</v>
      </c>
      <c r="L2151" t="s">
        <v>130</v>
      </c>
      <c r="M2151" t="s">
        <v>131</v>
      </c>
      <c r="N2151" t="s">
        <v>343</v>
      </c>
      <c r="O2151" t="s">
        <v>82</v>
      </c>
      <c r="P2151" t="str">
        <f>"4170039411                    "</f>
        <v xml:space="preserve">4170039411                    </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c r="AJ2151">
        <v>0</v>
      </c>
      <c r="AK2151">
        <v>0</v>
      </c>
      <c r="AL2151">
        <v>0</v>
      </c>
      <c r="AM2151">
        <v>0</v>
      </c>
      <c r="AN2151">
        <v>0</v>
      </c>
      <c r="AO2151">
        <v>0</v>
      </c>
      <c r="AP2151">
        <v>0</v>
      </c>
      <c r="AQ2151">
        <v>21.38</v>
      </c>
      <c r="AR2151">
        <v>0</v>
      </c>
      <c r="AS2151">
        <v>0</v>
      </c>
      <c r="AT2151">
        <v>0</v>
      </c>
      <c r="AU2151">
        <v>0</v>
      </c>
      <c r="AV2151">
        <v>0</v>
      </c>
      <c r="AW2151">
        <v>0</v>
      </c>
      <c r="AX2151">
        <v>0</v>
      </c>
      <c r="AY2151">
        <v>0</v>
      </c>
      <c r="AZ2151">
        <v>0</v>
      </c>
      <c r="BA2151">
        <v>0</v>
      </c>
      <c r="BB2151">
        <v>0</v>
      </c>
      <c r="BC2151">
        <v>0</v>
      </c>
      <c r="BD2151">
        <v>0</v>
      </c>
      <c r="BE2151">
        <v>0</v>
      </c>
      <c r="BF2151">
        <v>0</v>
      </c>
      <c r="BG2151">
        <v>0</v>
      </c>
      <c r="BH2151">
        <v>1</v>
      </c>
      <c r="BI2151">
        <v>1</v>
      </c>
      <c r="BJ2151">
        <v>0.2</v>
      </c>
      <c r="BK2151">
        <v>1</v>
      </c>
      <c r="BL2151">
        <v>69.98</v>
      </c>
      <c r="BM2151">
        <v>10.5</v>
      </c>
      <c r="BN2151">
        <v>80.48</v>
      </c>
      <c r="BO2151">
        <v>80.48</v>
      </c>
      <c r="BQ2151" t="s">
        <v>344</v>
      </c>
      <c r="BR2151" t="s">
        <v>84</v>
      </c>
      <c r="BS2151" s="3">
        <v>45797</v>
      </c>
      <c r="BT2151" s="4">
        <v>0.40625</v>
      </c>
      <c r="BU2151" t="s">
        <v>1427</v>
      </c>
      <c r="BV2151" t="s">
        <v>86</v>
      </c>
      <c r="BY2151">
        <v>1200</v>
      </c>
      <c r="CA2151" t="s">
        <v>242</v>
      </c>
      <c r="CC2151" t="s">
        <v>131</v>
      </c>
      <c r="CD2151">
        <v>7441</v>
      </c>
      <c r="CE2151" t="s">
        <v>88</v>
      </c>
      <c r="CF2151" s="3">
        <v>45798</v>
      </c>
      <c r="CI2151">
        <v>1</v>
      </c>
      <c r="CJ2151">
        <v>1</v>
      </c>
      <c r="CK2151">
        <v>21</v>
      </c>
      <c r="CL2151" t="s">
        <v>89</v>
      </c>
    </row>
    <row r="2152" spans="1:90" x14ac:dyDescent="0.3">
      <c r="A2152" t="s">
        <v>72</v>
      </c>
      <c r="B2152" t="s">
        <v>73</v>
      </c>
      <c r="C2152" t="s">
        <v>74</v>
      </c>
      <c r="E2152" t="str">
        <f>"080065444741"</f>
        <v>080065444741</v>
      </c>
      <c r="F2152" s="3">
        <v>45796</v>
      </c>
      <c r="G2152">
        <v>202602</v>
      </c>
      <c r="H2152" t="s">
        <v>75</v>
      </c>
      <c r="I2152" t="s">
        <v>76</v>
      </c>
      <c r="J2152" t="s">
        <v>77</v>
      </c>
      <c r="K2152" t="s">
        <v>78</v>
      </c>
      <c r="L2152" t="s">
        <v>79</v>
      </c>
      <c r="M2152" t="s">
        <v>80</v>
      </c>
      <c r="N2152" t="s">
        <v>157</v>
      </c>
      <c r="O2152" t="s">
        <v>300</v>
      </c>
      <c r="P2152" t="str">
        <f>"4170039425                    "</f>
        <v xml:space="preserve">4170039425                    </v>
      </c>
      <c r="Q2152">
        <v>0</v>
      </c>
      <c r="R2152">
        <v>0</v>
      </c>
      <c r="S2152">
        <v>0</v>
      </c>
      <c r="T2152">
        <v>0</v>
      </c>
      <c r="U2152">
        <v>0</v>
      </c>
      <c r="V2152">
        <v>0</v>
      </c>
      <c r="W2152">
        <v>0</v>
      </c>
      <c r="X2152">
        <v>0</v>
      </c>
      <c r="Y2152">
        <v>0</v>
      </c>
      <c r="Z2152">
        <v>0</v>
      </c>
      <c r="AA2152">
        <v>0</v>
      </c>
      <c r="AB2152">
        <v>0</v>
      </c>
      <c r="AC2152">
        <v>0</v>
      </c>
      <c r="AD2152">
        <v>0</v>
      </c>
      <c r="AE2152">
        <v>0</v>
      </c>
      <c r="AF2152">
        <v>0</v>
      </c>
      <c r="AG2152">
        <v>0</v>
      </c>
      <c r="AH2152">
        <v>0</v>
      </c>
      <c r="AI2152">
        <v>0</v>
      </c>
      <c r="AJ2152">
        <v>0</v>
      </c>
      <c r="AK2152">
        <v>0</v>
      </c>
      <c r="AL2152">
        <v>0</v>
      </c>
      <c r="AM2152">
        <v>0</v>
      </c>
      <c r="AN2152">
        <v>0</v>
      </c>
      <c r="AO2152">
        <v>0</v>
      </c>
      <c r="AP2152">
        <v>0</v>
      </c>
      <c r="AQ2152">
        <v>85.74</v>
      </c>
      <c r="AR2152">
        <v>0</v>
      </c>
      <c r="AS2152">
        <v>0</v>
      </c>
      <c r="AT2152">
        <v>0</v>
      </c>
      <c r="AU2152">
        <v>0</v>
      </c>
      <c r="AV2152">
        <v>0</v>
      </c>
      <c r="AW2152">
        <v>0</v>
      </c>
      <c r="AX2152">
        <v>0</v>
      </c>
      <c r="AY2152">
        <v>0</v>
      </c>
      <c r="AZ2152">
        <v>0</v>
      </c>
      <c r="BA2152">
        <v>0</v>
      </c>
      <c r="BB2152">
        <v>0</v>
      </c>
      <c r="BC2152">
        <v>0</v>
      </c>
      <c r="BD2152">
        <v>0</v>
      </c>
      <c r="BE2152">
        <v>0</v>
      </c>
      <c r="BF2152">
        <v>0</v>
      </c>
      <c r="BG2152">
        <v>0</v>
      </c>
      <c r="BH2152">
        <v>1</v>
      </c>
      <c r="BI2152">
        <v>25</v>
      </c>
      <c r="BJ2152">
        <v>40.299999999999997</v>
      </c>
      <c r="BK2152">
        <v>41</v>
      </c>
      <c r="BL2152">
        <v>286.17</v>
      </c>
      <c r="BM2152">
        <v>42.93</v>
      </c>
      <c r="BN2152">
        <v>329.1</v>
      </c>
      <c r="BO2152">
        <v>329.1</v>
      </c>
      <c r="BQ2152" t="s">
        <v>158</v>
      </c>
      <c r="BR2152" t="s">
        <v>84</v>
      </c>
      <c r="BS2152" s="3">
        <v>45797</v>
      </c>
      <c r="BT2152" s="4">
        <v>0.41041666666666665</v>
      </c>
      <c r="BU2152" t="s">
        <v>159</v>
      </c>
      <c r="BV2152" t="s">
        <v>86</v>
      </c>
      <c r="BY2152">
        <v>201480</v>
      </c>
      <c r="CA2152" t="s">
        <v>160</v>
      </c>
      <c r="CC2152" t="s">
        <v>80</v>
      </c>
      <c r="CD2152">
        <v>3610</v>
      </c>
      <c r="CE2152" t="s">
        <v>96</v>
      </c>
      <c r="CF2152" s="3">
        <v>45798</v>
      </c>
      <c r="CI2152">
        <v>1</v>
      </c>
      <c r="CJ2152">
        <v>1</v>
      </c>
      <c r="CK2152">
        <v>41</v>
      </c>
      <c r="CL2152" t="s">
        <v>89</v>
      </c>
    </row>
    <row r="2153" spans="1:90" x14ac:dyDescent="0.3">
      <c r="A2153" t="s">
        <v>72</v>
      </c>
      <c r="B2153" t="s">
        <v>73</v>
      </c>
      <c r="C2153" t="s">
        <v>74</v>
      </c>
      <c r="E2153" t="str">
        <f>"080065445304"</f>
        <v>080065445304</v>
      </c>
      <c r="F2153" s="3">
        <v>45796</v>
      </c>
      <c r="G2153">
        <v>202602</v>
      </c>
      <c r="H2153" t="s">
        <v>75</v>
      </c>
      <c r="I2153" t="s">
        <v>76</v>
      </c>
      <c r="J2153" t="s">
        <v>77</v>
      </c>
      <c r="K2153" t="s">
        <v>78</v>
      </c>
      <c r="L2153" t="s">
        <v>755</v>
      </c>
      <c r="M2153" t="s">
        <v>756</v>
      </c>
      <c r="N2153" t="s">
        <v>2573</v>
      </c>
      <c r="O2153" t="s">
        <v>82</v>
      </c>
      <c r="P2153" t="str">
        <f>"4170039212                    "</f>
        <v xml:space="preserve">4170039212                    </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c r="AI2153">
        <v>0</v>
      </c>
      <c r="AJ2153">
        <v>0</v>
      </c>
      <c r="AK2153">
        <v>0</v>
      </c>
      <c r="AL2153">
        <v>0</v>
      </c>
      <c r="AM2153">
        <v>0</v>
      </c>
      <c r="AN2153">
        <v>0</v>
      </c>
      <c r="AO2153">
        <v>0</v>
      </c>
      <c r="AP2153">
        <v>0</v>
      </c>
      <c r="AQ2153">
        <v>16.7</v>
      </c>
      <c r="AR2153">
        <v>0</v>
      </c>
      <c r="AS2153">
        <v>0</v>
      </c>
      <c r="AT2153">
        <v>0</v>
      </c>
      <c r="AU2153">
        <v>0</v>
      </c>
      <c r="AV2153">
        <v>0</v>
      </c>
      <c r="AW2153">
        <v>0</v>
      </c>
      <c r="AX2153">
        <v>0</v>
      </c>
      <c r="AY2153">
        <v>0</v>
      </c>
      <c r="AZ2153">
        <v>0</v>
      </c>
      <c r="BA2153">
        <v>0</v>
      </c>
      <c r="BB2153">
        <v>0</v>
      </c>
      <c r="BC2153">
        <v>0</v>
      </c>
      <c r="BD2153">
        <v>0</v>
      </c>
      <c r="BE2153">
        <v>0</v>
      </c>
      <c r="BF2153">
        <v>0</v>
      </c>
      <c r="BG2153">
        <v>0</v>
      </c>
      <c r="BH2153">
        <v>1</v>
      </c>
      <c r="BI2153">
        <v>1</v>
      </c>
      <c r="BJ2153">
        <v>0.2</v>
      </c>
      <c r="BK2153">
        <v>1</v>
      </c>
      <c r="BL2153">
        <v>54.66</v>
      </c>
      <c r="BM2153">
        <v>8.1999999999999993</v>
      </c>
      <c r="BN2153">
        <v>62.86</v>
      </c>
      <c r="BO2153">
        <v>62.86</v>
      </c>
      <c r="BQ2153" t="s">
        <v>2574</v>
      </c>
      <c r="BR2153" t="s">
        <v>84</v>
      </c>
      <c r="BS2153" s="3">
        <v>45797</v>
      </c>
      <c r="BT2153" s="4">
        <v>0.41666666666666669</v>
      </c>
      <c r="BU2153" t="s">
        <v>2575</v>
      </c>
      <c r="BV2153" t="s">
        <v>86</v>
      </c>
      <c r="BY2153">
        <v>1200</v>
      </c>
      <c r="CA2153" t="s">
        <v>761</v>
      </c>
      <c r="CC2153" t="s">
        <v>756</v>
      </c>
      <c r="CD2153">
        <v>1682</v>
      </c>
      <c r="CE2153" t="s">
        <v>88</v>
      </c>
      <c r="CF2153" s="3">
        <v>45798</v>
      </c>
      <c r="CI2153">
        <v>1</v>
      </c>
      <c r="CJ2153">
        <v>1</v>
      </c>
      <c r="CK2153">
        <v>22</v>
      </c>
      <c r="CL2153" t="s">
        <v>89</v>
      </c>
    </row>
    <row r="2154" spans="1:90" x14ac:dyDescent="0.3">
      <c r="A2154" t="s">
        <v>72</v>
      </c>
      <c r="B2154" t="s">
        <v>73</v>
      </c>
      <c r="C2154" t="s">
        <v>74</v>
      </c>
      <c r="E2154" t="str">
        <f>"080065445342"</f>
        <v>080065445342</v>
      </c>
      <c r="F2154" s="3">
        <v>45796</v>
      </c>
      <c r="G2154">
        <v>202602</v>
      </c>
      <c r="H2154" t="s">
        <v>75</v>
      </c>
      <c r="I2154" t="s">
        <v>76</v>
      </c>
      <c r="J2154" t="s">
        <v>77</v>
      </c>
      <c r="K2154" t="s">
        <v>78</v>
      </c>
      <c r="L2154" t="s">
        <v>103</v>
      </c>
      <c r="M2154" t="s">
        <v>104</v>
      </c>
      <c r="N2154" t="s">
        <v>105</v>
      </c>
      <c r="O2154" t="s">
        <v>82</v>
      </c>
      <c r="P2154" t="str">
        <f>"4170039270                    "</f>
        <v xml:space="preserve">4170039270                    </v>
      </c>
      <c r="Q2154">
        <v>0</v>
      </c>
      <c r="R2154">
        <v>0</v>
      </c>
      <c r="S2154">
        <v>0</v>
      </c>
      <c r="T2154">
        <v>0</v>
      </c>
      <c r="U2154">
        <v>0</v>
      </c>
      <c r="V2154">
        <v>0</v>
      </c>
      <c r="W2154">
        <v>0</v>
      </c>
      <c r="X2154">
        <v>0</v>
      </c>
      <c r="Y2154">
        <v>0</v>
      </c>
      <c r="Z2154">
        <v>0</v>
      </c>
      <c r="AA2154">
        <v>0</v>
      </c>
      <c r="AB2154">
        <v>0</v>
      </c>
      <c r="AC2154">
        <v>0</v>
      </c>
      <c r="AD2154">
        <v>0</v>
      </c>
      <c r="AE2154">
        <v>0</v>
      </c>
      <c r="AF2154">
        <v>0</v>
      </c>
      <c r="AG2154">
        <v>0</v>
      </c>
      <c r="AH2154">
        <v>0</v>
      </c>
      <c r="AI2154">
        <v>0</v>
      </c>
      <c r="AJ2154">
        <v>0</v>
      </c>
      <c r="AK2154">
        <v>0</v>
      </c>
      <c r="AL2154">
        <v>0</v>
      </c>
      <c r="AM2154">
        <v>0</v>
      </c>
      <c r="AN2154">
        <v>0</v>
      </c>
      <c r="AO2154">
        <v>0</v>
      </c>
      <c r="AP2154">
        <v>0</v>
      </c>
      <c r="AQ2154">
        <v>80.14</v>
      </c>
      <c r="AR2154">
        <v>0</v>
      </c>
      <c r="AS2154">
        <v>0</v>
      </c>
      <c r="AT2154">
        <v>0</v>
      </c>
      <c r="AU2154">
        <v>0</v>
      </c>
      <c r="AV2154">
        <v>0</v>
      </c>
      <c r="AW2154">
        <v>0</v>
      </c>
      <c r="AX2154">
        <v>0</v>
      </c>
      <c r="AY2154">
        <v>0</v>
      </c>
      <c r="AZ2154">
        <v>0</v>
      </c>
      <c r="BA2154">
        <v>0</v>
      </c>
      <c r="BB2154">
        <v>0</v>
      </c>
      <c r="BC2154">
        <v>0</v>
      </c>
      <c r="BD2154">
        <v>0</v>
      </c>
      <c r="BE2154">
        <v>0</v>
      </c>
      <c r="BF2154">
        <v>0</v>
      </c>
      <c r="BG2154">
        <v>0</v>
      </c>
      <c r="BH2154">
        <v>1</v>
      </c>
      <c r="BI2154">
        <v>6</v>
      </c>
      <c r="BJ2154">
        <v>7.5</v>
      </c>
      <c r="BK2154">
        <v>7.5</v>
      </c>
      <c r="BL2154">
        <v>262.27999999999997</v>
      </c>
      <c r="BM2154">
        <v>39.340000000000003</v>
      </c>
      <c r="BN2154">
        <v>301.62</v>
      </c>
      <c r="BO2154">
        <v>301.62</v>
      </c>
      <c r="BQ2154" t="s">
        <v>106</v>
      </c>
      <c r="BR2154" t="s">
        <v>84</v>
      </c>
      <c r="BS2154" s="3">
        <v>45797</v>
      </c>
      <c r="BT2154" s="4">
        <v>0.41666666666666669</v>
      </c>
      <c r="BU2154" t="s">
        <v>2540</v>
      </c>
      <c r="BV2154" t="s">
        <v>86</v>
      </c>
      <c r="BY2154">
        <v>37544</v>
      </c>
      <c r="CA2154" t="s">
        <v>108</v>
      </c>
      <c r="CC2154" t="s">
        <v>104</v>
      </c>
      <c r="CD2154">
        <v>3201</v>
      </c>
      <c r="CE2154" t="s">
        <v>221</v>
      </c>
      <c r="CF2154" s="3">
        <v>45798</v>
      </c>
      <c r="CI2154">
        <v>1</v>
      </c>
      <c r="CJ2154">
        <v>1</v>
      </c>
      <c r="CK2154">
        <v>21</v>
      </c>
      <c r="CL2154" t="s">
        <v>89</v>
      </c>
    </row>
    <row r="2155" spans="1:90" x14ac:dyDescent="0.3">
      <c r="A2155" t="s">
        <v>72</v>
      </c>
      <c r="B2155" t="s">
        <v>73</v>
      </c>
      <c r="C2155" t="s">
        <v>74</v>
      </c>
      <c r="E2155" t="str">
        <f>"080065445395"</f>
        <v>080065445395</v>
      </c>
      <c r="F2155" s="3">
        <v>45796</v>
      </c>
      <c r="G2155">
        <v>202602</v>
      </c>
      <c r="H2155" t="s">
        <v>75</v>
      </c>
      <c r="I2155" t="s">
        <v>76</v>
      </c>
      <c r="J2155" t="s">
        <v>77</v>
      </c>
      <c r="K2155" t="s">
        <v>78</v>
      </c>
      <c r="L2155" t="s">
        <v>130</v>
      </c>
      <c r="M2155" t="s">
        <v>131</v>
      </c>
      <c r="N2155" t="s">
        <v>709</v>
      </c>
      <c r="O2155" t="s">
        <v>82</v>
      </c>
      <c r="P2155" t="str">
        <f>"4170039183                    "</f>
        <v xml:space="preserve">4170039183                    </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c r="AJ2155">
        <v>0</v>
      </c>
      <c r="AK2155">
        <v>0</v>
      </c>
      <c r="AL2155">
        <v>0</v>
      </c>
      <c r="AM2155">
        <v>0</v>
      </c>
      <c r="AN2155">
        <v>0</v>
      </c>
      <c r="AO2155">
        <v>0</v>
      </c>
      <c r="AP2155">
        <v>0</v>
      </c>
      <c r="AQ2155">
        <v>21.38</v>
      </c>
      <c r="AR2155">
        <v>0</v>
      </c>
      <c r="AS2155">
        <v>0</v>
      </c>
      <c r="AT2155">
        <v>0</v>
      </c>
      <c r="AU2155">
        <v>0</v>
      </c>
      <c r="AV2155">
        <v>0</v>
      </c>
      <c r="AW2155">
        <v>0</v>
      </c>
      <c r="AX2155">
        <v>0</v>
      </c>
      <c r="AY2155">
        <v>0</v>
      </c>
      <c r="AZ2155">
        <v>0</v>
      </c>
      <c r="BA2155">
        <v>0</v>
      </c>
      <c r="BB2155">
        <v>0</v>
      </c>
      <c r="BC2155">
        <v>0</v>
      </c>
      <c r="BD2155">
        <v>0</v>
      </c>
      <c r="BE2155">
        <v>0</v>
      </c>
      <c r="BF2155">
        <v>0</v>
      </c>
      <c r="BG2155">
        <v>0</v>
      </c>
      <c r="BH2155">
        <v>1</v>
      </c>
      <c r="BI2155">
        <v>2</v>
      </c>
      <c r="BJ2155">
        <v>0.9</v>
      </c>
      <c r="BK2155">
        <v>2</v>
      </c>
      <c r="BL2155">
        <v>69.98</v>
      </c>
      <c r="BM2155">
        <v>10.5</v>
      </c>
      <c r="BN2155">
        <v>80.48</v>
      </c>
      <c r="BO2155">
        <v>80.48</v>
      </c>
      <c r="BQ2155" t="s">
        <v>710</v>
      </c>
      <c r="BR2155" t="s">
        <v>84</v>
      </c>
      <c r="BS2155" s="3">
        <v>45797</v>
      </c>
      <c r="BT2155" s="4">
        <v>0.34027777777777779</v>
      </c>
      <c r="BU2155" t="s">
        <v>711</v>
      </c>
      <c r="BV2155" t="s">
        <v>86</v>
      </c>
      <c r="BY2155">
        <v>4560</v>
      </c>
      <c r="CA2155" t="s">
        <v>712</v>
      </c>
      <c r="CC2155" t="s">
        <v>131</v>
      </c>
      <c r="CD2155">
        <v>7530</v>
      </c>
      <c r="CE2155" t="s">
        <v>116</v>
      </c>
      <c r="CF2155" s="3">
        <v>45798</v>
      </c>
      <c r="CI2155">
        <v>1</v>
      </c>
      <c r="CJ2155">
        <v>1</v>
      </c>
      <c r="CK2155">
        <v>21</v>
      </c>
      <c r="CL2155" t="s">
        <v>89</v>
      </c>
    </row>
    <row r="2156" spans="1:90" x14ac:dyDescent="0.3">
      <c r="A2156" t="s">
        <v>72</v>
      </c>
      <c r="B2156" t="s">
        <v>73</v>
      </c>
      <c r="C2156" t="s">
        <v>74</v>
      </c>
      <c r="E2156" t="str">
        <f>"080065445510"</f>
        <v>080065445510</v>
      </c>
      <c r="F2156" s="3">
        <v>45796</v>
      </c>
      <c r="G2156">
        <v>202602</v>
      </c>
      <c r="H2156" t="s">
        <v>75</v>
      </c>
      <c r="I2156" t="s">
        <v>76</v>
      </c>
      <c r="J2156" t="s">
        <v>77</v>
      </c>
      <c r="K2156" t="s">
        <v>78</v>
      </c>
      <c r="L2156" t="s">
        <v>287</v>
      </c>
      <c r="M2156" t="s">
        <v>288</v>
      </c>
      <c r="N2156" t="s">
        <v>289</v>
      </c>
      <c r="O2156" t="s">
        <v>82</v>
      </c>
      <c r="P2156" t="str">
        <f>"4170039173                    "</f>
        <v xml:space="preserve">4170039173                    </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0</v>
      </c>
      <c r="AL2156">
        <v>0</v>
      </c>
      <c r="AM2156">
        <v>0</v>
      </c>
      <c r="AN2156">
        <v>0</v>
      </c>
      <c r="AO2156">
        <v>0</v>
      </c>
      <c r="AP2156">
        <v>0</v>
      </c>
      <c r="AQ2156">
        <v>97.56</v>
      </c>
      <c r="AR2156">
        <v>0</v>
      </c>
      <c r="AS2156">
        <v>0</v>
      </c>
      <c r="AT2156">
        <v>0</v>
      </c>
      <c r="AU2156">
        <v>0</v>
      </c>
      <c r="AV2156">
        <v>0</v>
      </c>
      <c r="AW2156">
        <v>0</v>
      </c>
      <c r="AX2156">
        <v>0</v>
      </c>
      <c r="AY2156">
        <v>0</v>
      </c>
      <c r="AZ2156">
        <v>0</v>
      </c>
      <c r="BA2156">
        <v>0</v>
      </c>
      <c r="BB2156">
        <v>0</v>
      </c>
      <c r="BC2156">
        <v>0</v>
      </c>
      <c r="BD2156">
        <v>0</v>
      </c>
      <c r="BE2156">
        <v>0</v>
      </c>
      <c r="BF2156">
        <v>0</v>
      </c>
      <c r="BG2156">
        <v>0</v>
      </c>
      <c r="BH2156">
        <v>1</v>
      </c>
      <c r="BI2156">
        <v>5</v>
      </c>
      <c r="BJ2156">
        <v>2</v>
      </c>
      <c r="BK2156">
        <v>5</v>
      </c>
      <c r="BL2156">
        <v>319.27999999999997</v>
      </c>
      <c r="BM2156">
        <v>47.89</v>
      </c>
      <c r="BN2156">
        <v>367.17</v>
      </c>
      <c r="BO2156">
        <v>367.17</v>
      </c>
      <c r="BQ2156" t="s">
        <v>290</v>
      </c>
      <c r="BR2156" t="s">
        <v>84</v>
      </c>
      <c r="BS2156" s="3">
        <v>45797</v>
      </c>
      <c r="BT2156" s="4">
        <v>0.49652777777777779</v>
      </c>
      <c r="BU2156" t="s">
        <v>291</v>
      </c>
      <c r="BV2156" t="s">
        <v>86</v>
      </c>
      <c r="BY2156">
        <v>9918</v>
      </c>
      <c r="CA2156" t="s">
        <v>292</v>
      </c>
      <c r="CC2156" t="s">
        <v>288</v>
      </c>
      <c r="CD2156">
        <v>6715</v>
      </c>
      <c r="CE2156" t="s">
        <v>96</v>
      </c>
      <c r="CF2156" s="3">
        <v>45798</v>
      </c>
      <c r="CI2156">
        <v>2</v>
      </c>
      <c r="CJ2156">
        <v>1</v>
      </c>
      <c r="CK2156">
        <v>23</v>
      </c>
      <c r="CL2156" t="s">
        <v>89</v>
      </c>
    </row>
    <row r="2157" spans="1:90" x14ac:dyDescent="0.3">
      <c r="A2157" t="s">
        <v>72</v>
      </c>
      <c r="B2157" t="s">
        <v>73</v>
      </c>
      <c r="C2157" t="s">
        <v>74</v>
      </c>
      <c r="E2157" t="str">
        <f>"080065445513"</f>
        <v>080065445513</v>
      </c>
      <c r="F2157" s="3">
        <v>45796</v>
      </c>
      <c r="G2157">
        <v>202602</v>
      </c>
      <c r="H2157" t="s">
        <v>75</v>
      </c>
      <c r="I2157" t="s">
        <v>76</v>
      </c>
      <c r="J2157" t="s">
        <v>77</v>
      </c>
      <c r="K2157" t="s">
        <v>78</v>
      </c>
      <c r="L2157" t="s">
        <v>232</v>
      </c>
      <c r="M2157" t="s">
        <v>233</v>
      </c>
      <c r="N2157" t="s">
        <v>834</v>
      </c>
      <c r="O2157" t="s">
        <v>82</v>
      </c>
      <c r="P2157" t="str">
        <f>"4170039155                    "</f>
        <v xml:space="preserve">4170039155                    </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0</v>
      </c>
      <c r="AL2157">
        <v>0</v>
      </c>
      <c r="AM2157">
        <v>0</v>
      </c>
      <c r="AN2157">
        <v>0</v>
      </c>
      <c r="AO2157">
        <v>0</v>
      </c>
      <c r="AP2157">
        <v>0</v>
      </c>
      <c r="AQ2157">
        <v>21.38</v>
      </c>
      <c r="AR2157">
        <v>0</v>
      </c>
      <c r="AS2157">
        <v>0</v>
      </c>
      <c r="AT2157">
        <v>0</v>
      </c>
      <c r="AU2157">
        <v>0</v>
      </c>
      <c r="AV2157">
        <v>0</v>
      </c>
      <c r="AW2157">
        <v>0</v>
      </c>
      <c r="AX2157">
        <v>0</v>
      </c>
      <c r="AY2157">
        <v>0</v>
      </c>
      <c r="AZ2157">
        <v>0</v>
      </c>
      <c r="BA2157">
        <v>0</v>
      </c>
      <c r="BB2157">
        <v>0</v>
      </c>
      <c r="BC2157">
        <v>0</v>
      </c>
      <c r="BD2157">
        <v>0</v>
      </c>
      <c r="BE2157">
        <v>0</v>
      </c>
      <c r="BF2157">
        <v>0</v>
      </c>
      <c r="BG2157">
        <v>0</v>
      </c>
      <c r="BH2157">
        <v>1</v>
      </c>
      <c r="BI2157">
        <v>1</v>
      </c>
      <c r="BJ2157">
        <v>0.2</v>
      </c>
      <c r="BK2157">
        <v>1</v>
      </c>
      <c r="BL2157">
        <v>69.98</v>
      </c>
      <c r="BM2157">
        <v>10.5</v>
      </c>
      <c r="BN2157">
        <v>80.48</v>
      </c>
      <c r="BO2157">
        <v>80.48</v>
      </c>
      <c r="BQ2157" t="s">
        <v>835</v>
      </c>
      <c r="BR2157" t="s">
        <v>84</v>
      </c>
      <c r="BS2157" s="3">
        <v>45797</v>
      </c>
      <c r="BT2157" s="4">
        <v>0.35208333333333336</v>
      </c>
      <c r="BU2157" t="s">
        <v>836</v>
      </c>
      <c r="BV2157" t="s">
        <v>86</v>
      </c>
      <c r="BY2157">
        <v>1200</v>
      </c>
      <c r="CA2157" t="s">
        <v>258</v>
      </c>
      <c r="CC2157" t="s">
        <v>233</v>
      </c>
      <c r="CD2157" s="5" t="s">
        <v>238</v>
      </c>
      <c r="CE2157" t="s">
        <v>88</v>
      </c>
      <c r="CF2157" s="3">
        <v>45797</v>
      </c>
      <c r="CI2157">
        <v>1</v>
      </c>
      <c r="CJ2157">
        <v>1</v>
      </c>
      <c r="CK2157">
        <v>21</v>
      </c>
      <c r="CL2157" t="s">
        <v>89</v>
      </c>
    </row>
    <row r="2158" spans="1:90" x14ac:dyDescent="0.3">
      <c r="A2158" t="s">
        <v>72</v>
      </c>
      <c r="B2158" t="s">
        <v>73</v>
      </c>
      <c r="C2158" t="s">
        <v>74</v>
      </c>
      <c r="E2158" t="str">
        <f>"080065445580"</f>
        <v>080065445580</v>
      </c>
      <c r="F2158" s="3">
        <v>45796</v>
      </c>
      <c r="G2158">
        <v>202602</v>
      </c>
      <c r="H2158" t="s">
        <v>75</v>
      </c>
      <c r="I2158" t="s">
        <v>76</v>
      </c>
      <c r="J2158" t="s">
        <v>77</v>
      </c>
      <c r="K2158" t="s">
        <v>78</v>
      </c>
      <c r="L2158" t="s">
        <v>103</v>
      </c>
      <c r="M2158" t="s">
        <v>104</v>
      </c>
      <c r="N2158" t="s">
        <v>633</v>
      </c>
      <c r="O2158" t="s">
        <v>82</v>
      </c>
      <c r="P2158" t="str">
        <f>"4170039194                    "</f>
        <v xml:space="preserve">4170039194                    </v>
      </c>
      <c r="Q2158">
        <v>0</v>
      </c>
      <c r="R2158">
        <v>0</v>
      </c>
      <c r="S2158">
        <v>0</v>
      </c>
      <c r="T2158">
        <v>0</v>
      </c>
      <c r="U2158">
        <v>0</v>
      </c>
      <c r="V2158">
        <v>0</v>
      </c>
      <c r="W2158">
        <v>0</v>
      </c>
      <c r="X2158">
        <v>0</v>
      </c>
      <c r="Y2158">
        <v>0</v>
      </c>
      <c r="Z2158">
        <v>0</v>
      </c>
      <c r="AA2158">
        <v>0</v>
      </c>
      <c r="AB2158">
        <v>0</v>
      </c>
      <c r="AC2158">
        <v>0</v>
      </c>
      <c r="AD2158">
        <v>0</v>
      </c>
      <c r="AE2158">
        <v>0</v>
      </c>
      <c r="AF2158">
        <v>0</v>
      </c>
      <c r="AG2158">
        <v>0</v>
      </c>
      <c r="AH2158">
        <v>0</v>
      </c>
      <c r="AI2158">
        <v>0</v>
      </c>
      <c r="AJ2158">
        <v>0</v>
      </c>
      <c r="AK2158">
        <v>0</v>
      </c>
      <c r="AL2158">
        <v>0</v>
      </c>
      <c r="AM2158">
        <v>0</v>
      </c>
      <c r="AN2158">
        <v>0</v>
      </c>
      <c r="AO2158">
        <v>0</v>
      </c>
      <c r="AP2158">
        <v>0</v>
      </c>
      <c r="AQ2158">
        <v>64.12</v>
      </c>
      <c r="AR2158">
        <v>0</v>
      </c>
      <c r="AS2158">
        <v>0</v>
      </c>
      <c r="AT2158">
        <v>0</v>
      </c>
      <c r="AU2158">
        <v>0</v>
      </c>
      <c r="AV2158">
        <v>0</v>
      </c>
      <c r="AW2158">
        <v>0</v>
      </c>
      <c r="AX2158">
        <v>0</v>
      </c>
      <c r="AY2158">
        <v>0</v>
      </c>
      <c r="AZ2158">
        <v>0</v>
      </c>
      <c r="BA2158">
        <v>0</v>
      </c>
      <c r="BB2158">
        <v>0</v>
      </c>
      <c r="BC2158">
        <v>0</v>
      </c>
      <c r="BD2158">
        <v>0</v>
      </c>
      <c r="BE2158">
        <v>0</v>
      </c>
      <c r="BF2158">
        <v>0</v>
      </c>
      <c r="BG2158">
        <v>0</v>
      </c>
      <c r="BH2158">
        <v>1</v>
      </c>
      <c r="BI2158">
        <v>6</v>
      </c>
      <c r="BJ2158">
        <v>2</v>
      </c>
      <c r="BK2158">
        <v>6</v>
      </c>
      <c r="BL2158">
        <v>209.84</v>
      </c>
      <c r="BM2158">
        <v>31.48</v>
      </c>
      <c r="BN2158">
        <v>241.32</v>
      </c>
      <c r="BO2158">
        <v>241.32</v>
      </c>
      <c r="BQ2158" t="s">
        <v>634</v>
      </c>
      <c r="BR2158" t="s">
        <v>84</v>
      </c>
      <c r="BS2158" s="3">
        <v>45797</v>
      </c>
      <c r="BT2158" s="4">
        <v>0.4826388888888889</v>
      </c>
      <c r="BU2158" t="s">
        <v>635</v>
      </c>
      <c r="BV2158" t="s">
        <v>86</v>
      </c>
      <c r="BY2158">
        <v>9918</v>
      </c>
      <c r="CA2158" t="s">
        <v>440</v>
      </c>
      <c r="CC2158" t="s">
        <v>104</v>
      </c>
      <c r="CD2158">
        <v>3212</v>
      </c>
      <c r="CE2158" t="s">
        <v>96</v>
      </c>
      <c r="CF2158" s="3">
        <v>45797</v>
      </c>
      <c r="CI2158">
        <v>2</v>
      </c>
      <c r="CJ2158">
        <v>1</v>
      </c>
      <c r="CK2158">
        <v>21</v>
      </c>
      <c r="CL2158" t="s">
        <v>89</v>
      </c>
    </row>
    <row r="2159" spans="1:90" x14ac:dyDescent="0.3">
      <c r="A2159" t="s">
        <v>72</v>
      </c>
      <c r="B2159" t="s">
        <v>73</v>
      </c>
      <c r="C2159" t="s">
        <v>74</v>
      </c>
      <c r="E2159" t="str">
        <f>"080065445618"</f>
        <v>080065445618</v>
      </c>
      <c r="F2159" s="3">
        <v>45796</v>
      </c>
      <c r="G2159">
        <v>202602</v>
      </c>
      <c r="H2159" t="s">
        <v>75</v>
      </c>
      <c r="I2159" t="s">
        <v>76</v>
      </c>
      <c r="J2159" t="s">
        <v>77</v>
      </c>
      <c r="K2159" t="s">
        <v>78</v>
      </c>
      <c r="L2159" t="s">
        <v>130</v>
      </c>
      <c r="M2159" t="s">
        <v>131</v>
      </c>
      <c r="N2159" t="s">
        <v>239</v>
      </c>
      <c r="O2159" t="s">
        <v>82</v>
      </c>
      <c r="P2159" t="str">
        <f>"4170039346                    "</f>
        <v xml:space="preserve">4170039346                    </v>
      </c>
      <c r="Q2159">
        <v>0</v>
      </c>
      <c r="R2159">
        <v>0</v>
      </c>
      <c r="S2159">
        <v>0</v>
      </c>
      <c r="T2159">
        <v>0</v>
      </c>
      <c r="U2159">
        <v>0</v>
      </c>
      <c r="V2159">
        <v>0</v>
      </c>
      <c r="W2159">
        <v>0</v>
      </c>
      <c r="X2159">
        <v>0</v>
      </c>
      <c r="Y2159">
        <v>0</v>
      </c>
      <c r="Z2159">
        <v>0</v>
      </c>
      <c r="AA2159">
        <v>0</v>
      </c>
      <c r="AB2159">
        <v>0</v>
      </c>
      <c r="AC2159">
        <v>0</v>
      </c>
      <c r="AD2159">
        <v>0</v>
      </c>
      <c r="AE2159">
        <v>0</v>
      </c>
      <c r="AF2159">
        <v>0</v>
      </c>
      <c r="AG2159">
        <v>0</v>
      </c>
      <c r="AH2159">
        <v>0</v>
      </c>
      <c r="AI2159">
        <v>0</v>
      </c>
      <c r="AJ2159">
        <v>0</v>
      </c>
      <c r="AK2159">
        <v>0</v>
      </c>
      <c r="AL2159">
        <v>0</v>
      </c>
      <c r="AM2159">
        <v>0</v>
      </c>
      <c r="AN2159">
        <v>0</v>
      </c>
      <c r="AO2159">
        <v>0</v>
      </c>
      <c r="AP2159">
        <v>0</v>
      </c>
      <c r="AQ2159">
        <v>53.43</v>
      </c>
      <c r="AR2159">
        <v>0</v>
      </c>
      <c r="AS2159">
        <v>0</v>
      </c>
      <c r="AT2159">
        <v>0</v>
      </c>
      <c r="AU2159">
        <v>0</v>
      </c>
      <c r="AV2159">
        <v>0</v>
      </c>
      <c r="AW2159">
        <v>0</v>
      </c>
      <c r="AX2159">
        <v>0</v>
      </c>
      <c r="AY2159">
        <v>0</v>
      </c>
      <c r="AZ2159">
        <v>0</v>
      </c>
      <c r="BA2159">
        <v>0</v>
      </c>
      <c r="BB2159">
        <v>0</v>
      </c>
      <c r="BC2159">
        <v>0</v>
      </c>
      <c r="BD2159">
        <v>0</v>
      </c>
      <c r="BE2159">
        <v>0</v>
      </c>
      <c r="BF2159">
        <v>0</v>
      </c>
      <c r="BG2159">
        <v>0</v>
      </c>
      <c r="BH2159">
        <v>1</v>
      </c>
      <c r="BI2159">
        <v>5</v>
      </c>
      <c r="BJ2159">
        <v>3.9</v>
      </c>
      <c r="BK2159">
        <v>5</v>
      </c>
      <c r="BL2159">
        <v>174.87</v>
      </c>
      <c r="BM2159">
        <v>26.23</v>
      </c>
      <c r="BN2159">
        <v>201.1</v>
      </c>
      <c r="BO2159">
        <v>201.1</v>
      </c>
      <c r="BQ2159" t="s">
        <v>240</v>
      </c>
      <c r="BR2159" t="s">
        <v>84</v>
      </c>
      <c r="BS2159" s="3">
        <v>45797</v>
      </c>
      <c r="BT2159" s="4">
        <v>0.3611111111111111</v>
      </c>
      <c r="BU2159" t="s">
        <v>2541</v>
      </c>
      <c r="BV2159" t="s">
        <v>86</v>
      </c>
      <c r="BY2159">
        <v>19360</v>
      </c>
      <c r="CA2159" t="s">
        <v>1634</v>
      </c>
      <c r="CC2159" t="s">
        <v>131</v>
      </c>
      <c r="CD2159">
        <v>7441</v>
      </c>
      <c r="CE2159" t="s">
        <v>221</v>
      </c>
      <c r="CF2159" s="3">
        <v>45798</v>
      </c>
      <c r="CI2159">
        <v>1</v>
      </c>
      <c r="CJ2159">
        <v>1</v>
      </c>
      <c r="CK2159">
        <v>21</v>
      </c>
      <c r="CL2159" t="s">
        <v>89</v>
      </c>
    </row>
    <row r="2160" spans="1:90" x14ac:dyDescent="0.3">
      <c r="A2160" t="s">
        <v>72</v>
      </c>
      <c r="B2160" t="s">
        <v>73</v>
      </c>
      <c r="C2160" t="s">
        <v>74</v>
      </c>
      <c r="E2160" t="str">
        <f>"080065445602"</f>
        <v>080065445602</v>
      </c>
      <c r="F2160" s="3">
        <v>45796</v>
      </c>
      <c r="G2160">
        <v>202602</v>
      </c>
      <c r="H2160" t="s">
        <v>75</v>
      </c>
      <c r="I2160" t="s">
        <v>76</v>
      </c>
      <c r="J2160" t="s">
        <v>77</v>
      </c>
      <c r="K2160" t="s">
        <v>78</v>
      </c>
      <c r="L2160" t="s">
        <v>463</v>
      </c>
      <c r="M2160" t="s">
        <v>464</v>
      </c>
      <c r="N2160" t="s">
        <v>585</v>
      </c>
      <c r="O2160" t="s">
        <v>82</v>
      </c>
      <c r="P2160" t="str">
        <f>"4170039409                    "</f>
        <v xml:space="preserve">4170039409                    </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c r="AI2160">
        <v>0</v>
      </c>
      <c r="AJ2160">
        <v>0</v>
      </c>
      <c r="AK2160">
        <v>0</v>
      </c>
      <c r="AL2160">
        <v>0</v>
      </c>
      <c r="AM2160">
        <v>0</v>
      </c>
      <c r="AN2160">
        <v>0</v>
      </c>
      <c r="AO2160">
        <v>0</v>
      </c>
      <c r="AP2160">
        <v>0</v>
      </c>
      <c r="AQ2160">
        <v>21.38</v>
      </c>
      <c r="AR2160">
        <v>0</v>
      </c>
      <c r="AS2160">
        <v>0</v>
      </c>
      <c r="AT2160">
        <v>0</v>
      </c>
      <c r="AU2160">
        <v>0</v>
      </c>
      <c r="AV2160">
        <v>0</v>
      </c>
      <c r="AW2160">
        <v>0</v>
      </c>
      <c r="AX2160">
        <v>0</v>
      </c>
      <c r="AY2160">
        <v>0</v>
      </c>
      <c r="AZ2160">
        <v>0</v>
      </c>
      <c r="BA2160">
        <v>0</v>
      </c>
      <c r="BB2160">
        <v>0</v>
      </c>
      <c r="BC2160">
        <v>0</v>
      </c>
      <c r="BD2160">
        <v>0</v>
      </c>
      <c r="BE2160">
        <v>0</v>
      </c>
      <c r="BF2160">
        <v>0</v>
      </c>
      <c r="BG2160">
        <v>0</v>
      </c>
      <c r="BH2160">
        <v>1</v>
      </c>
      <c r="BI2160">
        <v>1</v>
      </c>
      <c r="BJ2160">
        <v>0.2</v>
      </c>
      <c r="BK2160">
        <v>1</v>
      </c>
      <c r="BL2160">
        <v>69.98</v>
      </c>
      <c r="BM2160">
        <v>10.5</v>
      </c>
      <c r="BN2160">
        <v>80.48</v>
      </c>
      <c r="BO2160">
        <v>80.48</v>
      </c>
      <c r="BQ2160" t="s">
        <v>586</v>
      </c>
      <c r="BR2160" t="s">
        <v>84</v>
      </c>
      <c r="BS2160" s="3">
        <v>45797</v>
      </c>
      <c r="BT2160" s="4">
        <v>0.4513888888888889</v>
      </c>
      <c r="BU2160" t="s">
        <v>2297</v>
      </c>
      <c r="BV2160" t="s">
        <v>89</v>
      </c>
      <c r="BY2160">
        <v>1200</v>
      </c>
      <c r="CA2160" t="s">
        <v>588</v>
      </c>
      <c r="CC2160" t="s">
        <v>464</v>
      </c>
      <c r="CD2160">
        <v>5201</v>
      </c>
      <c r="CE2160" t="s">
        <v>88</v>
      </c>
      <c r="CF2160" s="3">
        <v>45797</v>
      </c>
      <c r="CI2160">
        <v>1</v>
      </c>
      <c r="CJ2160">
        <v>1</v>
      </c>
      <c r="CK2160">
        <v>21</v>
      </c>
      <c r="CL2160" t="s">
        <v>89</v>
      </c>
    </row>
    <row r="2161" spans="1:90" x14ac:dyDescent="0.3">
      <c r="A2161" t="s">
        <v>72</v>
      </c>
      <c r="B2161" t="s">
        <v>73</v>
      </c>
      <c r="C2161" t="s">
        <v>74</v>
      </c>
      <c r="E2161" t="str">
        <f>"080065445682"</f>
        <v>080065445682</v>
      </c>
      <c r="F2161" s="3">
        <v>45796</v>
      </c>
      <c r="G2161">
        <v>202602</v>
      </c>
      <c r="H2161" t="s">
        <v>75</v>
      </c>
      <c r="I2161" t="s">
        <v>76</v>
      </c>
      <c r="J2161" t="s">
        <v>77</v>
      </c>
      <c r="K2161" t="s">
        <v>78</v>
      </c>
      <c r="L2161" t="s">
        <v>350</v>
      </c>
      <c r="M2161" t="s">
        <v>351</v>
      </c>
      <c r="N2161" t="s">
        <v>678</v>
      </c>
      <c r="O2161" t="s">
        <v>82</v>
      </c>
      <c r="P2161" t="str">
        <f>"4170039399                    "</f>
        <v xml:space="preserve">4170039399                    </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c r="AI2161">
        <v>0</v>
      </c>
      <c r="AJ2161">
        <v>0</v>
      </c>
      <c r="AK2161">
        <v>0</v>
      </c>
      <c r="AL2161">
        <v>0</v>
      </c>
      <c r="AM2161">
        <v>0</v>
      </c>
      <c r="AN2161">
        <v>0</v>
      </c>
      <c r="AO2161">
        <v>0</v>
      </c>
      <c r="AP2161">
        <v>0</v>
      </c>
      <c r="AQ2161">
        <v>21.38</v>
      </c>
      <c r="AR2161">
        <v>0</v>
      </c>
      <c r="AS2161">
        <v>0</v>
      </c>
      <c r="AT2161">
        <v>0</v>
      </c>
      <c r="AU2161">
        <v>0</v>
      </c>
      <c r="AV2161">
        <v>0</v>
      </c>
      <c r="AW2161">
        <v>0</v>
      </c>
      <c r="AX2161">
        <v>0</v>
      </c>
      <c r="AY2161">
        <v>0</v>
      </c>
      <c r="AZ2161">
        <v>0</v>
      </c>
      <c r="BA2161">
        <v>0</v>
      </c>
      <c r="BB2161">
        <v>0</v>
      </c>
      <c r="BC2161">
        <v>0</v>
      </c>
      <c r="BD2161">
        <v>0</v>
      </c>
      <c r="BE2161">
        <v>0</v>
      </c>
      <c r="BF2161">
        <v>0</v>
      </c>
      <c r="BG2161">
        <v>0</v>
      </c>
      <c r="BH2161">
        <v>1</v>
      </c>
      <c r="BI2161">
        <v>1</v>
      </c>
      <c r="BJ2161">
        <v>0.2</v>
      </c>
      <c r="BK2161">
        <v>1</v>
      </c>
      <c r="BL2161">
        <v>69.98</v>
      </c>
      <c r="BM2161">
        <v>10.5</v>
      </c>
      <c r="BN2161">
        <v>80.48</v>
      </c>
      <c r="BO2161">
        <v>80.48</v>
      </c>
      <c r="BQ2161" t="s">
        <v>679</v>
      </c>
      <c r="BR2161" t="s">
        <v>84</v>
      </c>
      <c r="BS2161" s="3">
        <v>45797</v>
      </c>
      <c r="BT2161" s="4">
        <v>0.38819444444444445</v>
      </c>
      <c r="BU2161" t="s">
        <v>680</v>
      </c>
      <c r="BV2161" t="s">
        <v>86</v>
      </c>
      <c r="BY2161">
        <v>1200</v>
      </c>
      <c r="CA2161" t="s">
        <v>326</v>
      </c>
      <c r="CC2161" t="s">
        <v>351</v>
      </c>
      <c r="CD2161">
        <v>4052</v>
      </c>
      <c r="CE2161" t="s">
        <v>88</v>
      </c>
      <c r="CF2161" s="3">
        <v>45797</v>
      </c>
      <c r="CI2161">
        <v>1</v>
      </c>
      <c r="CJ2161">
        <v>1</v>
      </c>
      <c r="CK2161">
        <v>21</v>
      </c>
      <c r="CL2161" t="s">
        <v>89</v>
      </c>
    </row>
    <row r="2162" spans="1:90" x14ac:dyDescent="0.3">
      <c r="A2162" t="s">
        <v>72</v>
      </c>
      <c r="B2162" t="s">
        <v>73</v>
      </c>
      <c r="C2162" t="s">
        <v>74</v>
      </c>
      <c r="E2162" t="str">
        <f>"080065445728"</f>
        <v>080065445728</v>
      </c>
      <c r="F2162" s="3">
        <v>45796</v>
      </c>
      <c r="G2162">
        <v>202602</v>
      </c>
      <c r="H2162" t="s">
        <v>75</v>
      </c>
      <c r="I2162" t="s">
        <v>76</v>
      </c>
      <c r="J2162" t="s">
        <v>77</v>
      </c>
      <c r="K2162" t="s">
        <v>78</v>
      </c>
      <c r="L2162" t="s">
        <v>136</v>
      </c>
      <c r="M2162" t="s">
        <v>137</v>
      </c>
      <c r="N2162" t="s">
        <v>1090</v>
      </c>
      <c r="O2162" t="s">
        <v>82</v>
      </c>
      <c r="P2162" t="str">
        <f>"4170039390                    "</f>
        <v xml:space="preserve">4170039390                    </v>
      </c>
      <c r="Q2162">
        <v>0</v>
      </c>
      <c r="R2162">
        <v>0</v>
      </c>
      <c r="S2162">
        <v>0</v>
      </c>
      <c r="T2162">
        <v>0</v>
      </c>
      <c r="U2162">
        <v>0</v>
      </c>
      <c r="V2162">
        <v>0</v>
      </c>
      <c r="W2162">
        <v>0</v>
      </c>
      <c r="X2162">
        <v>0</v>
      </c>
      <c r="Y2162">
        <v>0</v>
      </c>
      <c r="Z2162">
        <v>0</v>
      </c>
      <c r="AA2162">
        <v>0</v>
      </c>
      <c r="AB2162">
        <v>0</v>
      </c>
      <c r="AC2162">
        <v>0</v>
      </c>
      <c r="AD2162">
        <v>0</v>
      </c>
      <c r="AE2162">
        <v>0</v>
      </c>
      <c r="AF2162">
        <v>0</v>
      </c>
      <c r="AG2162">
        <v>0</v>
      </c>
      <c r="AH2162">
        <v>0</v>
      </c>
      <c r="AI2162">
        <v>0</v>
      </c>
      <c r="AJ2162">
        <v>0</v>
      </c>
      <c r="AK2162">
        <v>0</v>
      </c>
      <c r="AL2162">
        <v>0</v>
      </c>
      <c r="AM2162">
        <v>0</v>
      </c>
      <c r="AN2162">
        <v>0</v>
      </c>
      <c r="AO2162">
        <v>0</v>
      </c>
      <c r="AP2162">
        <v>0</v>
      </c>
      <c r="AQ2162">
        <v>21.38</v>
      </c>
      <c r="AR2162">
        <v>0</v>
      </c>
      <c r="AS2162">
        <v>0</v>
      </c>
      <c r="AT2162">
        <v>0</v>
      </c>
      <c r="AU2162">
        <v>0</v>
      </c>
      <c r="AV2162">
        <v>0</v>
      </c>
      <c r="AW2162">
        <v>0</v>
      </c>
      <c r="AX2162">
        <v>0</v>
      </c>
      <c r="AY2162">
        <v>0</v>
      </c>
      <c r="AZ2162">
        <v>0</v>
      </c>
      <c r="BA2162">
        <v>0</v>
      </c>
      <c r="BB2162">
        <v>0</v>
      </c>
      <c r="BC2162">
        <v>0</v>
      </c>
      <c r="BD2162">
        <v>0</v>
      </c>
      <c r="BE2162">
        <v>0</v>
      </c>
      <c r="BF2162">
        <v>0</v>
      </c>
      <c r="BG2162">
        <v>0</v>
      </c>
      <c r="BH2162">
        <v>1</v>
      </c>
      <c r="BI2162">
        <v>1</v>
      </c>
      <c r="BJ2162">
        <v>0.2</v>
      </c>
      <c r="BK2162">
        <v>1</v>
      </c>
      <c r="BL2162">
        <v>69.98</v>
      </c>
      <c r="BM2162">
        <v>10.5</v>
      </c>
      <c r="BN2162">
        <v>80.48</v>
      </c>
      <c r="BO2162">
        <v>80.48</v>
      </c>
      <c r="BQ2162" t="s">
        <v>1091</v>
      </c>
      <c r="BR2162" t="s">
        <v>84</v>
      </c>
      <c r="BS2162" s="3">
        <v>45797</v>
      </c>
      <c r="BT2162" s="4">
        <v>0.42430555555555555</v>
      </c>
      <c r="BU2162" t="s">
        <v>252</v>
      </c>
      <c r="BV2162" t="s">
        <v>86</v>
      </c>
      <c r="BY2162">
        <v>1200</v>
      </c>
      <c r="CA2162" t="s">
        <v>1093</v>
      </c>
      <c r="CC2162" t="s">
        <v>137</v>
      </c>
      <c r="CD2162" s="5" t="s">
        <v>738</v>
      </c>
      <c r="CE2162" t="s">
        <v>88</v>
      </c>
      <c r="CF2162" s="3">
        <v>45797</v>
      </c>
      <c r="CI2162">
        <v>1</v>
      </c>
      <c r="CJ2162">
        <v>1</v>
      </c>
      <c r="CK2162">
        <v>21</v>
      </c>
      <c r="CL2162" t="s">
        <v>89</v>
      </c>
    </row>
    <row r="2163" spans="1:90" x14ac:dyDescent="0.3">
      <c r="A2163" t="s">
        <v>72</v>
      </c>
      <c r="B2163" t="s">
        <v>73</v>
      </c>
      <c r="C2163" t="s">
        <v>74</v>
      </c>
      <c r="E2163" t="str">
        <f>"080065445771"</f>
        <v>080065445771</v>
      </c>
      <c r="F2163" s="3">
        <v>45796</v>
      </c>
      <c r="G2163">
        <v>202602</v>
      </c>
      <c r="H2163" t="s">
        <v>75</v>
      </c>
      <c r="I2163" t="s">
        <v>76</v>
      </c>
      <c r="J2163" t="s">
        <v>77</v>
      </c>
      <c r="K2163" t="s">
        <v>78</v>
      </c>
      <c r="L2163" t="s">
        <v>136</v>
      </c>
      <c r="M2163" t="s">
        <v>137</v>
      </c>
      <c r="N2163" t="s">
        <v>735</v>
      </c>
      <c r="O2163" t="s">
        <v>82</v>
      </c>
      <c r="P2163" t="str">
        <f>"4170039419                    "</f>
        <v xml:space="preserve">4170039419                    </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c r="AI2163">
        <v>0</v>
      </c>
      <c r="AJ2163">
        <v>0</v>
      </c>
      <c r="AK2163">
        <v>0</v>
      </c>
      <c r="AL2163">
        <v>0</v>
      </c>
      <c r="AM2163">
        <v>0</v>
      </c>
      <c r="AN2163">
        <v>0</v>
      </c>
      <c r="AO2163">
        <v>0</v>
      </c>
      <c r="AP2163">
        <v>0</v>
      </c>
      <c r="AQ2163">
        <v>21.38</v>
      </c>
      <c r="AR2163">
        <v>0</v>
      </c>
      <c r="AS2163">
        <v>0</v>
      </c>
      <c r="AT2163">
        <v>0</v>
      </c>
      <c r="AU2163">
        <v>0</v>
      </c>
      <c r="AV2163">
        <v>0</v>
      </c>
      <c r="AW2163">
        <v>0</v>
      </c>
      <c r="AX2163">
        <v>0</v>
      </c>
      <c r="AY2163">
        <v>0</v>
      </c>
      <c r="AZ2163">
        <v>0</v>
      </c>
      <c r="BA2163">
        <v>0</v>
      </c>
      <c r="BB2163">
        <v>0</v>
      </c>
      <c r="BC2163">
        <v>0</v>
      </c>
      <c r="BD2163">
        <v>0</v>
      </c>
      <c r="BE2163">
        <v>0</v>
      </c>
      <c r="BF2163">
        <v>0</v>
      </c>
      <c r="BG2163">
        <v>0</v>
      </c>
      <c r="BH2163">
        <v>1</v>
      </c>
      <c r="BI2163">
        <v>1</v>
      </c>
      <c r="BJ2163">
        <v>0.2</v>
      </c>
      <c r="BK2163">
        <v>1</v>
      </c>
      <c r="BL2163">
        <v>69.98</v>
      </c>
      <c r="BM2163">
        <v>10.5</v>
      </c>
      <c r="BN2163">
        <v>80.48</v>
      </c>
      <c r="BO2163">
        <v>80.48</v>
      </c>
      <c r="BQ2163" t="s">
        <v>736</v>
      </c>
      <c r="BR2163" t="s">
        <v>84</v>
      </c>
      <c r="BS2163" s="3">
        <v>45797</v>
      </c>
      <c r="BT2163" s="4">
        <v>0.35208333333333336</v>
      </c>
      <c r="BU2163" t="s">
        <v>1699</v>
      </c>
      <c r="BV2163" t="s">
        <v>86</v>
      </c>
      <c r="BY2163">
        <v>1200</v>
      </c>
      <c r="CA2163" t="s">
        <v>258</v>
      </c>
      <c r="CC2163" t="s">
        <v>137</v>
      </c>
      <c r="CD2163" s="5" t="s">
        <v>738</v>
      </c>
      <c r="CE2163" t="s">
        <v>88</v>
      </c>
      <c r="CF2163" s="3">
        <v>45797</v>
      </c>
      <c r="CI2163">
        <v>1</v>
      </c>
      <c r="CJ2163">
        <v>1</v>
      </c>
      <c r="CK2163">
        <v>21</v>
      </c>
      <c r="CL2163" t="s">
        <v>89</v>
      </c>
    </row>
    <row r="2164" spans="1:90" x14ac:dyDescent="0.3">
      <c r="A2164" t="s">
        <v>72</v>
      </c>
      <c r="B2164" t="s">
        <v>73</v>
      </c>
      <c r="C2164" t="s">
        <v>74</v>
      </c>
      <c r="E2164" t="str">
        <f>"080065445814"</f>
        <v>080065445814</v>
      </c>
      <c r="F2164" s="3">
        <v>45796</v>
      </c>
      <c r="G2164">
        <v>202602</v>
      </c>
      <c r="H2164" t="s">
        <v>75</v>
      </c>
      <c r="I2164" t="s">
        <v>76</v>
      </c>
      <c r="J2164" t="s">
        <v>77</v>
      </c>
      <c r="K2164" t="s">
        <v>78</v>
      </c>
      <c r="L2164" t="s">
        <v>206</v>
      </c>
      <c r="M2164" t="s">
        <v>207</v>
      </c>
      <c r="N2164" t="s">
        <v>1292</v>
      </c>
      <c r="O2164" t="s">
        <v>82</v>
      </c>
      <c r="P2164" t="str">
        <f>"4170039361                    "</f>
        <v xml:space="preserve">4170039361                    </v>
      </c>
      <c r="Q2164">
        <v>0</v>
      </c>
      <c r="R2164">
        <v>0</v>
      </c>
      <c r="S2164">
        <v>0</v>
      </c>
      <c r="T2164">
        <v>0</v>
      </c>
      <c r="U2164">
        <v>0</v>
      </c>
      <c r="V2164">
        <v>0</v>
      </c>
      <c r="W2164">
        <v>0</v>
      </c>
      <c r="X2164">
        <v>0</v>
      </c>
      <c r="Y2164">
        <v>0</v>
      </c>
      <c r="Z2164">
        <v>0</v>
      </c>
      <c r="AA2164">
        <v>0</v>
      </c>
      <c r="AB2164">
        <v>0</v>
      </c>
      <c r="AC2164">
        <v>0</v>
      </c>
      <c r="AD2164">
        <v>0</v>
      </c>
      <c r="AE2164">
        <v>0</v>
      </c>
      <c r="AF2164">
        <v>0</v>
      </c>
      <c r="AG2164">
        <v>0</v>
      </c>
      <c r="AH2164">
        <v>0</v>
      </c>
      <c r="AI2164">
        <v>0</v>
      </c>
      <c r="AJ2164">
        <v>0</v>
      </c>
      <c r="AK2164">
        <v>0</v>
      </c>
      <c r="AL2164">
        <v>0</v>
      </c>
      <c r="AM2164">
        <v>0</v>
      </c>
      <c r="AN2164">
        <v>0</v>
      </c>
      <c r="AO2164">
        <v>0</v>
      </c>
      <c r="AP2164">
        <v>0</v>
      </c>
      <c r="AQ2164">
        <v>41.43</v>
      </c>
      <c r="AR2164">
        <v>0</v>
      </c>
      <c r="AS2164">
        <v>0</v>
      </c>
      <c r="AT2164">
        <v>0</v>
      </c>
      <c r="AU2164">
        <v>0</v>
      </c>
      <c r="AV2164">
        <v>0</v>
      </c>
      <c r="AW2164">
        <v>0</v>
      </c>
      <c r="AX2164">
        <v>0</v>
      </c>
      <c r="AY2164">
        <v>0</v>
      </c>
      <c r="AZ2164">
        <v>0</v>
      </c>
      <c r="BA2164">
        <v>0</v>
      </c>
      <c r="BB2164">
        <v>0</v>
      </c>
      <c r="BC2164">
        <v>0</v>
      </c>
      <c r="BD2164">
        <v>0</v>
      </c>
      <c r="BE2164">
        <v>0</v>
      </c>
      <c r="BF2164">
        <v>0</v>
      </c>
      <c r="BG2164">
        <v>0</v>
      </c>
      <c r="BH2164">
        <v>1</v>
      </c>
      <c r="BI2164">
        <v>1</v>
      </c>
      <c r="BJ2164">
        <v>0.2</v>
      </c>
      <c r="BK2164">
        <v>1</v>
      </c>
      <c r="BL2164">
        <v>135.59</v>
      </c>
      <c r="BM2164">
        <v>20.34</v>
      </c>
      <c r="BN2164">
        <v>155.93</v>
      </c>
      <c r="BO2164">
        <v>155.93</v>
      </c>
      <c r="BQ2164" t="s">
        <v>1293</v>
      </c>
      <c r="BR2164" t="s">
        <v>84</v>
      </c>
      <c r="BS2164" s="3">
        <v>45797</v>
      </c>
      <c r="BT2164" s="4">
        <v>0.63263888888888886</v>
      </c>
      <c r="BU2164" t="s">
        <v>1294</v>
      </c>
      <c r="BV2164" t="s">
        <v>86</v>
      </c>
      <c r="BY2164">
        <v>1200</v>
      </c>
      <c r="CA2164" t="s">
        <v>1295</v>
      </c>
      <c r="CC2164" t="s">
        <v>207</v>
      </c>
      <c r="CD2164">
        <v>1390</v>
      </c>
      <c r="CE2164" t="s">
        <v>88</v>
      </c>
      <c r="CF2164" s="3">
        <v>45797</v>
      </c>
      <c r="CI2164">
        <v>1</v>
      </c>
      <c r="CJ2164">
        <v>1</v>
      </c>
      <c r="CK2164">
        <v>23</v>
      </c>
      <c r="CL2164" t="s">
        <v>89</v>
      </c>
    </row>
    <row r="2165" spans="1:90" x14ac:dyDescent="0.3">
      <c r="A2165" t="s">
        <v>72</v>
      </c>
      <c r="B2165" t="s">
        <v>73</v>
      </c>
      <c r="C2165" t="s">
        <v>74</v>
      </c>
      <c r="E2165" t="str">
        <f>"080065445853"</f>
        <v>080065445853</v>
      </c>
      <c r="F2165" s="3">
        <v>45796</v>
      </c>
      <c r="G2165">
        <v>202602</v>
      </c>
      <c r="H2165" t="s">
        <v>75</v>
      </c>
      <c r="I2165" t="s">
        <v>76</v>
      </c>
      <c r="J2165" t="s">
        <v>77</v>
      </c>
      <c r="K2165" t="s">
        <v>78</v>
      </c>
      <c r="L2165" t="s">
        <v>810</v>
      </c>
      <c r="M2165" t="s">
        <v>811</v>
      </c>
      <c r="N2165" t="s">
        <v>812</v>
      </c>
      <c r="O2165" t="s">
        <v>82</v>
      </c>
      <c r="P2165" t="str">
        <f>"4170039488                    "</f>
        <v xml:space="preserve">4170039488                    </v>
      </c>
      <c r="Q2165">
        <v>0</v>
      </c>
      <c r="R2165">
        <v>0</v>
      </c>
      <c r="S2165">
        <v>0</v>
      </c>
      <c r="T2165">
        <v>0</v>
      </c>
      <c r="U2165">
        <v>0</v>
      </c>
      <c r="V2165">
        <v>0</v>
      </c>
      <c r="W2165">
        <v>0</v>
      </c>
      <c r="X2165">
        <v>0</v>
      </c>
      <c r="Y2165">
        <v>0</v>
      </c>
      <c r="Z2165">
        <v>0</v>
      </c>
      <c r="AA2165">
        <v>0</v>
      </c>
      <c r="AB2165">
        <v>0</v>
      </c>
      <c r="AC2165">
        <v>0</v>
      </c>
      <c r="AD2165">
        <v>0</v>
      </c>
      <c r="AE2165">
        <v>0</v>
      </c>
      <c r="AF2165">
        <v>0</v>
      </c>
      <c r="AG2165">
        <v>0</v>
      </c>
      <c r="AH2165">
        <v>0</v>
      </c>
      <c r="AI2165">
        <v>0</v>
      </c>
      <c r="AJ2165">
        <v>0</v>
      </c>
      <c r="AK2165">
        <v>0</v>
      </c>
      <c r="AL2165">
        <v>0</v>
      </c>
      <c r="AM2165">
        <v>0</v>
      </c>
      <c r="AN2165">
        <v>0</v>
      </c>
      <c r="AO2165">
        <v>0</v>
      </c>
      <c r="AP2165">
        <v>0</v>
      </c>
      <c r="AQ2165">
        <v>41.43</v>
      </c>
      <c r="AR2165">
        <v>0</v>
      </c>
      <c r="AS2165">
        <v>0</v>
      </c>
      <c r="AT2165">
        <v>0</v>
      </c>
      <c r="AU2165">
        <v>0</v>
      </c>
      <c r="AV2165">
        <v>0</v>
      </c>
      <c r="AW2165">
        <v>0</v>
      </c>
      <c r="AX2165">
        <v>0</v>
      </c>
      <c r="AY2165">
        <v>0</v>
      </c>
      <c r="AZ2165">
        <v>0</v>
      </c>
      <c r="BA2165">
        <v>0</v>
      </c>
      <c r="BB2165">
        <v>0</v>
      </c>
      <c r="BC2165">
        <v>0</v>
      </c>
      <c r="BD2165">
        <v>0</v>
      </c>
      <c r="BE2165">
        <v>0</v>
      </c>
      <c r="BF2165">
        <v>0</v>
      </c>
      <c r="BG2165">
        <v>0</v>
      </c>
      <c r="BH2165">
        <v>1</v>
      </c>
      <c r="BI2165">
        <v>1</v>
      </c>
      <c r="BJ2165">
        <v>0.2</v>
      </c>
      <c r="BK2165">
        <v>1</v>
      </c>
      <c r="BL2165">
        <v>135.59</v>
      </c>
      <c r="BM2165">
        <v>20.34</v>
      </c>
      <c r="BN2165">
        <v>155.93</v>
      </c>
      <c r="BO2165">
        <v>155.93</v>
      </c>
      <c r="BQ2165" t="s">
        <v>813</v>
      </c>
      <c r="BR2165" t="s">
        <v>84</v>
      </c>
      <c r="BS2165" s="3">
        <v>45797</v>
      </c>
      <c r="BT2165" s="4">
        <v>0.36041666666666666</v>
      </c>
      <c r="BU2165" t="s">
        <v>2576</v>
      </c>
      <c r="BV2165" t="s">
        <v>86</v>
      </c>
      <c r="BY2165">
        <v>1200</v>
      </c>
      <c r="CA2165" t="s">
        <v>815</v>
      </c>
      <c r="CC2165" t="s">
        <v>811</v>
      </c>
      <c r="CD2165">
        <v>7110</v>
      </c>
      <c r="CE2165" t="s">
        <v>88</v>
      </c>
      <c r="CF2165" s="3">
        <v>45798</v>
      </c>
      <c r="CI2165">
        <v>1</v>
      </c>
      <c r="CJ2165">
        <v>1</v>
      </c>
      <c r="CK2165">
        <v>23</v>
      </c>
      <c r="CL2165" t="s">
        <v>89</v>
      </c>
    </row>
    <row r="2166" spans="1:90" x14ac:dyDescent="0.3">
      <c r="A2166" t="s">
        <v>72</v>
      </c>
      <c r="B2166" t="s">
        <v>73</v>
      </c>
      <c r="C2166" t="s">
        <v>74</v>
      </c>
      <c r="E2166" t="str">
        <f>"080065445934"</f>
        <v>080065445934</v>
      </c>
      <c r="F2166" s="3">
        <v>45796</v>
      </c>
      <c r="G2166">
        <v>202602</v>
      </c>
      <c r="H2166" t="s">
        <v>75</v>
      </c>
      <c r="I2166" t="s">
        <v>76</v>
      </c>
      <c r="J2166" t="s">
        <v>77</v>
      </c>
      <c r="K2166" t="s">
        <v>78</v>
      </c>
      <c r="L2166" t="s">
        <v>79</v>
      </c>
      <c r="M2166" t="s">
        <v>80</v>
      </c>
      <c r="N2166" t="s">
        <v>357</v>
      </c>
      <c r="O2166" t="s">
        <v>82</v>
      </c>
      <c r="P2166" t="str">
        <f>"4170039448                    "</f>
        <v xml:space="preserve">4170039448                    </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c r="AJ2166">
        <v>0</v>
      </c>
      <c r="AK2166">
        <v>0</v>
      </c>
      <c r="AL2166">
        <v>0</v>
      </c>
      <c r="AM2166">
        <v>0</v>
      </c>
      <c r="AN2166">
        <v>0</v>
      </c>
      <c r="AO2166">
        <v>0</v>
      </c>
      <c r="AP2166">
        <v>0</v>
      </c>
      <c r="AQ2166">
        <v>21.38</v>
      </c>
      <c r="AR2166">
        <v>0</v>
      </c>
      <c r="AS2166">
        <v>0</v>
      </c>
      <c r="AT2166">
        <v>0</v>
      </c>
      <c r="AU2166">
        <v>0</v>
      </c>
      <c r="AV2166">
        <v>0</v>
      </c>
      <c r="AW2166">
        <v>0</v>
      </c>
      <c r="AX2166">
        <v>0</v>
      </c>
      <c r="AY2166">
        <v>0</v>
      </c>
      <c r="AZ2166">
        <v>0</v>
      </c>
      <c r="BA2166">
        <v>0</v>
      </c>
      <c r="BB2166">
        <v>0</v>
      </c>
      <c r="BC2166">
        <v>0</v>
      </c>
      <c r="BD2166">
        <v>0</v>
      </c>
      <c r="BE2166">
        <v>0</v>
      </c>
      <c r="BF2166">
        <v>0</v>
      </c>
      <c r="BG2166">
        <v>0</v>
      </c>
      <c r="BH2166">
        <v>1</v>
      </c>
      <c r="BI2166">
        <v>1</v>
      </c>
      <c r="BJ2166">
        <v>0.2</v>
      </c>
      <c r="BK2166">
        <v>1</v>
      </c>
      <c r="BL2166">
        <v>69.98</v>
      </c>
      <c r="BM2166">
        <v>10.5</v>
      </c>
      <c r="BN2166">
        <v>80.48</v>
      </c>
      <c r="BO2166">
        <v>80.48</v>
      </c>
      <c r="BQ2166" t="s">
        <v>358</v>
      </c>
      <c r="BR2166" t="s">
        <v>84</v>
      </c>
      <c r="BS2166" s="3">
        <v>45797</v>
      </c>
      <c r="BT2166" s="4">
        <v>0.45694444444444443</v>
      </c>
      <c r="BU2166" t="s">
        <v>1821</v>
      </c>
      <c r="BV2166" t="s">
        <v>89</v>
      </c>
      <c r="BW2166" t="s">
        <v>296</v>
      </c>
      <c r="BX2166" t="s">
        <v>325</v>
      </c>
      <c r="BY2166">
        <v>1200</v>
      </c>
      <c r="CA2166" t="s">
        <v>87</v>
      </c>
      <c r="CC2166" t="s">
        <v>80</v>
      </c>
      <c r="CD2166">
        <v>3608</v>
      </c>
      <c r="CE2166" t="s">
        <v>88</v>
      </c>
      <c r="CF2166" s="3">
        <v>45797</v>
      </c>
      <c r="CI2166">
        <v>1</v>
      </c>
      <c r="CJ2166">
        <v>1</v>
      </c>
      <c r="CK2166">
        <v>21</v>
      </c>
      <c r="CL2166" t="s">
        <v>89</v>
      </c>
    </row>
    <row r="2167" spans="1:90" x14ac:dyDescent="0.3">
      <c r="A2167" t="s">
        <v>72</v>
      </c>
      <c r="B2167" t="s">
        <v>73</v>
      </c>
      <c r="C2167" t="s">
        <v>74</v>
      </c>
      <c r="E2167" t="str">
        <f>"080065445968"</f>
        <v>080065445968</v>
      </c>
      <c r="F2167" s="3">
        <v>45796</v>
      </c>
      <c r="G2167">
        <v>202602</v>
      </c>
      <c r="H2167" t="s">
        <v>75</v>
      </c>
      <c r="I2167" t="s">
        <v>76</v>
      </c>
      <c r="J2167" t="s">
        <v>77</v>
      </c>
      <c r="K2167" t="s">
        <v>78</v>
      </c>
      <c r="L2167" t="s">
        <v>90</v>
      </c>
      <c r="M2167" t="s">
        <v>91</v>
      </c>
      <c r="N2167" t="s">
        <v>92</v>
      </c>
      <c r="O2167" t="s">
        <v>82</v>
      </c>
      <c r="P2167" t="str">
        <f>"4170039421                    "</f>
        <v xml:space="preserve">4170039421                    </v>
      </c>
      <c r="Q2167">
        <v>0</v>
      </c>
      <c r="R2167">
        <v>0</v>
      </c>
      <c r="S2167">
        <v>0</v>
      </c>
      <c r="T2167">
        <v>0</v>
      </c>
      <c r="U2167">
        <v>0</v>
      </c>
      <c r="V2167">
        <v>0</v>
      </c>
      <c r="W2167">
        <v>0</v>
      </c>
      <c r="X2167">
        <v>0</v>
      </c>
      <c r="Y2167">
        <v>0</v>
      </c>
      <c r="Z2167">
        <v>0</v>
      </c>
      <c r="AA2167">
        <v>0</v>
      </c>
      <c r="AB2167">
        <v>0</v>
      </c>
      <c r="AC2167">
        <v>0</v>
      </c>
      <c r="AD2167">
        <v>0</v>
      </c>
      <c r="AE2167">
        <v>0</v>
      </c>
      <c r="AF2167">
        <v>0</v>
      </c>
      <c r="AG2167">
        <v>0</v>
      </c>
      <c r="AH2167">
        <v>0</v>
      </c>
      <c r="AI2167">
        <v>0</v>
      </c>
      <c r="AJ2167">
        <v>0</v>
      </c>
      <c r="AK2167">
        <v>0</v>
      </c>
      <c r="AL2167">
        <v>0</v>
      </c>
      <c r="AM2167">
        <v>0</v>
      </c>
      <c r="AN2167">
        <v>0</v>
      </c>
      <c r="AO2167">
        <v>0</v>
      </c>
      <c r="AP2167">
        <v>0</v>
      </c>
      <c r="AQ2167">
        <v>21.38</v>
      </c>
      <c r="AR2167">
        <v>0</v>
      </c>
      <c r="AS2167">
        <v>0</v>
      </c>
      <c r="AT2167">
        <v>0</v>
      </c>
      <c r="AU2167">
        <v>0</v>
      </c>
      <c r="AV2167">
        <v>0</v>
      </c>
      <c r="AW2167">
        <v>0</v>
      </c>
      <c r="AX2167">
        <v>0</v>
      </c>
      <c r="AY2167">
        <v>0</v>
      </c>
      <c r="AZ2167">
        <v>0</v>
      </c>
      <c r="BA2167">
        <v>0</v>
      </c>
      <c r="BB2167">
        <v>0</v>
      </c>
      <c r="BC2167">
        <v>0</v>
      </c>
      <c r="BD2167">
        <v>0</v>
      </c>
      <c r="BE2167">
        <v>0</v>
      </c>
      <c r="BF2167">
        <v>0</v>
      </c>
      <c r="BG2167">
        <v>0</v>
      </c>
      <c r="BH2167">
        <v>1</v>
      </c>
      <c r="BI2167">
        <v>1</v>
      </c>
      <c r="BJ2167">
        <v>0.2</v>
      </c>
      <c r="BK2167">
        <v>1</v>
      </c>
      <c r="BL2167">
        <v>69.98</v>
      </c>
      <c r="BM2167">
        <v>10.5</v>
      </c>
      <c r="BN2167">
        <v>80.48</v>
      </c>
      <c r="BO2167">
        <v>80.48</v>
      </c>
      <c r="BQ2167" t="s">
        <v>93</v>
      </c>
      <c r="BR2167" t="s">
        <v>84</v>
      </c>
      <c r="BS2167" s="3">
        <v>45797</v>
      </c>
      <c r="BT2167" s="4">
        <v>0.34027777777777779</v>
      </c>
      <c r="BU2167" t="s">
        <v>94</v>
      </c>
      <c r="BV2167" t="s">
        <v>86</v>
      </c>
      <c r="BY2167">
        <v>1200</v>
      </c>
      <c r="CA2167" t="s">
        <v>95</v>
      </c>
      <c r="CC2167" t="s">
        <v>91</v>
      </c>
      <c r="CD2167">
        <v>6001</v>
      </c>
      <c r="CE2167" t="s">
        <v>88</v>
      </c>
      <c r="CF2167" s="3">
        <v>45797</v>
      </c>
      <c r="CI2167">
        <v>1</v>
      </c>
      <c r="CJ2167">
        <v>1</v>
      </c>
      <c r="CK2167">
        <v>21</v>
      </c>
      <c r="CL2167" t="s">
        <v>89</v>
      </c>
    </row>
    <row r="2168" spans="1:90" x14ac:dyDescent="0.3">
      <c r="A2168" t="s">
        <v>72</v>
      </c>
      <c r="B2168" t="s">
        <v>73</v>
      </c>
      <c r="C2168" t="s">
        <v>74</v>
      </c>
      <c r="E2168" t="str">
        <f>"080065445998"</f>
        <v>080065445998</v>
      </c>
      <c r="F2168" s="3">
        <v>45796</v>
      </c>
      <c r="G2168">
        <v>202602</v>
      </c>
      <c r="H2168" t="s">
        <v>75</v>
      </c>
      <c r="I2168" t="s">
        <v>76</v>
      </c>
      <c r="J2168" t="s">
        <v>77</v>
      </c>
      <c r="K2168" t="s">
        <v>78</v>
      </c>
      <c r="L2168" t="s">
        <v>672</v>
      </c>
      <c r="M2168" t="s">
        <v>673</v>
      </c>
      <c r="N2168" t="s">
        <v>674</v>
      </c>
      <c r="O2168" t="s">
        <v>82</v>
      </c>
      <c r="P2168" t="str">
        <f>"4170039423                    "</f>
        <v xml:space="preserve">4170039423                    </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c r="AI2168">
        <v>0</v>
      </c>
      <c r="AJ2168">
        <v>0</v>
      </c>
      <c r="AK2168">
        <v>0</v>
      </c>
      <c r="AL2168">
        <v>0</v>
      </c>
      <c r="AM2168">
        <v>0</v>
      </c>
      <c r="AN2168">
        <v>0</v>
      </c>
      <c r="AO2168">
        <v>0</v>
      </c>
      <c r="AP2168">
        <v>0</v>
      </c>
      <c r="AQ2168">
        <v>41.43</v>
      </c>
      <c r="AR2168">
        <v>0</v>
      </c>
      <c r="AS2168">
        <v>0</v>
      </c>
      <c r="AT2168">
        <v>0</v>
      </c>
      <c r="AU2168">
        <v>0</v>
      </c>
      <c r="AV2168">
        <v>0</v>
      </c>
      <c r="AW2168">
        <v>0</v>
      </c>
      <c r="AX2168">
        <v>0</v>
      </c>
      <c r="AY2168">
        <v>0</v>
      </c>
      <c r="AZ2168">
        <v>0</v>
      </c>
      <c r="BA2168">
        <v>0</v>
      </c>
      <c r="BB2168">
        <v>0</v>
      </c>
      <c r="BC2168">
        <v>0</v>
      </c>
      <c r="BD2168">
        <v>0</v>
      </c>
      <c r="BE2168">
        <v>0</v>
      </c>
      <c r="BF2168">
        <v>0</v>
      </c>
      <c r="BG2168">
        <v>0</v>
      </c>
      <c r="BH2168">
        <v>1</v>
      </c>
      <c r="BI2168">
        <v>1</v>
      </c>
      <c r="BJ2168">
        <v>0.2</v>
      </c>
      <c r="BK2168">
        <v>1</v>
      </c>
      <c r="BL2168">
        <v>135.59</v>
      </c>
      <c r="BM2168">
        <v>20.34</v>
      </c>
      <c r="BN2168">
        <v>155.93</v>
      </c>
      <c r="BO2168">
        <v>155.93</v>
      </c>
      <c r="BQ2168" t="s">
        <v>675</v>
      </c>
      <c r="BR2168" t="s">
        <v>84</v>
      </c>
      <c r="BS2168" s="3">
        <v>45797</v>
      </c>
      <c r="BT2168" s="4">
        <v>0.46736111111111112</v>
      </c>
      <c r="BU2168" t="s">
        <v>2531</v>
      </c>
      <c r="BV2168" t="s">
        <v>86</v>
      </c>
      <c r="BY2168">
        <v>1200</v>
      </c>
      <c r="CA2168" t="s">
        <v>677</v>
      </c>
      <c r="CC2168" t="s">
        <v>673</v>
      </c>
      <c r="CD2168">
        <v>2531</v>
      </c>
      <c r="CE2168" t="s">
        <v>88</v>
      </c>
      <c r="CF2168" s="3">
        <v>45798</v>
      </c>
      <c r="CI2168">
        <v>1</v>
      </c>
      <c r="CJ2168">
        <v>1</v>
      </c>
      <c r="CK2168">
        <v>23</v>
      </c>
      <c r="CL2168" t="s">
        <v>89</v>
      </c>
    </row>
    <row r="2169" spans="1:90" x14ac:dyDescent="0.3">
      <c r="A2169" t="s">
        <v>72</v>
      </c>
      <c r="B2169" t="s">
        <v>73</v>
      </c>
      <c r="C2169" t="s">
        <v>74</v>
      </c>
      <c r="E2169" t="str">
        <f>"080065446024"</f>
        <v>080065446024</v>
      </c>
      <c r="F2169" s="3">
        <v>45796</v>
      </c>
      <c r="G2169">
        <v>202602</v>
      </c>
      <c r="H2169" t="s">
        <v>75</v>
      </c>
      <c r="I2169" t="s">
        <v>76</v>
      </c>
      <c r="J2169" t="s">
        <v>77</v>
      </c>
      <c r="K2169" t="s">
        <v>78</v>
      </c>
      <c r="L2169" t="s">
        <v>136</v>
      </c>
      <c r="M2169" t="s">
        <v>137</v>
      </c>
      <c r="N2169" t="s">
        <v>776</v>
      </c>
      <c r="O2169" t="s">
        <v>82</v>
      </c>
      <c r="P2169" t="str">
        <f>"4170039455                    "</f>
        <v xml:space="preserve">4170039455                    </v>
      </c>
      <c r="Q2169">
        <v>0</v>
      </c>
      <c r="R2169">
        <v>0</v>
      </c>
      <c r="S2169">
        <v>0</v>
      </c>
      <c r="T2169">
        <v>0</v>
      </c>
      <c r="U2169">
        <v>0</v>
      </c>
      <c r="V2169">
        <v>0</v>
      </c>
      <c r="W2169">
        <v>0</v>
      </c>
      <c r="X2169">
        <v>0</v>
      </c>
      <c r="Y2169">
        <v>0</v>
      </c>
      <c r="Z2169">
        <v>0</v>
      </c>
      <c r="AA2169">
        <v>0</v>
      </c>
      <c r="AB2169">
        <v>0</v>
      </c>
      <c r="AC2169">
        <v>0</v>
      </c>
      <c r="AD2169">
        <v>0</v>
      </c>
      <c r="AE2169">
        <v>0</v>
      </c>
      <c r="AF2169">
        <v>0</v>
      </c>
      <c r="AG2169">
        <v>0</v>
      </c>
      <c r="AH2169">
        <v>0</v>
      </c>
      <c r="AI2169">
        <v>0</v>
      </c>
      <c r="AJ2169">
        <v>0</v>
      </c>
      <c r="AK2169">
        <v>0</v>
      </c>
      <c r="AL2169">
        <v>0</v>
      </c>
      <c r="AM2169">
        <v>0</v>
      </c>
      <c r="AN2169">
        <v>0</v>
      </c>
      <c r="AO2169">
        <v>0</v>
      </c>
      <c r="AP2169">
        <v>0</v>
      </c>
      <c r="AQ2169">
        <v>21.38</v>
      </c>
      <c r="AR2169">
        <v>0</v>
      </c>
      <c r="AS2169">
        <v>0</v>
      </c>
      <c r="AT2169">
        <v>0</v>
      </c>
      <c r="AU2169">
        <v>0</v>
      </c>
      <c r="AV2169">
        <v>0</v>
      </c>
      <c r="AW2169">
        <v>0</v>
      </c>
      <c r="AX2169">
        <v>0</v>
      </c>
      <c r="AY2169">
        <v>0</v>
      </c>
      <c r="AZ2169">
        <v>0</v>
      </c>
      <c r="BA2169">
        <v>0</v>
      </c>
      <c r="BB2169">
        <v>0</v>
      </c>
      <c r="BC2169">
        <v>0</v>
      </c>
      <c r="BD2169">
        <v>0</v>
      </c>
      <c r="BE2169">
        <v>0</v>
      </c>
      <c r="BF2169">
        <v>0</v>
      </c>
      <c r="BG2169">
        <v>0</v>
      </c>
      <c r="BH2169">
        <v>1</v>
      </c>
      <c r="BI2169">
        <v>1</v>
      </c>
      <c r="BJ2169">
        <v>0.2</v>
      </c>
      <c r="BK2169">
        <v>1</v>
      </c>
      <c r="BL2169">
        <v>69.98</v>
      </c>
      <c r="BM2169">
        <v>10.5</v>
      </c>
      <c r="BN2169">
        <v>80.48</v>
      </c>
      <c r="BO2169">
        <v>80.48</v>
      </c>
      <c r="BQ2169" t="s">
        <v>777</v>
      </c>
      <c r="BR2169" t="s">
        <v>84</v>
      </c>
      <c r="BS2169" s="3">
        <v>45797</v>
      </c>
      <c r="BT2169" s="4">
        <v>0.32222222222222224</v>
      </c>
      <c r="BU2169" t="s">
        <v>778</v>
      </c>
      <c r="BV2169" t="s">
        <v>86</v>
      </c>
      <c r="BY2169">
        <v>1200</v>
      </c>
      <c r="CA2169" t="s">
        <v>1306</v>
      </c>
      <c r="CC2169" t="s">
        <v>137</v>
      </c>
      <c r="CD2169" s="5" t="s">
        <v>738</v>
      </c>
      <c r="CE2169" t="s">
        <v>88</v>
      </c>
      <c r="CF2169" s="3">
        <v>45797</v>
      </c>
      <c r="CI2169">
        <v>1</v>
      </c>
      <c r="CJ2169">
        <v>1</v>
      </c>
      <c r="CK2169">
        <v>21</v>
      </c>
      <c r="CL2169" t="s">
        <v>89</v>
      </c>
    </row>
    <row r="2170" spans="1:90" x14ac:dyDescent="0.3">
      <c r="A2170" t="s">
        <v>72</v>
      </c>
      <c r="B2170" t="s">
        <v>73</v>
      </c>
      <c r="C2170" t="s">
        <v>74</v>
      </c>
      <c r="E2170" t="str">
        <f>"080065446059"</f>
        <v>080065446059</v>
      </c>
      <c r="F2170" s="3">
        <v>45796</v>
      </c>
      <c r="G2170">
        <v>202602</v>
      </c>
      <c r="H2170" t="s">
        <v>75</v>
      </c>
      <c r="I2170" t="s">
        <v>76</v>
      </c>
      <c r="J2170" t="s">
        <v>77</v>
      </c>
      <c r="K2170" t="s">
        <v>78</v>
      </c>
      <c r="L2170" t="s">
        <v>177</v>
      </c>
      <c r="M2170" t="s">
        <v>178</v>
      </c>
      <c r="N2170" t="s">
        <v>212</v>
      </c>
      <c r="O2170" t="s">
        <v>82</v>
      </c>
      <c r="P2170" t="str">
        <f>"4170039330                    "</f>
        <v xml:space="preserve">4170039330                    </v>
      </c>
      <c r="Q2170">
        <v>0</v>
      </c>
      <c r="R2170">
        <v>0</v>
      </c>
      <c r="S2170">
        <v>0</v>
      </c>
      <c r="T2170">
        <v>0</v>
      </c>
      <c r="U2170">
        <v>0</v>
      </c>
      <c r="V2170">
        <v>0</v>
      </c>
      <c r="W2170">
        <v>0</v>
      </c>
      <c r="X2170">
        <v>0</v>
      </c>
      <c r="Y2170">
        <v>0</v>
      </c>
      <c r="Z2170">
        <v>0</v>
      </c>
      <c r="AA2170">
        <v>0</v>
      </c>
      <c r="AB2170">
        <v>0</v>
      </c>
      <c r="AC2170">
        <v>0</v>
      </c>
      <c r="AD2170">
        <v>0</v>
      </c>
      <c r="AE2170">
        <v>0</v>
      </c>
      <c r="AF2170">
        <v>0</v>
      </c>
      <c r="AG2170">
        <v>0</v>
      </c>
      <c r="AH2170">
        <v>0</v>
      </c>
      <c r="AI2170">
        <v>0</v>
      </c>
      <c r="AJ2170">
        <v>0</v>
      </c>
      <c r="AK2170">
        <v>0</v>
      </c>
      <c r="AL2170">
        <v>0</v>
      </c>
      <c r="AM2170">
        <v>0</v>
      </c>
      <c r="AN2170">
        <v>0</v>
      </c>
      <c r="AO2170">
        <v>0</v>
      </c>
      <c r="AP2170">
        <v>0</v>
      </c>
      <c r="AQ2170">
        <v>21.38</v>
      </c>
      <c r="AR2170">
        <v>0</v>
      </c>
      <c r="AS2170">
        <v>0</v>
      </c>
      <c r="AT2170">
        <v>0</v>
      </c>
      <c r="AU2170">
        <v>0</v>
      </c>
      <c r="AV2170">
        <v>0</v>
      </c>
      <c r="AW2170">
        <v>0</v>
      </c>
      <c r="AX2170">
        <v>0</v>
      </c>
      <c r="AY2170">
        <v>0</v>
      </c>
      <c r="AZ2170">
        <v>0</v>
      </c>
      <c r="BA2170">
        <v>0</v>
      </c>
      <c r="BB2170">
        <v>0</v>
      </c>
      <c r="BC2170">
        <v>0</v>
      </c>
      <c r="BD2170">
        <v>0</v>
      </c>
      <c r="BE2170">
        <v>0</v>
      </c>
      <c r="BF2170">
        <v>0</v>
      </c>
      <c r="BG2170">
        <v>0</v>
      </c>
      <c r="BH2170">
        <v>1</v>
      </c>
      <c r="BI2170">
        <v>1</v>
      </c>
      <c r="BJ2170">
        <v>0.2</v>
      </c>
      <c r="BK2170">
        <v>1</v>
      </c>
      <c r="BL2170">
        <v>69.98</v>
      </c>
      <c r="BM2170">
        <v>10.5</v>
      </c>
      <c r="BN2170">
        <v>80.48</v>
      </c>
      <c r="BO2170">
        <v>80.48</v>
      </c>
      <c r="BQ2170" t="s">
        <v>213</v>
      </c>
      <c r="BR2170" t="s">
        <v>84</v>
      </c>
      <c r="BS2170" s="3">
        <v>45797</v>
      </c>
      <c r="BT2170" s="4">
        <v>0.34513888888888888</v>
      </c>
      <c r="BU2170" t="s">
        <v>1568</v>
      </c>
      <c r="BV2170" t="s">
        <v>86</v>
      </c>
      <c r="BY2170">
        <v>1200</v>
      </c>
      <c r="CA2170" t="s">
        <v>182</v>
      </c>
      <c r="CC2170" t="s">
        <v>178</v>
      </c>
      <c r="CD2170">
        <v>6021</v>
      </c>
      <c r="CE2170" t="s">
        <v>88</v>
      </c>
      <c r="CF2170" s="3">
        <v>45797</v>
      </c>
      <c r="CI2170">
        <v>1</v>
      </c>
      <c r="CJ2170">
        <v>1</v>
      </c>
      <c r="CK2170">
        <v>21</v>
      </c>
      <c r="CL2170" t="s">
        <v>89</v>
      </c>
    </row>
    <row r="2171" spans="1:90" x14ac:dyDescent="0.3">
      <c r="A2171" t="s">
        <v>72</v>
      </c>
      <c r="B2171" t="s">
        <v>73</v>
      </c>
      <c r="C2171" t="s">
        <v>74</v>
      </c>
      <c r="E2171" t="str">
        <f>"080065446095"</f>
        <v>080065446095</v>
      </c>
      <c r="F2171" s="3">
        <v>45796</v>
      </c>
      <c r="G2171">
        <v>202602</v>
      </c>
      <c r="H2171" t="s">
        <v>75</v>
      </c>
      <c r="I2171" t="s">
        <v>76</v>
      </c>
      <c r="J2171" t="s">
        <v>77</v>
      </c>
      <c r="K2171" t="s">
        <v>78</v>
      </c>
      <c r="L2171" t="s">
        <v>97</v>
      </c>
      <c r="M2171" t="s">
        <v>98</v>
      </c>
      <c r="N2171" t="s">
        <v>2444</v>
      </c>
      <c r="O2171" t="s">
        <v>82</v>
      </c>
      <c r="P2171" t="str">
        <f>"4170039315                    "</f>
        <v xml:space="preserve">4170039315                    </v>
      </c>
      <c r="Q2171">
        <v>0</v>
      </c>
      <c r="R2171">
        <v>0</v>
      </c>
      <c r="S2171">
        <v>0</v>
      </c>
      <c r="T2171">
        <v>0</v>
      </c>
      <c r="U2171">
        <v>0</v>
      </c>
      <c r="V2171">
        <v>0</v>
      </c>
      <c r="W2171">
        <v>0</v>
      </c>
      <c r="X2171">
        <v>0</v>
      </c>
      <c r="Y2171">
        <v>0</v>
      </c>
      <c r="Z2171">
        <v>0</v>
      </c>
      <c r="AA2171">
        <v>0</v>
      </c>
      <c r="AB2171">
        <v>0</v>
      </c>
      <c r="AC2171">
        <v>0</v>
      </c>
      <c r="AD2171">
        <v>0</v>
      </c>
      <c r="AE2171">
        <v>0</v>
      </c>
      <c r="AF2171">
        <v>0</v>
      </c>
      <c r="AG2171">
        <v>0</v>
      </c>
      <c r="AH2171">
        <v>0</v>
      </c>
      <c r="AI2171">
        <v>0</v>
      </c>
      <c r="AJ2171">
        <v>0</v>
      </c>
      <c r="AK2171">
        <v>0</v>
      </c>
      <c r="AL2171">
        <v>0</v>
      </c>
      <c r="AM2171">
        <v>0</v>
      </c>
      <c r="AN2171">
        <v>0</v>
      </c>
      <c r="AO2171">
        <v>0</v>
      </c>
      <c r="AP2171">
        <v>0</v>
      </c>
      <c r="AQ2171">
        <v>16.7</v>
      </c>
      <c r="AR2171">
        <v>0</v>
      </c>
      <c r="AS2171">
        <v>0</v>
      </c>
      <c r="AT2171">
        <v>0</v>
      </c>
      <c r="AU2171">
        <v>0</v>
      </c>
      <c r="AV2171">
        <v>0</v>
      </c>
      <c r="AW2171">
        <v>0</v>
      </c>
      <c r="AX2171">
        <v>0</v>
      </c>
      <c r="AY2171">
        <v>0</v>
      </c>
      <c r="AZ2171">
        <v>0</v>
      </c>
      <c r="BA2171">
        <v>0</v>
      </c>
      <c r="BB2171">
        <v>0</v>
      </c>
      <c r="BC2171">
        <v>0</v>
      </c>
      <c r="BD2171">
        <v>0</v>
      </c>
      <c r="BE2171">
        <v>0</v>
      </c>
      <c r="BF2171">
        <v>0</v>
      </c>
      <c r="BG2171">
        <v>0</v>
      </c>
      <c r="BH2171">
        <v>1</v>
      </c>
      <c r="BI2171">
        <v>1</v>
      </c>
      <c r="BJ2171">
        <v>0.2</v>
      </c>
      <c r="BK2171">
        <v>1</v>
      </c>
      <c r="BL2171">
        <v>54.66</v>
      </c>
      <c r="BM2171">
        <v>8.1999999999999993</v>
      </c>
      <c r="BN2171">
        <v>62.86</v>
      </c>
      <c r="BO2171">
        <v>62.86</v>
      </c>
      <c r="BQ2171" t="s">
        <v>2445</v>
      </c>
      <c r="BR2171" t="s">
        <v>84</v>
      </c>
      <c r="BS2171" s="3">
        <v>45797</v>
      </c>
      <c r="BT2171" s="4">
        <v>0.33541666666666664</v>
      </c>
      <c r="BU2171" t="s">
        <v>2446</v>
      </c>
      <c r="BV2171" t="s">
        <v>86</v>
      </c>
      <c r="BY2171">
        <v>1200</v>
      </c>
      <c r="CA2171" t="s">
        <v>279</v>
      </c>
      <c r="CC2171" t="s">
        <v>98</v>
      </c>
      <c r="CD2171">
        <v>1459</v>
      </c>
      <c r="CE2171" t="s">
        <v>88</v>
      </c>
      <c r="CF2171" s="3">
        <v>45797</v>
      </c>
      <c r="CI2171">
        <v>1</v>
      </c>
      <c r="CJ2171">
        <v>1</v>
      </c>
      <c r="CK2171">
        <v>22</v>
      </c>
      <c r="CL2171" t="s">
        <v>89</v>
      </c>
    </row>
    <row r="2172" spans="1:90" x14ac:dyDescent="0.3">
      <c r="A2172" t="s">
        <v>72</v>
      </c>
      <c r="B2172" t="s">
        <v>73</v>
      </c>
      <c r="C2172" t="s">
        <v>74</v>
      </c>
      <c r="E2172" t="str">
        <f>"080065446101"</f>
        <v>080065446101</v>
      </c>
      <c r="F2172" s="3">
        <v>45796</v>
      </c>
      <c r="G2172">
        <v>202602</v>
      </c>
      <c r="H2172" t="s">
        <v>75</v>
      </c>
      <c r="I2172" t="s">
        <v>76</v>
      </c>
      <c r="J2172" t="s">
        <v>77</v>
      </c>
      <c r="K2172" t="s">
        <v>78</v>
      </c>
      <c r="L2172" t="s">
        <v>130</v>
      </c>
      <c r="M2172" t="s">
        <v>131</v>
      </c>
      <c r="N2172" t="s">
        <v>699</v>
      </c>
      <c r="O2172" t="s">
        <v>82</v>
      </c>
      <c r="P2172" t="str">
        <f>"4170039458                    "</f>
        <v xml:space="preserve">4170039458                    </v>
      </c>
      <c r="Q2172">
        <v>0</v>
      </c>
      <c r="R2172">
        <v>0</v>
      </c>
      <c r="S2172">
        <v>0</v>
      </c>
      <c r="T2172">
        <v>0</v>
      </c>
      <c r="U2172">
        <v>0</v>
      </c>
      <c r="V2172">
        <v>0</v>
      </c>
      <c r="W2172">
        <v>0</v>
      </c>
      <c r="X2172">
        <v>0</v>
      </c>
      <c r="Y2172">
        <v>0</v>
      </c>
      <c r="Z2172">
        <v>0</v>
      </c>
      <c r="AA2172">
        <v>0</v>
      </c>
      <c r="AB2172">
        <v>0</v>
      </c>
      <c r="AC2172">
        <v>0</v>
      </c>
      <c r="AD2172">
        <v>0</v>
      </c>
      <c r="AE2172">
        <v>0</v>
      </c>
      <c r="AF2172">
        <v>0</v>
      </c>
      <c r="AG2172">
        <v>0</v>
      </c>
      <c r="AH2172">
        <v>0</v>
      </c>
      <c r="AI2172">
        <v>0</v>
      </c>
      <c r="AJ2172">
        <v>0</v>
      </c>
      <c r="AK2172">
        <v>0</v>
      </c>
      <c r="AL2172">
        <v>0</v>
      </c>
      <c r="AM2172">
        <v>0</v>
      </c>
      <c r="AN2172">
        <v>0</v>
      </c>
      <c r="AO2172">
        <v>0</v>
      </c>
      <c r="AP2172">
        <v>0</v>
      </c>
      <c r="AQ2172">
        <v>21.38</v>
      </c>
      <c r="AR2172">
        <v>0</v>
      </c>
      <c r="AS2172">
        <v>0</v>
      </c>
      <c r="AT2172">
        <v>0</v>
      </c>
      <c r="AU2172">
        <v>0</v>
      </c>
      <c r="AV2172">
        <v>0</v>
      </c>
      <c r="AW2172">
        <v>0</v>
      </c>
      <c r="AX2172">
        <v>0</v>
      </c>
      <c r="AY2172">
        <v>0</v>
      </c>
      <c r="AZ2172">
        <v>0</v>
      </c>
      <c r="BA2172">
        <v>0</v>
      </c>
      <c r="BB2172">
        <v>0</v>
      </c>
      <c r="BC2172">
        <v>0</v>
      </c>
      <c r="BD2172">
        <v>0</v>
      </c>
      <c r="BE2172">
        <v>0</v>
      </c>
      <c r="BF2172">
        <v>0</v>
      </c>
      <c r="BG2172">
        <v>0</v>
      </c>
      <c r="BH2172">
        <v>1</v>
      </c>
      <c r="BI2172">
        <v>1</v>
      </c>
      <c r="BJ2172">
        <v>0.2</v>
      </c>
      <c r="BK2172">
        <v>1</v>
      </c>
      <c r="BL2172">
        <v>69.98</v>
      </c>
      <c r="BM2172">
        <v>10.5</v>
      </c>
      <c r="BN2172">
        <v>80.48</v>
      </c>
      <c r="BO2172">
        <v>80.48</v>
      </c>
      <c r="BQ2172" t="s">
        <v>700</v>
      </c>
      <c r="BR2172" t="s">
        <v>84</v>
      </c>
      <c r="BS2172" s="3">
        <v>45797</v>
      </c>
      <c r="BT2172" s="4">
        <v>0.41319444444444442</v>
      </c>
      <c r="BU2172" t="s">
        <v>2551</v>
      </c>
      <c r="BV2172" t="s">
        <v>86</v>
      </c>
      <c r="BY2172">
        <v>1200</v>
      </c>
      <c r="CA2172" t="s">
        <v>330</v>
      </c>
      <c r="CC2172" t="s">
        <v>131</v>
      </c>
      <c r="CD2172">
        <v>7480</v>
      </c>
      <c r="CE2172" t="s">
        <v>88</v>
      </c>
      <c r="CF2172" s="3">
        <v>45798</v>
      </c>
      <c r="CI2172">
        <v>1</v>
      </c>
      <c r="CJ2172">
        <v>1</v>
      </c>
      <c r="CK2172">
        <v>21</v>
      </c>
      <c r="CL2172" t="s">
        <v>89</v>
      </c>
    </row>
    <row r="2173" spans="1:90" x14ac:dyDescent="0.3">
      <c r="A2173" t="s">
        <v>72</v>
      </c>
      <c r="B2173" t="s">
        <v>73</v>
      </c>
      <c r="C2173" t="s">
        <v>74</v>
      </c>
      <c r="E2173" t="str">
        <f>"080065446133"</f>
        <v>080065446133</v>
      </c>
      <c r="F2173" s="3">
        <v>45796</v>
      </c>
      <c r="G2173">
        <v>202602</v>
      </c>
      <c r="H2173" t="s">
        <v>75</v>
      </c>
      <c r="I2173" t="s">
        <v>76</v>
      </c>
      <c r="J2173" t="s">
        <v>77</v>
      </c>
      <c r="K2173" t="s">
        <v>78</v>
      </c>
      <c r="L2173" t="s">
        <v>648</v>
      </c>
      <c r="M2173" t="s">
        <v>649</v>
      </c>
      <c r="N2173" t="s">
        <v>1702</v>
      </c>
      <c r="O2173" t="s">
        <v>82</v>
      </c>
      <c r="P2173" t="str">
        <f>"4170039323                    "</f>
        <v xml:space="preserve">4170039323                    </v>
      </c>
      <c r="Q2173">
        <v>0</v>
      </c>
      <c r="R2173">
        <v>0</v>
      </c>
      <c r="S2173">
        <v>0</v>
      </c>
      <c r="T2173">
        <v>0</v>
      </c>
      <c r="U2173">
        <v>0</v>
      </c>
      <c r="V2173">
        <v>0</v>
      </c>
      <c r="W2173">
        <v>0</v>
      </c>
      <c r="X2173">
        <v>0</v>
      </c>
      <c r="Y2173">
        <v>0</v>
      </c>
      <c r="Z2173">
        <v>0</v>
      </c>
      <c r="AA2173">
        <v>0</v>
      </c>
      <c r="AB2173">
        <v>0</v>
      </c>
      <c r="AC2173">
        <v>0</v>
      </c>
      <c r="AD2173">
        <v>0</v>
      </c>
      <c r="AE2173">
        <v>0</v>
      </c>
      <c r="AF2173">
        <v>0</v>
      </c>
      <c r="AG2173">
        <v>0</v>
      </c>
      <c r="AH2173">
        <v>0</v>
      </c>
      <c r="AI2173">
        <v>0</v>
      </c>
      <c r="AJ2173">
        <v>0</v>
      </c>
      <c r="AK2173">
        <v>0</v>
      </c>
      <c r="AL2173">
        <v>0</v>
      </c>
      <c r="AM2173">
        <v>0</v>
      </c>
      <c r="AN2173">
        <v>0</v>
      </c>
      <c r="AO2173">
        <v>0</v>
      </c>
      <c r="AP2173">
        <v>0</v>
      </c>
      <c r="AQ2173">
        <v>16.7</v>
      </c>
      <c r="AR2173">
        <v>0</v>
      </c>
      <c r="AS2173">
        <v>0</v>
      </c>
      <c r="AT2173">
        <v>0</v>
      </c>
      <c r="AU2173">
        <v>0</v>
      </c>
      <c r="AV2173">
        <v>0</v>
      </c>
      <c r="AW2173">
        <v>0</v>
      </c>
      <c r="AX2173">
        <v>0</v>
      </c>
      <c r="AY2173">
        <v>0</v>
      </c>
      <c r="AZ2173">
        <v>0</v>
      </c>
      <c r="BA2173">
        <v>0</v>
      </c>
      <c r="BB2173">
        <v>0</v>
      </c>
      <c r="BC2173">
        <v>0</v>
      </c>
      <c r="BD2173">
        <v>0</v>
      </c>
      <c r="BE2173">
        <v>0</v>
      </c>
      <c r="BF2173">
        <v>0</v>
      </c>
      <c r="BG2173">
        <v>0</v>
      </c>
      <c r="BH2173">
        <v>1</v>
      </c>
      <c r="BI2173">
        <v>1</v>
      </c>
      <c r="BJ2173">
        <v>0.2</v>
      </c>
      <c r="BK2173">
        <v>1</v>
      </c>
      <c r="BL2173">
        <v>54.66</v>
      </c>
      <c r="BM2173">
        <v>8.1999999999999993</v>
      </c>
      <c r="BN2173">
        <v>62.86</v>
      </c>
      <c r="BO2173">
        <v>62.86</v>
      </c>
      <c r="BQ2173" t="s">
        <v>1703</v>
      </c>
      <c r="BR2173" t="s">
        <v>84</v>
      </c>
      <c r="BS2173" s="3">
        <v>45797</v>
      </c>
      <c r="BT2173" s="4">
        <v>0.43472222222222223</v>
      </c>
      <c r="BU2173" t="s">
        <v>2577</v>
      </c>
      <c r="BV2173" t="s">
        <v>86</v>
      </c>
      <c r="BY2173">
        <v>1200</v>
      </c>
      <c r="CA2173" t="s">
        <v>698</v>
      </c>
      <c r="CC2173" t="s">
        <v>649</v>
      </c>
      <c r="CD2173">
        <v>1559</v>
      </c>
      <c r="CE2173" t="s">
        <v>88</v>
      </c>
      <c r="CF2173" s="3">
        <v>45797</v>
      </c>
      <c r="CI2173">
        <v>1</v>
      </c>
      <c r="CJ2173">
        <v>1</v>
      </c>
      <c r="CK2173">
        <v>22</v>
      </c>
      <c r="CL2173" t="s">
        <v>89</v>
      </c>
    </row>
    <row r="2174" spans="1:90" x14ac:dyDescent="0.3">
      <c r="A2174" t="s">
        <v>72</v>
      </c>
      <c r="B2174" t="s">
        <v>73</v>
      </c>
      <c r="C2174" t="s">
        <v>74</v>
      </c>
      <c r="E2174" t="str">
        <f>"080065446143"</f>
        <v>080065446143</v>
      </c>
      <c r="F2174" s="3">
        <v>45796</v>
      </c>
      <c r="G2174">
        <v>202602</v>
      </c>
      <c r="H2174" t="s">
        <v>75</v>
      </c>
      <c r="I2174" t="s">
        <v>76</v>
      </c>
      <c r="J2174" t="s">
        <v>77</v>
      </c>
      <c r="K2174" t="s">
        <v>78</v>
      </c>
      <c r="L2174" t="s">
        <v>130</v>
      </c>
      <c r="M2174" t="s">
        <v>131</v>
      </c>
      <c r="N2174" t="s">
        <v>485</v>
      </c>
      <c r="O2174" t="s">
        <v>82</v>
      </c>
      <c r="P2174" t="str">
        <f>"4170039457                    "</f>
        <v xml:space="preserve">4170039457                    </v>
      </c>
      <c r="Q2174">
        <v>0</v>
      </c>
      <c r="R2174">
        <v>0</v>
      </c>
      <c r="S2174">
        <v>0</v>
      </c>
      <c r="T2174">
        <v>0</v>
      </c>
      <c r="U2174">
        <v>0</v>
      </c>
      <c r="V2174">
        <v>0</v>
      </c>
      <c r="W2174">
        <v>0</v>
      </c>
      <c r="X2174">
        <v>0</v>
      </c>
      <c r="Y2174">
        <v>0</v>
      </c>
      <c r="Z2174">
        <v>0</v>
      </c>
      <c r="AA2174">
        <v>0</v>
      </c>
      <c r="AB2174">
        <v>0</v>
      </c>
      <c r="AC2174">
        <v>0</v>
      </c>
      <c r="AD2174">
        <v>0</v>
      </c>
      <c r="AE2174">
        <v>0</v>
      </c>
      <c r="AF2174">
        <v>0</v>
      </c>
      <c r="AG2174">
        <v>0</v>
      </c>
      <c r="AH2174">
        <v>0</v>
      </c>
      <c r="AI2174">
        <v>0</v>
      </c>
      <c r="AJ2174">
        <v>0</v>
      </c>
      <c r="AK2174">
        <v>0</v>
      </c>
      <c r="AL2174">
        <v>0</v>
      </c>
      <c r="AM2174">
        <v>0</v>
      </c>
      <c r="AN2174">
        <v>0</v>
      </c>
      <c r="AO2174">
        <v>0</v>
      </c>
      <c r="AP2174">
        <v>0</v>
      </c>
      <c r="AQ2174">
        <v>21.38</v>
      </c>
      <c r="AR2174">
        <v>0</v>
      </c>
      <c r="AS2174">
        <v>0</v>
      </c>
      <c r="AT2174">
        <v>0</v>
      </c>
      <c r="AU2174">
        <v>0</v>
      </c>
      <c r="AV2174">
        <v>0</v>
      </c>
      <c r="AW2174">
        <v>0</v>
      </c>
      <c r="AX2174">
        <v>0</v>
      </c>
      <c r="AY2174">
        <v>0</v>
      </c>
      <c r="AZ2174">
        <v>0</v>
      </c>
      <c r="BA2174">
        <v>0</v>
      </c>
      <c r="BB2174">
        <v>0</v>
      </c>
      <c r="BC2174">
        <v>0</v>
      </c>
      <c r="BD2174">
        <v>0</v>
      </c>
      <c r="BE2174">
        <v>0</v>
      </c>
      <c r="BF2174">
        <v>0</v>
      </c>
      <c r="BG2174">
        <v>0</v>
      </c>
      <c r="BH2174">
        <v>1</v>
      </c>
      <c r="BI2174">
        <v>1</v>
      </c>
      <c r="BJ2174">
        <v>0.2</v>
      </c>
      <c r="BK2174">
        <v>1</v>
      </c>
      <c r="BL2174">
        <v>69.98</v>
      </c>
      <c r="BM2174">
        <v>10.5</v>
      </c>
      <c r="BN2174">
        <v>80.48</v>
      </c>
      <c r="BO2174">
        <v>80.48</v>
      </c>
      <c r="BQ2174" t="s">
        <v>486</v>
      </c>
      <c r="BR2174" t="s">
        <v>84</v>
      </c>
      <c r="BS2174" s="3">
        <v>45797</v>
      </c>
      <c r="BT2174" s="4">
        <v>0.4375</v>
      </c>
      <c r="BU2174" t="s">
        <v>2578</v>
      </c>
      <c r="BV2174" t="s">
        <v>86</v>
      </c>
      <c r="BY2174">
        <v>1200</v>
      </c>
      <c r="CA2174" t="s">
        <v>488</v>
      </c>
      <c r="CC2174" t="s">
        <v>131</v>
      </c>
      <c r="CD2174">
        <v>7500</v>
      </c>
      <c r="CE2174" t="s">
        <v>88</v>
      </c>
      <c r="CF2174" s="3">
        <v>45798</v>
      </c>
      <c r="CI2174">
        <v>1</v>
      </c>
      <c r="CJ2174">
        <v>1</v>
      </c>
      <c r="CK2174">
        <v>21</v>
      </c>
      <c r="CL2174" t="s">
        <v>89</v>
      </c>
    </row>
    <row r="2175" spans="1:90" x14ac:dyDescent="0.3">
      <c r="A2175" t="s">
        <v>72</v>
      </c>
      <c r="B2175" t="s">
        <v>73</v>
      </c>
      <c r="C2175" t="s">
        <v>74</v>
      </c>
      <c r="E2175" t="str">
        <f>"080065446167"</f>
        <v>080065446167</v>
      </c>
      <c r="F2175" s="3">
        <v>45796</v>
      </c>
      <c r="G2175">
        <v>202602</v>
      </c>
      <c r="H2175" t="s">
        <v>75</v>
      </c>
      <c r="I2175" t="s">
        <v>76</v>
      </c>
      <c r="J2175" t="s">
        <v>77</v>
      </c>
      <c r="K2175" t="s">
        <v>78</v>
      </c>
      <c r="L2175" t="s">
        <v>130</v>
      </c>
      <c r="M2175" t="s">
        <v>131</v>
      </c>
      <c r="N2175" t="s">
        <v>343</v>
      </c>
      <c r="O2175" t="s">
        <v>82</v>
      </c>
      <c r="P2175" t="str">
        <f>"4170039310                    "</f>
        <v xml:space="preserve">4170039310                    </v>
      </c>
      <c r="Q2175">
        <v>0</v>
      </c>
      <c r="R2175">
        <v>0</v>
      </c>
      <c r="S2175">
        <v>0</v>
      </c>
      <c r="T2175">
        <v>0</v>
      </c>
      <c r="U2175">
        <v>0</v>
      </c>
      <c r="V2175">
        <v>0</v>
      </c>
      <c r="W2175">
        <v>0</v>
      </c>
      <c r="X2175">
        <v>0</v>
      </c>
      <c r="Y2175">
        <v>0</v>
      </c>
      <c r="Z2175">
        <v>0</v>
      </c>
      <c r="AA2175">
        <v>0</v>
      </c>
      <c r="AB2175">
        <v>0</v>
      </c>
      <c r="AC2175">
        <v>0</v>
      </c>
      <c r="AD2175">
        <v>0</v>
      </c>
      <c r="AE2175">
        <v>0</v>
      </c>
      <c r="AF2175">
        <v>0</v>
      </c>
      <c r="AG2175">
        <v>0</v>
      </c>
      <c r="AH2175">
        <v>0</v>
      </c>
      <c r="AI2175">
        <v>0</v>
      </c>
      <c r="AJ2175">
        <v>0</v>
      </c>
      <c r="AK2175">
        <v>0</v>
      </c>
      <c r="AL2175">
        <v>0</v>
      </c>
      <c r="AM2175">
        <v>0</v>
      </c>
      <c r="AN2175">
        <v>0</v>
      </c>
      <c r="AO2175">
        <v>0</v>
      </c>
      <c r="AP2175">
        <v>0</v>
      </c>
      <c r="AQ2175">
        <v>21.38</v>
      </c>
      <c r="AR2175">
        <v>0</v>
      </c>
      <c r="AS2175">
        <v>0</v>
      </c>
      <c r="AT2175">
        <v>0</v>
      </c>
      <c r="AU2175">
        <v>0</v>
      </c>
      <c r="AV2175">
        <v>0</v>
      </c>
      <c r="AW2175">
        <v>0</v>
      </c>
      <c r="AX2175">
        <v>0</v>
      </c>
      <c r="AY2175">
        <v>0</v>
      </c>
      <c r="AZ2175">
        <v>0</v>
      </c>
      <c r="BA2175">
        <v>0</v>
      </c>
      <c r="BB2175">
        <v>0</v>
      </c>
      <c r="BC2175">
        <v>0</v>
      </c>
      <c r="BD2175">
        <v>0</v>
      </c>
      <c r="BE2175">
        <v>0</v>
      </c>
      <c r="BF2175">
        <v>0</v>
      </c>
      <c r="BG2175">
        <v>0</v>
      </c>
      <c r="BH2175">
        <v>1</v>
      </c>
      <c r="BI2175">
        <v>1</v>
      </c>
      <c r="BJ2175">
        <v>0.2</v>
      </c>
      <c r="BK2175">
        <v>1</v>
      </c>
      <c r="BL2175">
        <v>69.98</v>
      </c>
      <c r="BM2175">
        <v>10.5</v>
      </c>
      <c r="BN2175">
        <v>80.48</v>
      </c>
      <c r="BO2175">
        <v>80.48</v>
      </c>
      <c r="BQ2175" t="s">
        <v>344</v>
      </c>
      <c r="BR2175" t="s">
        <v>84</v>
      </c>
      <c r="BS2175" s="3">
        <v>45797</v>
      </c>
      <c r="BT2175" s="4">
        <v>0.40625</v>
      </c>
      <c r="BU2175" t="s">
        <v>1427</v>
      </c>
      <c r="BV2175" t="s">
        <v>86</v>
      </c>
      <c r="BY2175">
        <v>1200</v>
      </c>
      <c r="CA2175" t="s">
        <v>242</v>
      </c>
      <c r="CC2175" t="s">
        <v>131</v>
      </c>
      <c r="CD2175">
        <v>7441</v>
      </c>
      <c r="CE2175" t="s">
        <v>88</v>
      </c>
      <c r="CF2175" s="3">
        <v>45798</v>
      </c>
      <c r="CI2175">
        <v>1</v>
      </c>
      <c r="CJ2175">
        <v>1</v>
      </c>
      <c r="CK2175">
        <v>21</v>
      </c>
      <c r="CL2175" t="s">
        <v>89</v>
      </c>
    </row>
    <row r="2176" spans="1:90" x14ac:dyDescent="0.3">
      <c r="A2176" t="s">
        <v>72</v>
      </c>
      <c r="B2176" t="s">
        <v>73</v>
      </c>
      <c r="C2176" t="s">
        <v>74</v>
      </c>
      <c r="E2176" t="str">
        <f>"080065446190"</f>
        <v>080065446190</v>
      </c>
      <c r="F2176" s="3">
        <v>45796</v>
      </c>
      <c r="G2176">
        <v>202602</v>
      </c>
      <c r="H2176" t="s">
        <v>75</v>
      </c>
      <c r="I2176" t="s">
        <v>76</v>
      </c>
      <c r="J2176" t="s">
        <v>77</v>
      </c>
      <c r="K2176" t="s">
        <v>78</v>
      </c>
      <c r="L2176" t="s">
        <v>123</v>
      </c>
      <c r="M2176" t="s">
        <v>123</v>
      </c>
      <c r="N2176" t="s">
        <v>593</v>
      </c>
      <c r="O2176" t="s">
        <v>82</v>
      </c>
      <c r="P2176" t="str">
        <f>"4170039456                    "</f>
        <v xml:space="preserve">4170039456                    </v>
      </c>
      <c r="Q2176">
        <v>0</v>
      </c>
      <c r="R2176">
        <v>0</v>
      </c>
      <c r="S2176">
        <v>0</v>
      </c>
      <c r="T2176">
        <v>0</v>
      </c>
      <c r="U2176">
        <v>0</v>
      </c>
      <c r="V2176">
        <v>0</v>
      </c>
      <c r="W2176">
        <v>0</v>
      </c>
      <c r="X2176">
        <v>0</v>
      </c>
      <c r="Y2176">
        <v>0</v>
      </c>
      <c r="Z2176">
        <v>0</v>
      </c>
      <c r="AA2176">
        <v>0</v>
      </c>
      <c r="AB2176">
        <v>0</v>
      </c>
      <c r="AC2176">
        <v>0</v>
      </c>
      <c r="AD2176">
        <v>0</v>
      </c>
      <c r="AE2176">
        <v>0</v>
      </c>
      <c r="AF2176">
        <v>0</v>
      </c>
      <c r="AG2176">
        <v>0</v>
      </c>
      <c r="AH2176">
        <v>0</v>
      </c>
      <c r="AI2176">
        <v>0</v>
      </c>
      <c r="AJ2176">
        <v>0</v>
      </c>
      <c r="AK2176">
        <v>0</v>
      </c>
      <c r="AL2176">
        <v>0</v>
      </c>
      <c r="AM2176">
        <v>0</v>
      </c>
      <c r="AN2176">
        <v>0</v>
      </c>
      <c r="AO2176">
        <v>0</v>
      </c>
      <c r="AP2176">
        <v>0</v>
      </c>
      <c r="AQ2176">
        <v>41.43</v>
      </c>
      <c r="AR2176">
        <v>0</v>
      </c>
      <c r="AS2176">
        <v>0</v>
      </c>
      <c r="AT2176">
        <v>0</v>
      </c>
      <c r="AU2176">
        <v>0</v>
      </c>
      <c r="AV2176">
        <v>0</v>
      </c>
      <c r="AW2176">
        <v>0</v>
      </c>
      <c r="AX2176">
        <v>0</v>
      </c>
      <c r="AY2176">
        <v>0</v>
      </c>
      <c r="AZ2176">
        <v>0</v>
      </c>
      <c r="BA2176">
        <v>0</v>
      </c>
      <c r="BB2176">
        <v>0</v>
      </c>
      <c r="BC2176">
        <v>0</v>
      </c>
      <c r="BD2176">
        <v>0</v>
      </c>
      <c r="BE2176">
        <v>0</v>
      </c>
      <c r="BF2176">
        <v>0</v>
      </c>
      <c r="BG2176">
        <v>0</v>
      </c>
      <c r="BH2176">
        <v>1</v>
      </c>
      <c r="BI2176">
        <v>1</v>
      </c>
      <c r="BJ2176">
        <v>0.2</v>
      </c>
      <c r="BK2176">
        <v>1</v>
      </c>
      <c r="BL2176">
        <v>135.59</v>
      </c>
      <c r="BM2176">
        <v>20.34</v>
      </c>
      <c r="BN2176">
        <v>155.93</v>
      </c>
      <c r="BO2176">
        <v>155.93</v>
      </c>
      <c r="BQ2176" t="s">
        <v>594</v>
      </c>
      <c r="BR2176" t="s">
        <v>84</v>
      </c>
      <c r="BS2176" s="3">
        <v>45797</v>
      </c>
      <c r="BT2176" s="4">
        <v>0.49583333333333335</v>
      </c>
      <c r="BU2176" t="s">
        <v>595</v>
      </c>
      <c r="BV2176" t="s">
        <v>86</v>
      </c>
      <c r="BY2176">
        <v>1200</v>
      </c>
      <c r="CA2176" t="s">
        <v>128</v>
      </c>
      <c r="CC2176" t="s">
        <v>123</v>
      </c>
      <c r="CD2176">
        <v>7646</v>
      </c>
      <c r="CE2176" t="s">
        <v>88</v>
      </c>
      <c r="CF2176" s="3">
        <v>45798</v>
      </c>
      <c r="CI2176">
        <v>1</v>
      </c>
      <c r="CJ2176">
        <v>1</v>
      </c>
      <c r="CK2176">
        <v>23</v>
      </c>
      <c r="CL2176" t="s">
        <v>89</v>
      </c>
    </row>
    <row r="2177" spans="1:90" x14ac:dyDescent="0.3">
      <c r="A2177" t="s">
        <v>72</v>
      </c>
      <c r="B2177" t="s">
        <v>73</v>
      </c>
      <c r="C2177" t="s">
        <v>74</v>
      </c>
      <c r="E2177" t="str">
        <f>"080065446232"</f>
        <v>080065446232</v>
      </c>
      <c r="F2177" s="3">
        <v>45796</v>
      </c>
      <c r="G2177">
        <v>202602</v>
      </c>
      <c r="H2177" t="s">
        <v>75</v>
      </c>
      <c r="I2177" t="s">
        <v>76</v>
      </c>
      <c r="J2177" t="s">
        <v>77</v>
      </c>
      <c r="K2177" t="s">
        <v>78</v>
      </c>
      <c r="L2177" t="s">
        <v>103</v>
      </c>
      <c r="M2177" t="s">
        <v>104</v>
      </c>
      <c r="N2177" t="s">
        <v>396</v>
      </c>
      <c r="O2177" t="s">
        <v>82</v>
      </c>
      <c r="P2177" t="str">
        <f>"4170039472                    "</f>
        <v xml:space="preserve">4170039472                    </v>
      </c>
      <c r="Q2177">
        <v>0</v>
      </c>
      <c r="R2177">
        <v>0</v>
      </c>
      <c r="S2177">
        <v>0</v>
      </c>
      <c r="T2177">
        <v>0</v>
      </c>
      <c r="U2177">
        <v>0</v>
      </c>
      <c r="V2177">
        <v>0</v>
      </c>
      <c r="W2177">
        <v>0</v>
      </c>
      <c r="X2177">
        <v>0</v>
      </c>
      <c r="Y2177">
        <v>0</v>
      </c>
      <c r="Z2177">
        <v>0</v>
      </c>
      <c r="AA2177">
        <v>0</v>
      </c>
      <c r="AB2177">
        <v>0</v>
      </c>
      <c r="AC2177">
        <v>0</v>
      </c>
      <c r="AD2177">
        <v>0</v>
      </c>
      <c r="AE2177">
        <v>0</v>
      </c>
      <c r="AF2177">
        <v>0</v>
      </c>
      <c r="AG2177">
        <v>0</v>
      </c>
      <c r="AH2177">
        <v>0</v>
      </c>
      <c r="AI2177">
        <v>0</v>
      </c>
      <c r="AJ2177">
        <v>0</v>
      </c>
      <c r="AK2177">
        <v>0</v>
      </c>
      <c r="AL2177">
        <v>0</v>
      </c>
      <c r="AM2177">
        <v>0</v>
      </c>
      <c r="AN2177">
        <v>0</v>
      </c>
      <c r="AO2177">
        <v>0</v>
      </c>
      <c r="AP2177">
        <v>0</v>
      </c>
      <c r="AQ2177">
        <v>21.38</v>
      </c>
      <c r="AR2177">
        <v>0</v>
      </c>
      <c r="AS2177">
        <v>0</v>
      </c>
      <c r="AT2177">
        <v>0</v>
      </c>
      <c r="AU2177">
        <v>0</v>
      </c>
      <c r="AV2177">
        <v>0</v>
      </c>
      <c r="AW2177">
        <v>16.739999999999998</v>
      </c>
      <c r="AX2177">
        <v>0</v>
      </c>
      <c r="AY2177">
        <v>0</v>
      </c>
      <c r="AZ2177">
        <v>0</v>
      </c>
      <c r="BA2177">
        <v>0</v>
      </c>
      <c r="BB2177">
        <v>0</v>
      </c>
      <c r="BC2177">
        <v>0</v>
      </c>
      <c r="BD2177">
        <v>0</v>
      </c>
      <c r="BE2177">
        <v>0</v>
      </c>
      <c r="BF2177">
        <v>0</v>
      </c>
      <c r="BG2177">
        <v>0</v>
      </c>
      <c r="BH2177">
        <v>1</v>
      </c>
      <c r="BI2177">
        <v>1</v>
      </c>
      <c r="BJ2177">
        <v>0.2</v>
      </c>
      <c r="BK2177">
        <v>1</v>
      </c>
      <c r="BL2177">
        <v>86.72</v>
      </c>
      <c r="BM2177">
        <v>13.01</v>
      </c>
      <c r="BN2177">
        <v>99.73</v>
      </c>
      <c r="BO2177">
        <v>99.73</v>
      </c>
      <c r="BQ2177" t="s">
        <v>397</v>
      </c>
      <c r="BR2177" t="s">
        <v>84</v>
      </c>
      <c r="BS2177" s="3">
        <v>45797</v>
      </c>
      <c r="BT2177" s="4">
        <v>0.41666666666666669</v>
      </c>
      <c r="BU2177" t="s">
        <v>398</v>
      </c>
      <c r="BV2177" t="s">
        <v>86</v>
      </c>
      <c r="BY2177">
        <v>1200</v>
      </c>
      <c r="BZ2177" t="s">
        <v>30</v>
      </c>
      <c r="CA2177" t="s">
        <v>945</v>
      </c>
      <c r="CC2177" t="s">
        <v>104</v>
      </c>
      <c r="CD2177">
        <v>3699</v>
      </c>
      <c r="CE2177" t="s">
        <v>88</v>
      </c>
      <c r="CF2177" s="3">
        <v>45798</v>
      </c>
      <c r="CI2177">
        <v>1</v>
      </c>
      <c r="CJ2177">
        <v>1</v>
      </c>
      <c r="CK2177">
        <v>21</v>
      </c>
      <c r="CL2177" t="s">
        <v>89</v>
      </c>
    </row>
    <row r="2178" spans="1:90" x14ac:dyDescent="0.3">
      <c r="A2178" t="s">
        <v>72</v>
      </c>
      <c r="B2178" t="s">
        <v>73</v>
      </c>
      <c r="C2178" t="s">
        <v>74</v>
      </c>
      <c r="E2178" t="str">
        <f>"080065446266"</f>
        <v>080065446266</v>
      </c>
      <c r="F2178" s="3">
        <v>45796</v>
      </c>
      <c r="G2178">
        <v>202602</v>
      </c>
      <c r="H2178" t="s">
        <v>75</v>
      </c>
      <c r="I2178" t="s">
        <v>76</v>
      </c>
      <c r="J2178" t="s">
        <v>77</v>
      </c>
      <c r="K2178" t="s">
        <v>78</v>
      </c>
      <c r="L2178" t="s">
        <v>79</v>
      </c>
      <c r="M2178" t="s">
        <v>80</v>
      </c>
      <c r="N2178" t="s">
        <v>452</v>
      </c>
      <c r="O2178" t="s">
        <v>82</v>
      </c>
      <c r="P2178" t="str">
        <f>"4170039322                    "</f>
        <v xml:space="preserve">4170039322                    </v>
      </c>
      <c r="Q2178">
        <v>0</v>
      </c>
      <c r="R2178">
        <v>0</v>
      </c>
      <c r="S2178">
        <v>0</v>
      </c>
      <c r="T2178">
        <v>0</v>
      </c>
      <c r="U2178">
        <v>0</v>
      </c>
      <c r="V2178">
        <v>0</v>
      </c>
      <c r="W2178">
        <v>0</v>
      </c>
      <c r="X2178">
        <v>0</v>
      </c>
      <c r="Y2178">
        <v>0</v>
      </c>
      <c r="Z2178">
        <v>0</v>
      </c>
      <c r="AA2178">
        <v>0</v>
      </c>
      <c r="AB2178">
        <v>0</v>
      </c>
      <c r="AC2178">
        <v>0</v>
      </c>
      <c r="AD2178">
        <v>0</v>
      </c>
      <c r="AE2178">
        <v>0</v>
      </c>
      <c r="AF2178">
        <v>0</v>
      </c>
      <c r="AG2178">
        <v>0</v>
      </c>
      <c r="AH2178">
        <v>0</v>
      </c>
      <c r="AI2178">
        <v>0</v>
      </c>
      <c r="AJ2178">
        <v>0</v>
      </c>
      <c r="AK2178">
        <v>0</v>
      </c>
      <c r="AL2178">
        <v>0</v>
      </c>
      <c r="AM2178">
        <v>0</v>
      </c>
      <c r="AN2178">
        <v>0</v>
      </c>
      <c r="AO2178">
        <v>0</v>
      </c>
      <c r="AP2178">
        <v>0</v>
      </c>
      <c r="AQ2178">
        <v>21.38</v>
      </c>
      <c r="AR2178">
        <v>0</v>
      </c>
      <c r="AS2178">
        <v>0</v>
      </c>
      <c r="AT2178">
        <v>0</v>
      </c>
      <c r="AU2178">
        <v>0</v>
      </c>
      <c r="AV2178">
        <v>0</v>
      </c>
      <c r="AW2178">
        <v>0</v>
      </c>
      <c r="AX2178">
        <v>0</v>
      </c>
      <c r="AY2178">
        <v>0</v>
      </c>
      <c r="AZ2178">
        <v>0</v>
      </c>
      <c r="BA2178">
        <v>0</v>
      </c>
      <c r="BB2178">
        <v>0</v>
      </c>
      <c r="BC2178">
        <v>0</v>
      </c>
      <c r="BD2178">
        <v>0</v>
      </c>
      <c r="BE2178">
        <v>0</v>
      </c>
      <c r="BF2178">
        <v>0</v>
      </c>
      <c r="BG2178">
        <v>0</v>
      </c>
      <c r="BH2178">
        <v>1</v>
      </c>
      <c r="BI2178">
        <v>1</v>
      </c>
      <c r="BJ2178">
        <v>0.2</v>
      </c>
      <c r="BK2178">
        <v>1</v>
      </c>
      <c r="BL2178">
        <v>69.98</v>
      </c>
      <c r="BM2178">
        <v>10.5</v>
      </c>
      <c r="BN2178">
        <v>80.48</v>
      </c>
      <c r="BO2178">
        <v>80.48</v>
      </c>
      <c r="BQ2178" t="s">
        <v>453</v>
      </c>
      <c r="BR2178" t="s">
        <v>84</v>
      </c>
      <c r="BS2178" s="3">
        <v>45797</v>
      </c>
      <c r="BT2178" s="4">
        <v>0.39930555555555558</v>
      </c>
      <c r="BU2178" t="s">
        <v>1071</v>
      </c>
      <c r="BV2178" t="s">
        <v>86</v>
      </c>
      <c r="BY2178">
        <v>1200</v>
      </c>
      <c r="CA2178" t="s">
        <v>160</v>
      </c>
      <c r="CC2178" t="s">
        <v>80</v>
      </c>
      <c r="CD2178">
        <v>3610</v>
      </c>
      <c r="CE2178" t="s">
        <v>88</v>
      </c>
      <c r="CF2178" s="3">
        <v>45798</v>
      </c>
      <c r="CI2178">
        <v>1</v>
      </c>
      <c r="CJ2178">
        <v>1</v>
      </c>
      <c r="CK2178">
        <v>21</v>
      </c>
      <c r="CL2178" t="s">
        <v>89</v>
      </c>
    </row>
    <row r="2179" spans="1:90" x14ac:dyDescent="0.3">
      <c r="A2179" t="s">
        <v>72</v>
      </c>
      <c r="B2179" t="s">
        <v>73</v>
      </c>
      <c r="C2179" t="s">
        <v>74</v>
      </c>
      <c r="E2179" t="str">
        <f>"080065446317"</f>
        <v>080065446317</v>
      </c>
      <c r="F2179" s="3">
        <v>45796</v>
      </c>
      <c r="G2179">
        <v>202602</v>
      </c>
      <c r="H2179" t="s">
        <v>75</v>
      </c>
      <c r="I2179" t="s">
        <v>76</v>
      </c>
      <c r="J2179" t="s">
        <v>77</v>
      </c>
      <c r="K2179" t="s">
        <v>78</v>
      </c>
      <c r="L2179" t="s">
        <v>177</v>
      </c>
      <c r="M2179" t="s">
        <v>178</v>
      </c>
      <c r="N2179" t="s">
        <v>2222</v>
      </c>
      <c r="O2179" t="s">
        <v>82</v>
      </c>
      <c r="P2179" t="str">
        <f>"4170039308                    "</f>
        <v xml:space="preserve">4170039308                    </v>
      </c>
      <c r="Q2179">
        <v>0</v>
      </c>
      <c r="R2179">
        <v>0</v>
      </c>
      <c r="S2179">
        <v>0</v>
      </c>
      <c r="T2179">
        <v>0</v>
      </c>
      <c r="U2179">
        <v>0</v>
      </c>
      <c r="V2179">
        <v>0</v>
      </c>
      <c r="W2179">
        <v>0</v>
      </c>
      <c r="X2179">
        <v>0</v>
      </c>
      <c r="Y2179">
        <v>0</v>
      </c>
      <c r="Z2179">
        <v>0</v>
      </c>
      <c r="AA2179">
        <v>0</v>
      </c>
      <c r="AB2179">
        <v>0</v>
      </c>
      <c r="AC2179">
        <v>0</v>
      </c>
      <c r="AD2179">
        <v>0</v>
      </c>
      <c r="AE2179">
        <v>0</v>
      </c>
      <c r="AF2179">
        <v>0</v>
      </c>
      <c r="AG2179">
        <v>0</v>
      </c>
      <c r="AH2179">
        <v>0</v>
      </c>
      <c r="AI2179">
        <v>0</v>
      </c>
      <c r="AJ2179">
        <v>0</v>
      </c>
      <c r="AK2179">
        <v>0</v>
      </c>
      <c r="AL2179">
        <v>0</v>
      </c>
      <c r="AM2179">
        <v>0</v>
      </c>
      <c r="AN2179">
        <v>0</v>
      </c>
      <c r="AO2179">
        <v>0</v>
      </c>
      <c r="AP2179">
        <v>0</v>
      </c>
      <c r="AQ2179">
        <v>21.38</v>
      </c>
      <c r="AR2179">
        <v>0</v>
      </c>
      <c r="AS2179">
        <v>0</v>
      </c>
      <c r="AT2179">
        <v>0</v>
      </c>
      <c r="AU2179">
        <v>0</v>
      </c>
      <c r="AV2179">
        <v>0</v>
      </c>
      <c r="AW2179">
        <v>0</v>
      </c>
      <c r="AX2179">
        <v>0</v>
      </c>
      <c r="AY2179">
        <v>0</v>
      </c>
      <c r="AZ2179">
        <v>0</v>
      </c>
      <c r="BA2179">
        <v>0</v>
      </c>
      <c r="BB2179">
        <v>0</v>
      </c>
      <c r="BC2179">
        <v>0</v>
      </c>
      <c r="BD2179">
        <v>0</v>
      </c>
      <c r="BE2179">
        <v>0</v>
      </c>
      <c r="BF2179">
        <v>0</v>
      </c>
      <c r="BG2179">
        <v>0</v>
      </c>
      <c r="BH2179">
        <v>1</v>
      </c>
      <c r="BI2179">
        <v>1</v>
      </c>
      <c r="BJ2179">
        <v>0.2</v>
      </c>
      <c r="BK2179">
        <v>1</v>
      </c>
      <c r="BL2179">
        <v>69.98</v>
      </c>
      <c r="BM2179">
        <v>10.5</v>
      </c>
      <c r="BN2179">
        <v>80.48</v>
      </c>
      <c r="BO2179">
        <v>80.48</v>
      </c>
      <c r="BQ2179" t="s">
        <v>2223</v>
      </c>
      <c r="BR2179" t="s">
        <v>84</v>
      </c>
      <c r="BS2179" s="3">
        <v>45797</v>
      </c>
      <c r="BT2179" s="4">
        <v>0.36527777777777776</v>
      </c>
      <c r="BU2179" t="s">
        <v>2579</v>
      </c>
      <c r="BV2179" t="s">
        <v>86</v>
      </c>
      <c r="BY2179">
        <v>1200</v>
      </c>
      <c r="CA2179" t="s">
        <v>182</v>
      </c>
      <c r="CC2179" t="s">
        <v>178</v>
      </c>
      <c r="CD2179">
        <v>6229</v>
      </c>
      <c r="CE2179" t="s">
        <v>88</v>
      </c>
      <c r="CF2179" s="3">
        <v>45797</v>
      </c>
      <c r="CI2179">
        <v>1</v>
      </c>
      <c r="CJ2179">
        <v>1</v>
      </c>
      <c r="CK2179">
        <v>21</v>
      </c>
      <c r="CL2179" t="s">
        <v>89</v>
      </c>
    </row>
    <row r="2180" spans="1:90" x14ac:dyDescent="0.3">
      <c r="A2180" t="s">
        <v>72</v>
      </c>
      <c r="B2180" t="s">
        <v>73</v>
      </c>
      <c r="C2180" t="s">
        <v>74</v>
      </c>
      <c r="E2180" t="str">
        <f>"080065446387"</f>
        <v>080065446387</v>
      </c>
      <c r="F2180" s="3">
        <v>45796</v>
      </c>
      <c r="G2180">
        <v>202602</v>
      </c>
      <c r="H2180" t="s">
        <v>75</v>
      </c>
      <c r="I2180" t="s">
        <v>76</v>
      </c>
      <c r="J2180" t="s">
        <v>77</v>
      </c>
      <c r="K2180" t="s">
        <v>78</v>
      </c>
      <c r="L2180" t="s">
        <v>177</v>
      </c>
      <c r="M2180" t="s">
        <v>178</v>
      </c>
      <c r="N2180" t="s">
        <v>212</v>
      </c>
      <c r="O2180" t="s">
        <v>82</v>
      </c>
      <c r="P2180" t="str">
        <f>"4170039329                    "</f>
        <v xml:space="preserve">4170039329                    </v>
      </c>
      <c r="Q2180">
        <v>0</v>
      </c>
      <c r="R2180">
        <v>0</v>
      </c>
      <c r="S2180">
        <v>0</v>
      </c>
      <c r="T2180">
        <v>0</v>
      </c>
      <c r="U2180">
        <v>0</v>
      </c>
      <c r="V2180">
        <v>0</v>
      </c>
      <c r="W2180">
        <v>0</v>
      </c>
      <c r="X2180">
        <v>0</v>
      </c>
      <c r="Y2180">
        <v>0</v>
      </c>
      <c r="Z2180">
        <v>0</v>
      </c>
      <c r="AA2180">
        <v>0</v>
      </c>
      <c r="AB2180">
        <v>0</v>
      </c>
      <c r="AC2180">
        <v>0</v>
      </c>
      <c r="AD2180">
        <v>0</v>
      </c>
      <c r="AE2180">
        <v>0</v>
      </c>
      <c r="AF2180">
        <v>0</v>
      </c>
      <c r="AG2180">
        <v>0</v>
      </c>
      <c r="AH2180">
        <v>0</v>
      </c>
      <c r="AI2180">
        <v>0</v>
      </c>
      <c r="AJ2180">
        <v>0</v>
      </c>
      <c r="AK2180">
        <v>0</v>
      </c>
      <c r="AL2180">
        <v>0</v>
      </c>
      <c r="AM2180">
        <v>0</v>
      </c>
      <c r="AN2180">
        <v>0</v>
      </c>
      <c r="AO2180">
        <v>0</v>
      </c>
      <c r="AP2180">
        <v>0</v>
      </c>
      <c r="AQ2180">
        <v>21.38</v>
      </c>
      <c r="AR2180">
        <v>0</v>
      </c>
      <c r="AS2180">
        <v>0</v>
      </c>
      <c r="AT2180">
        <v>0</v>
      </c>
      <c r="AU2180">
        <v>0</v>
      </c>
      <c r="AV2180">
        <v>0</v>
      </c>
      <c r="AW2180">
        <v>0</v>
      </c>
      <c r="AX2180">
        <v>0</v>
      </c>
      <c r="AY2180">
        <v>0</v>
      </c>
      <c r="AZ2180">
        <v>0</v>
      </c>
      <c r="BA2180">
        <v>0</v>
      </c>
      <c r="BB2180">
        <v>0</v>
      </c>
      <c r="BC2180">
        <v>0</v>
      </c>
      <c r="BD2180">
        <v>0</v>
      </c>
      <c r="BE2180">
        <v>0</v>
      </c>
      <c r="BF2180">
        <v>0</v>
      </c>
      <c r="BG2180">
        <v>0</v>
      </c>
      <c r="BH2180">
        <v>1</v>
      </c>
      <c r="BI2180">
        <v>1</v>
      </c>
      <c r="BJ2180">
        <v>0.2</v>
      </c>
      <c r="BK2180">
        <v>1</v>
      </c>
      <c r="BL2180">
        <v>69.98</v>
      </c>
      <c r="BM2180">
        <v>10.5</v>
      </c>
      <c r="BN2180">
        <v>80.48</v>
      </c>
      <c r="BO2180">
        <v>80.48</v>
      </c>
      <c r="BQ2180" t="s">
        <v>213</v>
      </c>
      <c r="BR2180" t="s">
        <v>84</v>
      </c>
      <c r="BS2180" s="3">
        <v>45797</v>
      </c>
      <c r="BT2180" s="4">
        <v>0.34583333333333333</v>
      </c>
      <c r="BU2180" t="s">
        <v>1568</v>
      </c>
      <c r="BV2180" t="s">
        <v>86</v>
      </c>
      <c r="BY2180">
        <v>1200</v>
      </c>
      <c r="CA2180" t="s">
        <v>182</v>
      </c>
      <c r="CC2180" t="s">
        <v>178</v>
      </c>
      <c r="CD2180">
        <v>6229</v>
      </c>
      <c r="CE2180" t="s">
        <v>88</v>
      </c>
      <c r="CF2180" s="3">
        <v>45797</v>
      </c>
      <c r="CI2180">
        <v>1</v>
      </c>
      <c r="CJ2180">
        <v>1</v>
      </c>
      <c r="CK2180">
        <v>21</v>
      </c>
      <c r="CL2180" t="s">
        <v>89</v>
      </c>
    </row>
    <row r="2181" spans="1:90" x14ac:dyDescent="0.3">
      <c r="A2181" t="s">
        <v>72</v>
      </c>
      <c r="B2181" t="s">
        <v>73</v>
      </c>
      <c r="C2181" t="s">
        <v>74</v>
      </c>
      <c r="E2181" t="str">
        <f>"080065446535"</f>
        <v>080065446535</v>
      </c>
      <c r="F2181" s="3">
        <v>45796</v>
      </c>
      <c r="G2181">
        <v>202602</v>
      </c>
      <c r="H2181" t="s">
        <v>75</v>
      </c>
      <c r="I2181" t="s">
        <v>76</v>
      </c>
      <c r="J2181" t="s">
        <v>77</v>
      </c>
      <c r="K2181" t="s">
        <v>78</v>
      </c>
      <c r="L2181" t="s">
        <v>130</v>
      </c>
      <c r="M2181" t="s">
        <v>131</v>
      </c>
      <c r="N2181" t="s">
        <v>1066</v>
      </c>
      <c r="O2181" t="s">
        <v>82</v>
      </c>
      <c r="P2181" t="str">
        <f>"4170039491                    "</f>
        <v xml:space="preserve">4170039491                    </v>
      </c>
      <c r="Q2181">
        <v>0</v>
      </c>
      <c r="R2181">
        <v>0</v>
      </c>
      <c r="S2181">
        <v>0</v>
      </c>
      <c r="T2181">
        <v>0</v>
      </c>
      <c r="U2181">
        <v>0</v>
      </c>
      <c r="V2181">
        <v>0</v>
      </c>
      <c r="W2181">
        <v>0</v>
      </c>
      <c r="X2181">
        <v>0</v>
      </c>
      <c r="Y2181">
        <v>0</v>
      </c>
      <c r="Z2181">
        <v>0</v>
      </c>
      <c r="AA2181">
        <v>0</v>
      </c>
      <c r="AB2181">
        <v>0</v>
      </c>
      <c r="AC2181">
        <v>0</v>
      </c>
      <c r="AD2181">
        <v>0</v>
      </c>
      <c r="AE2181">
        <v>0</v>
      </c>
      <c r="AF2181">
        <v>0</v>
      </c>
      <c r="AG2181">
        <v>0</v>
      </c>
      <c r="AH2181">
        <v>0</v>
      </c>
      <c r="AI2181">
        <v>0</v>
      </c>
      <c r="AJ2181">
        <v>0</v>
      </c>
      <c r="AK2181">
        <v>0</v>
      </c>
      <c r="AL2181">
        <v>0</v>
      </c>
      <c r="AM2181">
        <v>0</v>
      </c>
      <c r="AN2181">
        <v>0</v>
      </c>
      <c r="AO2181">
        <v>0</v>
      </c>
      <c r="AP2181">
        <v>0</v>
      </c>
      <c r="AQ2181">
        <v>64.12</v>
      </c>
      <c r="AR2181">
        <v>0</v>
      </c>
      <c r="AS2181">
        <v>0</v>
      </c>
      <c r="AT2181">
        <v>0</v>
      </c>
      <c r="AU2181">
        <v>0</v>
      </c>
      <c r="AV2181">
        <v>0</v>
      </c>
      <c r="AW2181">
        <v>0</v>
      </c>
      <c r="AX2181">
        <v>0</v>
      </c>
      <c r="AY2181">
        <v>0</v>
      </c>
      <c r="AZ2181">
        <v>0</v>
      </c>
      <c r="BA2181">
        <v>0</v>
      </c>
      <c r="BB2181">
        <v>0</v>
      </c>
      <c r="BC2181">
        <v>0</v>
      </c>
      <c r="BD2181">
        <v>0</v>
      </c>
      <c r="BE2181">
        <v>0</v>
      </c>
      <c r="BF2181">
        <v>0</v>
      </c>
      <c r="BG2181">
        <v>0</v>
      </c>
      <c r="BH2181">
        <v>1</v>
      </c>
      <c r="BI2181">
        <v>6</v>
      </c>
      <c r="BJ2181">
        <v>3.4</v>
      </c>
      <c r="BK2181">
        <v>6</v>
      </c>
      <c r="BL2181">
        <v>209.84</v>
      </c>
      <c r="BM2181">
        <v>31.48</v>
      </c>
      <c r="BN2181">
        <v>241.32</v>
      </c>
      <c r="BO2181">
        <v>241.32</v>
      </c>
      <c r="BQ2181" t="s">
        <v>1067</v>
      </c>
      <c r="BR2181" t="s">
        <v>84</v>
      </c>
      <c r="BS2181" s="3">
        <v>45797</v>
      </c>
      <c r="BT2181" s="4">
        <v>0.40555555555555556</v>
      </c>
      <c r="BU2181" t="s">
        <v>2580</v>
      </c>
      <c r="BV2181" t="s">
        <v>86</v>
      </c>
      <c r="BY2181">
        <v>16965</v>
      </c>
      <c r="CA2181" t="s">
        <v>712</v>
      </c>
      <c r="CC2181" t="s">
        <v>131</v>
      </c>
      <c r="CD2181">
        <v>7561</v>
      </c>
      <c r="CE2181" t="s">
        <v>96</v>
      </c>
      <c r="CF2181" s="3">
        <v>45798</v>
      </c>
      <c r="CI2181">
        <v>1</v>
      </c>
      <c r="CJ2181">
        <v>1</v>
      </c>
      <c r="CK2181">
        <v>21</v>
      </c>
      <c r="CL2181" t="s">
        <v>89</v>
      </c>
    </row>
    <row r="2182" spans="1:90" x14ac:dyDescent="0.3">
      <c r="A2182" t="s">
        <v>72</v>
      </c>
      <c r="B2182" t="s">
        <v>73</v>
      </c>
      <c r="C2182" t="s">
        <v>74</v>
      </c>
      <c r="E2182" t="str">
        <f>"080065446525"</f>
        <v>080065446525</v>
      </c>
      <c r="F2182" s="3">
        <v>45796</v>
      </c>
      <c r="G2182">
        <v>202602</v>
      </c>
      <c r="H2182" t="s">
        <v>75</v>
      </c>
      <c r="I2182" t="s">
        <v>76</v>
      </c>
      <c r="J2182" t="s">
        <v>77</v>
      </c>
      <c r="K2182" t="s">
        <v>78</v>
      </c>
      <c r="L2182" t="s">
        <v>130</v>
      </c>
      <c r="M2182" t="s">
        <v>131</v>
      </c>
      <c r="N2182" t="s">
        <v>343</v>
      </c>
      <c r="O2182" t="s">
        <v>82</v>
      </c>
      <c r="P2182" t="str">
        <f>"4170039468                    "</f>
        <v xml:space="preserve">4170039468                    </v>
      </c>
      <c r="Q2182">
        <v>0</v>
      </c>
      <c r="R2182">
        <v>0</v>
      </c>
      <c r="S2182">
        <v>0</v>
      </c>
      <c r="T2182">
        <v>0</v>
      </c>
      <c r="U2182">
        <v>0</v>
      </c>
      <c r="V2182">
        <v>0</v>
      </c>
      <c r="W2182">
        <v>0</v>
      </c>
      <c r="X2182">
        <v>0</v>
      </c>
      <c r="Y2182">
        <v>0</v>
      </c>
      <c r="Z2182">
        <v>0</v>
      </c>
      <c r="AA2182">
        <v>0</v>
      </c>
      <c r="AB2182">
        <v>0</v>
      </c>
      <c r="AC2182">
        <v>0</v>
      </c>
      <c r="AD2182">
        <v>0</v>
      </c>
      <c r="AE2182">
        <v>0</v>
      </c>
      <c r="AF2182">
        <v>0</v>
      </c>
      <c r="AG2182">
        <v>0</v>
      </c>
      <c r="AH2182">
        <v>0</v>
      </c>
      <c r="AI2182">
        <v>0</v>
      </c>
      <c r="AJ2182">
        <v>0</v>
      </c>
      <c r="AK2182">
        <v>0</v>
      </c>
      <c r="AL2182">
        <v>0</v>
      </c>
      <c r="AM2182">
        <v>0</v>
      </c>
      <c r="AN2182">
        <v>0</v>
      </c>
      <c r="AO2182">
        <v>0</v>
      </c>
      <c r="AP2182">
        <v>0</v>
      </c>
      <c r="AQ2182">
        <v>21.38</v>
      </c>
      <c r="AR2182">
        <v>0</v>
      </c>
      <c r="AS2182">
        <v>0</v>
      </c>
      <c r="AT2182">
        <v>0</v>
      </c>
      <c r="AU2182">
        <v>0</v>
      </c>
      <c r="AV2182">
        <v>0</v>
      </c>
      <c r="AW2182">
        <v>0</v>
      </c>
      <c r="AX2182">
        <v>0</v>
      </c>
      <c r="AY2182">
        <v>0</v>
      </c>
      <c r="AZ2182">
        <v>0</v>
      </c>
      <c r="BA2182">
        <v>0</v>
      </c>
      <c r="BB2182">
        <v>0</v>
      </c>
      <c r="BC2182">
        <v>0</v>
      </c>
      <c r="BD2182">
        <v>0</v>
      </c>
      <c r="BE2182">
        <v>0</v>
      </c>
      <c r="BF2182">
        <v>0</v>
      </c>
      <c r="BG2182">
        <v>0</v>
      </c>
      <c r="BH2182">
        <v>1</v>
      </c>
      <c r="BI2182">
        <v>1</v>
      </c>
      <c r="BJ2182">
        <v>0.2</v>
      </c>
      <c r="BK2182">
        <v>1</v>
      </c>
      <c r="BL2182">
        <v>69.98</v>
      </c>
      <c r="BM2182">
        <v>10.5</v>
      </c>
      <c r="BN2182">
        <v>80.48</v>
      </c>
      <c r="BO2182">
        <v>80.48</v>
      </c>
      <c r="BQ2182" t="s">
        <v>344</v>
      </c>
      <c r="BR2182" t="s">
        <v>84</v>
      </c>
      <c r="BS2182" s="3">
        <v>45797</v>
      </c>
      <c r="BT2182" s="4">
        <v>0.40625</v>
      </c>
      <c r="BU2182" t="s">
        <v>1427</v>
      </c>
      <c r="BV2182" t="s">
        <v>86</v>
      </c>
      <c r="BY2182">
        <v>1200</v>
      </c>
      <c r="CA2182" t="s">
        <v>242</v>
      </c>
      <c r="CC2182" t="s">
        <v>131</v>
      </c>
      <c r="CD2182">
        <v>7441</v>
      </c>
      <c r="CE2182" t="s">
        <v>88</v>
      </c>
      <c r="CF2182" s="3">
        <v>45798</v>
      </c>
      <c r="CI2182">
        <v>1</v>
      </c>
      <c r="CJ2182">
        <v>1</v>
      </c>
      <c r="CK2182">
        <v>21</v>
      </c>
      <c r="CL2182" t="s">
        <v>89</v>
      </c>
    </row>
    <row r="2183" spans="1:90" x14ac:dyDescent="0.3">
      <c r="A2183" t="s">
        <v>72</v>
      </c>
      <c r="B2183" t="s">
        <v>73</v>
      </c>
      <c r="C2183" t="s">
        <v>74</v>
      </c>
      <c r="E2183" t="str">
        <f>"080065446555"</f>
        <v>080065446555</v>
      </c>
      <c r="F2183" s="3">
        <v>45796</v>
      </c>
      <c r="G2183">
        <v>202602</v>
      </c>
      <c r="H2183" t="s">
        <v>75</v>
      </c>
      <c r="I2183" t="s">
        <v>76</v>
      </c>
      <c r="J2183" t="s">
        <v>77</v>
      </c>
      <c r="K2183" t="s">
        <v>78</v>
      </c>
      <c r="L2183" t="s">
        <v>75</v>
      </c>
      <c r="M2183" t="s">
        <v>76</v>
      </c>
      <c r="N2183" t="s">
        <v>390</v>
      </c>
      <c r="O2183" t="s">
        <v>82</v>
      </c>
      <c r="P2183" t="str">
        <f>"4170039328                    "</f>
        <v xml:space="preserve">4170039328                    </v>
      </c>
      <c r="Q2183">
        <v>0</v>
      </c>
      <c r="R2183">
        <v>0</v>
      </c>
      <c r="S2183">
        <v>0</v>
      </c>
      <c r="T2183">
        <v>0</v>
      </c>
      <c r="U2183">
        <v>0</v>
      </c>
      <c r="V2183">
        <v>0</v>
      </c>
      <c r="W2183">
        <v>0</v>
      </c>
      <c r="X2183">
        <v>0</v>
      </c>
      <c r="Y2183">
        <v>0</v>
      </c>
      <c r="Z2183">
        <v>0</v>
      </c>
      <c r="AA2183">
        <v>0</v>
      </c>
      <c r="AB2183">
        <v>0</v>
      </c>
      <c r="AC2183">
        <v>0</v>
      </c>
      <c r="AD2183">
        <v>0</v>
      </c>
      <c r="AE2183">
        <v>0</v>
      </c>
      <c r="AF2183">
        <v>0</v>
      </c>
      <c r="AG2183">
        <v>0</v>
      </c>
      <c r="AH2183">
        <v>0</v>
      </c>
      <c r="AI2183">
        <v>0</v>
      </c>
      <c r="AJ2183">
        <v>0</v>
      </c>
      <c r="AK2183">
        <v>0</v>
      </c>
      <c r="AL2183">
        <v>0</v>
      </c>
      <c r="AM2183">
        <v>0</v>
      </c>
      <c r="AN2183">
        <v>0</v>
      </c>
      <c r="AO2183">
        <v>0</v>
      </c>
      <c r="AP2183">
        <v>0</v>
      </c>
      <c r="AQ2183">
        <v>16.7</v>
      </c>
      <c r="AR2183">
        <v>0</v>
      </c>
      <c r="AS2183">
        <v>0</v>
      </c>
      <c r="AT2183">
        <v>0</v>
      </c>
      <c r="AU2183">
        <v>0</v>
      </c>
      <c r="AV2183">
        <v>0</v>
      </c>
      <c r="AW2183">
        <v>0</v>
      </c>
      <c r="AX2183">
        <v>0</v>
      </c>
      <c r="AY2183">
        <v>0</v>
      </c>
      <c r="AZ2183">
        <v>0</v>
      </c>
      <c r="BA2183">
        <v>0</v>
      </c>
      <c r="BB2183">
        <v>0</v>
      </c>
      <c r="BC2183">
        <v>0</v>
      </c>
      <c r="BD2183">
        <v>0</v>
      </c>
      <c r="BE2183">
        <v>0</v>
      </c>
      <c r="BF2183">
        <v>0</v>
      </c>
      <c r="BG2183">
        <v>0</v>
      </c>
      <c r="BH2183">
        <v>1</v>
      </c>
      <c r="BI2183">
        <v>1</v>
      </c>
      <c r="BJ2183">
        <v>0.2</v>
      </c>
      <c r="BK2183">
        <v>1</v>
      </c>
      <c r="BL2183">
        <v>54.66</v>
      </c>
      <c r="BM2183">
        <v>8.1999999999999993</v>
      </c>
      <c r="BN2183">
        <v>62.86</v>
      </c>
      <c r="BO2183">
        <v>62.86</v>
      </c>
      <c r="BQ2183" t="s">
        <v>391</v>
      </c>
      <c r="BR2183" t="s">
        <v>84</v>
      </c>
      <c r="BS2183" s="3">
        <v>45797</v>
      </c>
      <c r="BT2183" s="4">
        <v>0.34791666666666665</v>
      </c>
      <c r="BU2183" t="s">
        <v>392</v>
      </c>
      <c r="BV2183" t="s">
        <v>86</v>
      </c>
      <c r="BY2183">
        <v>1200</v>
      </c>
      <c r="CA2183" t="s">
        <v>115</v>
      </c>
      <c r="CC2183" t="s">
        <v>76</v>
      </c>
      <c r="CD2183">
        <v>1600</v>
      </c>
      <c r="CE2183" t="s">
        <v>88</v>
      </c>
      <c r="CF2183" s="3">
        <v>45797</v>
      </c>
      <c r="CI2183">
        <v>1</v>
      </c>
      <c r="CJ2183">
        <v>1</v>
      </c>
      <c r="CK2183">
        <v>22</v>
      </c>
      <c r="CL2183" t="s">
        <v>89</v>
      </c>
    </row>
    <row r="2184" spans="1:90" x14ac:dyDescent="0.3">
      <c r="A2184" t="s">
        <v>72</v>
      </c>
      <c r="B2184" t="s">
        <v>73</v>
      </c>
      <c r="C2184" t="s">
        <v>74</v>
      </c>
      <c r="E2184" t="str">
        <f>"080065446570"</f>
        <v>080065446570</v>
      </c>
      <c r="F2184" s="3">
        <v>45796</v>
      </c>
      <c r="G2184">
        <v>202602</v>
      </c>
      <c r="H2184" t="s">
        <v>75</v>
      </c>
      <c r="I2184" t="s">
        <v>76</v>
      </c>
      <c r="J2184" t="s">
        <v>77</v>
      </c>
      <c r="K2184" t="s">
        <v>78</v>
      </c>
      <c r="L2184" t="s">
        <v>1214</v>
      </c>
      <c r="M2184" t="s">
        <v>1215</v>
      </c>
      <c r="N2184" t="s">
        <v>1216</v>
      </c>
      <c r="O2184" t="s">
        <v>82</v>
      </c>
      <c r="P2184" t="str">
        <f>"4170039307                    "</f>
        <v xml:space="preserve">4170039307                    </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c r="AI2184">
        <v>0</v>
      </c>
      <c r="AJ2184">
        <v>0</v>
      </c>
      <c r="AK2184">
        <v>0</v>
      </c>
      <c r="AL2184">
        <v>0</v>
      </c>
      <c r="AM2184">
        <v>0</v>
      </c>
      <c r="AN2184">
        <v>0</v>
      </c>
      <c r="AO2184">
        <v>0</v>
      </c>
      <c r="AP2184">
        <v>0</v>
      </c>
      <c r="AQ2184">
        <v>53.43</v>
      </c>
      <c r="AR2184">
        <v>0</v>
      </c>
      <c r="AS2184">
        <v>0</v>
      </c>
      <c r="AT2184">
        <v>0</v>
      </c>
      <c r="AU2184">
        <v>0</v>
      </c>
      <c r="AV2184">
        <v>0</v>
      </c>
      <c r="AW2184">
        <v>0</v>
      </c>
      <c r="AX2184">
        <v>0</v>
      </c>
      <c r="AY2184">
        <v>0</v>
      </c>
      <c r="AZ2184">
        <v>0</v>
      </c>
      <c r="BA2184">
        <v>0</v>
      </c>
      <c r="BB2184">
        <v>0</v>
      </c>
      <c r="BC2184">
        <v>0</v>
      </c>
      <c r="BD2184">
        <v>0</v>
      </c>
      <c r="BE2184">
        <v>0</v>
      </c>
      <c r="BF2184">
        <v>0</v>
      </c>
      <c r="BG2184">
        <v>0</v>
      </c>
      <c r="BH2184">
        <v>1</v>
      </c>
      <c r="BI2184">
        <v>5</v>
      </c>
      <c r="BJ2184">
        <v>4.5</v>
      </c>
      <c r="BK2184">
        <v>5</v>
      </c>
      <c r="BL2184">
        <v>174.87</v>
      </c>
      <c r="BM2184">
        <v>26.23</v>
      </c>
      <c r="BN2184">
        <v>201.1</v>
      </c>
      <c r="BO2184">
        <v>201.1</v>
      </c>
      <c r="BQ2184" t="s">
        <v>1217</v>
      </c>
      <c r="BR2184" t="s">
        <v>84</v>
      </c>
      <c r="BS2184" s="3">
        <v>45797</v>
      </c>
      <c r="BT2184" s="4">
        <v>0.37777777777777777</v>
      </c>
      <c r="BU2184" t="s">
        <v>2581</v>
      </c>
      <c r="BV2184" t="s">
        <v>86</v>
      </c>
      <c r="BY2184">
        <v>22620</v>
      </c>
      <c r="CA2184" t="s">
        <v>1219</v>
      </c>
      <c r="CC2184" t="s">
        <v>1215</v>
      </c>
      <c r="CD2184">
        <v>4302</v>
      </c>
      <c r="CE2184" t="s">
        <v>96</v>
      </c>
      <c r="CF2184" s="3">
        <v>45797</v>
      </c>
      <c r="CI2184">
        <v>1</v>
      </c>
      <c r="CJ2184">
        <v>1</v>
      </c>
      <c r="CK2184">
        <v>21</v>
      </c>
      <c r="CL2184" t="s">
        <v>89</v>
      </c>
    </row>
    <row r="2185" spans="1:90" x14ac:dyDescent="0.3">
      <c r="A2185" t="s">
        <v>72</v>
      </c>
      <c r="B2185" t="s">
        <v>73</v>
      </c>
      <c r="C2185" t="s">
        <v>74</v>
      </c>
      <c r="E2185" t="str">
        <f>"080065446585"</f>
        <v>080065446585</v>
      </c>
      <c r="F2185" s="3">
        <v>45796</v>
      </c>
      <c r="G2185">
        <v>202602</v>
      </c>
      <c r="H2185" t="s">
        <v>75</v>
      </c>
      <c r="I2185" t="s">
        <v>76</v>
      </c>
      <c r="J2185" t="s">
        <v>77</v>
      </c>
      <c r="K2185" t="s">
        <v>78</v>
      </c>
      <c r="L2185" t="s">
        <v>350</v>
      </c>
      <c r="M2185" t="s">
        <v>351</v>
      </c>
      <c r="N2185" t="s">
        <v>678</v>
      </c>
      <c r="O2185" t="s">
        <v>82</v>
      </c>
      <c r="P2185" t="str">
        <f>"4170039473                    "</f>
        <v xml:space="preserve">4170039473                    </v>
      </c>
      <c r="Q2185">
        <v>0</v>
      </c>
      <c r="R2185">
        <v>0</v>
      </c>
      <c r="S2185">
        <v>0</v>
      </c>
      <c r="T2185">
        <v>0</v>
      </c>
      <c r="U2185">
        <v>0</v>
      </c>
      <c r="V2185">
        <v>0</v>
      </c>
      <c r="W2185">
        <v>0</v>
      </c>
      <c r="X2185">
        <v>0</v>
      </c>
      <c r="Y2185">
        <v>0</v>
      </c>
      <c r="Z2185">
        <v>0</v>
      </c>
      <c r="AA2185">
        <v>0</v>
      </c>
      <c r="AB2185">
        <v>0</v>
      </c>
      <c r="AC2185">
        <v>0</v>
      </c>
      <c r="AD2185">
        <v>0</v>
      </c>
      <c r="AE2185">
        <v>0</v>
      </c>
      <c r="AF2185">
        <v>0</v>
      </c>
      <c r="AG2185">
        <v>0</v>
      </c>
      <c r="AH2185">
        <v>0</v>
      </c>
      <c r="AI2185">
        <v>0</v>
      </c>
      <c r="AJ2185">
        <v>0</v>
      </c>
      <c r="AK2185">
        <v>0</v>
      </c>
      <c r="AL2185">
        <v>0</v>
      </c>
      <c r="AM2185">
        <v>0</v>
      </c>
      <c r="AN2185">
        <v>0</v>
      </c>
      <c r="AO2185">
        <v>0</v>
      </c>
      <c r="AP2185">
        <v>0</v>
      </c>
      <c r="AQ2185">
        <v>21.38</v>
      </c>
      <c r="AR2185">
        <v>0</v>
      </c>
      <c r="AS2185">
        <v>0</v>
      </c>
      <c r="AT2185">
        <v>0</v>
      </c>
      <c r="AU2185">
        <v>0</v>
      </c>
      <c r="AV2185">
        <v>0</v>
      </c>
      <c r="AW2185">
        <v>0</v>
      </c>
      <c r="AX2185">
        <v>0</v>
      </c>
      <c r="AY2185">
        <v>0</v>
      </c>
      <c r="AZ2185">
        <v>0</v>
      </c>
      <c r="BA2185">
        <v>0</v>
      </c>
      <c r="BB2185">
        <v>0</v>
      </c>
      <c r="BC2185">
        <v>0</v>
      </c>
      <c r="BD2185">
        <v>0</v>
      </c>
      <c r="BE2185">
        <v>0</v>
      </c>
      <c r="BF2185">
        <v>0</v>
      </c>
      <c r="BG2185">
        <v>0</v>
      </c>
      <c r="BH2185">
        <v>1</v>
      </c>
      <c r="BI2185">
        <v>1</v>
      </c>
      <c r="BJ2185">
        <v>0.2</v>
      </c>
      <c r="BK2185">
        <v>1</v>
      </c>
      <c r="BL2185">
        <v>69.98</v>
      </c>
      <c r="BM2185">
        <v>10.5</v>
      </c>
      <c r="BN2185">
        <v>80.48</v>
      </c>
      <c r="BO2185">
        <v>80.48</v>
      </c>
      <c r="BQ2185" t="s">
        <v>679</v>
      </c>
      <c r="BR2185" t="s">
        <v>84</v>
      </c>
      <c r="BS2185" s="3">
        <v>45797</v>
      </c>
      <c r="BT2185" s="4">
        <v>0.38819444444444445</v>
      </c>
      <c r="BU2185" t="s">
        <v>680</v>
      </c>
      <c r="BV2185" t="s">
        <v>86</v>
      </c>
      <c r="BY2185">
        <v>1200</v>
      </c>
      <c r="CA2185" t="s">
        <v>326</v>
      </c>
      <c r="CC2185" t="s">
        <v>351</v>
      </c>
      <c r="CD2185">
        <v>4052</v>
      </c>
      <c r="CE2185" t="s">
        <v>88</v>
      </c>
      <c r="CF2185" s="3">
        <v>45797</v>
      </c>
      <c r="CI2185">
        <v>1</v>
      </c>
      <c r="CJ2185">
        <v>1</v>
      </c>
      <c r="CK2185">
        <v>21</v>
      </c>
      <c r="CL2185" t="s">
        <v>89</v>
      </c>
    </row>
    <row r="2186" spans="1:90" x14ac:dyDescent="0.3">
      <c r="A2186" t="s">
        <v>72</v>
      </c>
      <c r="B2186" t="s">
        <v>73</v>
      </c>
      <c r="C2186" t="s">
        <v>74</v>
      </c>
      <c r="E2186" t="str">
        <f>"080065446604"</f>
        <v>080065446604</v>
      </c>
      <c r="F2186" s="3">
        <v>45796</v>
      </c>
      <c r="G2186">
        <v>202602</v>
      </c>
      <c r="H2186" t="s">
        <v>75</v>
      </c>
      <c r="I2186" t="s">
        <v>76</v>
      </c>
      <c r="J2186" t="s">
        <v>77</v>
      </c>
      <c r="K2186" t="s">
        <v>78</v>
      </c>
      <c r="L2186" t="s">
        <v>79</v>
      </c>
      <c r="M2186" t="s">
        <v>80</v>
      </c>
      <c r="N2186" t="s">
        <v>452</v>
      </c>
      <c r="O2186" t="s">
        <v>82</v>
      </c>
      <c r="P2186" t="str">
        <f>"4170039435                    "</f>
        <v xml:space="preserve">4170039435                    </v>
      </c>
      <c r="Q2186">
        <v>0</v>
      </c>
      <c r="R2186">
        <v>0</v>
      </c>
      <c r="S2186">
        <v>0</v>
      </c>
      <c r="T2186">
        <v>0</v>
      </c>
      <c r="U2186">
        <v>0</v>
      </c>
      <c r="V2186">
        <v>0</v>
      </c>
      <c r="W2186">
        <v>0</v>
      </c>
      <c r="X2186">
        <v>0</v>
      </c>
      <c r="Y2186">
        <v>0</v>
      </c>
      <c r="Z2186">
        <v>0</v>
      </c>
      <c r="AA2186">
        <v>0</v>
      </c>
      <c r="AB2186">
        <v>0</v>
      </c>
      <c r="AC2186">
        <v>0</v>
      </c>
      <c r="AD2186">
        <v>0</v>
      </c>
      <c r="AE2186">
        <v>0</v>
      </c>
      <c r="AF2186">
        <v>0</v>
      </c>
      <c r="AG2186">
        <v>0</v>
      </c>
      <c r="AH2186">
        <v>0</v>
      </c>
      <c r="AI2186">
        <v>0</v>
      </c>
      <c r="AJ2186">
        <v>0</v>
      </c>
      <c r="AK2186">
        <v>0</v>
      </c>
      <c r="AL2186">
        <v>0</v>
      </c>
      <c r="AM2186">
        <v>0</v>
      </c>
      <c r="AN2186">
        <v>0</v>
      </c>
      <c r="AO2186">
        <v>0</v>
      </c>
      <c r="AP2186">
        <v>0</v>
      </c>
      <c r="AQ2186">
        <v>21.38</v>
      </c>
      <c r="AR2186">
        <v>0</v>
      </c>
      <c r="AS2186">
        <v>0</v>
      </c>
      <c r="AT2186">
        <v>0</v>
      </c>
      <c r="AU2186">
        <v>0</v>
      </c>
      <c r="AV2186">
        <v>0</v>
      </c>
      <c r="AW2186">
        <v>0</v>
      </c>
      <c r="AX2186">
        <v>0</v>
      </c>
      <c r="AY2186">
        <v>0</v>
      </c>
      <c r="AZ2186">
        <v>0</v>
      </c>
      <c r="BA2186">
        <v>0</v>
      </c>
      <c r="BB2186">
        <v>0</v>
      </c>
      <c r="BC2186">
        <v>0</v>
      </c>
      <c r="BD2186">
        <v>0</v>
      </c>
      <c r="BE2186">
        <v>0</v>
      </c>
      <c r="BF2186">
        <v>0</v>
      </c>
      <c r="BG2186">
        <v>0</v>
      </c>
      <c r="BH2186">
        <v>1</v>
      </c>
      <c r="BI2186">
        <v>1</v>
      </c>
      <c r="BJ2186">
        <v>0.2</v>
      </c>
      <c r="BK2186">
        <v>1</v>
      </c>
      <c r="BL2186">
        <v>69.98</v>
      </c>
      <c r="BM2186">
        <v>10.5</v>
      </c>
      <c r="BN2186">
        <v>80.48</v>
      </c>
      <c r="BO2186">
        <v>80.48</v>
      </c>
      <c r="BQ2186" t="s">
        <v>453</v>
      </c>
      <c r="BR2186" t="s">
        <v>84</v>
      </c>
      <c r="BS2186" s="3">
        <v>45797</v>
      </c>
      <c r="BT2186" s="4">
        <v>0.4</v>
      </c>
      <c r="BU2186" t="s">
        <v>1071</v>
      </c>
      <c r="BV2186" t="s">
        <v>86</v>
      </c>
      <c r="BY2186">
        <v>1200</v>
      </c>
      <c r="CA2186" t="s">
        <v>160</v>
      </c>
      <c r="CC2186" t="s">
        <v>80</v>
      </c>
      <c r="CD2186">
        <v>3610</v>
      </c>
      <c r="CE2186" t="s">
        <v>88</v>
      </c>
      <c r="CF2186" s="3">
        <v>45798</v>
      </c>
      <c r="CI2186">
        <v>1</v>
      </c>
      <c r="CJ2186">
        <v>1</v>
      </c>
      <c r="CK2186">
        <v>21</v>
      </c>
      <c r="CL2186" t="s">
        <v>89</v>
      </c>
    </row>
    <row r="2187" spans="1:90" x14ac:dyDescent="0.3">
      <c r="A2187" t="s">
        <v>72</v>
      </c>
      <c r="B2187" t="s">
        <v>73</v>
      </c>
      <c r="C2187" t="s">
        <v>74</v>
      </c>
      <c r="E2187" t="str">
        <f>"080065446607"</f>
        <v>080065446607</v>
      </c>
      <c r="F2187" s="3">
        <v>45796</v>
      </c>
      <c r="G2187">
        <v>202602</v>
      </c>
      <c r="H2187" t="s">
        <v>75</v>
      </c>
      <c r="I2187" t="s">
        <v>76</v>
      </c>
      <c r="J2187" t="s">
        <v>77</v>
      </c>
      <c r="K2187" t="s">
        <v>78</v>
      </c>
      <c r="L2187" t="s">
        <v>177</v>
      </c>
      <c r="M2187" t="s">
        <v>178</v>
      </c>
      <c r="N2187" t="s">
        <v>212</v>
      </c>
      <c r="O2187" t="s">
        <v>300</v>
      </c>
      <c r="P2187" t="str">
        <f>"4170039298                    "</f>
        <v xml:space="preserve">4170039298                    </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c r="AI2187">
        <v>0</v>
      </c>
      <c r="AJ2187">
        <v>0</v>
      </c>
      <c r="AK2187">
        <v>0</v>
      </c>
      <c r="AL2187">
        <v>0</v>
      </c>
      <c r="AM2187">
        <v>0</v>
      </c>
      <c r="AN2187">
        <v>0</v>
      </c>
      <c r="AO2187">
        <v>0</v>
      </c>
      <c r="AP2187">
        <v>0</v>
      </c>
      <c r="AQ2187">
        <v>70.37</v>
      </c>
      <c r="AR2187">
        <v>0</v>
      </c>
      <c r="AS2187">
        <v>0</v>
      </c>
      <c r="AT2187">
        <v>0</v>
      </c>
      <c r="AU2187">
        <v>0</v>
      </c>
      <c r="AV2187">
        <v>0</v>
      </c>
      <c r="AW2187">
        <v>0</v>
      </c>
      <c r="AX2187">
        <v>0</v>
      </c>
      <c r="AY2187">
        <v>0</v>
      </c>
      <c r="AZ2187">
        <v>0</v>
      </c>
      <c r="BA2187">
        <v>0</v>
      </c>
      <c r="BB2187">
        <v>0</v>
      </c>
      <c r="BC2187">
        <v>0</v>
      </c>
      <c r="BD2187">
        <v>0</v>
      </c>
      <c r="BE2187">
        <v>0</v>
      </c>
      <c r="BF2187">
        <v>0</v>
      </c>
      <c r="BG2187">
        <v>0</v>
      </c>
      <c r="BH2187">
        <v>1</v>
      </c>
      <c r="BI2187">
        <v>11</v>
      </c>
      <c r="BJ2187">
        <v>32</v>
      </c>
      <c r="BK2187">
        <v>32</v>
      </c>
      <c r="BL2187">
        <v>235.88</v>
      </c>
      <c r="BM2187">
        <v>35.380000000000003</v>
      </c>
      <c r="BN2187">
        <v>271.26</v>
      </c>
      <c r="BO2187">
        <v>271.26</v>
      </c>
      <c r="BQ2187" t="s">
        <v>213</v>
      </c>
      <c r="BR2187" t="s">
        <v>84</v>
      </c>
      <c r="BS2187" s="3">
        <v>45798</v>
      </c>
      <c r="BT2187" s="4">
        <v>0.35833333333333334</v>
      </c>
      <c r="BU2187" t="s">
        <v>1568</v>
      </c>
      <c r="BV2187" t="s">
        <v>86</v>
      </c>
      <c r="BY2187">
        <v>160080</v>
      </c>
      <c r="CA2187" t="s">
        <v>182</v>
      </c>
      <c r="CC2187" t="s">
        <v>178</v>
      </c>
      <c r="CD2187">
        <v>6229</v>
      </c>
      <c r="CE2187" t="s">
        <v>96</v>
      </c>
      <c r="CF2187" s="3">
        <v>45798</v>
      </c>
      <c r="CI2187">
        <v>3</v>
      </c>
      <c r="CJ2187">
        <v>2</v>
      </c>
      <c r="CK2187">
        <v>41</v>
      </c>
      <c r="CL2187" t="s">
        <v>89</v>
      </c>
    </row>
    <row r="2188" spans="1:90" x14ac:dyDescent="0.3">
      <c r="A2188" t="s">
        <v>72</v>
      </c>
      <c r="B2188" t="s">
        <v>73</v>
      </c>
      <c r="C2188" t="s">
        <v>74</v>
      </c>
      <c r="E2188" t="str">
        <f>"080065446639"</f>
        <v>080065446639</v>
      </c>
      <c r="F2188" s="3">
        <v>45796</v>
      </c>
      <c r="G2188">
        <v>202602</v>
      </c>
      <c r="H2188" t="s">
        <v>75</v>
      </c>
      <c r="I2188" t="s">
        <v>76</v>
      </c>
      <c r="J2188" t="s">
        <v>77</v>
      </c>
      <c r="K2188" t="s">
        <v>78</v>
      </c>
      <c r="L2188" t="s">
        <v>350</v>
      </c>
      <c r="M2188" t="s">
        <v>351</v>
      </c>
      <c r="N2188" t="s">
        <v>459</v>
      </c>
      <c r="O2188" t="s">
        <v>82</v>
      </c>
      <c r="P2188" t="str">
        <f>"4170039434                    "</f>
        <v xml:space="preserve">4170039434                    </v>
      </c>
      <c r="Q2188">
        <v>0</v>
      </c>
      <c r="R2188">
        <v>0</v>
      </c>
      <c r="S2188">
        <v>0</v>
      </c>
      <c r="T2188">
        <v>0</v>
      </c>
      <c r="U2188">
        <v>0</v>
      </c>
      <c r="V2188">
        <v>0</v>
      </c>
      <c r="W2188">
        <v>0</v>
      </c>
      <c r="X2188">
        <v>0</v>
      </c>
      <c r="Y2188">
        <v>0</v>
      </c>
      <c r="Z2188">
        <v>0</v>
      </c>
      <c r="AA2188">
        <v>0</v>
      </c>
      <c r="AB2188">
        <v>0</v>
      </c>
      <c r="AC2188">
        <v>0</v>
      </c>
      <c r="AD2188">
        <v>0</v>
      </c>
      <c r="AE2188">
        <v>0</v>
      </c>
      <c r="AF2188">
        <v>0</v>
      </c>
      <c r="AG2188">
        <v>0</v>
      </c>
      <c r="AH2188">
        <v>0</v>
      </c>
      <c r="AI2188">
        <v>0</v>
      </c>
      <c r="AJ2188">
        <v>0</v>
      </c>
      <c r="AK2188">
        <v>0</v>
      </c>
      <c r="AL2188">
        <v>0</v>
      </c>
      <c r="AM2188">
        <v>0</v>
      </c>
      <c r="AN2188">
        <v>0</v>
      </c>
      <c r="AO2188">
        <v>0</v>
      </c>
      <c r="AP2188">
        <v>0</v>
      </c>
      <c r="AQ2188">
        <v>21.38</v>
      </c>
      <c r="AR2188">
        <v>0</v>
      </c>
      <c r="AS2188">
        <v>0</v>
      </c>
      <c r="AT2188">
        <v>0</v>
      </c>
      <c r="AU2188">
        <v>0</v>
      </c>
      <c r="AV2188">
        <v>0</v>
      </c>
      <c r="AW2188">
        <v>0</v>
      </c>
      <c r="AX2188">
        <v>0</v>
      </c>
      <c r="AY2188">
        <v>0</v>
      </c>
      <c r="AZ2188">
        <v>0</v>
      </c>
      <c r="BA2188">
        <v>0</v>
      </c>
      <c r="BB2188">
        <v>0</v>
      </c>
      <c r="BC2188">
        <v>0</v>
      </c>
      <c r="BD2188">
        <v>0</v>
      </c>
      <c r="BE2188">
        <v>0</v>
      </c>
      <c r="BF2188">
        <v>0</v>
      </c>
      <c r="BG2188">
        <v>0</v>
      </c>
      <c r="BH2188">
        <v>1</v>
      </c>
      <c r="BI2188">
        <v>1</v>
      </c>
      <c r="BJ2188">
        <v>0.2</v>
      </c>
      <c r="BK2188">
        <v>1</v>
      </c>
      <c r="BL2188">
        <v>69.98</v>
      </c>
      <c r="BM2188">
        <v>10.5</v>
      </c>
      <c r="BN2188">
        <v>80.48</v>
      </c>
      <c r="BO2188">
        <v>80.48</v>
      </c>
      <c r="BQ2188" t="s">
        <v>460</v>
      </c>
      <c r="BR2188" t="s">
        <v>84</v>
      </c>
      <c r="BS2188" s="3">
        <v>45797</v>
      </c>
      <c r="BT2188" s="4">
        <v>0.33958333333333335</v>
      </c>
      <c r="BU2188" t="s">
        <v>1121</v>
      </c>
      <c r="BV2188" t="s">
        <v>86</v>
      </c>
      <c r="BY2188">
        <v>1200</v>
      </c>
      <c r="CA2188" t="s">
        <v>462</v>
      </c>
      <c r="CC2188" t="s">
        <v>351</v>
      </c>
      <c r="CD2188">
        <v>4000</v>
      </c>
      <c r="CE2188" t="s">
        <v>88</v>
      </c>
      <c r="CF2188" s="3">
        <v>45797</v>
      </c>
      <c r="CI2188">
        <v>1</v>
      </c>
      <c r="CJ2188">
        <v>1</v>
      </c>
      <c r="CK2188">
        <v>21</v>
      </c>
      <c r="CL2188" t="s">
        <v>89</v>
      </c>
    </row>
    <row r="2189" spans="1:90" x14ac:dyDescent="0.3">
      <c r="A2189" t="s">
        <v>72</v>
      </c>
      <c r="B2189" t="s">
        <v>73</v>
      </c>
      <c r="C2189" t="s">
        <v>74</v>
      </c>
      <c r="E2189" t="str">
        <f>"080065446657"</f>
        <v>080065446657</v>
      </c>
      <c r="F2189" s="3">
        <v>45796</v>
      </c>
      <c r="G2189">
        <v>202602</v>
      </c>
      <c r="H2189" t="s">
        <v>75</v>
      </c>
      <c r="I2189" t="s">
        <v>76</v>
      </c>
      <c r="J2189" t="s">
        <v>77</v>
      </c>
      <c r="K2189" t="s">
        <v>78</v>
      </c>
      <c r="L2189" t="s">
        <v>75</v>
      </c>
      <c r="M2189" t="s">
        <v>76</v>
      </c>
      <c r="N2189" t="s">
        <v>803</v>
      </c>
      <c r="O2189" t="s">
        <v>82</v>
      </c>
      <c r="P2189" t="str">
        <f>"4170039470                    "</f>
        <v xml:space="preserve">4170039470                    </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c r="AJ2189">
        <v>0</v>
      </c>
      <c r="AK2189">
        <v>0</v>
      </c>
      <c r="AL2189">
        <v>0</v>
      </c>
      <c r="AM2189">
        <v>0</v>
      </c>
      <c r="AN2189">
        <v>0</v>
      </c>
      <c r="AO2189">
        <v>0</v>
      </c>
      <c r="AP2189">
        <v>0</v>
      </c>
      <c r="AQ2189">
        <v>16.7</v>
      </c>
      <c r="AR2189">
        <v>0</v>
      </c>
      <c r="AS2189">
        <v>0</v>
      </c>
      <c r="AT2189">
        <v>0</v>
      </c>
      <c r="AU2189">
        <v>0</v>
      </c>
      <c r="AV2189">
        <v>0</v>
      </c>
      <c r="AW2189">
        <v>0</v>
      </c>
      <c r="AX2189">
        <v>0</v>
      </c>
      <c r="AY2189">
        <v>0</v>
      </c>
      <c r="AZ2189">
        <v>0</v>
      </c>
      <c r="BA2189">
        <v>0</v>
      </c>
      <c r="BB2189">
        <v>0</v>
      </c>
      <c r="BC2189">
        <v>0</v>
      </c>
      <c r="BD2189">
        <v>0</v>
      </c>
      <c r="BE2189">
        <v>0</v>
      </c>
      <c r="BF2189">
        <v>0</v>
      </c>
      <c r="BG2189">
        <v>0</v>
      </c>
      <c r="BH2189">
        <v>1</v>
      </c>
      <c r="BI2189">
        <v>4</v>
      </c>
      <c r="BJ2189">
        <v>0.9</v>
      </c>
      <c r="BK2189">
        <v>4</v>
      </c>
      <c r="BL2189">
        <v>54.66</v>
      </c>
      <c r="BM2189">
        <v>8.1999999999999993</v>
      </c>
      <c r="BN2189">
        <v>62.86</v>
      </c>
      <c r="BO2189">
        <v>62.86</v>
      </c>
      <c r="BQ2189" t="s">
        <v>804</v>
      </c>
      <c r="BR2189" t="s">
        <v>84</v>
      </c>
      <c r="BS2189" s="3">
        <v>45797</v>
      </c>
      <c r="BT2189" s="4">
        <v>0.42986111111111114</v>
      </c>
      <c r="BU2189" t="s">
        <v>2582</v>
      </c>
      <c r="BV2189" t="s">
        <v>86</v>
      </c>
      <c r="BY2189">
        <v>4275</v>
      </c>
      <c r="CA2189" t="s">
        <v>484</v>
      </c>
      <c r="CC2189" t="s">
        <v>76</v>
      </c>
      <c r="CD2189">
        <v>1619</v>
      </c>
      <c r="CE2189" t="s">
        <v>116</v>
      </c>
      <c r="CF2189" s="3">
        <v>45797</v>
      </c>
      <c r="CI2189">
        <v>1</v>
      </c>
      <c r="CJ2189">
        <v>1</v>
      </c>
      <c r="CK2189">
        <v>22</v>
      </c>
      <c r="CL2189" t="s">
        <v>89</v>
      </c>
    </row>
    <row r="2190" spans="1:90" x14ac:dyDescent="0.3">
      <c r="A2190" t="s">
        <v>72</v>
      </c>
      <c r="B2190" t="s">
        <v>73</v>
      </c>
      <c r="C2190" t="s">
        <v>74</v>
      </c>
      <c r="E2190" t="str">
        <f>"080065446840"</f>
        <v>080065446840</v>
      </c>
      <c r="F2190" s="3">
        <v>45796</v>
      </c>
      <c r="G2190">
        <v>202602</v>
      </c>
      <c r="H2190" t="s">
        <v>75</v>
      </c>
      <c r="I2190" t="s">
        <v>76</v>
      </c>
      <c r="J2190" t="s">
        <v>77</v>
      </c>
      <c r="K2190" t="s">
        <v>78</v>
      </c>
      <c r="L2190" t="s">
        <v>648</v>
      </c>
      <c r="M2190" t="s">
        <v>649</v>
      </c>
      <c r="N2190" t="s">
        <v>1702</v>
      </c>
      <c r="O2190" t="s">
        <v>82</v>
      </c>
      <c r="P2190" t="str">
        <f>"4170039429                    "</f>
        <v xml:space="preserve">4170039429                    </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c r="AI2190">
        <v>0</v>
      </c>
      <c r="AJ2190">
        <v>0</v>
      </c>
      <c r="AK2190">
        <v>0</v>
      </c>
      <c r="AL2190">
        <v>0</v>
      </c>
      <c r="AM2190">
        <v>0</v>
      </c>
      <c r="AN2190">
        <v>0</v>
      </c>
      <c r="AO2190">
        <v>0</v>
      </c>
      <c r="AP2190">
        <v>0</v>
      </c>
      <c r="AQ2190">
        <v>16.7</v>
      </c>
      <c r="AR2190">
        <v>0</v>
      </c>
      <c r="AS2190">
        <v>0</v>
      </c>
      <c r="AT2190">
        <v>0</v>
      </c>
      <c r="AU2190">
        <v>0</v>
      </c>
      <c r="AV2190">
        <v>0</v>
      </c>
      <c r="AW2190">
        <v>0</v>
      </c>
      <c r="AX2190">
        <v>0</v>
      </c>
      <c r="AY2190">
        <v>0</v>
      </c>
      <c r="AZ2190">
        <v>0</v>
      </c>
      <c r="BA2190">
        <v>0</v>
      </c>
      <c r="BB2190">
        <v>0</v>
      </c>
      <c r="BC2190">
        <v>0</v>
      </c>
      <c r="BD2190">
        <v>0</v>
      </c>
      <c r="BE2190">
        <v>0</v>
      </c>
      <c r="BF2190">
        <v>0</v>
      </c>
      <c r="BG2190">
        <v>0</v>
      </c>
      <c r="BH2190">
        <v>1</v>
      </c>
      <c r="BI2190">
        <v>1</v>
      </c>
      <c r="BJ2190">
        <v>0.2</v>
      </c>
      <c r="BK2190">
        <v>1</v>
      </c>
      <c r="BL2190">
        <v>54.66</v>
      </c>
      <c r="BM2190">
        <v>8.1999999999999993</v>
      </c>
      <c r="BN2190">
        <v>62.86</v>
      </c>
      <c r="BO2190">
        <v>62.86</v>
      </c>
      <c r="BQ2190" t="s">
        <v>1703</v>
      </c>
      <c r="BR2190" t="s">
        <v>84</v>
      </c>
      <c r="BS2190" s="3">
        <v>45797</v>
      </c>
      <c r="BT2190" s="4">
        <v>0.43472222222222223</v>
      </c>
      <c r="BU2190" t="s">
        <v>2577</v>
      </c>
      <c r="BV2190" t="s">
        <v>86</v>
      </c>
      <c r="BY2190">
        <v>1200</v>
      </c>
      <c r="CA2190" t="s">
        <v>698</v>
      </c>
      <c r="CC2190" t="s">
        <v>649</v>
      </c>
      <c r="CD2190">
        <v>1559</v>
      </c>
      <c r="CE2190" t="s">
        <v>88</v>
      </c>
      <c r="CF2190" s="3">
        <v>45797</v>
      </c>
      <c r="CI2190">
        <v>1</v>
      </c>
      <c r="CJ2190">
        <v>1</v>
      </c>
      <c r="CK2190">
        <v>22</v>
      </c>
      <c r="CL2190" t="s">
        <v>89</v>
      </c>
    </row>
    <row r="2191" spans="1:90" x14ac:dyDescent="0.3">
      <c r="A2191" t="s">
        <v>72</v>
      </c>
      <c r="B2191" t="s">
        <v>73</v>
      </c>
      <c r="C2191" t="s">
        <v>74</v>
      </c>
      <c r="E2191" t="str">
        <f>"080065446885"</f>
        <v>080065446885</v>
      </c>
      <c r="F2191" s="3">
        <v>45796</v>
      </c>
      <c r="G2191">
        <v>202602</v>
      </c>
      <c r="H2191" t="s">
        <v>75</v>
      </c>
      <c r="I2191" t="s">
        <v>76</v>
      </c>
      <c r="J2191" t="s">
        <v>77</v>
      </c>
      <c r="K2191" t="s">
        <v>78</v>
      </c>
      <c r="L2191" t="s">
        <v>130</v>
      </c>
      <c r="M2191" t="s">
        <v>131</v>
      </c>
      <c r="N2191" t="s">
        <v>327</v>
      </c>
      <c r="O2191" t="s">
        <v>82</v>
      </c>
      <c r="P2191" t="str">
        <f>"4170039332                    "</f>
        <v xml:space="preserve">4170039332                    </v>
      </c>
      <c r="Q2191">
        <v>0</v>
      </c>
      <c r="R2191">
        <v>0</v>
      </c>
      <c r="S2191">
        <v>0</v>
      </c>
      <c r="T2191">
        <v>0</v>
      </c>
      <c r="U2191">
        <v>0</v>
      </c>
      <c r="V2191">
        <v>0</v>
      </c>
      <c r="W2191">
        <v>0</v>
      </c>
      <c r="X2191">
        <v>0</v>
      </c>
      <c r="Y2191">
        <v>0</v>
      </c>
      <c r="Z2191">
        <v>0</v>
      </c>
      <c r="AA2191">
        <v>0</v>
      </c>
      <c r="AB2191">
        <v>0</v>
      </c>
      <c r="AC2191">
        <v>0</v>
      </c>
      <c r="AD2191">
        <v>0</v>
      </c>
      <c r="AE2191">
        <v>0</v>
      </c>
      <c r="AF2191">
        <v>0</v>
      </c>
      <c r="AG2191">
        <v>0</v>
      </c>
      <c r="AH2191">
        <v>0</v>
      </c>
      <c r="AI2191">
        <v>0</v>
      </c>
      <c r="AJ2191">
        <v>0</v>
      </c>
      <c r="AK2191">
        <v>0</v>
      </c>
      <c r="AL2191">
        <v>0</v>
      </c>
      <c r="AM2191">
        <v>0</v>
      </c>
      <c r="AN2191">
        <v>0</v>
      </c>
      <c r="AO2191">
        <v>0</v>
      </c>
      <c r="AP2191">
        <v>0</v>
      </c>
      <c r="AQ2191">
        <v>21.38</v>
      </c>
      <c r="AR2191">
        <v>0</v>
      </c>
      <c r="AS2191">
        <v>0</v>
      </c>
      <c r="AT2191">
        <v>0</v>
      </c>
      <c r="AU2191">
        <v>0</v>
      </c>
      <c r="AV2191">
        <v>0</v>
      </c>
      <c r="AW2191">
        <v>0</v>
      </c>
      <c r="AX2191">
        <v>0</v>
      </c>
      <c r="AY2191">
        <v>0</v>
      </c>
      <c r="AZ2191">
        <v>0</v>
      </c>
      <c r="BA2191">
        <v>0</v>
      </c>
      <c r="BB2191">
        <v>0</v>
      </c>
      <c r="BC2191">
        <v>0</v>
      </c>
      <c r="BD2191">
        <v>0</v>
      </c>
      <c r="BE2191">
        <v>0</v>
      </c>
      <c r="BF2191">
        <v>0</v>
      </c>
      <c r="BG2191">
        <v>0</v>
      </c>
      <c r="BH2191">
        <v>1</v>
      </c>
      <c r="BI2191">
        <v>1</v>
      </c>
      <c r="BJ2191">
        <v>1.7</v>
      </c>
      <c r="BK2191">
        <v>2</v>
      </c>
      <c r="BL2191">
        <v>69.98</v>
      </c>
      <c r="BM2191">
        <v>10.5</v>
      </c>
      <c r="BN2191">
        <v>80.48</v>
      </c>
      <c r="BO2191">
        <v>80.48</v>
      </c>
      <c r="BQ2191" t="s">
        <v>328</v>
      </c>
      <c r="BR2191" t="s">
        <v>84</v>
      </c>
      <c r="BS2191" s="3">
        <v>45797</v>
      </c>
      <c r="BT2191" s="4">
        <v>0.36736111111111114</v>
      </c>
      <c r="BU2191" t="s">
        <v>2465</v>
      </c>
      <c r="BV2191" t="s">
        <v>86</v>
      </c>
      <c r="BY2191">
        <v>8550</v>
      </c>
      <c r="CA2191" t="s">
        <v>330</v>
      </c>
      <c r="CC2191" t="s">
        <v>131</v>
      </c>
      <c r="CD2191">
        <v>7480</v>
      </c>
      <c r="CE2191" t="s">
        <v>116</v>
      </c>
      <c r="CF2191" s="3">
        <v>45798</v>
      </c>
      <c r="CI2191">
        <v>1</v>
      </c>
      <c r="CJ2191">
        <v>1</v>
      </c>
      <c r="CK2191">
        <v>21</v>
      </c>
      <c r="CL2191" t="s">
        <v>89</v>
      </c>
    </row>
    <row r="2192" spans="1:90" x14ac:dyDescent="0.3">
      <c r="A2192" t="s">
        <v>72</v>
      </c>
      <c r="B2192" t="s">
        <v>73</v>
      </c>
      <c r="C2192" t="s">
        <v>74</v>
      </c>
      <c r="E2192" t="str">
        <f>"080065446919"</f>
        <v>080065446919</v>
      </c>
      <c r="F2192" s="3">
        <v>45796</v>
      </c>
      <c r="G2192">
        <v>202602</v>
      </c>
      <c r="H2192" t="s">
        <v>75</v>
      </c>
      <c r="I2192" t="s">
        <v>76</v>
      </c>
      <c r="J2192" t="s">
        <v>77</v>
      </c>
      <c r="K2192" t="s">
        <v>78</v>
      </c>
      <c r="L2192" t="s">
        <v>350</v>
      </c>
      <c r="M2192" t="s">
        <v>351</v>
      </c>
      <c r="N2192" t="s">
        <v>352</v>
      </c>
      <c r="O2192" t="s">
        <v>82</v>
      </c>
      <c r="P2192" t="str">
        <f>"4170039325                    "</f>
        <v xml:space="preserve">4170039325                    </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c r="AJ2192">
        <v>0</v>
      </c>
      <c r="AK2192">
        <v>0</v>
      </c>
      <c r="AL2192">
        <v>0</v>
      </c>
      <c r="AM2192">
        <v>0</v>
      </c>
      <c r="AN2192">
        <v>0</v>
      </c>
      <c r="AO2192">
        <v>0</v>
      </c>
      <c r="AP2192">
        <v>0</v>
      </c>
      <c r="AQ2192">
        <v>53.43</v>
      </c>
      <c r="AR2192">
        <v>0</v>
      </c>
      <c r="AS2192">
        <v>0</v>
      </c>
      <c r="AT2192">
        <v>0</v>
      </c>
      <c r="AU2192">
        <v>0</v>
      </c>
      <c r="AV2192">
        <v>0</v>
      </c>
      <c r="AW2192">
        <v>0</v>
      </c>
      <c r="AX2192">
        <v>0</v>
      </c>
      <c r="AY2192">
        <v>0</v>
      </c>
      <c r="AZ2192">
        <v>0</v>
      </c>
      <c r="BA2192">
        <v>0</v>
      </c>
      <c r="BB2192">
        <v>0</v>
      </c>
      <c r="BC2192">
        <v>0</v>
      </c>
      <c r="BD2192">
        <v>0</v>
      </c>
      <c r="BE2192">
        <v>0</v>
      </c>
      <c r="BF2192">
        <v>0</v>
      </c>
      <c r="BG2192">
        <v>0</v>
      </c>
      <c r="BH2192">
        <v>1</v>
      </c>
      <c r="BI2192">
        <v>5</v>
      </c>
      <c r="BJ2192">
        <v>1.7</v>
      </c>
      <c r="BK2192">
        <v>5</v>
      </c>
      <c r="BL2192">
        <v>174.87</v>
      </c>
      <c r="BM2192">
        <v>26.23</v>
      </c>
      <c r="BN2192">
        <v>201.1</v>
      </c>
      <c r="BO2192">
        <v>201.1</v>
      </c>
      <c r="BQ2192" t="s">
        <v>353</v>
      </c>
      <c r="BR2192" t="s">
        <v>84</v>
      </c>
      <c r="BS2192" s="3">
        <v>45797</v>
      </c>
      <c r="BT2192" s="4">
        <v>0.52777777777777779</v>
      </c>
      <c r="BU2192" t="s">
        <v>2583</v>
      </c>
      <c r="BV2192" t="s">
        <v>89</v>
      </c>
      <c r="BY2192">
        <v>8512</v>
      </c>
      <c r="CA2192" t="s">
        <v>160</v>
      </c>
      <c r="CC2192" t="s">
        <v>351</v>
      </c>
      <c r="CD2192">
        <v>4000</v>
      </c>
      <c r="CE2192" t="s">
        <v>96</v>
      </c>
      <c r="CF2192" s="3">
        <v>45798</v>
      </c>
      <c r="CI2192">
        <v>1</v>
      </c>
      <c r="CJ2192">
        <v>1</v>
      </c>
      <c r="CK2192">
        <v>21</v>
      </c>
      <c r="CL2192" t="s">
        <v>89</v>
      </c>
    </row>
    <row r="2193" spans="1:90" x14ac:dyDescent="0.3">
      <c r="A2193" t="s">
        <v>72</v>
      </c>
      <c r="B2193" t="s">
        <v>73</v>
      </c>
      <c r="C2193" t="s">
        <v>74</v>
      </c>
      <c r="E2193" t="str">
        <f>"080065446967"</f>
        <v>080065446967</v>
      </c>
      <c r="F2193" s="3">
        <v>45796</v>
      </c>
      <c r="G2193">
        <v>202602</v>
      </c>
      <c r="H2193" t="s">
        <v>75</v>
      </c>
      <c r="I2193" t="s">
        <v>76</v>
      </c>
      <c r="J2193" t="s">
        <v>77</v>
      </c>
      <c r="K2193" t="s">
        <v>78</v>
      </c>
      <c r="L2193" t="s">
        <v>103</v>
      </c>
      <c r="M2193" t="s">
        <v>104</v>
      </c>
      <c r="N2193" t="s">
        <v>437</v>
      </c>
      <c r="O2193" t="s">
        <v>82</v>
      </c>
      <c r="P2193" t="str">
        <f>"4170039255                    "</f>
        <v xml:space="preserve">4170039255                    </v>
      </c>
      <c r="Q2193">
        <v>0</v>
      </c>
      <c r="R2193">
        <v>0</v>
      </c>
      <c r="S2193">
        <v>0</v>
      </c>
      <c r="T2193">
        <v>0</v>
      </c>
      <c r="U2193">
        <v>0</v>
      </c>
      <c r="V2193">
        <v>0</v>
      </c>
      <c r="W2193">
        <v>0</v>
      </c>
      <c r="X2193">
        <v>0</v>
      </c>
      <c r="Y2193">
        <v>0</v>
      </c>
      <c r="Z2193">
        <v>0</v>
      </c>
      <c r="AA2193">
        <v>0</v>
      </c>
      <c r="AB2193">
        <v>0</v>
      </c>
      <c r="AC2193">
        <v>0</v>
      </c>
      <c r="AD2193">
        <v>0</v>
      </c>
      <c r="AE2193">
        <v>0</v>
      </c>
      <c r="AF2193">
        <v>0</v>
      </c>
      <c r="AG2193">
        <v>0</v>
      </c>
      <c r="AH2193">
        <v>0</v>
      </c>
      <c r="AI2193">
        <v>0</v>
      </c>
      <c r="AJ2193">
        <v>0</v>
      </c>
      <c r="AK2193">
        <v>0</v>
      </c>
      <c r="AL2193">
        <v>0</v>
      </c>
      <c r="AM2193">
        <v>0</v>
      </c>
      <c r="AN2193">
        <v>0</v>
      </c>
      <c r="AO2193">
        <v>0</v>
      </c>
      <c r="AP2193">
        <v>0</v>
      </c>
      <c r="AQ2193">
        <v>64.12</v>
      </c>
      <c r="AR2193">
        <v>0</v>
      </c>
      <c r="AS2193">
        <v>0</v>
      </c>
      <c r="AT2193">
        <v>0</v>
      </c>
      <c r="AU2193">
        <v>0</v>
      </c>
      <c r="AV2193">
        <v>0</v>
      </c>
      <c r="AW2193">
        <v>0</v>
      </c>
      <c r="AX2193">
        <v>0</v>
      </c>
      <c r="AY2193">
        <v>0</v>
      </c>
      <c r="AZ2193">
        <v>0</v>
      </c>
      <c r="BA2193">
        <v>0</v>
      </c>
      <c r="BB2193">
        <v>0</v>
      </c>
      <c r="BC2193">
        <v>0</v>
      </c>
      <c r="BD2193">
        <v>0</v>
      </c>
      <c r="BE2193">
        <v>0</v>
      </c>
      <c r="BF2193">
        <v>0</v>
      </c>
      <c r="BG2193">
        <v>0</v>
      </c>
      <c r="BH2193">
        <v>1</v>
      </c>
      <c r="BI2193">
        <v>6</v>
      </c>
      <c r="BJ2193">
        <v>1.8</v>
      </c>
      <c r="BK2193">
        <v>6</v>
      </c>
      <c r="BL2193">
        <v>209.84</v>
      </c>
      <c r="BM2193">
        <v>31.48</v>
      </c>
      <c r="BN2193">
        <v>241.32</v>
      </c>
      <c r="BO2193">
        <v>241.32</v>
      </c>
      <c r="BQ2193" t="s">
        <v>438</v>
      </c>
      <c r="BR2193" t="s">
        <v>84</v>
      </c>
      <c r="BS2193" s="3">
        <v>45797</v>
      </c>
      <c r="BT2193" s="4">
        <v>0.48958333333333331</v>
      </c>
      <c r="BU2193" t="s">
        <v>1863</v>
      </c>
      <c r="BV2193" t="s">
        <v>86</v>
      </c>
      <c r="BY2193">
        <v>8960</v>
      </c>
      <c r="CA2193" t="s">
        <v>440</v>
      </c>
      <c r="CC2193" t="s">
        <v>104</v>
      </c>
      <c r="CD2193">
        <v>3212</v>
      </c>
      <c r="CE2193" t="s">
        <v>221</v>
      </c>
      <c r="CF2193" s="3">
        <v>45797</v>
      </c>
      <c r="CI2193">
        <v>2</v>
      </c>
      <c r="CJ2193">
        <v>1</v>
      </c>
      <c r="CK2193">
        <v>21</v>
      </c>
      <c r="CL2193" t="s">
        <v>89</v>
      </c>
    </row>
    <row r="2194" spans="1:90" x14ac:dyDescent="0.3">
      <c r="A2194" t="s">
        <v>72</v>
      </c>
      <c r="B2194" t="s">
        <v>73</v>
      </c>
      <c r="C2194" t="s">
        <v>74</v>
      </c>
      <c r="E2194" t="str">
        <f>"080065447015"</f>
        <v>080065447015</v>
      </c>
      <c r="F2194" s="3">
        <v>45796</v>
      </c>
      <c r="G2194">
        <v>202602</v>
      </c>
      <c r="H2194" t="s">
        <v>75</v>
      </c>
      <c r="I2194" t="s">
        <v>76</v>
      </c>
      <c r="J2194" t="s">
        <v>77</v>
      </c>
      <c r="K2194" t="s">
        <v>78</v>
      </c>
      <c r="L2194" t="s">
        <v>1503</v>
      </c>
      <c r="M2194" t="s">
        <v>1504</v>
      </c>
      <c r="N2194" t="s">
        <v>2536</v>
      </c>
      <c r="O2194" t="s">
        <v>300</v>
      </c>
      <c r="P2194" t="str">
        <f>"4170039450                    "</f>
        <v xml:space="preserve">4170039450                    </v>
      </c>
      <c r="Q2194">
        <v>0</v>
      </c>
      <c r="R2194">
        <v>0</v>
      </c>
      <c r="S2194">
        <v>0</v>
      </c>
      <c r="T2194">
        <v>0</v>
      </c>
      <c r="U2194">
        <v>0</v>
      </c>
      <c r="V2194">
        <v>0</v>
      </c>
      <c r="W2194">
        <v>0</v>
      </c>
      <c r="X2194">
        <v>0</v>
      </c>
      <c r="Y2194">
        <v>0</v>
      </c>
      <c r="Z2194">
        <v>0</v>
      </c>
      <c r="AA2194">
        <v>0</v>
      </c>
      <c r="AB2194">
        <v>0</v>
      </c>
      <c r="AC2194">
        <v>0</v>
      </c>
      <c r="AD2194">
        <v>0</v>
      </c>
      <c r="AE2194">
        <v>0</v>
      </c>
      <c r="AF2194">
        <v>0</v>
      </c>
      <c r="AG2194">
        <v>0</v>
      </c>
      <c r="AH2194">
        <v>0</v>
      </c>
      <c r="AI2194">
        <v>0</v>
      </c>
      <c r="AJ2194">
        <v>0</v>
      </c>
      <c r="AK2194">
        <v>0</v>
      </c>
      <c r="AL2194">
        <v>0</v>
      </c>
      <c r="AM2194">
        <v>0</v>
      </c>
      <c r="AN2194">
        <v>0</v>
      </c>
      <c r="AO2194">
        <v>0</v>
      </c>
      <c r="AP2194">
        <v>0</v>
      </c>
      <c r="AQ2194">
        <v>61.3</v>
      </c>
      <c r="AR2194">
        <v>0</v>
      </c>
      <c r="AS2194">
        <v>0</v>
      </c>
      <c r="AT2194">
        <v>0</v>
      </c>
      <c r="AU2194">
        <v>0</v>
      </c>
      <c r="AV2194">
        <v>0</v>
      </c>
      <c r="AW2194">
        <v>0</v>
      </c>
      <c r="AX2194">
        <v>0</v>
      </c>
      <c r="AY2194">
        <v>0</v>
      </c>
      <c r="AZ2194">
        <v>0</v>
      </c>
      <c r="BA2194">
        <v>0</v>
      </c>
      <c r="BB2194">
        <v>0</v>
      </c>
      <c r="BC2194">
        <v>0</v>
      </c>
      <c r="BD2194">
        <v>0</v>
      </c>
      <c r="BE2194">
        <v>0</v>
      </c>
      <c r="BF2194">
        <v>0</v>
      </c>
      <c r="BG2194">
        <v>0</v>
      </c>
      <c r="BH2194">
        <v>1</v>
      </c>
      <c r="BI2194">
        <v>10</v>
      </c>
      <c r="BJ2194">
        <v>16</v>
      </c>
      <c r="BK2194">
        <v>16</v>
      </c>
      <c r="BL2194">
        <v>206.19</v>
      </c>
      <c r="BM2194">
        <v>30.93</v>
      </c>
      <c r="BN2194">
        <v>237.12</v>
      </c>
      <c r="BO2194">
        <v>237.12</v>
      </c>
      <c r="BQ2194" t="s">
        <v>2537</v>
      </c>
      <c r="BR2194" t="s">
        <v>84</v>
      </c>
      <c r="BS2194" s="3">
        <v>45798</v>
      </c>
      <c r="BT2194" s="4">
        <v>0.63611111111111107</v>
      </c>
      <c r="BU2194" t="s">
        <v>2584</v>
      </c>
      <c r="BV2194" t="s">
        <v>89</v>
      </c>
      <c r="BY2194">
        <v>80000</v>
      </c>
      <c r="CA2194" t="s">
        <v>2585</v>
      </c>
      <c r="CC2194" t="s">
        <v>1504</v>
      </c>
      <c r="CD2194">
        <v>4340</v>
      </c>
      <c r="CE2194" t="s">
        <v>96</v>
      </c>
      <c r="CF2194" s="3">
        <v>45799</v>
      </c>
      <c r="CI2194">
        <v>1</v>
      </c>
      <c r="CJ2194">
        <v>2</v>
      </c>
      <c r="CK2194">
        <v>43</v>
      </c>
      <c r="CL2194" t="s">
        <v>89</v>
      </c>
    </row>
    <row r="2195" spans="1:90" x14ac:dyDescent="0.3">
      <c r="A2195" t="s">
        <v>72</v>
      </c>
      <c r="B2195" t="s">
        <v>73</v>
      </c>
      <c r="C2195" t="s">
        <v>74</v>
      </c>
      <c r="E2195" t="str">
        <f>"080065447017"</f>
        <v>080065447017</v>
      </c>
      <c r="F2195" s="3">
        <v>45796</v>
      </c>
      <c r="G2195">
        <v>202602</v>
      </c>
      <c r="H2195" t="s">
        <v>75</v>
      </c>
      <c r="I2195" t="s">
        <v>76</v>
      </c>
      <c r="J2195" t="s">
        <v>77</v>
      </c>
      <c r="K2195" t="s">
        <v>78</v>
      </c>
      <c r="L2195" t="s">
        <v>130</v>
      </c>
      <c r="M2195" t="s">
        <v>131</v>
      </c>
      <c r="N2195" t="s">
        <v>709</v>
      </c>
      <c r="O2195" t="s">
        <v>300</v>
      </c>
      <c r="P2195" t="str">
        <f>"4170039483                    "</f>
        <v xml:space="preserve">4170039483                    </v>
      </c>
      <c r="Q2195">
        <v>0</v>
      </c>
      <c r="R2195">
        <v>0</v>
      </c>
      <c r="S2195">
        <v>0</v>
      </c>
      <c r="T2195">
        <v>0</v>
      </c>
      <c r="U2195">
        <v>0</v>
      </c>
      <c r="V2195">
        <v>0</v>
      </c>
      <c r="W2195">
        <v>0</v>
      </c>
      <c r="X2195">
        <v>0</v>
      </c>
      <c r="Y2195">
        <v>0</v>
      </c>
      <c r="Z2195">
        <v>0</v>
      </c>
      <c r="AA2195">
        <v>0</v>
      </c>
      <c r="AB2195">
        <v>0</v>
      </c>
      <c r="AC2195">
        <v>0</v>
      </c>
      <c r="AD2195">
        <v>0</v>
      </c>
      <c r="AE2195">
        <v>0</v>
      </c>
      <c r="AF2195">
        <v>0</v>
      </c>
      <c r="AG2195">
        <v>0</v>
      </c>
      <c r="AH2195">
        <v>0</v>
      </c>
      <c r="AI2195">
        <v>0</v>
      </c>
      <c r="AJ2195">
        <v>0</v>
      </c>
      <c r="AK2195">
        <v>0</v>
      </c>
      <c r="AL2195">
        <v>0</v>
      </c>
      <c r="AM2195">
        <v>0</v>
      </c>
      <c r="AN2195">
        <v>0</v>
      </c>
      <c r="AO2195">
        <v>0</v>
      </c>
      <c r="AP2195">
        <v>0</v>
      </c>
      <c r="AQ2195">
        <v>68.67</v>
      </c>
      <c r="AR2195">
        <v>0</v>
      </c>
      <c r="AS2195">
        <v>0</v>
      </c>
      <c r="AT2195">
        <v>0</v>
      </c>
      <c r="AU2195">
        <v>0</v>
      </c>
      <c r="AV2195">
        <v>0</v>
      </c>
      <c r="AW2195">
        <v>0</v>
      </c>
      <c r="AX2195">
        <v>0</v>
      </c>
      <c r="AY2195">
        <v>0</v>
      </c>
      <c r="AZ2195">
        <v>0</v>
      </c>
      <c r="BA2195">
        <v>0</v>
      </c>
      <c r="BB2195">
        <v>0</v>
      </c>
      <c r="BC2195">
        <v>0</v>
      </c>
      <c r="BD2195">
        <v>0</v>
      </c>
      <c r="BE2195">
        <v>0</v>
      </c>
      <c r="BF2195">
        <v>0</v>
      </c>
      <c r="BG2195">
        <v>0</v>
      </c>
      <c r="BH2195">
        <v>1</v>
      </c>
      <c r="BI2195">
        <v>10</v>
      </c>
      <c r="BJ2195">
        <v>30.9</v>
      </c>
      <c r="BK2195">
        <v>31</v>
      </c>
      <c r="BL2195">
        <v>230.3</v>
      </c>
      <c r="BM2195">
        <v>34.549999999999997</v>
      </c>
      <c r="BN2195">
        <v>264.85000000000002</v>
      </c>
      <c r="BO2195">
        <v>264.85000000000002</v>
      </c>
      <c r="BQ2195" t="s">
        <v>710</v>
      </c>
      <c r="BR2195" t="s">
        <v>84</v>
      </c>
      <c r="BS2195" s="3">
        <v>45798</v>
      </c>
      <c r="BT2195" s="4">
        <v>0.33680555555555558</v>
      </c>
      <c r="BU2195" t="s">
        <v>1272</v>
      </c>
      <c r="BV2195" t="s">
        <v>86</v>
      </c>
      <c r="BY2195">
        <v>154560</v>
      </c>
      <c r="CA2195" t="s">
        <v>712</v>
      </c>
      <c r="CC2195" t="s">
        <v>131</v>
      </c>
      <c r="CD2195">
        <v>7530</v>
      </c>
      <c r="CE2195" t="s">
        <v>96</v>
      </c>
      <c r="CF2195" s="3">
        <v>45799</v>
      </c>
      <c r="CI2195">
        <v>3</v>
      </c>
      <c r="CJ2195">
        <v>2</v>
      </c>
      <c r="CK2195">
        <v>41</v>
      </c>
      <c r="CL2195" t="s">
        <v>89</v>
      </c>
    </row>
    <row r="2196" spans="1:90" x14ac:dyDescent="0.3">
      <c r="A2196" t="s">
        <v>72</v>
      </c>
      <c r="B2196" t="s">
        <v>73</v>
      </c>
      <c r="C2196" t="s">
        <v>74</v>
      </c>
      <c r="E2196" t="str">
        <f>"080065447066"</f>
        <v>080065447066</v>
      </c>
      <c r="F2196" s="3">
        <v>45796</v>
      </c>
      <c r="G2196">
        <v>202602</v>
      </c>
      <c r="H2196" t="s">
        <v>75</v>
      </c>
      <c r="I2196" t="s">
        <v>76</v>
      </c>
      <c r="J2196" t="s">
        <v>77</v>
      </c>
      <c r="K2196" t="s">
        <v>78</v>
      </c>
      <c r="L2196" t="s">
        <v>117</v>
      </c>
      <c r="M2196" t="s">
        <v>118</v>
      </c>
      <c r="N2196" t="s">
        <v>1421</v>
      </c>
      <c r="O2196" t="s">
        <v>300</v>
      </c>
      <c r="P2196" t="str">
        <f>"4170039138                    "</f>
        <v xml:space="preserve">4170039138                    </v>
      </c>
      <c r="Q2196">
        <v>0</v>
      </c>
      <c r="R2196">
        <v>0</v>
      </c>
      <c r="S2196">
        <v>0</v>
      </c>
      <c r="T2196">
        <v>0</v>
      </c>
      <c r="U2196">
        <v>0</v>
      </c>
      <c r="V2196">
        <v>0</v>
      </c>
      <c r="W2196">
        <v>0</v>
      </c>
      <c r="X2196">
        <v>0</v>
      </c>
      <c r="Y2196">
        <v>0</v>
      </c>
      <c r="Z2196">
        <v>0</v>
      </c>
      <c r="AA2196">
        <v>0</v>
      </c>
      <c r="AB2196">
        <v>0</v>
      </c>
      <c r="AC2196">
        <v>0</v>
      </c>
      <c r="AD2196">
        <v>0</v>
      </c>
      <c r="AE2196">
        <v>0</v>
      </c>
      <c r="AF2196">
        <v>0</v>
      </c>
      <c r="AG2196">
        <v>0</v>
      </c>
      <c r="AH2196">
        <v>0</v>
      </c>
      <c r="AI2196">
        <v>0</v>
      </c>
      <c r="AJ2196">
        <v>0</v>
      </c>
      <c r="AK2196">
        <v>0</v>
      </c>
      <c r="AL2196">
        <v>0</v>
      </c>
      <c r="AM2196">
        <v>0</v>
      </c>
      <c r="AN2196">
        <v>0</v>
      </c>
      <c r="AO2196">
        <v>0</v>
      </c>
      <c r="AP2196">
        <v>0</v>
      </c>
      <c r="AQ2196">
        <v>31.91</v>
      </c>
      <c r="AR2196">
        <v>0</v>
      </c>
      <c r="AS2196">
        <v>0</v>
      </c>
      <c r="AT2196">
        <v>0</v>
      </c>
      <c r="AU2196">
        <v>0</v>
      </c>
      <c r="AV2196">
        <v>0</v>
      </c>
      <c r="AW2196">
        <v>16.739999999999998</v>
      </c>
      <c r="AX2196">
        <v>0</v>
      </c>
      <c r="AY2196">
        <v>0</v>
      </c>
      <c r="AZ2196">
        <v>0</v>
      </c>
      <c r="BA2196">
        <v>0</v>
      </c>
      <c r="BB2196">
        <v>0</v>
      </c>
      <c r="BC2196">
        <v>0</v>
      </c>
      <c r="BD2196">
        <v>0</v>
      </c>
      <c r="BE2196">
        <v>0</v>
      </c>
      <c r="BF2196">
        <v>0</v>
      </c>
      <c r="BG2196">
        <v>0</v>
      </c>
      <c r="BH2196">
        <v>1</v>
      </c>
      <c r="BI2196">
        <v>9</v>
      </c>
      <c r="BJ2196">
        <v>8.9</v>
      </c>
      <c r="BK2196">
        <v>9</v>
      </c>
      <c r="BL2196">
        <v>126.74</v>
      </c>
      <c r="BM2196">
        <v>19.010000000000002</v>
      </c>
      <c r="BN2196">
        <v>145.75</v>
      </c>
      <c r="BO2196">
        <v>145.75</v>
      </c>
      <c r="BQ2196" t="s">
        <v>1422</v>
      </c>
      <c r="BR2196" t="s">
        <v>84</v>
      </c>
      <c r="BS2196" s="3">
        <v>45797</v>
      </c>
      <c r="BT2196" s="4">
        <v>0.47916666666666669</v>
      </c>
      <c r="BU2196" t="s">
        <v>1423</v>
      </c>
      <c r="BV2196" t="s">
        <v>86</v>
      </c>
      <c r="BY2196">
        <v>44640</v>
      </c>
      <c r="BZ2196" t="s">
        <v>30</v>
      </c>
      <c r="CA2196" t="s">
        <v>1424</v>
      </c>
      <c r="CC2196" t="s">
        <v>118</v>
      </c>
      <c r="CD2196">
        <v>2188</v>
      </c>
      <c r="CE2196" t="s">
        <v>96</v>
      </c>
      <c r="CF2196" s="3">
        <v>45797</v>
      </c>
      <c r="CI2196">
        <v>1</v>
      </c>
      <c r="CJ2196">
        <v>1</v>
      </c>
      <c r="CK2196">
        <v>42</v>
      </c>
      <c r="CL2196" t="s">
        <v>89</v>
      </c>
    </row>
    <row r="2197" spans="1:90" x14ac:dyDescent="0.3">
      <c r="A2197" t="s">
        <v>72</v>
      </c>
      <c r="B2197" t="s">
        <v>73</v>
      </c>
      <c r="C2197" t="s">
        <v>74</v>
      </c>
      <c r="E2197" t="str">
        <f>"080065447096"</f>
        <v>080065447096</v>
      </c>
      <c r="F2197" s="3">
        <v>45796</v>
      </c>
      <c r="G2197">
        <v>202602</v>
      </c>
      <c r="H2197" t="s">
        <v>75</v>
      </c>
      <c r="I2197" t="s">
        <v>76</v>
      </c>
      <c r="J2197" t="s">
        <v>77</v>
      </c>
      <c r="K2197" t="s">
        <v>78</v>
      </c>
      <c r="L2197" t="s">
        <v>117</v>
      </c>
      <c r="M2197" t="s">
        <v>118</v>
      </c>
      <c r="N2197" t="s">
        <v>1421</v>
      </c>
      <c r="O2197" t="s">
        <v>82</v>
      </c>
      <c r="P2197" t="str">
        <f>"4170039406                    "</f>
        <v xml:space="preserve">4170039406                    </v>
      </c>
      <c r="Q2197">
        <v>0</v>
      </c>
      <c r="R2197">
        <v>0</v>
      </c>
      <c r="S2197">
        <v>0</v>
      </c>
      <c r="T2197">
        <v>0</v>
      </c>
      <c r="U2197">
        <v>0</v>
      </c>
      <c r="V2197">
        <v>0</v>
      </c>
      <c r="W2197">
        <v>0</v>
      </c>
      <c r="X2197">
        <v>0</v>
      </c>
      <c r="Y2197">
        <v>0</v>
      </c>
      <c r="Z2197">
        <v>0</v>
      </c>
      <c r="AA2197">
        <v>0</v>
      </c>
      <c r="AB2197">
        <v>0</v>
      </c>
      <c r="AC2197">
        <v>0</v>
      </c>
      <c r="AD2197">
        <v>0</v>
      </c>
      <c r="AE2197">
        <v>0</v>
      </c>
      <c r="AF2197">
        <v>0</v>
      </c>
      <c r="AG2197">
        <v>0</v>
      </c>
      <c r="AH2197">
        <v>0</v>
      </c>
      <c r="AI2197">
        <v>0</v>
      </c>
      <c r="AJ2197">
        <v>0</v>
      </c>
      <c r="AK2197">
        <v>0</v>
      </c>
      <c r="AL2197">
        <v>0</v>
      </c>
      <c r="AM2197">
        <v>0</v>
      </c>
      <c r="AN2197">
        <v>0</v>
      </c>
      <c r="AO2197">
        <v>0</v>
      </c>
      <c r="AP2197">
        <v>0</v>
      </c>
      <c r="AQ2197">
        <v>16.7</v>
      </c>
      <c r="AR2197">
        <v>0</v>
      </c>
      <c r="AS2197">
        <v>0</v>
      </c>
      <c r="AT2197">
        <v>0</v>
      </c>
      <c r="AU2197">
        <v>0</v>
      </c>
      <c r="AV2197">
        <v>0</v>
      </c>
      <c r="AW2197">
        <v>16.739999999999998</v>
      </c>
      <c r="AX2197">
        <v>0</v>
      </c>
      <c r="AY2197">
        <v>0</v>
      </c>
      <c r="AZ2197">
        <v>0</v>
      </c>
      <c r="BA2197">
        <v>0</v>
      </c>
      <c r="BB2197">
        <v>0</v>
      </c>
      <c r="BC2197">
        <v>0</v>
      </c>
      <c r="BD2197">
        <v>0</v>
      </c>
      <c r="BE2197">
        <v>0</v>
      </c>
      <c r="BF2197">
        <v>0</v>
      </c>
      <c r="BG2197">
        <v>0</v>
      </c>
      <c r="BH2197">
        <v>1</v>
      </c>
      <c r="BI2197">
        <v>1</v>
      </c>
      <c r="BJ2197">
        <v>0.2</v>
      </c>
      <c r="BK2197">
        <v>1</v>
      </c>
      <c r="BL2197">
        <v>71.400000000000006</v>
      </c>
      <c r="BM2197">
        <v>10.71</v>
      </c>
      <c r="BN2197">
        <v>82.11</v>
      </c>
      <c r="BO2197">
        <v>82.11</v>
      </c>
      <c r="BQ2197" t="s">
        <v>1422</v>
      </c>
      <c r="BR2197" t="s">
        <v>84</v>
      </c>
      <c r="BS2197" s="3">
        <v>45798</v>
      </c>
      <c r="BT2197" s="4">
        <v>0.40277777777777779</v>
      </c>
      <c r="BU2197" t="s">
        <v>2586</v>
      </c>
      <c r="BV2197" t="s">
        <v>89</v>
      </c>
      <c r="BY2197">
        <v>1200</v>
      </c>
      <c r="BZ2197" t="s">
        <v>30</v>
      </c>
      <c r="CA2197" t="s">
        <v>1424</v>
      </c>
      <c r="CC2197" t="s">
        <v>118</v>
      </c>
      <c r="CD2197">
        <v>2188</v>
      </c>
      <c r="CE2197" t="s">
        <v>88</v>
      </c>
      <c r="CF2197" s="3">
        <v>45798</v>
      </c>
      <c r="CI2197">
        <v>1</v>
      </c>
      <c r="CJ2197">
        <v>2</v>
      </c>
      <c r="CK2197">
        <v>22</v>
      </c>
      <c r="CL2197" t="s">
        <v>89</v>
      </c>
    </row>
    <row r="2198" spans="1:90" x14ac:dyDescent="0.3">
      <c r="A2198" t="s">
        <v>72</v>
      </c>
      <c r="B2198" t="s">
        <v>73</v>
      </c>
      <c r="C2198" t="s">
        <v>74</v>
      </c>
      <c r="E2198" t="str">
        <f>"080065447114"</f>
        <v>080065447114</v>
      </c>
      <c r="F2198" s="3">
        <v>45796</v>
      </c>
      <c r="G2198">
        <v>202602</v>
      </c>
      <c r="H2198" t="s">
        <v>75</v>
      </c>
      <c r="I2198" t="s">
        <v>76</v>
      </c>
      <c r="J2198" t="s">
        <v>77</v>
      </c>
      <c r="K2198" t="s">
        <v>78</v>
      </c>
      <c r="L2198" t="s">
        <v>117</v>
      </c>
      <c r="M2198" t="s">
        <v>118</v>
      </c>
      <c r="N2198" t="s">
        <v>272</v>
      </c>
      <c r="O2198" t="s">
        <v>82</v>
      </c>
      <c r="P2198" t="str">
        <f>"4170039440                    "</f>
        <v xml:space="preserve">4170039440                    </v>
      </c>
      <c r="Q2198">
        <v>0</v>
      </c>
      <c r="R2198">
        <v>0</v>
      </c>
      <c r="S2198">
        <v>0</v>
      </c>
      <c r="T2198">
        <v>0</v>
      </c>
      <c r="U2198">
        <v>0</v>
      </c>
      <c r="V2198">
        <v>0</v>
      </c>
      <c r="W2198">
        <v>0</v>
      </c>
      <c r="X2198">
        <v>0</v>
      </c>
      <c r="Y2198">
        <v>0</v>
      </c>
      <c r="Z2198">
        <v>0</v>
      </c>
      <c r="AA2198">
        <v>0</v>
      </c>
      <c r="AB2198">
        <v>0</v>
      </c>
      <c r="AC2198">
        <v>0</v>
      </c>
      <c r="AD2198">
        <v>0</v>
      </c>
      <c r="AE2198">
        <v>0</v>
      </c>
      <c r="AF2198">
        <v>0</v>
      </c>
      <c r="AG2198">
        <v>0</v>
      </c>
      <c r="AH2198">
        <v>0</v>
      </c>
      <c r="AI2198">
        <v>0</v>
      </c>
      <c r="AJ2198">
        <v>0</v>
      </c>
      <c r="AK2198">
        <v>0</v>
      </c>
      <c r="AL2198">
        <v>0</v>
      </c>
      <c r="AM2198">
        <v>0</v>
      </c>
      <c r="AN2198">
        <v>0</v>
      </c>
      <c r="AO2198">
        <v>0</v>
      </c>
      <c r="AP2198">
        <v>0</v>
      </c>
      <c r="AQ2198">
        <v>16.7</v>
      </c>
      <c r="AR2198">
        <v>0</v>
      </c>
      <c r="AS2198">
        <v>0</v>
      </c>
      <c r="AT2198">
        <v>0</v>
      </c>
      <c r="AU2198">
        <v>0</v>
      </c>
      <c r="AV2198">
        <v>0</v>
      </c>
      <c r="AW2198">
        <v>0</v>
      </c>
      <c r="AX2198">
        <v>0</v>
      </c>
      <c r="AY2198">
        <v>0</v>
      </c>
      <c r="AZ2198">
        <v>0</v>
      </c>
      <c r="BA2198">
        <v>0</v>
      </c>
      <c r="BB2198">
        <v>0</v>
      </c>
      <c r="BC2198">
        <v>0</v>
      </c>
      <c r="BD2198">
        <v>0</v>
      </c>
      <c r="BE2198">
        <v>0</v>
      </c>
      <c r="BF2198">
        <v>0</v>
      </c>
      <c r="BG2198">
        <v>0</v>
      </c>
      <c r="BH2198">
        <v>1</v>
      </c>
      <c r="BI2198">
        <v>1</v>
      </c>
      <c r="BJ2198">
        <v>1.4</v>
      </c>
      <c r="BK2198">
        <v>2</v>
      </c>
      <c r="BL2198">
        <v>54.66</v>
      </c>
      <c r="BM2198">
        <v>8.1999999999999993</v>
      </c>
      <c r="BN2198">
        <v>62.86</v>
      </c>
      <c r="BO2198">
        <v>62.86</v>
      </c>
      <c r="BQ2198" t="s">
        <v>273</v>
      </c>
      <c r="BR2198" t="s">
        <v>84</v>
      </c>
      <c r="BS2198" s="3">
        <v>45797</v>
      </c>
      <c r="BT2198" s="4">
        <v>0.38194444444444442</v>
      </c>
      <c r="BU2198" t="s">
        <v>2587</v>
      </c>
      <c r="BV2198" t="s">
        <v>86</v>
      </c>
      <c r="BY2198">
        <v>7000</v>
      </c>
      <c r="CA2198" t="s">
        <v>275</v>
      </c>
      <c r="CC2198" t="s">
        <v>118</v>
      </c>
      <c r="CD2198">
        <v>2013</v>
      </c>
      <c r="CE2198" t="s">
        <v>96</v>
      </c>
      <c r="CF2198" s="3">
        <v>45797</v>
      </c>
      <c r="CI2198">
        <v>1</v>
      </c>
      <c r="CJ2198">
        <v>1</v>
      </c>
      <c r="CK2198">
        <v>22</v>
      </c>
      <c r="CL2198" t="s">
        <v>89</v>
      </c>
    </row>
    <row r="2199" spans="1:90" x14ac:dyDescent="0.3">
      <c r="A2199" t="s">
        <v>72</v>
      </c>
      <c r="B2199" t="s">
        <v>73</v>
      </c>
      <c r="C2199" t="s">
        <v>74</v>
      </c>
      <c r="E2199" t="str">
        <f>"080065447122"</f>
        <v>080065447122</v>
      </c>
      <c r="F2199" s="3">
        <v>45796</v>
      </c>
      <c r="G2199">
        <v>202602</v>
      </c>
      <c r="H2199" t="s">
        <v>75</v>
      </c>
      <c r="I2199" t="s">
        <v>76</v>
      </c>
      <c r="J2199" t="s">
        <v>77</v>
      </c>
      <c r="K2199" t="s">
        <v>78</v>
      </c>
      <c r="L2199" t="s">
        <v>103</v>
      </c>
      <c r="M2199" t="s">
        <v>104</v>
      </c>
      <c r="N2199" t="s">
        <v>105</v>
      </c>
      <c r="O2199" t="s">
        <v>82</v>
      </c>
      <c r="P2199" t="str">
        <f>"4170039297                    "</f>
        <v xml:space="preserve">4170039297                    </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c r="AI2199">
        <v>0</v>
      </c>
      <c r="AJ2199">
        <v>0</v>
      </c>
      <c r="AK2199">
        <v>0</v>
      </c>
      <c r="AL2199">
        <v>0</v>
      </c>
      <c r="AM2199">
        <v>0</v>
      </c>
      <c r="AN2199">
        <v>0</v>
      </c>
      <c r="AO2199">
        <v>0</v>
      </c>
      <c r="AP2199">
        <v>0</v>
      </c>
      <c r="AQ2199">
        <v>21.38</v>
      </c>
      <c r="AR2199">
        <v>0</v>
      </c>
      <c r="AS2199">
        <v>0</v>
      </c>
      <c r="AT2199">
        <v>0</v>
      </c>
      <c r="AU2199">
        <v>0</v>
      </c>
      <c r="AV2199">
        <v>0</v>
      </c>
      <c r="AW2199">
        <v>0</v>
      </c>
      <c r="AX2199">
        <v>0</v>
      </c>
      <c r="AY2199">
        <v>0</v>
      </c>
      <c r="AZ2199">
        <v>0</v>
      </c>
      <c r="BA2199">
        <v>0</v>
      </c>
      <c r="BB2199">
        <v>0</v>
      </c>
      <c r="BC2199">
        <v>0</v>
      </c>
      <c r="BD2199">
        <v>0</v>
      </c>
      <c r="BE2199">
        <v>0</v>
      </c>
      <c r="BF2199">
        <v>0</v>
      </c>
      <c r="BG2199">
        <v>0</v>
      </c>
      <c r="BH2199">
        <v>1</v>
      </c>
      <c r="BI2199">
        <v>1</v>
      </c>
      <c r="BJ2199">
        <v>0.2</v>
      </c>
      <c r="BK2199">
        <v>1</v>
      </c>
      <c r="BL2199">
        <v>69.98</v>
      </c>
      <c r="BM2199">
        <v>10.5</v>
      </c>
      <c r="BN2199">
        <v>80.48</v>
      </c>
      <c r="BO2199">
        <v>80.48</v>
      </c>
      <c r="BQ2199" t="s">
        <v>106</v>
      </c>
      <c r="BR2199" t="s">
        <v>84</v>
      </c>
      <c r="BS2199" s="3">
        <v>45797</v>
      </c>
      <c r="BT2199" s="4">
        <v>0.41666666666666669</v>
      </c>
      <c r="BU2199" t="s">
        <v>2540</v>
      </c>
      <c r="BV2199" t="s">
        <v>86</v>
      </c>
      <c r="BY2199">
        <v>1200</v>
      </c>
      <c r="CA2199" t="s">
        <v>108</v>
      </c>
      <c r="CC2199" t="s">
        <v>104</v>
      </c>
      <c r="CD2199">
        <v>3201</v>
      </c>
      <c r="CE2199" t="s">
        <v>88</v>
      </c>
      <c r="CF2199" s="3">
        <v>45798</v>
      </c>
      <c r="CI2199">
        <v>1</v>
      </c>
      <c r="CJ2199">
        <v>1</v>
      </c>
      <c r="CK2199">
        <v>21</v>
      </c>
      <c r="CL2199" t="s">
        <v>89</v>
      </c>
    </row>
    <row r="2200" spans="1:90" x14ac:dyDescent="0.3">
      <c r="A2200" t="s">
        <v>72</v>
      </c>
      <c r="B2200" t="s">
        <v>73</v>
      </c>
      <c r="C2200" t="s">
        <v>74</v>
      </c>
      <c r="E2200" t="str">
        <f>"080065447142"</f>
        <v>080065447142</v>
      </c>
      <c r="F2200" s="3">
        <v>45796</v>
      </c>
      <c r="G2200">
        <v>202602</v>
      </c>
      <c r="H2200" t="s">
        <v>75</v>
      </c>
      <c r="I2200" t="s">
        <v>76</v>
      </c>
      <c r="J2200" t="s">
        <v>77</v>
      </c>
      <c r="K2200" t="s">
        <v>78</v>
      </c>
      <c r="L2200" t="s">
        <v>624</v>
      </c>
      <c r="M2200" t="s">
        <v>625</v>
      </c>
      <c r="N2200" t="s">
        <v>626</v>
      </c>
      <c r="O2200" t="s">
        <v>82</v>
      </c>
      <c r="P2200" t="str">
        <f>"4170039433                    "</f>
        <v xml:space="preserve">4170039433                    </v>
      </c>
      <c r="Q2200">
        <v>0</v>
      </c>
      <c r="R2200">
        <v>0</v>
      </c>
      <c r="S2200">
        <v>0</v>
      </c>
      <c r="T2200">
        <v>0</v>
      </c>
      <c r="U2200">
        <v>0</v>
      </c>
      <c r="V2200">
        <v>0</v>
      </c>
      <c r="W2200">
        <v>0</v>
      </c>
      <c r="X2200">
        <v>0</v>
      </c>
      <c r="Y2200">
        <v>0</v>
      </c>
      <c r="Z2200">
        <v>0</v>
      </c>
      <c r="AA2200">
        <v>0</v>
      </c>
      <c r="AB2200">
        <v>0</v>
      </c>
      <c r="AC2200">
        <v>0</v>
      </c>
      <c r="AD2200">
        <v>0</v>
      </c>
      <c r="AE2200">
        <v>0</v>
      </c>
      <c r="AF2200">
        <v>0</v>
      </c>
      <c r="AG2200">
        <v>0</v>
      </c>
      <c r="AH2200">
        <v>0</v>
      </c>
      <c r="AI2200">
        <v>0</v>
      </c>
      <c r="AJ2200">
        <v>0</v>
      </c>
      <c r="AK2200">
        <v>0</v>
      </c>
      <c r="AL2200">
        <v>0</v>
      </c>
      <c r="AM2200">
        <v>0</v>
      </c>
      <c r="AN2200">
        <v>0</v>
      </c>
      <c r="AO2200">
        <v>0</v>
      </c>
      <c r="AP2200">
        <v>0</v>
      </c>
      <c r="AQ2200">
        <v>41.43</v>
      </c>
      <c r="AR2200">
        <v>0</v>
      </c>
      <c r="AS2200">
        <v>0</v>
      </c>
      <c r="AT2200">
        <v>0</v>
      </c>
      <c r="AU2200">
        <v>0</v>
      </c>
      <c r="AV2200">
        <v>0</v>
      </c>
      <c r="AW2200">
        <v>0</v>
      </c>
      <c r="AX2200">
        <v>0</v>
      </c>
      <c r="AY2200">
        <v>0</v>
      </c>
      <c r="AZ2200">
        <v>0</v>
      </c>
      <c r="BA2200">
        <v>0</v>
      </c>
      <c r="BB2200">
        <v>0</v>
      </c>
      <c r="BC2200">
        <v>0</v>
      </c>
      <c r="BD2200">
        <v>0</v>
      </c>
      <c r="BE2200">
        <v>0</v>
      </c>
      <c r="BF2200">
        <v>0</v>
      </c>
      <c r="BG2200">
        <v>0</v>
      </c>
      <c r="BH2200">
        <v>1</v>
      </c>
      <c r="BI2200">
        <v>1</v>
      </c>
      <c r="BJ2200">
        <v>0.2</v>
      </c>
      <c r="BK2200">
        <v>1</v>
      </c>
      <c r="BL2200">
        <v>135.59</v>
      </c>
      <c r="BM2200">
        <v>20.34</v>
      </c>
      <c r="BN2200">
        <v>155.93</v>
      </c>
      <c r="BO2200">
        <v>155.93</v>
      </c>
      <c r="BQ2200" t="s">
        <v>627</v>
      </c>
      <c r="BR2200" t="s">
        <v>84</v>
      </c>
      <c r="BS2200" s="3">
        <v>45797</v>
      </c>
      <c r="BT2200" s="4">
        <v>0.35069444444444442</v>
      </c>
      <c r="BU2200" t="s">
        <v>628</v>
      </c>
      <c r="BV2200" t="s">
        <v>86</v>
      </c>
      <c r="BY2200">
        <v>1200</v>
      </c>
      <c r="CA2200" t="s">
        <v>629</v>
      </c>
      <c r="CC2200" t="s">
        <v>625</v>
      </c>
      <c r="CD2200">
        <v>1947</v>
      </c>
      <c r="CE2200" t="s">
        <v>88</v>
      </c>
      <c r="CF2200" s="3">
        <v>45797</v>
      </c>
      <c r="CI2200">
        <v>1</v>
      </c>
      <c r="CJ2200">
        <v>1</v>
      </c>
      <c r="CK2200">
        <v>23</v>
      </c>
      <c r="CL2200" t="s">
        <v>89</v>
      </c>
    </row>
    <row r="2201" spans="1:90" x14ac:dyDescent="0.3">
      <c r="A2201" t="s">
        <v>72</v>
      </c>
      <c r="B2201" t="s">
        <v>73</v>
      </c>
      <c r="C2201" t="s">
        <v>74</v>
      </c>
      <c r="E2201" t="str">
        <f>"080065447331"</f>
        <v>080065447331</v>
      </c>
      <c r="F2201" s="3">
        <v>45796</v>
      </c>
      <c r="G2201">
        <v>202602</v>
      </c>
      <c r="H2201" t="s">
        <v>75</v>
      </c>
      <c r="I2201" t="s">
        <v>76</v>
      </c>
      <c r="J2201" t="s">
        <v>77</v>
      </c>
      <c r="K2201" t="s">
        <v>78</v>
      </c>
      <c r="L2201" t="s">
        <v>130</v>
      </c>
      <c r="M2201" t="s">
        <v>131</v>
      </c>
      <c r="N2201" t="s">
        <v>709</v>
      </c>
      <c r="O2201" t="s">
        <v>82</v>
      </c>
      <c r="P2201" t="str">
        <f>"4170039446                    "</f>
        <v xml:space="preserve">4170039446                    </v>
      </c>
      <c r="Q2201">
        <v>0</v>
      </c>
      <c r="R2201">
        <v>0</v>
      </c>
      <c r="S2201">
        <v>0</v>
      </c>
      <c r="T2201">
        <v>0</v>
      </c>
      <c r="U2201">
        <v>0</v>
      </c>
      <c r="V2201">
        <v>0</v>
      </c>
      <c r="W2201">
        <v>0</v>
      </c>
      <c r="X2201">
        <v>0</v>
      </c>
      <c r="Y2201">
        <v>0</v>
      </c>
      <c r="Z2201">
        <v>0</v>
      </c>
      <c r="AA2201">
        <v>0</v>
      </c>
      <c r="AB2201">
        <v>0</v>
      </c>
      <c r="AC2201">
        <v>0</v>
      </c>
      <c r="AD2201">
        <v>0</v>
      </c>
      <c r="AE2201">
        <v>0</v>
      </c>
      <c r="AF2201">
        <v>0</v>
      </c>
      <c r="AG2201">
        <v>0</v>
      </c>
      <c r="AH2201">
        <v>0</v>
      </c>
      <c r="AI2201">
        <v>0</v>
      </c>
      <c r="AJ2201">
        <v>0</v>
      </c>
      <c r="AK2201">
        <v>0</v>
      </c>
      <c r="AL2201">
        <v>0</v>
      </c>
      <c r="AM2201">
        <v>0</v>
      </c>
      <c r="AN2201">
        <v>0</v>
      </c>
      <c r="AO2201">
        <v>0</v>
      </c>
      <c r="AP2201">
        <v>0</v>
      </c>
      <c r="AQ2201">
        <v>21.38</v>
      </c>
      <c r="AR2201">
        <v>0</v>
      </c>
      <c r="AS2201">
        <v>0</v>
      </c>
      <c r="AT2201">
        <v>0</v>
      </c>
      <c r="AU2201">
        <v>0</v>
      </c>
      <c r="AV2201">
        <v>0</v>
      </c>
      <c r="AW2201">
        <v>0</v>
      </c>
      <c r="AX2201">
        <v>0</v>
      </c>
      <c r="AY2201">
        <v>0</v>
      </c>
      <c r="AZ2201">
        <v>0</v>
      </c>
      <c r="BA2201">
        <v>0</v>
      </c>
      <c r="BB2201">
        <v>0</v>
      </c>
      <c r="BC2201">
        <v>0</v>
      </c>
      <c r="BD2201">
        <v>0</v>
      </c>
      <c r="BE2201">
        <v>0</v>
      </c>
      <c r="BF2201">
        <v>0</v>
      </c>
      <c r="BG2201">
        <v>0</v>
      </c>
      <c r="BH2201">
        <v>1</v>
      </c>
      <c r="BI2201">
        <v>1</v>
      </c>
      <c r="BJ2201">
        <v>0.2</v>
      </c>
      <c r="BK2201">
        <v>1</v>
      </c>
      <c r="BL2201">
        <v>69.98</v>
      </c>
      <c r="BM2201">
        <v>10.5</v>
      </c>
      <c r="BN2201">
        <v>80.48</v>
      </c>
      <c r="BO2201">
        <v>80.48</v>
      </c>
      <c r="BQ2201" t="s">
        <v>710</v>
      </c>
      <c r="BR2201" t="s">
        <v>84</v>
      </c>
      <c r="BS2201" s="3">
        <v>45797</v>
      </c>
      <c r="BT2201" s="4">
        <v>0.34027777777777779</v>
      </c>
      <c r="BU2201" t="s">
        <v>711</v>
      </c>
      <c r="BV2201" t="s">
        <v>86</v>
      </c>
      <c r="BY2201">
        <v>1200</v>
      </c>
      <c r="CA2201" t="s">
        <v>712</v>
      </c>
      <c r="CC2201" t="s">
        <v>131</v>
      </c>
      <c r="CD2201">
        <v>7530</v>
      </c>
      <c r="CE2201" t="s">
        <v>88</v>
      </c>
      <c r="CF2201" s="3">
        <v>45798</v>
      </c>
      <c r="CI2201">
        <v>1</v>
      </c>
      <c r="CJ2201">
        <v>1</v>
      </c>
      <c r="CK2201">
        <v>21</v>
      </c>
      <c r="CL2201" t="s">
        <v>89</v>
      </c>
    </row>
    <row r="2202" spans="1:90" x14ac:dyDescent="0.3">
      <c r="A2202" t="s">
        <v>72</v>
      </c>
      <c r="B2202" t="s">
        <v>73</v>
      </c>
      <c r="C2202" t="s">
        <v>74</v>
      </c>
      <c r="E2202" t="str">
        <f>"080065447349"</f>
        <v>080065447349</v>
      </c>
      <c r="F2202" s="3">
        <v>45796</v>
      </c>
      <c r="G2202">
        <v>202602</v>
      </c>
      <c r="H2202" t="s">
        <v>75</v>
      </c>
      <c r="I2202" t="s">
        <v>76</v>
      </c>
      <c r="J2202" t="s">
        <v>77</v>
      </c>
      <c r="K2202" t="s">
        <v>78</v>
      </c>
      <c r="L2202" t="s">
        <v>648</v>
      </c>
      <c r="M2202" t="s">
        <v>649</v>
      </c>
      <c r="N2202" t="s">
        <v>1702</v>
      </c>
      <c r="O2202" t="s">
        <v>82</v>
      </c>
      <c r="P2202" t="str">
        <f>"4170039333                    "</f>
        <v xml:space="preserve">4170039333                    </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c r="AI2202">
        <v>0</v>
      </c>
      <c r="AJ2202">
        <v>0</v>
      </c>
      <c r="AK2202">
        <v>0</v>
      </c>
      <c r="AL2202">
        <v>0</v>
      </c>
      <c r="AM2202">
        <v>0</v>
      </c>
      <c r="AN2202">
        <v>0</v>
      </c>
      <c r="AO2202">
        <v>0</v>
      </c>
      <c r="AP2202">
        <v>0</v>
      </c>
      <c r="AQ2202">
        <v>16.7</v>
      </c>
      <c r="AR2202">
        <v>0</v>
      </c>
      <c r="AS2202">
        <v>0</v>
      </c>
      <c r="AT2202">
        <v>0</v>
      </c>
      <c r="AU2202">
        <v>0</v>
      </c>
      <c r="AV2202">
        <v>0</v>
      </c>
      <c r="AW2202">
        <v>0</v>
      </c>
      <c r="AX2202">
        <v>0</v>
      </c>
      <c r="AY2202">
        <v>0</v>
      </c>
      <c r="AZ2202">
        <v>0</v>
      </c>
      <c r="BA2202">
        <v>0</v>
      </c>
      <c r="BB2202">
        <v>0</v>
      </c>
      <c r="BC2202">
        <v>0</v>
      </c>
      <c r="BD2202">
        <v>0</v>
      </c>
      <c r="BE2202">
        <v>0</v>
      </c>
      <c r="BF2202">
        <v>0</v>
      </c>
      <c r="BG2202">
        <v>0</v>
      </c>
      <c r="BH2202">
        <v>1</v>
      </c>
      <c r="BI2202">
        <v>1</v>
      </c>
      <c r="BJ2202">
        <v>0.2</v>
      </c>
      <c r="BK2202">
        <v>1</v>
      </c>
      <c r="BL2202">
        <v>54.66</v>
      </c>
      <c r="BM2202">
        <v>8.1999999999999993</v>
      </c>
      <c r="BN2202">
        <v>62.86</v>
      </c>
      <c r="BO2202">
        <v>62.86</v>
      </c>
      <c r="BQ2202" t="s">
        <v>1703</v>
      </c>
      <c r="BR2202" t="s">
        <v>84</v>
      </c>
      <c r="BS2202" s="3">
        <v>45797</v>
      </c>
      <c r="BT2202" s="4">
        <v>0.43472222222222223</v>
      </c>
      <c r="BU2202" t="s">
        <v>2577</v>
      </c>
      <c r="BV2202" t="s">
        <v>86</v>
      </c>
      <c r="BY2202">
        <v>1200</v>
      </c>
      <c r="CA2202" t="s">
        <v>698</v>
      </c>
      <c r="CC2202" t="s">
        <v>649</v>
      </c>
      <c r="CD2202">
        <v>1559</v>
      </c>
      <c r="CE2202" t="s">
        <v>88</v>
      </c>
      <c r="CF2202" s="3">
        <v>45797</v>
      </c>
      <c r="CI2202">
        <v>1</v>
      </c>
      <c r="CJ2202">
        <v>1</v>
      </c>
      <c r="CK2202">
        <v>22</v>
      </c>
      <c r="CL2202" t="s">
        <v>89</v>
      </c>
    </row>
    <row r="2203" spans="1:90" x14ac:dyDescent="0.3">
      <c r="A2203" t="s">
        <v>72</v>
      </c>
      <c r="B2203" t="s">
        <v>73</v>
      </c>
      <c r="C2203" t="s">
        <v>74</v>
      </c>
      <c r="E2203" t="str">
        <f>"080065447352"</f>
        <v>080065447352</v>
      </c>
      <c r="F2203" s="3">
        <v>45796</v>
      </c>
      <c r="G2203">
        <v>202602</v>
      </c>
      <c r="H2203" t="s">
        <v>75</v>
      </c>
      <c r="I2203" t="s">
        <v>76</v>
      </c>
      <c r="J2203" t="s">
        <v>77</v>
      </c>
      <c r="K2203" t="s">
        <v>78</v>
      </c>
      <c r="L2203" t="s">
        <v>136</v>
      </c>
      <c r="M2203" t="s">
        <v>137</v>
      </c>
      <c r="N2203" t="s">
        <v>992</v>
      </c>
      <c r="O2203" t="s">
        <v>300</v>
      </c>
      <c r="P2203" t="str">
        <f>"4170039282                    "</f>
        <v xml:space="preserve">4170039282                    </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c r="AI2203">
        <v>0</v>
      </c>
      <c r="AJ2203">
        <v>0</v>
      </c>
      <c r="AK2203">
        <v>0</v>
      </c>
      <c r="AL2203">
        <v>0</v>
      </c>
      <c r="AM2203">
        <v>0</v>
      </c>
      <c r="AN2203">
        <v>0</v>
      </c>
      <c r="AO2203">
        <v>0</v>
      </c>
      <c r="AP2203">
        <v>0</v>
      </c>
      <c r="AQ2203">
        <v>84.03</v>
      </c>
      <c r="AR2203">
        <v>0</v>
      </c>
      <c r="AS2203">
        <v>0</v>
      </c>
      <c r="AT2203">
        <v>0</v>
      </c>
      <c r="AU2203">
        <v>0</v>
      </c>
      <c r="AV2203">
        <v>0</v>
      </c>
      <c r="AW2203">
        <v>0</v>
      </c>
      <c r="AX2203">
        <v>0</v>
      </c>
      <c r="AY2203">
        <v>0</v>
      </c>
      <c r="AZ2203">
        <v>0</v>
      </c>
      <c r="BA2203">
        <v>0</v>
      </c>
      <c r="BB2203">
        <v>0</v>
      </c>
      <c r="BC2203">
        <v>0</v>
      </c>
      <c r="BD2203">
        <v>0</v>
      </c>
      <c r="BE2203">
        <v>0</v>
      </c>
      <c r="BF2203">
        <v>0</v>
      </c>
      <c r="BG2203">
        <v>0</v>
      </c>
      <c r="BH2203">
        <v>2</v>
      </c>
      <c r="BI2203">
        <v>40</v>
      </c>
      <c r="BJ2203">
        <v>17.899999999999999</v>
      </c>
      <c r="BK2203">
        <v>40</v>
      </c>
      <c r="BL2203">
        <v>280.58</v>
      </c>
      <c r="BM2203">
        <v>42.09</v>
      </c>
      <c r="BN2203">
        <v>322.67</v>
      </c>
      <c r="BO2203">
        <v>322.67</v>
      </c>
      <c r="BQ2203" t="s">
        <v>993</v>
      </c>
      <c r="BR2203" t="s">
        <v>84</v>
      </c>
      <c r="BS2203" s="3">
        <v>45797</v>
      </c>
      <c r="BT2203" s="4">
        <v>0.48958333333333331</v>
      </c>
      <c r="BU2203" t="s">
        <v>994</v>
      </c>
      <c r="BV2203" t="s">
        <v>86</v>
      </c>
      <c r="BY2203">
        <v>44640</v>
      </c>
      <c r="CA2203" t="s">
        <v>141</v>
      </c>
      <c r="CC2203" t="s">
        <v>137</v>
      </c>
      <c r="CD2203" s="5" t="s">
        <v>142</v>
      </c>
      <c r="CE2203" t="s">
        <v>1494</v>
      </c>
      <c r="CF2203" s="3">
        <v>45797</v>
      </c>
      <c r="CI2203">
        <v>1</v>
      </c>
      <c r="CJ2203">
        <v>1</v>
      </c>
      <c r="CK2203">
        <v>41</v>
      </c>
      <c r="CL2203" t="s">
        <v>89</v>
      </c>
    </row>
    <row r="2204" spans="1:90" x14ac:dyDescent="0.3">
      <c r="A2204" t="s">
        <v>72</v>
      </c>
      <c r="B2204" t="s">
        <v>73</v>
      </c>
      <c r="C2204" t="s">
        <v>74</v>
      </c>
      <c r="E2204" t="str">
        <f>"080065447367"</f>
        <v>080065447367</v>
      </c>
      <c r="F2204" s="3">
        <v>45796</v>
      </c>
      <c r="G2204">
        <v>202602</v>
      </c>
      <c r="H2204" t="s">
        <v>75</v>
      </c>
      <c r="I2204" t="s">
        <v>76</v>
      </c>
      <c r="J2204" t="s">
        <v>77</v>
      </c>
      <c r="K2204" t="s">
        <v>78</v>
      </c>
      <c r="L2204" t="s">
        <v>177</v>
      </c>
      <c r="M2204" t="s">
        <v>178</v>
      </c>
      <c r="N2204" t="s">
        <v>212</v>
      </c>
      <c r="O2204" t="s">
        <v>82</v>
      </c>
      <c r="P2204" t="str">
        <f>"4170039284                    "</f>
        <v xml:space="preserve">4170039284                    </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c r="AJ2204">
        <v>0</v>
      </c>
      <c r="AK2204">
        <v>0</v>
      </c>
      <c r="AL2204">
        <v>0</v>
      </c>
      <c r="AM2204">
        <v>0</v>
      </c>
      <c r="AN2204">
        <v>0</v>
      </c>
      <c r="AO2204">
        <v>0</v>
      </c>
      <c r="AP2204">
        <v>0</v>
      </c>
      <c r="AQ2204">
        <v>21.38</v>
      </c>
      <c r="AR2204">
        <v>0</v>
      </c>
      <c r="AS2204">
        <v>0</v>
      </c>
      <c r="AT2204">
        <v>0</v>
      </c>
      <c r="AU2204">
        <v>0</v>
      </c>
      <c r="AV2204">
        <v>0</v>
      </c>
      <c r="AW2204">
        <v>0</v>
      </c>
      <c r="AX2204">
        <v>0</v>
      </c>
      <c r="AY2204">
        <v>0</v>
      </c>
      <c r="AZ2204">
        <v>0</v>
      </c>
      <c r="BA2204">
        <v>0</v>
      </c>
      <c r="BB2204">
        <v>0</v>
      </c>
      <c r="BC2204">
        <v>0</v>
      </c>
      <c r="BD2204">
        <v>0</v>
      </c>
      <c r="BE2204">
        <v>0</v>
      </c>
      <c r="BF2204">
        <v>0</v>
      </c>
      <c r="BG2204">
        <v>0</v>
      </c>
      <c r="BH2204">
        <v>1</v>
      </c>
      <c r="BI2204">
        <v>1</v>
      </c>
      <c r="BJ2204">
        <v>0.2</v>
      </c>
      <c r="BK2204">
        <v>1</v>
      </c>
      <c r="BL2204">
        <v>69.98</v>
      </c>
      <c r="BM2204">
        <v>10.5</v>
      </c>
      <c r="BN2204">
        <v>80.48</v>
      </c>
      <c r="BO2204">
        <v>80.48</v>
      </c>
      <c r="BQ2204" t="s">
        <v>213</v>
      </c>
      <c r="BR2204" t="s">
        <v>84</v>
      </c>
      <c r="BS2204" s="3">
        <v>45797</v>
      </c>
      <c r="BT2204" s="4">
        <v>0.34513888888888888</v>
      </c>
      <c r="BU2204" t="s">
        <v>1568</v>
      </c>
      <c r="BV2204" t="s">
        <v>86</v>
      </c>
      <c r="BY2204">
        <v>1200</v>
      </c>
      <c r="CA2204" t="s">
        <v>182</v>
      </c>
      <c r="CC2204" t="s">
        <v>178</v>
      </c>
      <c r="CD2204">
        <v>6021</v>
      </c>
      <c r="CE2204" t="s">
        <v>88</v>
      </c>
      <c r="CF2204" s="3">
        <v>45797</v>
      </c>
      <c r="CI2204">
        <v>1</v>
      </c>
      <c r="CJ2204">
        <v>1</v>
      </c>
      <c r="CK2204">
        <v>21</v>
      </c>
      <c r="CL2204" t="s">
        <v>89</v>
      </c>
    </row>
    <row r="2205" spans="1:90" x14ac:dyDescent="0.3">
      <c r="A2205" t="s">
        <v>72</v>
      </c>
      <c r="B2205" t="s">
        <v>73</v>
      </c>
      <c r="C2205" t="s">
        <v>74</v>
      </c>
      <c r="E2205" t="str">
        <f>"080065447376"</f>
        <v>080065447376</v>
      </c>
      <c r="F2205" s="3">
        <v>45796</v>
      </c>
      <c r="G2205">
        <v>202602</v>
      </c>
      <c r="H2205" t="s">
        <v>75</v>
      </c>
      <c r="I2205" t="s">
        <v>76</v>
      </c>
      <c r="J2205" t="s">
        <v>77</v>
      </c>
      <c r="K2205" t="s">
        <v>78</v>
      </c>
      <c r="L2205" t="s">
        <v>177</v>
      </c>
      <c r="M2205" t="s">
        <v>178</v>
      </c>
      <c r="N2205" t="s">
        <v>1439</v>
      </c>
      <c r="O2205" t="s">
        <v>82</v>
      </c>
      <c r="P2205" t="str">
        <f>"4170039370                    "</f>
        <v xml:space="preserve">4170039370                    </v>
      </c>
      <c r="Q2205">
        <v>0</v>
      </c>
      <c r="R2205">
        <v>0</v>
      </c>
      <c r="S2205">
        <v>0</v>
      </c>
      <c r="T2205">
        <v>0</v>
      </c>
      <c r="U2205">
        <v>0</v>
      </c>
      <c r="V2205">
        <v>0</v>
      </c>
      <c r="W2205">
        <v>0</v>
      </c>
      <c r="X2205">
        <v>0</v>
      </c>
      <c r="Y2205">
        <v>0</v>
      </c>
      <c r="Z2205">
        <v>0</v>
      </c>
      <c r="AA2205">
        <v>0</v>
      </c>
      <c r="AB2205">
        <v>0</v>
      </c>
      <c r="AC2205">
        <v>0</v>
      </c>
      <c r="AD2205">
        <v>0</v>
      </c>
      <c r="AE2205">
        <v>0</v>
      </c>
      <c r="AF2205">
        <v>0</v>
      </c>
      <c r="AG2205">
        <v>0</v>
      </c>
      <c r="AH2205">
        <v>0</v>
      </c>
      <c r="AI2205">
        <v>0</v>
      </c>
      <c r="AJ2205">
        <v>0</v>
      </c>
      <c r="AK2205">
        <v>0</v>
      </c>
      <c r="AL2205">
        <v>0</v>
      </c>
      <c r="AM2205">
        <v>0</v>
      </c>
      <c r="AN2205">
        <v>0</v>
      </c>
      <c r="AO2205">
        <v>0</v>
      </c>
      <c r="AP2205">
        <v>0</v>
      </c>
      <c r="AQ2205">
        <v>96.17</v>
      </c>
      <c r="AR2205">
        <v>0</v>
      </c>
      <c r="AS2205">
        <v>0</v>
      </c>
      <c r="AT2205">
        <v>0</v>
      </c>
      <c r="AU2205">
        <v>0</v>
      </c>
      <c r="AV2205">
        <v>0</v>
      </c>
      <c r="AW2205">
        <v>0</v>
      </c>
      <c r="AX2205">
        <v>0</v>
      </c>
      <c r="AY2205">
        <v>0</v>
      </c>
      <c r="AZ2205">
        <v>0</v>
      </c>
      <c r="BA2205">
        <v>0</v>
      </c>
      <c r="BB2205">
        <v>0</v>
      </c>
      <c r="BC2205">
        <v>0</v>
      </c>
      <c r="BD2205">
        <v>0</v>
      </c>
      <c r="BE2205">
        <v>0</v>
      </c>
      <c r="BF2205">
        <v>0</v>
      </c>
      <c r="BG2205">
        <v>0</v>
      </c>
      <c r="BH2205">
        <v>1</v>
      </c>
      <c r="BI2205">
        <v>5</v>
      </c>
      <c r="BJ2205">
        <v>8.9</v>
      </c>
      <c r="BK2205">
        <v>9</v>
      </c>
      <c r="BL2205">
        <v>314.73</v>
      </c>
      <c r="BM2205">
        <v>47.21</v>
      </c>
      <c r="BN2205">
        <v>361.94</v>
      </c>
      <c r="BO2205">
        <v>361.94</v>
      </c>
      <c r="BQ2205" t="s">
        <v>1440</v>
      </c>
      <c r="BR2205" t="s">
        <v>84</v>
      </c>
      <c r="BS2205" s="3">
        <v>45797</v>
      </c>
      <c r="BT2205" s="4">
        <v>0.34027777777777779</v>
      </c>
      <c r="BU2205" t="s">
        <v>2588</v>
      </c>
      <c r="BV2205" t="s">
        <v>86</v>
      </c>
      <c r="BY2205">
        <v>44640</v>
      </c>
      <c r="CA2205" s="5" t="s">
        <v>2589</v>
      </c>
      <c r="CC2205" t="s">
        <v>178</v>
      </c>
      <c r="CD2205">
        <v>6229</v>
      </c>
      <c r="CE2205" t="s">
        <v>96</v>
      </c>
      <c r="CF2205" s="3">
        <v>45797</v>
      </c>
      <c r="CI2205">
        <v>1</v>
      </c>
      <c r="CJ2205">
        <v>1</v>
      </c>
      <c r="CK2205">
        <v>21</v>
      </c>
      <c r="CL2205" t="s">
        <v>89</v>
      </c>
    </row>
    <row r="2206" spans="1:90" x14ac:dyDescent="0.3">
      <c r="A2206" t="s">
        <v>72</v>
      </c>
      <c r="B2206" t="s">
        <v>73</v>
      </c>
      <c r="C2206" t="s">
        <v>74</v>
      </c>
      <c r="E2206" t="str">
        <f>"080065447390"</f>
        <v>080065447390</v>
      </c>
      <c r="F2206" s="3">
        <v>45796</v>
      </c>
      <c r="G2206">
        <v>202602</v>
      </c>
      <c r="H2206" t="s">
        <v>75</v>
      </c>
      <c r="I2206" t="s">
        <v>76</v>
      </c>
      <c r="J2206" t="s">
        <v>77</v>
      </c>
      <c r="K2206" t="s">
        <v>78</v>
      </c>
      <c r="L2206" t="s">
        <v>103</v>
      </c>
      <c r="M2206" t="s">
        <v>104</v>
      </c>
      <c r="N2206" t="s">
        <v>2590</v>
      </c>
      <c r="O2206" t="s">
        <v>82</v>
      </c>
      <c r="P2206" t="str">
        <f>"4170039398                    "</f>
        <v xml:space="preserve">4170039398                    </v>
      </c>
      <c r="Q2206">
        <v>0</v>
      </c>
      <c r="R2206">
        <v>0</v>
      </c>
      <c r="S2206">
        <v>0</v>
      </c>
      <c r="T2206">
        <v>0</v>
      </c>
      <c r="U2206">
        <v>0</v>
      </c>
      <c r="V2206">
        <v>0</v>
      </c>
      <c r="W2206">
        <v>0</v>
      </c>
      <c r="X2206">
        <v>0</v>
      </c>
      <c r="Y2206">
        <v>0</v>
      </c>
      <c r="Z2206">
        <v>0</v>
      </c>
      <c r="AA2206">
        <v>0</v>
      </c>
      <c r="AB2206">
        <v>0</v>
      </c>
      <c r="AC2206">
        <v>0</v>
      </c>
      <c r="AD2206">
        <v>0</v>
      </c>
      <c r="AE2206">
        <v>0</v>
      </c>
      <c r="AF2206">
        <v>0</v>
      </c>
      <c r="AG2206">
        <v>0</v>
      </c>
      <c r="AH2206">
        <v>0</v>
      </c>
      <c r="AI2206">
        <v>0</v>
      </c>
      <c r="AJ2206">
        <v>0</v>
      </c>
      <c r="AK2206">
        <v>0</v>
      </c>
      <c r="AL2206">
        <v>0</v>
      </c>
      <c r="AM2206">
        <v>0</v>
      </c>
      <c r="AN2206">
        <v>0</v>
      </c>
      <c r="AO2206">
        <v>0</v>
      </c>
      <c r="AP2206">
        <v>0</v>
      </c>
      <c r="AQ2206">
        <v>21.38</v>
      </c>
      <c r="AR2206">
        <v>0</v>
      </c>
      <c r="AS2206">
        <v>0</v>
      </c>
      <c r="AT2206">
        <v>0</v>
      </c>
      <c r="AU2206">
        <v>0</v>
      </c>
      <c r="AV2206">
        <v>0</v>
      </c>
      <c r="AW2206">
        <v>0</v>
      </c>
      <c r="AX2206">
        <v>0</v>
      </c>
      <c r="AY2206">
        <v>0</v>
      </c>
      <c r="AZ2206">
        <v>0</v>
      </c>
      <c r="BA2206">
        <v>0</v>
      </c>
      <c r="BB2206">
        <v>0</v>
      </c>
      <c r="BC2206">
        <v>0</v>
      </c>
      <c r="BD2206">
        <v>0</v>
      </c>
      <c r="BE2206">
        <v>0</v>
      </c>
      <c r="BF2206">
        <v>0</v>
      </c>
      <c r="BG2206">
        <v>0</v>
      </c>
      <c r="BH2206">
        <v>1</v>
      </c>
      <c r="BI2206">
        <v>1</v>
      </c>
      <c r="BJ2206">
        <v>0.2</v>
      </c>
      <c r="BK2206">
        <v>1</v>
      </c>
      <c r="BL2206">
        <v>69.98</v>
      </c>
      <c r="BM2206">
        <v>10.5</v>
      </c>
      <c r="BN2206">
        <v>80.48</v>
      </c>
      <c r="BO2206">
        <v>80.48</v>
      </c>
      <c r="BQ2206" t="s">
        <v>2591</v>
      </c>
      <c r="BR2206" t="s">
        <v>84</v>
      </c>
      <c r="BS2206" s="3">
        <v>45797</v>
      </c>
      <c r="BT2206" s="4">
        <v>0.41666666666666669</v>
      </c>
      <c r="BU2206" t="s">
        <v>2592</v>
      </c>
      <c r="BV2206" t="s">
        <v>86</v>
      </c>
      <c r="BY2206">
        <v>1200</v>
      </c>
      <c r="CA2206" t="s">
        <v>1375</v>
      </c>
      <c r="CC2206" t="s">
        <v>104</v>
      </c>
      <c r="CD2206">
        <v>3201</v>
      </c>
      <c r="CE2206" t="s">
        <v>88</v>
      </c>
      <c r="CF2206" s="3">
        <v>45798</v>
      </c>
      <c r="CI2206">
        <v>5</v>
      </c>
      <c r="CJ2206">
        <v>1</v>
      </c>
      <c r="CK2206">
        <v>21</v>
      </c>
      <c r="CL2206" t="s">
        <v>89</v>
      </c>
    </row>
    <row r="2207" spans="1:90" x14ac:dyDescent="0.3">
      <c r="A2207" t="s">
        <v>72</v>
      </c>
      <c r="B2207" t="s">
        <v>73</v>
      </c>
      <c r="C2207" t="s">
        <v>74</v>
      </c>
      <c r="E2207" t="str">
        <f>"080065447399"</f>
        <v>080065447399</v>
      </c>
      <c r="F2207" s="3">
        <v>45796</v>
      </c>
      <c r="G2207">
        <v>202602</v>
      </c>
      <c r="H2207" t="s">
        <v>75</v>
      </c>
      <c r="I2207" t="s">
        <v>76</v>
      </c>
      <c r="J2207" t="s">
        <v>77</v>
      </c>
      <c r="K2207" t="s">
        <v>78</v>
      </c>
      <c r="L2207" t="s">
        <v>79</v>
      </c>
      <c r="M2207" t="s">
        <v>80</v>
      </c>
      <c r="N2207" t="s">
        <v>357</v>
      </c>
      <c r="O2207" t="s">
        <v>82</v>
      </c>
      <c r="P2207" t="str">
        <f>"4170039306                    "</f>
        <v xml:space="preserve">4170039306                    </v>
      </c>
      <c r="Q2207">
        <v>0</v>
      </c>
      <c r="R2207">
        <v>0</v>
      </c>
      <c r="S2207">
        <v>0</v>
      </c>
      <c r="T2207">
        <v>0</v>
      </c>
      <c r="U2207">
        <v>0</v>
      </c>
      <c r="V2207">
        <v>0</v>
      </c>
      <c r="W2207">
        <v>0</v>
      </c>
      <c r="X2207">
        <v>0</v>
      </c>
      <c r="Y2207">
        <v>0</v>
      </c>
      <c r="Z2207">
        <v>0</v>
      </c>
      <c r="AA2207">
        <v>0</v>
      </c>
      <c r="AB2207">
        <v>0</v>
      </c>
      <c r="AC2207">
        <v>0</v>
      </c>
      <c r="AD2207">
        <v>0</v>
      </c>
      <c r="AE2207">
        <v>0</v>
      </c>
      <c r="AF2207">
        <v>0</v>
      </c>
      <c r="AG2207">
        <v>0</v>
      </c>
      <c r="AH2207">
        <v>0</v>
      </c>
      <c r="AI2207">
        <v>0</v>
      </c>
      <c r="AJ2207">
        <v>0</v>
      </c>
      <c r="AK2207">
        <v>0</v>
      </c>
      <c r="AL2207">
        <v>0</v>
      </c>
      <c r="AM2207">
        <v>0</v>
      </c>
      <c r="AN2207">
        <v>0</v>
      </c>
      <c r="AO2207">
        <v>0</v>
      </c>
      <c r="AP2207">
        <v>0</v>
      </c>
      <c r="AQ2207">
        <v>85.48</v>
      </c>
      <c r="AR2207">
        <v>0</v>
      </c>
      <c r="AS2207">
        <v>0</v>
      </c>
      <c r="AT2207">
        <v>0</v>
      </c>
      <c r="AU2207">
        <v>0</v>
      </c>
      <c r="AV2207">
        <v>0</v>
      </c>
      <c r="AW2207">
        <v>0</v>
      </c>
      <c r="AX2207">
        <v>0</v>
      </c>
      <c r="AY2207">
        <v>0</v>
      </c>
      <c r="AZ2207">
        <v>0</v>
      </c>
      <c r="BA2207">
        <v>0</v>
      </c>
      <c r="BB2207">
        <v>0</v>
      </c>
      <c r="BC2207">
        <v>0</v>
      </c>
      <c r="BD2207">
        <v>0</v>
      </c>
      <c r="BE2207">
        <v>0</v>
      </c>
      <c r="BF2207">
        <v>0</v>
      </c>
      <c r="BG2207">
        <v>0</v>
      </c>
      <c r="BH2207">
        <v>1</v>
      </c>
      <c r="BI2207">
        <v>8</v>
      </c>
      <c r="BJ2207">
        <v>3.4</v>
      </c>
      <c r="BK2207">
        <v>8</v>
      </c>
      <c r="BL2207">
        <v>279.76</v>
      </c>
      <c r="BM2207">
        <v>41.96</v>
      </c>
      <c r="BN2207">
        <v>321.72000000000003</v>
      </c>
      <c r="BO2207">
        <v>321.72000000000003</v>
      </c>
      <c r="BQ2207" t="s">
        <v>358</v>
      </c>
      <c r="BR2207" t="s">
        <v>84</v>
      </c>
      <c r="BS2207" s="3">
        <v>45797</v>
      </c>
      <c r="BT2207" s="4">
        <v>0.45694444444444443</v>
      </c>
      <c r="BU2207" t="s">
        <v>1821</v>
      </c>
      <c r="BV2207" t="s">
        <v>89</v>
      </c>
      <c r="BY2207">
        <v>16965</v>
      </c>
      <c r="CA2207" t="s">
        <v>87</v>
      </c>
      <c r="CC2207" t="s">
        <v>80</v>
      </c>
      <c r="CD2207">
        <v>3608</v>
      </c>
      <c r="CE2207" t="s">
        <v>96</v>
      </c>
      <c r="CF2207" s="3">
        <v>45798</v>
      </c>
      <c r="CI2207">
        <v>1</v>
      </c>
      <c r="CJ2207">
        <v>1</v>
      </c>
      <c r="CK2207">
        <v>21</v>
      </c>
      <c r="CL2207" t="s">
        <v>89</v>
      </c>
    </row>
    <row r="2208" spans="1:90" x14ac:dyDescent="0.3">
      <c r="A2208" t="s">
        <v>72</v>
      </c>
      <c r="B2208" t="s">
        <v>73</v>
      </c>
      <c r="C2208" t="s">
        <v>74</v>
      </c>
      <c r="E2208" t="str">
        <f>"080065447404"</f>
        <v>080065447404</v>
      </c>
      <c r="F2208" s="3">
        <v>45796</v>
      </c>
      <c r="G2208">
        <v>202602</v>
      </c>
      <c r="H2208" t="s">
        <v>75</v>
      </c>
      <c r="I2208" t="s">
        <v>76</v>
      </c>
      <c r="J2208" t="s">
        <v>77</v>
      </c>
      <c r="K2208" t="s">
        <v>78</v>
      </c>
      <c r="L2208" t="s">
        <v>97</v>
      </c>
      <c r="M2208" t="s">
        <v>98</v>
      </c>
      <c r="N2208" t="s">
        <v>1061</v>
      </c>
      <c r="O2208" t="s">
        <v>82</v>
      </c>
      <c r="P2208" t="str">
        <f>"4170039349                    "</f>
        <v xml:space="preserve">4170039349                    </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0</v>
      </c>
      <c r="AL2208">
        <v>0</v>
      </c>
      <c r="AM2208">
        <v>0</v>
      </c>
      <c r="AN2208">
        <v>0</v>
      </c>
      <c r="AO2208">
        <v>0</v>
      </c>
      <c r="AP2208">
        <v>0</v>
      </c>
      <c r="AQ2208">
        <v>16.7</v>
      </c>
      <c r="AR2208">
        <v>0</v>
      </c>
      <c r="AS2208">
        <v>0</v>
      </c>
      <c r="AT2208">
        <v>0</v>
      </c>
      <c r="AU2208">
        <v>0</v>
      </c>
      <c r="AV2208">
        <v>0</v>
      </c>
      <c r="AW2208">
        <v>0</v>
      </c>
      <c r="AX2208">
        <v>0</v>
      </c>
      <c r="AY2208">
        <v>0</v>
      </c>
      <c r="AZ2208">
        <v>0</v>
      </c>
      <c r="BA2208">
        <v>0</v>
      </c>
      <c r="BB2208">
        <v>0</v>
      </c>
      <c r="BC2208">
        <v>0</v>
      </c>
      <c r="BD2208">
        <v>0</v>
      </c>
      <c r="BE2208">
        <v>0</v>
      </c>
      <c r="BF2208">
        <v>0</v>
      </c>
      <c r="BG2208">
        <v>0</v>
      </c>
      <c r="BH2208">
        <v>1</v>
      </c>
      <c r="BI2208">
        <v>1</v>
      </c>
      <c r="BJ2208">
        <v>0.2</v>
      </c>
      <c r="BK2208">
        <v>1</v>
      </c>
      <c r="BL2208">
        <v>54.66</v>
      </c>
      <c r="BM2208">
        <v>8.1999999999999993</v>
      </c>
      <c r="BN2208">
        <v>62.86</v>
      </c>
      <c r="BO2208">
        <v>62.86</v>
      </c>
      <c r="BQ2208" t="s">
        <v>1062</v>
      </c>
      <c r="BR2208" t="s">
        <v>84</v>
      </c>
      <c r="BS2208" s="3">
        <v>45798</v>
      </c>
      <c r="BT2208" s="4">
        <v>0.43680555555555556</v>
      </c>
      <c r="BU2208" t="s">
        <v>1351</v>
      </c>
      <c r="BV2208" t="s">
        <v>89</v>
      </c>
      <c r="BY2208">
        <v>1200</v>
      </c>
      <c r="CA2208" t="s">
        <v>1320</v>
      </c>
      <c r="CC2208" t="s">
        <v>98</v>
      </c>
      <c r="CD2208">
        <v>1459</v>
      </c>
      <c r="CE2208" t="s">
        <v>88</v>
      </c>
      <c r="CF2208" s="3">
        <v>45798</v>
      </c>
      <c r="CI2208">
        <v>1</v>
      </c>
      <c r="CJ2208">
        <v>2</v>
      </c>
      <c r="CK2208">
        <v>22</v>
      </c>
      <c r="CL2208" t="s">
        <v>89</v>
      </c>
    </row>
    <row r="2209" spans="1:90" x14ac:dyDescent="0.3">
      <c r="A2209" t="s">
        <v>72</v>
      </c>
      <c r="B2209" t="s">
        <v>73</v>
      </c>
      <c r="C2209" t="s">
        <v>74</v>
      </c>
      <c r="E2209" t="str">
        <f>"080065447421"</f>
        <v>080065447421</v>
      </c>
      <c r="F2209" s="3">
        <v>45796</v>
      </c>
      <c r="G2209">
        <v>202602</v>
      </c>
      <c r="H2209" t="s">
        <v>75</v>
      </c>
      <c r="I2209" t="s">
        <v>76</v>
      </c>
      <c r="J2209" t="s">
        <v>77</v>
      </c>
      <c r="K2209" t="s">
        <v>78</v>
      </c>
      <c r="L2209" t="s">
        <v>103</v>
      </c>
      <c r="M2209" t="s">
        <v>104</v>
      </c>
      <c r="N2209" t="s">
        <v>105</v>
      </c>
      <c r="O2209" t="s">
        <v>82</v>
      </c>
      <c r="P2209" t="str">
        <f>"4170039320                    "</f>
        <v xml:space="preserve">4170039320                    </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0</v>
      </c>
      <c r="AL2209">
        <v>0</v>
      </c>
      <c r="AM2209">
        <v>0</v>
      </c>
      <c r="AN2209">
        <v>0</v>
      </c>
      <c r="AO2209">
        <v>0</v>
      </c>
      <c r="AP2209">
        <v>0</v>
      </c>
      <c r="AQ2209">
        <v>42.75</v>
      </c>
      <c r="AR2209">
        <v>0</v>
      </c>
      <c r="AS2209">
        <v>0</v>
      </c>
      <c r="AT2209">
        <v>0</v>
      </c>
      <c r="AU2209">
        <v>0</v>
      </c>
      <c r="AV2209">
        <v>0</v>
      </c>
      <c r="AW2209">
        <v>0</v>
      </c>
      <c r="AX2209">
        <v>0</v>
      </c>
      <c r="AY2209">
        <v>0</v>
      </c>
      <c r="AZ2209">
        <v>0</v>
      </c>
      <c r="BA2209">
        <v>0</v>
      </c>
      <c r="BB2209">
        <v>0</v>
      </c>
      <c r="BC2209">
        <v>0</v>
      </c>
      <c r="BD2209">
        <v>0</v>
      </c>
      <c r="BE2209">
        <v>0</v>
      </c>
      <c r="BF2209">
        <v>0</v>
      </c>
      <c r="BG2209">
        <v>0</v>
      </c>
      <c r="BH2209">
        <v>1</v>
      </c>
      <c r="BI2209">
        <v>4</v>
      </c>
      <c r="BJ2209">
        <v>1.1000000000000001</v>
      </c>
      <c r="BK2209">
        <v>4</v>
      </c>
      <c r="BL2209">
        <v>139.91</v>
      </c>
      <c r="BM2209">
        <v>20.99</v>
      </c>
      <c r="BN2209">
        <v>160.9</v>
      </c>
      <c r="BO2209">
        <v>160.9</v>
      </c>
      <c r="BQ2209" t="s">
        <v>106</v>
      </c>
      <c r="BR2209" t="s">
        <v>84</v>
      </c>
      <c r="BS2209" s="3">
        <v>45797</v>
      </c>
      <c r="BT2209" s="4">
        <v>0.41666666666666669</v>
      </c>
      <c r="BU2209" t="s">
        <v>430</v>
      </c>
      <c r="BV2209" t="s">
        <v>86</v>
      </c>
      <c r="BY2209">
        <v>5320</v>
      </c>
      <c r="CA2209" t="s">
        <v>108</v>
      </c>
      <c r="CC2209" t="s">
        <v>104</v>
      </c>
      <c r="CD2209">
        <v>3201</v>
      </c>
      <c r="CE2209" t="s">
        <v>96</v>
      </c>
      <c r="CF2209" s="3">
        <v>45798</v>
      </c>
      <c r="CI2209">
        <v>1</v>
      </c>
      <c r="CJ2209">
        <v>1</v>
      </c>
      <c r="CK2209">
        <v>21</v>
      </c>
      <c r="CL2209" t="s">
        <v>89</v>
      </c>
    </row>
    <row r="2210" spans="1:90" x14ac:dyDescent="0.3">
      <c r="A2210" t="s">
        <v>72</v>
      </c>
      <c r="B2210" t="s">
        <v>73</v>
      </c>
      <c r="C2210" t="s">
        <v>74</v>
      </c>
      <c r="E2210" t="str">
        <f>"080065447426"</f>
        <v>080065447426</v>
      </c>
      <c r="F2210" s="3">
        <v>45796</v>
      </c>
      <c r="G2210">
        <v>202602</v>
      </c>
      <c r="H2210" t="s">
        <v>75</v>
      </c>
      <c r="I2210" t="s">
        <v>76</v>
      </c>
      <c r="J2210" t="s">
        <v>77</v>
      </c>
      <c r="K2210" t="s">
        <v>78</v>
      </c>
      <c r="L2210" t="s">
        <v>79</v>
      </c>
      <c r="M2210" t="s">
        <v>80</v>
      </c>
      <c r="N2210" t="s">
        <v>880</v>
      </c>
      <c r="O2210" t="s">
        <v>82</v>
      </c>
      <c r="P2210" t="str">
        <f>"4170039365                    "</f>
        <v xml:space="preserve">4170039365                    </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0</v>
      </c>
      <c r="AL2210">
        <v>0</v>
      </c>
      <c r="AM2210">
        <v>0</v>
      </c>
      <c r="AN2210">
        <v>0</v>
      </c>
      <c r="AO2210">
        <v>0</v>
      </c>
      <c r="AP2210">
        <v>0</v>
      </c>
      <c r="AQ2210">
        <v>21.38</v>
      </c>
      <c r="AR2210">
        <v>0</v>
      </c>
      <c r="AS2210">
        <v>0</v>
      </c>
      <c r="AT2210">
        <v>0</v>
      </c>
      <c r="AU2210">
        <v>0</v>
      </c>
      <c r="AV2210">
        <v>0</v>
      </c>
      <c r="AW2210">
        <v>0</v>
      </c>
      <c r="AX2210">
        <v>0</v>
      </c>
      <c r="AY2210">
        <v>0</v>
      </c>
      <c r="AZ2210">
        <v>0</v>
      </c>
      <c r="BA2210">
        <v>0</v>
      </c>
      <c r="BB2210">
        <v>0</v>
      </c>
      <c r="BC2210">
        <v>0</v>
      </c>
      <c r="BD2210">
        <v>0</v>
      </c>
      <c r="BE2210">
        <v>0</v>
      </c>
      <c r="BF2210">
        <v>0</v>
      </c>
      <c r="BG2210">
        <v>0</v>
      </c>
      <c r="BH2210">
        <v>1</v>
      </c>
      <c r="BI2210">
        <v>1</v>
      </c>
      <c r="BJ2210">
        <v>0.2</v>
      </c>
      <c r="BK2210">
        <v>1</v>
      </c>
      <c r="BL2210">
        <v>69.98</v>
      </c>
      <c r="BM2210">
        <v>10.5</v>
      </c>
      <c r="BN2210">
        <v>80.48</v>
      </c>
      <c r="BO2210">
        <v>80.48</v>
      </c>
      <c r="BQ2210" t="s">
        <v>881</v>
      </c>
      <c r="BR2210" t="s">
        <v>84</v>
      </c>
      <c r="BS2210" s="3">
        <v>45797</v>
      </c>
      <c r="BT2210" s="4">
        <v>0.41805555555555557</v>
      </c>
      <c r="BU2210" t="s">
        <v>882</v>
      </c>
      <c r="BV2210" t="s">
        <v>86</v>
      </c>
      <c r="BY2210">
        <v>1200</v>
      </c>
      <c r="CA2210" t="s">
        <v>160</v>
      </c>
      <c r="CC2210" t="s">
        <v>80</v>
      </c>
      <c r="CD2210">
        <v>3620</v>
      </c>
      <c r="CE2210" t="s">
        <v>88</v>
      </c>
      <c r="CF2210" s="3">
        <v>45798</v>
      </c>
      <c r="CI2210">
        <v>1</v>
      </c>
      <c r="CJ2210">
        <v>1</v>
      </c>
      <c r="CK2210">
        <v>21</v>
      </c>
      <c r="CL2210" t="s">
        <v>89</v>
      </c>
    </row>
    <row r="2211" spans="1:90" x14ac:dyDescent="0.3">
      <c r="A2211" t="s">
        <v>72</v>
      </c>
      <c r="B2211" t="s">
        <v>73</v>
      </c>
      <c r="C2211" t="s">
        <v>74</v>
      </c>
      <c r="E2211" t="str">
        <f>"080065447443"</f>
        <v>080065447443</v>
      </c>
      <c r="F2211" s="3">
        <v>45796</v>
      </c>
      <c r="G2211">
        <v>202602</v>
      </c>
      <c r="H2211" t="s">
        <v>75</v>
      </c>
      <c r="I2211" t="s">
        <v>76</v>
      </c>
      <c r="J2211" t="s">
        <v>77</v>
      </c>
      <c r="K2211" t="s">
        <v>78</v>
      </c>
      <c r="L2211" t="s">
        <v>186</v>
      </c>
      <c r="M2211" t="s">
        <v>187</v>
      </c>
      <c r="N2211" t="s">
        <v>188</v>
      </c>
      <c r="O2211" t="s">
        <v>82</v>
      </c>
      <c r="P2211" t="str">
        <f>"4170039324                    "</f>
        <v xml:space="preserve">4170039324                    </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0</v>
      </c>
      <c r="AL2211">
        <v>0</v>
      </c>
      <c r="AM2211">
        <v>0</v>
      </c>
      <c r="AN2211">
        <v>0</v>
      </c>
      <c r="AO2211">
        <v>0</v>
      </c>
      <c r="AP2211">
        <v>0</v>
      </c>
      <c r="AQ2211">
        <v>21.38</v>
      </c>
      <c r="AR2211">
        <v>0</v>
      </c>
      <c r="AS2211">
        <v>0</v>
      </c>
      <c r="AT2211">
        <v>0</v>
      </c>
      <c r="AU2211">
        <v>0</v>
      </c>
      <c r="AV2211">
        <v>0</v>
      </c>
      <c r="AW2211">
        <v>0</v>
      </c>
      <c r="AX2211">
        <v>0</v>
      </c>
      <c r="AY2211">
        <v>0</v>
      </c>
      <c r="AZ2211">
        <v>0</v>
      </c>
      <c r="BA2211">
        <v>0</v>
      </c>
      <c r="BB2211">
        <v>0</v>
      </c>
      <c r="BC2211">
        <v>0</v>
      </c>
      <c r="BD2211">
        <v>0</v>
      </c>
      <c r="BE2211">
        <v>0</v>
      </c>
      <c r="BF2211">
        <v>0</v>
      </c>
      <c r="BG2211">
        <v>0</v>
      </c>
      <c r="BH2211">
        <v>1</v>
      </c>
      <c r="BI2211">
        <v>1</v>
      </c>
      <c r="BJ2211">
        <v>0.2</v>
      </c>
      <c r="BK2211">
        <v>1</v>
      </c>
      <c r="BL2211">
        <v>69.98</v>
      </c>
      <c r="BM2211">
        <v>10.5</v>
      </c>
      <c r="BN2211">
        <v>80.48</v>
      </c>
      <c r="BO2211">
        <v>80.48</v>
      </c>
      <c r="BQ2211" t="s">
        <v>189</v>
      </c>
      <c r="BR2211" t="s">
        <v>84</v>
      </c>
      <c r="BS2211" s="3">
        <v>45797</v>
      </c>
      <c r="BT2211" s="4">
        <v>0.42222222222222222</v>
      </c>
      <c r="BU2211" t="s">
        <v>190</v>
      </c>
      <c r="BV2211" t="s">
        <v>86</v>
      </c>
      <c r="BY2211">
        <v>1200</v>
      </c>
      <c r="CA2211" t="s">
        <v>191</v>
      </c>
      <c r="CC2211" t="s">
        <v>187</v>
      </c>
      <c r="CD2211">
        <v>4126</v>
      </c>
      <c r="CE2211" t="s">
        <v>88</v>
      </c>
      <c r="CF2211" s="3">
        <v>45797</v>
      </c>
      <c r="CI2211">
        <v>1</v>
      </c>
      <c r="CJ2211">
        <v>1</v>
      </c>
      <c r="CK2211">
        <v>21</v>
      </c>
      <c r="CL2211" t="s">
        <v>89</v>
      </c>
    </row>
    <row r="2212" spans="1:90" x14ac:dyDescent="0.3">
      <c r="A2212" t="s">
        <v>72</v>
      </c>
      <c r="B2212" t="s">
        <v>73</v>
      </c>
      <c r="C2212" t="s">
        <v>74</v>
      </c>
      <c r="E2212" t="str">
        <f>"080065447468"</f>
        <v>080065447468</v>
      </c>
      <c r="F2212" s="3">
        <v>45796</v>
      </c>
      <c r="G2212">
        <v>202602</v>
      </c>
      <c r="H2212" t="s">
        <v>75</v>
      </c>
      <c r="I2212" t="s">
        <v>76</v>
      </c>
      <c r="J2212" t="s">
        <v>77</v>
      </c>
      <c r="K2212" t="s">
        <v>78</v>
      </c>
      <c r="L2212" t="s">
        <v>75</v>
      </c>
      <c r="M2212" t="s">
        <v>76</v>
      </c>
      <c r="N2212" t="s">
        <v>390</v>
      </c>
      <c r="O2212" t="s">
        <v>82</v>
      </c>
      <c r="P2212" t="str">
        <f>"4170039466                    "</f>
        <v xml:space="preserve">4170039466                    </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0</v>
      </c>
      <c r="AK2212">
        <v>0</v>
      </c>
      <c r="AL2212">
        <v>0</v>
      </c>
      <c r="AM2212">
        <v>0</v>
      </c>
      <c r="AN2212">
        <v>0</v>
      </c>
      <c r="AO2212">
        <v>0</v>
      </c>
      <c r="AP2212">
        <v>0</v>
      </c>
      <c r="AQ2212">
        <v>16.7</v>
      </c>
      <c r="AR2212">
        <v>0</v>
      </c>
      <c r="AS2212">
        <v>0</v>
      </c>
      <c r="AT2212">
        <v>0</v>
      </c>
      <c r="AU2212">
        <v>0</v>
      </c>
      <c r="AV2212">
        <v>0</v>
      </c>
      <c r="AW2212">
        <v>0</v>
      </c>
      <c r="AX2212">
        <v>0</v>
      </c>
      <c r="AY2212">
        <v>0</v>
      </c>
      <c r="AZ2212">
        <v>0</v>
      </c>
      <c r="BA2212">
        <v>0</v>
      </c>
      <c r="BB2212">
        <v>0</v>
      </c>
      <c r="BC2212">
        <v>0</v>
      </c>
      <c r="BD2212">
        <v>0</v>
      </c>
      <c r="BE2212">
        <v>0</v>
      </c>
      <c r="BF2212">
        <v>0</v>
      </c>
      <c r="BG2212">
        <v>0</v>
      </c>
      <c r="BH2212">
        <v>1</v>
      </c>
      <c r="BI2212">
        <v>1</v>
      </c>
      <c r="BJ2212">
        <v>0.2</v>
      </c>
      <c r="BK2212">
        <v>1</v>
      </c>
      <c r="BL2212">
        <v>54.66</v>
      </c>
      <c r="BM2212">
        <v>8.1999999999999993</v>
      </c>
      <c r="BN2212">
        <v>62.86</v>
      </c>
      <c r="BO2212">
        <v>62.86</v>
      </c>
      <c r="BQ2212" t="s">
        <v>391</v>
      </c>
      <c r="BR2212" t="s">
        <v>84</v>
      </c>
      <c r="BS2212" s="3">
        <v>45797</v>
      </c>
      <c r="BT2212" s="4">
        <v>0.34791666666666665</v>
      </c>
      <c r="BU2212" t="s">
        <v>392</v>
      </c>
      <c r="BV2212" t="s">
        <v>86</v>
      </c>
      <c r="BY2212">
        <v>1200</v>
      </c>
      <c r="CA2212" t="s">
        <v>115</v>
      </c>
      <c r="CC2212" t="s">
        <v>76</v>
      </c>
      <c r="CD2212">
        <v>1600</v>
      </c>
      <c r="CE2212" t="s">
        <v>88</v>
      </c>
      <c r="CF2212" s="3">
        <v>45797</v>
      </c>
      <c r="CI2212">
        <v>1</v>
      </c>
      <c r="CJ2212">
        <v>1</v>
      </c>
      <c r="CK2212">
        <v>22</v>
      </c>
      <c r="CL2212" t="s">
        <v>89</v>
      </c>
    </row>
    <row r="2213" spans="1:90" x14ac:dyDescent="0.3">
      <c r="A2213" t="s">
        <v>72</v>
      </c>
      <c r="B2213" t="s">
        <v>73</v>
      </c>
      <c r="C2213" t="s">
        <v>74</v>
      </c>
      <c r="E2213" t="str">
        <f>"080065447474"</f>
        <v>080065447474</v>
      </c>
      <c r="F2213" s="3">
        <v>45796</v>
      </c>
      <c r="G2213">
        <v>202602</v>
      </c>
      <c r="H2213" t="s">
        <v>75</v>
      </c>
      <c r="I2213" t="s">
        <v>76</v>
      </c>
      <c r="J2213" t="s">
        <v>77</v>
      </c>
      <c r="K2213" t="s">
        <v>78</v>
      </c>
      <c r="L2213" t="s">
        <v>350</v>
      </c>
      <c r="M2213" t="s">
        <v>351</v>
      </c>
      <c r="N2213" t="s">
        <v>352</v>
      </c>
      <c r="O2213" t="s">
        <v>82</v>
      </c>
      <c r="P2213" t="str">
        <f>"4170039465                    "</f>
        <v xml:space="preserve">4170039465                    </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c r="AI2213">
        <v>0</v>
      </c>
      <c r="AJ2213">
        <v>0</v>
      </c>
      <c r="AK2213">
        <v>0</v>
      </c>
      <c r="AL2213">
        <v>0</v>
      </c>
      <c r="AM2213">
        <v>0</v>
      </c>
      <c r="AN2213">
        <v>0</v>
      </c>
      <c r="AO2213">
        <v>0</v>
      </c>
      <c r="AP2213">
        <v>0</v>
      </c>
      <c r="AQ2213">
        <v>90.82</v>
      </c>
      <c r="AR2213">
        <v>0</v>
      </c>
      <c r="AS2213">
        <v>0</v>
      </c>
      <c r="AT2213">
        <v>0</v>
      </c>
      <c r="AU2213">
        <v>0</v>
      </c>
      <c r="AV2213">
        <v>0</v>
      </c>
      <c r="AW2213">
        <v>0</v>
      </c>
      <c r="AX2213">
        <v>0</v>
      </c>
      <c r="AY2213">
        <v>0</v>
      </c>
      <c r="AZ2213">
        <v>0</v>
      </c>
      <c r="BA2213">
        <v>0</v>
      </c>
      <c r="BB2213">
        <v>0</v>
      </c>
      <c r="BC2213">
        <v>0</v>
      </c>
      <c r="BD2213">
        <v>0</v>
      </c>
      <c r="BE2213">
        <v>0</v>
      </c>
      <c r="BF2213">
        <v>0</v>
      </c>
      <c r="BG2213">
        <v>0</v>
      </c>
      <c r="BH2213">
        <v>1</v>
      </c>
      <c r="BI2213">
        <v>5</v>
      </c>
      <c r="BJ2213">
        <v>8.1</v>
      </c>
      <c r="BK2213">
        <v>8.5</v>
      </c>
      <c r="BL2213">
        <v>297.24</v>
      </c>
      <c r="BM2213">
        <v>44.59</v>
      </c>
      <c r="BN2213">
        <v>341.83</v>
      </c>
      <c r="BO2213">
        <v>341.83</v>
      </c>
      <c r="BQ2213" t="s">
        <v>353</v>
      </c>
      <c r="BR2213" t="s">
        <v>84</v>
      </c>
      <c r="BS2213" s="3">
        <v>45797</v>
      </c>
      <c r="BT2213" s="4">
        <v>0.52777777777777779</v>
      </c>
      <c r="BU2213" t="s">
        <v>2583</v>
      </c>
      <c r="BV2213" t="s">
        <v>89</v>
      </c>
      <c r="BY2213">
        <v>40432</v>
      </c>
      <c r="CA2213" t="s">
        <v>160</v>
      </c>
      <c r="CC2213" t="s">
        <v>351</v>
      </c>
      <c r="CD2213">
        <v>4000</v>
      </c>
      <c r="CE2213" t="s">
        <v>221</v>
      </c>
      <c r="CF2213" s="3">
        <v>45798</v>
      </c>
      <c r="CI2213">
        <v>1</v>
      </c>
      <c r="CJ2213">
        <v>1</v>
      </c>
      <c r="CK2213">
        <v>21</v>
      </c>
      <c r="CL2213" t="s">
        <v>89</v>
      </c>
    </row>
    <row r="2214" spans="1:90" x14ac:dyDescent="0.3">
      <c r="A2214" t="s">
        <v>72</v>
      </c>
      <c r="B2214" t="s">
        <v>73</v>
      </c>
      <c r="C2214" t="s">
        <v>74</v>
      </c>
      <c r="E2214" t="str">
        <f>"080065447493"</f>
        <v>080065447493</v>
      </c>
      <c r="F2214" s="3">
        <v>45796</v>
      </c>
      <c r="G2214">
        <v>202602</v>
      </c>
      <c r="H2214" t="s">
        <v>75</v>
      </c>
      <c r="I2214" t="s">
        <v>76</v>
      </c>
      <c r="J2214" t="s">
        <v>77</v>
      </c>
      <c r="K2214" t="s">
        <v>78</v>
      </c>
      <c r="L2214" t="s">
        <v>177</v>
      </c>
      <c r="M2214" t="s">
        <v>178</v>
      </c>
      <c r="N2214" t="s">
        <v>393</v>
      </c>
      <c r="O2214" t="s">
        <v>82</v>
      </c>
      <c r="P2214" t="str">
        <f>"4170039285                    "</f>
        <v xml:space="preserve">4170039285                    </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c r="AJ2214">
        <v>0</v>
      </c>
      <c r="AK2214">
        <v>0</v>
      </c>
      <c r="AL2214">
        <v>0</v>
      </c>
      <c r="AM2214">
        <v>0</v>
      </c>
      <c r="AN2214">
        <v>0</v>
      </c>
      <c r="AO2214">
        <v>0</v>
      </c>
      <c r="AP2214">
        <v>0</v>
      </c>
      <c r="AQ2214">
        <v>21.38</v>
      </c>
      <c r="AR2214">
        <v>0</v>
      </c>
      <c r="AS2214">
        <v>0</v>
      </c>
      <c r="AT2214">
        <v>0</v>
      </c>
      <c r="AU2214">
        <v>0</v>
      </c>
      <c r="AV2214">
        <v>0</v>
      </c>
      <c r="AW2214">
        <v>0</v>
      </c>
      <c r="AX2214">
        <v>0</v>
      </c>
      <c r="AY2214">
        <v>0</v>
      </c>
      <c r="AZ2214">
        <v>0</v>
      </c>
      <c r="BA2214">
        <v>0</v>
      </c>
      <c r="BB2214">
        <v>0</v>
      </c>
      <c r="BC2214">
        <v>0</v>
      </c>
      <c r="BD2214">
        <v>0</v>
      </c>
      <c r="BE2214">
        <v>0</v>
      </c>
      <c r="BF2214">
        <v>0</v>
      </c>
      <c r="BG2214">
        <v>0</v>
      </c>
      <c r="BH2214">
        <v>1</v>
      </c>
      <c r="BI2214">
        <v>1</v>
      </c>
      <c r="BJ2214">
        <v>0.2</v>
      </c>
      <c r="BK2214">
        <v>1</v>
      </c>
      <c r="BL2214">
        <v>69.98</v>
      </c>
      <c r="BM2214">
        <v>10.5</v>
      </c>
      <c r="BN2214">
        <v>80.48</v>
      </c>
      <c r="BO2214">
        <v>80.48</v>
      </c>
      <c r="BQ2214" t="s">
        <v>394</v>
      </c>
      <c r="BR2214" t="s">
        <v>84</v>
      </c>
      <c r="BS2214" s="3">
        <v>45797</v>
      </c>
      <c r="BT2214" s="4">
        <v>0.33333333333333331</v>
      </c>
      <c r="BU2214" t="s">
        <v>2593</v>
      </c>
      <c r="BV2214" t="s">
        <v>86</v>
      </c>
      <c r="BY2214">
        <v>1200</v>
      </c>
      <c r="CA2214" t="s">
        <v>182</v>
      </c>
      <c r="CC2214" t="s">
        <v>178</v>
      </c>
      <c r="CD2214">
        <v>6230</v>
      </c>
      <c r="CE2214" t="s">
        <v>88</v>
      </c>
      <c r="CF2214" s="3">
        <v>45797</v>
      </c>
      <c r="CI2214">
        <v>1</v>
      </c>
      <c r="CJ2214">
        <v>1</v>
      </c>
      <c r="CK2214">
        <v>21</v>
      </c>
      <c r="CL2214" t="s">
        <v>89</v>
      </c>
    </row>
    <row r="2215" spans="1:90" x14ac:dyDescent="0.3">
      <c r="A2215" t="s">
        <v>72</v>
      </c>
      <c r="B2215" t="s">
        <v>73</v>
      </c>
      <c r="C2215" t="s">
        <v>74</v>
      </c>
      <c r="E2215" t="str">
        <f>"080065447508"</f>
        <v>080065447508</v>
      </c>
      <c r="F2215" s="3">
        <v>45796</v>
      </c>
      <c r="G2215">
        <v>202602</v>
      </c>
      <c r="H2215" t="s">
        <v>75</v>
      </c>
      <c r="I2215" t="s">
        <v>76</v>
      </c>
      <c r="J2215" t="s">
        <v>77</v>
      </c>
      <c r="K2215" t="s">
        <v>78</v>
      </c>
      <c r="L2215" t="s">
        <v>331</v>
      </c>
      <c r="M2215" t="s">
        <v>332</v>
      </c>
      <c r="N2215" t="s">
        <v>499</v>
      </c>
      <c r="O2215" t="s">
        <v>82</v>
      </c>
      <c r="P2215" t="str">
        <f>"4170039311                    "</f>
        <v xml:space="preserve">4170039311                    </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0</v>
      </c>
      <c r="AJ2215">
        <v>0</v>
      </c>
      <c r="AK2215">
        <v>0</v>
      </c>
      <c r="AL2215">
        <v>0</v>
      </c>
      <c r="AM2215">
        <v>0</v>
      </c>
      <c r="AN2215">
        <v>0</v>
      </c>
      <c r="AO2215">
        <v>0</v>
      </c>
      <c r="AP2215">
        <v>0</v>
      </c>
      <c r="AQ2215">
        <v>16.7</v>
      </c>
      <c r="AR2215">
        <v>0</v>
      </c>
      <c r="AS2215">
        <v>0</v>
      </c>
      <c r="AT2215">
        <v>0</v>
      </c>
      <c r="AU2215">
        <v>0</v>
      </c>
      <c r="AV2215">
        <v>0</v>
      </c>
      <c r="AW2215">
        <v>0</v>
      </c>
      <c r="AX2215">
        <v>0</v>
      </c>
      <c r="AY2215">
        <v>0</v>
      </c>
      <c r="AZ2215">
        <v>0</v>
      </c>
      <c r="BA2215">
        <v>0</v>
      </c>
      <c r="BB2215">
        <v>0</v>
      </c>
      <c r="BC2215">
        <v>0</v>
      </c>
      <c r="BD2215">
        <v>0</v>
      </c>
      <c r="BE2215">
        <v>0</v>
      </c>
      <c r="BF2215">
        <v>0</v>
      </c>
      <c r="BG2215">
        <v>0</v>
      </c>
      <c r="BH2215">
        <v>1</v>
      </c>
      <c r="BI2215">
        <v>5</v>
      </c>
      <c r="BJ2215">
        <v>1.7</v>
      </c>
      <c r="BK2215">
        <v>5</v>
      </c>
      <c r="BL2215">
        <v>54.66</v>
      </c>
      <c r="BM2215">
        <v>8.1999999999999993</v>
      </c>
      <c r="BN2215">
        <v>62.86</v>
      </c>
      <c r="BO2215">
        <v>62.86</v>
      </c>
      <c r="BQ2215" t="s">
        <v>500</v>
      </c>
      <c r="BR2215" t="s">
        <v>84</v>
      </c>
      <c r="BS2215" s="3">
        <v>45797</v>
      </c>
      <c r="BT2215" s="4">
        <v>0.39374999999999999</v>
      </c>
      <c r="BU2215" t="s">
        <v>1185</v>
      </c>
      <c r="BV2215" t="s">
        <v>86</v>
      </c>
      <c r="BY2215">
        <v>8512</v>
      </c>
      <c r="CA2215" t="s">
        <v>336</v>
      </c>
      <c r="CC2215" t="s">
        <v>332</v>
      </c>
      <c r="CD2215">
        <v>1451</v>
      </c>
      <c r="CE2215" t="s">
        <v>96</v>
      </c>
      <c r="CF2215" s="3">
        <v>45797</v>
      </c>
      <c r="CI2215">
        <v>1</v>
      </c>
      <c r="CJ2215">
        <v>1</v>
      </c>
      <c r="CK2215">
        <v>22</v>
      </c>
      <c r="CL2215" t="s">
        <v>89</v>
      </c>
    </row>
    <row r="2216" spans="1:90" x14ac:dyDescent="0.3">
      <c r="A2216" t="s">
        <v>72</v>
      </c>
      <c r="B2216" t="s">
        <v>73</v>
      </c>
      <c r="C2216" t="s">
        <v>74</v>
      </c>
      <c r="E2216" t="str">
        <f>"080065447519"</f>
        <v>080065447519</v>
      </c>
      <c r="F2216" s="3">
        <v>45796</v>
      </c>
      <c r="G2216">
        <v>202602</v>
      </c>
      <c r="H2216" t="s">
        <v>75</v>
      </c>
      <c r="I2216" t="s">
        <v>76</v>
      </c>
      <c r="J2216" t="s">
        <v>77</v>
      </c>
      <c r="K2216" t="s">
        <v>78</v>
      </c>
      <c r="L2216" t="s">
        <v>136</v>
      </c>
      <c r="M2216" t="s">
        <v>137</v>
      </c>
      <c r="N2216" t="s">
        <v>499</v>
      </c>
      <c r="O2216" t="s">
        <v>82</v>
      </c>
      <c r="P2216" t="str">
        <f>"4170039428                    "</f>
        <v xml:space="preserve">4170039428                    </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0</v>
      </c>
      <c r="AJ2216">
        <v>0</v>
      </c>
      <c r="AK2216">
        <v>0</v>
      </c>
      <c r="AL2216">
        <v>0</v>
      </c>
      <c r="AM2216">
        <v>0</v>
      </c>
      <c r="AN2216">
        <v>0</v>
      </c>
      <c r="AO2216">
        <v>0</v>
      </c>
      <c r="AP2216">
        <v>0</v>
      </c>
      <c r="AQ2216">
        <v>21.38</v>
      </c>
      <c r="AR2216">
        <v>0</v>
      </c>
      <c r="AS2216">
        <v>0</v>
      </c>
      <c r="AT2216">
        <v>0</v>
      </c>
      <c r="AU2216">
        <v>0</v>
      </c>
      <c r="AV2216">
        <v>0</v>
      </c>
      <c r="AW2216">
        <v>0</v>
      </c>
      <c r="AX2216">
        <v>0</v>
      </c>
      <c r="AY2216">
        <v>0</v>
      </c>
      <c r="AZ2216">
        <v>0</v>
      </c>
      <c r="BA2216">
        <v>0</v>
      </c>
      <c r="BB2216">
        <v>0</v>
      </c>
      <c r="BC2216">
        <v>0</v>
      </c>
      <c r="BD2216">
        <v>0</v>
      </c>
      <c r="BE2216">
        <v>0</v>
      </c>
      <c r="BF2216">
        <v>0</v>
      </c>
      <c r="BG2216">
        <v>0</v>
      </c>
      <c r="BH2216">
        <v>1</v>
      </c>
      <c r="BI2216">
        <v>1</v>
      </c>
      <c r="BJ2216">
        <v>0.2</v>
      </c>
      <c r="BK2216">
        <v>1</v>
      </c>
      <c r="BL2216">
        <v>69.98</v>
      </c>
      <c r="BM2216">
        <v>10.5</v>
      </c>
      <c r="BN2216">
        <v>80.48</v>
      </c>
      <c r="BO2216">
        <v>80.48</v>
      </c>
      <c r="BQ2216" t="s">
        <v>500</v>
      </c>
      <c r="BR2216" t="s">
        <v>84</v>
      </c>
      <c r="BS2216" s="3">
        <v>45797</v>
      </c>
      <c r="BT2216" s="4">
        <v>0.40069444444444446</v>
      </c>
      <c r="BU2216" t="s">
        <v>1733</v>
      </c>
      <c r="BV2216" t="s">
        <v>86</v>
      </c>
      <c r="BY2216">
        <v>1200</v>
      </c>
      <c r="CA2216" t="s">
        <v>141</v>
      </c>
      <c r="CC2216" t="s">
        <v>137</v>
      </c>
      <c r="CD2216" s="5" t="s">
        <v>142</v>
      </c>
      <c r="CE2216" t="s">
        <v>88</v>
      </c>
      <c r="CF2216" s="3">
        <v>45797</v>
      </c>
      <c r="CI2216">
        <v>1</v>
      </c>
      <c r="CJ2216">
        <v>1</v>
      </c>
      <c r="CK2216">
        <v>21</v>
      </c>
      <c r="CL2216" t="s">
        <v>89</v>
      </c>
    </row>
    <row r="2217" spans="1:90" x14ac:dyDescent="0.3">
      <c r="A2217" t="s">
        <v>72</v>
      </c>
      <c r="B2217" t="s">
        <v>73</v>
      </c>
      <c r="C2217" t="s">
        <v>74</v>
      </c>
      <c r="E2217" t="str">
        <f>"080065447543"</f>
        <v>080065447543</v>
      </c>
      <c r="F2217" s="3">
        <v>45796</v>
      </c>
      <c r="G2217">
        <v>202602</v>
      </c>
      <c r="H2217" t="s">
        <v>75</v>
      </c>
      <c r="I2217" t="s">
        <v>76</v>
      </c>
      <c r="J2217" t="s">
        <v>77</v>
      </c>
      <c r="K2217" t="s">
        <v>78</v>
      </c>
      <c r="L2217" t="s">
        <v>123</v>
      </c>
      <c r="M2217" t="s">
        <v>123</v>
      </c>
      <c r="N2217" t="s">
        <v>317</v>
      </c>
      <c r="O2217" t="s">
        <v>82</v>
      </c>
      <c r="P2217" t="str">
        <f>"4170039240                    "</f>
        <v xml:space="preserve">4170039240                    </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c r="AJ2217">
        <v>0</v>
      </c>
      <c r="AK2217">
        <v>0</v>
      </c>
      <c r="AL2217">
        <v>0</v>
      </c>
      <c r="AM2217">
        <v>0</v>
      </c>
      <c r="AN2217">
        <v>0</v>
      </c>
      <c r="AO2217">
        <v>0</v>
      </c>
      <c r="AP2217">
        <v>0</v>
      </c>
      <c r="AQ2217">
        <v>41.43</v>
      </c>
      <c r="AR2217">
        <v>0</v>
      </c>
      <c r="AS2217">
        <v>0</v>
      </c>
      <c r="AT2217">
        <v>0</v>
      </c>
      <c r="AU2217">
        <v>0</v>
      </c>
      <c r="AV2217">
        <v>0</v>
      </c>
      <c r="AW2217">
        <v>0</v>
      </c>
      <c r="AX2217">
        <v>0</v>
      </c>
      <c r="AY2217">
        <v>0</v>
      </c>
      <c r="AZ2217">
        <v>0</v>
      </c>
      <c r="BA2217">
        <v>0</v>
      </c>
      <c r="BB2217">
        <v>0</v>
      </c>
      <c r="BC2217">
        <v>0</v>
      </c>
      <c r="BD2217">
        <v>0</v>
      </c>
      <c r="BE2217">
        <v>0</v>
      </c>
      <c r="BF2217">
        <v>0</v>
      </c>
      <c r="BG2217">
        <v>0</v>
      </c>
      <c r="BH2217">
        <v>1</v>
      </c>
      <c r="BI2217">
        <v>1</v>
      </c>
      <c r="BJ2217">
        <v>1.1000000000000001</v>
      </c>
      <c r="BK2217">
        <v>1.5</v>
      </c>
      <c r="BL2217">
        <v>135.59</v>
      </c>
      <c r="BM2217">
        <v>20.34</v>
      </c>
      <c r="BN2217">
        <v>155.93</v>
      </c>
      <c r="BO2217">
        <v>155.93</v>
      </c>
      <c r="BQ2217" t="s">
        <v>318</v>
      </c>
      <c r="BR2217" t="s">
        <v>84</v>
      </c>
      <c r="BS2217" s="3">
        <v>45797</v>
      </c>
      <c r="BT2217" s="4">
        <v>0.52361111111111114</v>
      </c>
      <c r="BU2217" t="s">
        <v>319</v>
      </c>
      <c r="BV2217" t="s">
        <v>86</v>
      </c>
      <c r="BY2217">
        <v>5320</v>
      </c>
      <c r="CA2217" t="s">
        <v>128</v>
      </c>
      <c r="CC2217" t="s">
        <v>123</v>
      </c>
      <c r="CD2217">
        <v>7646</v>
      </c>
      <c r="CE2217" t="s">
        <v>116</v>
      </c>
      <c r="CF2217" s="3">
        <v>45798</v>
      </c>
      <c r="CI2217">
        <v>1</v>
      </c>
      <c r="CJ2217">
        <v>1</v>
      </c>
      <c r="CK2217">
        <v>23</v>
      </c>
      <c r="CL2217" t="s">
        <v>89</v>
      </c>
    </row>
    <row r="2218" spans="1:90" x14ac:dyDescent="0.3">
      <c r="A2218" t="s">
        <v>72</v>
      </c>
      <c r="B2218" t="s">
        <v>73</v>
      </c>
      <c r="C2218" t="s">
        <v>74</v>
      </c>
      <c r="E2218" t="str">
        <f>"080065447548"</f>
        <v>080065447548</v>
      </c>
      <c r="F2218" s="3">
        <v>45796</v>
      </c>
      <c r="G2218">
        <v>202602</v>
      </c>
      <c r="H2218" t="s">
        <v>75</v>
      </c>
      <c r="I2218" t="s">
        <v>76</v>
      </c>
      <c r="J2218" t="s">
        <v>77</v>
      </c>
      <c r="K2218" t="s">
        <v>78</v>
      </c>
      <c r="L2218" t="s">
        <v>177</v>
      </c>
      <c r="M2218" t="s">
        <v>178</v>
      </c>
      <c r="N2218" t="s">
        <v>393</v>
      </c>
      <c r="O2218" t="s">
        <v>82</v>
      </c>
      <c r="P2218" t="str">
        <f>"4170039286                    "</f>
        <v xml:space="preserve">4170039286                    </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c r="AJ2218">
        <v>0</v>
      </c>
      <c r="AK2218">
        <v>0</v>
      </c>
      <c r="AL2218">
        <v>0</v>
      </c>
      <c r="AM2218">
        <v>0</v>
      </c>
      <c r="AN2218">
        <v>0</v>
      </c>
      <c r="AO2218">
        <v>0</v>
      </c>
      <c r="AP2218">
        <v>0</v>
      </c>
      <c r="AQ2218">
        <v>21.38</v>
      </c>
      <c r="AR2218">
        <v>0</v>
      </c>
      <c r="AS2218">
        <v>0</v>
      </c>
      <c r="AT2218">
        <v>0</v>
      </c>
      <c r="AU2218">
        <v>0</v>
      </c>
      <c r="AV2218">
        <v>0</v>
      </c>
      <c r="AW2218">
        <v>0</v>
      </c>
      <c r="AX2218">
        <v>0</v>
      </c>
      <c r="AY2218">
        <v>0</v>
      </c>
      <c r="AZ2218">
        <v>0</v>
      </c>
      <c r="BA2218">
        <v>0</v>
      </c>
      <c r="BB2218">
        <v>0</v>
      </c>
      <c r="BC2218">
        <v>0</v>
      </c>
      <c r="BD2218">
        <v>0</v>
      </c>
      <c r="BE2218">
        <v>0</v>
      </c>
      <c r="BF2218">
        <v>0</v>
      </c>
      <c r="BG2218">
        <v>0</v>
      </c>
      <c r="BH2218">
        <v>1</v>
      </c>
      <c r="BI2218">
        <v>1</v>
      </c>
      <c r="BJ2218">
        <v>0.2</v>
      </c>
      <c r="BK2218">
        <v>1</v>
      </c>
      <c r="BL2218">
        <v>69.98</v>
      </c>
      <c r="BM2218">
        <v>10.5</v>
      </c>
      <c r="BN2218">
        <v>80.48</v>
      </c>
      <c r="BO2218">
        <v>80.48</v>
      </c>
      <c r="BQ2218" t="s">
        <v>394</v>
      </c>
      <c r="BR2218" t="s">
        <v>84</v>
      </c>
      <c r="BS2218" s="3">
        <v>45797</v>
      </c>
      <c r="BT2218" s="4">
        <v>0.3347222222222222</v>
      </c>
      <c r="BU2218" t="s">
        <v>2593</v>
      </c>
      <c r="BV2218" t="s">
        <v>86</v>
      </c>
      <c r="BY2218">
        <v>1200</v>
      </c>
      <c r="CA2218" t="s">
        <v>182</v>
      </c>
      <c r="CC2218" t="s">
        <v>178</v>
      </c>
      <c r="CD2218">
        <v>6230</v>
      </c>
      <c r="CE2218" t="s">
        <v>88</v>
      </c>
      <c r="CF2218" s="3">
        <v>45797</v>
      </c>
      <c r="CI2218">
        <v>1</v>
      </c>
      <c r="CJ2218">
        <v>1</v>
      </c>
      <c r="CK2218">
        <v>21</v>
      </c>
      <c r="CL2218" t="s">
        <v>89</v>
      </c>
    </row>
    <row r="2219" spans="1:90" x14ac:dyDescent="0.3">
      <c r="A2219" t="s">
        <v>72</v>
      </c>
      <c r="B2219" t="s">
        <v>73</v>
      </c>
      <c r="C2219" t="s">
        <v>74</v>
      </c>
      <c r="E2219" t="str">
        <f>"080065447580"</f>
        <v>080065447580</v>
      </c>
      <c r="F2219" s="3">
        <v>45796</v>
      </c>
      <c r="G2219">
        <v>202602</v>
      </c>
      <c r="H2219" t="s">
        <v>75</v>
      </c>
      <c r="I2219" t="s">
        <v>76</v>
      </c>
      <c r="J2219" t="s">
        <v>77</v>
      </c>
      <c r="K2219" t="s">
        <v>78</v>
      </c>
      <c r="L2219" t="s">
        <v>177</v>
      </c>
      <c r="M2219" t="s">
        <v>178</v>
      </c>
      <c r="N2219" t="s">
        <v>393</v>
      </c>
      <c r="O2219" t="s">
        <v>82</v>
      </c>
      <c r="P2219" t="str">
        <f>"4170039287                    "</f>
        <v xml:space="preserve">4170039287                    </v>
      </c>
      <c r="Q2219">
        <v>0</v>
      </c>
      <c r="R2219">
        <v>0</v>
      </c>
      <c r="S2219">
        <v>0</v>
      </c>
      <c r="T2219">
        <v>0</v>
      </c>
      <c r="U2219">
        <v>0</v>
      </c>
      <c r="V2219">
        <v>0</v>
      </c>
      <c r="W2219">
        <v>0</v>
      </c>
      <c r="X2219">
        <v>0</v>
      </c>
      <c r="Y2219">
        <v>0</v>
      </c>
      <c r="Z2219">
        <v>0</v>
      </c>
      <c r="AA2219">
        <v>0</v>
      </c>
      <c r="AB2219">
        <v>0</v>
      </c>
      <c r="AC2219">
        <v>0</v>
      </c>
      <c r="AD2219">
        <v>0</v>
      </c>
      <c r="AE2219">
        <v>0</v>
      </c>
      <c r="AF2219">
        <v>0</v>
      </c>
      <c r="AG2219">
        <v>0</v>
      </c>
      <c r="AH2219">
        <v>0</v>
      </c>
      <c r="AI2219">
        <v>0</v>
      </c>
      <c r="AJ2219">
        <v>0</v>
      </c>
      <c r="AK2219">
        <v>0</v>
      </c>
      <c r="AL2219">
        <v>0</v>
      </c>
      <c r="AM2219">
        <v>0</v>
      </c>
      <c r="AN2219">
        <v>0</v>
      </c>
      <c r="AO2219">
        <v>0</v>
      </c>
      <c r="AP2219">
        <v>0</v>
      </c>
      <c r="AQ2219">
        <v>21.38</v>
      </c>
      <c r="AR2219">
        <v>0</v>
      </c>
      <c r="AS2219">
        <v>0</v>
      </c>
      <c r="AT2219">
        <v>0</v>
      </c>
      <c r="AU2219">
        <v>0</v>
      </c>
      <c r="AV2219">
        <v>0</v>
      </c>
      <c r="AW2219">
        <v>0</v>
      </c>
      <c r="AX2219">
        <v>0</v>
      </c>
      <c r="AY2219">
        <v>0</v>
      </c>
      <c r="AZ2219">
        <v>0</v>
      </c>
      <c r="BA2219">
        <v>0</v>
      </c>
      <c r="BB2219">
        <v>0</v>
      </c>
      <c r="BC2219">
        <v>0</v>
      </c>
      <c r="BD2219">
        <v>0</v>
      </c>
      <c r="BE2219">
        <v>0</v>
      </c>
      <c r="BF2219">
        <v>0</v>
      </c>
      <c r="BG2219">
        <v>0</v>
      </c>
      <c r="BH2219">
        <v>1</v>
      </c>
      <c r="BI2219">
        <v>1</v>
      </c>
      <c r="BJ2219">
        <v>0.2</v>
      </c>
      <c r="BK2219">
        <v>1</v>
      </c>
      <c r="BL2219">
        <v>69.98</v>
      </c>
      <c r="BM2219">
        <v>10.5</v>
      </c>
      <c r="BN2219">
        <v>80.48</v>
      </c>
      <c r="BO2219">
        <v>80.48</v>
      </c>
      <c r="BQ2219" t="s">
        <v>394</v>
      </c>
      <c r="BR2219" t="s">
        <v>84</v>
      </c>
      <c r="BS2219" s="3">
        <v>45797</v>
      </c>
      <c r="BT2219" s="4">
        <v>0.33402777777777776</v>
      </c>
      <c r="BU2219" t="s">
        <v>2593</v>
      </c>
      <c r="BV2219" t="s">
        <v>86</v>
      </c>
      <c r="BY2219">
        <v>1200</v>
      </c>
      <c r="CA2219" t="s">
        <v>182</v>
      </c>
      <c r="CC2219" t="s">
        <v>178</v>
      </c>
      <c r="CD2219">
        <v>6230</v>
      </c>
      <c r="CE2219" t="s">
        <v>88</v>
      </c>
      <c r="CF2219" s="3">
        <v>45797</v>
      </c>
      <c r="CI2219">
        <v>1</v>
      </c>
      <c r="CJ2219">
        <v>1</v>
      </c>
      <c r="CK2219">
        <v>21</v>
      </c>
      <c r="CL2219" t="s">
        <v>89</v>
      </c>
    </row>
    <row r="2220" spans="1:90" x14ac:dyDescent="0.3">
      <c r="A2220" t="s">
        <v>72</v>
      </c>
      <c r="B2220" t="s">
        <v>73</v>
      </c>
      <c r="C2220" t="s">
        <v>74</v>
      </c>
      <c r="E2220" t="str">
        <f>"080065447594"</f>
        <v>080065447594</v>
      </c>
      <c r="F2220" s="3">
        <v>45796</v>
      </c>
      <c r="G2220">
        <v>202602</v>
      </c>
      <c r="H2220" t="s">
        <v>75</v>
      </c>
      <c r="I2220" t="s">
        <v>76</v>
      </c>
      <c r="J2220" t="s">
        <v>77</v>
      </c>
      <c r="K2220" t="s">
        <v>78</v>
      </c>
      <c r="L2220" t="s">
        <v>130</v>
      </c>
      <c r="M2220" t="s">
        <v>131</v>
      </c>
      <c r="N2220" t="s">
        <v>897</v>
      </c>
      <c r="O2220" t="s">
        <v>82</v>
      </c>
      <c r="P2220" t="str">
        <f>"4170039348                    "</f>
        <v xml:space="preserve">4170039348                    </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c r="AJ2220">
        <v>0</v>
      </c>
      <c r="AK2220">
        <v>0</v>
      </c>
      <c r="AL2220">
        <v>0</v>
      </c>
      <c r="AM2220">
        <v>0</v>
      </c>
      <c r="AN2220">
        <v>0</v>
      </c>
      <c r="AO2220">
        <v>0</v>
      </c>
      <c r="AP2220">
        <v>0</v>
      </c>
      <c r="AQ2220">
        <v>21.38</v>
      </c>
      <c r="AR2220">
        <v>0</v>
      </c>
      <c r="AS2220">
        <v>0</v>
      </c>
      <c r="AT2220">
        <v>0</v>
      </c>
      <c r="AU2220">
        <v>0</v>
      </c>
      <c r="AV2220">
        <v>0</v>
      </c>
      <c r="AW2220">
        <v>0</v>
      </c>
      <c r="AX2220">
        <v>0</v>
      </c>
      <c r="AY2220">
        <v>0</v>
      </c>
      <c r="AZ2220">
        <v>0</v>
      </c>
      <c r="BA2220">
        <v>0</v>
      </c>
      <c r="BB2220">
        <v>0</v>
      </c>
      <c r="BC2220">
        <v>0</v>
      </c>
      <c r="BD2220">
        <v>0</v>
      </c>
      <c r="BE2220">
        <v>0</v>
      </c>
      <c r="BF2220">
        <v>0</v>
      </c>
      <c r="BG2220">
        <v>0</v>
      </c>
      <c r="BH2220">
        <v>1</v>
      </c>
      <c r="BI2220">
        <v>2</v>
      </c>
      <c r="BJ2220">
        <v>0.6</v>
      </c>
      <c r="BK2220">
        <v>2</v>
      </c>
      <c r="BL2220">
        <v>69.98</v>
      </c>
      <c r="BM2220">
        <v>10.5</v>
      </c>
      <c r="BN2220">
        <v>80.48</v>
      </c>
      <c r="BO2220">
        <v>80.48</v>
      </c>
      <c r="BQ2220" t="s">
        <v>898</v>
      </c>
      <c r="BR2220" t="s">
        <v>84</v>
      </c>
      <c r="BS2220" s="3">
        <v>45797</v>
      </c>
      <c r="BT2220" s="4">
        <v>0.60624999999999996</v>
      </c>
      <c r="BU2220" t="s">
        <v>2594</v>
      </c>
      <c r="BV2220" t="s">
        <v>89</v>
      </c>
      <c r="BY2220">
        <v>3192</v>
      </c>
      <c r="CA2220" t="s">
        <v>2595</v>
      </c>
      <c r="CC2220" t="s">
        <v>131</v>
      </c>
      <c r="CD2220">
        <v>7550</v>
      </c>
      <c r="CE2220" t="s">
        <v>96</v>
      </c>
      <c r="CF2220" s="3">
        <v>45798</v>
      </c>
      <c r="CI2220">
        <v>1</v>
      </c>
      <c r="CJ2220">
        <v>1</v>
      </c>
      <c r="CK2220">
        <v>21</v>
      </c>
      <c r="CL2220" t="s">
        <v>89</v>
      </c>
    </row>
    <row r="2221" spans="1:90" x14ac:dyDescent="0.3">
      <c r="A2221" t="s">
        <v>72</v>
      </c>
      <c r="B2221" t="s">
        <v>73</v>
      </c>
      <c r="C2221" t="s">
        <v>74</v>
      </c>
      <c r="E2221" t="str">
        <f>"080065447609"</f>
        <v>080065447609</v>
      </c>
      <c r="F2221" s="3">
        <v>45796</v>
      </c>
      <c r="G2221">
        <v>202602</v>
      </c>
      <c r="H2221" t="s">
        <v>75</v>
      </c>
      <c r="I2221" t="s">
        <v>76</v>
      </c>
      <c r="J2221" t="s">
        <v>77</v>
      </c>
      <c r="K2221" t="s">
        <v>78</v>
      </c>
      <c r="L2221" t="s">
        <v>79</v>
      </c>
      <c r="M2221" t="s">
        <v>80</v>
      </c>
      <c r="N2221" t="s">
        <v>357</v>
      </c>
      <c r="O2221" t="s">
        <v>82</v>
      </c>
      <c r="P2221" t="str">
        <f>"4170039356                    "</f>
        <v xml:space="preserve">4170039356                    </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c r="AI2221">
        <v>0</v>
      </c>
      <c r="AJ2221">
        <v>0</v>
      </c>
      <c r="AK2221">
        <v>0</v>
      </c>
      <c r="AL2221">
        <v>0</v>
      </c>
      <c r="AM2221">
        <v>0</v>
      </c>
      <c r="AN2221">
        <v>0</v>
      </c>
      <c r="AO2221">
        <v>0</v>
      </c>
      <c r="AP2221">
        <v>0</v>
      </c>
      <c r="AQ2221">
        <v>21.38</v>
      </c>
      <c r="AR2221">
        <v>0</v>
      </c>
      <c r="AS2221">
        <v>0</v>
      </c>
      <c r="AT2221">
        <v>0</v>
      </c>
      <c r="AU2221">
        <v>0</v>
      </c>
      <c r="AV2221">
        <v>0</v>
      </c>
      <c r="AW2221">
        <v>0</v>
      </c>
      <c r="AX2221">
        <v>0</v>
      </c>
      <c r="AY2221">
        <v>0</v>
      </c>
      <c r="AZ2221">
        <v>0</v>
      </c>
      <c r="BA2221">
        <v>0</v>
      </c>
      <c r="BB2221">
        <v>0</v>
      </c>
      <c r="BC2221">
        <v>0</v>
      </c>
      <c r="BD2221">
        <v>0</v>
      </c>
      <c r="BE2221">
        <v>0</v>
      </c>
      <c r="BF2221">
        <v>0</v>
      </c>
      <c r="BG2221">
        <v>0</v>
      </c>
      <c r="BH2221">
        <v>1</v>
      </c>
      <c r="BI2221">
        <v>1</v>
      </c>
      <c r="BJ2221">
        <v>0.2</v>
      </c>
      <c r="BK2221">
        <v>1</v>
      </c>
      <c r="BL2221">
        <v>69.98</v>
      </c>
      <c r="BM2221">
        <v>10.5</v>
      </c>
      <c r="BN2221">
        <v>80.48</v>
      </c>
      <c r="BO2221">
        <v>80.48</v>
      </c>
      <c r="BQ2221" t="s">
        <v>358</v>
      </c>
      <c r="BR2221" t="s">
        <v>84</v>
      </c>
      <c r="BS2221" s="3">
        <v>45797</v>
      </c>
      <c r="BT2221" s="4">
        <v>0.45694444444444443</v>
      </c>
      <c r="BU2221" t="s">
        <v>1821</v>
      </c>
      <c r="BV2221" t="s">
        <v>89</v>
      </c>
      <c r="BY2221">
        <v>1200</v>
      </c>
      <c r="CA2221" t="s">
        <v>87</v>
      </c>
      <c r="CC2221" t="s">
        <v>80</v>
      </c>
      <c r="CD2221">
        <v>3608</v>
      </c>
      <c r="CE2221" t="s">
        <v>176</v>
      </c>
      <c r="CF2221" s="3">
        <v>45797</v>
      </c>
      <c r="CI2221">
        <v>1</v>
      </c>
      <c r="CJ2221">
        <v>1</v>
      </c>
      <c r="CK2221">
        <v>21</v>
      </c>
      <c r="CL2221" t="s">
        <v>89</v>
      </c>
    </row>
    <row r="2222" spans="1:90" x14ac:dyDescent="0.3">
      <c r="A2222" t="s">
        <v>72</v>
      </c>
      <c r="B2222" t="s">
        <v>73</v>
      </c>
      <c r="C2222" t="s">
        <v>74</v>
      </c>
      <c r="E2222" t="str">
        <f>"080065375328"</f>
        <v>080065375328</v>
      </c>
      <c r="F2222" s="3">
        <v>45791</v>
      </c>
      <c r="G2222">
        <v>202602</v>
      </c>
      <c r="H2222" t="s">
        <v>75</v>
      </c>
      <c r="I2222" t="s">
        <v>76</v>
      </c>
      <c r="J2222" t="s">
        <v>1791</v>
      </c>
      <c r="K2222" t="s">
        <v>78</v>
      </c>
      <c r="L2222" t="s">
        <v>972</v>
      </c>
      <c r="M2222" t="s">
        <v>973</v>
      </c>
      <c r="N2222" t="s">
        <v>974</v>
      </c>
      <c r="O2222" t="s">
        <v>82</v>
      </c>
      <c r="P2222" t="str">
        <f>"4170037237                    "</f>
        <v xml:space="preserve">4170037237                    </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c r="AI2222">
        <v>0</v>
      </c>
      <c r="AJ2222">
        <v>0</v>
      </c>
      <c r="AK2222">
        <v>0</v>
      </c>
      <c r="AL2222">
        <v>0</v>
      </c>
      <c r="AM2222">
        <v>0</v>
      </c>
      <c r="AN2222">
        <v>0</v>
      </c>
      <c r="AO2222">
        <v>0</v>
      </c>
      <c r="AP2222">
        <v>0</v>
      </c>
      <c r="AQ2222">
        <v>0</v>
      </c>
      <c r="AR2222">
        <v>0</v>
      </c>
      <c r="AS2222">
        <v>0</v>
      </c>
      <c r="AT2222">
        <v>0</v>
      </c>
      <c r="AU2222">
        <v>0</v>
      </c>
      <c r="AV2222">
        <v>0</v>
      </c>
      <c r="AW2222">
        <v>0</v>
      </c>
      <c r="AX2222">
        <v>0</v>
      </c>
      <c r="AY2222">
        <v>0</v>
      </c>
      <c r="AZ2222">
        <v>0</v>
      </c>
      <c r="BA2222">
        <v>0</v>
      </c>
      <c r="BB2222">
        <v>0</v>
      </c>
      <c r="BC2222">
        <v>0</v>
      </c>
      <c r="BD2222">
        <v>0</v>
      </c>
      <c r="BE2222">
        <v>0</v>
      </c>
      <c r="BF2222">
        <v>0</v>
      </c>
      <c r="BG2222">
        <v>0</v>
      </c>
      <c r="BH2222">
        <v>1</v>
      </c>
      <c r="BI2222">
        <v>1</v>
      </c>
      <c r="BJ2222">
        <v>0</v>
      </c>
      <c r="BK2222">
        <v>1</v>
      </c>
      <c r="BL2222">
        <v>0</v>
      </c>
      <c r="BM2222">
        <v>0</v>
      </c>
      <c r="BN2222">
        <v>0</v>
      </c>
      <c r="BO2222">
        <v>0</v>
      </c>
      <c r="BQ2222" t="s">
        <v>975</v>
      </c>
      <c r="BR2222" t="s">
        <v>1793</v>
      </c>
      <c r="BS2222" s="3">
        <v>45791</v>
      </c>
      <c r="BT2222" s="4">
        <v>0.41666666666666669</v>
      </c>
      <c r="BU2222" t="s">
        <v>1302</v>
      </c>
      <c r="BV2222" t="s">
        <v>86</v>
      </c>
      <c r="BY2222">
        <v>1200</v>
      </c>
      <c r="BZ2222" t="s">
        <v>1664</v>
      </c>
      <c r="CC2222" t="s">
        <v>973</v>
      </c>
      <c r="CD2222">
        <v>1724</v>
      </c>
      <c r="CE2222" t="s">
        <v>129</v>
      </c>
      <c r="CF2222" s="3">
        <v>45799</v>
      </c>
      <c r="CI2222">
        <v>1</v>
      </c>
      <c r="CJ2222">
        <v>0</v>
      </c>
      <c r="CK2222">
        <v>-1</v>
      </c>
      <c r="CL2222" t="s">
        <v>89</v>
      </c>
    </row>
    <row r="2223" spans="1:90" x14ac:dyDescent="0.3">
      <c r="A2223" t="s">
        <v>72</v>
      </c>
      <c r="B2223" t="s">
        <v>73</v>
      </c>
      <c r="C2223" t="s">
        <v>74</v>
      </c>
      <c r="E2223" t="str">
        <f>"R080065319910"</f>
        <v>R080065319910</v>
      </c>
      <c r="F2223" s="3">
        <v>45793</v>
      </c>
      <c r="G2223">
        <v>202602</v>
      </c>
      <c r="H2223" t="s">
        <v>75</v>
      </c>
      <c r="I2223" t="s">
        <v>76</v>
      </c>
      <c r="J2223" t="s">
        <v>1123</v>
      </c>
      <c r="K2223" t="s">
        <v>78</v>
      </c>
      <c r="L2223" t="s">
        <v>130</v>
      </c>
      <c r="M2223" t="s">
        <v>131</v>
      </c>
      <c r="N2223" t="s">
        <v>865</v>
      </c>
      <c r="O2223" t="s">
        <v>82</v>
      </c>
      <c r="P2223" t="str">
        <f>"4170037712                    "</f>
        <v xml:space="preserve">4170037712                    </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0</v>
      </c>
      <c r="AJ2223">
        <v>0</v>
      </c>
      <c r="AK2223">
        <v>0</v>
      </c>
      <c r="AL2223">
        <v>0</v>
      </c>
      <c r="AM2223">
        <v>0</v>
      </c>
      <c r="AN2223">
        <v>0</v>
      </c>
      <c r="AO2223">
        <v>0</v>
      </c>
      <c r="AP2223">
        <v>0</v>
      </c>
      <c r="AQ2223">
        <v>0</v>
      </c>
      <c r="AR2223">
        <v>0</v>
      </c>
      <c r="AS2223">
        <v>0</v>
      </c>
      <c r="AT2223">
        <v>0</v>
      </c>
      <c r="AU2223">
        <v>0</v>
      </c>
      <c r="AV2223">
        <v>0</v>
      </c>
      <c r="AW2223">
        <v>0</v>
      </c>
      <c r="AX2223">
        <v>0</v>
      </c>
      <c r="AY2223">
        <v>0</v>
      </c>
      <c r="AZ2223">
        <v>0</v>
      </c>
      <c r="BA2223">
        <v>0</v>
      </c>
      <c r="BB2223">
        <v>0</v>
      </c>
      <c r="BC2223">
        <v>0</v>
      </c>
      <c r="BD2223">
        <v>0</v>
      </c>
      <c r="BE2223">
        <v>0</v>
      </c>
      <c r="BF2223">
        <v>0</v>
      </c>
      <c r="BG2223">
        <v>0</v>
      </c>
      <c r="BH2223">
        <v>1</v>
      </c>
      <c r="BI2223">
        <v>1</v>
      </c>
      <c r="BJ2223">
        <v>0</v>
      </c>
      <c r="BK2223">
        <v>1</v>
      </c>
      <c r="BL2223">
        <v>0</v>
      </c>
      <c r="BM2223">
        <v>0</v>
      </c>
      <c r="BN2223">
        <v>0</v>
      </c>
      <c r="BO2223">
        <v>0</v>
      </c>
      <c r="BQ2223" t="s">
        <v>1124</v>
      </c>
      <c r="BR2223" t="s">
        <v>84</v>
      </c>
      <c r="BS2223" s="3">
        <v>45796</v>
      </c>
      <c r="BT2223" s="4">
        <v>0.39166666666666666</v>
      </c>
      <c r="BU2223" t="s">
        <v>2596</v>
      </c>
      <c r="BV2223" t="s">
        <v>86</v>
      </c>
      <c r="BY2223">
        <v>1200</v>
      </c>
      <c r="CA2223" t="s">
        <v>429</v>
      </c>
      <c r="CC2223" t="s">
        <v>131</v>
      </c>
      <c r="CD2223">
        <v>7945</v>
      </c>
      <c r="CE2223" t="s">
        <v>88</v>
      </c>
      <c r="CF2223" s="3">
        <v>45799</v>
      </c>
      <c r="CI2223">
        <v>1</v>
      </c>
      <c r="CJ2223">
        <v>1</v>
      </c>
      <c r="CK2223">
        <v>-1</v>
      </c>
      <c r="CL2223" t="s">
        <v>89</v>
      </c>
    </row>
    <row r="2224" spans="1:90" x14ac:dyDescent="0.3">
      <c r="A2224" t="s">
        <v>72</v>
      </c>
      <c r="B2224" t="s">
        <v>73</v>
      </c>
      <c r="C2224" t="s">
        <v>74</v>
      </c>
      <c r="E2224" t="str">
        <f>"080065174528"</f>
        <v>080065174528</v>
      </c>
      <c r="F2224" s="3">
        <v>45782</v>
      </c>
      <c r="G2224">
        <v>202602</v>
      </c>
      <c r="H2224" t="s">
        <v>75</v>
      </c>
      <c r="I2224" t="s">
        <v>76</v>
      </c>
      <c r="J2224" t="s">
        <v>77</v>
      </c>
      <c r="K2224" t="s">
        <v>78</v>
      </c>
      <c r="L2224" t="s">
        <v>526</v>
      </c>
      <c r="M2224" t="s">
        <v>527</v>
      </c>
      <c r="N2224" t="s">
        <v>826</v>
      </c>
      <c r="O2224" t="s">
        <v>300</v>
      </c>
      <c r="P2224" t="str">
        <f>"4170036964                    "</f>
        <v xml:space="preserve">4170036964                    </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0</v>
      </c>
      <c r="AJ2224">
        <v>0</v>
      </c>
      <c r="AK2224">
        <v>0</v>
      </c>
      <c r="AL2224">
        <v>0</v>
      </c>
      <c r="AM2224">
        <v>0</v>
      </c>
      <c r="AN2224">
        <v>0</v>
      </c>
      <c r="AO2224">
        <v>0</v>
      </c>
      <c r="AP2224">
        <v>0</v>
      </c>
      <c r="AQ2224">
        <v>47.22</v>
      </c>
      <c r="AR2224">
        <v>0</v>
      </c>
      <c r="AS2224">
        <v>0</v>
      </c>
      <c r="AT2224">
        <v>0</v>
      </c>
      <c r="AU2224">
        <v>0</v>
      </c>
      <c r="AV2224">
        <v>0</v>
      </c>
      <c r="AW2224">
        <v>0</v>
      </c>
      <c r="AX2224">
        <v>0</v>
      </c>
      <c r="AY2224">
        <v>0</v>
      </c>
      <c r="AZ2224">
        <v>0</v>
      </c>
      <c r="BA2224">
        <v>0</v>
      </c>
      <c r="BB2224">
        <v>0</v>
      </c>
      <c r="BC2224">
        <v>0</v>
      </c>
      <c r="BD2224">
        <v>0</v>
      </c>
      <c r="BE2224">
        <v>0</v>
      </c>
      <c r="BF2224">
        <v>0</v>
      </c>
      <c r="BG2224">
        <v>0</v>
      </c>
      <c r="BH2224">
        <v>1</v>
      </c>
      <c r="BI2224">
        <v>3</v>
      </c>
      <c r="BJ2224">
        <v>1.1000000000000001</v>
      </c>
      <c r="BK2224">
        <v>3</v>
      </c>
      <c r="BL2224">
        <v>156.58000000000001</v>
      </c>
      <c r="BM2224">
        <v>23.49</v>
      </c>
      <c r="BN2224">
        <v>180.07</v>
      </c>
      <c r="BO2224">
        <v>180.07</v>
      </c>
      <c r="BQ2224" t="s">
        <v>827</v>
      </c>
      <c r="BR2224" t="s">
        <v>84</v>
      </c>
      <c r="BS2224" s="3">
        <v>45783</v>
      </c>
      <c r="BT2224" s="4">
        <v>0.51736111111111116</v>
      </c>
      <c r="BU2224" t="s">
        <v>828</v>
      </c>
      <c r="BV2224" t="s">
        <v>86</v>
      </c>
      <c r="BY2224">
        <v>5320</v>
      </c>
      <c r="BZ2224" t="s">
        <v>1795</v>
      </c>
      <c r="CA2224" t="s">
        <v>829</v>
      </c>
      <c r="CC2224" t="s">
        <v>527</v>
      </c>
      <c r="CD2224">
        <v>1759</v>
      </c>
      <c r="CE2224" t="s">
        <v>408</v>
      </c>
      <c r="CF2224" s="3">
        <v>45784</v>
      </c>
      <c r="CI2224">
        <v>1</v>
      </c>
      <c r="CJ2224">
        <v>1</v>
      </c>
      <c r="CK2224">
        <v>44</v>
      </c>
      <c r="CL2224" t="s">
        <v>89</v>
      </c>
    </row>
    <row r="2225" spans="1:90" x14ac:dyDescent="0.3">
      <c r="A2225" t="s">
        <v>72</v>
      </c>
      <c r="B2225" t="s">
        <v>73</v>
      </c>
      <c r="C2225" t="s">
        <v>74</v>
      </c>
      <c r="E2225" t="str">
        <f>"080065189113"</f>
        <v>080065189113</v>
      </c>
      <c r="F2225" s="3">
        <v>45783</v>
      </c>
      <c r="G2225">
        <v>202602</v>
      </c>
      <c r="H2225" t="s">
        <v>75</v>
      </c>
      <c r="I2225" t="s">
        <v>76</v>
      </c>
      <c r="J2225" t="s">
        <v>77</v>
      </c>
      <c r="K2225" t="s">
        <v>78</v>
      </c>
      <c r="L2225" t="s">
        <v>136</v>
      </c>
      <c r="M2225" t="s">
        <v>137</v>
      </c>
      <c r="N2225" t="s">
        <v>776</v>
      </c>
      <c r="O2225" t="s">
        <v>300</v>
      </c>
      <c r="P2225" t="str">
        <f>"4170036994                    "</f>
        <v xml:space="preserve">4170036994                    </v>
      </c>
      <c r="Q2225">
        <v>0</v>
      </c>
      <c r="R2225">
        <v>0</v>
      </c>
      <c r="S2225">
        <v>0</v>
      </c>
      <c r="T2225">
        <v>0</v>
      </c>
      <c r="U2225">
        <v>0</v>
      </c>
      <c r="V2225">
        <v>0</v>
      </c>
      <c r="W2225">
        <v>0</v>
      </c>
      <c r="X2225">
        <v>0</v>
      </c>
      <c r="Y2225">
        <v>0</v>
      </c>
      <c r="Z2225">
        <v>0</v>
      </c>
      <c r="AA2225">
        <v>0</v>
      </c>
      <c r="AB2225">
        <v>0</v>
      </c>
      <c r="AC2225">
        <v>0</v>
      </c>
      <c r="AD2225">
        <v>0</v>
      </c>
      <c r="AE2225">
        <v>0</v>
      </c>
      <c r="AF2225">
        <v>0</v>
      </c>
      <c r="AG2225">
        <v>0</v>
      </c>
      <c r="AH2225">
        <v>0</v>
      </c>
      <c r="AI2225">
        <v>0</v>
      </c>
      <c r="AJ2225">
        <v>0</v>
      </c>
      <c r="AK2225">
        <v>0</v>
      </c>
      <c r="AL2225">
        <v>0</v>
      </c>
      <c r="AM2225">
        <v>0</v>
      </c>
      <c r="AN2225">
        <v>0</v>
      </c>
      <c r="AO2225">
        <v>0</v>
      </c>
      <c r="AP2225">
        <v>0</v>
      </c>
      <c r="AQ2225">
        <v>42.76</v>
      </c>
      <c r="AR2225">
        <v>0</v>
      </c>
      <c r="AS2225">
        <v>0</v>
      </c>
      <c r="AT2225">
        <v>0</v>
      </c>
      <c r="AU2225">
        <v>0</v>
      </c>
      <c r="AV2225">
        <v>0</v>
      </c>
      <c r="AW2225">
        <v>0</v>
      </c>
      <c r="AX2225">
        <v>0</v>
      </c>
      <c r="AY2225">
        <v>0</v>
      </c>
      <c r="AZ2225">
        <v>0</v>
      </c>
      <c r="BA2225">
        <v>0</v>
      </c>
      <c r="BB2225">
        <v>0</v>
      </c>
      <c r="BC2225">
        <v>0</v>
      </c>
      <c r="BD2225">
        <v>0</v>
      </c>
      <c r="BE2225">
        <v>0</v>
      </c>
      <c r="BF2225">
        <v>0</v>
      </c>
      <c r="BG2225">
        <v>0</v>
      </c>
      <c r="BH2225">
        <v>1</v>
      </c>
      <c r="BI2225">
        <v>1</v>
      </c>
      <c r="BJ2225">
        <v>3.7</v>
      </c>
      <c r="BK2225">
        <v>4</v>
      </c>
      <c r="BL2225">
        <v>142.31</v>
      </c>
      <c r="BM2225">
        <v>21.35</v>
      </c>
      <c r="BN2225">
        <v>163.66</v>
      </c>
      <c r="BO2225">
        <v>163.66</v>
      </c>
      <c r="BQ2225" t="s">
        <v>777</v>
      </c>
      <c r="BR2225" t="s">
        <v>84</v>
      </c>
      <c r="BS2225" s="3">
        <v>45784</v>
      </c>
      <c r="BT2225" s="4">
        <v>0.43611111111111112</v>
      </c>
      <c r="BU2225" t="s">
        <v>778</v>
      </c>
      <c r="BV2225" t="s">
        <v>86</v>
      </c>
      <c r="BY2225">
        <v>18304</v>
      </c>
      <c r="BZ2225" t="s">
        <v>1795</v>
      </c>
      <c r="CA2225" t="s">
        <v>779</v>
      </c>
      <c r="CC2225" t="s">
        <v>137</v>
      </c>
      <c r="CD2225" s="5" t="s">
        <v>738</v>
      </c>
      <c r="CE2225" t="s">
        <v>419</v>
      </c>
      <c r="CF2225" s="3">
        <v>45784</v>
      </c>
      <c r="CI2225">
        <v>1</v>
      </c>
      <c r="CJ2225">
        <v>1</v>
      </c>
      <c r="CK2225">
        <v>41</v>
      </c>
      <c r="CL2225" t="s">
        <v>89</v>
      </c>
    </row>
    <row r="2226" spans="1:90" x14ac:dyDescent="0.3">
      <c r="A2226" t="s">
        <v>72</v>
      </c>
      <c r="B2226" t="s">
        <v>73</v>
      </c>
      <c r="C2226" t="s">
        <v>74</v>
      </c>
      <c r="E2226" t="str">
        <f>"080065198643"</f>
        <v>080065198643</v>
      </c>
      <c r="F2226" s="3">
        <v>45783</v>
      </c>
      <c r="G2226">
        <v>202602</v>
      </c>
      <c r="H2226" t="s">
        <v>75</v>
      </c>
      <c r="I2226" t="s">
        <v>76</v>
      </c>
      <c r="J2226" t="s">
        <v>77</v>
      </c>
      <c r="K2226" t="s">
        <v>78</v>
      </c>
      <c r="L2226" t="s">
        <v>232</v>
      </c>
      <c r="M2226" t="s">
        <v>233</v>
      </c>
      <c r="N2226" t="s">
        <v>2597</v>
      </c>
      <c r="O2226" t="s">
        <v>300</v>
      </c>
      <c r="P2226" t="str">
        <f>"4170037113                    "</f>
        <v xml:space="preserve">4170037113                    </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0</v>
      </c>
      <c r="AK2226">
        <v>0</v>
      </c>
      <c r="AL2226">
        <v>0</v>
      </c>
      <c r="AM2226">
        <v>0</v>
      </c>
      <c r="AN2226">
        <v>0</v>
      </c>
      <c r="AO2226">
        <v>0</v>
      </c>
      <c r="AP2226">
        <v>0</v>
      </c>
      <c r="AQ2226">
        <v>42.76</v>
      </c>
      <c r="AR2226">
        <v>0</v>
      </c>
      <c r="AS2226">
        <v>0</v>
      </c>
      <c r="AT2226">
        <v>0</v>
      </c>
      <c r="AU2226">
        <v>0</v>
      </c>
      <c r="AV2226">
        <v>0</v>
      </c>
      <c r="AW2226">
        <v>0</v>
      </c>
      <c r="AX2226">
        <v>0</v>
      </c>
      <c r="AY2226">
        <v>0</v>
      </c>
      <c r="AZ2226">
        <v>0</v>
      </c>
      <c r="BA2226">
        <v>0</v>
      </c>
      <c r="BB2226">
        <v>0</v>
      </c>
      <c r="BC2226">
        <v>0</v>
      </c>
      <c r="BD2226">
        <v>0</v>
      </c>
      <c r="BE2226">
        <v>0</v>
      </c>
      <c r="BF2226">
        <v>0</v>
      </c>
      <c r="BG2226">
        <v>0</v>
      </c>
      <c r="BH2226">
        <v>1</v>
      </c>
      <c r="BI2226">
        <v>2</v>
      </c>
      <c r="BJ2226">
        <v>4</v>
      </c>
      <c r="BK2226">
        <v>4</v>
      </c>
      <c r="BL2226">
        <v>142.31</v>
      </c>
      <c r="BM2226">
        <v>21.35</v>
      </c>
      <c r="BN2226">
        <v>163.66</v>
      </c>
      <c r="BO2226">
        <v>163.66</v>
      </c>
      <c r="BQ2226" t="s">
        <v>2598</v>
      </c>
      <c r="BR2226" t="s">
        <v>84</v>
      </c>
      <c r="BS2226" s="3">
        <v>45784</v>
      </c>
      <c r="BT2226" s="4">
        <v>0.36944444444444446</v>
      </c>
      <c r="BU2226" t="s">
        <v>2599</v>
      </c>
      <c r="BV2226" t="s">
        <v>86</v>
      </c>
      <c r="BY2226">
        <v>19992</v>
      </c>
      <c r="BZ2226" t="s">
        <v>1795</v>
      </c>
      <c r="CA2226" t="s">
        <v>2600</v>
      </c>
      <c r="CC2226" t="s">
        <v>233</v>
      </c>
      <c r="CD2226" s="5" t="s">
        <v>238</v>
      </c>
      <c r="CE2226" t="s">
        <v>221</v>
      </c>
      <c r="CF2226" s="3">
        <v>45784</v>
      </c>
      <c r="CI2226">
        <v>1</v>
      </c>
      <c r="CJ2226">
        <v>1</v>
      </c>
      <c r="CK2226">
        <v>41</v>
      </c>
      <c r="CL2226" t="s">
        <v>89</v>
      </c>
    </row>
    <row r="2227" spans="1:90" x14ac:dyDescent="0.3">
      <c r="A2227" t="s">
        <v>72</v>
      </c>
      <c r="B2227" t="s">
        <v>73</v>
      </c>
      <c r="C2227" t="s">
        <v>74</v>
      </c>
      <c r="E2227" t="str">
        <f>"080065202007"</f>
        <v>080065202007</v>
      </c>
      <c r="F2227" s="3">
        <v>45783</v>
      </c>
      <c r="G2227">
        <v>202602</v>
      </c>
      <c r="H2227" t="s">
        <v>75</v>
      </c>
      <c r="I2227" t="s">
        <v>76</v>
      </c>
      <c r="J2227" t="s">
        <v>77</v>
      </c>
      <c r="K2227" t="s">
        <v>78</v>
      </c>
      <c r="L2227" t="s">
        <v>232</v>
      </c>
      <c r="M2227" t="s">
        <v>233</v>
      </c>
      <c r="N2227" t="s">
        <v>1108</v>
      </c>
      <c r="O2227" t="s">
        <v>300</v>
      </c>
      <c r="P2227" t="str">
        <f>"4170037130                    "</f>
        <v xml:space="preserve">4170037130                    </v>
      </c>
      <c r="Q2227">
        <v>0</v>
      </c>
      <c r="R2227">
        <v>0</v>
      </c>
      <c r="S2227">
        <v>0</v>
      </c>
      <c r="T2227">
        <v>0</v>
      </c>
      <c r="U2227">
        <v>0</v>
      </c>
      <c r="V2227">
        <v>0</v>
      </c>
      <c r="W2227">
        <v>0</v>
      </c>
      <c r="X2227">
        <v>0</v>
      </c>
      <c r="Y2227">
        <v>0</v>
      </c>
      <c r="Z2227">
        <v>0</v>
      </c>
      <c r="AA2227">
        <v>0</v>
      </c>
      <c r="AB2227">
        <v>0</v>
      </c>
      <c r="AC2227">
        <v>0</v>
      </c>
      <c r="AD2227">
        <v>0</v>
      </c>
      <c r="AE2227">
        <v>0</v>
      </c>
      <c r="AF2227">
        <v>0</v>
      </c>
      <c r="AG2227">
        <v>0</v>
      </c>
      <c r="AH2227">
        <v>0</v>
      </c>
      <c r="AI2227">
        <v>0</v>
      </c>
      <c r="AJ2227">
        <v>0</v>
      </c>
      <c r="AK2227">
        <v>0</v>
      </c>
      <c r="AL2227">
        <v>0</v>
      </c>
      <c r="AM2227">
        <v>0</v>
      </c>
      <c r="AN2227">
        <v>0</v>
      </c>
      <c r="AO2227">
        <v>0</v>
      </c>
      <c r="AP2227">
        <v>0</v>
      </c>
      <c r="AQ2227">
        <v>42.76</v>
      </c>
      <c r="AR2227">
        <v>0</v>
      </c>
      <c r="AS2227">
        <v>0</v>
      </c>
      <c r="AT2227">
        <v>0</v>
      </c>
      <c r="AU2227">
        <v>0</v>
      </c>
      <c r="AV2227">
        <v>0</v>
      </c>
      <c r="AW2227">
        <v>0</v>
      </c>
      <c r="AX2227">
        <v>0</v>
      </c>
      <c r="AY2227">
        <v>0</v>
      </c>
      <c r="AZ2227">
        <v>0</v>
      </c>
      <c r="BA2227">
        <v>0</v>
      </c>
      <c r="BB2227">
        <v>0</v>
      </c>
      <c r="BC2227">
        <v>0</v>
      </c>
      <c r="BD2227">
        <v>0</v>
      </c>
      <c r="BE2227">
        <v>0</v>
      </c>
      <c r="BF2227">
        <v>0</v>
      </c>
      <c r="BG2227">
        <v>0</v>
      </c>
      <c r="BH2227">
        <v>1</v>
      </c>
      <c r="BI2227">
        <v>4</v>
      </c>
      <c r="BJ2227">
        <v>2.2000000000000002</v>
      </c>
      <c r="BK2227">
        <v>4</v>
      </c>
      <c r="BL2227">
        <v>142.31</v>
      </c>
      <c r="BM2227">
        <v>21.35</v>
      </c>
      <c r="BN2227">
        <v>163.66</v>
      </c>
      <c r="BO2227">
        <v>163.66</v>
      </c>
      <c r="BQ2227" t="s">
        <v>1109</v>
      </c>
      <c r="BR2227" t="s">
        <v>84</v>
      </c>
      <c r="BS2227" s="3">
        <v>45784</v>
      </c>
      <c r="BT2227" s="4">
        <v>0.38958333333333334</v>
      </c>
      <c r="BU2227" t="s">
        <v>2601</v>
      </c>
      <c r="BV2227" t="s">
        <v>86</v>
      </c>
      <c r="BY2227">
        <v>10752</v>
      </c>
      <c r="BZ2227" t="s">
        <v>1795</v>
      </c>
      <c r="CA2227" t="s">
        <v>237</v>
      </c>
      <c r="CC2227" t="s">
        <v>233</v>
      </c>
      <c r="CD2227" s="5" t="s">
        <v>238</v>
      </c>
      <c r="CE2227" t="s">
        <v>221</v>
      </c>
      <c r="CF2227" s="3">
        <v>45784</v>
      </c>
      <c r="CI2227">
        <v>1</v>
      </c>
      <c r="CJ2227">
        <v>1</v>
      </c>
      <c r="CK2227">
        <v>41</v>
      </c>
      <c r="CL2227" t="s">
        <v>89</v>
      </c>
    </row>
    <row r="2228" spans="1:90" x14ac:dyDescent="0.3">
      <c r="A2228" t="s">
        <v>72</v>
      </c>
      <c r="B2228" t="s">
        <v>73</v>
      </c>
      <c r="C2228" t="s">
        <v>74</v>
      </c>
      <c r="E2228" t="str">
        <f>"080065219263"</f>
        <v>080065219263</v>
      </c>
      <c r="F2228" s="3">
        <v>45784</v>
      </c>
      <c r="G2228">
        <v>202602</v>
      </c>
      <c r="H2228" t="s">
        <v>75</v>
      </c>
      <c r="I2228" t="s">
        <v>76</v>
      </c>
      <c r="J2228" t="s">
        <v>77</v>
      </c>
      <c r="K2228" t="s">
        <v>78</v>
      </c>
      <c r="L2228" t="s">
        <v>1328</v>
      </c>
      <c r="M2228" t="s">
        <v>1329</v>
      </c>
      <c r="N2228" t="s">
        <v>1330</v>
      </c>
      <c r="O2228" t="s">
        <v>300</v>
      </c>
      <c r="P2228" t="str">
        <f>"4170037209                    "</f>
        <v xml:space="preserve">4170037209                    </v>
      </c>
      <c r="Q2228">
        <v>0</v>
      </c>
      <c r="R2228">
        <v>0</v>
      </c>
      <c r="S2228">
        <v>0</v>
      </c>
      <c r="T2228">
        <v>0</v>
      </c>
      <c r="U2228">
        <v>0</v>
      </c>
      <c r="V2228">
        <v>0</v>
      </c>
      <c r="W2228">
        <v>0</v>
      </c>
      <c r="X2228">
        <v>0</v>
      </c>
      <c r="Y2228">
        <v>0</v>
      </c>
      <c r="Z2228">
        <v>0</v>
      </c>
      <c r="AA2228">
        <v>0</v>
      </c>
      <c r="AB2228">
        <v>0</v>
      </c>
      <c r="AC2228">
        <v>0</v>
      </c>
      <c r="AD2228">
        <v>0</v>
      </c>
      <c r="AE2228">
        <v>0</v>
      </c>
      <c r="AF2228">
        <v>0</v>
      </c>
      <c r="AG2228">
        <v>0</v>
      </c>
      <c r="AH2228">
        <v>0</v>
      </c>
      <c r="AI2228">
        <v>0</v>
      </c>
      <c r="AJ2228">
        <v>0</v>
      </c>
      <c r="AK2228">
        <v>0</v>
      </c>
      <c r="AL2228">
        <v>0</v>
      </c>
      <c r="AM2228">
        <v>0</v>
      </c>
      <c r="AN2228">
        <v>0</v>
      </c>
      <c r="AO2228">
        <v>0</v>
      </c>
      <c r="AP2228">
        <v>0</v>
      </c>
      <c r="AQ2228">
        <v>45.67</v>
      </c>
      <c r="AR2228">
        <v>0</v>
      </c>
      <c r="AS2228">
        <v>0</v>
      </c>
      <c r="AT2228">
        <v>0</v>
      </c>
      <c r="AU2228">
        <v>0</v>
      </c>
      <c r="AV2228">
        <v>0</v>
      </c>
      <c r="AW2228">
        <v>0</v>
      </c>
      <c r="AX2228">
        <v>0</v>
      </c>
      <c r="AY2228">
        <v>0</v>
      </c>
      <c r="AZ2228">
        <v>0</v>
      </c>
      <c r="BA2228">
        <v>0</v>
      </c>
      <c r="BB2228">
        <v>0</v>
      </c>
      <c r="BC2228">
        <v>0</v>
      </c>
      <c r="BD2228">
        <v>0</v>
      </c>
      <c r="BE2228">
        <v>0</v>
      </c>
      <c r="BF2228">
        <v>0</v>
      </c>
      <c r="BG2228">
        <v>0</v>
      </c>
      <c r="BH2228">
        <v>1</v>
      </c>
      <c r="BI2228">
        <v>1</v>
      </c>
      <c r="BJ2228">
        <v>2.2000000000000002</v>
      </c>
      <c r="BK2228">
        <v>3</v>
      </c>
      <c r="BL2228">
        <v>155.03</v>
      </c>
      <c r="BM2228">
        <v>23.25</v>
      </c>
      <c r="BN2228">
        <v>178.28</v>
      </c>
      <c r="BO2228">
        <v>178.28</v>
      </c>
      <c r="BQ2228" t="s">
        <v>1331</v>
      </c>
      <c r="BR2228" t="s">
        <v>84</v>
      </c>
      <c r="BS2228" s="3">
        <v>45785</v>
      </c>
      <c r="BT2228" s="4">
        <v>0.43472222222222223</v>
      </c>
      <c r="BU2228" t="s">
        <v>190</v>
      </c>
      <c r="BV2228" t="s">
        <v>86</v>
      </c>
      <c r="BY2228">
        <v>10752</v>
      </c>
      <c r="BZ2228" t="s">
        <v>1795</v>
      </c>
      <c r="CA2228" t="s">
        <v>1332</v>
      </c>
      <c r="CC2228" t="s">
        <v>1329</v>
      </c>
      <c r="CD2228">
        <v>2210</v>
      </c>
      <c r="CE2228" t="s">
        <v>221</v>
      </c>
      <c r="CF2228" s="3">
        <v>45785</v>
      </c>
      <c r="CI2228">
        <v>1</v>
      </c>
      <c r="CJ2228">
        <v>1</v>
      </c>
      <c r="CK2228">
        <v>44</v>
      </c>
      <c r="CL2228" t="s">
        <v>89</v>
      </c>
    </row>
    <row r="2229" spans="1:90" x14ac:dyDescent="0.3">
      <c r="A2229" t="s">
        <v>72</v>
      </c>
      <c r="B2229" t="s">
        <v>73</v>
      </c>
      <c r="C2229" t="s">
        <v>74</v>
      </c>
      <c r="E2229" t="str">
        <f>"080065324165"</f>
        <v>080065324165</v>
      </c>
      <c r="F2229" s="3">
        <v>45789</v>
      </c>
      <c r="G2229">
        <v>202602</v>
      </c>
      <c r="H2229" t="s">
        <v>75</v>
      </c>
      <c r="I2229" t="s">
        <v>76</v>
      </c>
      <c r="J2229" t="s">
        <v>1791</v>
      </c>
      <c r="K2229" t="s">
        <v>78</v>
      </c>
      <c r="L2229" t="s">
        <v>624</v>
      </c>
      <c r="M2229" t="s">
        <v>625</v>
      </c>
      <c r="N2229" t="s">
        <v>626</v>
      </c>
      <c r="O2229" t="s">
        <v>300</v>
      </c>
      <c r="P2229" t="str">
        <f>"4170037944                    "</f>
        <v xml:space="preserve">4170037944                    </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0</v>
      </c>
      <c r="AL2229">
        <v>0</v>
      </c>
      <c r="AM2229">
        <v>0</v>
      </c>
      <c r="AN2229">
        <v>0</v>
      </c>
      <c r="AO2229">
        <v>0</v>
      </c>
      <c r="AP2229">
        <v>0</v>
      </c>
      <c r="AQ2229">
        <v>58.32</v>
      </c>
      <c r="AR2229">
        <v>0</v>
      </c>
      <c r="AS2229">
        <v>0</v>
      </c>
      <c r="AT2229">
        <v>0</v>
      </c>
      <c r="AU2229">
        <v>0</v>
      </c>
      <c r="AV2229">
        <v>0</v>
      </c>
      <c r="AW2229">
        <v>0</v>
      </c>
      <c r="AX2229">
        <v>0</v>
      </c>
      <c r="AY2229">
        <v>0</v>
      </c>
      <c r="AZ2229">
        <v>0</v>
      </c>
      <c r="BA2229">
        <v>0</v>
      </c>
      <c r="BB2229">
        <v>0</v>
      </c>
      <c r="BC2229">
        <v>0</v>
      </c>
      <c r="BD2229">
        <v>0</v>
      </c>
      <c r="BE2229">
        <v>0</v>
      </c>
      <c r="BF2229">
        <v>0</v>
      </c>
      <c r="BG2229">
        <v>0</v>
      </c>
      <c r="BH2229">
        <v>1</v>
      </c>
      <c r="BI2229">
        <v>2</v>
      </c>
      <c r="BJ2229">
        <v>3.4</v>
      </c>
      <c r="BK2229">
        <v>4</v>
      </c>
      <c r="BL2229">
        <v>196.44</v>
      </c>
      <c r="BM2229">
        <v>29.47</v>
      </c>
      <c r="BN2229">
        <v>225.91</v>
      </c>
      <c r="BO2229">
        <v>225.91</v>
      </c>
      <c r="BQ2229" t="s">
        <v>1995</v>
      </c>
      <c r="BR2229" t="s">
        <v>1793</v>
      </c>
      <c r="BS2229" s="3">
        <v>45790</v>
      </c>
      <c r="BT2229" s="4">
        <v>0.34583333333333333</v>
      </c>
      <c r="BU2229" t="s">
        <v>1674</v>
      </c>
      <c r="BV2229" t="s">
        <v>86</v>
      </c>
      <c r="BY2229">
        <v>16965</v>
      </c>
      <c r="BZ2229" t="s">
        <v>1795</v>
      </c>
      <c r="CC2229" t="s">
        <v>625</v>
      </c>
      <c r="CD2229">
        <v>1947</v>
      </c>
      <c r="CE2229" t="s">
        <v>419</v>
      </c>
      <c r="CF2229" s="3">
        <v>45791</v>
      </c>
      <c r="CI2229">
        <v>1</v>
      </c>
      <c r="CJ2229">
        <v>1</v>
      </c>
      <c r="CK2229">
        <v>43</v>
      </c>
      <c r="CL2229" t="s">
        <v>89</v>
      </c>
    </row>
    <row r="2230" spans="1:90" x14ac:dyDescent="0.3">
      <c r="A2230" t="s">
        <v>72</v>
      </c>
      <c r="B2230" t="s">
        <v>73</v>
      </c>
      <c r="C2230" t="s">
        <v>74</v>
      </c>
      <c r="E2230" t="str">
        <f>"080065326298"</f>
        <v>080065326298</v>
      </c>
      <c r="F2230" s="3">
        <v>45789</v>
      </c>
      <c r="G2230">
        <v>202602</v>
      </c>
      <c r="H2230" t="s">
        <v>75</v>
      </c>
      <c r="I2230" t="s">
        <v>76</v>
      </c>
      <c r="J2230" t="s">
        <v>1791</v>
      </c>
      <c r="K2230" t="s">
        <v>78</v>
      </c>
      <c r="L2230" t="s">
        <v>151</v>
      </c>
      <c r="M2230" t="s">
        <v>152</v>
      </c>
      <c r="N2230" t="s">
        <v>2340</v>
      </c>
      <c r="O2230" t="s">
        <v>300</v>
      </c>
      <c r="P2230" t="str">
        <f>"4170037697                    "</f>
        <v xml:space="preserve">4170037697                    </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c r="AJ2230">
        <v>0</v>
      </c>
      <c r="AK2230">
        <v>0</v>
      </c>
      <c r="AL2230">
        <v>0</v>
      </c>
      <c r="AM2230">
        <v>0</v>
      </c>
      <c r="AN2230">
        <v>0</v>
      </c>
      <c r="AO2230">
        <v>0</v>
      </c>
      <c r="AP2230">
        <v>0</v>
      </c>
      <c r="AQ2230">
        <v>58.32</v>
      </c>
      <c r="AR2230">
        <v>0</v>
      </c>
      <c r="AS2230">
        <v>0</v>
      </c>
      <c r="AT2230">
        <v>0</v>
      </c>
      <c r="AU2230">
        <v>0</v>
      </c>
      <c r="AV2230">
        <v>0</v>
      </c>
      <c r="AW2230">
        <v>0</v>
      </c>
      <c r="AX2230">
        <v>0</v>
      </c>
      <c r="AY2230">
        <v>0</v>
      </c>
      <c r="AZ2230">
        <v>0</v>
      </c>
      <c r="BA2230">
        <v>0</v>
      </c>
      <c r="BB2230">
        <v>0</v>
      </c>
      <c r="BC2230">
        <v>0</v>
      </c>
      <c r="BD2230">
        <v>0</v>
      </c>
      <c r="BE2230">
        <v>0</v>
      </c>
      <c r="BF2230">
        <v>0</v>
      </c>
      <c r="BG2230">
        <v>0</v>
      </c>
      <c r="BH2230">
        <v>1</v>
      </c>
      <c r="BI2230">
        <v>8</v>
      </c>
      <c r="BJ2230">
        <v>1.7</v>
      </c>
      <c r="BK2230">
        <v>8</v>
      </c>
      <c r="BL2230">
        <v>196.44</v>
      </c>
      <c r="BM2230">
        <v>29.47</v>
      </c>
      <c r="BN2230">
        <v>225.91</v>
      </c>
      <c r="BO2230">
        <v>225.91</v>
      </c>
      <c r="BQ2230" t="s">
        <v>2341</v>
      </c>
      <c r="BR2230" t="s">
        <v>1793</v>
      </c>
      <c r="BS2230" s="3">
        <v>45790</v>
      </c>
      <c r="BT2230" s="4">
        <v>0.42777777777777776</v>
      </c>
      <c r="BU2230" t="s">
        <v>2342</v>
      </c>
      <c r="BV2230" t="s">
        <v>86</v>
      </c>
      <c r="BY2230">
        <v>8512</v>
      </c>
      <c r="BZ2230" t="s">
        <v>1795</v>
      </c>
      <c r="CA2230" t="s">
        <v>2343</v>
      </c>
      <c r="CC2230" t="s">
        <v>152</v>
      </c>
      <c r="CD2230">
        <v>1939</v>
      </c>
      <c r="CE2230" t="s">
        <v>408</v>
      </c>
      <c r="CF2230" s="3">
        <v>45791</v>
      </c>
      <c r="CI2230">
        <v>1</v>
      </c>
      <c r="CJ2230">
        <v>1</v>
      </c>
      <c r="CK2230">
        <v>43</v>
      </c>
      <c r="CL2230" t="s">
        <v>89</v>
      </c>
    </row>
    <row r="2231" spans="1:90" x14ac:dyDescent="0.3">
      <c r="A2231" t="s">
        <v>72</v>
      </c>
      <c r="B2231" t="s">
        <v>73</v>
      </c>
      <c r="C2231" t="s">
        <v>74</v>
      </c>
      <c r="E2231" t="str">
        <f>"080065326393"</f>
        <v>080065326393</v>
      </c>
      <c r="F2231" s="3">
        <v>45789</v>
      </c>
      <c r="G2231">
        <v>202602</v>
      </c>
      <c r="H2231" t="s">
        <v>75</v>
      </c>
      <c r="I2231" t="s">
        <v>76</v>
      </c>
      <c r="J2231" t="s">
        <v>77</v>
      </c>
      <c r="K2231" t="s">
        <v>78</v>
      </c>
      <c r="L2231" t="s">
        <v>136</v>
      </c>
      <c r="M2231" t="s">
        <v>137</v>
      </c>
      <c r="N2231" t="s">
        <v>441</v>
      </c>
      <c r="O2231" t="s">
        <v>300</v>
      </c>
      <c r="P2231" t="str">
        <f>"4170037739                    "</f>
        <v xml:space="preserve">4170037739                    </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0</v>
      </c>
      <c r="AL2231">
        <v>0</v>
      </c>
      <c r="AM2231">
        <v>0</v>
      </c>
      <c r="AN2231">
        <v>0</v>
      </c>
      <c r="AO2231">
        <v>0</v>
      </c>
      <c r="AP2231">
        <v>0</v>
      </c>
      <c r="AQ2231">
        <v>41.35</v>
      </c>
      <c r="AR2231">
        <v>0</v>
      </c>
      <c r="AS2231">
        <v>0</v>
      </c>
      <c r="AT2231">
        <v>0</v>
      </c>
      <c r="AU2231">
        <v>0</v>
      </c>
      <c r="AV2231">
        <v>0</v>
      </c>
      <c r="AW2231">
        <v>0</v>
      </c>
      <c r="AX2231">
        <v>0</v>
      </c>
      <c r="AY2231">
        <v>0</v>
      </c>
      <c r="AZ2231">
        <v>0</v>
      </c>
      <c r="BA2231">
        <v>0</v>
      </c>
      <c r="BB2231">
        <v>0</v>
      </c>
      <c r="BC2231">
        <v>0</v>
      </c>
      <c r="BD2231">
        <v>0</v>
      </c>
      <c r="BE2231">
        <v>0</v>
      </c>
      <c r="BF2231">
        <v>0</v>
      </c>
      <c r="BG2231">
        <v>0</v>
      </c>
      <c r="BH2231">
        <v>1</v>
      </c>
      <c r="BI2231">
        <v>4</v>
      </c>
      <c r="BJ2231">
        <v>3.4</v>
      </c>
      <c r="BK2231">
        <v>4</v>
      </c>
      <c r="BL2231">
        <v>140.9</v>
      </c>
      <c r="BM2231">
        <v>21.14</v>
      </c>
      <c r="BN2231">
        <v>162.04</v>
      </c>
      <c r="BO2231">
        <v>162.04</v>
      </c>
      <c r="BQ2231" t="s">
        <v>442</v>
      </c>
      <c r="BR2231" t="s">
        <v>84</v>
      </c>
      <c r="BS2231" s="3">
        <v>45790</v>
      </c>
      <c r="BT2231" s="4">
        <v>0.52361111111111114</v>
      </c>
      <c r="BU2231" t="s">
        <v>1361</v>
      </c>
      <c r="BV2231" t="s">
        <v>86</v>
      </c>
      <c r="BY2231">
        <v>16965</v>
      </c>
      <c r="BZ2231" t="s">
        <v>1795</v>
      </c>
      <c r="CA2231" t="s">
        <v>575</v>
      </c>
      <c r="CC2231" t="s">
        <v>137</v>
      </c>
      <c r="CD2231" s="5" t="s">
        <v>444</v>
      </c>
      <c r="CE2231" t="s">
        <v>419</v>
      </c>
      <c r="CF2231" s="3">
        <v>45790</v>
      </c>
      <c r="CI2231">
        <v>1</v>
      </c>
      <c r="CJ2231">
        <v>1</v>
      </c>
      <c r="CK2231">
        <v>41</v>
      </c>
      <c r="CL2231" t="s">
        <v>89</v>
      </c>
    </row>
    <row r="2232" spans="1:90" x14ac:dyDescent="0.3">
      <c r="A2232" t="s">
        <v>72</v>
      </c>
      <c r="B2232" t="s">
        <v>73</v>
      </c>
      <c r="C2232" t="s">
        <v>74</v>
      </c>
      <c r="E2232" t="str">
        <f>"080065326530"</f>
        <v>080065326530</v>
      </c>
      <c r="F2232" s="3">
        <v>45789</v>
      </c>
      <c r="G2232">
        <v>202602</v>
      </c>
      <c r="H2232" t="s">
        <v>75</v>
      </c>
      <c r="I2232" t="s">
        <v>76</v>
      </c>
      <c r="J2232" t="s">
        <v>77</v>
      </c>
      <c r="K2232" t="s">
        <v>78</v>
      </c>
      <c r="L2232" t="s">
        <v>136</v>
      </c>
      <c r="M2232" t="s">
        <v>137</v>
      </c>
      <c r="N2232" t="s">
        <v>2479</v>
      </c>
      <c r="O2232" t="s">
        <v>300</v>
      </c>
      <c r="P2232" t="str">
        <f>"4170037759                    "</f>
        <v xml:space="preserve">4170037759                    </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0</v>
      </c>
      <c r="AL2232">
        <v>0</v>
      </c>
      <c r="AM2232">
        <v>0</v>
      </c>
      <c r="AN2232">
        <v>0</v>
      </c>
      <c r="AO2232">
        <v>0</v>
      </c>
      <c r="AP2232">
        <v>0</v>
      </c>
      <c r="AQ2232">
        <v>41.35</v>
      </c>
      <c r="AR2232">
        <v>0</v>
      </c>
      <c r="AS2232">
        <v>0</v>
      </c>
      <c r="AT2232">
        <v>0</v>
      </c>
      <c r="AU2232">
        <v>0</v>
      </c>
      <c r="AV2232">
        <v>0</v>
      </c>
      <c r="AW2232">
        <v>0</v>
      </c>
      <c r="AX2232">
        <v>0</v>
      </c>
      <c r="AY2232">
        <v>0</v>
      </c>
      <c r="AZ2232">
        <v>0</v>
      </c>
      <c r="BA2232">
        <v>0</v>
      </c>
      <c r="BB2232">
        <v>0</v>
      </c>
      <c r="BC2232">
        <v>0</v>
      </c>
      <c r="BD2232">
        <v>0</v>
      </c>
      <c r="BE2232">
        <v>0</v>
      </c>
      <c r="BF2232">
        <v>0</v>
      </c>
      <c r="BG2232">
        <v>0</v>
      </c>
      <c r="BH2232">
        <v>1</v>
      </c>
      <c r="BI2232">
        <v>5</v>
      </c>
      <c r="BJ2232">
        <v>2</v>
      </c>
      <c r="BK2232">
        <v>5</v>
      </c>
      <c r="BL2232">
        <v>140.9</v>
      </c>
      <c r="BM2232">
        <v>21.14</v>
      </c>
      <c r="BN2232">
        <v>162.04</v>
      </c>
      <c r="BO2232">
        <v>162.04</v>
      </c>
      <c r="BQ2232" t="s">
        <v>2480</v>
      </c>
      <c r="BR2232" t="s">
        <v>84</v>
      </c>
      <c r="BS2232" s="3">
        <v>45790</v>
      </c>
      <c r="BT2232" s="4">
        <v>0.33611111111111114</v>
      </c>
      <c r="BU2232" t="s">
        <v>2481</v>
      </c>
      <c r="BV2232" t="s">
        <v>86</v>
      </c>
      <c r="BY2232">
        <v>9918</v>
      </c>
      <c r="BZ2232" t="s">
        <v>1795</v>
      </c>
      <c r="CA2232" t="s">
        <v>253</v>
      </c>
      <c r="CC2232" t="s">
        <v>137</v>
      </c>
      <c r="CD2232" s="5" t="s">
        <v>895</v>
      </c>
      <c r="CE2232" t="s">
        <v>419</v>
      </c>
      <c r="CF2232" s="3">
        <v>45790</v>
      </c>
      <c r="CI2232">
        <v>1</v>
      </c>
      <c r="CJ2232">
        <v>1</v>
      </c>
      <c r="CK2232">
        <v>41</v>
      </c>
      <c r="CL2232" t="s">
        <v>89</v>
      </c>
    </row>
    <row r="2233" spans="1:90" x14ac:dyDescent="0.3">
      <c r="A2233" t="s">
        <v>72</v>
      </c>
      <c r="B2233" t="s">
        <v>73</v>
      </c>
      <c r="C2233" t="s">
        <v>74</v>
      </c>
      <c r="E2233" t="str">
        <f>"080065327161"</f>
        <v>080065327161</v>
      </c>
      <c r="F2233" s="3">
        <v>45789</v>
      </c>
      <c r="G2233">
        <v>202602</v>
      </c>
      <c r="H2233" t="s">
        <v>75</v>
      </c>
      <c r="I2233" t="s">
        <v>76</v>
      </c>
      <c r="J2233" t="s">
        <v>77</v>
      </c>
      <c r="K2233" t="s">
        <v>78</v>
      </c>
      <c r="L2233" t="s">
        <v>222</v>
      </c>
      <c r="M2233" t="s">
        <v>223</v>
      </c>
      <c r="N2233" t="s">
        <v>589</v>
      </c>
      <c r="O2233" t="s">
        <v>300</v>
      </c>
      <c r="P2233" t="str">
        <f>"4170037909                    "</f>
        <v xml:space="preserve">4170037909                    </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0</v>
      </c>
      <c r="AL2233">
        <v>0</v>
      </c>
      <c r="AM2233">
        <v>0</v>
      </c>
      <c r="AN2233">
        <v>0</v>
      </c>
      <c r="AO2233">
        <v>0</v>
      </c>
      <c r="AP2233">
        <v>0</v>
      </c>
      <c r="AQ2233">
        <v>45.67</v>
      </c>
      <c r="AR2233">
        <v>0</v>
      </c>
      <c r="AS2233">
        <v>0</v>
      </c>
      <c r="AT2233">
        <v>0</v>
      </c>
      <c r="AU2233">
        <v>0</v>
      </c>
      <c r="AV2233">
        <v>0</v>
      </c>
      <c r="AW2233">
        <v>0</v>
      </c>
      <c r="AX2233">
        <v>0</v>
      </c>
      <c r="AY2233">
        <v>0</v>
      </c>
      <c r="AZ2233">
        <v>0</v>
      </c>
      <c r="BA2233">
        <v>0</v>
      </c>
      <c r="BB2233">
        <v>0</v>
      </c>
      <c r="BC2233">
        <v>0</v>
      </c>
      <c r="BD2233">
        <v>0</v>
      </c>
      <c r="BE2233">
        <v>0</v>
      </c>
      <c r="BF2233">
        <v>0</v>
      </c>
      <c r="BG2233">
        <v>0</v>
      </c>
      <c r="BH2233">
        <v>2</v>
      </c>
      <c r="BI2233">
        <v>11</v>
      </c>
      <c r="BJ2233">
        <v>11.9</v>
      </c>
      <c r="BK2233">
        <v>12</v>
      </c>
      <c r="BL2233">
        <v>155.03</v>
      </c>
      <c r="BM2233">
        <v>23.25</v>
      </c>
      <c r="BN2233">
        <v>178.28</v>
      </c>
      <c r="BO2233">
        <v>178.28</v>
      </c>
      <c r="BQ2233" t="s">
        <v>590</v>
      </c>
      <c r="BR2233" t="s">
        <v>84</v>
      </c>
      <c r="BS2233" s="3">
        <v>45790</v>
      </c>
      <c r="BT2233" s="4">
        <v>0.41666666666666669</v>
      </c>
      <c r="BU2233" t="s">
        <v>2167</v>
      </c>
      <c r="BV2233" t="s">
        <v>86</v>
      </c>
      <c r="BY2233">
        <v>59488</v>
      </c>
      <c r="BZ2233" t="s">
        <v>1795</v>
      </c>
      <c r="CA2233" t="s">
        <v>592</v>
      </c>
      <c r="CC2233" t="s">
        <v>223</v>
      </c>
      <c r="CD2233">
        <v>1748</v>
      </c>
      <c r="CE2233" t="s">
        <v>419</v>
      </c>
      <c r="CF2233" s="3">
        <v>45791</v>
      </c>
      <c r="CI2233">
        <v>1</v>
      </c>
      <c r="CJ2233">
        <v>1</v>
      </c>
      <c r="CK2233">
        <v>44</v>
      </c>
      <c r="CL2233" t="s">
        <v>89</v>
      </c>
    </row>
    <row r="2234" spans="1:90" x14ac:dyDescent="0.3">
      <c r="A2234" t="s">
        <v>72</v>
      </c>
      <c r="B2234" t="s">
        <v>73</v>
      </c>
      <c r="C2234" t="s">
        <v>74</v>
      </c>
      <c r="E2234" t="str">
        <f>"080065328191"</f>
        <v>080065328191</v>
      </c>
      <c r="F2234" s="3">
        <v>45789</v>
      </c>
      <c r="G2234">
        <v>202602</v>
      </c>
      <c r="H2234" t="s">
        <v>75</v>
      </c>
      <c r="I2234" t="s">
        <v>76</v>
      </c>
      <c r="J2234" t="s">
        <v>77</v>
      </c>
      <c r="K2234" t="s">
        <v>78</v>
      </c>
      <c r="L2234" t="s">
        <v>136</v>
      </c>
      <c r="M2234" t="s">
        <v>137</v>
      </c>
      <c r="N2234" t="s">
        <v>1297</v>
      </c>
      <c r="O2234" t="s">
        <v>300</v>
      </c>
      <c r="P2234" t="str">
        <f>"4170037887                    "</f>
        <v xml:space="preserve">4170037887                    </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0</v>
      </c>
      <c r="AL2234">
        <v>0</v>
      </c>
      <c r="AM2234">
        <v>0</v>
      </c>
      <c r="AN2234">
        <v>0</v>
      </c>
      <c r="AO2234">
        <v>0</v>
      </c>
      <c r="AP2234">
        <v>0</v>
      </c>
      <c r="AQ2234">
        <v>41.35</v>
      </c>
      <c r="AR2234">
        <v>0</v>
      </c>
      <c r="AS2234">
        <v>0</v>
      </c>
      <c r="AT2234">
        <v>0</v>
      </c>
      <c r="AU2234">
        <v>0</v>
      </c>
      <c r="AV2234">
        <v>0</v>
      </c>
      <c r="AW2234">
        <v>0</v>
      </c>
      <c r="AX2234">
        <v>0</v>
      </c>
      <c r="AY2234">
        <v>0</v>
      </c>
      <c r="AZ2234">
        <v>0</v>
      </c>
      <c r="BA2234">
        <v>0</v>
      </c>
      <c r="BB2234">
        <v>0</v>
      </c>
      <c r="BC2234">
        <v>0</v>
      </c>
      <c r="BD2234">
        <v>0</v>
      </c>
      <c r="BE2234">
        <v>0</v>
      </c>
      <c r="BF2234">
        <v>0</v>
      </c>
      <c r="BG2234">
        <v>0</v>
      </c>
      <c r="BH2234">
        <v>1</v>
      </c>
      <c r="BI2234">
        <v>4</v>
      </c>
      <c r="BJ2234">
        <v>0.6</v>
      </c>
      <c r="BK2234">
        <v>4</v>
      </c>
      <c r="BL2234">
        <v>140.9</v>
      </c>
      <c r="BM2234">
        <v>21.14</v>
      </c>
      <c r="BN2234">
        <v>162.04</v>
      </c>
      <c r="BO2234">
        <v>162.04</v>
      </c>
      <c r="BQ2234" t="s">
        <v>1298</v>
      </c>
      <c r="BR2234" t="s">
        <v>84</v>
      </c>
      <c r="BS2234" s="3">
        <v>45790</v>
      </c>
      <c r="BT2234" s="4">
        <v>0.37291666666666667</v>
      </c>
      <c r="BU2234" t="s">
        <v>1299</v>
      </c>
      <c r="BV2234" t="s">
        <v>86</v>
      </c>
      <c r="BY2234">
        <v>3192</v>
      </c>
      <c r="BZ2234" t="s">
        <v>1795</v>
      </c>
      <c r="CA2234" t="s">
        <v>141</v>
      </c>
      <c r="CC2234" t="s">
        <v>137</v>
      </c>
      <c r="CD2234" s="5" t="s">
        <v>1239</v>
      </c>
      <c r="CE2234" t="s">
        <v>419</v>
      </c>
      <c r="CF2234" s="3">
        <v>45790</v>
      </c>
      <c r="CI2234">
        <v>1</v>
      </c>
      <c r="CJ2234">
        <v>1</v>
      </c>
      <c r="CK2234">
        <v>41</v>
      </c>
      <c r="CL2234" t="s">
        <v>89</v>
      </c>
    </row>
    <row r="2235" spans="1:90" x14ac:dyDescent="0.3">
      <c r="A2235" t="s">
        <v>72</v>
      </c>
      <c r="B2235" t="s">
        <v>73</v>
      </c>
      <c r="C2235" t="s">
        <v>74</v>
      </c>
      <c r="E2235" t="str">
        <f>"080065346240"</f>
        <v>080065346240</v>
      </c>
      <c r="F2235" s="3">
        <v>45790</v>
      </c>
      <c r="G2235">
        <v>202602</v>
      </c>
      <c r="H2235" t="s">
        <v>75</v>
      </c>
      <c r="I2235" t="s">
        <v>76</v>
      </c>
      <c r="J2235" t="s">
        <v>77</v>
      </c>
      <c r="K2235" t="s">
        <v>78</v>
      </c>
      <c r="L2235" t="s">
        <v>1099</v>
      </c>
      <c r="M2235" t="s">
        <v>1100</v>
      </c>
      <c r="N2235" t="s">
        <v>1287</v>
      </c>
      <c r="O2235" t="s">
        <v>300</v>
      </c>
      <c r="P2235" t="str">
        <f>"4170037854                    "</f>
        <v xml:space="preserve">4170037854                    </v>
      </c>
      <c r="Q2235">
        <v>0</v>
      </c>
      <c r="R2235">
        <v>0</v>
      </c>
      <c r="S2235">
        <v>0</v>
      </c>
      <c r="T2235">
        <v>0</v>
      </c>
      <c r="U2235">
        <v>0</v>
      </c>
      <c r="V2235">
        <v>0</v>
      </c>
      <c r="W2235">
        <v>0</v>
      </c>
      <c r="X2235">
        <v>0</v>
      </c>
      <c r="Y2235">
        <v>0</v>
      </c>
      <c r="Z2235">
        <v>0</v>
      </c>
      <c r="AA2235">
        <v>0</v>
      </c>
      <c r="AB2235">
        <v>0</v>
      </c>
      <c r="AC2235">
        <v>0</v>
      </c>
      <c r="AD2235">
        <v>0</v>
      </c>
      <c r="AE2235">
        <v>0</v>
      </c>
      <c r="AF2235">
        <v>0</v>
      </c>
      <c r="AG2235">
        <v>0</v>
      </c>
      <c r="AH2235">
        <v>0</v>
      </c>
      <c r="AI2235">
        <v>0</v>
      </c>
      <c r="AJ2235">
        <v>0</v>
      </c>
      <c r="AK2235">
        <v>0</v>
      </c>
      <c r="AL2235">
        <v>0</v>
      </c>
      <c r="AM2235">
        <v>0</v>
      </c>
      <c r="AN2235">
        <v>0</v>
      </c>
      <c r="AO2235">
        <v>0</v>
      </c>
      <c r="AP2235">
        <v>0</v>
      </c>
      <c r="AQ2235">
        <v>58.32</v>
      </c>
      <c r="AR2235">
        <v>0</v>
      </c>
      <c r="AS2235">
        <v>0</v>
      </c>
      <c r="AT2235">
        <v>0</v>
      </c>
      <c r="AU2235">
        <v>0</v>
      </c>
      <c r="AV2235">
        <v>0</v>
      </c>
      <c r="AW2235">
        <v>0</v>
      </c>
      <c r="AX2235">
        <v>0</v>
      </c>
      <c r="AY2235">
        <v>0</v>
      </c>
      <c r="AZ2235">
        <v>0</v>
      </c>
      <c r="BA2235">
        <v>0</v>
      </c>
      <c r="BB2235">
        <v>0</v>
      </c>
      <c r="BC2235">
        <v>0</v>
      </c>
      <c r="BD2235">
        <v>0</v>
      </c>
      <c r="BE2235">
        <v>0</v>
      </c>
      <c r="BF2235">
        <v>0</v>
      </c>
      <c r="BG2235">
        <v>0</v>
      </c>
      <c r="BH2235">
        <v>1</v>
      </c>
      <c r="BI2235">
        <v>4</v>
      </c>
      <c r="BJ2235">
        <v>1.1000000000000001</v>
      </c>
      <c r="BK2235">
        <v>4</v>
      </c>
      <c r="BL2235">
        <v>196.44</v>
      </c>
      <c r="BM2235">
        <v>29.47</v>
      </c>
      <c r="BN2235">
        <v>225.91</v>
      </c>
      <c r="BO2235">
        <v>225.91</v>
      </c>
      <c r="BQ2235" t="s">
        <v>1288</v>
      </c>
      <c r="BR2235" t="s">
        <v>84</v>
      </c>
      <c r="BS2235" s="3">
        <v>45791</v>
      </c>
      <c r="BT2235" s="4">
        <v>0.42916666666666664</v>
      </c>
      <c r="BU2235" t="s">
        <v>2602</v>
      </c>
      <c r="BV2235" t="s">
        <v>86</v>
      </c>
      <c r="BY2235">
        <v>5320</v>
      </c>
      <c r="BZ2235" t="s">
        <v>1795</v>
      </c>
      <c r="CA2235" t="s">
        <v>1104</v>
      </c>
      <c r="CC2235" t="s">
        <v>1100</v>
      </c>
      <c r="CD2235" s="5" t="s">
        <v>1291</v>
      </c>
      <c r="CE2235" t="s">
        <v>408</v>
      </c>
      <c r="CF2235" s="3">
        <v>45792</v>
      </c>
      <c r="CI2235">
        <v>1</v>
      </c>
      <c r="CJ2235">
        <v>1</v>
      </c>
      <c r="CK2235">
        <v>43</v>
      </c>
      <c r="CL2235" t="s">
        <v>89</v>
      </c>
    </row>
    <row r="2236" spans="1:90" x14ac:dyDescent="0.3">
      <c r="A2236" t="s">
        <v>72</v>
      </c>
      <c r="B2236" t="s">
        <v>73</v>
      </c>
      <c r="C2236" t="s">
        <v>74</v>
      </c>
      <c r="E2236" t="str">
        <f>"080065347731"</f>
        <v>080065347731</v>
      </c>
      <c r="F2236" s="3">
        <v>45790</v>
      </c>
      <c r="G2236">
        <v>202602</v>
      </c>
      <c r="H2236" t="s">
        <v>75</v>
      </c>
      <c r="I2236" t="s">
        <v>76</v>
      </c>
      <c r="J2236" t="s">
        <v>1791</v>
      </c>
      <c r="K2236" t="s">
        <v>78</v>
      </c>
      <c r="L2236" t="s">
        <v>136</v>
      </c>
      <c r="M2236" t="s">
        <v>137</v>
      </c>
      <c r="N2236" t="s">
        <v>2603</v>
      </c>
      <c r="O2236" t="s">
        <v>300</v>
      </c>
      <c r="P2236" t="str">
        <f>"4170038005                    "</f>
        <v xml:space="preserve">4170038005                    </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0</v>
      </c>
      <c r="AL2236">
        <v>0</v>
      </c>
      <c r="AM2236">
        <v>0</v>
      </c>
      <c r="AN2236">
        <v>0</v>
      </c>
      <c r="AO2236">
        <v>0</v>
      </c>
      <c r="AP2236">
        <v>0</v>
      </c>
      <c r="AQ2236">
        <v>41.35</v>
      </c>
      <c r="AR2236">
        <v>0</v>
      </c>
      <c r="AS2236">
        <v>0</v>
      </c>
      <c r="AT2236">
        <v>0</v>
      </c>
      <c r="AU2236">
        <v>0</v>
      </c>
      <c r="AV2236">
        <v>0</v>
      </c>
      <c r="AW2236">
        <v>0</v>
      </c>
      <c r="AX2236">
        <v>0</v>
      </c>
      <c r="AY2236">
        <v>0</v>
      </c>
      <c r="AZ2236">
        <v>0</v>
      </c>
      <c r="BA2236">
        <v>0</v>
      </c>
      <c r="BB2236">
        <v>0</v>
      </c>
      <c r="BC2236">
        <v>0</v>
      </c>
      <c r="BD2236">
        <v>0</v>
      </c>
      <c r="BE2236">
        <v>0</v>
      </c>
      <c r="BF2236">
        <v>0</v>
      </c>
      <c r="BG2236">
        <v>0</v>
      </c>
      <c r="BH2236">
        <v>1</v>
      </c>
      <c r="BI2236">
        <v>5</v>
      </c>
      <c r="BJ2236">
        <v>1.1000000000000001</v>
      </c>
      <c r="BK2236">
        <v>5</v>
      </c>
      <c r="BL2236">
        <v>140.9</v>
      </c>
      <c r="BM2236">
        <v>21.14</v>
      </c>
      <c r="BN2236">
        <v>162.04</v>
      </c>
      <c r="BO2236">
        <v>162.04</v>
      </c>
      <c r="BQ2236" t="s">
        <v>2604</v>
      </c>
      <c r="BR2236" t="s">
        <v>1793</v>
      </c>
      <c r="BS2236" s="3">
        <v>45791</v>
      </c>
      <c r="BT2236" s="4">
        <v>0.4861111111111111</v>
      </c>
      <c r="BU2236" t="s">
        <v>2605</v>
      </c>
      <c r="BV2236" t="s">
        <v>86</v>
      </c>
      <c r="BY2236">
        <v>5320</v>
      </c>
      <c r="BZ2236" t="s">
        <v>1795</v>
      </c>
      <c r="CA2236" t="s">
        <v>2606</v>
      </c>
      <c r="CC2236" t="s">
        <v>137</v>
      </c>
      <c r="CD2236" s="5" t="s">
        <v>1786</v>
      </c>
      <c r="CE2236" t="s">
        <v>408</v>
      </c>
      <c r="CF2236" s="3">
        <v>45791</v>
      </c>
      <c r="CI2236">
        <v>1</v>
      </c>
      <c r="CJ2236">
        <v>1</v>
      </c>
      <c r="CK2236">
        <v>41</v>
      </c>
      <c r="CL2236" t="s">
        <v>89</v>
      </c>
    </row>
    <row r="2237" spans="1:90" x14ac:dyDescent="0.3">
      <c r="A2237" t="s">
        <v>72</v>
      </c>
      <c r="B2237" t="s">
        <v>73</v>
      </c>
      <c r="C2237" t="s">
        <v>74</v>
      </c>
      <c r="E2237" t="str">
        <f>"080065352117"</f>
        <v>080065352117</v>
      </c>
      <c r="F2237" s="3">
        <v>45790</v>
      </c>
      <c r="G2237">
        <v>202602</v>
      </c>
      <c r="H2237" t="s">
        <v>75</v>
      </c>
      <c r="I2237" t="s">
        <v>76</v>
      </c>
      <c r="J2237" t="s">
        <v>77</v>
      </c>
      <c r="K2237" t="s">
        <v>78</v>
      </c>
      <c r="L2237" t="s">
        <v>526</v>
      </c>
      <c r="M2237" t="s">
        <v>527</v>
      </c>
      <c r="N2237" t="s">
        <v>528</v>
      </c>
      <c r="O2237" t="s">
        <v>300</v>
      </c>
      <c r="P2237" t="str">
        <f>"4170038060                    "</f>
        <v xml:space="preserve">4170038060                    </v>
      </c>
      <c r="Q2237">
        <v>0</v>
      </c>
      <c r="R2237">
        <v>0</v>
      </c>
      <c r="S2237">
        <v>0</v>
      </c>
      <c r="T2237">
        <v>0</v>
      </c>
      <c r="U2237">
        <v>0</v>
      </c>
      <c r="V2237">
        <v>0</v>
      </c>
      <c r="W2237">
        <v>0</v>
      </c>
      <c r="X2237">
        <v>0</v>
      </c>
      <c r="Y2237">
        <v>0</v>
      </c>
      <c r="Z2237">
        <v>0</v>
      </c>
      <c r="AA2237">
        <v>0</v>
      </c>
      <c r="AB2237">
        <v>0</v>
      </c>
      <c r="AC2237">
        <v>0</v>
      </c>
      <c r="AD2237">
        <v>0</v>
      </c>
      <c r="AE2237">
        <v>0</v>
      </c>
      <c r="AF2237">
        <v>0</v>
      </c>
      <c r="AG2237">
        <v>0</v>
      </c>
      <c r="AH2237">
        <v>0</v>
      </c>
      <c r="AI2237">
        <v>0</v>
      </c>
      <c r="AJ2237">
        <v>0</v>
      </c>
      <c r="AK2237">
        <v>0</v>
      </c>
      <c r="AL2237">
        <v>0</v>
      </c>
      <c r="AM2237">
        <v>0</v>
      </c>
      <c r="AN2237">
        <v>0</v>
      </c>
      <c r="AO2237">
        <v>0</v>
      </c>
      <c r="AP2237">
        <v>0</v>
      </c>
      <c r="AQ2237">
        <v>45.67</v>
      </c>
      <c r="AR2237">
        <v>0</v>
      </c>
      <c r="AS2237">
        <v>0</v>
      </c>
      <c r="AT2237">
        <v>0</v>
      </c>
      <c r="AU2237">
        <v>0</v>
      </c>
      <c r="AV2237">
        <v>0</v>
      </c>
      <c r="AW2237">
        <v>0</v>
      </c>
      <c r="AX2237">
        <v>0</v>
      </c>
      <c r="AY2237">
        <v>0</v>
      </c>
      <c r="AZ2237">
        <v>0</v>
      </c>
      <c r="BA2237">
        <v>0</v>
      </c>
      <c r="BB2237">
        <v>0</v>
      </c>
      <c r="BC2237">
        <v>0</v>
      </c>
      <c r="BD2237">
        <v>0</v>
      </c>
      <c r="BE2237">
        <v>0</v>
      </c>
      <c r="BF2237">
        <v>0</v>
      </c>
      <c r="BG2237">
        <v>0</v>
      </c>
      <c r="BH2237">
        <v>1</v>
      </c>
      <c r="BI2237">
        <v>7</v>
      </c>
      <c r="BJ2237">
        <v>2.8</v>
      </c>
      <c r="BK2237">
        <v>7</v>
      </c>
      <c r="BL2237">
        <v>155.03</v>
      </c>
      <c r="BM2237">
        <v>23.25</v>
      </c>
      <c r="BN2237">
        <v>178.28</v>
      </c>
      <c r="BO2237">
        <v>178.28</v>
      </c>
      <c r="BQ2237" t="s">
        <v>529</v>
      </c>
      <c r="BR2237" t="s">
        <v>84</v>
      </c>
      <c r="BS2237" s="3">
        <v>45791</v>
      </c>
      <c r="BT2237" s="4">
        <v>0.48541666666666666</v>
      </c>
      <c r="BU2237" t="s">
        <v>2607</v>
      </c>
      <c r="BV2237" t="s">
        <v>86</v>
      </c>
      <c r="BY2237">
        <v>14112</v>
      </c>
      <c r="BZ2237" t="s">
        <v>1795</v>
      </c>
      <c r="CA2237" t="s">
        <v>2080</v>
      </c>
      <c r="CC2237" t="s">
        <v>527</v>
      </c>
      <c r="CD2237">
        <v>1760</v>
      </c>
      <c r="CE2237" t="s">
        <v>221</v>
      </c>
      <c r="CF2237" s="3">
        <v>45791</v>
      </c>
      <c r="CI2237">
        <v>1</v>
      </c>
      <c r="CJ2237">
        <v>1</v>
      </c>
      <c r="CK2237">
        <v>44</v>
      </c>
      <c r="CL2237" t="s">
        <v>89</v>
      </c>
    </row>
    <row r="2238" spans="1:90" x14ac:dyDescent="0.3">
      <c r="A2238" t="s">
        <v>72</v>
      </c>
      <c r="B2238" t="s">
        <v>73</v>
      </c>
      <c r="C2238" t="s">
        <v>74</v>
      </c>
      <c r="E2238" t="str">
        <f>"080065353772"</f>
        <v>080065353772</v>
      </c>
      <c r="F2238" s="3">
        <v>45790</v>
      </c>
      <c r="G2238">
        <v>202602</v>
      </c>
      <c r="H2238" t="s">
        <v>75</v>
      </c>
      <c r="I2238" t="s">
        <v>76</v>
      </c>
      <c r="J2238" t="s">
        <v>77</v>
      </c>
      <c r="K2238" t="s">
        <v>78</v>
      </c>
      <c r="L2238" t="s">
        <v>624</v>
      </c>
      <c r="M2238" t="s">
        <v>625</v>
      </c>
      <c r="N2238" t="s">
        <v>626</v>
      </c>
      <c r="O2238" t="s">
        <v>300</v>
      </c>
      <c r="P2238" t="str">
        <f>"4170038228                    "</f>
        <v xml:space="preserve">4170038228                    </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0</v>
      </c>
      <c r="AL2238">
        <v>0</v>
      </c>
      <c r="AM2238">
        <v>0</v>
      </c>
      <c r="AN2238">
        <v>0</v>
      </c>
      <c r="AO2238">
        <v>0</v>
      </c>
      <c r="AP2238">
        <v>0</v>
      </c>
      <c r="AQ2238">
        <v>58.32</v>
      </c>
      <c r="AR2238">
        <v>0</v>
      </c>
      <c r="AS2238">
        <v>0</v>
      </c>
      <c r="AT2238">
        <v>0</v>
      </c>
      <c r="AU2238">
        <v>0</v>
      </c>
      <c r="AV2238">
        <v>0</v>
      </c>
      <c r="AW2238">
        <v>0</v>
      </c>
      <c r="AX2238">
        <v>0</v>
      </c>
      <c r="AY2238">
        <v>0</v>
      </c>
      <c r="AZ2238">
        <v>0</v>
      </c>
      <c r="BA2238">
        <v>0</v>
      </c>
      <c r="BB2238">
        <v>0</v>
      </c>
      <c r="BC2238">
        <v>0</v>
      </c>
      <c r="BD2238">
        <v>0</v>
      </c>
      <c r="BE2238">
        <v>0</v>
      </c>
      <c r="BF2238">
        <v>0</v>
      </c>
      <c r="BG2238">
        <v>0</v>
      </c>
      <c r="BH2238">
        <v>1</v>
      </c>
      <c r="BI2238">
        <v>6</v>
      </c>
      <c r="BJ2238">
        <v>2.2000000000000002</v>
      </c>
      <c r="BK2238">
        <v>6</v>
      </c>
      <c r="BL2238">
        <v>196.44</v>
      </c>
      <c r="BM2238">
        <v>29.47</v>
      </c>
      <c r="BN2238">
        <v>225.91</v>
      </c>
      <c r="BO2238">
        <v>225.91</v>
      </c>
      <c r="BQ2238" t="s">
        <v>627</v>
      </c>
      <c r="BR2238" t="s">
        <v>84</v>
      </c>
      <c r="BS2238" s="3">
        <v>45791</v>
      </c>
      <c r="BT2238" s="4">
        <v>0.33333333333333331</v>
      </c>
      <c r="BU2238" t="s">
        <v>1674</v>
      </c>
      <c r="BV2238" t="s">
        <v>86</v>
      </c>
      <c r="BY2238">
        <v>10830</v>
      </c>
      <c r="BZ2238" t="s">
        <v>1795</v>
      </c>
      <c r="CC2238" t="s">
        <v>625</v>
      </c>
      <c r="CD2238">
        <v>1947</v>
      </c>
      <c r="CE2238" t="s">
        <v>419</v>
      </c>
      <c r="CF2238" s="3">
        <v>45791</v>
      </c>
      <c r="CI2238">
        <v>1</v>
      </c>
      <c r="CJ2238">
        <v>1</v>
      </c>
      <c r="CK2238">
        <v>43</v>
      </c>
      <c r="CL2238" t="s">
        <v>89</v>
      </c>
    </row>
    <row r="2239" spans="1:90" x14ac:dyDescent="0.3">
      <c r="A2239" t="s">
        <v>72</v>
      </c>
      <c r="B2239" t="s">
        <v>73</v>
      </c>
      <c r="C2239" t="s">
        <v>74</v>
      </c>
      <c r="E2239" t="str">
        <f>"080065367899"</f>
        <v>080065367899</v>
      </c>
      <c r="F2239" s="3">
        <v>45791</v>
      </c>
      <c r="G2239">
        <v>202602</v>
      </c>
      <c r="H2239" t="s">
        <v>75</v>
      </c>
      <c r="I2239" t="s">
        <v>76</v>
      </c>
      <c r="J2239" t="s">
        <v>77</v>
      </c>
      <c r="K2239" t="s">
        <v>78</v>
      </c>
      <c r="L2239" t="s">
        <v>136</v>
      </c>
      <c r="M2239" t="s">
        <v>137</v>
      </c>
      <c r="N2239" t="s">
        <v>925</v>
      </c>
      <c r="O2239" t="s">
        <v>300</v>
      </c>
      <c r="P2239" t="str">
        <f>"4170038105                    "</f>
        <v xml:space="preserve">4170038105                    </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c r="AJ2239">
        <v>0</v>
      </c>
      <c r="AK2239">
        <v>0</v>
      </c>
      <c r="AL2239">
        <v>0</v>
      </c>
      <c r="AM2239">
        <v>0</v>
      </c>
      <c r="AN2239">
        <v>0</v>
      </c>
      <c r="AO2239">
        <v>0</v>
      </c>
      <c r="AP2239">
        <v>0</v>
      </c>
      <c r="AQ2239">
        <v>41.35</v>
      </c>
      <c r="AR2239">
        <v>0</v>
      </c>
      <c r="AS2239">
        <v>0</v>
      </c>
      <c r="AT2239">
        <v>0</v>
      </c>
      <c r="AU2239">
        <v>0</v>
      </c>
      <c r="AV2239">
        <v>0</v>
      </c>
      <c r="AW2239">
        <v>0</v>
      </c>
      <c r="AX2239">
        <v>0</v>
      </c>
      <c r="AY2239">
        <v>0</v>
      </c>
      <c r="AZ2239">
        <v>0</v>
      </c>
      <c r="BA2239">
        <v>0</v>
      </c>
      <c r="BB2239">
        <v>0</v>
      </c>
      <c r="BC2239">
        <v>0</v>
      </c>
      <c r="BD2239">
        <v>0</v>
      </c>
      <c r="BE2239">
        <v>0</v>
      </c>
      <c r="BF2239">
        <v>0</v>
      </c>
      <c r="BG2239">
        <v>0</v>
      </c>
      <c r="BH2239">
        <v>1</v>
      </c>
      <c r="BI2239">
        <v>5</v>
      </c>
      <c r="BJ2239">
        <v>3.4</v>
      </c>
      <c r="BK2239">
        <v>5</v>
      </c>
      <c r="BL2239">
        <v>140.9</v>
      </c>
      <c r="BM2239">
        <v>21.14</v>
      </c>
      <c r="BN2239">
        <v>162.04</v>
      </c>
      <c r="BO2239">
        <v>162.04</v>
      </c>
      <c r="BQ2239" t="s">
        <v>926</v>
      </c>
      <c r="BR2239" t="s">
        <v>84</v>
      </c>
      <c r="BS2239" s="3">
        <v>45792</v>
      </c>
      <c r="BT2239" s="4">
        <v>0.42638888888888887</v>
      </c>
      <c r="BU2239" t="s">
        <v>1959</v>
      </c>
      <c r="BV2239" t="s">
        <v>86</v>
      </c>
      <c r="BY2239">
        <v>16965</v>
      </c>
      <c r="BZ2239" t="s">
        <v>1795</v>
      </c>
      <c r="CA2239" t="s">
        <v>141</v>
      </c>
      <c r="CC2239" t="s">
        <v>137</v>
      </c>
      <c r="CD2239" s="5" t="s">
        <v>142</v>
      </c>
      <c r="CE2239" t="s">
        <v>419</v>
      </c>
      <c r="CF2239" s="3">
        <v>45792</v>
      </c>
      <c r="CI2239">
        <v>1</v>
      </c>
      <c r="CJ2239">
        <v>1</v>
      </c>
      <c r="CK2239">
        <v>41</v>
      </c>
      <c r="CL2239" t="s">
        <v>89</v>
      </c>
    </row>
    <row r="2240" spans="1:90" x14ac:dyDescent="0.3">
      <c r="A2240" t="s">
        <v>72</v>
      </c>
      <c r="B2240" t="s">
        <v>73</v>
      </c>
      <c r="C2240" t="s">
        <v>74</v>
      </c>
      <c r="E2240" t="str">
        <f>"080065370286"</f>
        <v>080065370286</v>
      </c>
      <c r="F2240" s="3">
        <v>45791</v>
      </c>
      <c r="G2240">
        <v>202602</v>
      </c>
      <c r="H2240" t="s">
        <v>75</v>
      </c>
      <c r="I2240" t="s">
        <v>76</v>
      </c>
      <c r="J2240" t="s">
        <v>77</v>
      </c>
      <c r="K2240" t="s">
        <v>78</v>
      </c>
      <c r="L2240" t="s">
        <v>136</v>
      </c>
      <c r="M2240" t="s">
        <v>137</v>
      </c>
      <c r="N2240" t="s">
        <v>441</v>
      </c>
      <c r="O2240" t="s">
        <v>300</v>
      </c>
      <c r="P2240" t="str">
        <f>"4170038293                    "</f>
        <v xml:space="preserve">4170038293                    </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c r="AJ2240">
        <v>0</v>
      </c>
      <c r="AK2240">
        <v>0</v>
      </c>
      <c r="AL2240">
        <v>0</v>
      </c>
      <c r="AM2240">
        <v>0</v>
      </c>
      <c r="AN2240">
        <v>0</v>
      </c>
      <c r="AO2240">
        <v>0</v>
      </c>
      <c r="AP2240">
        <v>0</v>
      </c>
      <c r="AQ2240">
        <v>41.35</v>
      </c>
      <c r="AR2240">
        <v>0</v>
      </c>
      <c r="AS2240">
        <v>0</v>
      </c>
      <c r="AT2240">
        <v>0</v>
      </c>
      <c r="AU2240">
        <v>0</v>
      </c>
      <c r="AV2240">
        <v>0</v>
      </c>
      <c r="AW2240">
        <v>0</v>
      </c>
      <c r="AX2240">
        <v>0</v>
      </c>
      <c r="AY2240">
        <v>0</v>
      </c>
      <c r="AZ2240">
        <v>0</v>
      </c>
      <c r="BA2240">
        <v>0</v>
      </c>
      <c r="BB2240">
        <v>0</v>
      </c>
      <c r="BC2240">
        <v>0</v>
      </c>
      <c r="BD2240">
        <v>0</v>
      </c>
      <c r="BE2240">
        <v>0</v>
      </c>
      <c r="BF2240">
        <v>0</v>
      </c>
      <c r="BG2240">
        <v>0</v>
      </c>
      <c r="BH2240">
        <v>1</v>
      </c>
      <c r="BI2240">
        <v>4</v>
      </c>
      <c r="BJ2240">
        <v>1.7</v>
      </c>
      <c r="BK2240">
        <v>4</v>
      </c>
      <c r="BL2240">
        <v>140.9</v>
      </c>
      <c r="BM2240">
        <v>21.14</v>
      </c>
      <c r="BN2240">
        <v>162.04</v>
      </c>
      <c r="BO2240">
        <v>162.04</v>
      </c>
      <c r="BQ2240" t="s">
        <v>442</v>
      </c>
      <c r="BR2240" t="s">
        <v>84</v>
      </c>
      <c r="BS2240" s="3">
        <v>45792</v>
      </c>
      <c r="BT2240" s="4">
        <v>0.41666666666666669</v>
      </c>
      <c r="BU2240" t="s">
        <v>2608</v>
      </c>
      <c r="BV2240" t="s">
        <v>86</v>
      </c>
      <c r="BY2240">
        <v>8512</v>
      </c>
      <c r="BZ2240" t="s">
        <v>1795</v>
      </c>
      <c r="CA2240" t="s">
        <v>2273</v>
      </c>
      <c r="CC2240" t="s">
        <v>137</v>
      </c>
      <c r="CD2240" s="5" t="s">
        <v>444</v>
      </c>
      <c r="CE2240" t="s">
        <v>408</v>
      </c>
      <c r="CF2240" s="3">
        <v>45792</v>
      </c>
      <c r="CI2240">
        <v>1</v>
      </c>
      <c r="CJ2240">
        <v>1</v>
      </c>
      <c r="CK2240">
        <v>41</v>
      </c>
      <c r="CL2240" t="s">
        <v>89</v>
      </c>
    </row>
    <row r="2241" spans="1:90" x14ac:dyDescent="0.3">
      <c r="A2241" t="s">
        <v>72</v>
      </c>
      <c r="B2241" t="s">
        <v>73</v>
      </c>
      <c r="C2241" t="s">
        <v>74</v>
      </c>
      <c r="E2241" t="str">
        <f>"080065371838"</f>
        <v>080065371838</v>
      </c>
      <c r="F2241" s="3">
        <v>45791</v>
      </c>
      <c r="G2241">
        <v>202602</v>
      </c>
      <c r="H2241" t="s">
        <v>75</v>
      </c>
      <c r="I2241" t="s">
        <v>76</v>
      </c>
      <c r="J2241" t="s">
        <v>77</v>
      </c>
      <c r="K2241" t="s">
        <v>78</v>
      </c>
      <c r="L2241" t="s">
        <v>136</v>
      </c>
      <c r="M2241" t="s">
        <v>137</v>
      </c>
      <c r="N2241" t="s">
        <v>441</v>
      </c>
      <c r="O2241" t="s">
        <v>300</v>
      </c>
      <c r="P2241" t="str">
        <f>"4170038297                    "</f>
        <v xml:space="preserve">4170038297                    </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c r="AJ2241">
        <v>0</v>
      </c>
      <c r="AK2241">
        <v>0</v>
      </c>
      <c r="AL2241">
        <v>0</v>
      </c>
      <c r="AM2241">
        <v>0</v>
      </c>
      <c r="AN2241">
        <v>0</v>
      </c>
      <c r="AO2241">
        <v>0</v>
      </c>
      <c r="AP2241">
        <v>0</v>
      </c>
      <c r="AQ2241">
        <v>41.35</v>
      </c>
      <c r="AR2241">
        <v>0</v>
      </c>
      <c r="AS2241">
        <v>0</v>
      </c>
      <c r="AT2241">
        <v>0</v>
      </c>
      <c r="AU2241">
        <v>0</v>
      </c>
      <c r="AV2241">
        <v>0</v>
      </c>
      <c r="AW2241">
        <v>0</v>
      </c>
      <c r="AX2241">
        <v>0</v>
      </c>
      <c r="AY2241">
        <v>0</v>
      </c>
      <c r="AZ2241">
        <v>0</v>
      </c>
      <c r="BA2241">
        <v>0</v>
      </c>
      <c r="BB2241">
        <v>0</v>
      </c>
      <c r="BC2241">
        <v>0</v>
      </c>
      <c r="BD2241">
        <v>0</v>
      </c>
      <c r="BE2241">
        <v>0</v>
      </c>
      <c r="BF2241">
        <v>0</v>
      </c>
      <c r="BG2241">
        <v>0</v>
      </c>
      <c r="BH2241">
        <v>1</v>
      </c>
      <c r="BI2241">
        <v>4</v>
      </c>
      <c r="BJ2241">
        <v>1.7</v>
      </c>
      <c r="BK2241">
        <v>4</v>
      </c>
      <c r="BL2241">
        <v>140.9</v>
      </c>
      <c r="BM2241">
        <v>21.14</v>
      </c>
      <c r="BN2241">
        <v>162.04</v>
      </c>
      <c r="BO2241">
        <v>162.04</v>
      </c>
      <c r="BQ2241" t="s">
        <v>442</v>
      </c>
      <c r="BR2241" t="s">
        <v>84</v>
      </c>
      <c r="BS2241" s="3">
        <v>45792</v>
      </c>
      <c r="BT2241" s="4">
        <v>0.41666666666666669</v>
      </c>
      <c r="BU2241" t="s">
        <v>2608</v>
      </c>
      <c r="BV2241" t="s">
        <v>86</v>
      </c>
      <c r="BY2241">
        <v>8512</v>
      </c>
      <c r="BZ2241" t="s">
        <v>1795</v>
      </c>
      <c r="CA2241" t="s">
        <v>2273</v>
      </c>
      <c r="CC2241" t="s">
        <v>137</v>
      </c>
      <c r="CD2241" s="5" t="s">
        <v>444</v>
      </c>
      <c r="CE2241" t="s">
        <v>408</v>
      </c>
      <c r="CF2241" s="3">
        <v>45792</v>
      </c>
      <c r="CI2241">
        <v>1</v>
      </c>
      <c r="CJ2241">
        <v>1</v>
      </c>
      <c r="CK2241">
        <v>41</v>
      </c>
      <c r="CL2241" t="s">
        <v>89</v>
      </c>
    </row>
    <row r="2242" spans="1:90" x14ac:dyDescent="0.3">
      <c r="A2242" t="s">
        <v>72</v>
      </c>
      <c r="B2242" t="s">
        <v>73</v>
      </c>
      <c r="C2242" t="s">
        <v>74</v>
      </c>
      <c r="E2242" t="str">
        <f>"080065372195"</f>
        <v>080065372195</v>
      </c>
      <c r="F2242" s="3">
        <v>45791</v>
      </c>
      <c r="G2242">
        <v>202602</v>
      </c>
      <c r="H2242" t="s">
        <v>75</v>
      </c>
      <c r="I2242" t="s">
        <v>76</v>
      </c>
      <c r="J2242" t="s">
        <v>77</v>
      </c>
      <c r="K2242" t="s">
        <v>78</v>
      </c>
      <c r="L2242" t="s">
        <v>222</v>
      </c>
      <c r="M2242" t="s">
        <v>223</v>
      </c>
      <c r="N2242" t="s">
        <v>1369</v>
      </c>
      <c r="O2242" t="s">
        <v>300</v>
      </c>
      <c r="P2242" t="str">
        <f>"4170038465                    "</f>
        <v xml:space="preserve">4170038465                    </v>
      </c>
      <c r="Q2242">
        <v>0</v>
      </c>
      <c r="R2242">
        <v>0</v>
      </c>
      <c r="S2242">
        <v>0</v>
      </c>
      <c r="T2242">
        <v>0</v>
      </c>
      <c r="U2242">
        <v>0</v>
      </c>
      <c r="V2242">
        <v>0</v>
      </c>
      <c r="W2242">
        <v>0</v>
      </c>
      <c r="X2242">
        <v>0</v>
      </c>
      <c r="Y2242">
        <v>0</v>
      </c>
      <c r="Z2242">
        <v>0</v>
      </c>
      <c r="AA2242">
        <v>0</v>
      </c>
      <c r="AB2242">
        <v>0</v>
      </c>
      <c r="AC2242">
        <v>0</v>
      </c>
      <c r="AD2242">
        <v>0</v>
      </c>
      <c r="AE2242">
        <v>0</v>
      </c>
      <c r="AF2242">
        <v>0</v>
      </c>
      <c r="AG2242">
        <v>0</v>
      </c>
      <c r="AH2242">
        <v>0</v>
      </c>
      <c r="AI2242">
        <v>0</v>
      </c>
      <c r="AJ2242">
        <v>0</v>
      </c>
      <c r="AK2242">
        <v>0</v>
      </c>
      <c r="AL2242">
        <v>0</v>
      </c>
      <c r="AM2242">
        <v>0</v>
      </c>
      <c r="AN2242">
        <v>0</v>
      </c>
      <c r="AO2242">
        <v>0</v>
      </c>
      <c r="AP2242">
        <v>0</v>
      </c>
      <c r="AQ2242">
        <v>45.67</v>
      </c>
      <c r="AR2242">
        <v>0</v>
      </c>
      <c r="AS2242">
        <v>0</v>
      </c>
      <c r="AT2242">
        <v>0</v>
      </c>
      <c r="AU2242">
        <v>0</v>
      </c>
      <c r="AV2242">
        <v>0</v>
      </c>
      <c r="AW2242">
        <v>0</v>
      </c>
      <c r="AX2242">
        <v>0</v>
      </c>
      <c r="AY2242">
        <v>0</v>
      </c>
      <c r="AZ2242">
        <v>0</v>
      </c>
      <c r="BA2242">
        <v>0</v>
      </c>
      <c r="BB2242">
        <v>0</v>
      </c>
      <c r="BC2242">
        <v>0</v>
      </c>
      <c r="BD2242">
        <v>0</v>
      </c>
      <c r="BE2242">
        <v>0</v>
      </c>
      <c r="BF2242">
        <v>0</v>
      </c>
      <c r="BG2242">
        <v>0</v>
      </c>
      <c r="BH2242">
        <v>1</v>
      </c>
      <c r="BI2242">
        <v>3</v>
      </c>
      <c r="BJ2242">
        <v>8.9</v>
      </c>
      <c r="BK2242">
        <v>9</v>
      </c>
      <c r="BL2242">
        <v>155.03</v>
      </c>
      <c r="BM2242">
        <v>23.25</v>
      </c>
      <c r="BN2242">
        <v>178.28</v>
      </c>
      <c r="BO2242">
        <v>178.28</v>
      </c>
      <c r="BQ2242" t="s">
        <v>1370</v>
      </c>
      <c r="BR2242" t="s">
        <v>84</v>
      </c>
      <c r="BS2242" s="3">
        <v>45792</v>
      </c>
      <c r="BT2242" s="4">
        <v>0.33680555555555558</v>
      </c>
      <c r="BU2242" t="s">
        <v>1922</v>
      </c>
      <c r="BV2242" t="s">
        <v>86</v>
      </c>
      <c r="BY2242">
        <v>44640</v>
      </c>
      <c r="BZ2242" t="s">
        <v>1795</v>
      </c>
      <c r="CA2242" t="s">
        <v>592</v>
      </c>
      <c r="CC2242" t="s">
        <v>223</v>
      </c>
      <c r="CD2242">
        <v>1748</v>
      </c>
      <c r="CE2242" t="s">
        <v>419</v>
      </c>
      <c r="CF2242" s="3">
        <v>45793</v>
      </c>
      <c r="CI2242">
        <v>1</v>
      </c>
      <c r="CJ2242">
        <v>1</v>
      </c>
      <c r="CK2242">
        <v>44</v>
      </c>
      <c r="CL2242" t="s">
        <v>89</v>
      </c>
    </row>
    <row r="2243" spans="1:90" x14ac:dyDescent="0.3">
      <c r="A2243" t="s">
        <v>72</v>
      </c>
      <c r="B2243" t="s">
        <v>73</v>
      </c>
      <c r="C2243" t="s">
        <v>74</v>
      </c>
      <c r="E2243" t="str">
        <f>"080065374695"</f>
        <v>080065374695</v>
      </c>
      <c r="F2243" s="3">
        <v>45791</v>
      </c>
      <c r="G2243">
        <v>202602</v>
      </c>
      <c r="H2243" t="s">
        <v>75</v>
      </c>
      <c r="I2243" t="s">
        <v>76</v>
      </c>
      <c r="J2243" t="s">
        <v>77</v>
      </c>
      <c r="K2243" t="s">
        <v>78</v>
      </c>
      <c r="L2243" t="s">
        <v>1355</v>
      </c>
      <c r="M2243" t="s">
        <v>1356</v>
      </c>
      <c r="N2243" t="s">
        <v>1357</v>
      </c>
      <c r="O2243" t="s">
        <v>300</v>
      </c>
      <c r="P2243" t="str">
        <f>"4170038491                    "</f>
        <v xml:space="preserve">4170038491                    </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c r="AI2243">
        <v>0</v>
      </c>
      <c r="AJ2243">
        <v>0</v>
      </c>
      <c r="AK2243">
        <v>0</v>
      </c>
      <c r="AL2243">
        <v>0</v>
      </c>
      <c r="AM2243">
        <v>0</v>
      </c>
      <c r="AN2243">
        <v>0</v>
      </c>
      <c r="AO2243">
        <v>0</v>
      </c>
      <c r="AP2243">
        <v>0</v>
      </c>
      <c r="AQ2243">
        <v>45.67</v>
      </c>
      <c r="AR2243">
        <v>0</v>
      </c>
      <c r="AS2243">
        <v>0</v>
      </c>
      <c r="AT2243">
        <v>0</v>
      </c>
      <c r="AU2243">
        <v>0</v>
      </c>
      <c r="AV2243">
        <v>0</v>
      </c>
      <c r="AW2243">
        <v>0</v>
      </c>
      <c r="AX2243">
        <v>0</v>
      </c>
      <c r="AY2243">
        <v>0</v>
      </c>
      <c r="AZ2243">
        <v>0</v>
      </c>
      <c r="BA2243">
        <v>0</v>
      </c>
      <c r="BB2243">
        <v>0</v>
      </c>
      <c r="BC2243">
        <v>0</v>
      </c>
      <c r="BD2243">
        <v>0</v>
      </c>
      <c r="BE2243">
        <v>0</v>
      </c>
      <c r="BF2243">
        <v>0</v>
      </c>
      <c r="BG2243">
        <v>0</v>
      </c>
      <c r="BH2243">
        <v>1</v>
      </c>
      <c r="BI2243">
        <v>3</v>
      </c>
      <c r="BJ2243">
        <v>1.7</v>
      </c>
      <c r="BK2243">
        <v>3</v>
      </c>
      <c r="BL2243">
        <v>155.03</v>
      </c>
      <c r="BM2243">
        <v>23.25</v>
      </c>
      <c r="BN2243">
        <v>178.28</v>
      </c>
      <c r="BO2243">
        <v>178.28</v>
      </c>
      <c r="BQ2243" t="s">
        <v>1358</v>
      </c>
      <c r="BR2243" t="s">
        <v>84</v>
      </c>
      <c r="BS2243" s="3">
        <v>45792</v>
      </c>
      <c r="BT2243" s="4">
        <v>0.35694444444444445</v>
      </c>
      <c r="BU2243" t="s">
        <v>1359</v>
      </c>
      <c r="BV2243" t="s">
        <v>86</v>
      </c>
      <c r="BY2243">
        <v>8550</v>
      </c>
      <c r="BZ2243" t="s">
        <v>1795</v>
      </c>
      <c r="CA2243" t="s">
        <v>1360</v>
      </c>
      <c r="CC2243" t="s">
        <v>1356</v>
      </c>
      <c r="CD2243">
        <v>2410</v>
      </c>
      <c r="CE2243" t="s">
        <v>408</v>
      </c>
      <c r="CF2243" s="3">
        <v>45792</v>
      </c>
      <c r="CI2243">
        <v>1</v>
      </c>
      <c r="CJ2243">
        <v>1</v>
      </c>
      <c r="CK2243">
        <v>44</v>
      </c>
      <c r="CL2243" t="s">
        <v>89</v>
      </c>
    </row>
    <row r="2244" spans="1:90" x14ac:dyDescent="0.3">
      <c r="A2244" t="s">
        <v>72</v>
      </c>
      <c r="B2244" t="s">
        <v>73</v>
      </c>
      <c r="C2244" t="s">
        <v>74</v>
      </c>
      <c r="E2244" t="str">
        <f>"080065388180"</f>
        <v>080065388180</v>
      </c>
      <c r="F2244" s="3">
        <v>45792</v>
      </c>
      <c r="G2244">
        <v>202602</v>
      </c>
      <c r="H2244" t="s">
        <v>75</v>
      </c>
      <c r="I2244" t="s">
        <v>76</v>
      </c>
      <c r="J2244" t="s">
        <v>77</v>
      </c>
      <c r="K2244" t="s">
        <v>78</v>
      </c>
      <c r="L2244" t="s">
        <v>871</v>
      </c>
      <c r="M2244" t="s">
        <v>872</v>
      </c>
      <c r="N2244" t="s">
        <v>1340</v>
      </c>
      <c r="O2244" t="s">
        <v>300</v>
      </c>
      <c r="P2244" t="str">
        <f>"4170038717                    "</f>
        <v xml:space="preserve">4170038717                    </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0</v>
      </c>
      <c r="AL2244">
        <v>0</v>
      </c>
      <c r="AM2244">
        <v>0</v>
      </c>
      <c r="AN2244">
        <v>0</v>
      </c>
      <c r="AO2244">
        <v>0</v>
      </c>
      <c r="AP2244">
        <v>0</v>
      </c>
      <c r="AQ2244">
        <v>58.32</v>
      </c>
      <c r="AR2244">
        <v>0</v>
      </c>
      <c r="AS2244">
        <v>0</v>
      </c>
      <c r="AT2244">
        <v>0</v>
      </c>
      <c r="AU2244">
        <v>0</v>
      </c>
      <c r="AV2244">
        <v>0</v>
      </c>
      <c r="AW2244">
        <v>0</v>
      </c>
      <c r="AX2244">
        <v>0</v>
      </c>
      <c r="AY2244">
        <v>0</v>
      </c>
      <c r="AZ2244">
        <v>0</v>
      </c>
      <c r="BA2244">
        <v>0</v>
      </c>
      <c r="BB2244">
        <v>0</v>
      </c>
      <c r="BC2244">
        <v>0</v>
      </c>
      <c r="BD2244">
        <v>0</v>
      </c>
      <c r="BE2244">
        <v>0</v>
      </c>
      <c r="BF2244">
        <v>0</v>
      </c>
      <c r="BG2244">
        <v>0</v>
      </c>
      <c r="BH2244">
        <v>1</v>
      </c>
      <c r="BI2244">
        <v>4</v>
      </c>
      <c r="BJ2244">
        <v>0.9</v>
      </c>
      <c r="BK2244">
        <v>4</v>
      </c>
      <c r="BL2244">
        <v>196.44</v>
      </c>
      <c r="BM2244">
        <v>29.47</v>
      </c>
      <c r="BN2244">
        <v>225.91</v>
      </c>
      <c r="BO2244">
        <v>225.91</v>
      </c>
      <c r="BQ2244" t="s">
        <v>1341</v>
      </c>
      <c r="BR2244" t="s">
        <v>84</v>
      </c>
      <c r="BS2244" s="3">
        <v>45793</v>
      </c>
      <c r="BT2244" s="4">
        <v>0.3840277777777778</v>
      </c>
      <c r="BU2244" t="s">
        <v>2609</v>
      </c>
      <c r="BV2244" t="s">
        <v>86</v>
      </c>
      <c r="BY2244">
        <v>4275</v>
      </c>
      <c r="BZ2244" t="s">
        <v>1795</v>
      </c>
      <c r="CA2244" t="s">
        <v>2089</v>
      </c>
      <c r="CC2244" t="s">
        <v>872</v>
      </c>
      <c r="CD2244">
        <v>2302</v>
      </c>
      <c r="CE2244" t="s">
        <v>408</v>
      </c>
      <c r="CF2244" s="3">
        <v>45793</v>
      </c>
      <c r="CI2244">
        <v>1</v>
      </c>
      <c r="CJ2244">
        <v>1</v>
      </c>
      <c r="CK2244">
        <v>43</v>
      </c>
      <c r="CL2244" t="s">
        <v>89</v>
      </c>
    </row>
    <row r="2245" spans="1:90" x14ac:dyDescent="0.3">
      <c r="A2245" t="s">
        <v>72</v>
      </c>
      <c r="B2245" t="s">
        <v>73</v>
      </c>
      <c r="C2245" t="s">
        <v>74</v>
      </c>
      <c r="E2245" t="str">
        <f>"080065389580"</f>
        <v>080065389580</v>
      </c>
      <c r="F2245" s="3">
        <v>45792</v>
      </c>
      <c r="G2245">
        <v>202602</v>
      </c>
      <c r="H2245" t="s">
        <v>75</v>
      </c>
      <c r="I2245" t="s">
        <v>76</v>
      </c>
      <c r="J2245" t="s">
        <v>77</v>
      </c>
      <c r="K2245" t="s">
        <v>78</v>
      </c>
      <c r="L2245" t="s">
        <v>136</v>
      </c>
      <c r="M2245" t="s">
        <v>137</v>
      </c>
      <c r="N2245" t="s">
        <v>441</v>
      </c>
      <c r="O2245" t="s">
        <v>300</v>
      </c>
      <c r="P2245" t="str">
        <f>"4170038622                    "</f>
        <v xml:space="preserve">4170038622                    </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c r="AI2245">
        <v>0</v>
      </c>
      <c r="AJ2245">
        <v>0</v>
      </c>
      <c r="AK2245">
        <v>0</v>
      </c>
      <c r="AL2245">
        <v>0</v>
      </c>
      <c r="AM2245">
        <v>0</v>
      </c>
      <c r="AN2245">
        <v>0</v>
      </c>
      <c r="AO2245">
        <v>0</v>
      </c>
      <c r="AP2245">
        <v>0</v>
      </c>
      <c r="AQ2245">
        <v>41.35</v>
      </c>
      <c r="AR2245">
        <v>0</v>
      </c>
      <c r="AS2245">
        <v>0</v>
      </c>
      <c r="AT2245">
        <v>0</v>
      </c>
      <c r="AU2245">
        <v>0</v>
      </c>
      <c r="AV2245">
        <v>0</v>
      </c>
      <c r="AW2245">
        <v>0</v>
      </c>
      <c r="AX2245">
        <v>0</v>
      </c>
      <c r="AY2245">
        <v>0</v>
      </c>
      <c r="AZ2245">
        <v>0</v>
      </c>
      <c r="BA2245">
        <v>0</v>
      </c>
      <c r="BB2245">
        <v>0</v>
      </c>
      <c r="BC2245">
        <v>0</v>
      </c>
      <c r="BD2245">
        <v>0</v>
      </c>
      <c r="BE2245">
        <v>0</v>
      </c>
      <c r="BF2245">
        <v>0</v>
      </c>
      <c r="BG2245">
        <v>0</v>
      </c>
      <c r="BH2245">
        <v>1</v>
      </c>
      <c r="BI2245">
        <v>5</v>
      </c>
      <c r="BJ2245">
        <v>0.9</v>
      </c>
      <c r="BK2245">
        <v>5</v>
      </c>
      <c r="BL2245">
        <v>140.9</v>
      </c>
      <c r="BM2245">
        <v>21.14</v>
      </c>
      <c r="BN2245">
        <v>162.04</v>
      </c>
      <c r="BO2245">
        <v>162.04</v>
      </c>
      <c r="BQ2245" t="s">
        <v>442</v>
      </c>
      <c r="BR2245" t="s">
        <v>84</v>
      </c>
      <c r="BS2245" s="3">
        <v>45793</v>
      </c>
      <c r="BT2245" s="4">
        <v>0.63194444444444442</v>
      </c>
      <c r="BU2245" t="s">
        <v>514</v>
      </c>
      <c r="BV2245" t="s">
        <v>86</v>
      </c>
      <c r="BY2245">
        <v>4275</v>
      </c>
      <c r="BZ2245" t="s">
        <v>1795</v>
      </c>
      <c r="CA2245" t="s">
        <v>2273</v>
      </c>
      <c r="CC2245" t="s">
        <v>137</v>
      </c>
      <c r="CD2245" s="5" t="s">
        <v>444</v>
      </c>
      <c r="CE2245" t="s">
        <v>419</v>
      </c>
      <c r="CF2245" s="3">
        <v>45803</v>
      </c>
      <c r="CI2245">
        <v>1</v>
      </c>
      <c r="CJ2245">
        <v>1</v>
      </c>
      <c r="CK2245">
        <v>41</v>
      </c>
      <c r="CL2245" t="s">
        <v>89</v>
      </c>
    </row>
    <row r="2246" spans="1:90" x14ac:dyDescent="0.3">
      <c r="A2246" t="s">
        <v>72</v>
      </c>
      <c r="B2246" t="s">
        <v>73</v>
      </c>
      <c r="C2246" t="s">
        <v>74</v>
      </c>
      <c r="E2246" t="str">
        <f>"080065390848"</f>
        <v>080065390848</v>
      </c>
      <c r="F2246" s="3">
        <v>45792</v>
      </c>
      <c r="G2246">
        <v>202602</v>
      </c>
      <c r="H2246" t="s">
        <v>75</v>
      </c>
      <c r="I2246" t="s">
        <v>76</v>
      </c>
      <c r="J2246" t="s">
        <v>77</v>
      </c>
      <c r="K2246" t="s">
        <v>78</v>
      </c>
      <c r="L2246" t="s">
        <v>136</v>
      </c>
      <c r="M2246" t="s">
        <v>137</v>
      </c>
      <c r="N2246" t="s">
        <v>1297</v>
      </c>
      <c r="O2246" t="s">
        <v>300</v>
      </c>
      <c r="P2246" t="str">
        <f>"4170038784                    "</f>
        <v xml:space="preserve">4170038784                    </v>
      </c>
      <c r="Q2246">
        <v>0</v>
      </c>
      <c r="R2246">
        <v>0</v>
      </c>
      <c r="S2246">
        <v>0</v>
      </c>
      <c r="T2246">
        <v>0</v>
      </c>
      <c r="U2246">
        <v>0</v>
      </c>
      <c r="V2246">
        <v>0</v>
      </c>
      <c r="W2246">
        <v>0</v>
      </c>
      <c r="X2246">
        <v>0</v>
      </c>
      <c r="Y2246">
        <v>0</v>
      </c>
      <c r="Z2246">
        <v>0</v>
      </c>
      <c r="AA2246">
        <v>0</v>
      </c>
      <c r="AB2246">
        <v>0</v>
      </c>
      <c r="AC2246">
        <v>0</v>
      </c>
      <c r="AD2246">
        <v>0</v>
      </c>
      <c r="AE2246">
        <v>0</v>
      </c>
      <c r="AF2246">
        <v>0</v>
      </c>
      <c r="AG2246">
        <v>0</v>
      </c>
      <c r="AH2246">
        <v>0</v>
      </c>
      <c r="AI2246">
        <v>0</v>
      </c>
      <c r="AJ2246">
        <v>0</v>
      </c>
      <c r="AK2246">
        <v>0</v>
      </c>
      <c r="AL2246">
        <v>0</v>
      </c>
      <c r="AM2246">
        <v>0</v>
      </c>
      <c r="AN2246">
        <v>0</v>
      </c>
      <c r="AO2246">
        <v>0</v>
      </c>
      <c r="AP2246">
        <v>0</v>
      </c>
      <c r="AQ2246">
        <v>41.35</v>
      </c>
      <c r="AR2246">
        <v>0</v>
      </c>
      <c r="AS2246">
        <v>0</v>
      </c>
      <c r="AT2246">
        <v>0</v>
      </c>
      <c r="AU2246">
        <v>0</v>
      </c>
      <c r="AV2246">
        <v>0</v>
      </c>
      <c r="AW2246">
        <v>0</v>
      </c>
      <c r="AX2246">
        <v>0</v>
      </c>
      <c r="AY2246">
        <v>0</v>
      </c>
      <c r="AZ2246">
        <v>0</v>
      </c>
      <c r="BA2246">
        <v>0</v>
      </c>
      <c r="BB2246">
        <v>0</v>
      </c>
      <c r="BC2246">
        <v>0</v>
      </c>
      <c r="BD2246">
        <v>0</v>
      </c>
      <c r="BE2246">
        <v>0</v>
      </c>
      <c r="BF2246">
        <v>0</v>
      </c>
      <c r="BG2246">
        <v>0</v>
      </c>
      <c r="BH2246">
        <v>1</v>
      </c>
      <c r="BI2246">
        <v>4</v>
      </c>
      <c r="BJ2246">
        <v>1.1000000000000001</v>
      </c>
      <c r="BK2246">
        <v>4</v>
      </c>
      <c r="BL2246">
        <v>140.9</v>
      </c>
      <c r="BM2246">
        <v>21.14</v>
      </c>
      <c r="BN2246">
        <v>162.04</v>
      </c>
      <c r="BO2246">
        <v>162.04</v>
      </c>
      <c r="BQ2246" t="s">
        <v>1298</v>
      </c>
      <c r="BR2246" t="s">
        <v>84</v>
      </c>
      <c r="BS2246" s="3">
        <v>45793</v>
      </c>
      <c r="BT2246" s="4">
        <v>0.36666666666666664</v>
      </c>
      <c r="BU2246" t="s">
        <v>1299</v>
      </c>
      <c r="BV2246" t="s">
        <v>86</v>
      </c>
      <c r="BY2246">
        <v>5320</v>
      </c>
      <c r="BZ2246" t="s">
        <v>1795</v>
      </c>
      <c r="CA2246" t="s">
        <v>141</v>
      </c>
      <c r="CC2246" t="s">
        <v>137</v>
      </c>
      <c r="CD2246" s="5" t="s">
        <v>1239</v>
      </c>
      <c r="CE2246" t="s">
        <v>408</v>
      </c>
      <c r="CF2246" s="3">
        <v>45793</v>
      </c>
      <c r="CI2246">
        <v>1</v>
      </c>
      <c r="CJ2246">
        <v>1</v>
      </c>
      <c r="CK2246">
        <v>41</v>
      </c>
      <c r="CL2246" t="s">
        <v>89</v>
      </c>
    </row>
    <row r="2247" spans="1:90" x14ac:dyDescent="0.3">
      <c r="A2247" t="s">
        <v>72</v>
      </c>
      <c r="B2247" t="s">
        <v>73</v>
      </c>
      <c r="C2247" t="s">
        <v>74</v>
      </c>
      <c r="E2247" t="str">
        <f>"080065391081"</f>
        <v>080065391081</v>
      </c>
      <c r="F2247" s="3">
        <v>45792</v>
      </c>
      <c r="G2247">
        <v>202602</v>
      </c>
      <c r="H2247" t="s">
        <v>75</v>
      </c>
      <c r="I2247" t="s">
        <v>76</v>
      </c>
      <c r="J2247" t="s">
        <v>77</v>
      </c>
      <c r="K2247" t="s">
        <v>78</v>
      </c>
      <c r="L2247" t="s">
        <v>136</v>
      </c>
      <c r="M2247" t="s">
        <v>137</v>
      </c>
      <c r="N2247" t="s">
        <v>441</v>
      </c>
      <c r="O2247" t="s">
        <v>300</v>
      </c>
      <c r="P2247" t="str">
        <f>"4170038623                    "</f>
        <v xml:space="preserve">4170038623                    </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0</v>
      </c>
      <c r="AL2247">
        <v>0</v>
      </c>
      <c r="AM2247">
        <v>0</v>
      </c>
      <c r="AN2247">
        <v>0</v>
      </c>
      <c r="AO2247">
        <v>0</v>
      </c>
      <c r="AP2247">
        <v>0</v>
      </c>
      <c r="AQ2247">
        <v>41.35</v>
      </c>
      <c r="AR2247">
        <v>0</v>
      </c>
      <c r="AS2247">
        <v>0</v>
      </c>
      <c r="AT2247">
        <v>0</v>
      </c>
      <c r="AU2247">
        <v>0</v>
      </c>
      <c r="AV2247">
        <v>0</v>
      </c>
      <c r="AW2247">
        <v>0</v>
      </c>
      <c r="AX2247">
        <v>0</v>
      </c>
      <c r="AY2247">
        <v>0</v>
      </c>
      <c r="AZ2247">
        <v>0</v>
      </c>
      <c r="BA2247">
        <v>0</v>
      </c>
      <c r="BB2247">
        <v>0</v>
      </c>
      <c r="BC2247">
        <v>0</v>
      </c>
      <c r="BD2247">
        <v>0</v>
      </c>
      <c r="BE2247">
        <v>0</v>
      </c>
      <c r="BF2247">
        <v>0</v>
      </c>
      <c r="BG2247">
        <v>0</v>
      </c>
      <c r="BH2247">
        <v>1</v>
      </c>
      <c r="BI2247">
        <v>5</v>
      </c>
      <c r="BJ2247">
        <v>0.9</v>
      </c>
      <c r="BK2247">
        <v>5</v>
      </c>
      <c r="BL2247">
        <v>140.9</v>
      </c>
      <c r="BM2247">
        <v>21.14</v>
      </c>
      <c r="BN2247">
        <v>162.04</v>
      </c>
      <c r="BO2247">
        <v>162.04</v>
      </c>
      <c r="BQ2247" t="s">
        <v>442</v>
      </c>
      <c r="BR2247" t="s">
        <v>84</v>
      </c>
      <c r="BS2247" s="3">
        <v>45793</v>
      </c>
      <c r="BT2247" s="4">
        <v>0.54861111111111116</v>
      </c>
      <c r="BU2247" t="s">
        <v>514</v>
      </c>
      <c r="BV2247" t="s">
        <v>86</v>
      </c>
      <c r="BY2247">
        <v>4275</v>
      </c>
      <c r="BZ2247" t="s">
        <v>1795</v>
      </c>
      <c r="CA2247" t="s">
        <v>2273</v>
      </c>
      <c r="CC2247" t="s">
        <v>137</v>
      </c>
      <c r="CD2247" s="5" t="s">
        <v>444</v>
      </c>
      <c r="CE2247" t="s">
        <v>408</v>
      </c>
      <c r="CF2247" s="3">
        <v>45793</v>
      </c>
      <c r="CI2247">
        <v>1</v>
      </c>
      <c r="CJ2247">
        <v>1</v>
      </c>
      <c r="CK2247">
        <v>41</v>
      </c>
      <c r="CL2247" t="s">
        <v>89</v>
      </c>
    </row>
    <row r="2248" spans="1:90" x14ac:dyDescent="0.3">
      <c r="A2248" t="s">
        <v>72</v>
      </c>
      <c r="B2248" t="s">
        <v>73</v>
      </c>
      <c r="C2248" t="s">
        <v>74</v>
      </c>
      <c r="E2248" t="str">
        <f>"080065391099"</f>
        <v>080065391099</v>
      </c>
      <c r="F2248" s="3">
        <v>45792</v>
      </c>
      <c r="G2248">
        <v>202602</v>
      </c>
      <c r="H2248" t="s">
        <v>75</v>
      </c>
      <c r="I2248" t="s">
        <v>76</v>
      </c>
      <c r="J2248" t="s">
        <v>77</v>
      </c>
      <c r="K2248" t="s">
        <v>78</v>
      </c>
      <c r="L2248" t="s">
        <v>136</v>
      </c>
      <c r="M2248" t="s">
        <v>137</v>
      </c>
      <c r="N2248" t="s">
        <v>441</v>
      </c>
      <c r="O2248" t="s">
        <v>300</v>
      </c>
      <c r="P2248" t="str">
        <f>"4170038625                    "</f>
        <v xml:space="preserve">4170038625                    </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c r="AJ2248">
        <v>0</v>
      </c>
      <c r="AK2248">
        <v>0</v>
      </c>
      <c r="AL2248">
        <v>0</v>
      </c>
      <c r="AM2248">
        <v>0</v>
      </c>
      <c r="AN2248">
        <v>0</v>
      </c>
      <c r="AO2248">
        <v>0</v>
      </c>
      <c r="AP2248">
        <v>0</v>
      </c>
      <c r="AQ2248">
        <v>41.35</v>
      </c>
      <c r="AR2248">
        <v>0</v>
      </c>
      <c r="AS2248">
        <v>0</v>
      </c>
      <c r="AT2248">
        <v>0</v>
      </c>
      <c r="AU2248">
        <v>0</v>
      </c>
      <c r="AV2248">
        <v>0</v>
      </c>
      <c r="AW2248">
        <v>0</v>
      </c>
      <c r="AX2248">
        <v>0</v>
      </c>
      <c r="AY2248">
        <v>0</v>
      </c>
      <c r="AZ2248">
        <v>0</v>
      </c>
      <c r="BA2248">
        <v>0</v>
      </c>
      <c r="BB2248">
        <v>0</v>
      </c>
      <c r="BC2248">
        <v>0</v>
      </c>
      <c r="BD2248">
        <v>0</v>
      </c>
      <c r="BE2248">
        <v>0</v>
      </c>
      <c r="BF2248">
        <v>0</v>
      </c>
      <c r="BG2248">
        <v>0</v>
      </c>
      <c r="BH2248">
        <v>1</v>
      </c>
      <c r="BI2248">
        <v>5</v>
      </c>
      <c r="BJ2248">
        <v>0.9</v>
      </c>
      <c r="BK2248">
        <v>5</v>
      </c>
      <c r="BL2248">
        <v>140.9</v>
      </c>
      <c r="BM2248">
        <v>21.14</v>
      </c>
      <c r="BN2248">
        <v>162.04</v>
      </c>
      <c r="BO2248">
        <v>162.04</v>
      </c>
      <c r="BQ2248" t="s">
        <v>442</v>
      </c>
      <c r="BR2248" t="s">
        <v>84</v>
      </c>
      <c r="BS2248" s="3">
        <v>45793</v>
      </c>
      <c r="BT2248" s="4">
        <v>0.63194444444444442</v>
      </c>
      <c r="BU2248" t="s">
        <v>514</v>
      </c>
      <c r="BV2248" t="s">
        <v>86</v>
      </c>
      <c r="BY2248">
        <v>4275</v>
      </c>
      <c r="BZ2248" t="s">
        <v>1795</v>
      </c>
      <c r="CA2248" t="s">
        <v>2273</v>
      </c>
      <c r="CC2248" t="s">
        <v>137</v>
      </c>
      <c r="CD2248" s="5" t="s">
        <v>444</v>
      </c>
      <c r="CE2248" t="s">
        <v>116</v>
      </c>
      <c r="CF2248" s="3">
        <v>45793</v>
      </c>
      <c r="CI2248">
        <v>1</v>
      </c>
      <c r="CJ2248">
        <v>1</v>
      </c>
      <c r="CK2248">
        <v>41</v>
      </c>
      <c r="CL2248" t="s">
        <v>89</v>
      </c>
    </row>
    <row r="2249" spans="1:90" x14ac:dyDescent="0.3">
      <c r="A2249" t="s">
        <v>72</v>
      </c>
      <c r="B2249" t="s">
        <v>73</v>
      </c>
      <c r="C2249" t="s">
        <v>74</v>
      </c>
      <c r="E2249" t="str">
        <f>"080065394979"</f>
        <v>080065394979</v>
      </c>
      <c r="F2249" s="3">
        <v>45792</v>
      </c>
      <c r="G2249">
        <v>202602</v>
      </c>
      <c r="H2249" t="s">
        <v>75</v>
      </c>
      <c r="I2249" t="s">
        <v>76</v>
      </c>
      <c r="J2249" t="s">
        <v>77</v>
      </c>
      <c r="K2249" t="s">
        <v>78</v>
      </c>
      <c r="L2249" t="s">
        <v>871</v>
      </c>
      <c r="M2249" t="s">
        <v>872</v>
      </c>
      <c r="N2249" t="s">
        <v>1340</v>
      </c>
      <c r="O2249" t="s">
        <v>300</v>
      </c>
      <c r="P2249" t="str">
        <f>"4170038756                    "</f>
        <v xml:space="preserve">4170038756                    </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c r="AJ2249">
        <v>0</v>
      </c>
      <c r="AK2249">
        <v>0</v>
      </c>
      <c r="AL2249">
        <v>0</v>
      </c>
      <c r="AM2249">
        <v>0</v>
      </c>
      <c r="AN2249">
        <v>0</v>
      </c>
      <c r="AO2249">
        <v>0</v>
      </c>
      <c r="AP2249">
        <v>0</v>
      </c>
      <c r="AQ2249">
        <v>58.32</v>
      </c>
      <c r="AR2249">
        <v>0</v>
      </c>
      <c r="AS2249">
        <v>0</v>
      </c>
      <c r="AT2249">
        <v>0</v>
      </c>
      <c r="AU2249">
        <v>0</v>
      </c>
      <c r="AV2249">
        <v>0</v>
      </c>
      <c r="AW2249">
        <v>0</v>
      </c>
      <c r="AX2249">
        <v>0</v>
      </c>
      <c r="AY2249">
        <v>0</v>
      </c>
      <c r="AZ2249">
        <v>0</v>
      </c>
      <c r="BA2249">
        <v>0</v>
      </c>
      <c r="BB2249">
        <v>0</v>
      </c>
      <c r="BC2249">
        <v>0</v>
      </c>
      <c r="BD2249">
        <v>0</v>
      </c>
      <c r="BE2249">
        <v>0</v>
      </c>
      <c r="BF2249">
        <v>0</v>
      </c>
      <c r="BG2249">
        <v>0</v>
      </c>
      <c r="BH2249">
        <v>1</v>
      </c>
      <c r="BI2249">
        <v>9</v>
      </c>
      <c r="BJ2249">
        <v>4.0999999999999996</v>
      </c>
      <c r="BK2249">
        <v>9</v>
      </c>
      <c r="BL2249">
        <v>196.44</v>
      </c>
      <c r="BM2249">
        <v>29.47</v>
      </c>
      <c r="BN2249">
        <v>225.91</v>
      </c>
      <c r="BO2249">
        <v>225.91</v>
      </c>
      <c r="BQ2249" t="s">
        <v>1341</v>
      </c>
      <c r="BR2249" t="s">
        <v>84</v>
      </c>
      <c r="BS2249" s="3">
        <v>45793</v>
      </c>
      <c r="BT2249" s="4">
        <v>0.38333333333333336</v>
      </c>
      <c r="BU2249" t="s">
        <v>2609</v>
      </c>
      <c r="BV2249" t="s">
        <v>86</v>
      </c>
      <c r="BY2249">
        <v>20358</v>
      </c>
      <c r="BZ2249" t="s">
        <v>1795</v>
      </c>
      <c r="CA2249" t="s">
        <v>2089</v>
      </c>
      <c r="CC2249" t="s">
        <v>872</v>
      </c>
      <c r="CD2249">
        <v>2302</v>
      </c>
      <c r="CE2249" t="s">
        <v>419</v>
      </c>
      <c r="CF2249" s="3">
        <v>45793</v>
      </c>
      <c r="CI2249">
        <v>1</v>
      </c>
      <c r="CJ2249">
        <v>1</v>
      </c>
      <c r="CK2249">
        <v>43</v>
      </c>
      <c r="CL2249" t="s">
        <v>89</v>
      </c>
    </row>
    <row r="2250" spans="1:90" x14ac:dyDescent="0.3">
      <c r="A2250" t="s">
        <v>72</v>
      </c>
      <c r="B2250" t="s">
        <v>73</v>
      </c>
      <c r="C2250" t="s">
        <v>74</v>
      </c>
      <c r="E2250" t="str">
        <f>"080065395558"</f>
        <v>080065395558</v>
      </c>
      <c r="F2250" s="3">
        <v>45792</v>
      </c>
      <c r="G2250">
        <v>202602</v>
      </c>
      <c r="H2250" t="s">
        <v>75</v>
      </c>
      <c r="I2250" t="s">
        <v>76</v>
      </c>
      <c r="J2250" t="s">
        <v>77</v>
      </c>
      <c r="K2250" t="s">
        <v>78</v>
      </c>
      <c r="L2250" t="s">
        <v>871</v>
      </c>
      <c r="M2250" t="s">
        <v>872</v>
      </c>
      <c r="N2250" t="s">
        <v>1340</v>
      </c>
      <c r="O2250" t="s">
        <v>300</v>
      </c>
      <c r="P2250" t="str">
        <f>"4170038757                    "</f>
        <v xml:space="preserve">4170038757                    </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0</v>
      </c>
      <c r="AL2250">
        <v>0</v>
      </c>
      <c r="AM2250">
        <v>0</v>
      </c>
      <c r="AN2250">
        <v>0</v>
      </c>
      <c r="AO2250">
        <v>0</v>
      </c>
      <c r="AP2250">
        <v>0</v>
      </c>
      <c r="AQ2250">
        <v>67.260000000000005</v>
      </c>
      <c r="AR2250">
        <v>0</v>
      </c>
      <c r="AS2250">
        <v>0</v>
      </c>
      <c r="AT2250">
        <v>0</v>
      </c>
      <c r="AU2250">
        <v>0</v>
      </c>
      <c r="AV2250">
        <v>0</v>
      </c>
      <c r="AW2250">
        <v>0</v>
      </c>
      <c r="AX2250">
        <v>0</v>
      </c>
      <c r="AY2250">
        <v>0</v>
      </c>
      <c r="AZ2250">
        <v>0</v>
      </c>
      <c r="BA2250">
        <v>0</v>
      </c>
      <c r="BB2250">
        <v>0</v>
      </c>
      <c r="BC2250">
        <v>0</v>
      </c>
      <c r="BD2250">
        <v>0</v>
      </c>
      <c r="BE2250">
        <v>0</v>
      </c>
      <c r="BF2250">
        <v>0</v>
      </c>
      <c r="BG2250">
        <v>0</v>
      </c>
      <c r="BH2250">
        <v>1</v>
      </c>
      <c r="BI2250">
        <v>18</v>
      </c>
      <c r="BJ2250">
        <v>7.2</v>
      </c>
      <c r="BK2250">
        <v>18</v>
      </c>
      <c r="BL2250">
        <v>225.69</v>
      </c>
      <c r="BM2250">
        <v>33.85</v>
      </c>
      <c r="BN2250">
        <v>259.54000000000002</v>
      </c>
      <c r="BO2250">
        <v>259.54000000000002</v>
      </c>
      <c r="BQ2250" t="s">
        <v>1341</v>
      </c>
      <c r="BR2250" t="s">
        <v>84</v>
      </c>
      <c r="BS2250" s="3">
        <v>45793</v>
      </c>
      <c r="BT2250" s="4">
        <v>0.38263888888888886</v>
      </c>
      <c r="BU2250" t="s">
        <v>2609</v>
      </c>
      <c r="BV2250" t="s">
        <v>86</v>
      </c>
      <c r="BY2250">
        <v>36176</v>
      </c>
      <c r="BZ2250" t="s">
        <v>1795</v>
      </c>
      <c r="CA2250" t="s">
        <v>2089</v>
      </c>
      <c r="CC2250" t="s">
        <v>872</v>
      </c>
      <c r="CD2250">
        <v>2302</v>
      </c>
      <c r="CE2250" t="s">
        <v>419</v>
      </c>
      <c r="CF2250" s="3">
        <v>45793</v>
      </c>
      <c r="CI2250">
        <v>1</v>
      </c>
      <c r="CJ2250">
        <v>1</v>
      </c>
      <c r="CK2250">
        <v>43</v>
      </c>
      <c r="CL2250" t="s">
        <v>89</v>
      </c>
    </row>
    <row r="2251" spans="1:90" x14ac:dyDescent="0.3">
      <c r="A2251" t="s">
        <v>72</v>
      </c>
      <c r="B2251" t="s">
        <v>73</v>
      </c>
      <c r="C2251" t="s">
        <v>74</v>
      </c>
      <c r="E2251" t="str">
        <f>"080065396587"</f>
        <v>080065396587</v>
      </c>
      <c r="F2251" s="3">
        <v>45792</v>
      </c>
      <c r="G2251">
        <v>202602</v>
      </c>
      <c r="H2251" t="s">
        <v>75</v>
      </c>
      <c r="I2251" t="s">
        <v>76</v>
      </c>
      <c r="J2251" t="s">
        <v>77</v>
      </c>
      <c r="K2251" t="s">
        <v>78</v>
      </c>
      <c r="L2251" t="s">
        <v>151</v>
      </c>
      <c r="M2251" t="s">
        <v>152</v>
      </c>
      <c r="N2251" t="s">
        <v>124</v>
      </c>
      <c r="O2251" t="s">
        <v>300</v>
      </c>
      <c r="P2251" t="str">
        <f>"4170038905                    "</f>
        <v xml:space="preserve">4170038905                    </v>
      </c>
      <c r="Q2251">
        <v>0</v>
      </c>
      <c r="R2251">
        <v>0</v>
      </c>
      <c r="S2251">
        <v>0</v>
      </c>
      <c r="T2251">
        <v>0</v>
      </c>
      <c r="U2251">
        <v>0</v>
      </c>
      <c r="V2251">
        <v>0</v>
      </c>
      <c r="W2251">
        <v>0</v>
      </c>
      <c r="X2251">
        <v>0</v>
      </c>
      <c r="Y2251">
        <v>0</v>
      </c>
      <c r="Z2251">
        <v>0</v>
      </c>
      <c r="AA2251">
        <v>0</v>
      </c>
      <c r="AB2251">
        <v>0</v>
      </c>
      <c r="AC2251">
        <v>0</v>
      </c>
      <c r="AD2251">
        <v>0</v>
      </c>
      <c r="AE2251">
        <v>0</v>
      </c>
      <c r="AF2251">
        <v>0</v>
      </c>
      <c r="AG2251">
        <v>0</v>
      </c>
      <c r="AH2251">
        <v>0</v>
      </c>
      <c r="AI2251">
        <v>0</v>
      </c>
      <c r="AJ2251">
        <v>0</v>
      </c>
      <c r="AK2251">
        <v>0</v>
      </c>
      <c r="AL2251">
        <v>0</v>
      </c>
      <c r="AM2251">
        <v>0</v>
      </c>
      <c r="AN2251">
        <v>0</v>
      </c>
      <c r="AO2251">
        <v>0</v>
      </c>
      <c r="AP2251">
        <v>0</v>
      </c>
      <c r="AQ2251">
        <v>58.32</v>
      </c>
      <c r="AR2251">
        <v>0</v>
      </c>
      <c r="AS2251">
        <v>0</v>
      </c>
      <c r="AT2251">
        <v>0</v>
      </c>
      <c r="AU2251">
        <v>0</v>
      </c>
      <c r="AV2251">
        <v>0</v>
      </c>
      <c r="AW2251">
        <v>0</v>
      </c>
      <c r="AX2251">
        <v>0</v>
      </c>
      <c r="AY2251">
        <v>0</v>
      </c>
      <c r="AZ2251">
        <v>0</v>
      </c>
      <c r="BA2251">
        <v>0</v>
      </c>
      <c r="BB2251">
        <v>0</v>
      </c>
      <c r="BC2251">
        <v>0</v>
      </c>
      <c r="BD2251">
        <v>0</v>
      </c>
      <c r="BE2251">
        <v>0</v>
      </c>
      <c r="BF2251">
        <v>0</v>
      </c>
      <c r="BG2251">
        <v>0</v>
      </c>
      <c r="BH2251">
        <v>1</v>
      </c>
      <c r="BI2251">
        <v>3</v>
      </c>
      <c r="BJ2251">
        <v>5.9</v>
      </c>
      <c r="BK2251">
        <v>6</v>
      </c>
      <c r="BL2251">
        <v>196.44</v>
      </c>
      <c r="BM2251">
        <v>29.47</v>
      </c>
      <c r="BN2251">
        <v>225.91</v>
      </c>
      <c r="BO2251">
        <v>225.91</v>
      </c>
      <c r="BQ2251" t="s">
        <v>125</v>
      </c>
      <c r="BR2251" t="s">
        <v>84</v>
      </c>
      <c r="BS2251" s="3">
        <v>45793</v>
      </c>
      <c r="BT2251" s="4">
        <v>0.39513888888888887</v>
      </c>
      <c r="BU2251" t="s">
        <v>2388</v>
      </c>
      <c r="BV2251" t="s">
        <v>86</v>
      </c>
      <c r="BY2251">
        <v>29376</v>
      </c>
      <c r="BZ2251" t="s">
        <v>1795</v>
      </c>
      <c r="CA2251" t="s">
        <v>156</v>
      </c>
      <c r="CC2251" t="s">
        <v>152</v>
      </c>
      <c r="CD2251">
        <v>1900</v>
      </c>
      <c r="CE2251" t="s">
        <v>221</v>
      </c>
      <c r="CF2251" s="3">
        <v>45793</v>
      </c>
      <c r="CI2251">
        <v>1</v>
      </c>
      <c r="CJ2251">
        <v>1</v>
      </c>
      <c r="CK2251">
        <v>43</v>
      </c>
      <c r="CL2251" t="s">
        <v>89</v>
      </c>
    </row>
    <row r="2252" spans="1:90" x14ac:dyDescent="0.3">
      <c r="A2252" t="s">
        <v>72</v>
      </c>
      <c r="B2252" t="s">
        <v>73</v>
      </c>
      <c r="C2252" t="s">
        <v>74</v>
      </c>
      <c r="E2252" t="str">
        <f>"080065410174"</f>
        <v>080065410174</v>
      </c>
      <c r="F2252" s="3">
        <v>45793</v>
      </c>
      <c r="G2252">
        <v>202602</v>
      </c>
      <c r="H2252" t="s">
        <v>75</v>
      </c>
      <c r="I2252" t="s">
        <v>76</v>
      </c>
      <c r="J2252" t="s">
        <v>77</v>
      </c>
      <c r="K2252" t="s">
        <v>78</v>
      </c>
      <c r="L2252" t="s">
        <v>2009</v>
      </c>
      <c r="M2252" t="s">
        <v>2010</v>
      </c>
      <c r="N2252" t="s">
        <v>2610</v>
      </c>
      <c r="O2252" t="s">
        <v>300</v>
      </c>
      <c r="P2252" t="str">
        <f>"4170038908                    "</f>
        <v xml:space="preserve">4170038908                    </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0</v>
      </c>
      <c r="AL2252">
        <v>0</v>
      </c>
      <c r="AM2252">
        <v>0</v>
      </c>
      <c r="AN2252">
        <v>0</v>
      </c>
      <c r="AO2252">
        <v>0</v>
      </c>
      <c r="AP2252">
        <v>0</v>
      </c>
      <c r="AQ2252">
        <v>58.32</v>
      </c>
      <c r="AR2252">
        <v>0</v>
      </c>
      <c r="AS2252">
        <v>0</v>
      </c>
      <c r="AT2252">
        <v>0</v>
      </c>
      <c r="AU2252">
        <v>0</v>
      </c>
      <c r="AV2252">
        <v>0</v>
      </c>
      <c r="AW2252">
        <v>0</v>
      </c>
      <c r="AX2252">
        <v>0</v>
      </c>
      <c r="AY2252">
        <v>0</v>
      </c>
      <c r="AZ2252">
        <v>0</v>
      </c>
      <c r="BA2252">
        <v>0</v>
      </c>
      <c r="BB2252">
        <v>0</v>
      </c>
      <c r="BC2252">
        <v>0</v>
      </c>
      <c r="BD2252">
        <v>0</v>
      </c>
      <c r="BE2252">
        <v>0</v>
      </c>
      <c r="BF2252">
        <v>0</v>
      </c>
      <c r="BG2252">
        <v>0</v>
      </c>
      <c r="BH2252">
        <v>1</v>
      </c>
      <c r="BI2252">
        <v>4</v>
      </c>
      <c r="BJ2252">
        <v>5.2</v>
      </c>
      <c r="BK2252">
        <v>6</v>
      </c>
      <c r="BL2252">
        <v>196.44</v>
      </c>
      <c r="BM2252">
        <v>29.47</v>
      </c>
      <c r="BN2252">
        <v>225.91</v>
      </c>
      <c r="BO2252">
        <v>225.91</v>
      </c>
      <c r="BQ2252" t="s">
        <v>2611</v>
      </c>
      <c r="BR2252" t="s">
        <v>84</v>
      </c>
      <c r="BS2252" s="3">
        <v>45798</v>
      </c>
      <c r="BT2252" s="4">
        <v>0.60486111111111107</v>
      </c>
      <c r="BU2252" t="s">
        <v>2612</v>
      </c>
      <c r="BV2252" t="s">
        <v>89</v>
      </c>
      <c r="BW2252" t="s">
        <v>1905</v>
      </c>
      <c r="BX2252" t="s">
        <v>2613</v>
      </c>
      <c r="BY2252">
        <v>26112</v>
      </c>
      <c r="BZ2252" t="s">
        <v>2614</v>
      </c>
      <c r="CA2252" t="s">
        <v>2615</v>
      </c>
      <c r="CC2252" t="s">
        <v>2010</v>
      </c>
      <c r="CD2252">
        <v>1133</v>
      </c>
      <c r="CE2252" t="s">
        <v>221</v>
      </c>
      <c r="CF2252" s="3">
        <v>45799</v>
      </c>
      <c r="CI2252">
        <v>2</v>
      </c>
      <c r="CJ2252">
        <v>3</v>
      </c>
      <c r="CK2252">
        <v>43</v>
      </c>
      <c r="CL2252" t="s">
        <v>89</v>
      </c>
    </row>
    <row r="2253" spans="1:90" x14ac:dyDescent="0.3">
      <c r="A2253" t="s">
        <v>72</v>
      </c>
      <c r="B2253" t="s">
        <v>73</v>
      </c>
      <c r="C2253" t="s">
        <v>74</v>
      </c>
      <c r="E2253" t="str">
        <f>"080065411263"</f>
        <v>080065411263</v>
      </c>
      <c r="F2253" s="3">
        <v>45793</v>
      </c>
      <c r="G2253">
        <v>202602</v>
      </c>
      <c r="H2253" t="s">
        <v>75</v>
      </c>
      <c r="I2253" t="s">
        <v>76</v>
      </c>
      <c r="J2253" t="s">
        <v>77</v>
      </c>
      <c r="K2253" t="s">
        <v>78</v>
      </c>
      <c r="L2253" t="s">
        <v>136</v>
      </c>
      <c r="M2253" t="s">
        <v>137</v>
      </c>
      <c r="N2253" t="s">
        <v>1656</v>
      </c>
      <c r="O2253" t="s">
        <v>300</v>
      </c>
      <c r="P2253" t="str">
        <f>"4170038853                    "</f>
        <v xml:space="preserve">4170038853                    </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0</v>
      </c>
      <c r="AL2253">
        <v>0</v>
      </c>
      <c r="AM2253">
        <v>0</v>
      </c>
      <c r="AN2253">
        <v>0</v>
      </c>
      <c r="AO2253">
        <v>0</v>
      </c>
      <c r="AP2253">
        <v>0</v>
      </c>
      <c r="AQ2253">
        <v>41.35</v>
      </c>
      <c r="AR2253">
        <v>0</v>
      </c>
      <c r="AS2253">
        <v>0</v>
      </c>
      <c r="AT2253">
        <v>0</v>
      </c>
      <c r="AU2253">
        <v>0</v>
      </c>
      <c r="AV2253">
        <v>0</v>
      </c>
      <c r="AW2253">
        <v>0</v>
      </c>
      <c r="AX2253">
        <v>0</v>
      </c>
      <c r="AY2253">
        <v>0</v>
      </c>
      <c r="AZ2253">
        <v>0</v>
      </c>
      <c r="BA2253">
        <v>0</v>
      </c>
      <c r="BB2253">
        <v>0</v>
      </c>
      <c r="BC2253">
        <v>0</v>
      </c>
      <c r="BD2253">
        <v>0</v>
      </c>
      <c r="BE2253">
        <v>0</v>
      </c>
      <c r="BF2253">
        <v>0</v>
      </c>
      <c r="BG2253">
        <v>0</v>
      </c>
      <c r="BH2253">
        <v>1</v>
      </c>
      <c r="BI2253">
        <v>5</v>
      </c>
      <c r="BJ2253">
        <v>4.0999999999999996</v>
      </c>
      <c r="BK2253">
        <v>5</v>
      </c>
      <c r="BL2253">
        <v>140.9</v>
      </c>
      <c r="BM2253">
        <v>21.14</v>
      </c>
      <c r="BN2253">
        <v>162.04</v>
      </c>
      <c r="BO2253">
        <v>162.04</v>
      </c>
      <c r="BQ2253" t="s">
        <v>1657</v>
      </c>
      <c r="BR2253" t="s">
        <v>84</v>
      </c>
      <c r="BS2253" s="3">
        <v>45796</v>
      </c>
      <c r="BT2253" s="4">
        <v>0.39583333333333331</v>
      </c>
      <c r="BU2253" t="s">
        <v>2176</v>
      </c>
      <c r="BV2253" t="s">
        <v>86</v>
      </c>
      <c r="BY2253">
        <v>20358</v>
      </c>
      <c r="BZ2253" t="s">
        <v>1795</v>
      </c>
      <c r="CA2253" t="s">
        <v>141</v>
      </c>
      <c r="CC2253" t="s">
        <v>137</v>
      </c>
      <c r="CD2253" s="5" t="s">
        <v>142</v>
      </c>
      <c r="CE2253" t="s">
        <v>419</v>
      </c>
      <c r="CF2253" s="3">
        <v>45796</v>
      </c>
      <c r="CI2253">
        <v>1</v>
      </c>
      <c r="CJ2253">
        <v>1</v>
      </c>
      <c r="CK2253">
        <v>41</v>
      </c>
      <c r="CL2253" t="s">
        <v>89</v>
      </c>
    </row>
    <row r="2254" spans="1:90" x14ac:dyDescent="0.3">
      <c r="A2254" t="s">
        <v>72</v>
      </c>
      <c r="B2254" t="s">
        <v>73</v>
      </c>
      <c r="C2254" t="s">
        <v>74</v>
      </c>
      <c r="E2254" t="str">
        <f>"080065416317"</f>
        <v>080065416317</v>
      </c>
      <c r="F2254" s="3">
        <v>45793</v>
      </c>
      <c r="G2254">
        <v>202602</v>
      </c>
      <c r="H2254" t="s">
        <v>75</v>
      </c>
      <c r="I2254" t="s">
        <v>76</v>
      </c>
      <c r="J2254" t="s">
        <v>77</v>
      </c>
      <c r="K2254" t="s">
        <v>78</v>
      </c>
      <c r="L2254" t="s">
        <v>232</v>
      </c>
      <c r="M2254" t="s">
        <v>233</v>
      </c>
      <c r="N2254" t="s">
        <v>834</v>
      </c>
      <c r="O2254" t="s">
        <v>300</v>
      </c>
      <c r="P2254" t="str">
        <f>"4170039124                    "</f>
        <v xml:space="preserve">4170039124                    </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0</v>
      </c>
      <c r="AK2254">
        <v>0</v>
      </c>
      <c r="AL2254">
        <v>0</v>
      </c>
      <c r="AM2254">
        <v>0</v>
      </c>
      <c r="AN2254">
        <v>0</v>
      </c>
      <c r="AO2254">
        <v>0</v>
      </c>
      <c r="AP2254">
        <v>0</v>
      </c>
      <c r="AQ2254">
        <v>41.35</v>
      </c>
      <c r="AR2254">
        <v>0</v>
      </c>
      <c r="AS2254">
        <v>0</v>
      </c>
      <c r="AT2254">
        <v>0</v>
      </c>
      <c r="AU2254">
        <v>0</v>
      </c>
      <c r="AV2254">
        <v>0</v>
      </c>
      <c r="AW2254">
        <v>0</v>
      </c>
      <c r="AX2254">
        <v>0</v>
      </c>
      <c r="AY2254">
        <v>0</v>
      </c>
      <c r="AZ2254">
        <v>0</v>
      </c>
      <c r="BA2254">
        <v>0</v>
      </c>
      <c r="BB2254">
        <v>0</v>
      </c>
      <c r="BC2254">
        <v>0</v>
      </c>
      <c r="BD2254">
        <v>0</v>
      </c>
      <c r="BE2254">
        <v>0</v>
      </c>
      <c r="BF2254">
        <v>0</v>
      </c>
      <c r="BG2254">
        <v>0</v>
      </c>
      <c r="BH2254">
        <v>1</v>
      </c>
      <c r="BI2254">
        <v>3</v>
      </c>
      <c r="BJ2254">
        <v>5.3</v>
      </c>
      <c r="BK2254">
        <v>6</v>
      </c>
      <c r="BL2254">
        <v>140.9</v>
      </c>
      <c r="BM2254">
        <v>21.14</v>
      </c>
      <c r="BN2254">
        <v>162.04</v>
      </c>
      <c r="BO2254">
        <v>162.04</v>
      </c>
      <c r="BQ2254" t="s">
        <v>835</v>
      </c>
      <c r="BR2254" t="s">
        <v>84</v>
      </c>
      <c r="BS2254" s="3">
        <v>45796</v>
      </c>
      <c r="BT2254" s="4">
        <v>0.38194444444444442</v>
      </c>
      <c r="BU2254" t="s">
        <v>2439</v>
      </c>
      <c r="BV2254" t="s">
        <v>86</v>
      </c>
      <c r="BY2254">
        <v>26588</v>
      </c>
      <c r="BZ2254" t="s">
        <v>1795</v>
      </c>
      <c r="CA2254" t="s">
        <v>2440</v>
      </c>
      <c r="CC2254" t="s">
        <v>233</v>
      </c>
      <c r="CD2254" s="5" t="s">
        <v>238</v>
      </c>
      <c r="CE2254" t="s">
        <v>221</v>
      </c>
      <c r="CF2254" s="3">
        <v>45796</v>
      </c>
      <c r="CI2254">
        <v>1</v>
      </c>
      <c r="CJ2254">
        <v>1</v>
      </c>
      <c r="CK2254">
        <v>41</v>
      </c>
      <c r="CL2254" t="s">
        <v>89</v>
      </c>
    </row>
    <row r="2255" spans="1:90" x14ac:dyDescent="0.3">
      <c r="A2255" t="s">
        <v>72</v>
      </c>
      <c r="B2255" t="s">
        <v>73</v>
      </c>
      <c r="C2255" t="s">
        <v>74</v>
      </c>
      <c r="E2255" t="str">
        <f>"R080065281998"</f>
        <v>R080065281998</v>
      </c>
      <c r="F2255" s="3">
        <v>45797</v>
      </c>
      <c r="G2255">
        <v>202602</v>
      </c>
      <c r="H2255" t="s">
        <v>75</v>
      </c>
      <c r="I2255" t="s">
        <v>76</v>
      </c>
      <c r="J2255" t="s">
        <v>77</v>
      </c>
      <c r="K2255" t="s">
        <v>78</v>
      </c>
      <c r="L2255" t="s">
        <v>130</v>
      </c>
      <c r="M2255" t="s">
        <v>131</v>
      </c>
      <c r="N2255" t="s">
        <v>2616</v>
      </c>
      <c r="O2255" t="s">
        <v>82</v>
      </c>
      <c r="P2255" t="str">
        <f>"4170037549                    "</f>
        <v xml:space="preserve">4170037549                    </v>
      </c>
      <c r="Q2255">
        <v>0</v>
      </c>
      <c r="R2255">
        <v>0</v>
      </c>
      <c r="S2255">
        <v>0</v>
      </c>
      <c r="T2255">
        <v>0</v>
      </c>
      <c r="U2255">
        <v>0</v>
      </c>
      <c r="V2255">
        <v>0</v>
      </c>
      <c r="W2255">
        <v>0</v>
      </c>
      <c r="X2255">
        <v>0</v>
      </c>
      <c r="Y2255">
        <v>0</v>
      </c>
      <c r="Z2255">
        <v>0</v>
      </c>
      <c r="AA2255">
        <v>0</v>
      </c>
      <c r="AB2255">
        <v>0</v>
      </c>
      <c r="AC2255">
        <v>0</v>
      </c>
      <c r="AD2255">
        <v>0</v>
      </c>
      <c r="AE2255">
        <v>0</v>
      </c>
      <c r="AF2255">
        <v>0</v>
      </c>
      <c r="AG2255">
        <v>0</v>
      </c>
      <c r="AH2255">
        <v>0</v>
      </c>
      <c r="AI2255">
        <v>0</v>
      </c>
      <c r="AJ2255">
        <v>0</v>
      </c>
      <c r="AK2255">
        <v>0</v>
      </c>
      <c r="AL2255">
        <v>0</v>
      </c>
      <c r="AM2255">
        <v>0</v>
      </c>
      <c r="AN2255">
        <v>0</v>
      </c>
      <c r="AO2255">
        <v>0</v>
      </c>
      <c r="AP2255">
        <v>0</v>
      </c>
      <c r="AQ2255">
        <v>21.38</v>
      </c>
      <c r="AR2255">
        <v>0</v>
      </c>
      <c r="AS2255">
        <v>0</v>
      </c>
      <c r="AT2255">
        <v>0</v>
      </c>
      <c r="AU2255">
        <v>0</v>
      </c>
      <c r="AV2255">
        <v>0</v>
      </c>
      <c r="AW2255">
        <v>0</v>
      </c>
      <c r="AX2255">
        <v>0</v>
      </c>
      <c r="AY2255">
        <v>0</v>
      </c>
      <c r="AZ2255">
        <v>0</v>
      </c>
      <c r="BA2255">
        <v>0</v>
      </c>
      <c r="BB2255">
        <v>0</v>
      </c>
      <c r="BC2255">
        <v>0</v>
      </c>
      <c r="BD2255">
        <v>0</v>
      </c>
      <c r="BE2255">
        <v>0</v>
      </c>
      <c r="BF2255">
        <v>0</v>
      </c>
      <c r="BG2255">
        <v>0</v>
      </c>
      <c r="BH2255">
        <v>1</v>
      </c>
      <c r="BI2255">
        <v>1</v>
      </c>
      <c r="BJ2255">
        <v>0.2</v>
      </c>
      <c r="BK2255">
        <v>1</v>
      </c>
      <c r="BL2255">
        <v>69.98</v>
      </c>
      <c r="BM2255">
        <v>10.5</v>
      </c>
      <c r="BN2255">
        <v>80.48</v>
      </c>
      <c r="BO2255">
        <v>80.48</v>
      </c>
      <c r="BQ2255" t="s">
        <v>2617</v>
      </c>
      <c r="BR2255" t="s">
        <v>1037</v>
      </c>
      <c r="BS2255" s="3">
        <v>45797</v>
      </c>
      <c r="BT2255" s="4">
        <v>0.42430555555555555</v>
      </c>
      <c r="BU2255" t="s">
        <v>2618</v>
      </c>
      <c r="BV2255" t="s">
        <v>86</v>
      </c>
      <c r="BY2255">
        <v>1200</v>
      </c>
      <c r="CA2255" t="s">
        <v>488</v>
      </c>
      <c r="CC2255" t="s">
        <v>131</v>
      </c>
      <c r="CD2255">
        <v>7500</v>
      </c>
      <c r="CE2255" t="s">
        <v>88</v>
      </c>
      <c r="CF2255" s="3">
        <v>45798</v>
      </c>
      <c r="CI2255">
        <v>1</v>
      </c>
      <c r="CJ2255">
        <v>0</v>
      </c>
      <c r="CK2255">
        <v>21</v>
      </c>
      <c r="CL2255" t="s">
        <v>89</v>
      </c>
    </row>
    <row r="2256" spans="1:90" x14ac:dyDescent="0.3">
      <c r="A2256" t="s">
        <v>72</v>
      </c>
      <c r="B2256" t="s">
        <v>73</v>
      </c>
      <c r="C2256" t="s">
        <v>74</v>
      </c>
      <c r="E2256" t="str">
        <f>"R080065325002"</f>
        <v>R080065325002</v>
      </c>
      <c r="F2256" s="3">
        <v>45797</v>
      </c>
      <c r="G2256">
        <v>202602</v>
      </c>
      <c r="H2256" t="s">
        <v>75</v>
      </c>
      <c r="I2256" t="s">
        <v>76</v>
      </c>
      <c r="J2256" t="s">
        <v>77</v>
      </c>
      <c r="K2256" t="s">
        <v>78</v>
      </c>
      <c r="L2256" t="s">
        <v>130</v>
      </c>
      <c r="M2256" t="s">
        <v>131</v>
      </c>
      <c r="N2256" t="s">
        <v>2619</v>
      </c>
      <c r="O2256" t="s">
        <v>82</v>
      </c>
      <c r="P2256" t="str">
        <f>"4170037800                    "</f>
        <v xml:space="preserve">4170037800                    </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0</v>
      </c>
      <c r="AL2256">
        <v>0</v>
      </c>
      <c r="AM2256">
        <v>0</v>
      </c>
      <c r="AN2256">
        <v>0</v>
      </c>
      <c r="AO2256">
        <v>0</v>
      </c>
      <c r="AP2256">
        <v>0</v>
      </c>
      <c r="AQ2256">
        <v>21.38</v>
      </c>
      <c r="AR2256">
        <v>0</v>
      </c>
      <c r="AS2256">
        <v>0</v>
      </c>
      <c r="AT2256">
        <v>0</v>
      </c>
      <c r="AU2256">
        <v>0</v>
      </c>
      <c r="AV2256">
        <v>0</v>
      </c>
      <c r="AW2256">
        <v>0</v>
      </c>
      <c r="AX2256">
        <v>0</v>
      </c>
      <c r="AY2256">
        <v>0</v>
      </c>
      <c r="AZ2256">
        <v>0</v>
      </c>
      <c r="BA2256">
        <v>0</v>
      </c>
      <c r="BB2256">
        <v>0</v>
      </c>
      <c r="BC2256">
        <v>0</v>
      </c>
      <c r="BD2256">
        <v>0</v>
      </c>
      <c r="BE2256">
        <v>0</v>
      </c>
      <c r="BF2256">
        <v>0</v>
      </c>
      <c r="BG2256">
        <v>0</v>
      </c>
      <c r="BH2256">
        <v>1</v>
      </c>
      <c r="BI2256">
        <v>1</v>
      </c>
      <c r="BJ2256">
        <v>0.2</v>
      </c>
      <c r="BK2256">
        <v>1</v>
      </c>
      <c r="BL2256">
        <v>69.98</v>
      </c>
      <c r="BM2256">
        <v>10.5</v>
      </c>
      <c r="BN2256">
        <v>80.48</v>
      </c>
      <c r="BO2256">
        <v>80.48</v>
      </c>
      <c r="BQ2256" t="s">
        <v>2620</v>
      </c>
      <c r="BR2256" t="s">
        <v>1037</v>
      </c>
      <c r="BS2256" s="3">
        <v>45797</v>
      </c>
      <c r="BT2256" s="4">
        <v>0.42430555555555555</v>
      </c>
      <c r="BU2256" t="s">
        <v>2618</v>
      </c>
      <c r="BV2256" t="s">
        <v>86</v>
      </c>
      <c r="BY2256">
        <v>1200</v>
      </c>
      <c r="BZ2256" t="s">
        <v>127</v>
      </c>
      <c r="CA2256" t="s">
        <v>488</v>
      </c>
      <c r="CC2256" t="s">
        <v>131</v>
      </c>
      <c r="CD2256">
        <v>7500</v>
      </c>
      <c r="CE2256" t="s">
        <v>88</v>
      </c>
      <c r="CF2256" s="3">
        <v>45798</v>
      </c>
      <c r="CI2256">
        <v>1</v>
      </c>
      <c r="CJ2256">
        <v>0</v>
      </c>
      <c r="CK2256">
        <v>21</v>
      </c>
      <c r="CL2256" t="s">
        <v>89</v>
      </c>
    </row>
    <row r="2257" spans="1:90" x14ac:dyDescent="0.3">
      <c r="A2257" t="s">
        <v>72</v>
      </c>
      <c r="B2257" t="s">
        <v>73</v>
      </c>
      <c r="C2257" t="s">
        <v>74</v>
      </c>
      <c r="E2257" t="str">
        <f>"080065461509"</f>
        <v>080065461509</v>
      </c>
      <c r="F2257" s="3">
        <v>45797</v>
      </c>
      <c r="G2257">
        <v>202602</v>
      </c>
      <c r="H2257" t="s">
        <v>75</v>
      </c>
      <c r="I2257" t="s">
        <v>76</v>
      </c>
      <c r="J2257" t="s">
        <v>77</v>
      </c>
      <c r="K2257" t="s">
        <v>78</v>
      </c>
      <c r="L2257" t="s">
        <v>90</v>
      </c>
      <c r="M2257" t="s">
        <v>91</v>
      </c>
      <c r="N2257" t="s">
        <v>1586</v>
      </c>
      <c r="O2257" t="s">
        <v>82</v>
      </c>
      <c r="P2257" t="str">
        <f>"4170039652                    "</f>
        <v xml:space="preserve">4170039652                    </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c r="AI2257">
        <v>0</v>
      </c>
      <c r="AJ2257">
        <v>0</v>
      </c>
      <c r="AK2257">
        <v>0</v>
      </c>
      <c r="AL2257">
        <v>0</v>
      </c>
      <c r="AM2257">
        <v>0</v>
      </c>
      <c r="AN2257">
        <v>0</v>
      </c>
      <c r="AO2257">
        <v>0</v>
      </c>
      <c r="AP2257">
        <v>0</v>
      </c>
      <c r="AQ2257">
        <v>21.38</v>
      </c>
      <c r="AR2257">
        <v>0</v>
      </c>
      <c r="AS2257">
        <v>0</v>
      </c>
      <c r="AT2257">
        <v>0</v>
      </c>
      <c r="AU2257">
        <v>0</v>
      </c>
      <c r="AV2257">
        <v>0</v>
      </c>
      <c r="AW2257">
        <v>0</v>
      </c>
      <c r="AX2257">
        <v>0</v>
      </c>
      <c r="AY2257">
        <v>0</v>
      </c>
      <c r="AZ2257">
        <v>0</v>
      </c>
      <c r="BA2257">
        <v>0</v>
      </c>
      <c r="BB2257">
        <v>0</v>
      </c>
      <c r="BC2257">
        <v>0</v>
      </c>
      <c r="BD2257">
        <v>0</v>
      </c>
      <c r="BE2257">
        <v>0</v>
      </c>
      <c r="BF2257">
        <v>0</v>
      </c>
      <c r="BG2257">
        <v>0</v>
      </c>
      <c r="BH2257">
        <v>1</v>
      </c>
      <c r="BI2257">
        <v>1</v>
      </c>
      <c r="BJ2257">
        <v>0.2</v>
      </c>
      <c r="BK2257">
        <v>1</v>
      </c>
      <c r="BL2257">
        <v>69.98</v>
      </c>
      <c r="BM2257">
        <v>10.5</v>
      </c>
      <c r="BN2257">
        <v>80.48</v>
      </c>
      <c r="BO2257">
        <v>80.48</v>
      </c>
      <c r="BQ2257" t="s">
        <v>1587</v>
      </c>
      <c r="BR2257" t="s">
        <v>84</v>
      </c>
      <c r="BS2257" s="3">
        <v>45799</v>
      </c>
      <c r="BT2257" s="4">
        <v>0.84375</v>
      </c>
      <c r="BU2257" t="s">
        <v>2621</v>
      </c>
      <c r="BV2257" t="s">
        <v>89</v>
      </c>
      <c r="BW2257" t="s">
        <v>1905</v>
      </c>
      <c r="BX2257" t="s">
        <v>2622</v>
      </c>
      <c r="BY2257">
        <v>1200</v>
      </c>
      <c r="CC2257" t="s">
        <v>91</v>
      </c>
      <c r="CD2257">
        <v>6001</v>
      </c>
      <c r="CE2257" t="s">
        <v>176</v>
      </c>
      <c r="CF2257" s="3">
        <v>45799</v>
      </c>
      <c r="CI2257">
        <v>1</v>
      </c>
      <c r="CJ2257">
        <v>2</v>
      </c>
      <c r="CK2257">
        <v>21</v>
      </c>
      <c r="CL2257" t="s">
        <v>89</v>
      </c>
    </row>
    <row r="2258" spans="1:90" x14ac:dyDescent="0.3">
      <c r="A2258" t="s">
        <v>72</v>
      </c>
      <c r="B2258" t="s">
        <v>73</v>
      </c>
      <c r="C2258" t="s">
        <v>74</v>
      </c>
      <c r="E2258" t="str">
        <f>"080065461558"</f>
        <v>080065461558</v>
      </c>
      <c r="F2258" s="3">
        <v>45797</v>
      </c>
      <c r="G2258">
        <v>202602</v>
      </c>
      <c r="H2258" t="s">
        <v>75</v>
      </c>
      <c r="I2258" t="s">
        <v>76</v>
      </c>
      <c r="J2258" t="s">
        <v>77</v>
      </c>
      <c r="K2258" t="s">
        <v>78</v>
      </c>
      <c r="L2258" t="s">
        <v>136</v>
      </c>
      <c r="M2258" t="s">
        <v>137</v>
      </c>
      <c r="N2258" t="s">
        <v>776</v>
      </c>
      <c r="O2258" t="s">
        <v>300</v>
      </c>
      <c r="P2258" t="str">
        <f>"4170039445                    "</f>
        <v xml:space="preserve">4170039445                    </v>
      </c>
      <c r="Q2258">
        <v>0</v>
      </c>
      <c r="R2258">
        <v>0</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0</v>
      </c>
      <c r="AL2258">
        <v>0</v>
      </c>
      <c r="AM2258">
        <v>0</v>
      </c>
      <c r="AN2258">
        <v>0</v>
      </c>
      <c r="AO2258">
        <v>0</v>
      </c>
      <c r="AP2258">
        <v>0</v>
      </c>
      <c r="AQ2258">
        <v>46.47</v>
      </c>
      <c r="AR2258">
        <v>0</v>
      </c>
      <c r="AS2258">
        <v>0</v>
      </c>
      <c r="AT2258">
        <v>0</v>
      </c>
      <c r="AU2258">
        <v>0</v>
      </c>
      <c r="AV2258">
        <v>0</v>
      </c>
      <c r="AW2258">
        <v>0</v>
      </c>
      <c r="AX2258">
        <v>0</v>
      </c>
      <c r="AY2258">
        <v>0</v>
      </c>
      <c r="AZ2258">
        <v>0</v>
      </c>
      <c r="BA2258">
        <v>0</v>
      </c>
      <c r="BB2258">
        <v>0</v>
      </c>
      <c r="BC2258">
        <v>0</v>
      </c>
      <c r="BD2258">
        <v>0</v>
      </c>
      <c r="BE2258">
        <v>0</v>
      </c>
      <c r="BF2258">
        <v>0</v>
      </c>
      <c r="BG2258">
        <v>0</v>
      </c>
      <c r="BH2258">
        <v>2</v>
      </c>
      <c r="BI2258">
        <v>14</v>
      </c>
      <c r="BJ2258">
        <v>17.600000000000001</v>
      </c>
      <c r="BK2258">
        <v>18</v>
      </c>
      <c r="BL2258">
        <v>157.66</v>
      </c>
      <c r="BM2258">
        <v>23.65</v>
      </c>
      <c r="BN2258">
        <v>181.31</v>
      </c>
      <c r="BO2258">
        <v>181.31</v>
      </c>
      <c r="BQ2258" t="s">
        <v>777</v>
      </c>
      <c r="BR2258" t="s">
        <v>84</v>
      </c>
      <c r="BS2258" s="3">
        <v>45798</v>
      </c>
      <c r="BT2258" s="4">
        <v>0.33124999999999999</v>
      </c>
      <c r="BU2258" t="s">
        <v>778</v>
      </c>
      <c r="BV2258" t="s">
        <v>86</v>
      </c>
      <c r="BY2258">
        <v>44100</v>
      </c>
      <c r="CA2258" t="s">
        <v>907</v>
      </c>
      <c r="CC2258" t="s">
        <v>137</v>
      </c>
      <c r="CD2258" s="5" t="s">
        <v>738</v>
      </c>
      <c r="CE2258" t="s">
        <v>1494</v>
      </c>
      <c r="CF2258" s="3">
        <v>45798</v>
      </c>
      <c r="CI2258">
        <v>1</v>
      </c>
      <c r="CJ2258">
        <v>1</v>
      </c>
      <c r="CK2258">
        <v>41</v>
      </c>
      <c r="CL2258" t="s">
        <v>89</v>
      </c>
    </row>
    <row r="2259" spans="1:90" x14ac:dyDescent="0.3">
      <c r="A2259" t="s">
        <v>72</v>
      </c>
      <c r="B2259" t="s">
        <v>73</v>
      </c>
      <c r="C2259" t="s">
        <v>74</v>
      </c>
      <c r="E2259" t="str">
        <f>"080065461835"</f>
        <v>080065461835</v>
      </c>
      <c r="F2259" s="3">
        <v>45797</v>
      </c>
      <c r="G2259">
        <v>202602</v>
      </c>
      <c r="H2259" t="s">
        <v>75</v>
      </c>
      <c r="I2259" t="s">
        <v>76</v>
      </c>
      <c r="J2259" t="s">
        <v>77</v>
      </c>
      <c r="K2259" t="s">
        <v>78</v>
      </c>
      <c r="L2259" t="s">
        <v>130</v>
      </c>
      <c r="M2259" t="s">
        <v>131</v>
      </c>
      <c r="N2259" t="s">
        <v>897</v>
      </c>
      <c r="O2259" t="s">
        <v>82</v>
      </c>
      <c r="P2259" t="str">
        <f>"4170039462                    "</f>
        <v xml:space="preserve">4170039462                    </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0</v>
      </c>
      <c r="AL2259">
        <v>0</v>
      </c>
      <c r="AM2259">
        <v>0</v>
      </c>
      <c r="AN2259">
        <v>0</v>
      </c>
      <c r="AO2259">
        <v>0</v>
      </c>
      <c r="AP2259">
        <v>0</v>
      </c>
      <c r="AQ2259">
        <v>32.07</v>
      </c>
      <c r="AR2259">
        <v>0</v>
      </c>
      <c r="AS2259">
        <v>0</v>
      </c>
      <c r="AT2259">
        <v>0</v>
      </c>
      <c r="AU2259">
        <v>0</v>
      </c>
      <c r="AV2259">
        <v>0</v>
      </c>
      <c r="AW2259">
        <v>0</v>
      </c>
      <c r="AX2259">
        <v>0</v>
      </c>
      <c r="AY2259">
        <v>0</v>
      </c>
      <c r="AZ2259">
        <v>0</v>
      </c>
      <c r="BA2259">
        <v>0</v>
      </c>
      <c r="BB2259">
        <v>0</v>
      </c>
      <c r="BC2259">
        <v>0</v>
      </c>
      <c r="BD2259">
        <v>0</v>
      </c>
      <c r="BE2259">
        <v>0</v>
      </c>
      <c r="BF2259">
        <v>0</v>
      </c>
      <c r="BG2259">
        <v>0</v>
      </c>
      <c r="BH2259">
        <v>1</v>
      </c>
      <c r="BI2259">
        <v>3</v>
      </c>
      <c r="BJ2259">
        <v>1.7</v>
      </c>
      <c r="BK2259">
        <v>3</v>
      </c>
      <c r="BL2259">
        <v>104.95</v>
      </c>
      <c r="BM2259">
        <v>15.74</v>
      </c>
      <c r="BN2259">
        <v>120.69</v>
      </c>
      <c r="BO2259">
        <v>120.69</v>
      </c>
      <c r="BQ2259" t="s">
        <v>898</v>
      </c>
      <c r="BR2259" t="s">
        <v>84</v>
      </c>
      <c r="BS2259" s="3">
        <v>45798</v>
      </c>
      <c r="BT2259" s="4">
        <v>0.53263888888888888</v>
      </c>
      <c r="BU2259" t="s">
        <v>899</v>
      </c>
      <c r="BV2259" t="s">
        <v>89</v>
      </c>
      <c r="BW2259" t="s">
        <v>340</v>
      </c>
      <c r="BX2259" t="s">
        <v>618</v>
      </c>
      <c r="BY2259">
        <v>8512</v>
      </c>
      <c r="CA2259" t="s">
        <v>901</v>
      </c>
      <c r="CC2259" t="s">
        <v>131</v>
      </c>
      <c r="CD2259">
        <v>7550</v>
      </c>
      <c r="CE2259" t="s">
        <v>116</v>
      </c>
      <c r="CF2259" s="3">
        <v>45799</v>
      </c>
      <c r="CI2259">
        <v>1</v>
      </c>
      <c r="CJ2259">
        <v>1</v>
      </c>
      <c r="CK2259">
        <v>21</v>
      </c>
      <c r="CL2259" t="s">
        <v>89</v>
      </c>
    </row>
    <row r="2260" spans="1:90" x14ac:dyDescent="0.3">
      <c r="A2260" t="s">
        <v>72</v>
      </c>
      <c r="B2260" t="s">
        <v>73</v>
      </c>
      <c r="C2260" t="s">
        <v>74</v>
      </c>
      <c r="E2260" t="str">
        <f>"080065461878"</f>
        <v>080065461878</v>
      </c>
      <c r="F2260" s="3">
        <v>45797</v>
      </c>
      <c r="G2260">
        <v>202602</v>
      </c>
      <c r="H2260" t="s">
        <v>75</v>
      </c>
      <c r="I2260" t="s">
        <v>76</v>
      </c>
      <c r="J2260" t="s">
        <v>77</v>
      </c>
      <c r="K2260" t="s">
        <v>78</v>
      </c>
      <c r="L2260" t="s">
        <v>117</v>
      </c>
      <c r="M2260" t="s">
        <v>118</v>
      </c>
      <c r="N2260" t="s">
        <v>1818</v>
      </c>
      <c r="O2260" t="s">
        <v>82</v>
      </c>
      <c r="P2260" t="str">
        <f>"4170039479                    "</f>
        <v xml:space="preserve">4170039479                    </v>
      </c>
      <c r="Q2260">
        <v>0</v>
      </c>
      <c r="R2260">
        <v>0</v>
      </c>
      <c r="S2260">
        <v>0</v>
      </c>
      <c r="T2260">
        <v>0</v>
      </c>
      <c r="U2260">
        <v>0</v>
      </c>
      <c r="V2260">
        <v>0</v>
      </c>
      <c r="W2260">
        <v>0</v>
      </c>
      <c r="X2260">
        <v>0</v>
      </c>
      <c r="Y2260">
        <v>0</v>
      </c>
      <c r="Z2260">
        <v>0</v>
      </c>
      <c r="AA2260">
        <v>0</v>
      </c>
      <c r="AB2260">
        <v>0</v>
      </c>
      <c r="AC2260">
        <v>0</v>
      </c>
      <c r="AD2260">
        <v>0</v>
      </c>
      <c r="AE2260">
        <v>0</v>
      </c>
      <c r="AF2260">
        <v>0</v>
      </c>
      <c r="AG2260">
        <v>0</v>
      </c>
      <c r="AH2260">
        <v>0</v>
      </c>
      <c r="AI2260">
        <v>0</v>
      </c>
      <c r="AJ2260">
        <v>0</v>
      </c>
      <c r="AK2260">
        <v>0</v>
      </c>
      <c r="AL2260">
        <v>0</v>
      </c>
      <c r="AM2260">
        <v>0</v>
      </c>
      <c r="AN2260">
        <v>0</v>
      </c>
      <c r="AO2260">
        <v>0</v>
      </c>
      <c r="AP2260">
        <v>0</v>
      </c>
      <c r="AQ2260">
        <v>16.7</v>
      </c>
      <c r="AR2260">
        <v>0</v>
      </c>
      <c r="AS2260">
        <v>0</v>
      </c>
      <c r="AT2260">
        <v>0</v>
      </c>
      <c r="AU2260">
        <v>0</v>
      </c>
      <c r="AV2260">
        <v>0</v>
      </c>
      <c r="AW2260">
        <v>0</v>
      </c>
      <c r="AX2260">
        <v>0</v>
      </c>
      <c r="AY2260">
        <v>0</v>
      </c>
      <c r="AZ2260">
        <v>0</v>
      </c>
      <c r="BA2260">
        <v>0</v>
      </c>
      <c r="BB2260">
        <v>0</v>
      </c>
      <c r="BC2260">
        <v>0</v>
      </c>
      <c r="BD2260">
        <v>0</v>
      </c>
      <c r="BE2260">
        <v>0</v>
      </c>
      <c r="BF2260">
        <v>0</v>
      </c>
      <c r="BG2260">
        <v>0</v>
      </c>
      <c r="BH2260">
        <v>1</v>
      </c>
      <c r="BI2260">
        <v>1</v>
      </c>
      <c r="BJ2260">
        <v>0.2</v>
      </c>
      <c r="BK2260">
        <v>1</v>
      </c>
      <c r="BL2260">
        <v>54.66</v>
      </c>
      <c r="BM2260">
        <v>8.1999999999999993</v>
      </c>
      <c r="BN2260">
        <v>62.86</v>
      </c>
      <c r="BO2260">
        <v>62.86</v>
      </c>
      <c r="BQ2260" t="s">
        <v>1819</v>
      </c>
      <c r="BR2260" t="s">
        <v>84</v>
      </c>
      <c r="BS2260" s="3">
        <v>45798</v>
      </c>
      <c r="BT2260" s="4">
        <v>0.35416666666666669</v>
      </c>
      <c r="BU2260" t="s">
        <v>1820</v>
      </c>
      <c r="BV2260" t="s">
        <v>86</v>
      </c>
      <c r="BY2260">
        <v>1200</v>
      </c>
      <c r="CA2260" t="s">
        <v>535</v>
      </c>
      <c r="CC2260" t="s">
        <v>118</v>
      </c>
      <c r="CD2260">
        <v>2022</v>
      </c>
      <c r="CE2260" t="s">
        <v>88</v>
      </c>
      <c r="CF2260" s="3">
        <v>45798</v>
      </c>
      <c r="CI2260">
        <v>1</v>
      </c>
      <c r="CJ2260">
        <v>1</v>
      </c>
      <c r="CK2260">
        <v>22</v>
      </c>
      <c r="CL2260" t="s">
        <v>89</v>
      </c>
    </row>
    <row r="2261" spans="1:90" x14ac:dyDescent="0.3">
      <c r="A2261" t="s">
        <v>72</v>
      </c>
      <c r="B2261" t="s">
        <v>73</v>
      </c>
      <c r="C2261" t="s">
        <v>74</v>
      </c>
      <c r="E2261" t="str">
        <f>"080065462222"</f>
        <v>080065462222</v>
      </c>
      <c r="F2261" s="3">
        <v>45797</v>
      </c>
      <c r="G2261">
        <v>202602</v>
      </c>
      <c r="H2261" t="s">
        <v>75</v>
      </c>
      <c r="I2261" t="s">
        <v>76</v>
      </c>
      <c r="J2261" t="s">
        <v>77</v>
      </c>
      <c r="K2261" t="s">
        <v>78</v>
      </c>
      <c r="L2261" t="s">
        <v>90</v>
      </c>
      <c r="M2261" t="s">
        <v>91</v>
      </c>
      <c r="N2261" t="s">
        <v>92</v>
      </c>
      <c r="O2261" t="s">
        <v>300</v>
      </c>
      <c r="P2261" t="str">
        <f>"4170039451                    "</f>
        <v xml:space="preserve">4170039451                    </v>
      </c>
      <c r="Q2261">
        <v>0</v>
      </c>
      <c r="R2261">
        <v>0</v>
      </c>
      <c r="S2261">
        <v>0</v>
      </c>
      <c r="T2261">
        <v>0</v>
      </c>
      <c r="U2261">
        <v>0</v>
      </c>
      <c r="V2261">
        <v>0</v>
      </c>
      <c r="W2261">
        <v>0</v>
      </c>
      <c r="X2261">
        <v>0</v>
      </c>
      <c r="Y2261">
        <v>0</v>
      </c>
      <c r="Z2261">
        <v>0</v>
      </c>
      <c r="AA2261">
        <v>0</v>
      </c>
      <c r="AB2261">
        <v>0</v>
      </c>
      <c r="AC2261">
        <v>0</v>
      </c>
      <c r="AD2261">
        <v>0</v>
      </c>
      <c r="AE2261">
        <v>0</v>
      </c>
      <c r="AF2261">
        <v>0</v>
      </c>
      <c r="AG2261">
        <v>0</v>
      </c>
      <c r="AH2261">
        <v>0</v>
      </c>
      <c r="AI2261">
        <v>0</v>
      </c>
      <c r="AJ2261">
        <v>0</v>
      </c>
      <c r="AK2261">
        <v>0</v>
      </c>
      <c r="AL2261">
        <v>0</v>
      </c>
      <c r="AM2261">
        <v>0</v>
      </c>
      <c r="AN2261">
        <v>0</v>
      </c>
      <c r="AO2261">
        <v>0</v>
      </c>
      <c r="AP2261">
        <v>0</v>
      </c>
      <c r="AQ2261">
        <v>133.54</v>
      </c>
      <c r="AR2261">
        <v>0</v>
      </c>
      <c r="AS2261">
        <v>0</v>
      </c>
      <c r="AT2261">
        <v>0</v>
      </c>
      <c r="AU2261">
        <v>0</v>
      </c>
      <c r="AV2261">
        <v>0</v>
      </c>
      <c r="AW2261">
        <v>0</v>
      </c>
      <c r="AX2261">
        <v>0</v>
      </c>
      <c r="AY2261">
        <v>0</v>
      </c>
      <c r="AZ2261">
        <v>0</v>
      </c>
      <c r="BA2261">
        <v>0</v>
      </c>
      <c r="BB2261">
        <v>0</v>
      </c>
      <c r="BC2261">
        <v>0</v>
      </c>
      <c r="BD2261">
        <v>0</v>
      </c>
      <c r="BE2261">
        <v>0</v>
      </c>
      <c r="BF2261">
        <v>0</v>
      </c>
      <c r="BG2261">
        <v>0</v>
      </c>
      <c r="BH2261">
        <v>3</v>
      </c>
      <c r="BI2261">
        <v>69</v>
      </c>
      <c r="BJ2261">
        <v>31.8</v>
      </c>
      <c r="BK2261">
        <v>69</v>
      </c>
      <c r="BL2261">
        <v>442.61</v>
      </c>
      <c r="BM2261">
        <v>66.39</v>
      </c>
      <c r="BN2261">
        <v>509</v>
      </c>
      <c r="BO2261">
        <v>509</v>
      </c>
      <c r="BQ2261" t="s">
        <v>93</v>
      </c>
      <c r="BR2261" t="s">
        <v>84</v>
      </c>
      <c r="BS2261" s="3">
        <v>45799</v>
      </c>
      <c r="BT2261" s="4">
        <v>0.375</v>
      </c>
      <c r="BU2261" t="s">
        <v>94</v>
      </c>
      <c r="BV2261" t="s">
        <v>86</v>
      </c>
      <c r="BY2261">
        <v>158880</v>
      </c>
      <c r="CA2261" t="s">
        <v>95</v>
      </c>
      <c r="CC2261" t="s">
        <v>91</v>
      </c>
      <c r="CD2261">
        <v>6001</v>
      </c>
      <c r="CE2261" t="s">
        <v>550</v>
      </c>
      <c r="CF2261" s="3">
        <v>45800</v>
      </c>
      <c r="CI2261">
        <v>3</v>
      </c>
      <c r="CJ2261">
        <v>2</v>
      </c>
      <c r="CK2261">
        <v>41</v>
      </c>
      <c r="CL2261" t="s">
        <v>89</v>
      </c>
    </row>
    <row r="2262" spans="1:90" x14ac:dyDescent="0.3">
      <c r="A2262" t="s">
        <v>72</v>
      </c>
      <c r="B2262" t="s">
        <v>73</v>
      </c>
      <c r="C2262" t="s">
        <v>74</v>
      </c>
      <c r="E2262" t="str">
        <f>"080065462260"</f>
        <v>080065462260</v>
      </c>
      <c r="F2262" s="3">
        <v>45797</v>
      </c>
      <c r="G2262">
        <v>202602</v>
      </c>
      <c r="H2262" t="s">
        <v>75</v>
      </c>
      <c r="I2262" t="s">
        <v>76</v>
      </c>
      <c r="J2262" t="s">
        <v>77</v>
      </c>
      <c r="K2262" t="s">
        <v>78</v>
      </c>
      <c r="L2262" t="s">
        <v>117</v>
      </c>
      <c r="M2262" t="s">
        <v>118</v>
      </c>
      <c r="N2262" t="s">
        <v>1019</v>
      </c>
      <c r="O2262" t="s">
        <v>82</v>
      </c>
      <c r="P2262" t="str">
        <f>"4170039396                    "</f>
        <v xml:space="preserve">4170039396                    </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0</v>
      </c>
      <c r="AL2262">
        <v>0</v>
      </c>
      <c r="AM2262">
        <v>0</v>
      </c>
      <c r="AN2262">
        <v>0</v>
      </c>
      <c r="AO2262">
        <v>0</v>
      </c>
      <c r="AP2262">
        <v>0</v>
      </c>
      <c r="AQ2262">
        <v>16.7</v>
      </c>
      <c r="AR2262">
        <v>0</v>
      </c>
      <c r="AS2262">
        <v>0</v>
      </c>
      <c r="AT2262">
        <v>0</v>
      </c>
      <c r="AU2262">
        <v>0</v>
      </c>
      <c r="AV2262">
        <v>0</v>
      </c>
      <c r="AW2262">
        <v>0</v>
      </c>
      <c r="AX2262">
        <v>0</v>
      </c>
      <c r="AY2262">
        <v>0</v>
      </c>
      <c r="AZ2262">
        <v>0</v>
      </c>
      <c r="BA2262">
        <v>0</v>
      </c>
      <c r="BB2262">
        <v>0</v>
      </c>
      <c r="BC2262">
        <v>0</v>
      </c>
      <c r="BD2262">
        <v>0</v>
      </c>
      <c r="BE2262">
        <v>0</v>
      </c>
      <c r="BF2262">
        <v>0</v>
      </c>
      <c r="BG2262">
        <v>0</v>
      </c>
      <c r="BH2262">
        <v>1</v>
      </c>
      <c r="BI2262">
        <v>1</v>
      </c>
      <c r="BJ2262">
        <v>0.2</v>
      </c>
      <c r="BK2262">
        <v>1</v>
      </c>
      <c r="BL2262">
        <v>54.66</v>
      </c>
      <c r="BM2262">
        <v>8.1999999999999993</v>
      </c>
      <c r="BN2262">
        <v>62.86</v>
      </c>
      <c r="BO2262">
        <v>62.86</v>
      </c>
      <c r="BQ2262" t="s">
        <v>1020</v>
      </c>
      <c r="BR2262" t="s">
        <v>84</v>
      </c>
      <c r="BS2262" s="3">
        <v>45798</v>
      </c>
      <c r="BT2262" s="4">
        <v>0.33541666666666664</v>
      </c>
      <c r="BU2262" t="s">
        <v>1021</v>
      </c>
      <c r="BV2262" t="s">
        <v>86</v>
      </c>
      <c r="BY2262">
        <v>1200</v>
      </c>
      <c r="CA2262" t="s">
        <v>275</v>
      </c>
      <c r="CC2262" t="s">
        <v>118</v>
      </c>
      <c r="CD2262">
        <v>2013</v>
      </c>
      <c r="CE2262" t="s">
        <v>88</v>
      </c>
      <c r="CF2262" s="3">
        <v>45798</v>
      </c>
      <c r="CI2262">
        <v>1</v>
      </c>
      <c r="CJ2262">
        <v>1</v>
      </c>
      <c r="CK2262">
        <v>22</v>
      </c>
      <c r="CL2262" t="s">
        <v>89</v>
      </c>
    </row>
    <row r="2263" spans="1:90" x14ac:dyDescent="0.3">
      <c r="A2263" t="s">
        <v>72</v>
      </c>
      <c r="B2263" t="s">
        <v>73</v>
      </c>
      <c r="C2263" t="s">
        <v>74</v>
      </c>
      <c r="E2263" t="str">
        <f>"080065462265"</f>
        <v>080065462265</v>
      </c>
      <c r="F2263" s="3">
        <v>45797</v>
      </c>
      <c r="G2263">
        <v>202602</v>
      </c>
      <c r="H2263" t="s">
        <v>75</v>
      </c>
      <c r="I2263" t="s">
        <v>76</v>
      </c>
      <c r="J2263" t="s">
        <v>77</v>
      </c>
      <c r="K2263" t="s">
        <v>78</v>
      </c>
      <c r="L2263" t="s">
        <v>130</v>
      </c>
      <c r="M2263" t="s">
        <v>131</v>
      </c>
      <c r="N2263" t="s">
        <v>897</v>
      </c>
      <c r="O2263" t="s">
        <v>82</v>
      </c>
      <c r="P2263" t="str">
        <f>"4170039460                    "</f>
        <v xml:space="preserve">4170039460                    </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0</v>
      </c>
      <c r="AL2263">
        <v>0</v>
      </c>
      <c r="AM2263">
        <v>0</v>
      </c>
      <c r="AN2263">
        <v>0</v>
      </c>
      <c r="AO2263">
        <v>0</v>
      </c>
      <c r="AP2263">
        <v>0</v>
      </c>
      <c r="AQ2263">
        <v>32.07</v>
      </c>
      <c r="AR2263">
        <v>0</v>
      </c>
      <c r="AS2263">
        <v>0</v>
      </c>
      <c r="AT2263">
        <v>0</v>
      </c>
      <c r="AU2263">
        <v>0</v>
      </c>
      <c r="AV2263">
        <v>0</v>
      </c>
      <c r="AW2263">
        <v>0</v>
      </c>
      <c r="AX2263">
        <v>0</v>
      </c>
      <c r="AY2263">
        <v>0</v>
      </c>
      <c r="AZ2263">
        <v>0</v>
      </c>
      <c r="BA2263">
        <v>0</v>
      </c>
      <c r="BB2263">
        <v>0</v>
      </c>
      <c r="BC2263">
        <v>0</v>
      </c>
      <c r="BD2263">
        <v>0</v>
      </c>
      <c r="BE2263">
        <v>0</v>
      </c>
      <c r="BF2263">
        <v>0</v>
      </c>
      <c r="BG2263">
        <v>0</v>
      </c>
      <c r="BH2263">
        <v>1</v>
      </c>
      <c r="BI2263">
        <v>3</v>
      </c>
      <c r="BJ2263">
        <v>1.7</v>
      </c>
      <c r="BK2263">
        <v>3</v>
      </c>
      <c r="BL2263">
        <v>104.95</v>
      </c>
      <c r="BM2263">
        <v>15.74</v>
      </c>
      <c r="BN2263">
        <v>120.69</v>
      </c>
      <c r="BO2263">
        <v>120.69</v>
      </c>
      <c r="BQ2263" t="s">
        <v>898</v>
      </c>
      <c r="BR2263" t="s">
        <v>84</v>
      </c>
      <c r="BS2263" s="3">
        <v>45798</v>
      </c>
      <c r="BT2263" s="4">
        <v>0.53194444444444444</v>
      </c>
      <c r="BU2263" t="s">
        <v>899</v>
      </c>
      <c r="BV2263" t="s">
        <v>89</v>
      </c>
      <c r="BW2263" t="s">
        <v>340</v>
      </c>
      <c r="BX2263" t="s">
        <v>618</v>
      </c>
      <c r="BY2263">
        <v>8512</v>
      </c>
      <c r="CA2263" t="s">
        <v>901</v>
      </c>
      <c r="CC2263" t="s">
        <v>131</v>
      </c>
      <c r="CD2263">
        <v>7550</v>
      </c>
      <c r="CE2263" t="s">
        <v>116</v>
      </c>
      <c r="CF2263" s="3">
        <v>45799</v>
      </c>
      <c r="CI2263">
        <v>1</v>
      </c>
      <c r="CJ2263">
        <v>1</v>
      </c>
      <c r="CK2263">
        <v>21</v>
      </c>
      <c r="CL2263" t="s">
        <v>89</v>
      </c>
    </row>
    <row r="2264" spans="1:90" x14ac:dyDescent="0.3">
      <c r="A2264" t="s">
        <v>72</v>
      </c>
      <c r="B2264" t="s">
        <v>73</v>
      </c>
      <c r="C2264" t="s">
        <v>74</v>
      </c>
      <c r="E2264" t="str">
        <f>"080065462288"</f>
        <v>080065462288</v>
      </c>
      <c r="F2264" s="3">
        <v>45797</v>
      </c>
      <c r="G2264">
        <v>202602</v>
      </c>
      <c r="H2264" t="s">
        <v>75</v>
      </c>
      <c r="I2264" t="s">
        <v>76</v>
      </c>
      <c r="J2264" t="s">
        <v>77</v>
      </c>
      <c r="K2264" t="s">
        <v>78</v>
      </c>
      <c r="L2264" t="s">
        <v>177</v>
      </c>
      <c r="M2264" t="s">
        <v>178</v>
      </c>
      <c r="N2264" t="s">
        <v>2207</v>
      </c>
      <c r="O2264" t="s">
        <v>82</v>
      </c>
      <c r="P2264" t="str">
        <f>"4170039436                    "</f>
        <v xml:space="preserve">4170039436                    </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0</v>
      </c>
      <c r="AJ2264">
        <v>0</v>
      </c>
      <c r="AK2264">
        <v>0</v>
      </c>
      <c r="AL2264">
        <v>0</v>
      </c>
      <c r="AM2264">
        <v>0</v>
      </c>
      <c r="AN2264">
        <v>0</v>
      </c>
      <c r="AO2264">
        <v>0</v>
      </c>
      <c r="AP2264">
        <v>0</v>
      </c>
      <c r="AQ2264">
        <v>21.38</v>
      </c>
      <c r="AR2264">
        <v>0</v>
      </c>
      <c r="AS2264">
        <v>0</v>
      </c>
      <c r="AT2264">
        <v>0</v>
      </c>
      <c r="AU2264">
        <v>0</v>
      </c>
      <c r="AV2264">
        <v>0</v>
      </c>
      <c r="AW2264">
        <v>0</v>
      </c>
      <c r="AX2264">
        <v>0</v>
      </c>
      <c r="AY2264">
        <v>0</v>
      </c>
      <c r="AZ2264">
        <v>0</v>
      </c>
      <c r="BA2264">
        <v>0</v>
      </c>
      <c r="BB2264">
        <v>0</v>
      </c>
      <c r="BC2264">
        <v>0</v>
      </c>
      <c r="BD2264">
        <v>0</v>
      </c>
      <c r="BE2264">
        <v>0</v>
      </c>
      <c r="BF2264">
        <v>0</v>
      </c>
      <c r="BG2264">
        <v>0</v>
      </c>
      <c r="BH2264">
        <v>1</v>
      </c>
      <c r="BI2264">
        <v>1</v>
      </c>
      <c r="BJ2264">
        <v>0.2</v>
      </c>
      <c r="BK2264">
        <v>1</v>
      </c>
      <c r="BL2264">
        <v>69.98</v>
      </c>
      <c r="BM2264">
        <v>10.5</v>
      </c>
      <c r="BN2264">
        <v>80.48</v>
      </c>
      <c r="BO2264">
        <v>80.48</v>
      </c>
      <c r="BQ2264" t="s">
        <v>2623</v>
      </c>
      <c r="BR2264" t="s">
        <v>84</v>
      </c>
      <c r="BS2264" s="3">
        <v>45798</v>
      </c>
      <c r="BT2264" s="4">
        <v>0.34375</v>
      </c>
      <c r="BU2264" t="s">
        <v>2624</v>
      </c>
      <c r="BV2264" t="s">
        <v>86</v>
      </c>
      <c r="BY2264">
        <v>1200</v>
      </c>
      <c r="CC2264" t="s">
        <v>178</v>
      </c>
      <c r="CD2264">
        <v>6230</v>
      </c>
      <c r="CE2264" t="s">
        <v>88</v>
      </c>
      <c r="CF2264" s="3">
        <v>45798</v>
      </c>
      <c r="CI2264">
        <v>1</v>
      </c>
      <c r="CJ2264">
        <v>1</v>
      </c>
      <c r="CK2264">
        <v>21</v>
      </c>
      <c r="CL2264" t="s">
        <v>89</v>
      </c>
    </row>
    <row r="2265" spans="1:90" x14ac:dyDescent="0.3">
      <c r="A2265" t="s">
        <v>72</v>
      </c>
      <c r="B2265" t="s">
        <v>73</v>
      </c>
      <c r="C2265" t="s">
        <v>74</v>
      </c>
      <c r="E2265" t="str">
        <f>"080065462300"</f>
        <v>080065462300</v>
      </c>
      <c r="F2265" s="3">
        <v>45797</v>
      </c>
      <c r="G2265">
        <v>202602</v>
      </c>
      <c r="H2265" t="s">
        <v>75</v>
      </c>
      <c r="I2265" t="s">
        <v>76</v>
      </c>
      <c r="J2265" t="s">
        <v>77</v>
      </c>
      <c r="K2265" t="s">
        <v>78</v>
      </c>
      <c r="L2265" t="s">
        <v>2625</v>
      </c>
      <c r="M2265" t="s">
        <v>2626</v>
      </c>
      <c r="N2265" t="s">
        <v>2627</v>
      </c>
      <c r="O2265" t="s">
        <v>82</v>
      </c>
      <c r="P2265" t="str">
        <f>"4170039477                    "</f>
        <v xml:space="preserve">4170039477                    </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c r="AI2265">
        <v>0</v>
      </c>
      <c r="AJ2265">
        <v>0</v>
      </c>
      <c r="AK2265">
        <v>0</v>
      </c>
      <c r="AL2265">
        <v>0</v>
      </c>
      <c r="AM2265">
        <v>0</v>
      </c>
      <c r="AN2265">
        <v>0</v>
      </c>
      <c r="AO2265">
        <v>0</v>
      </c>
      <c r="AP2265">
        <v>0</v>
      </c>
      <c r="AQ2265">
        <v>78.849999999999994</v>
      </c>
      <c r="AR2265">
        <v>0</v>
      </c>
      <c r="AS2265">
        <v>0</v>
      </c>
      <c r="AT2265">
        <v>0</v>
      </c>
      <c r="AU2265">
        <v>0</v>
      </c>
      <c r="AV2265">
        <v>0</v>
      </c>
      <c r="AW2265">
        <v>0</v>
      </c>
      <c r="AX2265">
        <v>0</v>
      </c>
      <c r="AY2265">
        <v>0</v>
      </c>
      <c r="AZ2265">
        <v>0</v>
      </c>
      <c r="BA2265">
        <v>0</v>
      </c>
      <c r="BB2265">
        <v>0</v>
      </c>
      <c r="BC2265">
        <v>0</v>
      </c>
      <c r="BD2265">
        <v>0</v>
      </c>
      <c r="BE2265">
        <v>0</v>
      </c>
      <c r="BF2265">
        <v>0</v>
      </c>
      <c r="BG2265">
        <v>0</v>
      </c>
      <c r="BH2265">
        <v>1</v>
      </c>
      <c r="BI2265">
        <v>2</v>
      </c>
      <c r="BJ2265">
        <v>3.6</v>
      </c>
      <c r="BK2265">
        <v>4</v>
      </c>
      <c r="BL2265">
        <v>258.05</v>
      </c>
      <c r="BM2265">
        <v>38.71</v>
      </c>
      <c r="BN2265">
        <v>296.76</v>
      </c>
      <c r="BO2265">
        <v>296.76</v>
      </c>
      <c r="BQ2265" t="s">
        <v>2628</v>
      </c>
      <c r="BR2265" t="s">
        <v>84</v>
      </c>
      <c r="BS2265" s="3">
        <v>45798</v>
      </c>
      <c r="BT2265" s="4">
        <v>0.54861111111111116</v>
      </c>
      <c r="BU2265" t="s">
        <v>2629</v>
      </c>
      <c r="BV2265" t="s">
        <v>86</v>
      </c>
      <c r="BY2265">
        <v>18096</v>
      </c>
      <c r="CA2265" t="s">
        <v>2630</v>
      </c>
      <c r="CC2265" t="s">
        <v>2626</v>
      </c>
      <c r="CD2265">
        <v>7185</v>
      </c>
      <c r="CE2265" t="s">
        <v>96</v>
      </c>
      <c r="CF2265" s="3">
        <v>45799</v>
      </c>
      <c r="CI2265">
        <v>2</v>
      </c>
      <c r="CJ2265">
        <v>1</v>
      </c>
      <c r="CK2265">
        <v>23</v>
      </c>
      <c r="CL2265" t="s">
        <v>89</v>
      </c>
    </row>
    <row r="2266" spans="1:90" x14ac:dyDescent="0.3">
      <c r="A2266" t="s">
        <v>72</v>
      </c>
      <c r="B2266" t="s">
        <v>73</v>
      </c>
      <c r="C2266" t="s">
        <v>74</v>
      </c>
      <c r="E2266" t="str">
        <f>"080065462311"</f>
        <v>080065462311</v>
      </c>
      <c r="F2266" s="3">
        <v>45797</v>
      </c>
      <c r="G2266">
        <v>202602</v>
      </c>
      <c r="H2266" t="s">
        <v>75</v>
      </c>
      <c r="I2266" t="s">
        <v>76</v>
      </c>
      <c r="J2266" t="s">
        <v>77</v>
      </c>
      <c r="K2266" t="s">
        <v>78</v>
      </c>
      <c r="L2266" t="s">
        <v>713</v>
      </c>
      <c r="M2266" t="s">
        <v>714</v>
      </c>
      <c r="N2266" t="s">
        <v>715</v>
      </c>
      <c r="O2266" t="s">
        <v>82</v>
      </c>
      <c r="P2266" t="str">
        <f>"4170039217                    "</f>
        <v xml:space="preserve">4170039217                    </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c r="AI2266">
        <v>0</v>
      </c>
      <c r="AJ2266">
        <v>0</v>
      </c>
      <c r="AK2266">
        <v>0</v>
      </c>
      <c r="AL2266">
        <v>0</v>
      </c>
      <c r="AM2266">
        <v>0</v>
      </c>
      <c r="AN2266">
        <v>0</v>
      </c>
      <c r="AO2266">
        <v>0</v>
      </c>
      <c r="AP2266">
        <v>0</v>
      </c>
      <c r="AQ2266">
        <v>41.43</v>
      </c>
      <c r="AR2266">
        <v>0</v>
      </c>
      <c r="AS2266">
        <v>0</v>
      </c>
      <c r="AT2266">
        <v>0</v>
      </c>
      <c r="AU2266">
        <v>0</v>
      </c>
      <c r="AV2266">
        <v>0</v>
      </c>
      <c r="AW2266">
        <v>0</v>
      </c>
      <c r="AX2266">
        <v>0</v>
      </c>
      <c r="AY2266">
        <v>0</v>
      </c>
      <c r="AZ2266">
        <v>0</v>
      </c>
      <c r="BA2266">
        <v>0</v>
      </c>
      <c r="BB2266">
        <v>0</v>
      </c>
      <c r="BC2266">
        <v>0</v>
      </c>
      <c r="BD2266">
        <v>0</v>
      </c>
      <c r="BE2266">
        <v>0</v>
      </c>
      <c r="BF2266">
        <v>0</v>
      </c>
      <c r="BG2266">
        <v>0</v>
      </c>
      <c r="BH2266">
        <v>1</v>
      </c>
      <c r="BI2266">
        <v>1</v>
      </c>
      <c r="BJ2266">
        <v>0.2</v>
      </c>
      <c r="BK2266">
        <v>1</v>
      </c>
      <c r="BL2266">
        <v>135.59</v>
      </c>
      <c r="BM2266">
        <v>20.34</v>
      </c>
      <c r="BN2266">
        <v>155.93</v>
      </c>
      <c r="BO2266">
        <v>155.93</v>
      </c>
      <c r="BQ2266" t="s">
        <v>716</v>
      </c>
      <c r="BR2266" t="s">
        <v>84</v>
      </c>
      <c r="BS2266" s="3">
        <v>45798</v>
      </c>
      <c r="BT2266" s="4">
        <v>0.54861111111111116</v>
      </c>
      <c r="BU2266" t="s">
        <v>2631</v>
      </c>
      <c r="BV2266" t="s">
        <v>86</v>
      </c>
      <c r="BY2266">
        <v>1200</v>
      </c>
      <c r="CA2266" t="s">
        <v>718</v>
      </c>
      <c r="CC2266" t="s">
        <v>714</v>
      </c>
      <c r="CD2266">
        <v>6300</v>
      </c>
      <c r="CE2266" t="s">
        <v>88</v>
      </c>
      <c r="CF2266" s="3">
        <v>45798</v>
      </c>
      <c r="CI2266">
        <v>2</v>
      </c>
      <c r="CJ2266">
        <v>1</v>
      </c>
      <c r="CK2266">
        <v>23</v>
      </c>
      <c r="CL2266" t="s">
        <v>89</v>
      </c>
    </row>
    <row r="2267" spans="1:90" x14ac:dyDescent="0.3">
      <c r="A2267" t="s">
        <v>72</v>
      </c>
      <c r="B2267" t="s">
        <v>73</v>
      </c>
      <c r="C2267" t="s">
        <v>74</v>
      </c>
      <c r="E2267" t="str">
        <f>"080065462337"</f>
        <v>080065462337</v>
      </c>
      <c r="F2267" s="3">
        <v>45797</v>
      </c>
      <c r="G2267">
        <v>202602</v>
      </c>
      <c r="H2267" t="s">
        <v>75</v>
      </c>
      <c r="I2267" t="s">
        <v>76</v>
      </c>
      <c r="J2267" t="s">
        <v>77</v>
      </c>
      <c r="K2267" t="s">
        <v>78</v>
      </c>
      <c r="L2267" t="s">
        <v>463</v>
      </c>
      <c r="M2267" t="s">
        <v>464</v>
      </c>
      <c r="N2267" t="s">
        <v>585</v>
      </c>
      <c r="O2267" t="s">
        <v>300</v>
      </c>
      <c r="P2267" t="str">
        <f>"4170039447                    "</f>
        <v xml:space="preserve">4170039447                    </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0</v>
      </c>
      <c r="AL2267">
        <v>0</v>
      </c>
      <c r="AM2267">
        <v>0</v>
      </c>
      <c r="AN2267">
        <v>0</v>
      </c>
      <c r="AO2267">
        <v>0</v>
      </c>
      <c r="AP2267">
        <v>0</v>
      </c>
      <c r="AQ2267">
        <v>46.47</v>
      </c>
      <c r="AR2267">
        <v>0</v>
      </c>
      <c r="AS2267">
        <v>0</v>
      </c>
      <c r="AT2267">
        <v>0</v>
      </c>
      <c r="AU2267">
        <v>0</v>
      </c>
      <c r="AV2267">
        <v>0</v>
      </c>
      <c r="AW2267">
        <v>0</v>
      </c>
      <c r="AX2267">
        <v>0</v>
      </c>
      <c r="AY2267">
        <v>0</v>
      </c>
      <c r="AZ2267">
        <v>0</v>
      </c>
      <c r="BA2267">
        <v>0</v>
      </c>
      <c r="BB2267">
        <v>0</v>
      </c>
      <c r="BC2267">
        <v>0</v>
      </c>
      <c r="BD2267">
        <v>0</v>
      </c>
      <c r="BE2267">
        <v>0</v>
      </c>
      <c r="BF2267">
        <v>0</v>
      </c>
      <c r="BG2267">
        <v>0</v>
      </c>
      <c r="BH2267">
        <v>1</v>
      </c>
      <c r="BI2267">
        <v>9</v>
      </c>
      <c r="BJ2267">
        <v>17.7</v>
      </c>
      <c r="BK2267">
        <v>18</v>
      </c>
      <c r="BL2267">
        <v>157.66</v>
      </c>
      <c r="BM2267">
        <v>23.65</v>
      </c>
      <c r="BN2267">
        <v>181.31</v>
      </c>
      <c r="BO2267">
        <v>181.31</v>
      </c>
      <c r="BQ2267" t="s">
        <v>586</v>
      </c>
      <c r="BR2267" t="s">
        <v>84</v>
      </c>
      <c r="BS2267" s="3">
        <v>45799</v>
      </c>
      <c r="BT2267" s="4">
        <v>0.48680555555555555</v>
      </c>
      <c r="BU2267" t="s">
        <v>1300</v>
      </c>
      <c r="BV2267" t="s">
        <v>86</v>
      </c>
      <c r="BY2267">
        <v>88320</v>
      </c>
      <c r="CA2267" t="s">
        <v>588</v>
      </c>
      <c r="CC2267" t="s">
        <v>464</v>
      </c>
      <c r="CD2267">
        <v>5201</v>
      </c>
      <c r="CE2267" t="s">
        <v>96</v>
      </c>
      <c r="CF2267" s="3">
        <v>45799</v>
      </c>
      <c r="CI2267">
        <v>3</v>
      </c>
      <c r="CJ2267">
        <v>2</v>
      </c>
      <c r="CK2267">
        <v>41</v>
      </c>
      <c r="CL2267" t="s">
        <v>89</v>
      </c>
    </row>
    <row r="2268" spans="1:90" x14ac:dyDescent="0.3">
      <c r="A2268" t="s">
        <v>72</v>
      </c>
      <c r="B2268" t="s">
        <v>73</v>
      </c>
      <c r="C2268" t="s">
        <v>74</v>
      </c>
      <c r="E2268" t="str">
        <f>"080065462339"</f>
        <v>080065462339</v>
      </c>
      <c r="F2268" s="3">
        <v>45797</v>
      </c>
      <c r="G2268">
        <v>202602</v>
      </c>
      <c r="H2268" t="s">
        <v>75</v>
      </c>
      <c r="I2268" t="s">
        <v>76</v>
      </c>
      <c r="J2268" t="s">
        <v>77</v>
      </c>
      <c r="K2268" t="s">
        <v>78</v>
      </c>
      <c r="L2268" t="s">
        <v>79</v>
      </c>
      <c r="M2268" t="s">
        <v>80</v>
      </c>
      <c r="N2268" t="s">
        <v>157</v>
      </c>
      <c r="O2268" t="s">
        <v>82</v>
      </c>
      <c r="P2268" t="str">
        <f>"4170039463                    "</f>
        <v xml:space="preserve">4170039463                    </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0</v>
      </c>
      <c r="AJ2268">
        <v>0</v>
      </c>
      <c r="AK2268">
        <v>0</v>
      </c>
      <c r="AL2268">
        <v>0</v>
      </c>
      <c r="AM2268">
        <v>0</v>
      </c>
      <c r="AN2268">
        <v>0</v>
      </c>
      <c r="AO2268">
        <v>0</v>
      </c>
      <c r="AP2268">
        <v>0</v>
      </c>
      <c r="AQ2268">
        <v>21.38</v>
      </c>
      <c r="AR2268">
        <v>0</v>
      </c>
      <c r="AS2268">
        <v>0</v>
      </c>
      <c r="AT2268">
        <v>0</v>
      </c>
      <c r="AU2268">
        <v>0</v>
      </c>
      <c r="AV2268">
        <v>0</v>
      </c>
      <c r="AW2268">
        <v>0</v>
      </c>
      <c r="AX2268">
        <v>0</v>
      </c>
      <c r="AY2268">
        <v>0</v>
      </c>
      <c r="AZ2268">
        <v>0</v>
      </c>
      <c r="BA2268">
        <v>0</v>
      </c>
      <c r="BB2268">
        <v>0</v>
      </c>
      <c r="BC2268">
        <v>0</v>
      </c>
      <c r="BD2268">
        <v>0</v>
      </c>
      <c r="BE2268">
        <v>0</v>
      </c>
      <c r="BF2268">
        <v>0</v>
      </c>
      <c r="BG2268">
        <v>0</v>
      </c>
      <c r="BH2268">
        <v>1</v>
      </c>
      <c r="BI2268">
        <v>1</v>
      </c>
      <c r="BJ2268">
        <v>0.2</v>
      </c>
      <c r="BK2268">
        <v>1</v>
      </c>
      <c r="BL2268">
        <v>69.98</v>
      </c>
      <c r="BM2268">
        <v>10.5</v>
      </c>
      <c r="BN2268">
        <v>80.48</v>
      </c>
      <c r="BO2268">
        <v>80.48</v>
      </c>
      <c r="BQ2268" t="s">
        <v>158</v>
      </c>
      <c r="BR2268" t="s">
        <v>84</v>
      </c>
      <c r="BS2268" s="3">
        <v>45798</v>
      </c>
      <c r="BT2268" s="4">
        <v>0.42777777777777776</v>
      </c>
      <c r="BU2268" t="s">
        <v>159</v>
      </c>
      <c r="BV2268" t="s">
        <v>86</v>
      </c>
      <c r="BY2268">
        <v>1200</v>
      </c>
      <c r="CA2268" t="s">
        <v>160</v>
      </c>
      <c r="CC2268" t="s">
        <v>80</v>
      </c>
      <c r="CD2268">
        <v>3610</v>
      </c>
      <c r="CE2268" t="s">
        <v>88</v>
      </c>
      <c r="CF2268" s="3">
        <v>45798</v>
      </c>
      <c r="CI2268">
        <v>1</v>
      </c>
      <c r="CJ2268">
        <v>1</v>
      </c>
      <c r="CK2268">
        <v>21</v>
      </c>
      <c r="CL2268" t="s">
        <v>89</v>
      </c>
    </row>
    <row r="2269" spans="1:90" x14ac:dyDescent="0.3">
      <c r="A2269" t="s">
        <v>72</v>
      </c>
      <c r="B2269" t="s">
        <v>73</v>
      </c>
      <c r="C2269" t="s">
        <v>74</v>
      </c>
      <c r="E2269" t="str">
        <f>"080065462358"</f>
        <v>080065462358</v>
      </c>
      <c r="F2269" s="3">
        <v>45797</v>
      </c>
      <c r="G2269">
        <v>202602</v>
      </c>
      <c r="H2269" t="s">
        <v>75</v>
      </c>
      <c r="I2269" t="s">
        <v>76</v>
      </c>
      <c r="J2269" t="s">
        <v>77</v>
      </c>
      <c r="K2269" t="s">
        <v>78</v>
      </c>
      <c r="L2269" t="s">
        <v>103</v>
      </c>
      <c r="M2269" t="s">
        <v>104</v>
      </c>
      <c r="N2269" t="s">
        <v>633</v>
      </c>
      <c r="O2269" t="s">
        <v>82</v>
      </c>
      <c r="P2269" t="str">
        <f>"4170039265                    "</f>
        <v xml:space="preserve">4170039265                    </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c r="AJ2269">
        <v>0</v>
      </c>
      <c r="AK2269">
        <v>0</v>
      </c>
      <c r="AL2269">
        <v>0</v>
      </c>
      <c r="AM2269">
        <v>0</v>
      </c>
      <c r="AN2269">
        <v>0</v>
      </c>
      <c r="AO2269">
        <v>0</v>
      </c>
      <c r="AP2269">
        <v>0</v>
      </c>
      <c r="AQ2269">
        <v>21.38</v>
      </c>
      <c r="AR2269">
        <v>0</v>
      </c>
      <c r="AS2269">
        <v>0</v>
      </c>
      <c r="AT2269">
        <v>0</v>
      </c>
      <c r="AU2269">
        <v>0</v>
      </c>
      <c r="AV2269">
        <v>0</v>
      </c>
      <c r="AW2269">
        <v>0</v>
      </c>
      <c r="AX2269">
        <v>0</v>
      </c>
      <c r="AY2269">
        <v>0</v>
      </c>
      <c r="AZ2269">
        <v>0</v>
      </c>
      <c r="BA2269">
        <v>0</v>
      </c>
      <c r="BB2269">
        <v>0</v>
      </c>
      <c r="BC2269">
        <v>0</v>
      </c>
      <c r="BD2269">
        <v>0</v>
      </c>
      <c r="BE2269">
        <v>0</v>
      </c>
      <c r="BF2269">
        <v>0</v>
      </c>
      <c r="BG2269">
        <v>0</v>
      </c>
      <c r="BH2269">
        <v>1</v>
      </c>
      <c r="BI2269">
        <v>1</v>
      </c>
      <c r="BJ2269">
        <v>0.2</v>
      </c>
      <c r="BK2269">
        <v>1</v>
      </c>
      <c r="BL2269">
        <v>69.98</v>
      </c>
      <c r="BM2269">
        <v>10.5</v>
      </c>
      <c r="BN2269">
        <v>80.48</v>
      </c>
      <c r="BO2269">
        <v>80.48</v>
      </c>
      <c r="BQ2269" t="s">
        <v>634</v>
      </c>
      <c r="BR2269" t="s">
        <v>84</v>
      </c>
      <c r="BS2269" s="3">
        <v>45798</v>
      </c>
      <c r="BT2269" s="4">
        <v>0.41666666666666669</v>
      </c>
      <c r="BU2269" t="s">
        <v>107</v>
      </c>
      <c r="BV2269" t="s">
        <v>86</v>
      </c>
      <c r="BY2269">
        <v>1200</v>
      </c>
      <c r="CA2269" t="s">
        <v>108</v>
      </c>
      <c r="CC2269" t="s">
        <v>104</v>
      </c>
      <c r="CD2269">
        <v>3212</v>
      </c>
      <c r="CE2269" t="s">
        <v>88</v>
      </c>
      <c r="CF2269" s="3">
        <v>45799</v>
      </c>
      <c r="CI2269">
        <v>2</v>
      </c>
      <c r="CJ2269">
        <v>1</v>
      </c>
      <c r="CK2269">
        <v>21</v>
      </c>
      <c r="CL2269" t="s">
        <v>89</v>
      </c>
    </row>
    <row r="2270" spans="1:90" x14ac:dyDescent="0.3">
      <c r="A2270" t="s">
        <v>72</v>
      </c>
      <c r="B2270" t="s">
        <v>73</v>
      </c>
      <c r="C2270" t="s">
        <v>74</v>
      </c>
      <c r="E2270" t="str">
        <f>"080065462378"</f>
        <v>080065462378</v>
      </c>
      <c r="F2270" s="3">
        <v>45797</v>
      </c>
      <c r="G2270">
        <v>202602</v>
      </c>
      <c r="H2270" t="s">
        <v>75</v>
      </c>
      <c r="I2270" t="s">
        <v>76</v>
      </c>
      <c r="J2270" t="s">
        <v>77</v>
      </c>
      <c r="K2270" t="s">
        <v>78</v>
      </c>
      <c r="L2270" t="s">
        <v>136</v>
      </c>
      <c r="M2270" t="s">
        <v>137</v>
      </c>
      <c r="N2270" t="s">
        <v>499</v>
      </c>
      <c r="O2270" t="s">
        <v>82</v>
      </c>
      <c r="P2270" t="str">
        <f>"4170039146                    "</f>
        <v xml:space="preserve">4170039146                    </v>
      </c>
      <c r="Q2270">
        <v>0</v>
      </c>
      <c r="R2270">
        <v>0</v>
      </c>
      <c r="S2270">
        <v>0</v>
      </c>
      <c r="T2270">
        <v>0</v>
      </c>
      <c r="U2270">
        <v>0</v>
      </c>
      <c r="V2270">
        <v>0</v>
      </c>
      <c r="W2270">
        <v>0</v>
      </c>
      <c r="X2270">
        <v>0</v>
      </c>
      <c r="Y2270">
        <v>0</v>
      </c>
      <c r="Z2270">
        <v>0</v>
      </c>
      <c r="AA2270">
        <v>0</v>
      </c>
      <c r="AB2270">
        <v>0</v>
      </c>
      <c r="AC2270">
        <v>0</v>
      </c>
      <c r="AD2270">
        <v>0</v>
      </c>
      <c r="AE2270">
        <v>0</v>
      </c>
      <c r="AF2270">
        <v>0</v>
      </c>
      <c r="AG2270">
        <v>0</v>
      </c>
      <c r="AH2270">
        <v>0</v>
      </c>
      <c r="AI2270">
        <v>0</v>
      </c>
      <c r="AJ2270">
        <v>0</v>
      </c>
      <c r="AK2270">
        <v>0</v>
      </c>
      <c r="AL2270">
        <v>0</v>
      </c>
      <c r="AM2270">
        <v>0</v>
      </c>
      <c r="AN2270">
        <v>0</v>
      </c>
      <c r="AO2270">
        <v>0</v>
      </c>
      <c r="AP2270">
        <v>0</v>
      </c>
      <c r="AQ2270">
        <v>21.38</v>
      </c>
      <c r="AR2270">
        <v>0</v>
      </c>
      <c r="AS2270">
        <v>0</v>
      </c>
      <c r="AT2270">
        <v>0</v>
      </c>
      <c r="AU2270">
        <v>0</v>
      </c>
      <c r="AV2270">
        <v>0</v>
      </c>
      <c r="AW2270">
        <v>0</v>
      </c>
      <c r="AX2270">
        <v>0</v>
      </c>
      <c r="AY2270">
        <v>0</v>
      </c>
      <c r="AZ2270">
        <v>0</v>
      </c>
      <c r="BA2270">
        <v>0</v>
      </c>
      <c r="BB2270">
        <v>0</v>
      </c>
      <c r="BC2270">
        <v>0</v>
      </c>
      <c r="BD2270">
        <v>0</v>
      </c>
      <c r="BE2270">
        <v>0</v>
      </c>
      <c r="BF2270">
        <v>0</v>
      </c>
      <c r="BG2270">
        <v>0</v>
      </c>
      <c r="BH2270">
        <v>1</v>
      </c>
      <c r="BI2270">
        <v>2</v>
      </c>
      <c r="BJ2270">
        <v>0.6</v>
      </c>
      <c r="BK2270">
        <v>2</v>
      </c>
      <c r="BL2270">
        <v>69.98</v>
      </c>
      <c r="BM2270">
        <v>10.5</v>
      </c>
      <c r="BN2270">
        <v>80.48</v>
      </c>
      <c r="BO2270">
        <v>80.48</v>
      </c>
      <c r="BQ2270" t="s">
        <v>500</v>
      </c>
      <c r="BR2270" t="s">
        <v>84</v>
      </c>
      <c r="BS2270" s="3">
        <v>45798</v>
      </c>
      <c r="BT2270" s="4">
        <v>0.42083333333333334</v>
      </c>
      <c r="BU2270" t="s">
        <v>2632</v>
      </c>
      <c r="BV2270" t="s">
        <v>86</v>
      </c>
      <c r="BY2270">
        <v>3192</v>
      </c>
      <c r="BZ2270" t="s">
        <v>127</v>
      </c>
      <c r="CA2270" t="s">
        <v>141</v>
      </c>
      <c r="CC2270" t="s">
        <v>137</v>
      </c>
      <c r="CD2270" s="5" t="s">
        <v>142</v>
      </c>
      <c r="CE2270" t="s">
        <v>96</v>
      </c>
      <c r="CF2270" s="3">
        <v>45798</v>
      </c>
      <c r="CI2270">
        <v>1</v>
      </c>
      <c r="CJ2270">
        <v>1</v>
      </c>
      <c r="CK2270">
        <v>21</v>
      </c>
      <c r="CL2270" t="s">
        <v>89</v>
      </c>
    </row>
    <row r="2271" spans="1:90" x14ac:dyDescent="0.3">
      <c r="A2271" t="s">
        <v>72</v>
      </c>
      <c r="B2271" t="s">
        <v>73</v>
      </c>
      <c r="C2271" t="s">
        <v>74</v>
      </c>
      <c r="E2271" t="str">
        <f>"080065462753"</f>
        <v>080065462753</v>
      </c>
      <c r="F2271" s="3">
        <v>45797</v>
      </c>
      <c r="G2271">
        <v>202602</v>
      </c>
      <c r="H2271" t="s">
        <v>75</v>
      </c>
      <c r="I2271" t="s">
        <v>76</v>
      </c>
      <c r="J2271" t="s">
        <v>77</v>
      </c>
      <c r="K2271" t="s">
        <v>78</v>
      </c>
      <c r="L2271" t="s">
        <v>79</v>
      </c>
      <c r="M2271" t="s">
        <v>80</v>
      </c>
      <c r="N2271" t="s">
        <v>415</v>
      </c>
      <c r="O2271" t="s">
        <v>82</v>
      </c>
      <c r="P2271" t="str">
        <f>"4170039376                    "</f>
        <v xml:space="preserve">4170039376                    </v>
      </c>
      <c r="Q2271">
        <v>0</v>
      </c>
      <c r="R2271">
        <v>0</v>
      </c>
      <c r="S2271">
        <v>0</v>
      </c>
      <c r="T2271">
        <v>0</v>
      </c>
      <c r="U2271">
        <v>0</v>
      </c>
      <c r="V2271">
        <v>0</v>
      </c>
      <c r="W2271">
        <v>0</v>
      </c>
      <c r="X2271">
        <v>0</v>
      </c>
      <c r="Y2271">
        <v>0</v>
      </c>
      <c r="Z2271">
        <v>0</v>
      </c>
      <c r="AA2271">
        <v>0</v>
      </c>
      <c r="AB2271">
        <v>0</v>
      </c>
      <c r="AC2271">
        <v>0</v>
      </c>
      <c r="AD2271">
        <v>0</v>
      </c>
      <c r="AE2271">
        <v>0</v>
      </c>
      <c r="AF2271">
        <v>0</v>
      </c>
      <c r="AG2271">
        <v>0</v>
      </c>
      <c r="AH2271">
        <v>0</v>
      </c>
      <c r="AI2271">
        <v>0</v>
      </c>
      <c r="AJ2271">
        <v>0</v>
      </c>
      <c r="AK2271">
        <v>0</v>
      </c>
      <c r="AL2271">
        <v>0</v>
      </c>
      <c r="AM2271">
        <v>0</v>
      </c>
      <c r="AN2271">
        <v>0</v>
      </c>
      <c r="AO2271">
        <v>0</v>
      </c>
      <c r="AP2271">
        <v>0</v>
      </c>
      <c r="AQ2271">
        <v>21.38</v>
      </c>
      <c r="AR2271">
        <v>0</v>
      </c>
      <c r="AS2271">
        <v>0</v>
      </c>
      <c r="AT2271">
        <v>0</v>
      </c>
      <c r="AU2271">
        <v>0</v>
      </c>
      <c r="AV2271">
        <v>0</v>
      </c>
      <c r="AW2271">
        <v>0</v>
      </c>
      <c r="AX2271">
        <v>0</v>
      </c>
      <c r="AY2271">
        <v>0</v>
      </c>
      <c r="AZ2271">
        <v>0</v>
      </c>
      <c r="BA2271">
        <v>0</v>
      </c>
      <c r="BB2271">
        <v>0</v>
      </c>
      <c r="BC2271">
        <v>0</v>
      </c>
      <c r="BD2271">
        <v>0</v>
      </c>
      <c r="BE2271">
        <v>0</v>
      </c>
      <c r="BF2271">
        <v>0</v>
      </c>
      <c r="BG2271">
        <v>0</v>
      </c>
      <c r="BH2271">
        <v>1</v>
      </c>
      <c r="BI2271">
        <v>1</v>
      </c>
      <c r="BJ2271">
        <v>0.2</v>
      </c>
      <c r="BK2271">
        <v>1</v>
      </c>
      <c r="BL2271">
        <v>69.98</v>
      </c>
      <c r="BM2271">
        <v>10.5</v>
      </c>
      <c r="BN2271">
        <v>80.48</v>
      </c>
      <c r="BO2271">
        <v>80.48</v>
      </c>
      <c r="BQ2271" t="s">
        <v>416</v>
      </c>
      <c r="BR2271" t="s">
        <v>84</v>
      </c>
      <c r="BS2271" s="3">
        <v>45798</v>
      </c>
      <c r="BT2271" s="4">
        <v>0.5541666666666667</v>
      </c>
      <c r="BU2271" t="s">
        <v>417</v>
      </c>
      <c r="BV2271" t="s">
        <v>89</v>
      </c>
      <c r="BW2271" t="s">
        <v>296</v>
      </c>
      <c r="BX2271" t="s">
        <v>325</v>
      </c>
      <c r="BY2271">
        <v>1200</v>
      </c>
      <c r="CA2271" t="s">
        <v>418</v>
      </c>
      <c r="CC2271" t="s">
        <v>80</v>
      </c>
      <c r="CD2271">
        <v>3610</v>
      </c>
      <c r="CE2271" t="s">
        <v>88</v>
      </c>
      <c r="CF2271" s="3">
        <v>45798</v>
      </c>
      <c r="CI2271">
        <v>1</v>
      </c>
      <c r="CJ2271">
        <v>1</v>
      </c>
      <c r="CK2271">
        <v>21</v>
      </c>
      <c r="CL2271" t="s">
        <v>89</v>
      </c>
    </row>
    <row r="2272" spans="1:90" x14ac:dyDescent="0.3">
      <c r="A2272" t="s">
        <v>72</v>
      </c>
      <c r="B2272" t="s">
        <v>73</v>
      </c>
      <c r="C2272" t="s">
        <v>74</v>
      </c>
      <c r="E2272" t="str">
        <f>"080065462785"</f>
        <v>080065462785</v>
      </c>
      <c r="F2272" s="3">
        <v>45797</v>
      </c>
      <c r="G2272">
        <v>202602</v>
      </c>
      <c r="H2272" t="s">
        <v>75</v>
      </c>
      <c r="I2272" t="s">
        <v>76</v>
      </c>
      <c r="J2272" t="s">
        <v>77</v>
      </c>
      <c r="K2272" t="s">
        <v>78</v>
      </c>
      <c r="L2272" t="s">
        <v>136</v>
      </c>
      <c r="M2272" t="s">
        <v>137</v>
      </c>
      <c r="N2272" t="s">
        <v>499</v>
      </c>
      <c r="O2272" t="s">
        <v>300</v>
      </c>
      <c r="P2272" t="str">
        <f>"4170039256                    "</f>
        <v xml:space="preserve">4170039256                    </v>
      </c>
      <c r="Q2272">
        <v>0</v>
      </c>
      <c r="R2272">
        <v>0</v>
      </c>
      <c r="S2272">
        <v>0</v>
      </c>
      <c r="T2272">
        <v>0</v>
      </c>
      <c r="U2272">
        <v>0</v>
      </c>
      <c r="V2272">
        <v>0</v>
      </c>
      <c r="W2272">
        <v>0</v>
      </c>
      <c r="X2272">
        <v>0</v>
      </c>
      <c r="Y2272">
        <v>0</v>
      </c>
      <c r="Z2272">
        <v>0</v>
      </c>
      <c r="AA2272">
        <v>0</v>
      </c>
      <c r="AB2272">
        <v>0</v>
      </c>
      <c r="AC2272">
        <v>0</v>
      </c>
      <c r="AD2272">
        <v>0</v>
      </c>
      <c r="AE2272">
        <v>0</v>
      </c>
      <c r="AF2272">
        <v>0</v>
      </c>
      <c r="AG2272">
        <v>0</v>
      </c>
      <c r="AH2272">
        <v>0</v>
      </c>
      <c r="AI2272">
        <v>0</v>
      </c>
      <c r="AJ2272">
        <v>0</v>
      </c>
      <c r="AK2272">
        <v>0</v>
      </c>
      <c r="AL2272">
        <v>0</v>
      </c>
      <c r="AM2272">
        <v>0</v>
      </c>
      <c r="AN2272">
        <v>0</v>
      </c>
      <c r="AO2272">
        <v>0</v>
      </c>
      <c r="AP2272">
        <v>0</v>
      </c>
      <c r="AQ2272">
        <v>41.35</v>
      </c>
      <c r="AR2272">
        <v>0</v>
      </c>
      <c r="AS2272">
        <v>0</v>
      </c>
      <c r="AT2272">
        <v>0</v>
      </c>
      <c r="AU2272">
        <v>0</v>
      </c>
      <c r="AV2272">
        <v>0</v>
      </c>
      <c r="AW2272">
        <v>0</v>
      </c>
      <c r="AX2272">
        <v>0</v>
      </c>
      <c r="AY2272">
        <v>0</v>
      </c>
      <c r="AZ2272">
        <v>0</v>
      </c>
      <c r="BA2272">
        <v>0</v>
      </c>
      <c r="BB2272">
        <v>0</v>
      </c>
      <c r="BC2272">
        <v>0</v>
      </c>
      <c r="BD2272">
        <v>0</v>
      </c>
      <c r="BE2272">
        <v>0</v>
      </c>
      <c r="BF2272">
        <v>0</v>
      </c>
      <c r="BG2272">
        <v>0</v>
      </c>
      <c r="BH2272">
        <v>1</v>
      </c>
      <c r="BI2272">
        <v>15</v>
      </c>
      <c r="BJ2272">
        <v>4.3</v>
      </c>
      <c r="BK2272">
        <v>15</v>
      </c>
      <c r="BL2272">
        <v>140.9</v>
      </c>
      <c r="BM2272">
        <v>21.14</v>
      </c>
      <c r="BN2272">
        <v>162.04</v>
      </c>
      <c r="BO2272">
        <v>162.04</v>
      </c>
      <c r="BQ2272" t="s">
        <v>500</v>
      </c>
      <c r="BR2272" t="s">
        <v>84</v>
      </c>
      <c r="BS2272" s="3">
        <v>45798</v>
      </c>
      <c r="BT2272" s="4">
        <v>0.4201388888888889</v>
      </c>
      <c r="BU2272" t="s">
        <v>2632</v>
      </c>
      <c r="BV2272" t="s">
        <v>86</v>
      </c>
      <c r="BY2272">
        <v>21489</v>
      </c>
      <c r="CA2272" t="s">
        <v>141</v>
      </c>
      <c r="CC2272" t="s">
        <v>137</v>
      </c>
      <c r="CD2272" s="5" t="s">
        <v>142</v>
      </c>
      <c r="CE2272" t="s">
        <v>96</v>
      </c>
      <c r="CF2272" s="3">
        <v>45798</v>
      </c>
      <c r="CI2272">
        <v>1</v>
      </c>
      <c r="CJ2272">
        <v>1</v>
      </c>
      <c r="CK2272">
        <v>41</v>
      </c>
      <c r="CL2272" t="s">
        <v>89</v>
      </c>
    </row>
    <row r="2273" spans="1:90" x14ac:dyDescent="0.3">
      <c r="A2273" t="s">
        <v>72</v>
      </c>
      <c r="B2273" t="s">
        <v>73</v>
      </c>
      <c r="C2273" t="s">
        <v>74</v>
      </c>
      <c r="E2273" t="str">
        <f>"080065462786"</f>
        <v>080065462786</v>
      </c>
      <c r="F2273" s="3">
        <v>45797</v>
      </c>
      <c r="G2273">
        <v>202602</v>
      </c>
      <c r="H2273" t="s">
        <v>75</v>
      </c>
      <c r="I2273" t="s">
        <v>76</v>
      </c>
      <c r="J2273" t="s">
        <v>77</v>
      </c>
      <c r="K2273" t="s">
        <v>78</v>
      </c>
      <c r="L2273" t="s">
        <v>130</v>
      </c>
      <c r="M2273" t="s">
        <v>131</v>
      </c>
      <c r="N2273" t="s">
        <v>709</v>
      </c>
      <c r="O2273" t="s">
        <v>82</v>
      </c>
      <c r="P2273" t="str">
        <f>"4170039418                    "</f>
        <v xml:space="preserve">4170039418                    </v>
      </c>
      <c r="Q2273">
        <v>0</v>
      </c>
      <c r="R2273">
        <v>0</v>
      </c>
      <c r="S2273">
        <v>0</v>
      </c>
      <c r="T2273">
        <v>0</v>
      </c>
      <c r="U2273">
        <v>0</v>
      </c>
      <c r="V2273">
        <v>0</v>
      </c>
      <c r="W2273">
        <v>0</v>
      </c>
      <c r="X2273">
        <v>0</v>
      </c>
      <c r="Y2273">
        <v>0</v>
      </c>
      <c r="Z2273">
        <v>0</v>
      </c>
      <c r="AA2273">
        <v>0</v>
      </c>
      <c r="AB2273">
        <v>0</v>
      </c>
      <c r="AC2273">
        <v>0</v>
      </c>
      <c r="AD2273">
        <v>0</v>
      </c>
      <c r="AE2273">
        <v>0</v>
      </c>
      <c r="AF2273">
        <v>0</v>
      </c>
      <c r="AG2273">
        <v>0</v>
      </c>
      <c r="AH2273">
        <v>0</v>
      </c>
      <c r="AI2273">
        <v>0</v>
      </c>
      <c r="AJ2273">
        <v>0</v>
      </c>
      <c r="AK2273">
        <v>0</v>
      </c>
      <c r="AL2273">
        <v>0</v>
      </c>
      <c r="AM2273">
        <v>0</v>
      </c>
      <c r="AN2273">
        <v>0</v>
      </c>
      <c r="AO2273">
        <v>0</v>
      </c>
      <c r="AP2273">
        <v>0</v>
      </c>
      <c r="AQ2273">
        <v>21.38</v>
      </c>
      <c r="AR2273">
        <v>0</v>
      </c>
      <c r="AS2273">
        <v>0</v>
      </c>
      <c r="AT2273">
        <v>0</v>
      </c>
      <c r="AU2273">
        <v>0</v>
      </c>
      <c r="AV2273">
        <v>0</v>
      </c>
      <c r="AW2273">
        <v>0</v>
      </c>
      <c r="AX2273">
        <v>0</v>
      </c>
      <c r="AY2273">
        <v>0</v>
      </c>
      <c r="AZ2273">
        <v>0</v>
      </c>
      <c r="BA2273">
        <v>0</v>
      </c>
      <c r="BB2273">
        <v>0</v>
      </c>
      <c r="BC2273">
        <v>0</v>
      </c>
      <c r="BD2273">
        <v>0</v>
      </c>
      <c r="BE2273">
        <v>0</v>
      </c>
      <c r="BF2273">
        <v>0</v>
      </c>
      <c r="BG2273">
        <v>0</v>
      </c>
      <c r="BH2273">
        <v>1</v>
      </c>
      <c r="BI2273">
        <v>1</v>
      </c>
      <c r="BJ2273">
        <v>0.2</v>
      </c>
      <c r="BK2273">
        <v>1</v>
      </c>
      <c r="BL2273">
        <v>69.98</v>
      </c>
      <c r="BM2273">
        <v>10.5</v>
      </c>
      <c r="BN2273">
        <v>80.48</v>
      </c>
      <c r="BO2273">
        <v>80.48</v>
      </c>
      <c r="BQ2273" t="s">
        <v>710</v>
      </c>
      <c r="BR2273" t="s">
        <v>84</v>
      </c>
      <c r="BS2273" s="3">
        <v>45798</v>
      </c>
      <c r="BT2273" s="4">
        <v>0.33680555555555558</v>
      </c>
      <c r="BU2273" t="s">
        <v>1272</v>
      </c>
      <c r="BV2273" t="s">
        <v>86</v>
      </c>
      <c r="BY2273">
        <v>1200</v>
      </c>
      <c r="CA2273" t="s">
        <v>712</v>
      </c>
      <c r="CC2273" t="s">
        <v>131</v>
      </c>
      <c r="CD2273">
        <v>7530</v>
      </c>
      <c r="CE2273" t="s">
        <v>88</v>
      </c>
      <c r="CF2273" s="3">
        <v>45799</v>
      </c>
      <c r="CI2273">
        <v>1</v>
      </c>
      <c r="CJ2273">
        <v>1</v>
      </c>
      <c r="CK2273">
        <v>21</v>
      </c>
      <c r="CL2273" t="s">
        <v>89</v>
      </c>
    </row>
    <row r="2274" spans="1:90" x14ac:dyDescent="0.3">
      <c r="A2274" t="s">
        <v>72</v>
      </c>
      <c r="B2274" t="s">
        <v>73</v>
      </c>
      <c r="C2274" t="s">
        <v>74</v>
      </c>
      <c r="E2274" t="str">
        <f>"080065462830"</f>
        <v>080065462830</v>
      </c>
      <c r="F2274" s="3">
        <v>45797</v>
      </c>
      <c r="G2274">
        <v>202602</v>
      </c>
      <c r="H2274" t="s">
        <v>75</v>
      </c>
      <c r="I2274" t="s">
        <v>76</v>
      </c>
      <c r="J2274" t="s">
        <v>77</v>
      </c>
      <c r="K2274" t="s">
        <v>78</v>
      </c>
      <c r="L2274" t="s">
        <v>130</v>
      </c>
      <c r="M2274" t="s">
        <v>131</v>
      </c>
      <c r="N2274" t="s">
        <v>699</v>
      </c>
      <c r="O2274" t="s">
        <v>82</v>
      </c>
      <c r="P2274" t="str">
        <f>"4170039261                    "</f>
        <v xml:space="preserve">4170039261                    </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c r="AI2274">
        <v>0</v>
      </c>
      <c r="AJ2274">
        <v>0</v>
      </c>
      <c r="AK2274">
        <v>0</v>
      </c>
      <c r="AL2274">
        <v>0</v>
      </c>
      <c r="AM2274">
        <v>0</v>
      </c>
      <c r="AN2274">
        <v>0</v>
      </c>
      <c r="AO2274">
        <v>0</v>
      </c>
      <c r="AP2274">
        <v>0</v>
      </c>
      <c r="AQ2274">
        <v>21.38</v>
      </c>
      <c r="AR2274">
        <v>0</v>
      </c>
      <c r="AS2274">
        <v>0</v>
      </c>
      <c r="AT2274">
        <v>0</v>
      </c>
      <c r="AU2274">
        <v>0</v>
      </c>
      <c r="AV2274">
        <v>0</v>
      </c>
      <c r="AW2274">
        <v>0</v>
      </c>
      <c r="AX2274">
        <v>0</v>
      </c>
      <c r="AY2274">
        <v>0</v>
      </c>
      <c r="AZ2274">
        <v>0</v>
      </c>
      <c r="BA2274">
        <v>0</v>
      </c>
      <c r="BB2274">
        <v>0</v>
      </c>
      <c r="BC2274">
        <v>0</v>
      </c>
      <c r="BD2274">
        <v>0</v>
      </c>
      <c r="BE2274">
        <v>0</v>
      </c>
      <c r="BF2274">
        <v>0</v>
      </c>
      <c r="BG2274">
        <v>0</v>
      </c>
      <c r="BH2274">
        <v>1</v>
      </c>
      <c r="BI2274">
        <v>1</v>
      </c>
      <c r="BJ2274">
        <v>0.2</v>
      </c>
      <c r="BK2274">
        <v>1</v>
      </c>
      <c r="BL2274">
        <v>69.98</v>
      </c>
      <c r="BM2274">
        <v>10.5</v>
      </c>
      <c r="BN2274">
        <v>80.48</v>
      </c>
      <c r="BO2274">
        <v>80.48</v>
      </c>
      <c r="BQ2274" t="s">
        <v>700</v>
      </c>
      <c r="BR2274" t="s">
        <v>84</v>
      </c>
      <c r="BS2274" s="3">
        <v>45798</v>
      </c>
      <c r="BT2274" s="4">
        <v>0.42222222222222222</v>
      </c>
      <c r="BU2274" t="s">
        <v>2551</v>
      </c>
      <c r="BV2274" t="s">
        <v>86</v>
      </c>
      <c r="BY2274">
        <v>1200</v>
      </c>
      <c r="CA2274" t="s">
        <v>330</v>
      </c>
      <c r="CC2274" t="s">
        <v>131</v>
      </c>
      <c r="CD2274">
        <v>7480</v>
      </c>
      <c r="CE2274" t="s">
        <v>88</v>
      </c>
      <c r="CI2274">
        <v>1</v>
      </c>
      <c r="CJ2274">
        <v>1</v>
      </c>
      <c r="CK2274">
        <v>21</v>
      </c>
      <c r="CL2274" t="s">
        <v>89</v>
      </c>
    </row>
    <row r="2275" spans="1:90" x14ac:dyDescent="0.3">
      <c r="A2275" t="s">
        <v>72</v>
      </c>
      <c r="B2275" t="s">
        <v>73</v>
      </c>
      <c r="C2275" t="s">
        <v>74</v>
      </c>
      <c r="E2275" t="str">
        <f>"080065462842"</f>
        <v>080065462842</v>
      </c>
      <c r="F2275" s="3">
        <v>45797</v>
      </c>
      <c r="G2275">
        <v>202602</v>
      </c>
      <c r="H2275" t="s">
        <v>75</v>
      </c>
      <c r="I2275" t="s">
        <v>76</v>
      </c>
      <c r="J2275" t="s">
        <v>77</v>
      </c>
      <c r="K2275" t="s">
        <v>78</v>
      </c>
      <c r="L2275" t="s">
        <v>130</v>
      </c>
      <c r="M2275" t="s">
        <v>131</v>
      </c>
      <c r="N2275" t="s">
        <v>897</v>
      </c>
      <c r="O2275" t="s">
        <v>82</v>
      </c>
      <c r="P2275" t="str">
        <f>"4170039459                    "</f>
        <v xml:space="preserve">4170039459                    </v>
      </c>
      <c r="Q2275">
        <v>0</v>
      </c>
      <c r="R2275">
        <v>0</v>
      </c>
      <c r="S2275">
        <v>0</v>
      </c>
      <c r="T2275">
        <v>0</v>
      </c>
      <c r="U2275">
        <v>0</v>
      </c>
      <c r="V2275">
        <v>0</v>
      </c>
      <c r="W2275">
        <v>0</v>
      </c>
      <c r="X2275">
        <v>0</v>
      </c>
      <c r="Y2275">
        <v>0</v>
      </c>
      <c r="Z2275">
        <v>0</v>
      </c>
      <c r="AA2275">
        <v>0</v>
      </c>
      <c r="AB2275">
        <v>0</v>
      </c>
      <c r="AC2275">
        <v>0</v>
      </c>
      <c r="AD2275">
        <v>0</v>
      </c>
      <c r="AE2275">
        <v>0</v>
      </c>
      <c r="AF2275">
        <v>0</v>
      </c>
      <c r="AG2275">
        <v>0</v>
      </c>
      <c r="AH2275">
        <v>0</v>
      </c>
      <c r="AI2275">
        <v>0</v>
      </c>
      <c r="AJ2275">
        <v>0</v>
      </c>
      <c r="AK2275">
        <v>0</v>
      </c>
      <c r="AL2275">
        <v>0</v>
      </c>
      <c r="AM2275">
        <v>0</v>
      </c>
      <c r="AN2275">
        <v>0</v>
      </c>
      <c r="AO2275">
        <v>0</v>
      </c>
      <c r="AP2275">
        <v>0</v>
      </c>
      <c r="AQ2275">
        <v>32.07</v>
      </c>
      <c r="AR2275">
        <v>0</v>
      </c>
      <c r="AS2275">
        <v>0</v>
      </c>
      <c r="AT2275">
        <v>0</v>
      </c>
      <c r="AU2275">
        <v>0</v>
      </c>
      <c r="AV2275">
        <v>0</v>
      </c>
      <c r="AW2275">
        <v>0</v>
      </c>
      <c r="AX2275">
        <v>0</v>
      </c>
      <c r="AY2275">
        <v>0</v>
      </c>
      <c r="AZ2275">
        <v>0</v>
      </c>
      <c r="BA2275">
        <v>0</v>
      </c>
      <c r="BB2275">
        <v>0</v>
      </c>
      <c r="BC2275">
        <v>0</v>
      </c>
      <c r="BD2275">
        <v>0</v>
      </c>
      <c r="BE2275">
        <v>0</v>
      </c>
      <c r="BF2275">
        <v>0</v>
      </c>
      <c r="BG2275">
        <v>0</v>
      </c>
      <c r="BH2275">
        <v>1</v>
      </c>
      <c r="BI2275">
        <v>3</v>
      </c>
      <c r="BJ2275">
        <v>1.7</v>
      </c>
      <c r="BK2275">
        <v>3</v>
      </c>
      <c r="BL2275">
        <v>104.95</v>
      </c>
      <c r="BM2275">
        <v>15.74</v>
      </c>
      <c r="BN2275">
        <v>120.69</v>
      </c>
      <c r="BO2275">
        <v>120.69</v>
      </c>
      <c r="BQ2275" t="s">
        <v>898</v>
      </c>
      <c r="BR2275" t="s">
        <v>84</v>
      </c>
      <c r="BS2275" s="3">
        <v>45798</v>
      </c>
      <c r="BT2275" s="4">
        <v>0.53194444444444444</v>
      </c>
      <c r="BU2275" t="s">
        <v>899</v>
      </c>
      <c r="BV2275" t="s">
        <v>89</v>
      </c>
      <c r="BW2275" t="s">
        <v>340</v>
      </c>
      <c r="BX2275" t="s">
        <v>618</v>
      </c>
      <c r="BY2275">
        <v>8512</v>
      </c>
      <c r="CA2275" t="s">
        <v>901</v>
      </c>
      <c r="CC2275" t="s">
        <v>131</v>
      </c>
      <c r="CD2275">
        <v>7550</v>
      </c>
      <c r="CE2275" t="s">
        <v>116</v>
      </c>
      <c r="CF2275" s="3">
        <v>45799</v>
      </c>
      <c r="CI2275">
        <v>1</v>
      </c>
      <c r="CJ2275">
        <v>1</v>
      </c>
      <c r="CK2275">
        <v>21</v>
      </c>
      <c r="CL2275" t="s">
        <v>89</v>
      </c>
    </row>
    <row r="2276" spans="1:90" x14ac:dyDescent="0.3">
      <c r="A2276" t="s">
        <v>72</v>
      </c>
      <c r="B2276" t="s">
        <v>73</v>
      </c>
      <c r="C2276" t="s">
        <v>74</v>
      </c>
      <c r="E2276" t="str">
        <f>"080065462869"</f>
        <v>080065462869</v>
      </c>
      <c r="F2276" s="3">
        <v>45797</v>
      </c>
      <c r="G2276">
        <v>202602</v>
      </c>
      <c r="H2276" t="s">
        <v>75</v>
      </c>
      <c r="I2276" t="s">
        <v>76</v>
      </c>
      <c r="J2276" t="s">
        <v>77</v>
      </c>
      <c r="K2276" t="s">
        <v>78</v>
      </c>
      <c r="L2276" t="s">
        <v>130</v>
      </c>
      <c r="M2276" t="s">
        <v>131</v>
      </c>
      <c r="N2276" t="s">
        <v>1619</v>
      </c>
      <c r="O2276" t="s">
        <v>82</v>
      </c>
      <c r="P2276" t="str">
        <f>"4170039367                    "</f>
        <v xml:space="preserve">4170039367                    </v>
      </c>
      <c r="Q2276">
        <v>0</v>
      </c>
      <c r="R2276">
        <v>0</v>
      </c>
      <c r="S2276">
        <v>0</v>
      </c>
      <c r="T2276">
        <v>0</v>
      </c>
      <c r="U2276">
        <v>0</v>
      </c>
      <c r="V2276">
        <v>0</v>
      </c>
      <c r="W2276">
        <v>0</v>
      </c>
      <c r="X2276">
        <v>0</v>
      </c>
      <c r="Y2276">
        <v>0</v>
      </c>
      <c r="Z2276">
        <v>0</v>
      </c>
      <c r="AA2276">
        <v>0</v>
      </c>
      <c r="AB2276">
        <v>0</v>
      </c>
      <c r="AC2276">
        <v>0</v>
      </c>
      <c r="AD2276">
        <v>0</v>
      </c>
      <c r="AE2276">
        <v>0</v>
      </c>
      <c r="AF2276">
        <v>0</v>
      </c>
      <c r="AG2276">
        <v>0</v>
      </c>
      <c r="AH2276">
        <v>0</v>
      </c>
      <c r="AI2276">
        <v>0</v>
      </c>
      <c r="AJ2276">
        <v>0</v>
      </c>
      <c r="AK2276">
        <v>0</v>
      </c>
      <c r="AL2276">
        <v>0</v>
      </c>
      <c r="AM2276">
        <v>0</v>
      </c>
      <c r="AN2276">
        <v>0</v>
      </c>
      <c r="AO2276">
        <v>0</v>
      </c>
      <c r="AP2276">
        <v>0</v>
      </c>
      <c r="AQ2276">
        <v>21.38</v>
      </c>
      <c r="AR2276">
        <v>0</v>
      </c>
      <c r="AS2276">
        <v>0</v>
      </c>
      <c r="AT2276">
        <v>0</v>
      </c>
      <c r="AU2276">
        <v>0</v>
      </c>
      <c r="AV2276">
        <v>0</v>
      </c>
      <c r="AW2276">
        <v>0</v>
      </c>
      <c r="AX2276">
        <v>0</v>
      </c>
      <c r="AY2276">
        <v>0</v>
      </c>
      <c r="AZ2276">
        <v>0</v>
      </c>
      <c r="BA2276">
        <v>0</v>
      </c>
      <c r="BB2276">
        <v>0</v>
      </c>
      <c r="BC2276">
        <v>0</v>
      </c>
      <c r="BD2276">
        <v>0</v>
      </c>
      <c r="BE2276">
        <v>0</v>
      </c>
      <c r="BF2276">
        <v>0</v>
      </c>
      <c r="BG2276">
        <v>0</v>
      </c>
      <c r="BH2276">
        <v>1</v>
      </c>
      <c r="BI2276">
        <v>1</v>
      </c>
      <c r="BJ2276">
        <v>0.2</v>
      </c>
      <c r="BK2276">
        <v>1</v>
      </c>
      <c r="BL2276">
        <v>69.98</v>
      </c>
      <c r="BM2276">
        <v>10.5</v>
      </c>
      <c r="BN2276">
        <v>80.48</v>
      </c>
      <c r="BO2276">
        <v>80.48</v>
      </c>
      <c r="BQ2276" t="s">
        <v>1620</v>
      </c>
      <c r="BR2276" t="s">
        <v>84</v>
      </c>
      <c r="BS2276" s="3">
        <v>45798</v>
      </c>
      <c r="BT2276" s="4">
        <v>0.41805555555555557</v>
      </c>
      <c r="BU2276" t="s">
        <v>1582</v>
      </c>
      <c r="BV2276" t="s">
        <v>86</v>
      </c>
      <c r="BY2276">
        <v>1200</v>
      </c>
      <c r="CA2276" t="s">
        <v>784</v>
      </c>
      <c r="CC2276" t="s">
        <v>131</v>
      </c>
      <c r="CD2276">
        <v>7405</v>
      </c>
      <c r="CE2276" t="s">
        <v>88</v>
      </c>
      <c r="CF2276" s="3">
        <v>45799</v>
      </c>
      <c r="CI2276">
        <v>1</v>
      </c>
      <c r="CJ2276">
        <v>1</v>
      </c>
      <c r="CK2276">
        <v>21</v>
      </c>
      <c r="CL2276" t="s">
        <v>89</v>
      </c>
    </row>
    <row r="2277" spans="1:90" x14ac:dyDescent="0.3">
      <c r="A2277" t="s">
        <v>72</v>
      </c>
      <c r="B2277" t="s">
        <v>73</v>
      </c>
      <c r="C2277" t="s">
        <v>74</v>
      </c>
      <c r="E2277" t="str">
        <f>"080065462900"</f>
        <v>080065462900</v>
      </c>
      <c r="F2277" s="3">
        <v>45797</v>
      </c>
      <c r="G2277">
        <v>202602</v>
      </c>
      <c r="H2277" t="s">
        <v>75</v>
      </c>
      <c r="I2277" t="s">
        <v>76</v>
      </c>
      <c r="J2277" t="s">
        <v>77</v>
      </c>
      <c r="K2277" t="s">
        <v>78</v>
      </c>
      <c r="L2277" t="s">
        <v>130</v>
      </c>
      <c r="M2277" t="s">
        <v>131</v>
      </c>
      <c r="N2277" t="s">
        <v>897</v>
      </c>
      <c r="O2277" t="s">
        <v>82</v>
      </c>
      <c r="P2277" t="str">
        <f>"4170039347                    "</f>
        <v xml:space="preserve">4170039347                    </v>
      </c>
      <c r="Q2277">
        <v>0</v>
      </c>
      <c r="R2277">
        <v>0</v>
      </c>
      <c r="S2277">
        <v>0</v>
      </c>
      <c r="T2277">
        <v>0</v>
      </c>
      <c r="U2277">
        <v>0</v>
      </c>
      <c r="V2277">
        <v>0</v>
      </c>
      <c r="W2277">
        <v>0</v>
      </c>
      <c r="X2277">
        <v>0</v>
      </c>
      <c r="Y2277">
        <v>0</v>
      </c>
      <c r="Z2277">
        <v>0</v>
      </c>
      <c r="AA2277">
        <v>0</v>
      </c>
      <c r="AB2277">
        <v>0</v>
      </c>
      <c r="AC2277">
        <v>0</v>
      </c>
      <c r="AD2277">
        <v>0</v>
      </c>
      <c r="AE2277">
        <v>0</v>
      </c>
      <c r="AF2277">
        <v>0</v>
      </c>
      <c r="AG2277">
        <v>0</v>
      </c>
      <c r="AH2277">
        <v>0</v>
      </c>
      <c r="AI2277">
        <v>0</v>
      </c>
      <c r="AJ2277">
        <v>0</v>
      </c>
      <c r="AK2277">
        <v>0</v>
      </c>
      <c r="AL2277">
        <v>0</v>
      </c>
      <c r="AM2277">
        <v>0</v>
      </c>
      <c r="AN2277">
        <v>0</v>
      </c>
      <c r="AO2277">
        <v>0</v>
      </c>
      <c r="AP2277">
        <v>0</v>
      </c>
      <c r="AQ2277">
        <v>21.38</v>
      </c>
      <c r="AR2277">
        <v>0</v>
      </c>
      <c r="AS2277">
        <v>0</v>
      </c>
      <c r="AT2277">
        <v>0</v>
      </c>
      <c r="AU2277">
        <v>0</v>
      </c>
      <c r="AV2277">
        <v>0</v>
      </c>
      <c r="AW2277">
        <v>0</v>
      </c>
      <c r="AX2277">
        <v>0</v>
      </c>
      <c r="AY2277">
        <v>0</v>
      </c>
      <c r="AZ2277">
        <v>0</v>
      </c>
      <c r="BA2277">
        <v>0</v>
      </c>
      <c r="BB2277">
        <v>0</v>
      </c>
      <c r="BC2277">
        <v>0</v>
      </c>
      <c r="BD2277">
        <v>0</v>
      </c>
      <c r="BE2277">
        <v>0</v>
      </c>
      <c r="BF2277">
        <v>0</v>
      </c>
      <c r="BG2277">
        <v>0</v>
      </c>
      <c r="BH2277">
        <v>1</v>
      </c>
      <c r="BI2277">
        <v>1</v>
      </c>
      <c r="BJ2277">
        <v>1.7</v>
      </c>
      <c r="BK2277">
        <v>2</v>
      </c>
      <c r="BL2277">
        <v>69.98</v>
      </c>
      <c r="BM2277">
        <v>10.5</v>
      </c>
      <c r="BN2277">
        <v>80.48</v>
      </c>
      <c r="BO2277">
        <v>80.48</v>
      </c>
      <c r="BQ2277" t="s">
        <v>898</v>
      </c>
      <c r="BR2277" t="s">
        <v>84</v>
      </c>
      <c r="BS2277" s="3">
        <v>45798</v>
      </c>
      <c r="BT2277" s="4">
        <v>0.53263888888888888</v>
      </c>
      <c r="BU2277" t="s">
        <v>899</v>
      </c>
      <c r="BV2277" t="s">
        <v>89</v>
      </c>
      <c r="BW2277" t="s">
        <v>340</v>
      </c>
      <c r="BX2277" t="s">
        <v>618</v>
      </c>
      <c r="BY2277">
        <v>8512</v>
      </c>
      <c r="CA2277" t="s">
        <v>901</v>
      </c>
      <c r="CC2277" t="s">
        <v>131</v>
      </c>
      <c r="CD2277">
        <v>7550</v>
      </c>
      <c r="CE2277" t="s">
        <v>116</v>
      </c>
      <c r="CF2277" s="3">
        <v>45799</v>
      </c>
      <c r="CI2277">
        <v>1</v>
      </c>
      <c r="CJ2277">
        <v>1</v>
      </c>
      <c r="CK2277">
        <v>21</v>
      </c>
      <c r="CL2277" t="s">
        <v>89</v>
      </c>
    </row>
    <row r="2278" spans="1:90" x14ac:dyDescent="0.3">
      <c r="A2278" t="s">
        <v>72</v>
      </c>
      <c r="B2278" t="s">
        <v>73</v>
      </c>
      <c r="C2278" t="s">
        <v>74</v>
      </c>
      <c r="E2278" t="str">
        <f>"080065462911"</f>
        <v>080065462911</v>
      </c>
      <c r="F2278" s="3">
        <v>45797</v>
      </c>
      <c r="G2278">
        <v>202602</v>
      </c>
      <c r="H2278" t="s">
        <v>75</v>
      </c>
      <c r="I2278" t="s">
        <v>76</v>
      </c>
      <c r="J2278" t="s">
        <v>77</v>
      </c>
      <c r="K2278" t="s">
        <v>78</v>
      </c>
      <c r="L2278" t="s">
        <v>350</v>
      </c>
      <c r="M2278" t="s">
        <v>351</v>
      </c>
      <c r="N2278" t="s">
        <v>404</v>
      </c>
      <c r="O2278" t="s">
        <v>82</v>
      </c>
      <c r="P2278" t="str">
        <f>"4170039371                    "</f>
        <v xml:space="preserve">4170039371                    </v>
      </c>
      <c r="Q2278">
        <v>0</v>
      </c>
      <c r="R2278">
        <v>0</v>
      </c>
      <c r="S2278">
        <v>0</v>
      </c>
      <c r="T2278">
        <v>0</v>
      </c>
      <c r="U2278">
        <v>0</v>
      </c>
      <c r="V2278">
        <v>0</v>
      </c>
      <c r="W2278">
        <v>0</v>
      </c>
      <c r="X2278">
        <v>0</v>
      </c>
      <c r="Y2278">
        <v>0</v>
      </c>
      <c r="Z2278">
        <v>0</v>
      </c>
      <c r="AA2278">
        <v>0</v>
      </c>
      <c r="AB2278">
        <v>0</v>
      </c>
      <c r="AC2278">
        <v>0</v>
      </c>
      <c r="AD2278">
        <v>0</v>
      </c>
      <c r="AE2278">
        <v>0</v>
      </c>
      <c r="AF2278">
        <v>0</v>
      </c>
      <c r="AG2278">
        <v>0</v>
      </c>
      <c r="AH2278">
        <v>0</v>
      </c>
      <c r="AI2278">
        <v>0</v>
      </c>
      <c r="AJ2278">
        <v>0</v>
      </c>
      <c r="AK2278">
        <v>0</v>
      </c>
      <c r="AL2278">
        <v>0</v>
      </c>
      <c r="AM2278">
        <v>0</v>
      </c>
      <c r="AN2278">
        <v>0</v>
      </c>
      <c r="AO2278">
        <v>0</v>
      </c>
      <c r="AP2278">
        <v>0</v>
      </c>
      <c r="AQ2278">
        <v>21.38</v>
      </c>
      <c r="AR2278">
        <v>0</v>
      </c>
      <c r="AS2278">
        <v>0</v>
      </c>
      <c r="AT2278">
        <v>0</v>
      </c>
      <c r="AU2278">
        <v>0</v>
      </c>
      <c r="AV2278">
        <v>0</v>
      </c>
      <c r="AW2278">
        <v>0</v>
      </c>
      <c r="AX2278">
        <v>0</v>
      </c>
      <c r="AY2278">
        <v>0</v>
      </c>
      <c r="AZ2278">
        <v>0</v>
      </c>
      <c r="BA2278">
        <v>0</v>
      </c>
      <c r="BB2278">
        <v>0</v>
      </c>
      <c r="BC2278">
        <v>0</v>
      </c>
      <c r="BD2278">
        <v>0</v>
      </c>
      <c r="BE2278">
        <v>0</v>
      </c>
      <c r="BF2278">
        <v>0</v>
      </c>
      <c r="BG2278">
        <v>0</v>
      </c>
      <c r="BH2278">
        <v>1</v>
      </c>
      <c r="BI2278">
        <v>1</v>
      </c>
      <c r="BJ2278">
        <v>0.2</v>
      </c>
      <c r="BK2278">
        <v>1</v>
      </c>
      <c r="BL2278">
        <v>69.98</v>
      </c>
      <c r="BM2278">
        <v>10.5</v>
      </c>
      <c r="BN2278">
        <v>80.48</v>
      </c>
      <c r="BO2278">
        <v>80.48</v>
      </c>
      <c r="BQ2278" t="s">
        <v>405</v>
      </c>
      <c r="BR2278" t="s">
        <v>84</v>
      </c>
      <c r="BS2278" s="3">
        <v>45798</v>
      </c>
      <c r="BT2278" s="4">
        <v>0.42986111111111114</v>
      </c>
      <c r="BU2278" t="s">
        <v>1479</v>
      </c>
      <c r="BV2278" t="s">
        <v>86</v>
      </c>
      <c r="BY2278">
        <v>1200</v>
      </c>
      <c r="CA2278" t="s">
        <v>326</v>
      </c>
      <c r="CC2278" t="s">
        <v>351</v>
      </c>
      <c r="CD2278">
        <v>4052</v>
      </c>
      <c r="CE2278" t="s">
        <v>88</v>
      </c>
      <c r="CF2278" s="3">
        <v>45798</v>
      </c>
      <c r="CI2278">
        <v>1</v>
      </c>
      <c r="CJ2278">
        <v>1</v>
      </c>
      <c r="CK2278">
        <v>21</v>
      </c>
      <c r="CL2278" t="s">
        <v>89</v>
      </c>
    </row>
    <row r="2279" spans="1:90" x14ac:dyDescent="0.3">
      <c r="A2279" t="s">
        <v>72</v>
      </c>
      <c r="B2279" t="s">
        <v>73</v>
      </c>
      <c r="C2279" t="s">
        <v>74</v>
      </c>
      <c r="E2279" t="str">
        <f>"080065462962"</f>
        <v>080065462962</v>
      </c>
      <c r="F2279" s="3">
        <v>45797</v>
      </c>
      <c r="G2279">
        <v>202602</v>
      </c>
      <c r="H2279" t="s">
        <v>75</v>
      </c>
      <c r="I2279" t="s">
        <v>76</v>
      </c>
      <c r="J2279" t="s">
        <v>77</v>
      </c>
      <c r="K2279" t="s">
        <v>78</v>
      </c>
      <c r="L2279" t="s">
        <v>713</v>
      </c>
      <c r="M2279" t="s">
        <v>714</v>
      </c>
      <c r="N2279" t="s">
        <v>715</v>
      </c>
      <c r="O2279" t="s">
        <v>82</v>
      </c>
      <c r="P2279" t="str">
        <f>"4170039387                    "</f>
        <v xml:space="preserve">4170039387                    </v>
      </c>
      <c r="Q2279">
        <v>0</v>
      </c>
      <c r="R2279">
        <v>0</v>
      </c>
      <c r="S2279">
        <v>0</v>
      </c>
      <c r="T2279">
        <v>0</v>
      </c>
      <c r="U2279">
        <v>0</v>
      </c>
      <c r="V2279">
        <v>0</v>
      </c>
      <c r="W2279">
        <v>0</v>
      </c>
      <c r="X2279">
        <v>0</v>
      </c>
      <c r="Y2279">
        <v>0</v>
      </c>
      <c r="Z2279">
        <v>0</v>
      </c>
      <c r="AA2279">
        <v>0</v>
      </c>
      <c r="AB2279">
        <v>0</v>
      </c>
      <c r="AC2279">
        <v>0</v>
      </c>
      <c r="AD2279">
        <v>0</v>
      </c>
      <c r="AE2279">
        <v>0</v>
      </c>
      <c r="AF2279">
        <v>0</v>
      </c>
      <c r="AG2279">
        <v>0</v>
      </c>
      <c r="AH2279">
        <v>0</v>
      </c>
      <c r="AI2279">
        <v>0</v>
      </c>
      <c r="AJ2279">
        <v>0</v>
      </c>
      <c r="AK2279">
        <v>0</v>
      </c>
      <c r="AL2279">
        <v>0</v>
      </c>
      <c r="AM2279">
        <v>0</v>
      </c>
      <c r="AN2279">
        <v>0</v>
      </c>
      <c r="AO2279">
        <v>0</v>
      </c>
      <c r="AP2279">
        <v>0</v>
      </c>
      <c r="AQ2279">
        <v>41.43</v>
      </c>
      <c r="AR2279">
        <v>0</v>
      </c>
      <c r="AS2279">
        <v>0</v>
      </c>
      <c r="AT2279">
        <v>0</v>
      </c>
      <c r="AU2279">
        <v>0</v>
      </c>
      <c r="AV2279">
        <v>0</v>
      </c>
      <c r="AW2279">
        <v>0</v>
      </c>
      <c r="AX2279">
        <v>0</v>
      </c>
      <c r="AY2279">
        <v>0</v>
      </c>
      <c r="AZ2279">
        <v>0</v>
      </c>
      <c r="BA2279">
        <v>0</v>
      </c>
      <c r="BB2279">
        <v>0</v>
      </c>
      <c r="BC2279">
        <v>0</v>
      </c>
      <c r="BD2279">
        <v>0</v>
      </c>
      <c r="BE2279">
        <v>0</v>
      </c>
      <c r="BF2279">
        <v>0</v>
      </c>
      <c r="BG2279">
        <v>0</v>
      </c>
      <c r="BH2279">
        <v>1</v>
      </c>
      <c r="BI2279">
        <v>1</v>
      </c>
      <c r="BJ2279">
        <v>0.2</v>
      </c>
      <c r="BK2279">
        <v>1</v>
      </c>
      <c r="BL2279">
        <v>135.59</v>
      </c>
      <c r="BM2279">
        <v>20.34</v>
      </c>
      <c r="BN2279">
        <v>155.93</v>
      </c>
      <c r="BO2279">
        <v>155.93</v>
      </c>
      <c r="BQ2279" t="s">
        <v>716</v>
      </c>
      <c r="BR2279" t="s">
        <v>84</v>
      </c>
      <c r="BS2279" s="3">
        <v>45798</v>
      </c>
      <c r="BT2279" s="4">
        <v>0.54861111111111116</v>
      </c>
      <c r="BU2279" t="s">
        <v>2421</v>
      </c>
      <c r="BV2279" t="s">
        <v>86</v>
      </c>
      <c r="BY2279">
        <v>1200</v>
      </c>
      <c r="CA2279" t="s">
        <v>718</v>
      </c>
      <c r="CC2279" t="s">
        <v>714</v>
      </c>
      <c r="CD2279">
        <v>6300</v>
      </c>
      <c r="CE2279" t="s">
        <v>88</v>
      </c>
      <c r="CF2279" s="3">
        <v>45798</v>
      </c>
      <c r="CI2279">
        <v>2</v>
      </c>
      <c r="CJ2279">
        <v>1</v>
      </c>
      <c r="CK2279">
        <v>23</v>
      </c>
      <c r="CL2279" t="s">
        <v>89</v>
      </c>
    </row>
    <row r="2280" spans="1:90" x14ac:dyDescent="0.3">
      <c r="A2280" t="s">
        <v>72</v>
      </c>
      <c r="B2280" t="s">
        <v>73</v>
      </c>
      <c r="C2280" t="s">
        <v>74</v>
      </c>
      <c r="E2280" t="str">
        <f>"080065462968"</f>
        <v>080065462968</v>
      </c>
      <c r="F2280" s="3">
        <v>45797</v>
      </c>
      <c r="G2280">
        <v>202602</v>
      </c>
      <c r="H2280" t="s">
        <v>75</v>
      </c>
      <c r="I2280" t="s">
        <v>76</v>
      </c>
      <c r="J2280" t="s">
        <v>77</v>
      </c>
      <c r="K2280" t="s">
        <v>78</v>
      </c>
      <c r="L2280" t="s">
        <v>320</v>
      </c>
      <c r="M2280" t="s">
        <v>321</v>
      </c>
      <c r="N2280" t="s">
        <v>322</v>
      </c>
      <c r="O2280" t="s">
        <v>82</v>
      </c>
      <c r="P2280" t="str">
        <f>"4170039292                    "</f>
        <v xml:space="preserve">4170039292                    </v>
      </c>
      <c r="Q2280">
        <v>0</v>
      </c>
      <c r="R2280">
        <v>0</v>
      </c>
      <c r="S2280">
        <v>0</v>
      </c>
      <c r="T2280">
        <v>0</v>
      </c>
      <c r="U2280">
        <v>0</v>
      </c>
      <c r="V2280">
        <v>0</v>
      </c>
      <c r="W2280">
        <v>0</v>
      </c>
      <c r="X2280">
        <v>0</v>
      </c>
      <c r="Y2280">
        <v>0</v>
      </c>
      <c r="Z2280">
        <v>0</v>
      </c>
      <c r="AA2280">
        <v>0</v>
      </c>
      <c r="AB2280">
        <v>0</v>
      </c>
      <c r="AC2280">
        <v>0</v>
      </c>
      <c r="AD2280">
        <v>0</v>
      </c>
      <c r="AE2280">
        <v>0</v>
      </c>
      <c r="AF2280">
        <v>0</v>
      </c>
      <c r="AG2280">
        <v>0</v>
      </c>
      <c r="AH2280">
        <v>0</v>
      </c>
      <c r="AI2280">
        <v>0</v>
      </c>
      <c r="AJ2280">
        <v>0</v>
      </c>
      <c r="AK2280">
        <v>0</v>
      </c>
      <c r="AL2280">
        <v>0</v>
      </c>
      <c r="AM2280">
        <v>0</v>
      </c>
      <c r="AN2280">
        <v>0</v>
      </c>
      <c r="AO2280">
        <v>0</v>
      </c>
      <c r="AP2280">
        <v>0</v>
      </c>
      <c r="AQ2280">
        <v>21.38</v>
      </c>
      <c r="AR2280">
        <v>0</v>
      </c>
      <c r="AS2280">
        <v>0</v>
      </c>
      <c r="AT2280">
        <v>0</v>
      </c>
      <c r="AU2280">
        <v>0</v>
      </c>
      <c r="AV2280">
        <v>0</v>
      </c>
      <c r="AW2280">
        <v>0</v>
      </c>
      <c r="AX2280">
        <v>0</v>
      </c>
      <c r="AY2280">
        <v>0</v>
      </c>
      <c r="AZ2280">
        <v>0</v>
      </c>
      <c r="BA2280">
        <v>0</v>
      </c>
      <c r="BB2280">
        <v>0</v>
      </c>
      <c r="BC2280">
        <v>0</v>
      </c>
      <c r="BD2280">
        <v>0</v>
      </c>
      <c r="BE2280">
        <v>0</v>
      </c>
      <c r="BF2280">
        <v>0</v>
      </c>
      <c r="BG2280">
        <v>0</v>
      </c>
      <c r="BH2280">
        <v>1</v>
      </c>
      <c r="BI2280">
        <v>1</v>
      </c>
      <c r="BJ2280">
        <v>0.6</v>
      </c>
      <c r="BK2280">
        <v>1</v>
      </c>
      <c r="BL2280">
        <v>69.98</v>
      </c>
      <c r="BM2280">
        <v>10.5</v>
      </c>
      <c r="BN2280">
        <v>80.48</v>
      </c>
      <c r="BO2280">
        <v>80.48</v>
      </c>
      <c r="BQ2280" t="s">
        <v>323</v>
      </c>
      <c r="BR2280" t="s">
        <v>84</v>
      </c>
      <c r="BS2280" s="3">
        <v>45798</v>
      </c>
      <c r="BT2280" s="4">
        <v>0.41666666666666669</v>
      </c>
      <c r="BU2280" t="s">
        <v>2633</v>
      </c>
      <c r="BV2280" t="s">
        <v>86</v>
      </c>
      <c r="BY2280">
        <v>3192</v>
      </c>
      <c r="CA2280" t="s">
        <v>326</v>
      </c>
      <c r="CC2280" t="s">
        <v>321</v>
      </c>
      <c r="CD2280">
        <v>4113</v>
      </c>
      <c r="CE2280" t="s">
        <v>116</v>
      </c>
      <c r="CF2280" s="3">
        <v>45798</v>
      </c>
      <c r="CI2280">
        <v>1</v>
      </c>
      <c r="CJ2280">
        <v>1</v>
      </c>
      <c r="CK2280">
        <v>21</v>
      </c>
      <c r="CL2280" t="s">
        <v>89</v>
      </c>
    </row>
    <row r="2281" spans="1:90" x14ac:dyDescent="0.3">
      <c r="A2281" t="s">
        <v>72</v>
      </c>
      <c r="B2281" t="s">
        <v>73</v>
      </c>
      <c r="C2281" t="s">
        <v>74</v>
      </c>
      <c r="E2281" t="str">
        <f>"080065463071"</f>
        <v>080065463071</v>
      </c>
      <c r="F2281" s="3">
        <v>45797</v>
      </c>
      <c r="G2281">
        <v>202602</v>
      </c>
      <c r="H2281" t="s">
        <v>75</v>
      </c>
      <c r="I2281" t="s">
        <v>76</v>
      </c>
      <c r="J2281" t="s">
        <v>77</v>
      </c>
      <c r="K2281" t="s">
        <v>78</v>
      </c>
      <c r="L2281" t="s">
        <v>123</v>
      </c>
      <c r="M2281" t="s">
        <v>123</v>
      </c>
      <c r="N2281" t="s">
        <v>766</v>
      </c>
      <c r="O2281" t="s">
        <v>82</v>
      </c>
      <c r="P2281" t="str">
        <f>"4170039258                    "</f>
        <v xml:space="preserve">4170039258                    </v>
      </c>
      <c r="Q2281">
        <v>0</v>
      </c>
      <c r="R2281">
        <v>0</v>
      </c>
      <c r="S2281">
        <v>0</v>
      </c>
      <c r="T2281">
        <v>0</v>
      </c>
      <c r="U2281">
        <v>0</v>
      </c>
      <c r="V2281">
        <v>0</v>
      </c>
      <c r="W2281">
        <v>0</v>
      </c>
      <c r="X2281">
        <v>0</v>
      </c>
      <c r="Y2281">
        <v>0</v>
      </c>
      <c r="Z2281">
        <v>0</v>
      </c>
      <c r="AA2281">
        <v>0</v>
      </c>
      <c r="AB2281">
        <v>0</v>
      </c>
      <c r="AC2281">
        <v>0</v>
      </c>
      <c r="AD2281">
        <v>0</v>
      </c>
      <c r="AE2281">
        <v>0</v>
      </c>
      <c r="AF2281">
        <v>0</v>
      </c>
      <c r="AG2281">
        <v>0</v>
      </c>
      <c r="AH2281">
        <v>0</v>
      </c>
      <c r="AI2281">
        <v>0</v>
      </c>
      <c r="AJ2281">
        <v>0</v>
      </c>
      <c r="AK2281">
        <v>0</v>
      </c>
      <c r="AL2281">
        <v>0</v>
      </c>
      <c r="AM2281">
        <v>0</v>
      </c>
      <c r="AN2281">
        <v>0</v>
      </c>
      <c r="AO2281">
        <v>0</v>
      </c>
      <c r="AP2281">
        <v>0</v>
      </c>
      <c r="AQ2281">
        <v>60.14</v>
      </c>
      <c r="AR2281">
        <v>0</v>
      </c>
      <c r="AS2281">
        <v>0</v>
      </c>
      <c r="AT2281">
        <v>0</v>
      </c>
      <c r="AU2281">
        <v>0</v>
      </c>
      <c r="AV2281">
        <v>0</v>
      </c>
      <c r="AW2281">
        <v>0</v>
      </c>
      <c r="AX2281">
        <v>0</v>
      </c>
      <c r="AY2281">
        <v>0</v>
      </c>
      <c r="AZ2281">
        <v>0</v>
      </c>
      <c r="BA2281">
        <v>0</v>
      </c>
      <c r="BB2281">
        <v>0</v>
      </c>
      <c r="BC2281">
        <v>0</v>
      </c>
      <c r="BD2281">
        <v>0</v>
      </c>
      <c r="BE2281">
        <v>0</v>
      </c>
      <c r="BF2281">
        <v>0</v>
      </c>
      <c r="BG2281">
        <v>0</v>
      </c>
      <c r="BH2281">
        <v>1</v>
      </c>
      <c r="BI2281">
        <v>3</v>
      </c>
      <c r="BJ2281">
        <v>1.7</v>
      </c>
      <c r="BK2281">
        <v>3</v>
      </c>
      <c r="BL2281">
        <v>196.82</v>
      </c>
      <c r="BM2281">
        <v>29.52</v>
      </c>
      <c r="BN2281">
        <v>226.34</v>
      </c>
      <c r="BO2281">
        <v>226.34</v>
      </c>
      <c r="BQ2281" t="s">
        <v>767</v>
      </c>
      <c r="BR2281" t="s">
        <v>84</v>
      </c>
      <c r="BS2281" s="3">
        <v>45798</v>
      </c>
      <c r="BT2281" s="4">
        <v>0.50972222222222219</v>
      </c>
      <c r="BU2281" t="s">
        <v>768</v>
      </c>
      <c r="BV2281" t="s">
        <v>86</v>
      </c>
      <c r="BY2281">
        <v>8512</v>
      </c>
      <c r="CA2281" t="s">
        <v>128</v>
      </c>
      <c r="CC2281" t="s">
        <v>123</v>
      </c>
      <c r="CD2281">
        <v>7646</v>
      </c>
      <c r="CE2281" t="s">
        <v>116</v>
      </c>
      <c r="CF2281" s="3">
        <v>45799</v>
      </c>
      <c r="CI2281">
        <v>1</v>
      </c>
      <c r="CJ2281">
        <v>1</v>
      </c>
      <c r="CK2281">
        <v>23</v>
      </c>
      <c r="CL2281" t="s">
        <v>89</v>
      </c>
    </row>
    <row r="2282" spans="1:90" x14ac:dyDescent="0.3">
      <c r="A2282" t="s">
        <v>72</v>
      </c>
      <c r="B2282" t="s">
        <v>73</v>
      </c>
      <c r="C2282" t="s">
        <v>74</v>
      </c>
      <c r="E2282" t="str">
        <f>"080065463225"</f>
        <v>080065463225</v>
      </c>
      <c r="F2282" s="3">
        <v>45797</v>
      </c>
      <c r="G2282">
        <v>202602</v>
      </c>
      <c r="H2282" t="s">
        <v>75</v>
      </c>
      <c r="I2282" t="s">
        <v>76</v>
      </c>
      <c r="J2282" t="s">
        <v>77</v>
      </c>
      <c r="K2282" t="s">
        <v>78</v>
      </c>
      <c r="L2282" t="s">
        <v>117</v>
      </c>
      <c r="M2282" t="s">
        <v>118</v>
      </c>
      <c r="N2282" t="s">
        <v>921</v>
      </c>
      <c r="O2282" t="s">
        <v>82</v>
      </c>
      <c r="P2282" t="str">
        <f>"4170039403                    "</f>
        <v xml:space="preserve">4170039403                    </v>
      </c>
      <c r="Q2282">
        <v>0</v>
      </c>
      <c r="R2282">
        <v>0</v>
      </c>
      <c r="S2282">
        <v>0</v>
      </c>
      <c r="T2282">
        <v>0</v>
      </c>
      <c r="U2282">
        <v>0</v>
      </c>
      <c r="V2282">
        <v>0</v>
      </c>
      <c r="W2282">
        <v>0</v>
      </c>
      <c r="X2282">
        <v>0</v>
      </c>
      <c r="Y2282">
        <v>0</v>
      </c>
      <c r="Z2282">
        <v>0</v>
      </c>
      <c r="AA2282">
        <v>0</v>
      </c>
      <c r="AB2282">
        <v>0</v>
      </c>
      <c r="AC2282">
        <v>0</v>
      </c>
      <c r="AD2282">
        <v>0</v>
      </c>
      <c r="AE2282">
        <v>0</v>
      </c>
      <c r="AF2282">
        <v>0</v>
      </c>
      <c r="AG2282">
        <v>0</v>
      </c>
      <c r="AH2282">
        <v>0</v>
      </c>
      <c r="AI2282">
        <v>0</v>
      </c>
      <c r="AJ2282">
        <v>0</v>
      </c>
      <c r="AK2282">
        <v>0</v>
      </c>
      <c r="AL2282">
        <v>0</v>
      </c>
      <c r="AM2282">
        <v>0</v>
      </c>
      <c r="AN2282">
        <v>0</v>
      </c>
      <c r="AO2282">
        <v>0</v>
      </c>
      <c r="AP2282">
        <v>0</v>
      </c>
      <c r="AQ2282">
        <v>16.7</v>
      </c>
      <c r="AR2282">
        <v>0</v>
      </c>
      <c r="AS2282">
        <v>0</v>
      </c>
      <c r="AT2282">
        <v>0</v>
      </c>
      <c r="AU2282">
        <v>0</v>
      </c>
      <c r="AV2282">
        <v>0</v>
      </c>
      <c r="AW2282">
        <v>0</v>
      </c>
      <c r="AX2282">
        <v>0</v>
      </c>
      <c r="AY2282">
        <v>0</v>
      </c>
      <c r="AZ2282">
        <v>0</v>
      </c>
      <c r="BA2282">
        <v>0</v>
      </c>
      <c r="BB2282">
        <v>0</v>
      </c>
      <c r="BC2282">
        <v>0</v>
      </c>
      <c r="BD2282">
        <v>0</v>
      </c>
      <c r="BE2282">
        <v>0</v>
      </c>
      <c r="BF2282">
        <v>0</v>
      </c>
      <c r="BG2282">
        <v>0</v>
      </c>
      <c r="BH2282">
        <v>1</v>
      </c>
      <c r="BI2282">
        <v>1</v>
      </c>
      <c r="BJ2282">
        <v>1.7</v>
      </c>
      <c r="BK2282">
        <v>2</v>
      </c>
      <c r="BL2282">
        <v>54.66</v>
      </c>
      <c r="BM2282">
        <v>8.1999999999999993</v>
      </c>
      <c r="BN2282">
        <v>62.86</v>
      </c>
      <c r="BO2282">
        <v>62.86</v>
      </c>
      <c r="BQ2282" t="s">
        <v>922</v>
      </c>
      <c r="BR2282" t="s">
        <v>84</v>
      </c>
      <c r="BS2282" s="3">
        <v>45798</v>
      </c>
      <c r="BT2282" s="4">
        <v>0.41111111111111109</v>
      </c>
      <c r="BU2282" t="s">
        <v>923</v>
      </c>
      <c r="BV2282" t="s">
        <v>86</v>
      </c>
      <c r="BY2282">
        <v>8512</v>
      </c>
      <c r="CA2282" t="s">
        <v>924</v>
      </c>
      <c r="CC2282" t="s">
        <v>118</v>
      </c>
      <c r="CD2282">
        <v>2091</v>
      </c>
      <c r="CE2282" t="s">
        <v>116</v>
      </c>
      <c r="CF2282" s="3">
        <v>45799</v>
      </c>
      <c r="CI2282">
        <v>1</v>
      </c>
      <c r="CJ2282">
        <v>1</v>
      </c>
      <c r="CK2282">
        <v>22</v>
      </c>
      <c r="CL2282" t="s">
        <v>89</v>
      </c>
    </row>
    <row r="2283" spans="1:90" x14ac:dyDescent="0.3">
      <c r="A2283" t="s">
        <v>72</v>
      </c>
      <c r="B2283" t="s">
        <v>73</v>
      </c>
      <c r="C2283" t="s">
        <v>74</v>
      </c>
      <c r="E2283" t="str">
        <f>"080065463374"</f>
        <v>080065463374</v>
      </c>
      <c r="F2283" s="3">
        <v>45797</v>
      </c>
      <c r="G2283">
        <v>202602</v>
      </c>
      <c r="H2283" t="s">
        <v>75</v>
      </c>
      <c r="I2283" t="s">
        <v>76</v>
      </c>
      <c r="J2283" t="s">
        <v>77</v>
      </c>
      <c r="K2283" t="s">
        <v>78</v>
      </c>
      <c r="L2283" t="s">
        <v>90</v>
      </c>
      <c r="M2283" t="s">
        <v>91</v>
      </c>
      <c r="N2283" t="s">
        <v>748</v>
      </c>
      <c r="O2283" t="s">
        <v>82</v>
      </c>
      <c r="P2283" t="str">
        <f>"4170039646                    "</f>
        <v xml:space="preserve">4170039646                    </v>
      </c>
      <c r="Q2283">
        <v>0</v>
      </c>
      <c r="R2283">
        <v>0</v>
      </c>
      <c r="S2283">
        <v>0</v>
      </c>
      <c r="T2283">
        <v>0</v>
      </c>
      <c r="U2283">
        <v>0</v>
      </c>
      <c r="V2283">
        <v>0</v>
      </c>
      <c r="W2283">
        <v>0</v>
      </c>
      <c r="X2283">
        <v>0</v>
      </c>
      <c r="Y2283">
        <v>0</v>
      </c>
      <c r="Z2283">
        <v>0</v>
      </c>
      <c r="AA2283">
        <v>0</v>
      </c>
      <c r="AB2283">
        <v>0</v>
      </c>
      <c r="AC2283">
        <v>0</v>
      </c>
      <c r="AD2283">
        <v>0</v>
      </c>
      <c r="AE2283">
        <v>0</v>
      </c>
      <c r="AF2283">
        <v>0</v>
      </c>
      <c r="AG2283">
        <v>0</v>
      </c>
      <c r="AH2283">
        <v>0</v>
      </c>
      <c r="AI2283">
        <v>0</v>
      </c>
      <c r="AJ2283">
        <v>0</v>
      </c>
      <c r="AK2283">
        <v>0</v>
      </c>
      <c r="AL2283">
        <v>0</v>
      </c>
      <c r="AM2283">
        <v>0</v>
      </c>
      <c r="AN2283">
        <v>0</v>
      </c>
      <c r="AO2283">
        <v>0</v>
      </c>
      <c r="AP2283">
        <v>0</v>
      </c>
      <c r="AQ2283">
        <v>58.78</v>
      </c>
      <c r="AR2283">
        <v>0</v>
      </c>
      <c r="AS2283">
        <v>0</v>
      </c>
      <c r="AT2283">
        <v>0</v>
      </c>
      <c r="AU2283">
        <v>0</v>
      </c>
      <c r="AV2283">
        <v>0</v>
      </c>
      <c r="AW2283">
        <v>0</v>
      </c>
      <c r="AX2283">
        <v>0</v>
      </c>
      <c r="AY2283">
        <v>0</v>
      </c>
      <c r="AZ2283">
        <v>0</v>
      </c>
      <c r="BA2283">
        <v>0</v>
      </c>
      <c r="BB2283">
        <v>0</v>
      </c>
      <c r="BC2283">
        <v>0</v>
      </c>
      <c r="BD2283">
        <v>0</v>
      </c>
      <c r="BE2283">
        <v>0</v>
      </c>
      <c r="BF2283">
        <v>0</v>
      </c>
      <c r="BG2283">
        <v>0</v>
      </c>
      <c r="BH2283">
        <v>1</v>
      </c>
      <c r="BI2283">
        <v>1</v>
      </c>
      <c r="BJ2283">
        <v>5.0999999999999996</v>
      </c>
      <c r="BK2283">
        <v>5.5</v>
      </c>
      <c r="BL2283">
        <v>192.36</v>
      </c>
      <c r="BM2283">
        <v>28.85</v>
      </c>
      <c r="BN2283">
        <v>221.21</v>
      </c>
      <c r="BO2283">
        <v>221.21</v>
      </c>
      <c r="BQ2283" t="s">
        <v>749</v>
      </c>
      <c r="BR2283" t="s">
        <v>84</v>
      </c>
      <c r="BS2283" s="3">
        <v>45798</v>
      </c>
      <c r="BT2283" s="4">
        <v>0.43263888888888891</v>
      </c>
      <c r="BU2283" t="s">
        <v>2545</v>
      </c>
      <c r="BV2283" t="s">
        <v>86</v>
      </c>
      <c r="BY2283">
        <v>25536</v>
      </c>
      <c r="CA2283" t="s">
        <v>298</v>
      </c>
      <c r="CC2283" t="s">
        <v>91</v>
      </c>
      <c r="CD2283">
        <v>6045</v>
      </c>
      <c r="CE2283" t="s">
        <v>221</v>
      </c>
      <c r="CF2283" s="3">
        <v>45798</v>
      </c>
      <c r="CI2283">
        <v>1</v>
      </c>
      <c r="CJ2283">
        <v>1</v>
      </c>
      <c r="CK2283">
        <v>21</v>
      </c>
      <c r="CL2283" t="s">
        <v>89</v>
      </c>
    </row>
    <row r="2284" spans="1:90" x14ac:dyDescent="0.3">
      <c r="A2284" t="s">
        <v>72</v>
      </c>
      <c r="B2284" t="s">
        <v>73</v>
      </c>
      <c r="C2284" t="s">
        <v>74</v>
      </c>
      <c r="E2284" t="str">
        <f>"080065463854"</f>
        <v>080065463854</v>
      </c>
      <c r="F2284" s="3">
        <v>45797</v>
      </c>
      <c r="G2284">
        <v>202602</v>
      </c>
      <c r="H2284" t="s">
        <v>75</v>
      </c>
      <c r="I2284" t="s">
        <v>76</v>
      </c>
      <c r="J2284" t="s">
        <v>77</v>
      </c>
      <c r="K2284" t="s">
        <v>78</v>
      </c>
      <c r="L2284" t="s">
        <v>90</v>
      </c>
      <c r="M2284" t="s">
        <v>91</v>
      </c>
      <c r="N2284" t="s">
        <v>543</v>
      </c>
      <c r="O2284" t="s">
        <v>82</v>
      </c>
      <c r="P2284" t="str">
        <f>"4170039296                    "</f>
        <v xml:space="preserve">4170039296                    </v>
      </c>
      <c r="Q2284">
        <v>0</v>
      </c>
      <c r="R2284">
        <v>0</v>
      </c>
      <c r="S2284">
        <v>0</v>
      </c>
      <c r="T2284">
        <v>0</v>
      </c>
      <c r="U2284">
        <v>0</v>
      </c>
      <c r="V2284">
        <v>0</v>
      </c>
      <c r="W2284">
        <v>0</v>
      </c>
      <c r="X2284">
        <v>0</v>
      </c>
      <c r="Y2284">
        <v>0</v>
      </c>
      <c r="Z2284">
        <v>0</v>
      </c>
      <c r="AA2284">
        <v>0</v>
      </c>
      <c r="AB2284">
        <v>0</v>
      </c>
      <c r="AC2284">
        <v>0</v>
      </c>
      <c r="AD2284">
        <v>0</v>
      </c>
      <c r="AE2284">
        <v>0</v>
      </c>
      <c r="AF2284">
        <v>0</v>
      </c>
      <c r="AG2284">
        <v>0</v>
      </c>
      <c r="AH2284">
        <v>0</v>
      </c>
      <c r="AI2284">
        <v>0</v>
      </c>
      <c r="AJ2284">
        <v>0</v>
      </c>
      <c r="AK2284">
        <v>0</v>
      </c>
      <c r="AL2284">
        <v>0</v>
      </c>
      <c r="AM2284">
        <v>0</v>
      </c>
      <c r="AN2284">
        <v>0</v>
      </c>
      <c r="AO2284">
        <v>0</v>
      </c>
      <c r="AP2284">
        <v>0</v>
      </c>
      <c r="AQ2284">
        <v>53.43</v>
      </c>
      <c r="AR2284">
        <v>0</v>
      </c>
      <c r="AS2284">
        <v>0</v>
      </c>
      <c r="AT2284">
        <v>0</v>
      </c>
      <c r="AU2284">
        <v>0</v>
      </c>
      <c r="AV2284">
        <v>0</v>
      </c>
      <c r="AW2284">
        <v>0</v>
      </c>
      <c r="AX2284">
        <v>0</v>
      </c>
      <c r="AY2284">
        <v>0</v>
      </c>
      <c r="AZ2284">
        <v>0</v>
      </c>
      <c r="BA2284">
        <v>0</v>
      </c>
      <c r="BB2284">
        <v>0</v>
      </c>
      <c r="BC2284">
        <v>0</v>
      </c>
      <c r="BD2284">
        <v>0</v>
      </c>
      <c r="BE2284">
        <v>0</v>
      </c>
      <c r="BF2284">
        <v>0</v>
      </c>
      <c r="BG2284">
        <v>0</v>
      </c>
      <c r="BH2284">
        <v>2</v>
      </c>
      <c r="BI2284">
        <v>4</v>
      </c>
      <c r="BJ2284">
        <v>4.7</v>
      </c>
      <c r="BK2284">
        <v>5</v>
      </c>
      <c r="BL2284">
        <v>174.87</v>
      </c>
      <c r="BM2284">
        <v>26.23</v>
      </c>
      <c r="BN2284">
        <v>201.1</v>
      </c>
      <c r="BO2284">
        <v>201.1</v>
      </c>
      <c r="BQ2284" t="s">
        <v>544</v>
      </c>
      <c r="BR2284" t="s">
        <v>84</v>
      </c>
      <c r="BS2284" s="3">
        <v>45798</v>
      </c>
      <c r="BT2284" s="4">
        <v>0.36736111111111114</v>
      </c>
      <c r="BU2284" t="s">
        <v>1764</v>
      </c>
      <c r="BV2284" t="s">
        <v>86</v>
      </c>
      <c r="BY2284">
        <v>23696</v>
      </c>
      <c r="CA2284" t="s">
        <v>283</v>
      </c>
      <c r="CC2284" t="s">
        <v>91</v>
      </c>
      <c r="CD2284">
        <v>6001</v>
      </c>
      <c r="CE2284" t="s">
        <v>88</v>
      </c>
      <c r="CF2284" s="3">
        <v>45798</v>
      </c>
      <c r="CI2284">
        <v>1</v>
      </c>
      <c r="CJ2284">
        <v>1</v>
      </c>
      <c r="CK2284">
        <v>21</v>
      </c>
      <c r="CL2284" t="s">
        <v>89</v>
      </c>
    </row>
    <row r="2285" spans="1:90" x14ac:dyDescent="0.3">
      <c r="A2285" t="s">
        <v>72</v>
      </c>
      <c r="B2285" t="s">
        <v>73</v>
      </c>
      <c r="C2285" t="s">
        <v>74</v>
      </c>
      <c r="E2285" t="str">
        <f>"080065463874"</f>
        <v>080065463874</v>
      </c>
      <c r="F2285" s="3">
        <v>45797</v>
      </c>
      <c r="G2285">
        <v>202602</v>
      </c>
      <c r="H2285" t="s">
        <v>75</v>
      </c>
      <c r="I2285" t="s">
        <v>76</v>
      </c>
      <c r="J2285" t="s">
        <v>77</v>
      </c>
      <c r="K2285" t="s">
        <v>78</v>
      </c>
      <c r="L2285" t="s">
        <v>75</v>
      </c>
      <c r="M2285" t="s">
        <v>76</v>
      </c>
      <c r="N2285" t="s">
        <v>183</v>
      </c>
      <c r="O2285" t="s">
        <v>82</v>
      </c>
      <c r="P2285" t="str">
        <f>"4170039384                    "</f>
        <v xml:space="preserve">4170039384                    </v>
      </c>
      <c r="Q2285">
        <v>0</v>
      </c>
      <c r="R2285">
        <v>0</v>
      </c>
      <c r="S2285">
        <v>0</v>
      </c>
      <c r="T2285">
        <v>0</v>
      </c>
      <c r="U2285">
        <v>0</v>
      </c>
      <c r="V2285">
        <v>0</v>
      </c>
      <c r="W2285">
        <v>0</v>
      </c>
      <c r="X2285">
        <v>0</v>
      </c>
      <c r="Y2285">
        <v>0</v>
      </c>
      <c r="Z2285">
        <v>0</v>
      </c>
      <c r="AA2285">
        <v>0</v>
      </c>
      <c r="AB2285">
        <v>0</v>
      </c>
      <c r="AC2285">
        <v>0</v>
      </c>
      <c r="AD2285">
        <v>0</v>
      </c>
      <c r="AE2285">
        <v>0</v>
      </c>
      <c r="AF2285">
        <v>0</v>
      </c>
      <c r="AG2285">
        <v>0</v>
      </c>
      <c r="AH2285">
        <v>0</v>
      </c>
      <c r="AI2285">
        <v>0</v>
      </c>
      <c r="AJ2285">
        <v>0</v>
      </c>
      <c r="AK2285">
        <v>0</v>
      </c>
      <c r="AL2285">
        <v>0</v>
      </c>
      <c r="AM2285">
        <v>0</v>
      </c>
      <c r="AN2285">
        <v>0</v>
      </c>
      <c r="AO2285">
        <v>0</v>
      </c>
      <c r="AP2285">
        <v>0</v>
      </c>
      <c r="AQ2285">
        <v>16.7</v>
      </c>
      <c r="AR2285">
        <v>0</v>
      </c>
      <c r="AS2285">
        <v>0</v>
      </c>
      <c r="AT2285">
        <v>0</v>
      </c>
      <c r="AU2285">
        <v>0</v>
      </c>
      <c r="AV2285">
        <v>0</v>
      </c>
      <c r="AW2285">
        <v>0</v>
      </c>
      <c r="AX2285">
        <v>0</v>
      </c>
      <c r="AY2285">
        <v>0</v>
      </c>
      <c r="AZ2285">
        <v>0</v>
      </c>
      <c r="BA2285">
        <v>0</v>
      </c>
      <c r="BB2285">
        <v>0</v>
      </c>
      <c r="BC2285">
        <v>0</v>
      </c>
      <c r="BD2285">
        <v>0</v>
      </c>
      <c r="BE2285">
        <v>0</v>
      </c>
      <c r="BF2285">
        <v>0</v>
      </c>
      <c r="BG2285">
        <v>0</v>
      </c>
      <c r="BH2285">
        <v>1</v>
      </c>
      <c r="BI2285">
        <v>1</v>
      </c>
      <c r="BJ2285">
        <v>0.2</v>
      </c>
      <c r="BK2285">
        <v>1</v>
      </c>
      <c r="BL2285">
        <v>54.66</v>
      </c>
      <c r="BM2285">
        <v>8.1999999999999993</v>
      </c>
      <c r="BN2285">
        <v>62.86</v>
      </c>
      <c r="BO2285">
        <v>62.86</v>
      </c>
      <c r="BQ2285" t="s">
        <v>184</v>
      </c>
      <c r="BR2285" t="s">
        <v>84</v>
      </c>
      <c r="BS2285" s="3">
        <v>45798</v>
      </c>
      <c r="BT2285" s="4">
        <v>0.29166666666666669</v>
      </c>
      <c r="BU2285" t="s">
        <v>185</v>
      </c>
      <c r="BV2285" t="s">
        <v>86</v>
      </c>
      <c r="BY2285">
        <v>1200</v>
      </c>
      <c r="CA2285" t="s">
        <v>115</v>
      </c>
      <c r="CC2285" t="s">
        <v>76</v>
      </c>
      <c r="CD2285">
        <v>1600</v>
      </c>
      <c r="CE2285" t="s">
        <v>88</v>
      </c>
      <c r="CF2285" s="3">
        <v>45798</v>
      </c>
      <c r="CI2285">
        <v>1</v>
      </c>
      <c r="CJ2285">
        <v>1</v>
      </c>
      <c r="CK2285">
        <v>22</v>
      </c>
      <c r="CL2285" t="s">
        <v>89</v>
      </c>
    </row>
    <row r="2286" spans="1:90" x14ac:dyDescent="0.3">
      <c r="A2286" t="s">
        <v>72</v>
      </c>
      <c r="B2286" t="s">
        <v>73</v>
      </c>
      <c r="C2286" t="s">
        <v>74</v>
      </c>
      <c r="E2286" t="str">
        <f>"080065463948"</f>
        <v>080065463948</v>
      </c>
      <c r="F2286" s="3">
        <v>45797</v>
      </c>
      <c r="G2286">
        <v>202602</v>
      </c>
      <c r="H2286" t="s">
        <v>75</v>
      </c>
      <c r="I2286" t="s">
        <v>76</v>
      </c>
      <c r="J2286" t="s">
        <v>77</v>
      </c>
      <c r="K2286" t="s">
        <v>78</v>
      </c>
      <c r="L2286" t="s">
        <v>177</v>
      </c>
      <c r="M2286" t="s">
        <v>178</v>
      </c>
      <c r="N2286" t="s">
        <v>212</v>
      </c>
      <c r="O2286" t="s">
        <v>82</v>
      </c>
      <c r="P2286" t="str">
        <f>"4170039480                    "</f>
        <v xml:space="preserve">4170039480                    </v>
      </c>
      <c r="Q2286">
        <v>0</v>
      </c>
      <c r="R2286">
        <v>0</v>
      </c>
      <c r="S2286">
        <v>0</v>
      </c>
      <c r="T2286">
        <v>0</v>
      </c>
      <c r="U2286">
        <v>0</v>
      </c>
      <c r="V2286">
        <v>0</v>
      </c>
      <c r="W2286">
        <v>0</v>
      </c>
      <c r="X2286">
        <v>0</v>
      </c>
      <c r="Y2286">
        <v>0</v>
      </c>
      <c r="Z2286">
        <v>0</v>
      </c>
      <c r="AA2286">
        <v>0</v>
      </c>
      <c r="AB2286">
        <v>0</v>
      </c>
      <c r="AC2286">
        <v>0</v>
      </c>
      <c r="AD2286">
        <v>0</v>
      </c>
      <c r="AE2286">
        <v>0</v>
      </c>
      <c r="AF2286">
        <v>0</v>
      </c>
      <c r="AG2286">
        <v>0</v>
      </c>
      <c r="AH2286">
        <v>0</v>
      </c>
      <c r="AI2286">
        <v>0</v>
      </c>
      <c r="AJ2286">
        <v>0</v>
      </c>
      <c r="AK2286">
        <v>0</v>
      </c>
      <c r="AL2286">
        <v>0</v>
      </c>
      <c r="AM2286">
        <v>0</v>
      </c>
      <c r="AN2286">
        <v>0</v>
      </c>
      <c r="AO2286">
        <v>0</v>
      </c>
      <c r="AP2286">
        <v>0</v>
      </c>
      <c r="AQ2286">
        <v>53.43</v>
      </c>
      <c r="AR2286">
        <v>0</v>
      </c>
      <c r="AS2286">
        <v>0</v>
      </c>
      <c r="AT2286">
        <v>0</v>
      </c>
      <c r="AU2286">
        <v>0</v>
      </c>
      <c r="AV2286">
        <v>0</v>
      </c>
      <c r="AW2286">
        <v>0</v>
      </c>
      <c r="AX2286">
        <v>0</v>
      </c>
      <c r="AY2286">
        <v>0</v>
      </c>
      <c r="AZ2286">
        <v>0</v>
      </c>
      <c r="BA2286">
        <v>0</v>
      </c>
      <c r="BB2286">
        <v>0</v>
      </c>
      <c r="BC2286">
        <v>0</v>
      </c>
      <c r="BD2286">
        <v>0</v>
      </c>
      <c r="BE2286">
        <v>0</v>
      </c>
      <c r="BF2286">
        <v>0</v>
      </c>
      <c r="BG2286">
        <v>0</v>
      </c>
      <c r="BH2286">
        <v>1</v>
      </c>
      <c r="BI2286">
        <v>5</v>
      </c>
      <c r="BJ2286">
        <v>3.4</v>
      </c>
      <c r="BK2286">
        <v>5</v>
      </c>
      <c r="BL2286">
        <v>174.87</v>
      </c>
      <c r="BM2286">
        <v>26.23</v>
      </c>
      <c r="BN2286">
        <v>201.1</v>
      </c>
      <c r="BO2286">
        <v>201.1</v>
      </c>
      <c r="BQ2286" t="s">
        <v>213</v>
      </c>
      <c r="BR2286" t="s">
        <v>84</v>
      </c>
      <c r="BS2286" s="3">
        <v>45798</v>
      </c>
      <c r="BT2286" s="4">
        <v>0.35972222222222222</v>
      </c>
      <c r="BU2286" t="s">
        <v>1568</v>
      </c>
      <c r="BV2286" t="s">
        <v>86</v>
      </c>
      <c r="BY2286">
        <v>16965</v>
      </c>
      <c r="CA2286" t="s">
        <v>182</v>
      </c>
      <c r="CC2286" t="s">
        <v>178</v>
      </c>
      <c r="CD2286">
        <v>6229</v>
      </c>
      <c r="CE2286" t="s">
        <v>96</v>
      </c>
      <c r="CF2286" s="3">
        <v>45798</v>
      </c>
      <c r="CI2286">
        <v>1</v>
      </c>
      <c r="CJ2286">
        <v>1</v>
      </c>
      <c r="CK2286">
        <v>21</v>
      </c>
      <c r="CL2286" t="s">
        <v>89</v>
      </c>
    </row>
    <row r="2287" spans="1:90" x14ac:dyDescent="0.3">
      <c r="A2287" t="s">
        <v>72</v>
      </c>
      <c r="B2287" t="s">
        <v>73</v>
      </c>
      <c r="C2287" t="s">
        <v>74</v>
      </c>
      <c r="E2287" t="str">
        <f>"080065463952"</f>
        <v>080065463952</v>
      </c>
      <c r="F2287" s="3">
        <v>45797</v>
      </c>
      <c r="G2287">
        <v>202602</v>
      </c>
      <c r="H2287" t="s">
        <v>75</v>
      </c>
      <c r="I2287" t="s">
        <v>76</v>
      </c>
      <c r="J2287" t="s">
        <v>77</v>
      </c>
      <c r="K2287" t="s">
        <v>78</v>
      </c>
      <c r="L2287" t="s">
        <v>75</v>
      </c>
      <c r="M2287" t="s">
        <v>76</v>
      </c>
      <c r="N2287" t="s">
        <v>803</v>
      </c>
      <c r="O2287" t="s">
        <v>82</v>
      </c>
      <c r="P2287" t="str">
        <f>"4170039515                    "</f>
        <v xml:space="preserve">4170039515                    </v>
      </c>
      <c r="Q2287">
        <v>0</v>
      </c>
      <c r="R2287">
        <v>0</v>
      </c>
      <c r="S2287">
        <v>0</v>
      </c>
      <c r="T2287">
        <v>0</v>
      </c>
      <c r="U2287">
        <v>0</v>
      </c>
      <c r="V2287">
        <v>0</v>
      </c>
      <c r="W2287">
        <v>0</v>
      </c>
      <c r="X2287">
        <v>0</v>
      </c>
      <c r="Y2287">
        <v>0</v>
      </c>
      <c r="Z2287">
        <v>0</v>
      </c>
      <c r="AA2287">
        <v>0</v>
      </c>
      <c r="AB2287">
        <v>0</v>
      </c>
      <c r="AC2287">
        <v>0</v>
      </c>
      <c r="AD2287">
        <v>0</v>
      </c>
      <c r="AE2287">
        <v>0</v>
      </c>
      <c r="AF2287">
        <v>0</v>
      </c>
      <c r="AG2287">
        <v>0</v>
      </c>
      <c r="AH2287">
        <v>0</v>
      </c>
      <c r="AI2287">
        <v>0</v>
      </c>
      <c r="AJ2287">
        <v>0</v>
      </c>
      <c r="AK2287">
        <v>0</v>
      </c>
      <c r="AL2287">
        <v>0</v>
      </c>
      <c r="AM2287">
        <v>0</v>
      </c>
      <c r="AN2287">
        <v>0</v>
      </c>
      <c r="AO2287">
        <v>0</v>
      </c>
      <c r="AP2287">
        <v>0</v>
      </c>
      <c r="AQ2287">
        <v>16.7</v>
      </c>
      <c r="AR2287">
        <v>0</v>
      </c>
      <c r="AS2287">
        <v>0</v>
      </c>
      <c r="AT2287">
        <v>0</v>
      </c>
      <c r="AU2287">
        <v>0</v>
      </c>
      <c r="AV2287">
        <v>0</v>
      </c>
      <c r="AW2287">
        <v>0</v>
      </c>
      <c r="AX2287">
        <v>0</v>
      </c>
      <c r="AY2287">
        <v>0</v>
      </c>
      <c r="AZ2287">
        <v>0</v>
      </c>
      <c r="BA2287">
        <v>0</v>
      </c>
      <c r="BB2287">
        <v>0</v>
      </c>
      <c r="BC2287">
        <v>0</v>
      </c>
      <c r="BD2287">
        <v>0</v>
      </c>
      <c r="BE2287">
        <v>0</v>
      </c>
      <c r="BF2287">
        <v>0</v>
      </c>
      <c r="BG2287">
        <v>0</v>
      </c>
      <c r="BH2287">
        <v>1</v>
      </c>
      <c r="BI2287">
        <v>1</v>
      </c>
      <c r="BJ2287">
        <v>0.2</v>
      </c>
      <c r="BK2287">
        <v>1</v>
      </c>
      <c r="BL2287">
        <v>54.66</v>
      </c>
      <c r="BM2287">
        <v>8.1999999999999993</v>
      </c>
      <c r="BN2287">
        <v>62.86</v>
      </c>
      <c r="BO2287">
        <v>62.86</v>
      </c>
      <c r="BQ2287" t="s">
        <v>804</v>
      </c>
      <c r="BR2287" t="s">
        <v>84</v>
      </c>
      <c r="BS2287" s="3">
        <v>45798</v>
      </c>
      <c r="BT2287" s="4">
        <v>0.39513888888888887</v>
      </c>
      <c r="BU2287" t="s">
        <v>2168</v>
      </c>
      <c r="BV2287" t="s">
        <v>86</v>
      </c>
      <c r="BY2287">
        <v>1200</v>
      </c>
      <c r="CA2287" t="s">
        <v>484</v>
      </c>
      <c r="CC2287" t="s">
        <v>76</v>
      </c>
      <c r="CD2287">
        <v>1619</v>
      </c>
      <c r="CE2287" t="s">
        <v>88</v>
      </c>
      <c r="CF2287" s="3">
        <v>45798</v>
      </c>
      <c r="CI2287">
        <v>1</v>
      </c>
      <c r="CJ2287">
        <v>1</v>
      </c>
      <c r="CK2287">
        <v>22</v>
      </c>
      <c r="CL2287" t="s">
        <v>89</v>
      </c>
    </row>
    <row r="2288" spans="1:90" x14ac:dyDescent="0.3">
      <c r="A2288" t="s">
        <v>72</v>
      </c>
      <c r="B2288" t="s">
        <v>73</v>
      </c>
      <c r="C2288" t="s">
        <v>74</v>
      </c>
      <c r="E2288" t="str">
        <f>"080065463985"</f>
        <v>080065463985</v>
      </c>
      <c r="F2288" s="3">
        <v>45797</v>
      </c>
      <c r="G2288">
        <v>202602</v>
      </c>
      <c r="H2288" t="s">
        <v>75</v>
      </c>
      <c r="I2288" t="s">
        <v>76</v>
      </c>
      <c r="J2288" t="s">
        <v>77</v>
      </c>
      <c r="K2288" t="s">
        <v>78</v>
      </c>
      <c r="L2288" t="s">
        <v>232</v>
      </c>
      <c r="M2288" t="s">
        <v>233</v>
      </c>
      <c r="N2288" t="s">
        <v>1147</v>
      </c>
      <c r="O2288" t="s">
        <v>82</v>
      </c>
      <c r="P2288" t="str">
        <f>"4170039508                    "</f>
        <v xml:space="preserve">4170039508                    </v>
      </c>
      <c r="Q2288">
        <v>0</v>
      </c>
      <c r="R2288">
        <v>0</v>
      </c>
      <c r="S2288">
        <v>0</v>
      </c>
      <c r="T2288">
        <v>0</v>
      </c>
      <c r="U2288">
        <v>0</v>
      </c>
      <c r="V2288">
        <v>0</v>
      </c>
      <c r="W2288">
        <v>0</v>
      </c>
      <c r="X2288">
        <v>0</v>
      </c>
      <c r="Y2288">
        <v>0</v>
      </c>
      <c r="Z2288">
        <v>0</v>
      </c>
      <c r="AA2288">
        <v>0</v>
      </c>
      <c r="AB2288">
        <v>0</v>
      </c>
      <c r="AC2288">
        <v>0</v>
      </c>
      <c r="AD2288">
        <v>0</v>
      </c>
      <c r="AE2288">
        <v>0</v>
      </c>
      <c r="AF2288">
        <v>0</v>
      </c>
      <c r="AG2288">
        <v>0</v>
      </c>
      <c r="AH2288">
        <v>0</v>
      </c>
      <c r="AI2288">
        <v>0</v>
      </c>
      <c r="AJ2288">
        <v>0</v>
      </c>
      <c r="AK2288">
        <v>0</v>
      </c>
      <c r="AL2288">
        <v>0</v>
      </c>
      <c r="AM2288">
        <v>0</v>
      </c>
      <c r="AN2288">
        <v>0</v>
      </c>
      <c r="AO2288">
        <v>0</v>
      </c>
      <c r="AP2288">
        <v>0</v>
      </c>
      <c r="AQ2288">
        <v>21.38</v>
      </c>
      <c r="AR2288">
        <v>0</v>
      </c>
      <c r="AS2288">
        <v>0</v>
      </c>
      <c r="AT2288">
        <v>0</v>
      </c>
      <c r="AU2288">
        <v>0</v>
      </c>
      <c r="AV2288">
        <v>0</v>
      </c>
      <c r="AW2288">
        <v>0</v>
      </c>
      <c r="AX2288">
        <v>0</v>
      </c>
      <c r="AY2288">
        <v>0</v>
      </c>
      <c r="AZ2288">
        <v>0</v>
      </c>
      <c r="BA2288">
        <v>0</v>
      </c>
      <c r="BB2288">
        <v>0</v>
      </c>
      <c r="BC2288">
        <v>0</v>
      </c>
      <c r="BD2288">
        <v>0</v>
      </c>
      <c r="BE2288">
        <v>0</v>
      </c>
      <c r="BF2288">
        <v>0</v>
      </c>
      <c r="BG2288">
        <v>0</v>
      </c>
      <c r="BH2288">
        <v>1</v>
      </c>
      <c r="BI2288">
        <v>1</v>
      </c>
      <c r="BJ2288">
        <v>0.2</v>
      </c>
      <c r="BK2288">
        <v>1</v>
      </c>
      <c r="BL2288">
        <v>69.98</v>
      </c>
      <c r="BM2288">
        <v>10.5</v>
      </c>
      <c r="BN2288">
        <v>80.48</v>
      </c>
      <c r="BO2288">
        <v>80.48</v>
      </c>
      <c r="BQ2288" t="s">
        <v>1148</v>
      </c>
      <c r="BR2288" t="s">
        <v>84</v>
      </c>
      <c r="BS2288" s="3">
        <v>45798</v>
      </c>
      <c r="BT2288" s="4">
        <v>0.34652777777777777</v>
      </c>
      <c r="BU2288" t="s">
        <v>2634</v>
      </c>
      <c r="BV2288" t="s">
        <v>86</v>
      </c>
      <c r="BY2288">
        <v>1200</v>
      </c>
      <c r="CA2288" t="s">
        <v>1150</v>
      </c>
      <c r="CC2288" t="s">
        <v>233</v>
      </c>
      <c r="CD2288" s="5" t="s">
        <v>238</v>
      </c>
      <c r="CE2288" t="s">
        <v>88</v>
      </c>
      <c r="CF2288" s="3">
        <v>45798</v>
      </c>
      <c r="CI2288">
        <v>1</v>
      </c>
      <c r="CJ2288">
        <v>1</v>
      </c>
      <c r="CK2288">
        <v>21</v>
      </c>
      <c r="CL2288" t="s">
        <v>89</v>
      </c>
    </row>
    <row r="2289" spans="1:90" x14ac:dyDescent="0.3">
      <c r="A2289" t="s">
        <v>72</v>
      </c>
      <c r="B2289" t="s">
        <v>73</v>
      </c>
      <c r="C2289" t="s">
        <v>74</v>
      </c>
      <c r="E2289" t="str">
        <f>"080065463997"</f>
        <v>080065463997</v>
      </c>
      <c r="F2289" s="3">
        <v>45797</v>
      </c>
      <c r="G2289">
        <v>202602</v>
      </c>
      <c r="H2289" t="s">
        <v>75</v>
      </c>
      <c r="I2289" t="s">
        <v>76</v>
      </c>
      <c r="J2289" t="s">
        <v>77</v>
      </c>
      <c r="K2289" t="s">
        <v>78</v>
      </c>
      <c r="L2289" t="s">
        <v>136</v>
      </c>
      <c r="M2289" t="s">
        <v>137</v>
      </c>
      <c r="N2289" t="s">
        <v>1090</v>
      </c>
      <c r="O2289" t="s">
        <v>300</v>
      </c>
      <c r="P2289" t="str">
        <f>"4170039319                    "</f>
        <v xml:space="preserve">4170039319                    </v>
      </c>
      <c r="Q2289">
        <v>0</v>
      </c>
      <c r="R2289">
        <v>0</v>
      </c>
      <c r="S2289">
        <v>0</v>
      </c>
      <c r="T2289">
        <v>0</v>
      </c>
      <c r="U2289">
        <v>0</v>
      </c>
      <c r="V2289">
        <v>0</v>
      </c>
      <c r="W2289">
        <v>0</v>
      </c>
      <c r="X2289">
        <v>0</v>
      </c>
      <c r="Y2289">
        <v>0</v>
      </c>
      <c r="Z2289">
        <v>0</v>
      </c>
      <c r="AA2289">
        <v>0</v>
      </c>
      <c r="AB2289">
        <v>0</v>
      </c>
      <c r="AC2289">
        <v>0</v>
      </c>
      <c r="AD2289">
        <v>0</v>
      </c>
      <c r="AE2289">
        <v>0</v>
      </c>
      <c r="AF2289">
        <v>0</v>
      </c>
      <c r="AG2289">
        <v>0</v>
      </c>
      <c r="AH2289">
        <v>0</v>
      </c>
      <c r="AI2289">
        <v>0</v>
      </c>
      <c r="AJ2289">
        <v>0</v>
      </c>
      <c r="AK2289">
        <v>0</v>
      </c>
      <c r="AL2289">
        <v>0</v>
      </c>
      <c r="AM2289">
        <v>0</v>
      </c>
      <c r="AN2289">
        <v>0</v>
      </c>
      <c r="AO2289">
        <v>0</v>
      </c>
      <c r="AP2289">
        <v>0</v>
      </c>
      <c r="AQ2289">
        <v>70.37</v>
      </c>
      <c r="AR2289">
        <v>0</v>
      </c>
      <c r="AS2289">
        <v>0</v>
      </c>
      <c r="AT2289">
        <v>0</v>
      </c>
      <c r="AU2289">
        <v>0</v>
      </c>
      <c r="AV2289">
        <v>0</v>
      </c>
      <c r="AW2289">
        <v>0</v>
      </c>
      <c r="AX2289">
        <v>0</v>
      </c>
      <c r="AY2289">
        <v>0</v>
      </c>
      <c r="AZ2289">
        <v>0</v>
      </c>
      <c r="BA2289">
        <v>0</v>
      </c>
      <c r="BB2289">
        <v>0</v>
      </c>
      <c r="BC2289">
        <v>0</v>
      </c>
      <c r="BD2289">
        <v>0</v>
      </c>
      <c r="BE2289">
        <v>0</v>
      </c>
      <c r="BF2289">
        <v>0</v>
      </c>
      <c r="BG2289">
        <v>0</v>
      </c>
      <c r="BH2289">
        <v>2</v>
      </c>
      <c r="BI2289">
        <v>32</v>
      </c>
      <c r="BJ2289">
        <v>12.3</v>
      </c>
      <c r="BK2289">
        <v>32</v>
      </c>
      <c r="BL2289">
        <v>235.88</v>
      </c>
      <c r="BM2289">
        <v>35.380000000000003</v>
      </c>
      <c r="BN2289">
        <v>271.26</v>
      </c>
      <c r="BO2289">
        <v>271.26</v>
      </c>
      <c r="BQ2289" t="s">
        <v>1091</v>
      </c>
      <c r="BR2289" t="s">
        <v>84</v>
      </c>
      <c r="BS2289" s="3">
        <v>45798</v>
      </c>
      <c r="BT2289" s="4">
        <v>0.37708333333333333</v>
      </c>
      <c r="BU2289" t="s">
        <v>1719</v>
      </c>
      <c r="BV2289" t="s">
        <v>86</v>
      </c>
      <c r="BY2289">
        <v>61605</v>
      </c>
      <c r="CA2289" t="s">
        <v>1093</v>
      </c>
      <c r="CC2289" t="s">
        <v>137</v>
      </c>
      <c r="CD2289" s="5" t="s">
        <v>738</v>
      </c>
      <c r="CE2289" t="s">
        <v>96</v>
      </c>
      <c r="CF2289" s="3">
        <v>45798</v>
      </c>
      <c r="CI2289">
        <v>1</v>
      </c>
      <c r="CJ2289">
        <v>1</v>
      </c>
      <c r="CK2289">
        <v>41</v>
      </c>
      <c r="CL2289" t="s">
        <v>89</v>
      </c>
    </row>
    <row r="2290" spans="1:90" x14ac:dyDescent="0.3">
      <c r="A2290" t="s">
        <v>72</v>
      </c>
      <c r="B2290" t="s">
        <v>73</v>
      </c>
      <c r="C2290" t="s">
        <v>74</v>
      </c>
      <c r="E2290" t="str">
        <f>"080065464000"</f>
        <v>080065464000</v>
      </c>
      <c r="F2290" s="3">
        <v>45797</v>
      </c>
      <c r="G2290">
        <v>202602</v>
      </c>
      <c r="H2290" t="s">
        <v>75</v>
      </c>
      <c r="I2290" t="s">
        <v>76</v>
      </c>
      <c r="J2290" t="s">
        <v>77</v>
      </c>
      <c r="K2290" t="s">
        <v>78</v>
      </c>
      <c r="L2290" t="s">
        <v>463</v>
      </c>
      <c r="M2290" t="s">
        <v>464</v>
      </c>
      <c r="N2290" t="s">
        <v>744</v>
      </c>
      <c r="O2290" t="s">
        <v>82</v>
      </c>
      <c r="P2290" t="str">
        <f>"4170039431                    "</f>
        <v xml:space="preserve">4170039431                    </v>
      </c>
      <c r="Q2290">
        <v>0</v>
      </c>
      <c r="R2290">
        <v>0</v>
      </c>
      <c r="S2290">
        <v>0</v>
      </c>
      <c r="T2290">
        <v>0</v>
      </c>
      <c r="U2290">
        <v>0</v>
      </c>
      <c r="V2290">
        <v>0</v>
      </c>
      <c r="W2290">
        <v>0</v>
      </c>
      <c r="X2290">
        <v>0</v>
      </c>
      <c r="Y2290">
        <v>0</v>
      </c>
      <c r="Z2290">
        <v>0</v>
      </c>
      <c r="AA2290">
        <v>0</v>
      </c>
      <c r="AB2290">
        <v>0</v>
      </c>
      <c r="AC2290">
        <v>0</v>
      </c>
      <c r="AD2290">
        <v>0</v>
      </c>
      <c r="AE2290">
        <v>0</v>
      </c>
      <c r="AF2290">
        <v>0</v>
      </c>
      <c r="AG2290">
        <v>0</v>
      </c>
      <c r="AH2290">
        <v>0</v>
      </c>
      <c r="AI2290">
        <v>0</v>
      </c>
      <c r="AJ2290">
        <v>0</v>
      </c>
      <c r="AK2290">
        <v>0</v>
      </c>
      <c r="AL2290">
        <v>0</v>
      </c>
      <c r="AM2290">
        <v>0</v>
      </c>
      <c r="AN2290">
        <v>0</v>
      </c>
      <c r="AO2290">
        <v>0</v>
      </c>
      <c r="AP2290">
        <v>0</v>
      </c>
      <c r="AQ2290">
        <v>21.38</v>
      </c>
      <c r="AR2290">
        <v>0</v>
      </c>
      <c r="AS2290">
        <v>0</v>
      </c>
      <c r="AT2290">
        <v>0</v>
      </c>
      <c r="AU2290">
        <v>0</v>
      </c>
      <c r="AV2290">
        <v>0</v>
      </c>
      <c r="AW2290">
        <v>0</v>
      </c>
      <c r="AX2290">
        <v>0</v>
      </c>
      <c r="AY2290">
        <v>0</v>
      </c>
      <c r="AZ2290">
        <v>0</v>
      </c>
      <c r="BA2290">
        <v>0</v>
      </c>
      <c r="BB2290">
        <v>0</v>
      </c>
      <c r="BC2290">
        <v>0</v>
      </c>
      <c r="BD2290">
        <v>0</v>
      </c>
      <c r="BE2290">
        <v>0</v>
      </c>
      <c r="BF2290">
        <v>0</v>
      </c>
      <c r="BG2290">
        <v>0</v>
      </c>
      <c r="BH2290">
        <v>1</v>
      </c>
      <c r="BI2290">
        <v>1</v>
      </c>
      <c r="BJ2290">
        <v>0.2</v>
      </c>
      <c r="BK2290">
        <v>1</v>
      </c>
      <c r="BL2290">
        <v>69.98</v>
      </c>
      <c r="BM2290">
        <v>10.5</v>
      </c>
      <c r="BN2290">
        <v>80.48</v>
      </c>
      <c r="BO2290">
        <v>80.48</v>
      </c>
      <c r="BQ2290" t="s">
        <v>745</v>
      </c>
      <c r="BR2290" t="s">
        <v>84</v>
      </c>
      <c r="BS2290" s="3">
        <v>45798</v>
      </c>
      <c r="BT2290" s="4">
        <v>0.48472222222222222</v>
      </c>
      <c r="BU2290" t="s">
        <v>746</v>
      </c>
      <c r="BV2290" t="s">
        <v>89</v>
      </c>
      <c r="BY2290">
        <v>1200</v>
      </c>
      <c r="CA2290" t="s">
        <v>588</v>
      </c>
      <c r="CC2290" t="s">
        <v>464</v>
      </c>
      <c r="CD2290">
        <v>5201</v>
      </c>
      <c r="CE2290" t="s">
        <v>88</v>
      </c>
      <c r="CF2290" s="3">
        <v>45798</v>
      </c>
      <c r="CI2290">
        <v>1</v>
      </c>
      <c r="CJ2290">
        <v>1</v>
      </c>
      <c r="CK2290">
        <v>21</v>
      </c>
      <c r="CL2290" t="s">
        <v>89</v>
      </c>
    </row>
    <row r="2291" spans="1:90" x14ac:dyDescent="0.3">
      <c r="A2291" t="s">
        <v>72</v>
      </c>
      <c r="B2291" t="s">
        <v>73</v>
      </c>
      <c r="C2291" t="s">
        <v>74</v>
      </c>
      <c r="E2291" t="str">
        <f>"080065464020"</f>
        <v>080065464020</v>
      </c>
      <c r="F2291" s="3">
        <v>45797</v>
      </c>
      <c r="G2291">
        <v>202602</v>
      </c>
      <c r="H2291" t="s">
        <v>75</v>
      </c>
      <c r="I2291" t="s">
        <v>76</v>
      </c>
      <c r="J2291" t="s">
        <v>77</v>
      </c>
      <c r="K2291" t="s">
        <v>78</v>
      </c>
      <c r="L2291" t="s">
        <v>103</v>
      </c>
      <c r="M2291" t="s">
        <v>104</v>
      </c>
      <c r="N2291" t="s">
        <v>105</v>
      </c>
      <c r="O2291" t="s">
        <v>82</v>
      </c>
      <c r="P2291" t="str">
        <f>"4170039321                    "</f>
        <v xml:space="preserve">4170039321                    </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c r="AI2291">
        <v>0</v>
      </c>
      <c r="AJ2291">
        <v>0</v>
      </c>
      <c r="AK2291">
        <v>0</v>
      </c>
      <c r="AL2291">
        <v>0</v>
      </c>
      <c r="AM2291">
        <v>0</v>
      </c>
      <c r="AN2291">
        <v>0</v>
      </c>
      <c r="AO2291">
        <v>0</v>
      </c>
      <c r="AP2291">
        <v>0</v>
      </c>
      <c r="AQ2291">
        <v>21.38</v>
      </c>
      <c r="AR2291">
        <v>0</v>
      </c>
      <c r="AS2291">
        <v>0</v>
      </c>
      <c r="AT2291">
        <v>0</v>
      </c>
      <c r="AU2291">
        <v>0</v>
      </c>
      <c r="AV2291">
        <v>0</v>
      </c>
      <c r="AW2291">
        <v>0</v>
      </c>
      <c r="AX2291">
        <v>0</v>
      </c>
      <c r="AY2291">
        <v>0</v>
      </c>
      <c r="AZ2291">
        <v>0</v>
      </c>
      <c r="BA2291">
        <v>0</v>
      </c>
      <c r="BB2291">
        <v>0</v>
      </c>
      <c r="BC2291">
        <v>0</v>
      </c>
      <c r="BD2291">
        <v>0</v>
      </c>
      <c r="BE2291">
        <v>0</v>
      </c>
      <c r="BF2291">
        <v>0</v>
      </c>
      <c r="BG2291">
        <v>0</v>
      </c>
      <c r="BH2291">
        <v>1</v>
      </c>
      <c r="BI2291">
        <v>1</v>
      </c>
      <c r="BJ2291">
        <v>0.2</v>
      </c>
      <c r="BK2291">
        <v>1</v>
      </c>
      <c r="BL2291">
        <v>69.98</v>
      </c>
      <c r="BM2291">
        <v>10.5</v>
      </c>
      <c r="BN2291">
        <v>80.48</v>
      </c>
      <c r="BO2291">
        <v>80.48</v>
      </c>
      <c r="BQ2291" t="s">
        <v>106</v>
      </c>
      <c r="BR2291" t="s">
        <v>84</v>
      </c>
      <c r="BS2291" s="3">
        <v>45798</v>
      </c>
      <c r="BT2291" s="4">
        <v>0.41666666666666669</v>
      </c>
      <c r="BU2291" t="s">
        <v>107</v>
      </c>
      <c r="BV2291" t="s">
        <v>86</v>
      </c>
      <c r="BY2291">
        <v>1200</v>
      </c>
      <c r="CA2291" t="s">
        <v>108</v>
      </c>
      <c r="CC2291" t="s">
        <v>104</v>
      </c>
      <c r="CD2291">
        <v>3201</v>
      </c>
      <c r="CE2291" t="s">
        <v>88</v>
      </c>
      <c r="CF2291" s="3">
        <v>45799</v>
      </c>
      <c r="CI2291">
        <v>1</v>
      </c>
      <c r="CJ2291">
        <v>1</v>
      </c>
      <c r="CK2291">
        <v>21</v>
      </c>
      <c r="CL2291" t="s">
        <v>89</v>
      </c>
    </row>
    <row r="2292" spans="1:90" x14ac:dyDescent="0.3">
      <c r="A2292" t="s">
        <v>72</v>
      </c>
      <c r="B2292" t="s">
        <v>73</v>
      </c>
      <c r="C2292" t="s">
        <v>74</v>
      </c>
      <c r="E2292" t="str">
        <f>"080065464065"</f>
        <v>080065464065</v>
      </c>
      <c r="F2292" s="3">
        <v>45797</v>
      </c>
      <c r="G2292">
        <v>202602</v>
      </c>
      <c r="H2292" t="s">
        <v>75</v>
      </c>
      <c r="I2292" t="s">
        <v>76</v>
      </c>
      <c r="J2292" t="s">
        <v>77</v>
      </c>
      <c r="K2292" t="s">
        <v>78</v>
      </c>
      <c r="L2292" t="s">
        <v>130</v>
      </c>
      <c r="M2292" t="s">
        <v>131</v>
      </c>
      <c r="N2292" t="s">
        <v>709</v>
      </c>
      <c r="O2292" t="s">
        <v>82</v>
      </c>
      <c r="P2292" t="str">
        <f>"4170039386                    "</f>
        <v xml:space="preserve">4170039386                    </v>
      </c>
      <c r="Q2292">
        <v>0</v>
      </c>
      <c r="R2292">
        <v>0</v>
      </c>
      <c r="S2292">
        <v>0</v>
      </c>
      <c r="T2292">
        <v>0</v>
      </c>
      <c r="U2292">
        <v>0</v>
      </c>
      <c r="V2292">
        <v>0</v>
      </c>
      <c r="W2292">
        <v>0</v>
      </c>
      <c r="X2292">
        <v>0</v>
      </c>
      <c r="Y2292">
        <v>0</v>
      </c>
      <c r="Z2292">
        <v>0</v>
      </c>
      <c r="AA2292">
        <v>0</v>
      </c>
      <c r="AB2292">
        <v>0</v>
      </c>
      <c r="AC2292">
        <v>0</v>
      </c>
      <c r="AD2292">
        <v>0</v>
      </c>
      <c r="AE2292">
        <v>0</v>
      </c>
      <c r="AF2292">
        <v>0</v>
      </c>
      <c r="AG2292">
        <v>0</v>
      </c>
      <c r="AH2292">
        <v>0</v>
      </c>
      <c r="AI2292">
        <v>0</v>
      </c>
      <c r="AJ2292">
        <v>0</v>
      </c>
      <c r="AK2292">
        <v>0</v>
      </c>
      <c r="AL2292">
        <v>0</v>
      </c>
      <c r="AM2292">
        <v>0</v>
      </c>
      <c r="AN2292">
        <v>0</v>
      </c>
      <c r="AO2292">
        <v>0</v>
      </c>
      <c r="AP2292">
        <v>0</v>
      </c>
      <c r="AQ2292">
        <v>21.38</v>
      </c>
      <c r="AR2292">
        <v>0</v>
      </c>
      <c r="AS2292">
        <v>0</v>
      </c>
      <c r="AT2292">
        <v>0</v>
      </c>
      <c r="AU2292">
        <v>0</v>
      </c>
      <c r="AV2292">
        <v>0</v>
      </c>
      <c r="AW2292">
        <v>0</v>
      </c>
      <c r="AX2292">
        <v>0</v>
      </c>
      <c r="AY2292">
        <v>0</v>
      </c>
      <c r="AZ2292">
        <v>0</v>
      </c>
      <c r="BA2292">
        <v>0</v>
      </c>
      <c r="BB2292">
        <v>0</v>
      </c>
      <c r="BC2292">
        <v>0</v>
      </c>
      <c r="BD2292">
        <v>0</v>
      </c>
      <c r="BE2292">
        <v>0</v>
      </c>
      <c r="BF2292">
        <v>0</v>
      </c>
      <c r="BG2292">
        <v>0</v>
      </c>
      <c r="BH2292">
        <v>1</v>
      </c>
      <c r="BI2292">
        <v>1</v>
      </c>
      <c r="BJ2292">
        <v>0.2</v>
      </c>
      <c r="BK2292">
        <v>1</v>
      </c>
      <c r="BL2292">
        <v>69.98</v>
      </c>
      <c r="BM2292">
        <v>10.5</v>
      </c>
      <c r="BN2292">
        <v>80.48</v>
      </c>
      <c r="BO2292">
        <v>80.48</v>
      </c>
      <c r="BQ2292" t="s">
        <v>710</v>
      </c>
      <c r="BR2292" t="s">
        <v>84</v>
      </c>
      <c r="BS2292" s="3">
        <v>45798</v>
      </c>
      <c r="BT2292" s="4">
        <v>0.33680555555555558</v>
      </c>
      <c r="BU2292" t="s">
        <v>1272</v>
      </c>
      <c r="BV2292" t="s">
        <v>86</v>
      </c>
      <c r="BY2292">
        <v>1200</v>
      </c>
      <c r="CA2292" t="s">
        <v>712</v>
      </c>
      <c r="CC2292" t="s">
        <v>131</v>
      </c>
      <c r="CD2292">
        <v>7530</v>
      </c>
      <c r="CE2292" t="s">
        <v>88</v>
      </c>
      <c r="CF2292" s="3">
        <v>45799</v>
      </c>
      <c r="CI2292">
        <v>1</v>
      </c>
      <c r="CJ2292">
        <v>1</v>
      </c>
      <c r="CK2292">
        <v>21</v>
      </c>
      <c r="CL2292" t="s">
        <v>89</v>
      </c>
    </row>
    <row r="2293" spans="1:90" x14ac:dyDescent="0.3">
      <c r="A2293" t="s">
        <v>72</v>
      </c>
      <c r="B2293" t="s">
        <v>73</v>
      </c>
      <c r="C2293" t="s">
        <v>74</v>
      </c>
      <c r="E2293" t="str">
        <f>"080065464085"</f>
        <v>080065464085</v>
      </c>
      <c r="F2293" s="3">
        <v>45797</v>
      </c>
      <c r="G2293">
        <v>202602</v>
      </c>
      <c r="H2293" t="s">
        <v>75</v>
      </c>
      <c r="I2293" t="s">
        <v>76</v>
      </c>
      <c r="J2293" t="s">
        <v>77</v>
      </c>
      <c r="K2293" t="s">
        <v>78</v>
      </c>
      <c r="L2293" t="s">
        <v>90</v>
      </c>
      <c r="M2293" t="s">
        <v>91</v>
      </c>
      <c r="N2293" t="s">
        <v>385</v>
      </c>
      <c r="O2293" t="s">
        <v>82</v>
      </c>
      <c r="P2293" t="str">
        <f>"4170039526                    "</f>
        <v xml:space="preserve">4170039526                    </v>
      </c>
      <c r="Q2293">
        <v>0</v>
      </c>
      <c r="R2293">
        <v>0</v>
      </c>
      <c r="S2293">
        <v>0</v>
      </c>
      <c r="T2293">
        <v>0</v>
      </c>
      <c r="U2293">
        <v>0</v>
      </c>
      <c r="V2293">
        <v>0</v>
      </c>
      <c r="W2293">
        <v>0</v>
      </c>
      <c r="X2293">
        <v>0</v>
      </c>
      <c r="Y2293">
        <v>0</v>
      </c>
      <c r="Z2293">
        <v>0</v>
      </c>
      <c r="AA2293">
        <v>0</v>
      </c>
      <c r="AB2293">
        <v>0</v>
      </c>
      <c r="AC2293">
        <v>0</v>
      </c>
      <c r="AD2293">
        <v>0</v>
      </c>
      <c r="AE2293">
        <v>0</v>
      </c>
      <c r="AF2293">
        <v>0</v>
      </c>
      <c r="AG2293">
        <v>0</v>
      </c>
      <c r="AH2293">
        <v>0</v>
      </c>
      <c r="AI2293">
        <v>0</v>
      </c>
      <c r="AJ2293">
        <v>0</v>
      </c>
      <c r="AK2293">
        <v>0</v>
      </c>
      <c r="AL2293">
        <v>0</v>
      </c>
      <c r="AM2293">
        <v>0</v>
      </c>
      <c r="AN2293">
        <v>0</v>
      </c>
      <c r="AO2293">
        <v>0</v>
      </c>
      <c r="AP2293">
        <v>0</v>
      </c>
      <c r="AQ2293">
        <v>21.38</v>
      </c>
      <c r="AR2293">
        <v>0</v>
      </c>
      <c r="AS2293">
        <v>0</v>
      </c>
      <c r="AT2293">
        <v>0</v>
      </c>
      <c r="AU2293">
        <v>0</v>
      </c>
      <c r="AV2293">
        <v>0</v>
      </c>
      <c r="AW2293">
        <v>0</v>
      </c>
      <c r="AX2293">
        <v>0</v>
      </c>
      <c r="AY2293">
        <v>0</v>
      </c>
      <c r="AZ2293">
        <v>0</v>
      </c>
      <c r="BA2293">
        <v>0</v>
      </c>
      <c r="BB2293">
        <v>0</v>
      </c>
      <c r="BC2293">
        <v>0</v>
      </c>
      <c r="BD2293">
        <v>0</v>
      </c>
      <c r="BE2293">
        <v>0</v>
      </c>
      <c r="BF2293">
        <v>0</v>
      </c>
      <c r="BG2293">
        <v>0</v>
      </c>
      <c r="BH2293">
        <v>1</v>
      </c>
      <c r="BI2293">
        <v>1</v>
      </c>
      <c r="BJ2293">
        <v>0.9</v>
      </c>
      <c r="BK2293">
        <v>1</v>
      </c>
      <c r="BL2293">
        <v>69.98</v>
      </c>
      <c r="BM2293">
        <v>10.5</v>
      </c>
      <c r="BN2293">
        <v>80.48</v>
      </c>
      <c r="BO2293">
        <v>80.48</v>
      </c>
      <c r="BQ2293" t="s">
        <v>386</v>
      </c>
      <c r="BR2293" t="s">
        <v>84</v>
      </c>
      <c r="BS2293" s="3">
        <v>45798</v>
      </c>
      <c r="BT2293" s="4">
        <v>0.43541666666666667</v>
      </c>
      <c r="BU2293" t="s">
        <v>747</v>
      </c>
      <c r="BV2293" t="s">
        <v>86</v>
      </c>
      <c r="BY2293">
        <v>4560</v>
      </c>
      <c r="CA2293" t="s">
        <v>95</v>
      </c>
      <c r="CC2293" t="s">
        <v>91</v>
      </c>
      <c r="CD2293">
        <v>6056</v>
      </c>
      <c r="CE2293" t="s">
        <v>116</v>
      </c>
      <c r="CF2293" s="3">
        <v>45798</v>
      </c>
      <c r="CI2293">
        <v>1</v>
      </c>
      <c r="CJ2293">
        <v>1</v>
      </c>
      <c r="CK2293">
        <v>21</v>
      </c>
      <c r="CL2293" t="s">
        <v>89</v>
      </c>
    </row>
    <row r="2294" spans="1:90" x14ac:dyDescent="0.3">
      <c r="A2294" t="s">
        <v>72</v>
      </c>
      <c r="B2294" t="s">
        <v>73</v>
      </c>
      <c r="C2294" t="s">
        <v>74</v>
      </c>
      <c r="E2294" t="str">
        <f>"080065464117"</f>
        <v>080065464117</v>
      </c>
      <c r="F2294" s="3">
        <v>45797</v>
      </c>
      <c r="G2294">
        <v>202602</v>
      </c>
      <c r="H2294" t="s">
        <v>75</v>
      </c>
      <c r="I2294" t="s">
        <v>76</v>
      </c>
      <c r="J2294" t="s">
        <v>77</v>
      </c>
      <c r="K2294" t="s">
        <v>78</v>
      </c>
      <c r="L2294" t="s">
        <v>143</v>
      </c>
      <c r="M2294" t="s">
        <v>144</v>
      </c>
      <c r="N2294" t="s">
        <v>2158</v>
      </c>
      <c r="O2294" t="s">
        <v>82</v>
      </c>
      <c r="P2294" t="str">
        <f>"4170039312                    "</f>
        <v xml:space="preserve">4170039312                    </v>
      </c>
      <c r="Q2294">
        <v>0</v>
      </c>
      <c r="R2294">
        <v>0</v>
      </c>
      <c r="S2294">
        <v>0</v>
      </c>
      <c r="T2294">
        <v>0</v>
      </c>
      <c r="U2294">
        <v>0</v>
      </c>
      <c r="V2294">
        <v>0</v>
      </c>
      <c r="W2294">
        <v>0</v>
      </c>
      <c r="X2294">
        <v>0</v>
      </c>
      <c r="Y2294">
        <v>0</v>
      </c>
      <c r="Z2294">
        <v>0</v>
      </c>
      <c r="AA2294">
        <v>0</v>
      </c>
      <c r="AB2294">
        <v>0</v>
      </c>
      <c r="AC2294">
        <v>0</v>
      </c>
      <c r="AD2294">
        <v>0</v>
      </c>
      <c r="AE2294">
        <v>0</v>
      </c>
      <c r="AF2294">
        <v>0</v>
      </c>
      <c r="AG2294">
        <v>0</v>
      </c>
      <c r="AH2294">
        <v>0</v>
      </c>
      <c r="AI2294">
        <v>0</v>
      </c>
      <c r="AJ2294">
        <v>0</v>
      </c>
      <c r="AK2294">
        <v>0</v>
      </c>
      <c r="AL2294">
        <v>0</v>
      </c>
      <c r="AM2294">
        <v>0</v>
      </c>
      <c r="AN2294">
        <v>0</v>
      </c>
      <c r="AO2294">
        <v>0</v>
      </c>
      <c r="AP2294">
        <v>0</v>
      </c>
      <c r="AQ2294">
        <v>16.7</v>
      </c>
      <c r="AR2294">
        <v>0</v>
      </c>
      <c r="AS2294">
        <v>0</v>
      </c>
      <c r="AT2294">
        <v>0</v>
      </c>
      <c r="AU2294">
        <v>0</v>
      </c>
      <c r="AV2294">
        <v>0</v>
      </c>
      <c r="AW2294">
        <v>0</v>
      </c>
      <c r="AX2294">
        <v>0</v>
      </c>
      <c r="AY2294">
        <v>0</v>
      </c>
      <c r="AZ2294">
        <v>0</v>
      </c>
      <c r="BA2294">
        <v>0</v>
      </c>
      <c r="BB2294">
        <v>0</v>
      </c>
      <c r="BC2294">
        <v>0</v>
      </c>
      <c r="BD2294">
        <v>0</v>
      </c>
      <c r="BE2294">
        <v>0</v>
      </c>
      <c r="BF2294">
        <v>0</v>
      </c>
      <c r="BG2294">
        <v>0</v>
      </c>
      <c r="BH2294">
        <v>1</v>
      </c>
      <c r="BI2294">
        <v>1</v>
      </c>
      <c r="BJ2294">
        <v>0.2</v>
      </c>
      <c r="BK2294">
        <v>1</v>
      </c>
      <c r="BL2294">
        <v>54.66</v>
      </c>
      <c r="BM2294">
        <v>8.1999999999999993</v>
      </c>
      <c r="BN2294">
        <v>62.86</v>
      </c>
      <c r="BO2294">
        <v>62.86</v>
      </c>
      <c r="BQ2294" t="s">
        <v>2159</v>
      </c>
      <c r="BR2294" t="s">
        <v>84</v>
      </c>
      <c r="BS2294" s="3">
        <v>45798</v>
      </c>
      <c r="BT2294" s="4">
        <v>0.43541666666666667</v>
      </c>
      <c r="BU2294" t="s">
        <v>2635</v>
      </c>
      <c r="BV2294" t="s">
        <v>86</v>
      </c>
      <c r="BY2294">
        <v>1200</v>
      </c>
      <c r="CA2294" t="s">
        <v>765</v>
      </c>
      <c r="CC2294" t="s">
        <v>144</v>
      </c>
      <c r="CD2294">
        <v>1422</v>
      </c>
      <c r="CE2294" t="s">
        <v>88</v>
      </c>
      <c r="CF2294" s="3">
        <v>45799</v>
      </c>
      <c r="CI2294">
        <v>1</v>
      </c>
      <c r="CJ2294">
        <v>1</v>
      </c>
      <c r="CK2294">
        <v>22</v>
      </c>
      <c r="CL2294" t="s">
        <v>89</v>
      </c>
    </row>
    <row r="2295" spans="1:90" x14ac:dyDescent="0.3">
      <c r="A2295" t="s">
        <v>72</v>
      </c>
      <c r="B2295" t="s">
        <v>73</v>
      </c>
      <c r="C2295" t="s">
        <v>74</v>
      </c>
      <c r="E2295" t="str">
        <f>"080065464129"</f>
        <v>080065464129</v>
      </c>
      <c r="F2295" s="3">
        <v>45797</v>
      </c>
      <c r="G2295">
        <v>202602</v>
      </c>
      <c r="H2295" t="s">
        <v>75</v>
      </c>
      <c r="I2295" t="s">
        <v>76</v>
      </c>
      <c r="J2295" t="s">
        <v>77</v>
      </c>
      <c r="K2295" t="s">
        <v>78</v>
      </c>
      <c r="L2295" t="s">
        <v>136</v>
      </c>
      <c r="M2295" t="s">
        <v>137</v>
      </c>
      <c r="N2295" t="s">
        <v>499</v>
      </c>
      <c r="O2295" t="s">
        <v>300</v>
      </c>
      <c r="P2295" t="str">
        <f>"4170039438                    "</f>
        <v xml:space="preserve">4170039438                    </v>
      </c>
      <c r="Q2295">
        <v>0</v>
      </c>
      <c r="R2295">
        <v>0</v>
      </c>
      <c r="S2295">
        <v>0</v>
      </c>
      <c r="T2295">
        <v>0</v>
      </c>
      <c r="U2295">
        <v>0</v>
      </c>
      <c r="V2295">
        <v>0</v>
      </c>
      <c r="W2295">
        <v>0</v>
      </c>
      <c r="X2295">
        <v>0</v>
      </c>
      <c r="Y2295">
        <v>0</v>
      </c>
      <c r="Z2295">
        <v>0</v>
      </c>
      <c r="AA2295">
        <v>0</v>
      </c>
      <c r="AB2295">
        <v>0</v>
      </c>
      <c r="AC2295">
        <v>0</v>
      </c>
      <c r="AD2295">
        <v>0</v>
      </c>
      <c r="AE2295">
        <v>0</v>
      </c>
      <c r="AF2295">
        <v>0</v>
      </c>
      <c r="AG2295">
        <v>0</v>
      </c>
      <c r="AH2295">
        <v>0</v>
      </c>
      <c r="AI2295">
        <v>0</v>
      </c>
      <c r="AJ2295">
        <v>0</v>
      </c>
      <c r="AK2295">
        <v>0</v>
      </c>
      <c r="AL2295">
        <v>0</v>
      </c>
      <c r="AM2295">
        <v>0</v>
      </c>
      <c r="AN2295">
        <v>0</v>
      </c>
      <c r="AO2295">
        <v>0</v>
      </c>
      <c r="AP2295">
        <v>0</v>
      </c>
      <c r="AQ2295">
        <v>41.35</v>
      </c>
      <c r="AR2295">
        <v>0</v>
      </c>
      <c r="AS2295">
        <v>0</v>
      </c>
      <c r="AT2295">
        <v>0</v>
      </c>
      <c r="AU2295">
        <v>0</v>
      </c>
      <c r="AV2295">
        <v>0</v>
      </c>
      <c r="AW2295">
        <v>0</v>
      </c>
      <c r="AX2295">
        <v>0</v>
      </c>
      <c r="AY2295">
        <v>0</v>
      </c>
      <c r="AZ2295">
        <v>0</v>
      </c>
      <c r="BA2295">
        <v>0</v>
      </c>
      <c r="BB2295">
        <v>0</v>
      </c>
      <c r="BC2295">
        <v>0</v>
      </c>
      <c r="BD2295">
        <v>0</v>
      </c>
      <c r="BE2295">
        <v>0</v>
      </c>
      <c r="BF2295">
        <v>0</v>
      </c>
      <c r="BG2295">
        <v>0</v>
      </c>
      <c r="BH2295">
        <v>1</v>
      </c>
      <c r="BI2295">
        <v>5</v>
      </c>
      <c r="BJ2295">
        <v>1.5</v>
      </c>
      <c r="BK2295">
        <v>5</v>
      </c>
      <c r="BL2295">
        <v>140.9</v>
      </c>
      <c r="BM2295">
        <v>21.14</v>
      </c>
      <c r="BN2295">
        <v>162.04</v>
      </c>
      <c r="BO2295">
        <v>162.04</v>
      </c>
      <c r="BQ2295" t="s">
        <v>500</v>
      </c>
      <c r="BR2295" t="s">
        <v>84</v>
      </c>
      <c r="BS2295" s="3">
        <v>45798</v>
      </c>
      <c r="BT2295" s="4">
        <v>0.4201388888888889</v>
      </c>
      <c r="BU2295" t="s">
        <v>2632</v>
      </c>
      <c r="BV2295" t="s">
        <v>86</v>
      </c>
      <c r="BY2295">
        <v>7296</v>
      </c>
      <c r="CA2295" t="s">
        <v>141</v>
      </c>
      <c r="CC2295" t="s">
        <v>137</v>
      </c>
      <c r="CD2295" s="5" t="s">
        <v>142</v>
      </c>
      <c r="CE2295" t="s">
        <v>176</v>
      </c>
      <c r="CF2295" s="3">
        <v>45798</v>
      </c>
      <c r="CI2295">
        <v>1</v>
      </c>
      <c r="CJ2295">
        <v>1</v>
      </c>
      <c r="CK2295">
        <v>41</v>
      </c>
      <c r="CL2295" t="s">
        <v>89</v>
      </c>
    </row>
    <row r="2296" spans="1:90" x14ac:dyDescent="0.3">
      <c r="A2296" t="s">
        <v>72</v>
      </c>
      <c r="B2296" t="s">
        <v>73</v>
      </c>
      <c r="C2296" t="s">
        <v>74</v>
      </c>
      <c r="E2296" t="str">
        <f>"080065464130"</f>
        <v>080065464130</v>
      </c>
      <c r="F2296" s="3">
        <v>45797</v>
      </c>
      <c r="G2296">
        <v>202602</v>
      </c>
      <c r="H2296" t="s">
        <v>75</v>
      </c>
      <c r="I2296" t="s">
        <v>76</v>
      </c>
      <c r="J2296" t="s">
        <v>77</v>
      </c>
      <c r="K2296" t="s">
        <v>78</v>
      </c>
      <c r="L2296" t="s">
        <v>97</v>
      </c>
      <c r="M2296" t="s">
        <v>98</v>
      </c>
      <c r="N2296" t="s">
        <v>99</v>
      </c>
      <c r="O2296" t="s">
        <v>82</v>
      </c>
      <c r="P2296" t="str">
        <f>"4170039514                    "</f>
        <v xml:space="preserve">4170039514                    </v>
      </c>
      <c r="Q2296">
        <v>0</v>
      </c>
      <c r="R2296">
        <v>0</v>
      </c>
      <c r="S2296">
        <v>0</v>
      </c>
      <c r="T2296">
        <v>0</v>
      </c>
      <c r="U2296">
        <v>0</v>
      </c>
      <c r="V2296">
        <v>0</v>
      </c>
      <c r="W2296">
        <v>0</v>
      </c>
      <c r="X2296">
        <v>0</v>
      </c>
      <c r="Y2296">
        <v>0</v>
      </c>
      <c r="Z2296">
        <v>0</v>
      </c>
      <c r="AA2296">
        <v>0</v>
      </c>
      <c r="AB2296">
        <v>0</v>
      </c>
      <c r="AC2296">
        <v>0</v>
      </c>
      <c r="AD2296">
        <v>0</v>
      </c>
      <c r="AE2296">
        <v>0</v>
      </c>
      <c r="AF2296">
        <v>0</v>
      </c>
      <c r="AG2296">
        <v>0</v>
      </c>
      <c r="AH2296">
        <v>0</v>
      </c>
      <c r="AI2296">
        <v>0</v>
      </c>
      <c r="AJ2296">
        <v>0</v>
      </c>
      <c r="AK2296">
        <v>0</v>
      </c>
      <c r="AL2296">
        <v>0</v>
      </c>
      <c r="AM2296">
        <v>0</v>
      </c>
      <c r="AN2296">
        <v>0</v>
      </c>
      <c r="AO2296">
        <v>0</v>
      </c>
      <c r="AP2296">
        <v>0</v>
      </c>
      <c r="AQ2296">
        <v>16.7</v>
      </c>
      <c r="AR2296">
        <v>0</v>
      </c>
      <c r="AS2296">
        <v>0</v>
      </c>
      <c r="AT2296">
        <v>0</v>
      </c>
      <c r="AU2296">
        <v>0</v>
      </c>
      <c r="AV2296">
        <v>0</v>
      </c>
      <c r="AW2296">
        <v>0</v>
      </c>
      <c r="AX2296">
        <v>0</v>
      </c>
      <c r="AY2296">
        <v>0</v>
      </c>
      <c r="AZ2296">
        <v>0</v>
      </c>
      <c r="BA2296">
        <v>0</v>
      </c>
      <c r="BB2296">
        <v>0</v>
      </c>
      <c r="BC2296">
        <v>0</v>
      </c>
      <c r="BD2296">
        <v>0</v>
      </c>
      <c r="BE2296">
        <v>0</v>
      </c>
      <c r="BF2296">
        <v>0</v>
      </c>
      <c r="BG2296">
        <v>0</v>
      </c>
      <c r="BH2296">
        <v>1</v>
      </c>
      <c r="BI2296">
        <v>1</v>
      </c>
      <c r="BJ2296">
        <v>0.2</v>
      </c>
      <c r="BK2296">
        <v>1</v>
      </c>
      <c r="BL2296">
        <v>54.66</v>
      </c>
      <c r="BM2296">
        <v>8.1999999999999993</v>
      </c>
      <c r="BN2296">
        <v>62.86</v>
      </c>
      <c r="BO2296">
        <v>62.86</v>
      </c>
      <c r="BQ2296" t="s">
        <v>100</v>
      </c>
      <c r="BR2296" t="s">
        <v>84</v>
      </c>
      <c r="BS2296" s="3">
        <v>45798</v>
      </c>
      <c r="BT2296" s="4">
        <v>0.38472222222222224</v>
      </c>
      <c r="BU2296" t="s">
        <v>1310</v>
      </c>
      <c r="BV2296" t="s">
        <v>86</v>
      </c>
      <c r="BY2296">
        <v>1200</v>
      </c>
      <c r="CA2296" t="s">
        <v>279</v>
      </c>
      <c r="CC2296" t="s">
        <v>98</v>
      </c>
      <c r="CD2296">
        <v>1459</v>
      </c>
      <c r="CE2296" t="s">
        <v>176</v>
      </c>
      <c r="CF2296" s="3">
        <v>45798</v>
      </c>
      <c r="CI2296">
        <v>1</v>
      </c>
      <c r="CJ2296">
        <v>1</v>
      </c>
      <c r="CK2296">
        <v>22</v>
      </c>
      <c r="CL2296" t="s">
        <v>89</v>
      </c>
    </row>
    <row r="2297" spans="1:90" x14ac:dyDescent="0.3">
      <c r="A2297" t="s">
        <v>72</v>
      </c>
      <c r="B2297" t="s">
        <v>73</v>
      </c>
      <c r="C2297" t="s">
        <v>74</v>
      </c>
      <c r="E2297" t="str">
        <f>"080065464154"</f>
        <v>080065464154</v>
      </c>
      <c r="F2297" s="3">
        <v>45797</v>
      </c>
      <c r="G2297">
        <v>202602</v>
      </c>
      <c r="H2297" t="s">
        <v>75</v>
      </c>
      <c r="I2297" t="s">
        <v>76</v>
      </c>
      <c r="J2297" t="s">
        <v>77</v>
      </c>
      <c r="K2297" t="s">
        <v>78</v>
      </c>
      <c r="L2297" t="s">
        <v>90</v>
      </c>
      <c r="M2297" t="s">
        <v>91</v>
      </c>
      <c r="N2297" t="s">
        <v>92</v>
      </c>
      <c r="O2297" t="s">
        <v>82</v>
      </c>
      <c r="P2297" t="str">
        <f>"4170039380                    "</f>
        <v xml:space="preserve">4170039380                    </v>
      </c>
      <c r="Q2297">
        <v>0</v>
      </c>
      <c r="R2297">
        <v>0</v>
      </c>
      <c r="S2297">
        <v>0</v>
      </c>
      <c r="T2297">
        <v>0</v>
      </c>
      <c r="U2297">
        <v>0</v>
      </c>
      <c r="V2297">
        <v>0</v>
      </c>
      <c r="W2297">
        <v>0</v>
      </c>
      <c r="X2297">
        <v>0</v>
      </c>
      <c r="Y2297">
        <v>0</v>
      </c>
      <c r="Z2297">
        <v>0</v>
      </c>
      <c r="AA2297">
        <v>0</v>
      </c>
      <c r="AB2297">
        <v>0</v>
      </c>
      <c r="AC2297">
        <v>0</v>
      </c>
      <c r="AD2297">
        <v>0</v>
      </c>
      <c r="AE2297">
        <v>0</v>
      </c>
      <c r="AF2297">
        <v>0</v>
      </c>
      <c r="AG2297">
        <v>0</v>
      </c>
      <c r="AH2297">
        <v>0</v>
      </c>
      <c r="AI2297">
        <v>0</v>
      </c>
      <c r="AJ2297">
        <v>0</v>
      </c>
      <c r="AK2297">
        <v>0</v>
      </c>
      <c r="AL2297">
        <v>0</v>
      </c>
      <c r="AM2297">
        <v>0</v>
      </c>
      <c r="AN2297">
        <v>0</v>
      </c>
      <c r="AO2297">
        <v>0</v>
      </c>
      <c r="AP2297">
        <v>0</v>
      </c>
      <c r="AQ2297">
        <v>21.38</v>
      </c>
      <c r="AR2297">
        <v>0</v>
      </c>
      <c r="AS2297">
        <v>0</v>
      </c>
      <c r="AT2297">
        <v>0</v>
      </c>
      <c r="AU2297">
        <v>0</v>
      </c>
      <c r="AV2297">
        <v>0</v>
      </c>
      <c r="AW2297">
        <v>0</v>
      </c>
      <c r="AX2297">
        <v>0</v>
      </c>
      <c r="AY2297">
        <v>0</v>
      </c>
      <c r="AZ2297">
        <v>0</v>
      </c>
      <c r="BA2297">
        <v>0</v>
      </c>
      <c r="BB2297">
        <v>0</v>
      </c>
      <c r="BC2297">
        <v>0</v>
      </c>
      <c r="BD2297">
        <v>0</v>
      </c>
      <c r="BE2297">
        <v>0</v>
      </c>
      <c r="BF2297">
        <v>0</v>
      </c>
      <c r="BG2297">
        <v>0</v>
      </c>
      <c r="BH2297">
        <v>1</v>
      </c>
      <c r="BI2297">
        <v>1</v>
      </c>
      <c r="BJ2297">
        <v>1.7</v>
      </c>
      <c r="BK2297">
        <v>2</v>
      </c>
      <c r="BL2297">
        <v>69.98</v>
      </c>
      <c r="BM2297">
        <v>10.5</v>
      </c>
      <c r="BN2297">
        <v>80.48</v>
      </c>
      <c r="BO2297">
        <v>80.48</v>
      </c>
      <c r="BQ2297" t="s">
        <v>93</v>
      </c>
      <c r="BR2297" t="s">
        <v>84</v>
      </c>
      <c r="BS2297" s="3">
        <v>45798</v>
      </c>
      <c r="BT2297" s="4">
        <v>0.38611111111111113</v>
      </c>
      <c r="BU2297" t="s">
        <v>2636</v>
      </c>
      <c r="BV2297" t="s">
        <v>86</v>
      </c>
      <c r="BY2297">
        <v>8512</v>
      </c>
      <c r="CA2297" t="s">
        <v>95</v>
      </c>
      <c r="CC2297" t="s">
        <v>91</v>
      </c>
      <c r="CD2297">
        <v>6001</v>
      </c>
      <c r="CE2297" t="s">
        <v>176</v>
      </c>
      <c r="CF2297" s="3">
        <v>45798</v>
      </c>
      <c r="CI2297">
        <v>1</v>
      </c>
      <c r="CJ2297">
        <v>1</v>
      </c>
      <c r="CK2297">
        <v>21</v>
      </c>
      <c r="CL2297" t="s">
        <v>89</v>
      </c>
    </row>
    <row r="2298" spans="1:90" x14ac:dyDescent="0.3">
      <c r="A2298" t="s">
        <v>72</v>
      </c>
      <c r="B2298" t="s">
        <v>73</v>
      </c>
      <c r="C2298" t="s">
        <v>74</v>
      </c>
      <c r="E2298" t="str">
        <f>"080065464178"</f>
        <v>080065464178</v>
      </c>
      <c r="F2298" s="3">
        <v>45797</v>
      </c>
      <c r="G2298">
        <v>202602</v>
      </c>
      <c r="H2298" t="s">
        <v>75</v>
      </c>
      <c r="I2298" t="s">
        <v>76</v>
      </c>
      <c r="J2298" t="s">
        <v>77</v>
      </c>
      <c r="K2298" t="s">
        <v>78</v>
      </c>
      <c r="L2298" t="s">
        <v>222</v>
      </c>
      <c r="M2298" t="s">
        <v>223</v>
      </c>
      <c r="N2298" t="s">
        <v>826</v>
      </c>
      <c r="O2298" t="s">
        <v>82</v>
      </c>
      <c r="P2298" t="str">
        <f>"4170039165                    "</f>
        <v xml:space="preserve">4170039165                    </v>
      </c>
      <c r="Q2298">
        <v>0</v>
      </c>
      <c r="R2298">
        <v>0</v>
      </c>
      <c r="S2298">
        <v>0</v>
      </c>
      <c r="T2298">
        <v>0</v>
      </c>
      <c r="U2298">
        <v>0</v>
      </c>
      <c r="V2298">
        <v>0</v>
      </c>
      <c r="W2298">
        <v>0</v>
      </c>
      <c r="X2298">
        <v>0</v>
      </c>
      <c r="Y2298">
        <v>0</v>
      </c>
      <c r="Z2298">
        <v>0</v>
      </c>
      <c r="AA2298">
        <v>0</v>
      </c>
      <c r="AB2298">
        <v>0</v>
      </c>
      <c r="AC2298">
        <v>0</v>
      </c>
      <c r="AD2298">
        <v>0</v>
      </c>
      <c r="AE2298">
        <v>0</v>
      </c>
      <c r="AF2298">
        <v>0</v>
      </c>
      <c r="AG2298">
        <v>0</v>
      </c>
      <c r="AH2298">
        <v>0</v>
      </c>
      <c r="AI2298">
        <v>0</v>
      </c>
      <c r="AJ2298">
        <v>0</v>
      </c>
      <c r="AK2298">
        <v>0</v>
      </c>
      <c r="AL2298">
        <v>0</v>
      </c>
      <c r="AM2298">
        <v>0</v>
      </c>
      <c r="AN2298">
        <v>0</v>
      </c>
      <c r="AO2298">
        <v>0</v>
      </c>
      <c r="AP2298">
        <v>0</v>
      </c>
      <c r="AQ2298">
        <v>30.07</v>
      </c>
      <c r="AR2298">
        <v>0</v>
      </c>
      <c r="AS2298">
        <v>0</v>
      </c>
      <c r="AT2298">
        <v>0</v>
      </c>
      <c r="AU2298">
        <v>0</v>
      </c>
      <c r="AV2298">
        <v>0</v>
      </c>
      <c r="AW2298">
        <v>0</v>
      </c>
      <c r="AX2298">
        <v>0</v>
      </c>
      <c r="AY2298">
        <v>0</v>
      </c>
      <c r="AZ2298">
        <v>0</v>
      </c>
      <c r="BA2298">
        <v>0</v>
      </c>
      <c r="BB2298">
        <v>0</v>
      </c>
      <c r="BC2298">
        <v>0</v>
      </c>
      <c r="BD2298">
        <v>0</v>
      </c>
      <c r="BE2298">
        <v>0</v>
      </c>
      <c r="BF2298">
        <v>0</v>
      </c>
      <c r="BG2298">
        <v>0</v>
      </c>
      <c r="BH2298">
        <v>1</v>
      </c>
      <c r="BI2298">
        <v>1</v>
      </c>
      <c r="BJ2298">
        <v>1.7</v>
      </c>
      <c r="BK2298">
        <v>2</v>
      </c>
      <c r="BL2298">
        <v>98.42</v>
      </c>
      <c r="BM2298">
        <v>14.76</v>
      </c>
      <c r="BN2298">
        <v>113.18</v>
      </c>
      <c r="BO2298">
        <v>113.18</v>
      </c>
      <c r="BQ2298" t="s">
        <v>1013</v>
      </c>
      <c r="BR2298" t="s">
        <v>84</v>
      </c>
      <c r="BS2298" s="3">
        <v>45798</v>
      </c>
      <c r="BT2298" s="4">
        <v>0.44861111111111113</v>
      </c>
      <c r="BU2298" t="s">
        <v>2637</v>
      </c>
      <c r="BV2298" t="s">
        <v>86</v>
      </c>
      <c r="BY2298">
        <v>8512</v>
      </c>
      <c r="CA2298" t="s">
        <v>1015</v>
      </c>
      <c r="CC2298" t="s">
        <v>223</v>
      </c>
      <c r="CD2298">
        <v>1739</v>
      </c>
      <c r="CE2298" t="s">
        <v>176</v>
      </c>
      <c r="CF2298" s="3">
        <v>45799</v>
      </c>
      <c r="CI2298">
        <v>1</v>
      </c>
      <c r="CJ2298">
        <v>1</v>
      </c>
      <c r="CK2298">
        <v>24</v>
      </c>
      <c r="CL2298" t="s">
        <v>89</v>
      </c>
    </row>
    <row r="2299" spans="1:90" x14ac:dyDescent="0.3">
      <c r="A2299" t="s">
        <v>72</v>
      </c>
      <c r="B2299" t="s">
        <v>73</v>
      </c>
      <c r="C2299" t="s">
        <v>74</v>
      </c>
      <c r="E2299" t="str">
        <f>"080065464201"</f>
        <v>080065464201</v>
      </c>
      <c r="F2299" s="3">
        <v>45797</v>
      </c>
      <c r="G2299">
        <v>202602</v>
      </c>
      <c r="H2299" t="s">
        <v>75</v>
      </c>
      <c r="I2299" t="s">
        <v>76</v>
      </c>
      <c r="J2299" t="s">
        <v>77</v>
      </c>
      <c r="K2299" t="s">
        <v>78</v>
      </c>
      <c r="L2299" t="s">
        <v>123</v>
      </c>
      <c r="M2299" t="s">
        <v>123</v>
      </c>
      <c r="N2299" t="s">
        <v>593</v>
      </c>
      <c r="O2299" t="s">
        <v>82</v>
      </c>
      <c r="P2299" t="str">
        <f>"4170039427                    "</f>
        <v xml:space="preserve">4170039427                    </v>
      </c>
      <c r="Q2299">
        <v>0</v>
      </c>
      <c r="R2299">
        <v>0</v>
      </c>
      <c r="S2299">
        <v>0</v>
      </c>
      <c r="T2299">
        <v>0</v>
      </c>
      <c r="U2299">
        <v>0</v>
      </c>
      <c r="V2299">
        <v>0</v>
      </c>
      <c r="W2299">
        <v>0</v>
      </c>
      <c r="X2299">
        <v>0</v>
      </c>
      <c r="Y2299">
        <v>0</v>
      </c>
      <c r="Z2299">
        <v>0</v>
      </c>
      <c r="AA2299">
        <v>0</v>
      </c>
      <c r="AB2299">
        <v>0</v>
      </c>
      <c r="AC2299">
        <v>0</v>
      </c>
      <c r="AD2299">
        <v>0</v>
      </c>
      <c r="AE2299">
        <v>0</v>
      </c>
      <c r="AF2299">
        <v>0</v>
      </c>
      <c r="AG2299">
        <v>0</v>
      </c>
      <c r="AH2299">
        <v>0</v>
      </c>
      <c r="AI2299">
        <v>0</v>
      </c>
      <c r="AJ2299">
        <v>0</v>
      </c>
      <c r="AK2299">
        <v>0</v>
      </c>
      <c r="AL2299">
        <v>0</v>
      </c>
      <c r="AM2299">
        <v>0</v>
      </c>
      <c r="AN2299">
        <v>0</v>
      </c>
      <c r="AO2299">
        <v>0</v>
      </c>
      <c r="AP2299">
        <v>0</v>
      </c>
      <c r="AQ2299">
        <v>41.43</v>
      </c>
      <c r="AR2299">
        <v>0</v>
      </c>
      <c r="AS2299">
        <v>0</v>
      </c>
      <c r="AT2299">
        <v>0</v>
      </c>
      <c r="AU2299">
        <v>0</v>
      </c>
      <c r="AV2299">
        <v>0</v>
      </c>
      <c r="AW2299">
        <v>0</v>
      </c>
      <c r="AX2299">
        <v>0</v>
      </c>
      <c r="AY2299">
        <v>0</v>
      </c>
      <c r="AZ2299">
        <v>0</v>
      </c>
      <c r="BA2299">
        <v>0</v>
      </c>
      <c r="BB2299">
        <v>0</v>
      </c>
      <c r="BC2299">
        <v>0</v>
      </c>
      <c r="BD2299">
        <v>0</v>
      </c>
      <c r="BE2299">
        <v>0</v>
      </c>
      <c r="BF2299">
        <v>0</v>
      </c>
      <c r="BG2299">
        <v>0</v>
      </c>
      <c r="BH2299">
        <v>1</v>
      </c>
      <c r="BI2299">
        <v>1</v>
      </c>
      <c r="BJ2299">
        <v>1.4</v>
      </c>
      <c r="BK2299">
        <v>1.5</v>
      </c>
      <c r="BL2299">
        <v>135.59</v>
      </c>
      <c r="BM2299">
        <v>20.34</v>
      </c>
      <c r="BN2299">
        <v>155.93</v>
      </c>
      <c r="BO2299">
        <v>155.93</v>
      </c>
      <c r="BQ2299" t="s">
        <v>594</v>
      </c>
      <c r="BR2299" t="s">
        <v>84</v>
      </c>
      <c r="BS2299" s="3">
        <v>45798</v>
      </c>
      <c r="BT2299" s="4">
        <v>0.41666666666666669</v>
      </c>
      <c r="BU2299" t="s">
        <v>595</v>
      </c>
      <c r="BV2299" t="s">
        <v>86</v>
      </c>
      <c r="BY2299">
        <v>7000</v>
      </c>
      <c r="CA2299" t="s">
        <v>128</v>
      </c>
      <c r="CC2299" t="s">
        <v>123</v>
      </c>
      <c r="CD2299">
        <v>7646</v>
      </c>
      <c r="CE2299" t="s">
        <v>96</v>
      </c>
      <c r="CF2299" s="3">
        <v>45799</v>
      </c>
      <c r="CI2299">
        <v>1</v>
      </c>
      <c r="CJ2299">
        <v>1</v>
      </c>
      <c r="CK2299">
        <v>23</v>
      </c>
      <c r="CL2299" t="s">
        <v>89</v>
      </c>
    </row>
    <row r="2300" spans="1:90" x14ac:dyDescent="0.3">
      <c r="A2300" t="s">
        <v>72</v>
      </c>
      <c r="B2300" t="s">
        <v>73</v>
      </c>
      <c r="C2300" t="s">
        <v>74</v>
      </c>
      <c r="E2300" t="str">
        <f>"080065464455"</f>
        <v>080065464455</v>
      </c>
      <c r="F2300" s="3">
        <v>45797</v>
      </c>
      <c r="G2300">
        <v>202602</v>
      </c>
      <c r="H2300" t="s">
        <v>75</v>
      </c>
      <c r="I2300" t="s">
        <v>76</v>
      </c>
      <c r="J2300" t="s">
        <v>77</v>
      </c>
      <c r="K2300" t="s">
        <v>78</v>
      </c>
      <c r="L2300" t="s">
        <v>130</v>
      </c>
      <c r="M2300" t="s">
        <v>131</v>
      </c>
      <c r="N2300" t="s">
        <v>709</v>
      </c>
      <c r="O2300" t="s">
        <v>82</v>
      </c>
      <c r="P2300" t="str">
        <f>"4170039268                    "</f>
        <v xml:space="preserve">4170039268                    </v>
      </c>
      <c r="Q2300">
        <v>0</v>
      </c>
      <c r="R2300">
        <v>0</v>
      </c>
      <c r="S2300">
        <v>0</v>
      </c>
      <c r="T2300">
        <v>0</v>
      </c>
      <c r="U2300">
        <v>0</v>
      </c>
      <c r="V2300">
        <v>0</v>
      </c>
      <c r="W2300">
        <v>0</v>
      </c>
      <c r="X2300">
        <v>0</v>
      </c>
      <c r="Y2300">
        <v>0</v>
      </c>
      <c r="Z2300">
        <v>0</v>
      </c>
      <c r="AA2300">
        <v>0</v>
      </c>
      <c r="AB2300">
        <v>0</v>
      </c>
      <c r="AC2300">
        <v>0</v>
      </c>
      <c r="AD2300">
        <v>0</v>
      </c>
      <c r="AE2300">
        <v>0</v>
      </c>
      <c r="AF2300">
        <v>0</v>
      </c>
      <c r="AG2300">
        <v>0</v>
      </c>
      <c r="AH2300">
        <v>0</v>
      </c>
      <c r="AI2300">
        <v>0</v>
      </c>
      <c r="AJ2300">
        <v>0</v>
      </c>
      <c r="AK2300">
        <v>0</v>
      </c>
      <c r="AL2300">
        <v>0</v>
      </c>
      <c r="AM2300">
        <v>0</v>
      </c>
      <c r="AN2300">
        <v>0</v>
      </c>
      <c r="AO2300">
        <v>0</v>
      </c>
      <c r="AP2300">
        <v>0</v>
      </c>
      <c r="AQ2300">
        <v>32.07</v>
      </c>
      <c r="AR2300">
        <v>0</v>
      </c>
      <c r="AS2300">
        <v>0</v>
      </c>
      <c r="AT2300">
        <v>0</v>
      </c>
      <c r="AU2300">
        <v>0</v>
      </c>
      <c r="AV2300">
        <v>0</v>
      </c>
      <c r="AW2300">
        <v>0</v>
      </c>
      <c r="AX2300">
        <v>0</v>
      </c>
      <c r="AY2300">
        <v>0</v>
      </c>
      <c r="AZ2300">
        <v>0</v>
      </c>
      <c r="BA2300">
        <v>0</v>
      </c>
      <c r="BB2300">
        <v>0</v>
      </c>
      <c r="BC2300">
        <v>0</v>
      </c>
      <c r="BD2300">
        <v>0</v>
      </c>
      <c r="BE2300">
        <v>0</v>
      </c>
      <c r="BF2300">
        <v>0</v>
      </c>
      <c r="BG2300">
        <v>0</v>
      </c>
      <c r="BH2300">
        <v>1</v>
      </c>
      <c r="BI2300">
        <v>3</v>
      </c>
      <c r="BJ2300">
        <v>1.2</v>
      </c>
      <c r="BK2300">
        <v>3</v>
      </c>
      <c r="BL2300">
        <v>104.95</v>
      </c>
      <c r="BM2300">
        <v>15.74</v>
      </c>
      <c r="BN2300">
        <v>120.69</v>
      </c>
      <c r="BO2300">
        <v>120.69</v>
      </c>
      <c r="BQ2300" t="s">
        <v>710</v>
      </c>
      <c r="BR2300" t="s">
        <v>84</v>
      </c>
      <c r="BS2300" s="3">
        <v>45798</v>
      </c>
      <c r="BT2300" s="4">
        <v>0.33680555555555558</v>
      </c>
      <c r="BU2300" t="s">
        <v>1272</v>
      </c>
      <c r="BV2300" t="s">
        <v>86</v>
      </c>
      <c r="BY2300">
        <v>5760</v>
      </c>
      <c r="CA2300" t="s">
        <v>712</v>
      </c>
      <c r="CC2300" t="s">
        <v>131</v>
      </c>
      <c r="CD2300">
        <v>7530</v>
      </c>
      <c r="CE2300" t="s">
        <v>221</v>
      </c>
      <c r="CF2300" s="3">
        <v>45799</v>
      </c>
      <c r="CI2300">
        <v>1</v>
      </c>
      <c r="CJ2300">
        <v>1</v>
      </c>
      <c r="CK2300">
        <v>21</v>
      </c>
      <c r="CL2300" t="s">
        <v>89</v>
      </c>
    </row>
    <row r="2301" spans="1:90" x14ac:dyDescent="0.3">
      <c r="A2301" t="s">
        <v>72</v>
      </c>
      <c r="B2301" t="s">
        <v>73</v>
      </c>
      <c r="C2301" t="s">
        <v>74</v>
      </c>
      <c r="E2301" t="str">
        <f>"080065464478"</f>
        <v>080065464478</v>
      </c>
      <c r="F2301" s="3">
        <v>45797</v>
      </c>
      <c r="G2301">
        <v>202602</v>
      </c>
      <c r="H2301" t="s">
        <v>75</v>
      </c>
      <c r="I2301" t="s">
        <v>76</v>
      </c>
      <c r="J2301" t="s">
        <v>77</v>
      </c>
      <c r="K2301" t="s">
        <v>78</v>
      </c>
      <c r="L2301" t="s">
        <v>177</v>
      </c>
      <c r="M2301" t="s">
        <v>178</v>
      </c>
      <c r="N2301" t="s">
        <v>212</v>
      </c>
      <c r="O2301" t="s">
        <v>82</v>
      </c>
      <c r="P2301" t="str">
        <f>"4170039331                    "</f>
        <v xml:space="preserve">4170039331                    </v>
      </c>
      <c r="Q2301">
        <v>0</v>
      </c>
      <c r="R2301">
        <v>0</v>
      </c>
      <c r="S2301">
        <v>0</v>
      </c>
      <c r="T2301">
        <v>0</v>
      </c>
      <c r="U2301">
        <v>0</v>
      </c>
      <c r="V2301">
        <v>0</v>
      </c>
      <c r="W2301">
        <v>0</v>
      </c>
      <c r="X2301">
        <v>0</v>
      </c>
      <c r="Y2301">
        <v>0</v>
      </c>
      <c r="Z2301">
        <v>0</v>
      </c>
      <c r="AA2301">
        <v>0</v>
      </c>
      <c r="AB2301">
        <v>0</v>
      </c>
      <c r="AC2301">
        <v>0</v>
      </c>
      <c r="AD2301">
        <v>0</v>
      </c>
      <c r="AE2301">
        <v>0</v>
      </c>
      <c r="AF2301">
        <v>0</v>
      </c>
      <c r="AG2301">
        <v>0</v>
      </c>
      <c r="AH2301">
        <v>0</v>
      </c>
      <c r="AI2301">
        <v>0</v>
      </c>
      <c r="AJ2301">
        <v>0</v>
      </c>
      <c r="AK2301">
        <v>0</v>
      </c>
      <c r="AL2301">
        <v>0</v>
      </c>
      <c r="AM2301">
        <v>0</v>
      </c>
      <c r="AN2301">
        <v>0</v>
      </c>
      <c r="AO2301">
        <v>0</v>
      </c>
      <c r="AP2301">
        <v>0</v>
      </c>
      <c r="AQ2301">
        <v>117.53</v>
      </c>
      <c r="AR2301">
        <v>0</v>
      </c>
      <c r="AS2301">
        <v>0</v>
      </c>
      <c r="AT2301">
        <v>0</v>
      </c>
      <c r="AU2301">
        <v>0</v>
      </c>
      <c r="AV2301">
        <v>0</v>
      </c>
      <c r="AW2301">
        <v>0</v>
      </c>
      <c r="AX2301">
        <v>0</v>
      </c>
      <c r="AY2301">
        <v>0</v>
      </c>
      <c r="AZ2301">
        <v>0</v>
      </c>
      <c r="BA2301">
        <v>0</v>
      </c>
      <c r="BB2301">
        <v>0</v>
      </c>
      <c r="BC2301">
        <v>0</v>
      </c>
      <c r="BD2301">
        <v>0</v>
      </c>
      <c r="BE2301">
        <v>0</v>
      </c>
      <c r="BF2301">
        <v>0</v>
      </c>
      <c r="BG2301">
        <v>0</v>
      </c>
      <c r="BH2301">
        <v>1</v>
      </c>
      <c r="BI2301">
        <v>11</v>
      </c>
      <c r="BJ2301">
        <v>3.4</v>
      </c>
      <c r="BK2301">
        <v>11</v>
      </c>
      <c r="BL2301">
        <v>384.65</v>
      </c>
      <c r="BM2301">
        <v>57.7</v>
      </c>
      <c r="BN2301">
        <v>442.35</v>
      </c>
      <c r="BO2301">
        <v>442.35</v>
      </c>
      <c r="BQ2301" t="s">
        <v>213</v>
      </c>
      <c r="BR2301" t="s">
        <v>84</v>
      </c>
      <c r="BS2301" s="3">
        <v>45798</v>
      </c>
      <c r="BT2301" s="4">
        <v>0.35902777777777778</v>
      </c>
      <c r="BU2301" t="s">
        <v>1568</v>
      </c>
      <c r="BV2301" t="s">
        <v>86</v>
      </c>
      <c r="BY2301">
        <v>16965</v>
      </c>
      <c r="CA2301" t="s">
        <v>182</v>
      </c>
      <c r="CC2301" t="s">
        <v>178</v>
      </c>
      <c r="CD2301">
        <v>6229</v>
      </c>
      <c r="CE2301" t="s">
        <v>96</v>
      </c>
      <c r="CF2301" s="3">
        <v>45798</v>
      </c>
      <c r="CI2301">
        <v>1</v>
      </c>
      <c r="CJ2301">
        <v>1</v>
      </c>
      <c r="CK2301">
        <v>21</v>
      </c>
      <c r="CL2301" t="s">
        <v>89</v>
      </c>
    </row>
    <row r="2302" spans="1:90" x14ac:dyDescent="0.3">
      <c r="A2302" t="s">
        <v>72</v>
      </c>
      <c r="B2302" t="s">
        <v>73</v>
      </c>
      <c r="C2302" t="s">
        <v>74</v>
      </c>
      <c r="E2302" t="str">
        <f>"080065464481"</f>
        <v>080065464481</v>
      </c>
      <c r="F2302" s="3">
        <v>45797</v>
      </c>
      <c r="G2302">
        <v>202602</v>
      </c>
      <c r="H2302" t="s">
        <v>75</v>
      </c>
      <c r="I2302" t="s">
        <v>76</v>
      </c>
      <c r="J2302" t="s">
        <v>77</v>
      </c>
      <c r="K2302" t="s">
        <v>78</v>
      </c>
      <c r="L2302" t="s">
        <v>75</v>
      </c>
      <c r="M2302" t="s">
        <v>76</v>
      </c>
      <c r="N2302" t="s">
        <v>601</v>
      </c>
      <c r="O2302" t="s">
        <v>82</v>
      </c>
      <c r="P2302" t="str">
        <f>"4170039326                    "</f>
        <v xml:space="preserve">4170039326                    </v>
      </c>
      <c r="Q2302">
        <v>0</v>
      </c>
      <c r="R2302">
        <v>0</v>
      </c>
      <c r="S2302">
        <v>0</v>
      </c>
      <c r="T2302">
        <v>0</v>
      </c>
      <c r="U2302">
        <v>0</v>
      </c>
      <c r="V2302">
        <v>0</v>
      </c>
      <c r="W2302">
        <v>0</v>
      </c>
      <c r="X2302">
        <v>0</v>
      </c>
      <c r="Y2302">
        <v>0</v>
      </c>
      <c r="Z2302">
        <v>0</v>
      </c>
      <c r="AA2302">
        <v>0</v>
      </c>
      <c r="AB2302">
        <v>0</v>
      </c>
      <c r="AC2302">
        <v>0</v>
      </c>
      <c r="AD2302">
        <v>0</v>
      </c>
      <c r="AE2302">
        <v>0</v>
      </c>
      <c r="AF2302">
        <v>0</v>
      </c>
      <c r="AG2302">
        <v>0</v>
      </c>
      <c r="AH2302">
        <v>0</v>
      </c>
      <c r="AI2302">
        <v>0</v>
      </c>
      <c r="AJ2302">
        <v>0</v>
      </c>
      <c r="AK2302">
        <v>0</v>
      </c>
      <c r="AL2302">
        <v>0</v>
      </c>
      <c r="AM2302">
        <v>0</v>
      </c>
      <c r="AN2302">
        <v>0</v>
      </c>
      <c r="AO2302">
        <v>0</v>
      </c>
      <c r="AP2302">
        <v>0</v>
      </c>
      <c r="AQ2302">
        <v>16.7</v>
      </c>
      <c r="AR2302">
        <v>0</v>
      </c>
      <c r="AS2302">
        <v>0</v>
      </c>
      <c r="AT2302">
        <v>0</v>
      </c>
      <c r="AU2302">
        <v>0</v>
      </c>
      <c r="AV2302">
        <v>0</v>
      </c>
      <c r="AW2302">
        <v>0</v>
      </c>
      <c r="AX2302">
        <v>0</v>
      </c>
      <c r="AY2302">
        <v>0</v>
      </c>
      <c r="AZ2302">
        <v>0</v>
      </c>
      <c r="BA2302">
        <v>0</v>
      </c>
      <c r="BB2302">
        <v>0</v>
      </c>
      <c r="BC2302">
        <v>0</v>
      </c>
      <c r="BD2302">
        <v>0</v>
      </c>
      <c r="BE2302">
        <v>0</v>
      </c>
      <c r="BF2302">
        <v>0</v>
      </c>
      <c r="BG2302">
        <v>0</v>
      </c>
      <c r="BH2302">
        <v>1</v>
      </c>
      <c r="BI2302">
        <v>1</v>
      </c>
      <c r="BJ2302">
        <v>0.2</v>
      </c>
      <c r="BK2302">
        <v>1</v>
      </c>
      <c r="BL2302">
        <v>54.66</v>
      </c>
      <c r="BM2302">
        <v>8.1999999999999993</v>
      </c>
      <c r="BN2302">
        <v>62.86</v>
      </c>
      <c r="BO2302">
        <v>62.86</v>
      </c>
      <c r="BQ2302" t="s">
        <v>603</v>
      </c>
      <c r="BR2302" t="s">
        <v>84</v>
      </c>
      <c r="BS2302" s="3">
        <v>45798</v>
      </c>
      <c r="BT2302" s="4">
        <v>0.37222222222222223</v>
      </c>
      <c r="BU2302" t="s">
        <v>604</v>
      </c>
      <c r="BV2302" t="s">
        <v>86</v>
      </c>
      <c r="BY2302">
        <v>1200</v>
      </c>
      <c r="CA2302" t="s">
        <v>475</v>
      </c>
      <c r="CC2302" t="s">
        <v>76</v>
      </c>
      <c r="CD2302">
        <v>1645</v>
      </c>
      <c r="CE2302" t="s">
        <v>88</v>
      </c>
      <c r="CF2302" s="3">
        <v>45798</v>
      </c>
      <c r="CI2302">
        <v>1</v>
      </c>
      <c r="CJ2302">
        <v>1</v>
      </c>
      <c r="CK2302">
        <v>22</v>
      </c>
      <c r="CL2302" t="s">
        <v>89</v>
      </c>
    </row>
    <row r="2303" spans="1:90" x14ac:dyDescent="0.3">
      <c r="A2303" t="s">
        <v>72</v>
      </c>
      <c r="B2303" t="s">
        <v>73</v>
      </c>
      <c r="C2303" t="s">
        <v>74</v>
      </c>
      <c r="E2303" t="str">
        <f>"080065464510"</f>
        <v>080065464510</v>
      </c>
      <c r="F2303" s="3">
        <v>45797</v>
      </c>
      <c r="G2303">
        <v>202602</v>
      </c>
      <c r="H2303" t="s">
        <v>75</v>
      </c>
      <c r="I2303" t="s">
        <v>76</v>
      </c>
      <c r="J2303" t="s">
        <v>77</v>
      </c>
      <c r="K2303" t="s">
        <v>78</v>
      </c>
      <c r="L2303" t="s">
        <v>177</v>
      </c>
      <c r="M2303" t="s">
        <v>178</v>
      </c>
      <c r="N2303" t="s">
        <v>212</v>
      </c>
      <c r="O2303" t="s">
        <v>82</v>
      </c>
      <c r="P2303" t="str">
        <f>"4170039283                    "</f>
        <v xml:space="preserve">4170039283                    </v>
      </c>
      <c r="Q2303">
        <v>0</v>
      </c>
      <c r="R2303">
        <v>0</v>
      </c>
      <c r="S2303">
        <v>0</v>
      </c>
      <c r="T2303">
        <v>0</v>
      </c>
      <c r="U2303">
        <v>0</v>
      </c>
      <c r="V2303">
        <v>0</v>
      </c>
      <c r="W2303">
        <v>0</v>
      </c>
      <c r="X2303">
        <v>0</v>
      </c>
      <c r="Y2303">
        <v>0</v>
      </c>
      <c r="Z2303">
        <v>0</v>
      </c>
      <c r="AA2303">
        <v>0</v>
      </c>
      <c r="AB2303">
        <v>0</v>
      </c>
      <c r="AC2303">
        <v>0</v>
      </c>
      <c r="AD2303">
        <v>0</v>
      </c>
      <c r="AE2303">
        <v>0</v>
      </c>
      <c r="AF2303">
        <v>0</v>
      </c>
      <c r="AG2303">
        <v>0</v>
      </c>
      <c r="AH2303">
        <v>0</v>
      </c>
      <c r="AI2303">
        <v>0</v>
      </c>
      <c r="AJ2303">
        <v>0</v>
      </c>
      <c r="AK2303">
        <v>0</v>
      </c>
      <c r="AL2303">
        <v>0</v>
      </c>
      <c r="AM2303">
        <v>0</v>
      </c>
      <c r="AN2303">
        <v>0</v>
      </c>
      <c r="AO2303">
        <v>0</v>
      </c>
      <c r="AP2303">
        <v>0</v>
      </c>
      <c r="AQ2303">
        <v>21.38</v>
      </c>
      <c r="AR2303">
        <v>0</v>
      </c>
      <c r="AS2303">
        <v>0</v>
      </c>
      <c r="AT2303">
        <v>0</v>
      </c>
      <c r="AU2303">
        <v>0</v>
      </c>
      <c r="AV2303">
        <v>0</v>
      </c>
      <c r="AW2303">
        <v>0</v>
      </c>
      <c r="AX2303">
        <v>0</v>
      </c>
      <c r="AY2303">
        <v>0</v>
      </c>
      <c r="AZ2303">
        <v>0</v>
      </c>
      <c r="BA2303">
        <v>0</v>
      </c>
      <c r="BB2303">
        <v>0</v>
      </c>
      <c r="BC2303">
        <v>0</v>
      </c>
      <c r="BD2303">
        <v>0</v>
      </c>
      <c r="BE2303">
        <v>0</v>
      </c>
      <c r="BF2303">
        <v>0</v>
      </c>
      <c r="BG2303">
        <v>0</v>
      </c>
      <c r="BH2303">
        <v>1</v>
      </c>
      <c r="BI2303">
        <v>1</v>
      </c>
      <c r="BJ2303">
        <v>0.2</v>
      </c>
      <c r="BK2303">
        <v>1</v>
      </c>
      <c r="BL2303">
        <v>69.98</v>
      </c>
      <c r="BM2303">
        <v>10.5</v>
      </c>
      <c r="BN2303">
        <v>80.48</v>
      </c>
      <c r="BO2303">
        <v>80.48</v>
      </c>
      <c r="BQ2303" t="s">
        <v>213</v>
      </c>
      <c r="BR2303" t="s">
        <v>84</v>
      </c>
      <c r="BS2303" s="3">
        <v>45798</v>
      </c>
      <c r="BT2303" s="4">
        <v>0.35833333333333334</v>
      </c>
      <c r="BU2303" t="s">
        <v>1568</v>
      </c>
      <c r="BV2303" t="s">
        <v>86</v>
      </c>
      <c r="BY2303">
        <v>1200</v>
      </c>
      <c r="CA2303" t="s">
        <v>182</v>
      </c>
      <c r="CC2303" t="s">
        <v>178</v>
      </c>
      <c r="CD2303">
        <v>6021</v>
      </c>
      <c r="CE2303" t="s">
        <v>88</v>
      </c>
      <c r="CF2303" s="3">
        <v>45798</v>
      </c>
      <c r="CI2303">
        <v>1</v>
      </c>
      <c r="CJ2303">
        <v>1</v>
      </c>
      <c r="CK2303">
        <v>21</v>
      </c>
      <c r="CL2303" t="s">
        <v>89</v>
      </c>
    </row>
    <row r="2304" spans="1:90" x14ac:dyDescent="0.3">
      <c r="A2304" t="s">
        <v>72</v>
      </c>
      <c r="B2304" t="s">
        <v>73</v>
      </c>
      <c r="C2304" t="s">
        <v>74</v>
      </c>
      <c r="E2304" t="str">
        <f>"080065464515"</f>
        <v>080065464515</v>
      </c>
      <c r="F2304" s="3">
        <v>45797</v>
      </c>
      <c r="G2304">
        <v>202602</v>
      </c>
      <c r="H2304" t="s">
        <v>75</v>
      </c>
      <c r="I2304" t="s">
        <v>76</v>
      </c>
      <c r="J2304" t="s">
        <v>77</v>
      </c>
      <c r="K2304" t="s">
        <v>78</v>
      </c>
      <c r="L2304" t="s">
        <v>409</v>
      </c>
      <c r="M2304" t="s">
        <v>410</v>
      </c>
      <c r="N2304" t="s">
        <v>512</v>
      </c>
      <c r="O2304" t="s">
        <v>82</v>
      </c>
      <c r="P2304" t="str">
        <f>"4170039293                    "</f>
        <v xml:space="preserve">4170039293                    </v>
      </c>
      <c r="Q2304">
        <v>0</v>
      </c>
      <c r="R2304">
        <v>0</v>
      </c>
      <c r="S2304">
        <v>0</v>
      </c>
      <c r="T2304">
        <v>0</v>
      </c>
      <c r="U2304">
        <v>0</v>
      </c>
      <c r="V2304">
        <v>0</v>
      </c>
      <c r="W2304">
        <v>0</v>
      </c>
      <c r="X2304">
        <v>0</v>
      </c>
      <c r="Y2304">
        <v>0</v>
      </c>
      <c r="Z2304">
        <v>0</v>
      </c>
      <c r="AA2304">
        <v>0</v>
      </c>
      <c r="AB2304">
        <v>0</v>
      </c>
      <c r="AC2304">
        <v>0</v>
      </c>
      <c r="AD2304">
        <v>0</v>
      </c>
      <c r="AE2304">
        <v>0</v>
      </c>
      <c r="AF2304">
        <v>0</v>
      </c>
      <c r="AG2304">
        <v>0</v>
      </c>
      <c r="AH2304">
        <v>0</v>
      </c>
      <c r="AI2304">
        <v>0</v>
      </c>
      <c r="AJ2304">
        <v>0</v>
      </c>
      <c r="AK2304">
        <v>0</v>
      </c>
      <c r="AL2304">
        <v>0</v>
      </c>
      <c r="AM2304">
        <v>0</v>
      </c>
      <c r="AN2304">
        <v>0</v>
      </c>
      <c r="AO2304">
        <v>0</v>
      </c>
      <c r="AP2304">
        <v>0</v>
      </c>
      <c r="AQ2304">
        <v>69.489999999999995</v>
      </c>
      <c r="AR2304">
        <v>0</v>
      </c>
      <c r="AS2304">
        <v>0</v>
      </c>
      <c r="AT2304">
        <v>0</v>
      </c>
      <c r="AU2304">
        <v>0</v>
      </c>
      <c r="AV2304">
        <v>0</v>
      </c>
      <c r="AW2304">
        <v>0</v>
      </c>
      <c r="AX2304">
        <v>0</v>
      </c>
      <c r="AY2304">
        <v>0</v>
      </c>
      <c r="AZ2304">
        <v>0</v>
      </c>
      <c r="BA2304">
        <v>0</v>
      </c>
      <c r="BB2304">
        <v>0</v>
      </c>
      <c r="BC2304">
        <v>0</v>
      </c>
      <c r="BD2304">
        <v>0</v>
      </c>
      <c r="BE2304">
        <v>0</v>
      </c>
      <c r="BF2304">
        <v>0</v>
      </c>
      <c r="BG2304">
        <v>0</v>
      </c>
      <c r="BH2304">
        <v>1</v>
      </c>
      <c r="BI2304">
        <v>2</v>
      </c>
      <c r="BJ2304">
        <v>3.2</v>
      </c>
      <c r="BK2304">
        <v>3.5</v>
      </c>
      <c r="BL2304">
        <v>227.43</v>
      </c>
      <c r="BM2304">
        <v>34.11</v>
      </c>
      <c r="BN2304">
        <v>261.54000000000002</v>
      </c>
      <c r="BO2304">
        <v>261.54000000000002</v>
      </c>
      <c r="BQ2304" t="s">
        <v>513</v>
      </c>
      <c r="BR2304" t="s">
        <v>84</v>
      </c>
      <c r="BS2304" s="3">
        <v>45798</v>
      </c>
      <c r="BT2304" s="4">
        <v>0.49583333333333335</v>
      </c>
      <c r="BU2304" t="s">
        <v>2638</v>
      </c>
      <c r="BV2304" t="s">
        <v>86</v>
      </c>
      <c r="BY2304">
        <v>16128</v>
      </c>
      <c r="CA2304" t="s">
        <v>414</v>
      </c>
      <c r="CC2304" t="s">
        <v>410</v>
      </c>
      <c r="CD2304">
        <v>6850</v>
      </c>
      <c r="CE2304" t="s">
        <v>221</v>
      </c>
      <c r="CF2304" s="3">
        <v>45799</v>
      </c>
      <c r="CI2304">
        <v>2</v>
      </c>
      <c r="CJ2304">
        <v>1</v>
      </c>
      <c r="CK2304">
        <v>23</v>
      </c>
      <c r="CL2304" t="s">
        <v>89</v>
      </c>
    </row>
    <row r="2305" spans="1:90" x14ac:dyDescent="0.3">
      <c r="A2305" t="s">
        <v>72</v>
      </c>
      <c r="B2305" t="s">
        <v>73</v>
      </c>
      <c r="C2305" t="s">
        <v>74</v>
      </c>
      <c r="E2305" t="str">
        <f>"080065464532"</f>
        <v>080065464532</v>
      </c>
      <c r="F2305" s="3">
        <v>45797</v>
      </c>
      <c r="G2305">
        <v>202602</v>
      </c>
      <c r="H2305" t="s">
        <v>75</v>
      </c>
      <c r="I2305" t="s">
        <v>76</v>
      </c>
      <c r="J2305" t="s">
        <v>77</v>
      </c>
      <c r="K2305" t="s">
        <v>78</v>
      </c>
      <c r="L2305" t="s">
        <v>90</v>
      </c>
      <c r="M2305" t="s">
        <v>91</v>
      </c>
      <c r="N2305" t="s">
        <v>1411</v>
      </c>
      <c r="O2305" t="s">
        <v>82</v>
      </c>
      <c r="P2305" t="str">
        <f>"4170039437                    "</f>
        <v xml:space="preserve">4170039437                    </v>
      </c>
      <c r="Q2305">
        <v>0</v>
      </c>
      <c r="R2305">
        <v>0</v>
      </c>
      <c r="S2305">
        <v>0</v>
      </c>
      <c r="T2305">
        <v>0</v>
      </c>
      <c r="U2305">
        <v>0</v>
      </c>
      <c r="V2305">
        <v>0</v>
      </c>
      <c r="W2305">
        <v>0</v>
      </c>
      <c r="X2305">
        <v>0</v>
      </c>
      <c r="Y2305">
        <v>0</v>
      </c>
      <c r="Z2305">
        <v>0</v>
      </c>
      <c r="AA2305">
        <v>0</v>
      </c>
      <c r="AB2305">
        <v>0</v>
      </c>
      <c r="AC2305">
        <v>0</v>
      </c>
      <c r="AD2305">
        <v>0</v>
      </c>
      <c r="AE2305">
        <v>0</v>
      </c>
      <c r="AF2305">
        <v>0</v>
      </c>
      <c r="AG2305">
        <v>0</v>
      </c>
      <c r="AH2305">
        <v>0</v>
      </c>
      <c r="AI2305">
        <v>0</v>
      </c>
      <c r="AJ2305">
        <v>0</v>
      </c>
      <c r="AK2305">
        <v>0</v>
      </c>
      <c r="AL2305">
        <v>0</v>
      </c>
      <c r="AM2305">
        <v>0</v>
      </c>
      <c r="AN2305">
        <v>0</v>
      </c>
      <c r="AO2305">
        <v>0</v>
      </c>
      <c r="AP2305">
        <v>0</v>
      </c>
      <c r="AQ2305">
        <v>21.38</v>
      </c>
      <c r="AR2305">
        <v>0</v>
      </c>
      <c r="AS2305">
        <v>0</v>
      </c>
      <c r="AT2305">
        <v>0</v>
      </c>
      <c r="AU2305">
        <v>0</v>
      </c>
      <c r="AV2305">
        <v>0</v>
      </c>
      <c r="AW2305">
        <v>0</v>
      </c>
      <c r="AX2305">
        <v>0</v>
      </c>
      <c r="AY2305">
        <v>0</v>
      </c>
      <c r="AZ2305">
        <v>0</v>
      </c>
      <c r="BA2305">
        <v>0</v>
      </c>
      <c r="BB2305">
        <v>0</v>
      </c>
      <c r="BC2305">
        <v>0</v>
      </c>
      <c r="BD2305">
        <v>0</v>
      </c>
      <c r="BE2305">
        <v>0</v>
      </c>
      <c r="BF2305">
        <v>0</v>
      </c>
      <c r="BG2305">
        <v>0</v>
      </c>
      <c r="BH2305">
        <v>1</v>
      </c>
      <c r="BI2305">
        <v>1</v>
      </c>
      <c r="BJ2305">
        <v>0.2</v>
      </c>
      <c r="BK2305">
        <v>1</v>
      </c>
      <c r="BL2305">
        <v>69.98</v>
      </c>
      <c r="BM2305">
        <v>10.5</v>
      </c>
      <c r="BN2305">
        <v>80.48</v>
      </c>
      <c r="BO2305">
        <v>80.48</v>
      </c>
      <c r="BQ2305" t="s">
        <v>1412</v>
      </c>
      <c r="BR2305" t="s">
        <v>84</v>
      </c>
      <c r="BS2305" s="3">
        <v>45798</v>
      </c>
      <c r="BT2305" s="4">
        <v>0.42430555555555555</v>
      </c>
      <c r="BU2305" t="s">
        <v>1822</v>
      </c>
      <c r="BV2305" t="s">
        <v>86</v>
      </c>
      <c r="BY2305">
        <v>1200</v>
      </c>
      <c r="CA2305" t="s">
        <v>271</v>
      </c>
      <c r="CC2305" t="s">
        <v>91</v>
      </c>
      <c r="CD2305">
        <v>6001</v>
      </c>
      <c r="CE2305" t="s">
        <v>88</v>
      </c>
      <c r="CF2305" s="3">
        <v>45798</v>
      </c>
      <c r="CI2305">
        <v>1</v>
      </c>
      <c r="CJ2305">
        <v>1</v>
      </c>
      <c r="CK2305">
        <v>21</v>
      </c>
      <c r="CL2305" t="s">
        <v>89</v>
      </c>
    </row>
    <row r="2306" spans="1:90" x14ac:dyDescent="0.3">
      <c r="A2306" t="s">
        <v>72</v>
      </c>
      <c r="B2306" t="s">
        <v>73</v>
      </c>
      <c r="C2306" t="s">
        <v>74</v>
      </c>
      <c r="E2306" t="str">
        <f>"080065464548"</f>
        <v>080065464548</v>
      </c>
      <c r="F2306" s="3">
        <v>45797</v>
      </c>
      <c r="G2306">
        <v>202602</v>
      </c>
      <c r="H2306" t="s">
        <v>75</v>
      </c>
      <c r="I2306" t="s">
        <v>76</v>
      </c>
      <c r="J2306" t="s">
        <v>77</v>
      </c>
      <c r="K2306" t="s">
        <v>78</v>
      </c>
      <c r="L2306" t="s">
        <v>90</v>
      </c>
      <c r="M2306" t="s">
        <v>91</v>
      </c>
      <c r="N2306" t="s">
        <v>865</v>
      </c>
      <c r="O2306" t="s">
        <v>82</v>
      </c>
      <c r="P2306" t="str">
        <f>"4170039302                    "</f>
        <v xml:space="preserve">4170039302                    </v>
      </c>
      <c r="Q2306">
        <v>0</v>
      </c>
      <c r="R2306">
        <v>0</v>
      </c>
      <c r="S2306">
        <v>0</v>
      </c>
      <c r="T2306">
        <v>0</v>
      </c>
      <c r="U2306">
        <v>0</v>
      </c>
      <c r="V2306">
        <v>0</v>
      </c>
      <c r="W2306">
        <v>0</v>
      </c>
      <c r="X2306">
        <v>0</v>
      </c>
      <c r="Y2306">
        <v>0</v>
      </c>
      <c r="Z2306">
        <v>0</v>
      </c>
      <c r="AA2306">
        <v>0</v>
      </c>
      <c r="AB2306">
        <v>0</v>
      </c>
      <c r="AC2306">
        <v>0</v>
      </c>
      <c r="AD2306">
        <v>0</v>
      </c>
      <c r="AE2306">
        <v>0</v>
      </c>
      <c r="AF2306">
        <v>0</v>
      </c>
      <c r="AG2306">
        <v>0</v>
      </c>
      <c r="AH2306">
        <v>0</v>
      </c>
      <c r="AI2306">
        <v>0</v>
      </c>
      <c r="AJ2306">
        <v>0</v>
      </c>
      <c r="AK2306">
        <v>0</v>
      </c>
      <c r="AL2306">
        <v>0</v>
      </c>
      <c r="AM2306">
        <v>0</v>
      </c>
      <c r="AN2306">
        <v>0</v>
      </c>
      <c r="AO2306">
        <v>0</v>
      </c>
      <c r="AP2306">
        <v>0</v>
      </c>
      <c r="AQ2306">
        <v>21.38</v>
      </c>
      <c r="AR2306">
        <v>0</v>
      </c>
      <c r="AS2306">
        <v>0</v>
      </c>
      <c r="AT2306">
        <v>0</v>
      </c>
      <c r="AU2306">
        <v>0</v>
      </c>
      <c r="AV2306">
        <v>0</v>
      </c>
      <c r="AW2306">
        <v>0</v>
      </c>
      <c r="AX2306">
        <v>0</v>
      </c>
      <c r="AY2306">
        <v>0</v>
      </c>
      <c r="AZ2306">
        <v>0</v>
      </c>
      <c r="BA2306">
        <v>0</v>
      </c>
      <c r="BB2306">
        <v>0</v>
      </c>
      <c r="BC2306">
        <v>0</v>
      </c>
      <c r="BD2306">
        <v>0</v>
      </c>
      <c r="BE2306">
        <v>0</v>
      </c>
      <c r="BF2306">
        <v>0</v>
      </c>
      <c r="BG2306">
        <v>0</v>
      </c>
      <c r="BH2306">
        <v>1</v>
      </c>
      <c r="BI2306">
        <v>2</v>
      </c>
      <c r="BJ2306">
        <v>1.4</v>
      </c>
      <c r="BK2306">
        <v>2</v>
      </c>
      <c r="BL2306">
        <v>69.98</v>
      </c>
      <c r="BM2306">
        <v>10.5</v>
      </c>
      <c r="BN2306">
        <v>80.48</v>
      </c>
      <c r="BO2306">
        <v>80.48</v>
      </c>
      <c r="BQ2306" t="s">
        <v>866</v>
      </c>
      <c r="BR2306" t="s">
        <v>84</v>
      </c>
      <c r="BS2306" s="3">
        <v>45798</v>
      </c>
      <c r="BT2306" s="4">
        <v>0.44444444444444442</v>
      </c>
      <c r="BU2306" t="s">
        <v>2639</v>
      </c>
      <c r="BV2306" t="s">
        <v>89</v>
      </c>
      <c r="BW2306" t="s">
        <v>296</v>
      </c>
      <c r="BX2306" t="s">
        <v>2059</v>
      </c>
      <c r="BY2306">
        <v>7000</v>
      </c>
      <c r="CA2306" t="s">
        <v>824</v>
      </c>
      <c r="CC2306" t="s">
        <v>91</v>
      </c>
      <c r="CD2306">
        <v>6001</v>
      </c>
      <c r="CE2306" t="s">
        <v>116</v>
      </c>
      <c r="CF2306" s="3">
        <v>45798</v>
      </c>
      <c r="CI2306">
        <v>1</v>
      </c>
      <c r="CJ2306">
        <v>1</v>
      </c>
      <c r="CK2306">
        <v>21</v>
      </c>
      <c r="CL2306" t="s">
        <v>89</v>
      </c>
    </row>
    <row r="2307" spans="1:90" x14ac:dyDescent="0.3">
      <c r="A2307" t="s">
        <v>72</v>
      </c>
      <c r="B2307" t="s">
        <v>73</v>
      </c>
      <c r="C2307" t="s">
        <v>74</v>
      </c>
      <c r="E2307" t="str">
        <f>"080065464555"</f>
        <v>080065464555</v>
      </c>
      <c r="F2307" s="3">
        <v>45797</v>
      </c>
      <c r="G2307">
        <v>202602</v>
      </c>
      <c r="H2307" t="s">
        <v>75</v>
      </c>
      <c r="I2307" t="s">
        <v>76</v>
      </c>
      <c r="J2307" t="s">
        <v>77</v>
      </c>
      <c r="K2307" t="s">
        <v>78</v>
      </c>
      <c r="L2307" t="s">
        <v>130</v>
      </c>
      <c r="M2307" t="s">
        <v>131</v>
      </c>
      <c r="N2307" t="s">
        <v>709</v>
      </c>
      <c r="O2307" t="s">
        <v>82</v>
      </c>
      <c r="P2307" t="str">
        <f>"4170039469                    "</f>
        <v xml:space="preserve">4170039469                    </v>
      </c>
      <c r="Q2307">
        <v>0</v>
      </c>
      <c r="R2307">
        <v>0</v>
      </c>
      <c r="S2307">
        <v>0</v>
      </c>
      <c r="T2307">
        <v>0</v>
      </c>
      <c r="U2307">
        <v>0</v>
      </c>
      <c r="V2307">
        <v>0</v>
      </c>
      <c r="W2307">
        <v>0</v>
      </c>
      <c r="X2307">
        <v>0</v>
      </c>
      <c r="Y2307">
        <v>0</v>
      </c>
      <c r="Z2307">
        <v>0</v>
      </c>
      <c r="AA2307">
        <v>0</v>
      </c>
      <c r="AB2307">
        <v>0</v>
      </c>
      <c r="AC2307">
        <v>0</v>
      </c>
      <c r="AD2307">
        <v>0</v>
      </c>
      <c r="AE2307">
        <v>0</v>
      </c>
      <c r="AF2307">
        <v>0</v>
      </c>
      <c r="AG2307">
        <v>0</v>
      </c>
      <c r="AH2307">
        <v>0</v>
      </c>
      <c r="AI2307">
        <v>0</v>
      </c>
      <c r="AJ2307">
        <v>0</v>
      </c>
      <c r="AK2307">
        <v>0</v>
      </c>
      <c r="AL2307">
        <v>0</v>
      </c>
      <c r="AM2307">
        <v>0</v>
      </c>
      <c r="AN2307">
        <v>0</v>
      </c>
      <c r="AO2307">
        <v>0</v>
      </c>
      <c r="AP2307">
        <v>0</v>
      </c>
      <c r="AQ2307">
        <v>21.38</v>
      </c>
      <c r="AR2307">
        <v>0</v>
      </c>
      <c r="AS2307">
        <v>0</v>
      </c>
      <c r="AT2307">
        <v>0</v>
      </c>
      <c r="AU2307">
        <v>0</v>
      </c>
      <c r="AV2307">
        <v>0</v>
      </c>
      <c r="AW2307">
        <v>0</v>
      </c>
      <c r="AX2307">
        <v>0</v>
      </c>
      <c r="AY2307">
        <v>0</v>
      </c>
      <c r="AZ2307">
        <v>0</v>
      </c>
      <c r="BA2307">
        <v>0</v>
      </c>
      <c r="BB2307">
        <v>0</v>
      </c>
      <c r="BC2307">
        <v>0</v>
      </c>
      <c r="BD2307">
        <v>0</v>
      </c>
      <c r="BE2307">
        <v>0</v>
      </c>
      <c r="BF2307">
        <v>0</v>
      </c>
      <c r="BG2307">
        <v>0</v>
      </c>
      <c r="BH2307">
        <v>1</v>
      </c>
      <c r="BI2307">
        <v>1</v>
      </c>
      <c r="BJ2307">
        <v>0.2</v>
      </c>
      <c r="BK2307">
        <v>1</v>
      </c>
      <c r="BL2307">
        <v>69.98</v>
      </c>
      <c r="BM2307">
        <v>10.5</v>
      </c>
      <c r="BN2307">
        <v>80.48</v>
      </c>
      <c r="BO2307">
        <v>80.48</v>
      </c>
      <c r="BQ2307" t="s">
        <v>710</v>
      </c>
      <c r="BR2307" t="s">
        <v>84</v>
      </c>
      <c r="BS2307" s="3">
        <v>45798</v>
      </c>
      <c r="BT2307" s="4">
        <v>0.33680555555555558</v>
      </c>
      <c r="BU2307" t="s">
        <v>1272</v>
      </c>
      <c r="BV2307" t="s">
        <v>86</v>
      </c>
      <c r="BY2307">
        <v>1200</v>
      </c>
      <c r="CA2307" t="s">
        <v>712</v>
      </c>
      <c r="CC2307" t="s">
        <v>131</v>
      </c>
      <c r="CD2307">
        <v>7530</v>
      </c>
      <c r="CE2307" t="s">
        <v>88</v>
      </c>
      <c r="CF2307" s="3">
        <v>45799</v>
      </c>
      <c r="CI2307">
        <v>1</v>
      </c>
      <c r="CJ2307">
        <v>1</v>
      </c>
      <c r="CK2307">
        <v>21</v>
      </c>
      <c r="CL2307" t="s">
        <v>89</v>
      </c>
    </row>
    <row r="2308" spans="1:90" x14ac:dyDescent="0.3">
      <c r="A2308" t="s">
        <v>72</v>
      </c>
      <c r="B2308" t="s">
        <v>73</v>
      </c>
      <c r="C2308" t="s">
        <v>74</v>
      </c>
      <c r="E2308" t="str">
        <f>"080065464571"</f>
        <v>080065464571</v>
      </c>
      <c r="F2308" s="3">
        <v>45797</v>
      </c>
      <c r="G2308">
        <v>202602</v>
      </c>
      <c r="H2308" t="s">
        <v>75</v>
      </c>
      <c r="I2308" t="s">
        <v>76</v>
      </c>
      <c r="J2308" t="s">
        <v>77</v>
      </c>
      <c r="K2308" t="s">
        <v>78</v>
      </c>
      <c r="L2308" t="s">
        <v>350</v>
      </c>
      <c r="M2308" t="s">
        <v>351</v>
      </c>
      <c r="N2308" t="s">
        <v>678</v>
      </c>
      <c r="O2308" t="s">
        <v>82</v>
      </c>
      <c r="P2308" t="str">
        <f>"4170039522                    "</f>
        <v xml:space="preserve">4170039522                    </v>
      </c>
      <c r="Q2308">
        <v>0</v>
      </c>
      <c r="R2308">
        <v>0</v>
      </c>
      <c r="S2308">
        <v>0</v>
      </c>
      <c r="T2308">
        <v>0</v>
      </c>
      <c r="U2308">
        <v>0</v>
      </c>
      <c r="V2308">
        <v>0</v>
      </c>
      <c r="W2308">
        <v>0</v>
      </c>
      <c r="X2308">
        <v>0</v>
      </c>
      <c r="Y2308">
        <v>0</v>
      </c>
      <c r="Z2308">
        <v>0</v>
      </c>
      <c r="AA2308">
        <v>0</v>
      </c>
      <c r="AB2308">
        <v>0</v>
      </c>
      <c r="AC2308">
        <v>0</v>
      </c>
      <c r="AD2308">
        <v>0</v>
      </c>
      <c r="AE2308">
        <v>0</v>
      </c>
      <c r="AF2308">
        <v>0</v>
      </c>
      <c r="AG2308">
        <v>0</v>
      </c>
      <c r="AH2308">
        <v>0</v>
      </c>
      <c r="AI2308">
        <v>0</v>
      </c>
      <c r="AJ2308">
        <v>0</v>
      </c>
      <c r="AK2308">
        <v>0</v>
      </c>
      <c r="AL2308">
        <v>0</v>
      </c>
      <c r="AM2308">
        <v>0</v>
      </c>
      <c r="AN2308">
        <v>0</v>
      </c>
      <c r="AO2308">
        <v>0</v>
      </c>
      <c r="AP2308">
        <v>0</v>
      </c>
      <c r="AQ2308">
        <v>21.38</v>
      </c>
      <c r="AR2308">
        <v>0</v>
      </c>
      <c r="AS2308">
        <v>0</v>
      </c>
      <c r="AT2308">
        <v>0</v>
      </c>
      <c r="AU2308">
        <v>0</v>
      </c>
      <c r="AV2308">
        <v>0</v>
      </c>
      <c r="AW2308">
        <v>0</v>
      </c>
      <c r="AX2308">
        <v>0</v>
      </c>
      <c r="AY2308">
        <v>0</v>
      </c>
      <c r="AZ2308">
        <v>0</v>
      </c>
      <c r="BA2308">
        <v>0</v>
      </c>
      <c r="BB2308">
        <v>0</v>
      </c>
      <c r="BC2308">
        <v>0</v>
      </c>
      <c r="BD2308">
        <v>0</v>
      </c>
      <c r="BE2308">
        <v>0</v>
      </c>
      <c r="BF2308">
        <v>0</v>
      </c>
      <c r="BG2308">
        <v>0</v>
      </c>
      <c r="BH2308">
        <v>1</v>
      </c>
      <c r="BI2308">
        <v>1</v>
      </c>
      <c r="BJ2308">
        <v>0.2</v>
      </c>
      <c r="BK2308">
        <v>1</v>
      </c>
      <c r="BL2308">
        <v>69.98</v>
      </c>
      <c r="BM2308">
        <v>10.5</v>
      </c>
      <c r="BN2308">
        <v>80.48</v>
      </c>
      <c r="BO2308">
        <v>80.48</v>
      </c>
      <c r="BQ2308" t="s">
        <v>679</v>
      </c>
      <c r="BR2308" t="s">
        <v>84</v>
      </c>
      <c r="BS2308" s="3">
        <v>45798</v>
      </c>
      <c r="BT2308" s="4">
        <v>0.38472222222222224</v>
      </c>
      <c r="BU2308" t="s">
        <v>680</v>
      </c>
      <c r="BV2308" t="s">
        <v>86</v>
      </c>
      <c r="BY2308">
        <v>1200</v>
      </c>
      <c r="CA2308" t="s">
        <v>326</v>
      </c>
      <c r="CC2308" t="s">
        <v>351</v>
      </c>
      <c r="CD2308">
        <v>4052</v>
      </c>
      <c r="CE2308" t="s">
        <v>88</v>
      </c>
      <c r="CF2308" s="3">
        <v>45798</v>
      </c>
      <c r="CI2308">
        <v>1</v>
      </c>
      <c r="CJ2308">
        <v>1</v>
      </c>
      <c r="CK2308">
        <v>21</v>
      </c>
      <c r="CL2308" t="s">
        <v>89</v>
      </c>
    </row>
    <row r="2309" spans="1:90" x14ac:dyDescent="0.3">
      <c r="A2309" t="s">
        <v>72</v>
      </c>
      <c r="B2309" t="s">
        <v>73</v>
      </c>
      <c r="C2309" t="s">
        <v>74</v>
      </c>
      <c r="E2309" t="str">
        <f>"080065464581"</f>
        <v>080065464581</v>
      </c>
      <c r="F2309" s="3">
        <v>45797</v>
      </c>
      <c r="G2309">
        <v>202602</v>
      </c>
      <c r="H2309" t="s">
        <v>75</v>
      </c>
      <c r="I2309" t="s">
        <v>76</v>
      </c>
      <c r="J2309" t="s">
        <v>77</v>
      </c>
      <c r="K2309" t="s">
        <v>78</v>
      </c>
      <c r="L2309" t="s">
        <v>75</v>
      </c>
      <c r="M2309" t="s">
        <v>76</v>
      </c>
      <c r="N2309" t="s">
        <v>803</v>
      </c>
      <c r="O2309" t="s">
        <v>82</v>
      </c>
      <c r="P2309" t="str">
        <f>"4170039353                    "</f>
        <v xml:space="preserve">4170039353                    </v>
      </c>
      <c r="Q2309">
        <v>0</v>
      </c>
      <c r="R2309">
        <v>0</v>
      </c>
      <c r="S2309">
        <v>0</v>
      </c>
      <c r="T2309">
        <v>0</v>
      </c>
      <c r="U2309">
        <v>0</v>
      </c>
      <c r="V2309">
        <v>0</v>
      </c>
      <c r="W2309">
        <v>0</v>
      </c>
      <c r="X2309">
        <v>0</v>
      </c>
      <c r="Y2309">
        <v>0</v>
      </c>
      <c r="Z2309">
        <v>0</v>
      </c>
      <c r="AA2309">
        <v>0</v>
      </c>
      <c r="AB2309">
        <v>0</v>
      </c>
      <c r="AC2309">
        <v>0</v>
      </c>
      <c r="AD2309">
        <v>0</v>
      </c>
      <c r="AE2309">
        <v>0</v>
      </c>
      <c r="AF2309">
        <v>0</v>
      </c>
      <c r="AG2309">
        <v>0</v>
      </c>
      <c r="AH2309">
        <v>0</v>
      </c>
      <c r="AI2309">
        <v>0</v>
      </c>
      <c r="AJ2309">
        <v>0</v>
      </c>
      <c r="AK2309">
        <v>0</v>
      </c>
      <c r="AL2309">
        <v>0</v>
      </c>
      <c r="AM2309">
        <v>0</v>
      </c>
      <c r="AN2309">
        <v>0</v>
      </c>
      <c r="AO2309">
        <v>0</v>
      </c>
      <c r="AP2309">
        <v>0</v>
      </c>
      <c r="AQ2309">
        <v>16.7</v>
      </c>
      <c r="AR2309">
        <v>0</v>
      </c>
      <c r="AS2309">
        <v>0</v>
      </c>
      <c r="AT2309">
        <v>0</v>
      </c>
      <c r="AU2309">
        <v>0</v>
      </c>
      <c r="AV2309">
        <v>0</v>
      </c>
      <c r="AW2309">
        <v>0</v>
      </c>
      <c r="AX2309">
        <v>0</v>
      </c>
      <c r="AY2309">
        <v>0</v>
      </c>
      <c r="AZ2309">
        <v>0</v>
      </c>
      <c r="BA2309">
        <v>0</v>
      </c>
      <c r="BB2309">
        <v>0</v>
      </c>
      <c r="BC2309">
        <v>0</v>
      </c>
      <c r="BD2309">
        <v>0</v>
      </c>
      <c r="BE2309">
        <v>0</v>
      </c>
      <c r="BF2309">
        <v>0</v>
      </c>
      <c r="BG2309">
        <v>0</v>
      </c>
      <c r="BH2309">
        <v>1</v>
      </c>
      <c r="BI2309">
        <v>8</v>
      </c>
      <c r="BJ2309">
        <v>3.4</v>
      </c>
      <c r="BK2309">
        <v>8</v>
      </c>
      <c r="BL2309">
        <v>54.66</v>
      </c>
      <c r="BM2309">
        <v>8.1999999999999993</v>
      </c>
      <c r="BN2309">
        <v>62.86</v>
      </c>
      <c r="BO2309">
        <v>62.86</v>
      </c>
      <c r="BQ2309" t="s">
        <v>804</v>
      </c>
      <c r="BR2309" t="s">
        <v>84</v>
      </c>
      <c r="BS2309" s="3">
        <v>45798</v>
      </c>
      <c r="BT2309" s="4">
        <v>0.39513888888888887</v>
      </c>
      <c r="BU2309" t="s">
        <v>2168</v>
      </c>
      <c r="BV2309" t="s">
        <v>86</v>
      </c>
      <c r="BY2309">
        <v>16965</v>
      </c>
      <c r="CA2309" t="s">
        <v>484</v>
      </c>
      <c r="CC2309" t="s">
        <v>76</v>
      </c>
      <c r="CD2309">
        <v>1619</v>
      </c>
      <c r="CE2309" t="s">
        <v>96</v>
      </c>
      <c r="CF2309" s="3">
        <v>45798</v>
      </c>
      <c r="CI2309">
        <v>1</v>
      </c>
      <c r="CJ2309">
        <v>1</v>
      </c>
      <c r="CK2309">
        <v>22</v>
      </c>
      <c r="CL2309" t="s">
        <v>89</v>
      </c>
    </row>
    <row r="2310" spans="1:90" x14ac:dyDescent="0.3">
      <c r="A2310" t="s">
        <v>72</v>
      </c>
      <c r="B2310" t="s">
        <v>73</v>
      </c>
      <c r="C2310" t="s">
        <v>74</v>
      </c>
      <c r="E2310" t="str">
        <f>"080065464596"</f>
        <v>080065464596</v>
      </c>
      <c r="F2310" s="3">
        <v>45797</v>
      </c>
      <c r="G2310">
        <v>202602</v>
      </c>
      <c r="H2310" t="s">
        <v>75</v>
      </c>
      <c r="I2310" t="s">
        <v>76</v>
      </c>
      <c r="J2310" t="s">
        <v>77</v>
      </c>
      <c r="K2310" t="s">
        <v>78</v>
      </c>
      <c r="L2310" t="s">
        <v>610</v>
      </c>
      <c r="M2310" t="s">
        <v>611</v>
      </c>
      <c r="N2310" t="s">
        <v>612</v>
      </c>
      <c r="O2310" t="s">
        <v>82</v>
      </c>
      <c r="P2310" t="str">
        <f>"4170039377                    "</f>
        <v xml:space="preserve">4170039377                    </v>
      </c>
      <c r="Q2310">
        <v>0</v>
      </c>
      <c r="R2310">
        <v>0</v>
      </c>
      <c r="S2310">
        <v>0</v>
      </c>
      <c r="T2310">
        <v>0</v>
      </c>
      <c r="U2310">
        <v>0</v>
      </c>
      <c r="V2310">
        <v>0</v>
      </c>
      <c r="W2310">
        <v>0</v>
      </c>
      <c r="X2310">
        <v>0</v>
      </c>
      <c r="Y2310">
        <v>0</v>
      </c>
      <c r="Z2310">
        <v>0</v>
      </c>
      <c r="AA2310">
        <v>0</v>
      </c>
      <c r="AB2310">
        <v>0</v>
      </c>
      <c r="AC2310">
        <v>0</v>
      </c>
      <c r="AD2310">
        <v>0</v>
      </c>
      <c r="AE2310">
        <v>0</v>
      </c>
      <c r="AF2310">
        <v>0</v>
      </c>
      <c r="AG2310">
        <v>0</v>
      </c>
      <c r="AH2310">
        <v>0</v>
      </c>
      <c r="AI2310">
        <v>0</v>
      </c>
      <c r="AJ2310">
        <v>0</v>
      </c>
      <c r="AK2310">
        <v>0</v>
      </c>
      <c r="AL2310">
        <v>0</v>
      </c>
      <c r="AM2310">
        <v>0</v>
      </c>
      <c r="AN2310">
        <v>0</v>
      </c>
      <c r="AO2310">
        <v>0</v>
      </c>
      <c r="AP2310">
        <v>0</v>
      </c>
      <c r="AQ2310">
        <v>41.43</v>
      </c>
      <c r="AR2310">
        <v>0</v>
      </c>
      <c r="AS2310">
        <v>0</v>
      </c>
      <c r="AT2310">
        <v>0</v>
      </c>
      <c r="AU2310">
        <v>0</v>
      </c>
      <c r="AV2310">
        <v>0</v>
      </c>
      <c r="AW2310">
        <v>0</v>
      </c>
      <c r="AX2310">
        <v>0</v>
      </c>
      <c r="AY2310">
        <v>0</v>
      </c>
      <c r="AZ2310">
        <v>0</v>
      </c>
      <c r="BA2310">
        <v>0</v>
      </c>
      <c r="BB2310">
        <v>0</v>
      </c>
      <c r="BC2310">
        <v>0</v>
      </c>
      <c r="BD2310">
        <v>0</v>
      </c>
      <c r="BE2310">
        <v>0</v>
      </c>
      <c r="BF2310">
        <v>0</v>
      </c>
      <c r="BG2310">
        <v>0</v>
      </c>
      <c r="BH2310">
        <v>1</v>
      </c>
      <c r="BI2310">
        <v>1</v>
      </c>
      <c r="BJ2310">
        <v>0.2</v>
      </c>
      <c r="BK2310">
        <v>1</v>
      </c>
      <c r="BL2310">
        <v>135.59</v>
      </c>
      <c r="BM2310">
        <v>20.34</v>
      </c>
      <c r="BN2310">
        <v>155.93</v>
      </c>
      <c r="BO2310">
        <v>155.93</v>
      </c>
      <c r="BQ2310" t="s">
        <v>613</v>
      </c>
      <c r="BR2310" t="s">
        <v>84</v>
      </c>
      <c r="BS2310" s="3">
        <v>45798</v>
      </c>
      <c r="BT2310" s="4">
        <v>0.49791666666666667</v>
      </c>
      <c r="BU2310" t="s">
        <v>2640</v>
      </c>
      <c r="BV2310" t="s">
        <v>86</v>
      </c>
      <c r="BY2310">
        <v>1200</v>
      </c>
      <c r="CC2310" t="s">
        <v>611</v>
      </c>
      <c r="CD2310">
        <v>7349</v>
      </c>
      <c r="CE2310" t="s">
        <v>88</v>
      </c>
      <c r="CF2310" s="3">
        <v>45799</v>
      </c>
      <c r="CI2310">
        <v>1</v>
      </c>
      <c r="CJ2310">
        <v>1</v>
      </c>
      <c r="CK2310">
        <v>23</v>
      </c>
      <c r="CL2310" t="s">
        <v>89</v>
      </c>
    </row>
    <row r="2311" spans="1:90" x14ac:dyDescent="0.3">
      <c r="A2311" t="s">
        <v>72</v>
      </c>
      <c r="B2311" t="s">
        <v>73</v>
      </c>
      <c r="C2311" t="s">
        <v>74</v>
      </c>
      <c r="E2311" t="str">
        <f>"080065464618"</f>
        <v>080065464618</v>
      </c>
      <c r="F2311" s="3">
        <v>45797</v>
      </c>
      <c r="G2311">
        <v>202602</v>
      </c>
      <c r="H2311" t="s">
        <v>75</v>
      </c>
      <c r="I2311" t="s">
        <v>76</v>
      </c>
      <c r="J2311" t="s">
        <v>77</v>
      </c>
      <c r="K2311" t="s">
        <v>78</v>
      </c>
      <c r="L2311" t="s">
        <v>567</v>
      </c>
      <c r="M2311" t="s">
        <v>568</v>
      </c>
      <c r="N2311" t="s">
        <v>1590</v>
      </c>
      <c r="O2311" t="s">
        <v>82</v>
      </c>
      <c r="P2311" t="str">
        <f>"4170039471                    "</f>
        <v xml:space="preserve">4170039471                    </v>
      </c>
      <c r="Q2311">
        <v>0</v>
      </c>
      <c r="R2311">
        <v>0</v>
      </c>
      <c r="S2311">
        <v>0</v>
      </c>
      <c r="T2311">
        <v>0</v>
      </c>
      <c r="U2311">
        <v>0</v>
      </c>
      <c r="V2311">
        <v>0</v>
      </c>
      <c r="W2311">
        <v>0</v>
      </c>
      <c r="X2311">
        <v>0</v>
      </c>
      <c r="Y2311">
        <v>0</v>
      </c>
      <c r="Z2311">
        <v>0</v>
      </c>
      <c r="AA2311">
        <v>0</v>
      </c>
      <c r="AB2311">
        <v>0</v>
      </c>
      <c r="AC2311">
        <v>0</v>
      </c>
      <c r="AD2311">
        <v>0</v>
      </c>
      <c r="AE2311">
        <v>0</v>
      </c>
      <c r="AF2311">
        <v>0</v>
      </c>
      <c r="AG2311">
        <v>0</v>
      </c>
      <c r="AH2311">
        <v>0</v>
      </c>
      <c r="AI2311">
        <v>0</v>
      </c>
      <c r="AJ2311">
        <v>0</v>
      </c>
      <c r="AK2311">
        <v>0</v>
      </c>
      <c r="AL2311">
        <v>0</v>
      </c>
      <c r="AM2311">
        <v>0</v>
      </c>
      <c r="AN2311">
        <v>0</v>
      </c>
      <c r="AO2311">
        <v>0</v>
      </c>
      <c r="AP2311">
        <v>0</v>
      </c>
      <c r="AQ2311">
        <v>41.43</v>
      </c>
      <c r="AR2311">
        <v>0</v>
      </c>
      <c r="AS2311">
        <v>0</v>
      </c>
      <c r="AT2311">
        <v>0</v>
      </c>
      <c r="AU2311">
        <v>0</v>
      </c>
      <c r="AV2311">
        <v>0</v>
      </c>
      <c r="AW2311">
        <v>0</v>
      </c>
      <c r="AX2311">
        <v>0</v>
      </c>
      <c r="AY2311">
        <v>0</v>
      </c>
      <c r="AZ2311">
        <v>0</v>
      </c>
      <c r="BA2311">
        <v>0</v>
      </c>
      <c r="BB2311">
        <v>0</v>
      </c>
      <c r="BC2311">
        <v>0</v>
      </c>
      <c r="BD2311">
        <v>0</v>
      </c>
      <c r="BE2311">
        <v>0</v>
      </c>
      <c r="BF2311">
        <v>0</v>
      </c>
      <c r="BG2311">
        <v>0</v>
      </c>
      <c r="BH2311">
        <v>1</v>
      </c>
      <c r="BI2311">
        <v>1</v>
      </c>
      <c r="BJ2311">
        <v>0.9</v>
      </c>
      <c r="BK2311">
        <v>1</v>
      </c>
      <c r="BL2311">
        <v>135.59</v>
      </c>
      <c r="BM2311">
        <v>20.34</v>
      </c>
      <c r="BN2311">
        <v>155.93</v>
      </c>
      <c r="BO2311">
        <v>155.93</v>
      </c>
      <c r="BQ2311" t="s">
        <v>1591</v>
      </c>
      <c r="BR2311" t="s">
        <v>84</v>
      </c>
      <c r="BS2311" s="3">
        <v>45798</v>
      </c>
      <c r="BT2311" s="4">
        <v>0.46180555555555558</v>
      </c>
      <c r="BU2311" t="s">
        <v>2004</v>
      </c>
      <c r="BV2311" t="s">
        <v>86</v>
      </c>
      <c r="BY2311">
        <v>4275</v>
      </c>
      <c r="CA2311" t="s">
        <v>572</v>
      </c>
      <c r="CC2311" t="s">
        <v>568</v>
      </c>
      <c r="CD2311" s="5" t="s">
        <v>573</v>
      </c>
      <c r="CE2311" t="s">
        <v>116</v>
      </c>
      <c r="CF2311" s="3">
        <v>45799</v>
      </c>
      <c r="CI2311">
        <v>1</v>
      </c>
      <c r="CJ2311">
        <v>1</v>
      </c>
      <c r="CK2311">
        <v>23</v>
      </c>
      <c r="CL2311" t="s">
        <v>89</v>
      </c>
    </row>
    <row r="2312" spans="1:90" x14ac:dyDescent="0.3">
      <c r="A2312" t="s">
        <v>72</v>
      </c>
      <c r="B2312" t="s">
        <v>73</v>
      </c>
      <c r="C2312" t="s">
        <v>74</v>
      </c>
      <c r="E2312" t="str">
        <f>"080065464623"</f>
        <v>080065464623</v>
      </c>
      <c r="F2312" s="3">
        <v>45797</v>
      </c>
      <c r="G2312">
        <v>202602</v>
      </c>
      <c r="H2312" t="s">
        <v>75</v>
      </c>
      <c r="I2312" t="s">
        <v>76</v>
      </c>
      <c r="J2312" t="s">
        <v>77</v>
      </c>
      <c r="K2312" t="s">
        <v>78</v>
      </c>
      <c r="L2312" t="s">
        <v>672</v>
      </c>
      <c r="M2312" t="s">
        <v>673</v>
      </c>
      <c r="N2312" t="s">
        <v>674</v>
      </c>
      <c r="O2312" t="s">
        <v>82</v>
      </c>
      <c r="P2312" t="str">
        <f>"4170039389                    "</f>
        <v xml:space="preserve">4170039389                    </v>
      </c>
      <c r="Q2312">
        <v>0</v>
      </c>
      <c r="R2312">
        <v>0</v>
      </c>
      <c r="S2312">
        <v>0</v>
      </c>
      <c r="T2312">
        <v>0</v>
      </c>
      <c r="U2312">
        <v>0</v>
      </c>
      <c r="V2312">
        <v>0</v>
      </c>
      <c r="W2312">
        <v>0</v>
      </c>
      <c r="X2312">
        <v>0</v>
      </c>
      <c r="Y2312">
        <v>0</v>
      </c>
      <c r="Z2312">
        <v>0</v>
      </c>
      <c r="AA2312">
        <v>0</v>
      </c>
      <c r="AB2312">
        <v>0</v>
      </c>
      <c r="AC2312">
        <v>0</v>
      </c>
      <c r="AD2312">
        <v>0</v>
      </c>
      <c r="AE2312">
        <v>0</v>
      </c>
      <c r="AF2312">
        <v>0</v>
      </c>
      <c r="AG2312">
        <v>0</v>
      </c>
      <c r="AH2312">
        <v>0</v>
      </c>
      <c r="AI2312">
        <v>0</v>
      </c>
      <c r="AJ2312">
        <v>0</v>
      </c>
      <c r="AK2312">
        <v>0</v>
      </c>
      <c r="AL2312">
        <v>0</v>
      </c>
      <c r="AM2312">
        <v>0</v>
      </c>
      <c r="AN2312">
        <v>0</v>
      </c>
      <c r="AO2312">
        <v>0</v>
      </c>
      <c r="AP2312">
        <v>0</v>
      </c>
      <c r="AQ2312">
        <v>41.43</v>
      </c>
      <c r="AR2312">
        <v>0</v>
      </c>
      <c r="AS2312">
        <v>0</v>
      </c>
      <c r="AT2312">
        <v>0</v>
      </c>
      <c r="AU2312">
        <v>0</v>
      </c>
      <c r="AV2312">
        <v>0</v>
      </c>
      <c r="AW2312">
        <v>0</v>
      </c>
      <c r="AX2312">
        <v>0</v>
      </c>
      <c r="AY2312">
        <v>0</v>
      </c>
      <c r="AZ2312">
        <v>0</v>
      </c>
      <c r="BA2312">
        <v>0</v>
      </c>
      <c r="BB2312">
        <v>0</v>
      </c>
      <c r="BC2312">
        <v>0</v>
      </c>
      <c r="BD2312">
        <v>0</v>
      </c>
      <c r="BE2312">
        <v>0</v>
      </c>
      <c r="BF2312">
        <v>0</v>
      </c>
      <c r="BG2312">
        <v>0</v>
      </c>
      <c r="BH2312">
        <v>1</v>
      </c>
      <c r="BI2312">
        <v>1</v>
      </c>
      <c r="BJ2312">
        <v>0.2</v>
      </c>
      <c r="BK2312">
        <v>1</v>
      </c>
      <c r="BL2312">
        <v>135.59</v>
      </c>
      <c r="BM2312">
        <v>20.34</v>
      </c>
      <c r="BN2312">
        <v>155.93</v>
      </c>
      <c r="BO2312">
        <v>155.93</v>
      </c>
      <c r="BQ2312" t="s">
        <v>675</v>
      </c>
      <c r="BR2312" t="s">
        <v>84</v>
      </c>
      <c r="BS2312" s="3">
        <v>45798</v>
      </c>
      <c r="BT2312" s="4">
        <v>0.45416666666666666</v>
      </c>
      <c r="BU2312" t="s">
        <v>2531</v>
      </c>
      <c r="BV2312" t="s">
        <v>86</v>
      </c>
      <c r="BY2312">
        <v>1200</v>
      </c>
      <c r="CA2312" t="s">
        <v>677</v>
      </c>
      <c r="CC2312" t="s">
        <v>673</v>
      </c>
      <c r="CD2312">
        <v>2531</v>
      </c>
      <c r="CE2312" t="s">
        <v>88</v>
      </c>
      <c r="CF2312" s="3">
        <v>45799</v>
      </c>
      <c r="CI2312">
        <v>1</v>
      </c>
      <c r="CJ2312">
        <v>1</v>
      </c>
      <c r="CK2312">
        <v>23</v>
      </c>
      <c r="CL2312" t="s">
        <v>89</v>
      </c>
    </row>
    <row r="2313" spans="1:90" x14ac:dyDescent="0.3">
      <c r="A2313" t="s">
        <v>72</v>
      </c>
      <c r="B2313" t="s">
        <v>73</v>
      </c>
      <c r="C2313" t="s">
        <v>74</v>
      </c>
      <c r="E2313" t="str">
        <f>"080065464644"</f>
        <v>080065464644</v>
      </c>
      <c r="F2313" s="3">
        <v>45797</v>
      </c>
      <c r="G2313">
        <v>202602</v>
      </c>
      <c r="H2313" t="s">
        <v>75</v>
      </c>
      <c r="I2313" t="s">
        <v>76</v>
      </c>
      <c r="J2313" t="s">
        <v>77</v>
      </c>
      <c r="K2313" t="s">
        <v>78</v>
      </c>
      <c r="L2313" t="s">
        <v>374</v>
      </c>
      <c r="M2313" t="s">
        <v>375</v>
      </c>
      <c r="N2313" t="s">
        <v>376</v>
      </c>
      <c r="O2313" t="s">
        <v>82</v>
      </c>
      <c r="P2313" t="str">
        <f>"4170039354                    "</f>
        <v xml:space="preserve">4170039354                    </v>
      </c>
      <c r="Q2313">
        <v>0</v>
      </c>
      <c r="R2313">
        <v>0</v>
      </c>
      <c r="S2313">
        <v>0</v>
      </c>
      <c r="T2313">
        <v>0</v>
      </c>
      <c r="U2313">
        <v>0</v>
      </c>
      <c r="V2313">
        <v>0</v>
      </c>
      <c r="W2313">
        <v>0</v>
      </c>
      <c r="X2313">
        <v>0</v>
      </c>
      <c r="Y2313">
        <v>0</v>
      </c>
      <c r="Z2313">
        <v>0</v>
      </c>
      <c r="AA2313">
        <v>0</v>
      </c>
      <c r="AB2313">
        <v>0</v>
      </c>
      <c r="AC2313">
        <v>0</v>
      </c>
      <c r="AD2313">
        <v>0</v>
      </c>
      <c r="AE2313">
        <v>0</v>
      </c>
      <c r="AF2313">
        <v>0</v>
      </c>
      <c r="AG2313">
        <v>0</v>
      </c>
      <c r="AH2313">
        <v>0</v>
      </c>
      <c r="AI2313">
        <v>0</v>
      </c>
      <c r="AJ2313">
        <v>0</v>
      </c>
      <c r="AK2313">
        <v>0</v>
      </c>
      <c r="AL2313">
        <v>0</v>
      </c>
      <c r="AM2313">
        <v>0</v>
      </c>
      <c r="AN2313">
        <v>0</v>
      </c>
      <c r="AO2313">
        <v>0</v>
      </c>
      <c r="AP2313">
        <v>0</v>
      </c>
      <c r="AQ2313">
        <v>41.43</v>
      </c>
      <c r="AR2313">
        <v>0</v>
      </c>
      <c r="AS2313">
        <v>0</v>
      </c>
      <c r="AT2313">
        <v>0</v>
      </c>
      <c r="AU2313">
        <v>0</v>
      </c>
      <c r="AV2313">
        <v>0</v>
      </c>
      <c r="AW2313">
        <v>0</v>
      </c>
      <c r="AX2313">
        <v>0</v>
      </c>
      <c r="AY2313">
        <v>0</v>
      </c>
      <c r="AZ2313">
        <v>0</v>
      </c>
      <c r="BA2313">
        <v>0</v>
      </c>
      <c r="BB2313">
        <v>0</v>
      </c>
      <c r="BC2313">
        <v>0</v>
      </c>
      <c r="BD2313">
        <v>0</v>
      </c>
      <c r="BE2313">
        <v>0</v>
      </c>
      <c r="BF2313">
        <v>0</v>
      </c>
      <c r="BG2313">
        <v>0</v>
      </c>
      <c r="BH2313">
        <v>1</v>
      </c>
      <c r="BI2313">
        <v>1</v>
      </c>
      <c r="BJ2313">
        <v>0.2</v>
      </c>
      <c r="BK2313">
        <v>1</v>
      </c>
      <c r="BL2313">
        <v>135.59</v>
      </c>
      <c r="BM2313">
        <v>20.34</v>
      </c>
      <c r="BN2313">
        <v>155.93</v>
      </c>
      <c r="BO2313">
        <v>155.93</v>
      </c>
      <c r="BQ2313" t="s">
        <v>377</v>
      </c>
      <c r="BR2313" t="s">
        <v>84</v>
      </c>
      <c r="BS2313" s="3">
        <v>45798</v>
      </c>
      <c r="BT2313" s="4">
        <v>0.41666666666666669</v>
      </c>
      <c r="BU2313" t="s">
        <v>378</v>
      </c>
      <c r="BV2313" t="s">
        <v>86</v>
      </c>
      <c r="BY2313">
        <v>1200</v>
      </c>
      <c r="CA2313" t="s">
        <v>379</v>
      </c>
      <c r="CC2313" t="s">
        <v>375</v>
      </c>
      <c r="CD2313">
        <v>7130</v>
      </c>
      <c r="CE2313" t="s">
        <v>88</v>
      </c>
      <c r="CF2313" s="3">
        <v>45799</v>
      </c>
      <c r="CI2313">
        <v>1</v>
      </c>
      <c r="CJ2313">
        <v>1</v>
      </c>
      <c r="CK2313">
        <v>23</v>
      </c>
      <c r="CL2313" t="s">
        <v>89</v>
      </c>
    </row>
    <row r="2314" spans="1:90" x14ac:dyDescent="0.3">
      <c r="A2314" t="s">
        <v>72</v>
      </c>
      <c r="B2314" t="s">
        <v>73</v>
      </c>
      <c r="C2314" t="s">
        <v>74</v>
      </c>
      <c r="E2314" t="str">
        <f>"080065464651"</f>
        <v>080065464651</v>
      </c>
      <c r="F2314" s="3">
        <v>45797</v>
      </c>
      <c r="G2314">
        <v>202602</v>
      </c>
      <c r="H2314" t="s">
        <v>75</v>
      </c>
      <c r="I2314" t="s">
        <v>76</v>
      </c>
      <c r="J2314" t="s">
        <v>77</v>
      </c>
      <c r="K2314" t="s">
        <v>78</v>
      </c>
      <c r="L2314" t="s">
        <v>287</v>
      </c>
      <c r="M2314" t="s">
        <v>288</v>
      </c>
      <c r="N2314" t="s">
        <v>289</v>
      </c>
      <c r="O2314" t="s">
        <v>82</v>
      </c>
      <c r="P2314" t="str">
        <f>"4170039262                    "</f>
        <v xml:space="preserve">4170039262                    </v>
      </c>
      <c r="Q2314">
        <v>0</v>
      </c>
      <c r="R2314">
        <v>0</v>
      </c>
      <c r="S2314">
        <v>0</v>
      </c>
      <c r="T2314">
        <v>0</v>
      </c>
      <c r="U2314">
        <v>0</v>
      </c>
      <c r="V2314">
        <v>0</v>
      </c>
      <c r="W2314">
        <v>0</v>
      </c>
      <c r="X2314">
        <v>0</v>
      </c>
      <c r="Y2314">
        <v>0</v>
      </c>
      <c r="Z2314">
        <v>0</v>
      </c>
      <c r="AA2314">
        <v>0</v>
      </c>
      <c r="AB2314">
        <v>0</v>
      </c>
      <c r="AC2314">
        <v>0</v>
      </c>
      <c r="AD2314">
        <v>0</v>
      </c>
      <c r="AE2314">
        <v>0</v>
      </c>
      <c r="AF2314">
        <v>0</v>
      </c>
      <c r="AG2314">
        <v>0</v>
      </c>
      <c r="AH2314">
        <v>0</v>
      </c>
      <c r="AI2314">
        <v>0</v>
      </c>
      <c r="AJ2314">
        <v>0</v>
      </c>
      <c r="AK2314">
        <v>0</v>
      </c>
      <c r="AL2314">
        <v>0</v>
      </c>
      <c r="AM2314">
        <v>0</v>
      </c>
      <c r="AN2314">
        <v>0</v>
      </c>
      <c r="AO2314">
        <v>0</v>
      </c>
      <c r="AP2314">
        <v>0</v>
      </c>
      <c r="AQ2314">
        <v>41.43</v>
      </c>
      <c r="AR2314">
        <v>0</v>
      </c>
      <c r="AS2314">
        <v>0</v>
      </c>
      <c r="AT2314">
        <v>0</v>
      </c>
      <c r="AU2314">
        <v>0</v>
      </c>
      <c r="AV2314">
        <v>0</v>
      </c>
      <c r="AW2314">
        <v>0</v>
      </c>
      <c r="AX2314">
        <v>0</v>
      </c>
      <c r="AY2314">
        <v>0</v>
      </c>
      <c r="AZ2314">
        <v>0</v>
      </c>
      <c r="BA2314">
        <v>0</v>
      </c>
      <c r="BB2314">
        <v>0</v>
      </c>
      <c r="BC2314">
        <v>0</v>
      </c>
      <c r="BD2314">
        <v>0</v>
      </c>
      <c r="BE2314">
        <v>0</v>
      </c>
      <c r="BF2314">
        <v>0</v>
      </c>
      <c r="BG2314">
        <v>0</v>
      </c>
      <c r="BH2314">
        <v>1</v>
      </c>
      <c r="BI2314">
        <v>1</v>
      </c>
      <c r="BJ2314">
        <v>0.6</v>
      </c>
      <c r="BK2314">
        <v>1</v>
      </c>
      <c r="BL2314">
        <v>135.59</v>
      </c>
      <c r="BM2314">
        <v>20.34</v>
      </c>
      <c r="BN2314">
        <v>155.93</v>
      </c>
      <c r="BO2314">
        <v>155.93</v>
      </c>
      <c r="BQ2314" t="s">
        <v>290</v>
      </c>
      <c r="BR2314" t="s">
        <v>84</v>
      </c>
      <c r="BS2314" s="3">
        <v>45798</v>
      </c>
      <c r="BT2314" s="4">
        <v>0.46458333333333335</v>
      </c>
      <c r="BU2314" t="s">
        <v>291</v>
      </c>
      <c r="BV2314" t="s">
        <v>86</v>
      </c>
      <c r="BY2314">
        <v>3192</v>
      </c>
      <c r="CA2314" t="s">
        <v>292</v>
      </c>
      <c r="CC2314" t="s">
        <v>288</v>
      </c>
      <c r="CD2314">
        <v>6715</v>
      </c>
      <c r="CE2314" t="s">
        <v>116</v>
      </c>
      <c r="CF2314" s="3">
        <v>45799</v>
      </c>
      <c r="CI2314">
        <v>2</v>
      </c>
      <c r="CJ2314">
        <v>1</v>
      </c>
      <c r="CK2314">
        <v>23</v>
      </c>
      <c r="CL2314" t="s">
        <v>89</v>
      </c>
    </row>
    <row r="2315" spans="1:90" x14ac:dyDescent="0.3">
      <c r="A2315" t="s">
        <v>72</v>
      </c>
      <c r="B2315" t="s">
        <v>73</v>
      </c>
      <c r="C2315" t="s">
        <v>74</v>
      </c>
      <c r="E2315" t="str">
        <f>"080065464663"</f>
        <v>080065464663</v>
      </c>
      <c r="F2315" s="3">
        <v>45797</v>
      </c>
      <c r="G2315">
        <v>202602</v>
      </c>
      <c r="H2315" t="s">
        <v>75</v>
      </c>
      <c r="I2315" t="s">
        <v>76</v>
      </c>
      <c r="J2315" t="s">
        <v>77</v>
      </c>
      <c r="K2315" t="s">
        <v>78</v>
      </c>
      <c r="L2315" t="s">
        <v>79</v>
      </c>
      <c r="M2315" t="s">
        <v>80</v>
      </c>
      <c r="N2315" t="s">
        <v>862</v>
      </c>
      <c r="O2315" t="s">
        <v>82</v>
      </c>
      <c r="P2315" t="str">
        <f>"4170039378                    "</f>
        <v xml:space="preserve">4170039378                    </v>
      </c>
      <c r="Q2315">
        <v>0</v>
      </c>
      <c r="R2315">
        <v>0</v>
      </c>
      <c r="S2315">
        <v>0</v>
      </c>
      <c r="T2315">
        <v>0</v>
      </c>
      <c r="U2315">
        <v>0</v>
      </c>
      <c r="V2315">
        <v>0</v>
      </c>
      <c r="W2315">
        <v>0</v>
      </c>
      <c r="X2315">
        <v>0</v>
      </c>
      <c r="Y2315">
        <v>0</v>
      </c>
      <c r="Z2315">
        <v>0</v>
      </c>
      <c r="AA2315">
        <v>0</v>
      </c>
      <c r="AB2315">
        <v>0</v>
      </c>
      <c r="AC2315">
        <v>0</v>
      </c>
      <c r="AD2315">
        <v>0</v>
      </c>
      <c r="AE2315">
        <v>0</v>
      </c>
      <c r="AF2315">
        <v>0</v>
      </c>
      <c r="AG2315">
        <v>0</v>
      </c>
      <c r="AH2315">
        <v>0</v>
      </c>
      <c r="AI2315">
        <v>0</v>
      </c>
      <c r="AJ2315">
        <v>0</v>
      </c>
      <c r="AK2315">
        <v>0</v>
      </c>
      <c r="AL2315">
        <v>0</v>
      </c>
      <c r="AM2315">
        <v>0</v>
      </c>
      <c r="AN2315">
        <v>0</v>
      </c>
      <c r="AO2315">
        <v>0</v>
      </c>
      <c r="AP2315">
        <v>0</v>
      </c>
      <c r="AQ2315">
        <v>21.38</v>
      </c>
      <c r="AR2315">
        <v>0</v>
      </c>
      <c r="AS2315">
        <v>0</v>
      </c>
      <c r="AT2315">
        <v>0</v>
      </c>
      <c r="AU2315">
        <v>0</v>
      </c>
      <c r="AV2315">
        <v>0</v>
      </c>
      <c r="AW2315">
        <v>0</v>
      </c>
      <c r="AX2315">
        <v>0</v>
      </c>
      <c r="AY2315">
        <v>0</v>
      </c>
      <c r="AZ2315">
        <v>0</v>
      </c>
      <c r="BA2315">
        <v>0</v>
      </c>
      <c r="BB2315">
        <v>0</v>
      </c>
      <c r="BC2315">
        <v>0</v>
      </c>
      <c r="BD2315">
        <v>0</v>
      </c>
      <c r="BE2315">
        <v>0</v>
      </c>
      <c r="BF2315">
        <v>0</v>
      </c>
      <c r="BG2315">
        <v>0</v>
      </c>
      <c r="BH2315">
        <v>1</v>
      </c>
      <c r="BI2315">
        <v>1</v>
      </c>
      <c r="BJ2315">
        <v>0.2</v>
      </c>
      <c r="BK2315">
        <v>1</v>
      </c>
      <c r="BL2315">
        <v>69.98</v>
      </c>
      <c r="BM2315">
        <v>10.5</v>
      </c>
      <c r="BN2315">
        <v>80.48</v>
      </c>
      <c r="BO2315">
        <v>80.48</v>
      </c>
      <c r="BQ2315" t="s">
        <v>863</v>
      </c>
      <c r="BR2315" t="s">
        <v>84</v>
      </c>
      <c r="BS2315" s="3">
        <v>45798</v>
      </c>
      <c r="BT2315" s="4">
        <v>0.37083333333333335</v>
      </c>
      <c r="BU2315" t="s">
        <v>2641</v>
      </c>
      <c r="BV2315" t="s">
        <v>86</v>
      </c>
      <c r="BY2315">
        <v>1200</v>
      </c>
      <c r="CC2315" t="s">
        <v>80</v>
      </c>
      <c r="CD2315">
        <v>3610</v>
      </c>
      <c r="CE2315" t="s">
        <v>88</v>
      </c>
      <c r="CF2315" s="3">
        <v>45798</v>
      </c>
      <c r="CI2315">
        <v>1</v>
      </c>
      <c r="CJ2315">
        <v>1</v>
      </c>
      <c r="CK2315">
        <v>21</v>
      </c>
      <c r="CL2315" t="s">
        <v>89</v>
      </c>
    </row>
    <row r="2316" spans="1:90" x14ac:dyDescent="0.3">
      <c r="A2316" t="s">
        <v>72</v>
      </c>
      <c r="B2316" t="s">
        <v>73</v>
      </c>
      <c r="C2316" t="s">
        <v>74</v>
      </c>
      <c r="E2316" t="str">
        <f>"080065464673"</f>
        <v>080065464673</v>
      </c>
      <c r="F2316" s="3">
        <v>45797</v>
      </c>
      <c r="G2316">
        <v>202602</v>
      </c>
      <c r="H2316" t="s">
        <v>75</v>
      </c>
      <c r="I2316" t="s">
        <v>76</v>
      </c>
      <c r="J2316" t="s">
        <v>77</v>
      </c>
      <c r="K2316" t="s">
        <v>78</v>
      </c>
      <c r="L2316" t="s">
        <v>79</v>
      </c>
      <c r="M2316" t="s">
        <v>80</v>
      </c>
      <c r="N2316" t="s">
        <v>452</v>
      </c>
      <c r="O2316" t="s">
        <v>82</v>
      </c>
      <c r="P2316" t="str">
        <f>"4170039397                    "</f>
        <v xml:space="preserve">4170039397                    </v>
      </c>
      <c r="Q2316">
        <v>0</v>
      </c>
      <c r="R2316">
        <v>0</v>
      </c>
      <c r="S2316">
        <v>0</v>
      </c>
      <c r="T2316">
        <v>0</v>
      </c>
      <c r="U2316">
        <v>0</v>
      </c>
      <c r="V2316">
        <v>0</v>
      </c>
      <c r="W2316">
        <v>0</v>
      </c>
      <c r="X2316">
        <v>0</v>
      </c>
      <c r="Y2316">
        <v>0</v>
      </c>
      <c r="Z2316">
        <v>0</v>
      </c>
      <c r="AA2316">
        <v>0</v>
      </c>
      <c r="AB2316">
        <v>0</v>
      </c>
      <c r="AC2316">
        <v>0</v>
      </c>
      <c r="AD2316">
        <v>0</v>
      </c>
      <c r="AE2316">
        <v>0</v>
      </c>
      <c r="AF2316">
        <v>0</v>
      </c>
      <c r="AG2316">
        <v>0</v>
      </c>
      <c r="AH2316">
        <v>0</v>
      </c>
      <c r="AI2316">
        <v>0</v>
      </c>
      <c r="AJ2316">
        <v>0</v>
      </c>
      <c r="AK2316">
        <v>0</v>
      </c>
      <c r="AL2316">
        <v>0</v>
      </c>
      <c r="AM2316">
        <v>0</v>
      </c>
      <c r="AN2316">
        <v>0</v>
      </c>
      <c r="AO2316">
        <v>0</v>
      </c>
      <c r="AP2316">
        <v>0</v>
      </c>
      <c r="AQ2316">
        <v>37.409999999999997</v>
      </c>
      <c r="AR2316">
        <v>0</v>
      </c>
      <c r="AS2316">
        <v>0</v>
      </c>
      <c r="AT2316">
        <v>0</v>
      </c>
      <c r="AU2316">
        <v>0</v>
      </c>
      <c r="AV2316">
        <v>0</v>
      </c>
      <c r="AW2316">
        <v>0</v>
      </c>
      <c r="AX2316">
        <v>0</v>
      </c>
      <c r="AY2316">
        <v>0</v>
      </c>
      <c r="AZ2316">
        <v>0</v>
      </c>
      <c r="BA2316">
        <v>0</v>
      </c>
      <c r="BB2316">
        <v>0</v>
      </c>
      <c r="BC2316">
        <v>0</v>
      </c>
      <c r="BD2316">
        <v>0</v>
      </c>
      <c r="BE2316">
        <v>0</v>
      </c>
      <c r="BF2316">
        <v>0</v>
      </c>
      <c r="BG2316">
        <v>0</v>
      </c>
      <c r="BH2316">
        <v>1</v>
      </c>
      <c r="BI2316">
        <v>2</v>
      </c>
      <c r="BJ2316">
        <v>3.4</v>
      </c>
      <c r="BK2316">
        <v>3.5</v>
      </c>
      <c r="BL2316">
        <v>122.43</v>
      </c>
      <c r="BM2316">
        <v>18.36</v>
      </c>
      <c r="BN2316">
        <v>140.79</v>
      </c>
      <c r="BO2316">
        <v>140.79</v>
      </c>
      <c r="BQ2316" t="s">
        <v>453</v>
      </c>
      <c r="BR2316" t="s">
        <v>84</v>
      </c>
      <c r="BS2316" s="3">
        <v>45798</v>
      </c>
      <c r="BT2316" s="4">
        <v>0.4284722222222222</v>
      </c>
      <c r="BU2316" t="s">
        <v>1071</v>
      </c>
      <c r="BV2316" t="s">
        <v>86</v>
      </c>
      <c r="BY2316">
        <v>16965</v>
      </c>
      <c r="CA2316" t="s">
        <v>160</v>
      </c>
      <c r="CC2316" t="s">
        <v>80</v>
      </c>
      <c r="CD2316">
        <v>3610</v>
      </c>
      <c r="CE2316" t="s">
        <v>96</v>
      </c>
      <c r="CF2316" s="3">
        <v>45798</v>
      </c>
      <c r="CI2316">
        <v>1</v>
      </c>
      <c r="CJ2316">
        <v>1</v>
      </c>
      <c r="CK2316">
        <v>21</v>
      </c>
      <c r="CL2316" t="s">
        <v>89</v>
      </c>
    </row>
    <row r="2317" spans="1:90" x14ac:dyDescent="0.3">
      <c r="A2317" t="s">
        <v>72</v>
      </c>
      <c r="B2317" t="s">
        <v>73</v>
      </c>
      <c r="C2317" t="s">
        <v>74</v>
      </c>
      <c r="E2317" t="str">
        <f>"080065464686"</f>
        <v>080065464686</v>
      </c>
      <c r="F2317" s="3">
        <v>45797</v>
      </c>
      <c r="G2317">
        <v>202602</v>
      </c>
      <c r="H2317" t="s">
        <v>75</v>
      </c>
      <c r="I2317" t="s">
        <v>76</v>
      </c>
      <c r="J2317" t="s">
        <v>77</v>
      </c>
      <c r="K2317" t="s">
        <v>78</v>
      </c>
      <c r="L2317" t="s">
        <v>90</v>
      </c>
      <c r="M2317" t="s">
        <v>91</v>
      </c>
      <c r="N2317" t="s">
        <v>563</v>
      </c>
      <c r="O2317" t="s">
        <v>82</v>
      </c>
      <c r="P2317" t="str">
        <f>"4170039341                    "</f>
        <v xml:space="preserve">4170039341                    </v>
      </c>
      <c r="Q2317">
        <v>0</v>
      </c>
      <c r="R2317">
        <v>0</v>
      </c>
      <c r="S2317">
        <v>0</v>
      </c>
      <c r="T2317">
        <v>0</v>
      </c>
      <c r="U2317">
        <v>0</v>
      </c>
      <c r="V2317">
        <v>0</v>
      </c>
      <c r="W2317">
        <v>0</v>
      </c>
      <c r="X2317">
        <v>0</v>
      </c>
      <c r="Y2317">
        <v>0</v>
      </c>
      <c r="Z2317">
        <v>0</v>
      </c>
      <c r="AA2317">
        <v>0</v>
      </c>
      <c r="AB2317">
        <v>0</v>
      </c>
      <c r="AC2317">
        <v>0</v>
      </c>
      <c r="AD2317">
        <v>0</v>
      </c>
      <c r="AE2317">
        <v>0</v>
      </c>
      <c r="AF2317">
        <v>0</v>
      </c>
      <c r="AG2317">
        <v>0</v>
      </c>
      <c r="AH2317">
        <v>0</v>
      </c>
      <c r="AI2317">
        <v>0</v>
      </c>
      <c r="AJ2317">
        <v>0</v>
      </c>
      <c r="AK2317">
        <v>0</v>
      </c>
      <c r="AL2317">
        <v>0</v>
      </c>
      <c r="AM2317">
        <v>0</v>
      </c>
      <c r="AN2317">
        <v>0</v>
      </c>
      <c r="AO2317">
        <v>0</v>
      </c>
      <c r="AP2317">
        <v>0</v>
      </c>
      <c r="AQ2317">
        <v>21.38</v>
      </c>
      <c r="AR2317">
        <v>0</v>
      </c>
      <c r="AS2317">
        <v>0</v>
      </c>
      <c r="AT2317">
        <v>0</v>
      </c>
      <c r="AU2317">
        <v>0</v>
      </c>
      <c r="AV2317">
        <v>0</v>
      </c>
      <c r="AW2317">
        <v>0</v>
      </c>
      <c r="AX2317">
        <v>0</v>
      </c>
      <c r="AY2317">
        <v>0</v>
      </c>
      <c r="AZ2317">
        <v>0</v>
      </c>
      <c r="BA2317">
        <v>0</v>
      </c>
      <c r="BB2317">
        <v>0</v>
      </c>
      <c r="BC2317">
        <v>0</v>
      </c>
      <c r="BD2317">
        <v>0</v>
      </c>
      <c r="BE2317">
        <v>0</v>
      </c>
      <c r="BF2317">
        <v>0</v>
      </c>
      <c r="BG2317">
        <v>0</v>
      </c>
      <c r="BH2317">
        <v>1</v>
      </c>
      <c r="BI2317">
        <v>1</v>
      </c>
      <c r="BJ2317">
        <v>0.2</v>
      </c>
      <c r="BK2317">
        <v>1</v>
      </c>
      <c r="BL2317">
        <v>69.98</v>
      </c>
      <c r="BM2317">
        <v>10.5</v>
      </c>
      <c r="BN2317">
        <v>80.48</v>
      </c>
      <c r="BO2317">
        <v>80.48</v>
      </c>
      <c r="BQ2317" t="s">
        <v>564</v>
      </c>
      <c r="BR2317" t="s">
        <v>84</v>
      </c>
      <c r="BS2317" s="3">
        <v>45798</v>
      </c>
      <c r="BT2317" s="4">
        <v>0.35833333333333334</v>
      </c>
      <c r="BU2317" t="s">
        <v>987</v>
      </c>
      <c r="BV2317" t="s">
        <v>86</v>
      </c>
      <c r="BY2317">
        <v>1200</v>
      </c>
      <c r="CA2317" t="s">
        <v>566</v>
      </c>
      <c r="CC2317" t="s">
        <v>91</v>
      </c>
      <c r="CD2317">
        <v>6001</v>
      </c>
      <c r="CE2317" t="s">
        <v>88</v>
      </c>
      <c r="CF2317" s="3">
        <v>45798</v>
      </c>
      <c r="CI2317">
        <v>1</v>
      </c>
      <c r="CJ2317">
        <v>1</v>
      </c>
      <c r="CK2317">
        <v>21</v>
      </c>
      <c r="CL2317" t="s">
        <v>89</v>
      </c>
    </row>
    <row r="2318" spans="1:90" x14ac:dyDescent="0.3">
      <c r="A2318" t="s">
        <v>72</v>
      </c>
      <c r="B2318" t="s">
        <v>73</v>
      </c>
      <c r="C2318" t="s">
        <v>74</v>
      </c>
      <c r="E2318" t="str">
        <f>"080065464702"</f>
        <v>080065464702</v>
      </c>
      <c r="F2318" s="3">
        <v>45797</v>
      </c>
      <c r="G2318">
        <v>202602</v>
      </c>
      <c r="H2318" t="s">
        <v>75</v>
      </c>
      <c r="I2318" t="s">
        <v>76</v>
      </c>
      <c r="J2318" t="s">
        <v>77</v>
      </c>
      <c r="K2318" t="s">
        <v>78</v>
      </c>
      <c r="L2318" t="s">
        <v>177</v>
      </c>
      <c r="M2318" t="s">
        <v>178</v>
      </c>
      <c r="N2318" t="s">
        <v>212</v>
      </c>
      <c r="O2318" t="s">
        <v>82</v>
      </c>
      <c r="P2318" t="str">
        <f>"4170039303                    "</f>
        <v xml:space="preserve">4170039303                    </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c r="AJ2318">
        <v>0</v>
      </c>
      <c r="AK2318">
        <v>0</v>
      </c>
      <c r="AL2318">
        <v>0</v>
      </c>
      <c r="AM2318">
        <v>0</v>
      </c>
      <c r="AN2318">
        <v>0</v>
      </c>
      <c r="AO2318">
        <v>0</v>
      </c>
      <c r="AP2318">
        <v>0</v>
      </c>
      <c r="AQ2318">
        <v>42.75</v>
      </c>
      <c r="AR2318">
        <v>0</v>
      </c>
      <c r="AS2318">
        <v>0</v>
      </c>
      <c r="AT2318">
        <v>0</v>
      </c>
      <c r="AU2318">
        <v>0</v>
      </c>
      <c r="AV2318">
        <v>0</v>
      </c>
      <c r="AW2318">
        <v>0</v>
      </c>
      <c r="AX2318">
        <v>0</v>
      </c>
      <c r="AY2318">
        <v>0</v>
      </c>
      <c r="AZ2318">
        <v>0</v>
      </c>
      <c r="BA2318">
        <v>0</v>
      </c>
      <c r="BB2318">
        <v>0</v>
      </c>
      <c r="BC2318">
        <v>0</v>
      </c>
      <c r="BD2318">
        <v>0</v>
      </c>
      <c r="BE2318">
        <v>0</v>
      </c>
      <c r="BF2318">
        <v>0</v>
      </c>
      <c r="BG2318">
        <v>0</v>
      </c>
      <c r="BH2318">
        <v>1</v>
      </c>
      <c r="BI2318">
        <v>4</v>
      </c>
      <c r="BJ2318">
        <v>1.9</v>
      </c>
      <c r="BK2318">
        <v>4</v>
      </c>
      <c r="BL2318">
        <v>139.91</v>
      </c>
      <c r="BM2318">
        <v>20.99</v>
      </c>
      <c r="BN2318">
        <v>160.9</v>
      </c>
      <c r="BO2318">
        <v>160.9</v>
      </c>
      <c r="BQ2318" t="s">
        <v>213</v>
      </c>
      <c r="BR2318" t="s">
        <v>84</v>
      </c>
      <c r="BS2318" s="3">
        <v>45798</v>
      </c>
      <c r="BT2318" s="4">
        <v>0.35972222222222222</v>
      </c>
      <c r="BU2318" t="s">
        <v>1568</v>
      </c>
      <c r="BV2318" t="s">
        <v>86</v>
      </c>
      <c r="BY2318">
        <v>9600</v>
      </c>
      <c r="CA2318" t="s">
        <v>182</v>
      </c>
      <c r="CC2318" t="s">
        <v>178</v>
      </c>
      <c r="CD2318">
        <v>6229</v>
      </c>
      <c r="CE2318" t="s">
        <v>96</v>
      </c>
      <c r="CF2318" s="3">
        <v>45798</v>
      </c>
      <c r="CI2318">
        <v>1</v>
      </c>
      <c r="CJ2318">
        <v>1</v>
      </c>
      <c r="CK2318">
        <v>21</v>
      </c>
      <c r="CL2318" t="s">
        <v>89</v>
      </c>
    </row>
    <row r="2319" spans="1:90" x14ac:dyDescent="0.3">
      <c r="A2319" t="s">
        <v>72</v>
      </c>
      <c r="B2319" t="s">
        <v>73</v>
      </c>
      <c r="C2319" t="s">
        <v>74</v>
      </c>
      <c r="E2319" t="str">
        <f>"080065464703"</f>
        <v>080065464703</v>
      </c>
      <c r="F2319" s="3">
        <v>45797</v>
      </c>
      <c r="G2319">
        <v>202602</v>
      </c>
      <c r="H2319" t="s">
        <v>75</v>
      </c>
      <c r="I2319" t="s">
        <v>76</v>
      </c>
      <c r="J2319" t="s">
        <v>77</v>
      </c>
      <c r="K2319" t="s">
        <v>78</v>
      </c>
      <c r="L2319" t="s">
        <v>75</v>
      </c>
      <c r="M2319" t="s">
        <v>76</v>
      </c>
      <c r="N2319" t="s">
        <v>390</v>
      </c>
      <c r="O2319" t="s">
        <v>82</v>
      </c>
      <c r="P2319" t="str">
        <f>"4170039544                    "</f>
        <v xml:space="preserve">4170039544                    </v>
      </c>
      <c r="Q2319">
        <v>0</v>
      </c>
      <c r="R2319">
        <v>0</v>
      </c>
      <c r="S2319">
        <v>0</v>
      </c>
      <c r="T2319">
        <v>0</v>
      </c>
      <c r="U2319">
        <v>0</v>
      </c>
      <c r="V2319">
        <v>0</v>
      </c>
      <c r="W2319">
        <v>0</v>
      </c>
      <c r="X2319">
        <v>0</v>
      </c>
      <c r="Y2319">
        <v>0</v>
      </c>
      <c r="Z2319">
        <v>0</v>
      </c>
      <c r="AA2319">
        <v>0</v>
      </c>
      <c r="AB2319">
        <v>0</v>
      </c>
      <c r="AC2319">
        <v>0</v>
      </c>
      <c r="AD2319">
        <v>0</v>
      </c>
      <c r="AE2319">
        <v>0</v>
      </c>
      <c r="AF2319">
        <v>0</v>
      </c>
      <c r="AG2319">
        <v>0</v>
      </c>
      <c r="AH2319">
        <v>0</v>
      </c>
      <c r="AI2319">
        <v>0</v>
      </c>
      <c r="AJ2319">
        <v>0</v>
      </c>
      <c r="AK2319">
        <v>0</v>
      </c>
      <c r="AL2319">
        <v>0</v>
      </c>
      <c r="AM2319">
        <v>0</v>
      </c>
      <c r="AN2319">
        <v>0</v>
      </c>
      <c r="AO2319">
        <v>0</v>
      </c>
      <c r="AP2319">
        <v>0</v>
      </c>
      <c r="AQ2319">
        <v>16.7</v>
      </c>
      <c r="AR2319">
        <v>0</v>
      </c>
      <c r="AS2319">
        <v>0</v>
      </c>
      <c r="AT2319">
        <v>0</v>
      </c>
      <c r="AU2319">
        <v>0</v>
      </c>
      <c r="AV2319">
        <v>0</v>
      </c>
      <c r="AW2319">
        <v>0</v>
      </c>
      <c r="AX2319">
        <v>0</v>
      </c>
      <c r="AY2319">
        <v>0</v>
      </c>
      <c r="AZ2319">
        <v>0</v>
      </c>
      <c r="BA2319">
        <v>0</v>
      </c>
      <c r="BB2319">
        <v>0</v>
      </c>
      <c r="BC2319">
        <v>0</v>
      </c>
      <c r="BD2319">
        <v>0</v>
      </c>
      <c r="BE2319">
        <v>0</v>
      </c>
      <c r="BF2319">
        <v>0</v>
      </c>
      <c r="BG2319">
        <v>0</v>
      </c>
      <c r="BH2319">
        <v>1</v>
      </c>
      <c r="BI2319">
        <v>1</v>
      </c>
      <c r="BJ2319">
        <v>0.2</v>
      </c>
      <c r="BK2319">
        <v>1</v>
      </c>
      <c r="BL2319">
        <v>54.66</v>
      </c>
      <c r="BM2319">
        <v>8.1999999999999993</v>
      </c>
      <c r="BN2319">
        <v>62.86</v>
      </c>
      <c r="BO2319">
        <v>62.86</v>
      </c>
      <c r="BQ2319" t="s">
        <v>391</v>
      </c>
      <c r="BR2319" t="s">
        <v>84</v>
      </c>
      <c r="BS2319" s="3">
        <v>45798</v>
      </c>
      <c r="BT2319" s="4">
        <v>0.3611111111111111</v>
      </c>
      <c r="BU2319" t="s">
        <v>2642</v>
      </c>
      <c r="BV2319" t="s">
        <v>86</v>
      </c>
      <c r="BY2319">
        <v>1200</v>
      </c>
      <c r="CA2319" t="s">
        <v>115</v>
      </c>
      <c r="CC2319" t="s">
        <v>76</v>
      </c>
      <c r="CD2319">
        <v>1600</v>
      </c>
      <c r="CE2319" t="s">
        <v>88</v>
      </c>
      <c r="CF2319" s="3">
        <v>45798</v>
      </c>
      <c r="CI2319">
        <v>1</v>
      </c>
      <c r="CJ2319">
        <v>1</v>
      </c>
      <c r="CK2319">
        <v>22</v>
      </c>
      <c r="CL2319" t="s">
        <v>89</v>
      </c>
    </row>
    <row r="2320" spans="1:90" x14ac:dyDescent="0.3">
      <c r="A2320" t="s">
        <v>72</v>
      </c>
      <c r="B2320" t="s">
        <v>73</v>
      </c>
      <c r="C2320" t="s">
        <v>74</v>
      </c>
      <c r="E2320" t="str">
        <f>"080065464722"</f>
        <v>080065464722</v>
      </c>
      <c r="F2320" s="3">
        <v>45797</v>
      </c>
      <c r="G2320">
        <v>202602</v>
      </c>
      <c r="H2320" t="s">
        <v>75</v>
      </c>
      <c r="I2320" t="s">
        <v>76</v>
      </c>
      <c r="J2320" t="s">
        <v>77</v>
      </c>
      <c r="K2320" t="s">
        <v>78</v>
      </c>
      <c r="L2320" t="s">
        <v>648</v>
      </c>
      <c r="M2320" t="s">
        <v>649</v>
      </c>
      <c r="N2320" t="s">
        <v>1055</v>
      </c>
      <c r="O2320" t="s">
        <v>82</v>
      </c>
      <c r="P2320" t="str">
        <f>"4170039532                    "</f>
        <v xml:space="preserve">4170039532                    </v>
      </c>
      <c r="Q2320">
        <v>0</v>
      </c>
      <c r="R2320">
        <v>0</v>
      </c>
      <c r="S2320">
        <v>0</v>
      </c>
      <c r="T2320">
        <v>0</v>
      </c>
      <c r="U2320">
        <v>0</v>
      </c>
      <c r="V2320">
        <v>0</v>
      </c>
      <c r="W2320">
        <v>0</v>
      </c>
      <c r="X2320">
        <v>0</v>
      </c>
      <c r="Y2320">
        <v>0</v>
      </c>
      <c r="Z2320">
        <v>0</v>
      </c>
      <c r="AA2320">
        <v>0</v>
      </c>
      <c r="AB2320">
        <v>0</v>
      </c>
      <c r="AC2320">
        <v>0</v>
      </c>
      <c r="AD2320">
        <v>0</v>
      </c>
      <c r="AE2320">
        <v>0</v>
      </c>
      <c r="AF2320">
        <v>0</v>
      </c>
      <c r="AG2320">
        <v>0</v>
      </c>
      <c r="AH2320">
        <v>0</v>
      </c>
      <c r="AI2320">
        <v>0</v>
      </c>
      <c r="AJ2320">
        <v>0</v>
      </c>
      <c r="AK2320">
        <v>0</v>
      </c>
      <c r="AL2320">
        <v>0</v>
      </c>
      <c r="AM2320">
        <v>0</v>
      </c>
      <c r="AN2320">
        <v>0</v>
      </c>
      <c r="AO2320">
        <v>0</v>
      </c>
      <c r="AP2320">
        <v>0</v>
      </c>
      <c r="AQ2320">
        <v>16.7</v>
      </c>
      <c r="AR2320">
        <v>0</v>
      </c>
      <c r="AS2320">
        <v>0</v>
      </c>
      <c r="AT2320">
        <v>0</v>
      </c>
      <c r="AU2320">
        <v>0</v>
      </c>
      <c r="AV2320">
        <v>0</v>
      </c>
      <c r="AW2320">
        <v>0</v>
      </c>
      <c r="AX2320">
        <v>0</v>
      </c>
      <c r="AY2320">
        <v>0</v>
      </c>
      <c r="AZ2320">
        <v>0</v>
      </c>
      <c r="BA2320">
        <v>0</v>
      </c>
      <c r="BB2320">
        <v>0</v>
      </c>
      <c r="BC2320">
        <v>0</v>
      </c>
      <c r="BD2320">
        <v>0</v>
      </c>
      <c r="BE2320">
        <v>0</v>
      </c>
      <c r="BF2320">
        <v>0</v>
      </c>
      <c r="BG2320">
        <v>0</v>
      </c>
      <c r="BH2320">
        <v>1</v>
      </c>
      <c r="BI2320">
        <v>1</v>
      </c>
      <c r="BJ2320">
        <v>0.2</v>
      </c>
      <c r="BK2320">
        <v>1</v>
      </c>
      <c r="BL2320">
        <v>54.66</v>
      </c>
      <c r="BM2320">
        <v>8.1999999999999993</v>
      </c>
      <c r="BN2320">
        <v>62.86</v>
      </c>
      <c r="BO2320">
        <v>62.86</v>
      </c>
      <c r="BQ2320" t="s">
        <v>1056</v>
      </c>
      <c r="BR2320" t="s">
        <v>84</v>
      </c>
      <c r="BS2320" s="3">
        <v>45798</v>
      </c>
      <c r="BT2320" s="4">
        <v>0.35486111111111113</v>
      </c>
      <c r="BU2320" t="s">
        <v>2643</v>
      </c>
      <c r="BV2320" t="s">
        <v>86</v>
      </c>
      <c r="BY2320">
        <v>1200</v>
      </c>
      <c r="CA2320" t="s">
        <v>698</v>
      </c>
      <c r="CC2320" t="s">
        <v>649</v>
      </c>
      <c r="CD2320">
        <v>1559</v>
      </c>
      <c r="CE2320" t="s">
        <v>176</v>
      </c>
      <c r="CF2320" s="3">
        <v>45798</v>
      </c>
      <c r="CI2320">
        <v>1</v>
      </c>
      <c r="CJ2320">
        <v>1</v>
      </c>
      <c r="CK2320">
        <v>22</v>
      </c>
      <c r="CL2320" t="s">
        <v>89</v>
      </c>
    </row>
    <row r="2321" spans="1:90" x14ac:dyDescent="0.3">
      <c r="A2321" t="s">
        <v>72</v>
      </c>
      <c r="B2321" t="s">
        <v>73</v>
      </c>
      <c r="C2321" t="s">
        <v>74</v>
      </c>
      <c r="E2321" t="str">
        <f>"080065464727"</f>
        <v>080065464727</v>
      </c>
      <c r="F2321" s="3">
        <v>45797</v>
      </c>
      <c r="G2321">
        <v>202602</v>
      </c>
      <c r="H2321" t="s">
        <v>75</v>
      </c>
      <c r="I2321" t="s">
        <v>76</v>
      </c>
      <c r="J2321" t="s">
        <v>77</v>
      </c>
      <c r="K2321" t="s">
        <v>78</v>
      </c>
      <c r="L2321" t="s">
        <v>79</v>
      </c>
      <c r="M2321" t="s">
        <v>80</v>
      </c>
      <c r="N2321" t="s">
        <v>357</v>
      </c>
      <c r="O2321" t="s">
        <v>82</v>
      </c>
      <c r="P2321" t="str">
        <f>"4170039432                    "</f>
        <v xml:space="preserve">4170039432                    </v>
      </c>
      <c r="Q2321">
        <v>0</v>
      </c>
      <c r="R2321">
        <v>0</v>
      </c>
      <c r="S2321">
        <v>0</v>
      </c>
      <c r="T2321">
        <v>0</v>
      </c>
      <c r="U2321">
        <v>0</v>
      </c>
      <c r="V2321">
        <v>0</v>
      </c>
      <c r="W2321">
        <v>0</v>
      </c>
      <c r="X2321">
        <v>0</v>
      </c>
      <c r="Y2321">
        <v>0</v>
      </c>
      <c r="Z2321">
        <v>0</v>
      </c>
      <c r="AA2321">
        <v>0</v>
      </c>
      <c r="AB2321">
        <v>0</v>
      </c>
      <c r="AC2321">
        <v>0</v>
      </c>
      <c r="AD2321">
        <v>0</v>
      </c>
      <c r="AE2321">
        <v>0</v>
      </c>
      <c r="AF2321">
        <v>0</v>
      </c>
      <c r="AG2321">
        <v>0</v>
      </c>
      <c r="AH2321">
        <v>0</v>
      </c>
      <c r="AI2321">
        <v>0</v>
      </c>
      <c r="AJ2321">
        <v>0</v>
      </c>
      <c r="AK2321">
        <v>0</v>
      </c>
      <c r="AL2321">
        <v>0</v>
      </c>
      <c r="AM2321">
        <v>0</v>
      </c>
      <c r="AN2321">
        <v>0</v>
      </c>
      <c r="AO2321">
        <v>0</v>
      </c>
      <c r="AP2321">
        <v>0</v>
      </c>
      <c r="AQ2321">
        <v>21.38</v>
      </c>
      <c r="AR2321">
        <v>0</v>
      </c>
      <c r="AS2321">
        <v>0</v>
      </c>
      <c r="AT2321">
        <v>0</v>
      </c>
      <c r="AU2321">
        <v>0</v>
      </c>
      <c r="AV2321">
        <v>0</v>
      </c>
      <c r="AW2321">
        <v>0</v>
      </c>
      <c r="AX2321">
        <v>0</v>
      </c>
      <c r="AY2321">
        <v>0</v>
      </c>
      <c r="AZ2321">
        <v>0</v>
      </c>
      <c r="BA2321">
        <v>0</v>
      </c>
      <c r="BB2321">
        <v>0</v>
      </c>
      <c r="BC2321">
        <v>0</v>
      </c>
      <c r="BD2321">
        <v>0</v>
      </c>
      <c r="BE2321">
        <v>0</v>
      </c>
      <c r="BF2321">
        <v>0</v>
      </c>
      <c r="BG2321">
        <v>0</v>
      </c>
      <c r="BH2321">
        <v>1</v>
      </c>
      <c r="BI2321">
        <v>1</v>
      </c>
      <c r="BJ2321">
        <v>0.6</v>
      </c>
      <c r="BK2321">
        <v>1</v>
      </c>
      <c r="BL2321">
        <v>69.98</v>
      </c>
      <c r="BM2321">
        <v>10.5</v>
      </c>
      <c r="BN2321">
        <v>80.48</v>
      </c>
      <c r="BO2321">
        <v>80.48</v>
      </c>
      <c r="BQ2321" t="s">
        <v>358</v>
      </c>
      <c r="BR2321" t="s">
        <v>84</v>
      </c>
      <c r="BS2321" s="3">
        <v>45798</v>
      </c>
      <c r="BT2321" s="4">
        <v>0.43402777777777779</v>
      </c>
      <c r="BU2321" t="s">
        <v>2644</v>
      </c>
      <c r="BV2321" t="s">
        <v>86</v>
      </c>
      <c r="BY2321">
        <v>3192</v>
      </c>
      <c r="CA2321" t="s">
        <v>418</v>
      </c>
      <c r="CC2321" t="s">
        <v>80</v>
      </c>
      <c r="CD2321">
        <v>3608</v>
      </c>
      <c r="CE2321" t="s">
        <v>176</v>
      </c>
      <c r="CF2321" s="3">
        <v>45798</v>
      </c>
      <c r="CI2321">
        <v>1</v>
      </c>
      <c r="CJ2321">
        <v>1</v>
      </c>
      <c r="CK2321">
        <v>21</v>
      </c>
      <c r="CL2321" t="s">
        <v>89</v>
      </c>
    </row>
    <row r="2322" spans="1:90" x14ac:dyDescent="0.3">
      <c r="A2322" t="s">
        <v>72</v>
      </c>
      <c r="B2322" t="s">
        <v>73</v>
      </c>
      <c r="C2322" t="s">
        <v>74</v>
      </c>
      <c r="E2322" t="str">
        <f>"080065464749"</f>
        <v>080065464749</v>
      </c>
      <c r="F2322" s="3">
        <v>45797</v>
      </c>
      <c r="G2322">
        <v>202602</v>
      </c>
      <c r="H2322" t="s">
        <v>75</v>
      </c>
      <c r="I2322" t="s">
        <v>76</v>
      </c>
      <c r="J2322" t="s">
        <v>77</v>
      </c>
      <c r="K2322" t="s">
        <v>78</v>
      </c>
      <c r="L2322" t="s">
        <v>2485</v>
      </c>
      <c r="M2322" t="s">
        <v>2486</v>
      </c>
      <c r="N2322" t="s">
        <v>2645</v>
      </c>
      <c r="O2322" t="s">
        <v>82</v>
      </c>
      <c r="P2322" t="str">
        <f>"4170039368                    "</f>
        <v xml:space="preserve">4170039368                    </v>
      </c>
      <c r="Q2322">
        <v>0</v>
      </c>
      <c r="R2322">
        <v>0</v>
      </c>
      <c r="S2322">
        <v>0</v>
      </c>
      <c r="T2322">
        <v>0</v>
      </c>
      <c r="U2322">
        <v>0</v>
      </c>
      <c r="V2322">
        <v>0</v>
      </c>
      <c r="W2322">
        <v>0</v>
      </c>
      <c r="X2322">
        <v>0</v>
      </c>
      <c r="Y2322">
        <v>0</v>
      </c>
      <c r="Z2322">
        <v>0</v>
      </c>
      <c r="AA2322">
        <v>0</v>
      </c>
      <c r="AB2322">
        <v>0</v>
      </c>
      <c r="AC2322">
        <v>0</v>
      </c>
      <c r="AD2322">
        <v>0</v>
      </c>
      <c r="AE2322">
        <v>0</v>
      </c>
      <c r="AF2322">
        <v>0</v>
      </c>
      <c r="AG2322">
        <v>0</v>
      </c>
      <c r="AH2322">
        <v>0</v>
      </c>
      <c r="AI2322">
        <v>0</v>
      </c>
      <c r="AJ2322">
        <v>0</v>
      </c>
      <c r="AK2322">
        <v>0</v>
      </c>
      <c r="AL2322">
        <v>0</v>
      </c>
      <c r="AM2322">
        <v>0</v>
      </c>
      <c r="AN2322">
        <v>0</v>
      </c>
      <c r="AO2322">
        <v>0</v>
      </c>
      <c r="AP2322">
        <v>0</v>
      </c>
      <c r="AQ2322">
        <v>41.43</v>
      </c>
      <c r="AR2322">
        <v>0</v>
      </c>
      <c r="AS2322">
        <v>0</v>
      </c>
      <c r="AT2322">
        <v>0</v>
      </c>
      <c r="AU2322">
        <v>0</v>
      </c>
      <c r="AV2322">
        <v>0</v>
      </c>
      <c r="AW2322">
        <v>0</v>
      </c>
      <c r="AX2322">
        <v>0</v>
      </c>
      <c r="AY2322">
        <v>0</v>
      </c>
      <c r="AZ2322">
        <v>0</v>
      </c>
      <c r="BA2322">
        <v>0</v>
      </c>
      <c r="BB2322">
        <v>0</v>
      </c>
      <c r="BC2322">
        <v>0</v>
      </c>
      <c r="BD2322">
        <v>0</v>
      </c>
      <c r="BE2322">
        <v>0</v>
      </c>
      <c r="BF2322">
        <v>0</v>
      </c>
      <c r="BG2322">
        <v>0</v>
      </c>
      <c r="BH2322">
        <v>1</v>
      </c>
      <c r="BI2322">
        <v>1</v>
      </c>
      <c r="BJ2322">
        <v>0.2</v>
      </c>
      <c r="BK2322">
        <v>1</v>
      </c>
      <c r="BL2322">
        <v>135.59</v>
      </c>
      <c r="BM2322">
        <v>20.34</v>
      </c>
      <c r="BN2322">
        <v>155.93</v>
      </c>
      <c r="BO2322">
        <v>155.93</v>
      </c>
      <c r="BQ2322" t="s">
        <v>2646</v>
      </c>
      <c r="BR2322" t="s">
        <v>84</v>
      </c>
      <c r="BS2322" s="3">
        <v>45798</v>
      </c>
      <c r="BT2322" s="4">
        <v>0.4152777777777778</v>
      </c>
      <c r="BU2322" t="s">
        <v>2647</v>
      </c>
      <c r="BV2322" t="s">
        <v>86</v>
      </c>
      <c r="BY2322">
        <v>1200</v>
      </c>
      <c r="CA2322" t="s">
        <v>2490</v>
      </c>
      <c r="CC2322" t="s">
        <v>2486</v>
      </c>
      <c r="CD2322">
        <v>3900</v>
      </c>
      <c r="CE2322" t="s">
        <v>88</v>
      </c>
      <c r="CF2322" s="3">
        <v>45798</v>
      </c>
      <c r="CI2322">
        <v>1</v>
      </c>
      <c r="CJ2322">
        <v>1</v>
      </c>
      <c r="CK2322">
        <v>23</v>
      </c>
      <c r="CL2322" t="s">
        <v>89</v>
      </c>
    </row>
    <row r="2323" spans="1:90" x14ac:dyDescent="0.3">
      <c r="A2323" t="s">
        <v>72</v>
      </c>
      <c r="B2323" t="s">
        <v>73</v>
      </c>
      <c r="C2323" t="s">
        <v>74</v>
      </c>
      <c r="E2323" t="str">
        <f>"080065464760"</f>
        <v>080065464760</v>
      </c>
      <c r="F2323" s="3">
        <v>45797</v>
      </c>
      <c r="G2323">
        <v>202602</v>
      </c>
      <c r="H2323" t="s">
        <v>75</v>
      </c>
      <c r="I2323" t="s">
        <v>76</v>
      </c>
      <c r="J2323" t="s">
        <v>77</v>
      </c>
      <c r="K2323" t="s">
        <v>78</v>
      </c>
      <c r="L2323" t="s">
        <v>79</v>
      </c>
      <c r="M2323" t="s">
        <v>80</v>
      </c>
      <c r="N2323" t="s">
        <v>357</v>
      </c>
      <c r="O2323" t="s">
        <v>82</v>
      </c>
      <c r="P2323" t="str">
        <f>"4170039236                    "</f>
        <v xml:space="preserve">4170039236                    </v>
      </c>
      <c r="Q2323">
        <v>0</v>
      </c>
      <c r="R2323">
        <v>0</v>
      </c>
      <c r="S2323">
        <v>0</v>
      </c>
      <c r="T2323">
        <v>0</v>
      </c>
      <c r="U2323">
        <v>0</v>
      </c>
      <c r="V2323">
        <v>0</v>
      </c>
      <c r="W2323">
        <v>0</v>
      </c>
      <c r="X2323">
        <v>0</v>
      </c>
      <c r="Y2323">
        <v>0</v>
      </c>
      <c r="Z2323">
        <v>0</v>
      </c>
      <c r="AA2323">
        <v>0</v>
      </c>
      <c r="AB2323">
        <v>0</v>
      </c>
      <c r="AC2323">
        <v>0</v>
      </c>
      <c r="AD2323">
        <v>0</v>
      </c>
      <c r="AE2323">
        <v>0</v>
      </c>
      <c r="AF2323">
        <v>0</v>
      </c>
      <c r="AG2323">
        <v>0</v>
      </c>
      <c r="AH2323">
        <v>0</v>
      </c>
      <c r="AI2323">
        <v>0</v>
      </c>
      <c r="AJ2323">
        <v>0</v>
      </c>
      <c r="AK2323">
        <v>0</v>
      </c>
      <c r="AL2323">
        <v>0</v>
      </c>
      <c r="AM2323">
        <v>0</v>
      </c>
      <c r="AN2323">
        <v>0</v>
      </c>
      <c r="AO2323">
        <v>0</v>
      </c>
      <c r="AP2323">
        <v>0</v>
      </c>
      <c r="AQ2323">
        <v>21.38</v>
      </c>
      <c r="AR2323">
        <v>0</v>
      </c>
      <c r="AS2323">
        <v>0</v>
      </c>
      <c r="AT2323">
        <v>0</v>
      </c>
      <c r="AU2323">
        <v>0</v>
      </c>
      <c r="AV2323">
        <v>0</v>
      </c>
      <c r="AW2323">
        <v>0</v>
      </c>
      <c r="AX2323">
        <v>0</v>
      </c>
      <c r="AY2323">
        <v>0</v>
      </c>
      <c r="AZ2323">
        <v>0</v>
      </c>
      <c r="BA2323">
        <v>0</v>
      </c>
      <c r="BB2323">
        <v>0</v>
      </c>
      <c r="BC2323">
        <v>0</v>
      </c>
      <c r="BD2323">
        <v>0</v>
      </c>
      <c r="BE2323">
        <v>0</v>
      </c>
      <c r="BF2323">
        <v>0</v>
      </c>
      <c r="BG2323">
        <v>0</v>
      </c>
      <c r="BH2323">
        <v>1</v>
      </c>
      <c r="BI2323">
        <v>1</v>
      </c>
      <c r="BJ2323">
        <v>0.2</v>
      </c>
      <c r="BK2323">
        <v>1</v>
      </c>
      <c r="BL2323">
        <v>69.98</v>
      </c>
      <c r="BM2323">
        <v>10.5</v>
      </c>
      <c r="BN2323">
        <v>80.48</v>
      </c>
      <c r="BO2323">
        <v>80.48</v>
      </c>
      <c r="BQ2323" t="s">
        <v>358</v>
      </c>
      <c r="BR2323" t="s">
        <v>84</v>
      </c>
      <c r="BS2323" s="3">
        <v>45798</v>
      </c>
      <c r="BT2323" s="4">
        <v>0.43402777777777779</v>
      </c>
      <c r="BU2323" t="s">
        <v>2644</v>
      </c>
      <c r="BV2323" t="s">
        <v>86</v>
      </c>
      <c r="BY2323">
        <v>1200</v>
      </c>
      <c r="CA2323" t="s">
        <v>418</v>
      </c>
      <c r="CC2323" t="s">
        <v>80</v>
      </c>
      <c r="CD2323">
        <v>3608</v>
      </c>
      <c r="CE2323" t="s">
        <v>88</v>
      </c>
      <c r="CF2323" s="3">
        <v>45798</v>
      </c>
      <c r="CI2323">
        <v>1</v>
      </c>
      <c r="CJ2323">
        <v>1</v>
      </c>
      <c r="CK2323">
        <v>21</v>
      </c>
      <c r="CL2323" t="s">
        <v>89</v>
      </c>
    </row>
    <row r="2324" spans="1:90" x14ac:dyDescent="0.3">
      <c r="A2324" t="s">
        <v>72</v>
      </c>
      <c r="B2324" t="s">
        <v>73</v>
      </c>
      <c r="C2324" t="s">
        <v>74</v>
      </c>
      <c r="E2324" t="str">
        <f>"080065464772"</f>
        <v>080065464772</v>
      </c>
      <c r="F2324" s="3">
        <v>45797</v>
      </c>
      <c r="G2324">
        <v>202602</v>
      </c>
      <c r="H2324" t="s">
        <v>75</v>
      </c>
      <c r="I2324" t="s">
        <v>76</v>
      </c>
      <c r="J2324" t="s">
        <v>77</v>
      </c>
      <c r="K2324" t="s">
        <v>78</v>
      </c>
      <c r="L2324" t="s">
        <v>79</v>
      </c>
      <c r="M2324" t="s">
        <v>80</v>
      </c>
      <c r="N2324" t="s">
        <v>157</v>
      </c>
      <c r="O2324" t="s">
        <v>82</v>
      </c>
      <c r="P2324" t="str">
        <f>"4170039402                    "</f>
        <v xml:space="preserve">4170039402                    </v>
      </c>
      <c r="Q2324">
        <v>0</v>
      </c>
      <c r="R2324">
        <v>0</v>
      </c>
      <c r="S2324">
        <v>0</v>
      </c>
      <c r="T2324">
        <v>0</v>
      </c>
      <c r="U2324">
        <v>0</v>
      </c>
      <c r="V2324">
        <v>0</v>
      </c>
      <c r="W2324">
        <v>0</v>
      </c>
      <c r="X2324">
        <v>0</v>
      </c>
      <c r="Y2324">
        <v>0</v>
      </c>
      <c r="Z2324">
        <v>0</v>
      </c>
      <c r="AA2324">
        <v>0</v>
      </c>
      <c r="AB2324">
        <v>0</v>
      </c>
      <c r="AC2324">
        <v>0</v>
      </c>
      <c r="AD2324">
        <v>0</v>
      </c>
      <c r="AE2324">
        <v>0</v>
      </c>
      <c r="AF2324">
        <v>0</v>
      </c>
      <c r="AG2324">
        <v>0</v>
      </c>
      <c r="AH2324">
        <v>0</v>
      </c>
      <c r="AI2324">
        <v>0</v>
      </c>
      <c r="AJ2324">
        <v>0</v>
      </c>
      <c r="AK2324">
        <v>0</v>
      </c>
      <c r="AL2324">
        <v>0</v>
      </c>
      <c r="AM2324">
        <v>0</v>
      </c>
      <c r="AN2324">
        <v>0</v>
      </c>
      <c r="AO2324">
        <v>0</v>
      </c>
      <c r="AP2324">
        <v>0</v>
      </c>
      <c r="AQ2324">
        <v>21.38</v>
      </c>
      <c r="AR2324">
        <v>0</v>
      </c>
      <c r="AS2324">
        <v>0</v>
      </c>
      <c r="AT2324">
        <v>0</v>
      </c>
      <c r="AU2324">
        <v>0</v>
      </c>
      <c r="AV2324">
        <v>0</v>
      </c>
      <c r="AW2324">
        <v>0</v>
      </c>
      <c r="AX2324">
        <v>0</v>
      </c>
      <c r="AY2324">
        <v>0</v>
      </c>
      <c r="AZ2324">
        <v>0</v>
      </c>
      <c r="BA2324">
        <v>0</v>
      </c>
      <c r="BB2324">
        <v>0</v>
      </c>
      <c r="BC2324">
        <v>0</v>
      </c>
      <c r="BD2324">
        <v>0</v>
      </c>
      <c r="BE2324">
        <v>0</v>
      </c>
      <c r="BF2324">
        <v>0</v>
      </c>
      <c r="BG2324">
        <v>0</v>
      </c>
      <c r="BH2324">
        <v>1</v>
      </c>
      <c r="BI2324">
        <v>1</v>
      </c>
      <c r="BJ2324">
        <v>0.2</v>
      </c>
      <c r="BK2324">
        <v>1</v>
      </c>
      <c r="BL2324">
        <v>69.98</v>
      </c>
      <c r="BM2324">
        <v>10.5</v>
      </c>
      <c r="BN2324">
        <v>80.48</v>
      </c>
      <c r="BO2324">
        <v>80.48</v>
      </c>
      <c r="BQ2324" t="s">
        <v>158</v>
      </c>
      <c r="BR2324" t="s">
        <v>84</v>
      </c>
      <c r="BS2324" s="3">
        <v>45798</v>
      </c>
      <c r="BT2324" s="4">
        <v>0.42708333333333331</v>
      </c>
      <c r="BU2324" t="s">
        <v>159</v>
      </c>
      <c r="BV2324" t="s">
        <v>86</v>
      </c>
      <c r="BY2324">
        <v>1200</v>
      </c>
      <c r="CA2324" t="s">
        <v>160</v>
      </c>
      <c r="CC2324" t="s">
        <v>80</v>
      </c>
      <c r="CD2324">
        <v>3610</v>
      </c>
      <c r="CE2324" t="s">
        <v>88</v>
      </c>
      <c r="CF2324" s="3">
        <v>45798</v>
      </c>
      <c r="CI2324">
        <v>1</v>
      </c>
      <c r="CJ2324">
        <v>1</v>
      </c>
      <c r="CK2324">
        <v>21</v>
      </c>
      <c r="CL2324" t="s">
        <v>89</v>
      </c>
    </row>
    <row r="2325" spans="1:90" x14ac:dyDescent="0.3">
      <c r="A2325" t="s">
        <v>72</v>
      </c>
      <c r="B2325" t="s">
        <v>73</v>
      </c>
      <c r="C2325" t="s">
        <v>74</v>
      </c>
      <c r="E2325" t="str">
        <f>"080065464787"</f>
        <v>080065464787</v>
      </c>
      <c r="F2325" s="3">
        <v>45797</v>
      </c>
      <c r="G2325">
        <v>202602</v>
      </c>
      <c r="H2325" t="s">
        <v>75</v>
      </c>
      <c r="I2325" t="s">
        <v>76</v>
      </c>
      <c r="J2325" t="s">
        <v>77</v>
      </c>
      <c r="K2325" t="s">
        <v>78</v>
      </c>
      <c r="L2325" t="s">
        <v>90</v>
      </c>
      <c r="M2325" t="s">
        <v>91</v>
      </c>
      <c r="N2325" t="s">
        <v>563</v>
      </c>
      <c r="O2325" t="s">
        <v>82</v>
      </c>
      <c r="P2325" t="str">
        <f>"4170039536                    "</f>
        <v xml:space="preserve">4170039536                    </v>
      </c>
      <c r="Q2325">
        <v>0</v>
      </c>
      <c r="R2325">
        <v>0</v>
      </c>
      <c r="S2325">
        <v>0</v>
      </c>
      <c r="T2325">
        <v>0</v>
      </c>
      <c r="U2325">
        <v>0</v>
      </c>
      <c r="V2325">
        <v>0</v>
      </c>
      <c r="W2325">
        <v>0</v>
      </c>
      <c r="X2325">
        <v>0</v>
      </c>
      <c r="Y2325">
        <v>0</v>
      </c>
      <c r="Z2325">
        <v>0</v>
      </c>
      <c r="AA2325">
        <v>0</v>
      </c>
      <c r="AB2325">
        <v>0</v>
      </c>
      <c r="AC2325">
        <v>0</v>
      </c>
      <c r="AD2325">
        <v>0</v>
      </c>
      <c r="AE2325">
        <v>0</v>
      </c>
      <c r="AF2325">
        <v>0</v>
      </c>
      <c r="AG2325">
        <v>0</v>
      </c>
      <c r="AH2325">
        <v>0</v>
      </c>
      <c r="AI2325">
        <v>0</v>
      </c>
      <c r="AJ2325">
        <v>0</v>
      </c>
      <c r="AK2325">
        <v>0</v>
      </c>
      <c r="AL2325">
        <v>0</v>
      </c>
      <c r="AM2325">
        <v>0</v>
      </c>
      <c r="AN2325">
        <v>0</v>
      </c>
      <c r="AO2325">
        <v>0</v>
      </c>
      <c r="AP2325">
        <v>0</v>
      </c>
      <c r="AQ2325">
        <v>21.38</v>
      </c>
      <c r="AR2325">
        <v>0</v>
      </c>
      <c r="AS2325">
        <v>0</v>
      </c>
      <c r="AT2325">
        <v>0</v>
      </c>
      <c r="AU2325">
        <v>0</v>
      </c>
      <c r="AV2325">
        <v>0</v>
      </c>
      <c r="AW2325">
        <v>0</v>
      </c>
      <c r="AX2325">
        <v>0</v>
      </c>
      <c r="AY2325">
        <v>0</v>
      </c>
      <c r="AZ2325">
        <v>0</v>
      </c>
      <c r="BA2325">
        <v>0</v>
      </c>
      <c r="BB2325">
        <v>0</v>
      </c>
      <c r="BC2325">
        <v>0</v>
      </c>
      <c r="BD2325">
        <v>0</v>
      </c>
      <c r="BE2325">
        <v>0</v>
      </c>
      <c r="BF2325">
        <v>0</v>
      </c>
      <c r="BG2325">
        <v>0</v>
      </c>
      <c r="BH2325">
        <v>1</v>
      </c>
      <c r="BI2325">
        <v>1</v>
      </c>
      <c r="BJ2325">
        <v>0.2</v>
      </c>
      <c r="BK2325">
        <v>1</v>
      </c>
      <c r="BL2325">
        <v>69.98</v>
      </c>
      <c r="BM2325">
        <v>10.5</v>
      </c>
      <c r="BN2325">
        <v>80.48</v>
      </c>
      <c r="BO2325">
        <v>80.48</v>
      </c>
      <c r="BQ2325" t="s">
        <v>564</v>
      </c>
      <c r="BR2325" t="s">
        <v>84</v>
      </c>
      <c r="BS2325" s="3">
        <v>45798</v>
      </c>
      <c r="BT2325" s="4">
        <v>0.35833333333333334</v>
      </c>
      <c r="BU2325" t="s">
        <v>987</v>
      </c>
      <c r="BV2325" t="s">
        <v>86</v>
      </c>
      <c r="BY2325">
        <v>1200</v>
      </c>
      <c r="CA2325" t="s">
        <v>566</v>
      </c>
      <c r="CC2325" t="s">
        <v>91</v>
      </c>
      <c r="CD2325">
        <v>6001</v>
      </c>
      <c r="CE2325" t="s">
        <v>88</v>
      </c>
      <c r="CF2325" s="3">
        <v>45798</v>
      </c>
      <c r="CI2325">
        <v>1</v>
      </c>
      <c r="CJ2325">
        <v>1</v>
      </c>
      <c r="CK2325">
        <v>21</v>
      </c>
      <c r="CL2325" t="s">
        <v>89</v>
      </c>
    </row>
    <row r="2326" spans="1:90" x14ac:dyDescent="0.3">
      <c r="A2326" t="s">
        <v>72</v>
      </c>
      <c r="B2326" t="s">
        <v>73</v>
      </c>
      <c r="C2326" t="s">
        <v>74</v>
      </c>
      <c r="E2326" t="str">
        <f>"080065464798"</f>
        <v>080065464798</v>
      </c>
      <c r="F2326" s="3">
        <v>45797</v>
      </c>
      <c r="G2326">
        <v>202602</v>
      </c>
      <c r="H2326" t="s">
        <v>75</v>
      </c>
      <c r="I2326" t="s">
        <v>76</v>
      </c>
      <c r="J2326" t="s">
        <v>77</v>
      </c>
      <c r="K2326" t="s">
        <v>78</v>
      </c>
      <c r="L2326" t="s">
        <v>350</v>
      </c>
      <c r="M2326" t="s">
        <v>351</v>
      </c>
      <c r="N2326" t="s">
        <v>678</v>
      </c>
      <c r="O2326" t="s">
        <v>82</v>
      </c>
      <c r="P2326" t="str">
        <f>"4170039523                    "</f>
        <v xml:space="preserve">4170039523                    </v>
      </c>
      <c r="Q2326">
        <v>0</v>
      </c>
      <c r="R2326">
        <v>0</v>
      </c>
      <c r="S2326">
        <v>0</v>
      </c>
      <c r="T2326">
        <v>0</v>
      </c>
      <c r="U2326">
        <v>0</v>
      </c>
      <c r="V2326">
        <v>0</v>
      </c>
      <c r="W2326">
        <v>0</v>
      </c>
      <c r="X2326">
        <v>0</v>
      </c>
      <c r="Y2326">
        <v>0</v>
      </c>
      <c r="Z2326">
        <v>0</v>
      </c>
      <c r="AA2326">
        <v>0</v>
      </c>
      <c r="AB2326">
        <v>0</v>
      </c>
      <c r="AC2326">
        <v>0</v>
      </c>
      <c r="AD2326">
        <v>0</v>
      </c>
      <c r="AE2326">
        <v>0</v>
      </c>
      <c r="AF2326">
        <v>0</v>
      </c>
      <c r="AG2326">
        <v>0</v>
      </c>
      <c r="AH2326">
        <v>0</v>
      </c>
      <c r="AI2326">
        <v>0</v>
      </c>
      <c r="AJ2326">
        <v>0</v>
      </c>
      <c r="AK2326">
        <v>0</v>
      </c>
      <c r="AL2326">
        <v>0</v>
      </c>
      <c r="AM2326">
        <v>0</v>
      </c>
      <c r="AN2326">
        <v>0</v>
      </c>
      <c r="AO2326">
        <v>0</v>
      </c>
      <c r="AP2326">
        <v>0</v>
      </c>
      <c r="AQ2326">
        <v>21.38</v>
      </c>
      <c r="AR2326">
        <v>0</v>
      </c>
      <c r="AS2326">
        <v>0</v>
      </c>
      <c r="AT2326">
        <v>0</v>
      </c>
      <c r="AU2326">
        <v>0</v>
      </c>
      <c r="AV2326">
        <v>0</v>
      </c>
      <c r="AW2326">
        <v>0</v>
      </c>
      <c r="AX2326">
        <v>0</v>
      </c>
      <c r="AY2326">
        <v>0</v>
      </c>
      <c r="AZ2326">
        <v>0</v>
      </c>
      <c r="BA2326">
        <v>0</v>
      </c>
      <c r="BB2326">
        <v>0</v>
      </c>
      <c r="BC2326">
        <v>0</v>
      </c>
      <c r="BD2326">
        <v>0</v>
      </c>
      <c r="BE2326">
        <v>0</v>
      </c>
      <c r="BF2326">
        <v>0</v>
      </c>
      <c r="BG2326">
        <v>0</v>
      </c>
      <c r="BH2326">
        <v>1</v>
      </c>
      <c r="BI2326">
        <v>1</v>
      </c>
      <c r="BJ2326">
        <v>0.2</v>
      </c>
      <c r="BK2326">
        <v>1</v>
      </c>
      <c r="BL2326">
        <v>69.98</v>
      </c>
      <c r="BM2326">
        <v>10.5</v>
      </c>
      <c r="BN2326">
        <v>80.48</v>
      </c>
      <c r="BO2326">
        <v>80.48</v>
      </c>
      <c r="BQ2326" t="s">
        <v>679</v>
      </c>
      <c r="BR2326" t="s">
        <v>84</v>
      </c>
      <c r="BS2326" s="3">
        <v>45798</v>
      </c>
      <c r="BT2326" s="4">
        <v>0.43680555555555556</v>
      </c>
      <c r="BU2326" t="s">
        <v>2648</v>
      </c>
      <c r="BV2326" t="s">
        <v>86</v>
      </c>
      <c r="BY2326">
        <v>1200</v>
      </c>
      <c r="CA2326" t="s">
        <v>2649</v>
      </c>
      <c r="CC2326" t="s">
        <v>351</v>
      </c>
      <c r="CD2326">
        <v>4052</v>
      </c>
      <c r="CE2326" t="s">
        <v>88</v>
      </c>
      <c r="CF2326" s="3">
        <v>45798</v>
      </c>
      <c r="CI2326">
        <v>1</v>
      </c>
      <c r="CJ2326">
        <v>1</v>
      </c>
      <c r="CK2326">
        <v>21</v>
      </c>
      <c r="CL2326" t="s">
        <v>89</v>
      </c>
    </row>
    <row r="2327" spans="1:90" x14ac:dyDescent="0.3">
      <c r="A2327" t="s">
        <v>72</v>
      </c>
      <c r="B2327" t="s">
        <v>73</v>
      </c>
      <c r="C2327" t="s">
        <v>74</v>
      </c>
      <c r="E2327" t="str">
        <f>"080065464823"</f>
        <v>080065464823</v>
      </c>
      <c r="F2327" s="3">
        <v>45797</v>
      </c>
      <c r="G2327">
        <v>202602</v>
      </c>
      <c r="H2327" t="s">
        <v>75</v>
      </c>
      <c r="I2327" t="s">
        <v>76</v>
      </c>
      <c r="J2327" t="s">
        <v>77</v>
      </c>
      <c r="K2327" t="s">
        <v>78</v>
      </c>
      <c r="L2327" t="s">
        <v>713</v>
      </c>
      <c r="M2327" t="s">
        <v>714</v>
      </c>
      <c r="N2327" t="s">
        <v>715</v>
      </c>
      <c r="O2327" t="s">
        <v>82</v>
      </c>
      <c r="P2327" t="str">
        <f>"4170039235                    "</f>
        <v xml:space="preserve">4170039235                    </v>
      </c>
      <c r="Q2327">
        <v>0</v>
      </c>
      <c r="R2327">
        <v>0</v>
      </c>
      <c r="S2327">
        <v>0</v>
      </c>
      <c r="T2327">
        <v>0</v>
      </c>
      <c r="U2327">
        <v>0</v>
      </c>
      <c r="V2327">
        <v>0</v>
      </c>
      <c r="W2327">
        <v>0</v>
      </c>
      <c r="X2327">
        <v>0</v>
      </c>
      <c r="Y2327">
        <v>0</v>
      </c>
      <c r="Z2327">
        <v>0</v>
      </c>
      <c r="AA2327">
        <v>0</v>
      </c>
      <c r="AB2327">
        <v>0</v>
      </c>
      <c r="AC2327">
        <v>0</v>
      </c>
      <c r="AD2327">
        <v>0</v>
      </c>
      <c r="AE2327">
        <v>0</v>
      </c>
      <c r="AF2327">
        <v>0</v>
      </c>
      <c r="AG2327">
        <v>0</v>
      </c>
      <c r="AH2327">
        <v>0</v>
      </c>
      <c r="AI2327">
        <v>0</v>
      </c>
      <c r="AJ2327">
        <v>0</v>
      </c>
      <c r="AK2327">
        <v>0</v>
      </c>
      <c r="AL2327">
        <v>0</v>
      </c>
      <c r="AM2327">
        <v>0</v>
      </c>
      <c r="AN2327">
        <v>0</v>
      </c>
      <c r="AO2327">
        <v>0</v>
      </c>
      <c r="AP2327">
        <v>0</v>
      </c>
      <c r="AQ2327">
        <v>41.43</v>
      </c>
      <c r="AR2327">
        <v>0</v>
      </c>
      <c r="AS2327">
        <v>0</v>
      </c>
      <c r="AT2327">
        <v>0</v>
      </c>
      <c r="AU2327">
        <v>0</v>
      </c>
      <c r="AV2327">
        <v>0</v>
      </c>
      <c r="AW2327">
        <v>0</v>
      </c>
      <c r="AX2327">
        <v>0</v>
      </c>
      <c r="AY2327">
        <v>0</v>
      </c>
      <c r="AZ2327">
        <v>0</v>
      </c>
      <c r="BA2327">
        <v>0</v>
      </c>
      <c r="BB2327">
        <v>0</v>
      </c>
      <c r="BC2327">
        <v>0</v>
      </c>
      <c r="BD2327">
        <v>0</v>
      </c>
      <c r="BE2327">
        <v>0</v>
      </c>
      <c r="BF2327">
        <v>0</v>
      </c>
      <c r="BG2327">
        <v>0</v>
      </c>
      <c r="BH2327">
        <v>1</v>
      </c>
      <c r="BI2327">
        <v>1</v>
      </c>
      <c r="BJ2327">
        <v>0.2</v>
      </c>
      <c r="BK2327">
        <v>1</v>
      </c>
      <c r="BL2327">
        <v>135.59</v>
      </c>
      <c r="BM2327">
        <v>20.34</v>
      </c>
      <c r="BN2327">
        <v>155.93</v>
      </c>
      <c r="BO2327">
        <v>155.93</v>
      </c>
      <c r="BQ2327" t="s">
        <v>716</v>
      </c>
      <c r="BR2327" t="s">
        <v>84</v>
      </c>
      <c r="BS2327" s="3">
        <v>45798</v>
      </c>
      <c r="BT2327" s="4">
        <v>0.54861111111111116</v>
      </c>
      <c r="BU2327" t="s">
        <v>2421</v>
      </c>
      <c r="BV2327" t="s">
        <v>86</v>
      </c>
      <c r="BY2327">
        <v>1200</v>
      </c>
      <c r="CA2327" t="s">
        <v>718</v>
      </c>
      <c r="CC2327" t="s">
        <v>714</v>
      </c>
      <c r="CD2327">
        <v>6300</v>
      </c>
      <c r="CE2327" t="s">
        <v>88</v>
      </c>
      <c r="CF2327" s="3">
        <v>45798</v>
      </c>
      <c r="CI2327">
        <v>2</v>
      </c>
      <c r="CJ2327">
        <v>1</v>
      </c>
      <c r="CK2327">
        <v>23</v>
      </c>
      <c r="CL2327" t="s">
        <v>89</v>
      </c>
    </row>
    <row r="2328" spans="1:90" x14ac:dyDescent="0.3">
      <c r="A2328" t="s">
        <v>72</v>
      </c>
      <c r="B2328" t="s">
        <v>73</v>
      </c>
      <c r="C2328" t="s">
        <v>74</v>
      </c>
      <c r="E2328" t="str">
        <f>"080065464839"</f>
        <v>080065464839</v>
      </c>
      <c r="F2328" s="3">
        <v>45797</v>
      </c>
      <c r="G2328">
        <v>202602</v>
      </c>
      <c r="H2328" t="s">
        <v>75</v>
      </c>
      <c r="I2328" t="s">
        <v>76</v>
      </c>
      <c r="J2328" t="s">
        <v>77</v>
      </c>
      <c r="K2328" t="s">
        <v>78</v>
      </c>
      <c r="L2328" t="s">
        <v>103</v>
      </c>
      <c r="M2328" t="s">
        <v>104</v>
      </c>
      <c r="N2328" t="s">
        <v>105</v>
      </c>
      <c r="O2328" t="s">
        <v>82</v>
      </c>
      <c r="P2328" t="str">
        <f>"4170039394                    "</f>
        <v xml:space="preserve">4170039394                    </v>
      </c>
      <c r="Q2328">
        <v>0</v>
      </c>
      <c r="R2328">
        <v>0</v>
      </c>
      <c r="S2328">
        <v>0</v>
      </c>
      <c r="T2328">
        <v>0</v>
      </c>
      <c r="U2328">
        <v>0</v>
      </c>
      <c r="V2328">
        <v>0</v>
      </c>
      <c r="W2328">
        <v>0</v>
      </c>
      <c r="X2328">
        <v>0</v>
      </c>
      <c r="Y2328">
        <v>0</v>
      </c>
      <c r="Z2328">
        <v>0</v>
      </c>
      <c r="AA2328">
        <v>0</v>
      </c>
      <c r="AB2328">
        <v>0</v>
      </c>
      <c r="AC2328">
        <v>0</v>
      </c>
      <c r="AD2328">
        <v>0</v>
      </c>
      <c r="AE2328">
        <v>0</v>
      </c>
      <c r="AF2328">
        <v>0</v>
      </c>
      <c r="AG2328">
        <v>0</v>
      </c>
      <c r="AH2328">
        <v>0</v>
      </c>
      <c r="AI2328">
        <v>0</v>
      </c>
      <c r="AJ2328">
        <v>0</v>
      </c>
      <c r="AK2328">
        <v>0</v>
      </c>
      <c r="AL2328">
        <v>0</v>
      </c>
      <c r="AM2328">
        <v>0</v>
      </c>
      <c r="AN2328">
        <v>0</v>
      </c>
      <c r="AO2328">
        <v>0</v>
      </c>
      <c r="AP2328">
        <v>0</v>
      </c>
      <c r="AQ2328">
        <v>21.38</v>
      </c>
      <c r="AR2328">
        <v>0</v>
      </c>
      <c r="AS2328">
        <v>0</v>
      </c>
      <c r="AT2328">
        <v>0</v>
      </c>
      <c r="AU2328">
        <v>0</v>
      </c>
      <c r="AV2328">
        <v>0</v>
      </c>
      <c r="AW2328">
        <v>0</v>
      </c>
      <c r="AX2328">
        <v>0</v>
      </c>
      <c r="AY2328">
        <v>0</v>
      </c>
      <c r="AZ2328">
        <v>0</v>
      </c>
      <c r="BA2328">
        <v>0</v>
      </c>
      <c r="BB2328">
        <v>0</v>
      </c>
      <c r="BC2328">
        <v>0</v>
      </c>
      <c r="BD2328">
        <v>0</v>
      </c>
      <c r="BE2328">
        <v>0</v>
      </c>
      <c r="BF2328">
        <v>0</v>
      </c>
      <c r="BG2328">
        <v>0</v>
      </c>
      <c r="BH2328">
        <v>1</v>
      </c>
      <c r="BI2328">
        <v>1</v>
      </c>
      <c r="BJ2328">
        <v>0.2</v>
      </c>
      <c r="BK2328">
        <v>1</v>
      </c>
      <c r="BL2328">
        <v>69.98</v>
      </c>
      <c r="BM2328">
        <v>10.5</v>
      </c>
      <c r="BN2328">
        <v>80.48</v>
      </c>
      <c r="BO2328">
        <v>80.48</v>
      </c>
      <c r="BQ2328" t="s">
        <v>106</v>
      </c>
      <c r="BR2328" t="s">
        <v>84</v>
      </c>
      <c r="BS2328" s="3">
        <v>45798</v>
      </c>
      <c r="BT2328" s="4">
        <v>0.41666666666666669</v>
      </c>
      <c r="BU2328" t="s">
        <v>107</v>
      </c>
      <c r="BV2328" t="s">
        <v>86</v>
      </c>
      <c r="BY2328">
        <v>1200</v>
      </c>
      <c r="CA2328" t="s">
        <v>108</v>
      </c>
      <c r="CC2328" t="s">
        <v>104</v>
      </c>
      <c r="CD2328">
        <v>3201</v>
      </c>
      <c r="CE2328" t="s">
        <v>88</v>
      </c>
      <c r="CF2328" s="3">
        <v>45799</v>
      </c>
      <c r="CI2328">
        <v>1</v>
      </c>
      <c r="CJ2328">
        <v>1</v>
      </c>
      <c r="CK2328">
        <v>21</v>
      </c>
      <c r="CL2328" t="s">
        <v>89</v>
      </c>
    </row>
    <row r="2329" spans="1:90" x14ac:dyDescent="0.3">
      <c r="A2329" t="s">
        <v>72</v>
      </c>
      <c r="B2329" t="s">
        <v>73</v>
      </c>
      <c r="C2329" t="s">
        <v>74</v>
      </c>
      <c r="E2329" t="str">
        <f>"080065464850"</f>
        <v>080065464850</v>
      </c>
      <c r="F2329" s="3">
        <v>45797</v>
      </c>
      <c r="G2329">
        <v>202602</v>
      </c>
      <c r="H2329" t="s">
        <v>75</v>
      </c>
      <c r="I2329" t="s">
        <v>76</v>
      </c>
      <c r="J2329" t="s">
        <v>77</v>
      </c>
      <c r="K2329" t="s">
        <v>78</v>
      </c>
      <c r="L2329" t="s">
        <v>75</v>
      </c>
      <c r="M2329" t="s">
        <v>76</v>
      </c>
      <c r="N2329" t="s">
        <v>2650</v>
      </c>
      <c r="O2329" t="s">
        <v>82</v>
      </c>
      <c r="P2329" t="str">
        <f>"4170039475                    "</f>
        <v xml:space="preserve">4170039475                    </v>
      </c>
      <c r="Q2329">
        <v>0</v>
      </c>
      <c r="R2329">
        <v>0</v>
      </c>
      <c r="S2329">
        <v>0</v>
      </c>
      <c r="T2329">
        <v>0</v>
      </c>
      <c r="U2329">
        <v>0</v>
      </c>
      <c r="V2329">
        <v>0</v>
      </c>
      <c r="W2329">
        <v>0</v>
      </c>
      <c r="X2329">
        <v>0</v>
      </c>
      <c r="Y2329">
        <v>0</v>
      </c>
      <c r="Z2329">
        <v>0</v>
      </c>
      <c r="AA2329">
        <v>0</v>
      </c>
      <c r="AB2329">
        <v>0</v>
      </c>
      <c r="AC2329">
        <v>0</v>
      </c>
      <c r="AD2329">
        <v>0</v>
      </c>
      <c r="AE2329">
        <v>0</v>
      </c>
      <c r="AF2329">
        <v>0</v>
      </c>
      <c r="AG2329">
        <v>0</v>
      </c>
      <c r="AH2329">
        <v>0</v>
      </c>
      <c r="AI2329">
        <v>0</v>
      </c>
      <c r="AJ2329">
        <v>0</v>
      </c>
      <c r="AK2329">
        <v>0</v>
      </c>
      <c r="AL2329">
        <v>0</v>
      </c>
      <c r="AM2329">
        <v>0</v>
      </c>
      <c r="AN2329">
        <v>0</v>
      </c>
      <c r="AO2329">
        <v>0</v>
      </c>
      <c r="AP2329">
        <v>0</v>
      </c>
      <c r="AQ2329">
        <v>16.7</v>
      </c>
      <c r="AR2329">
        <v>0</v>
      </c>
      <c r="AS2329">
        <v>0</v>
      </c>
      <c r="AT2329">
        <v>0</v>
      </c>
      <c r="AU2329">
        <v>0</v>
      </c>
      <c r="AV2329">
        <v>0</v>
      </c>
      <c r="AW2329">
        <v>0</v>
      </c>
      <c r="AX2329">
        <v>0</v>
      </c>
      <c r="AY2329">
        <v>0</v>
      </c>
      <c r="AZ2329">
        <v>0</v>
      </c>
      <c r="BA2329">
        <v>0</v>
      </c>
      <c r="BB2329">
        <v>0</v>
      </c>
      <c r="BC2329">
        <v>0</v>
      </c>
      <c r="BD2329">
        <v>0</v>
      </c>
      <c r="BE2329">
        <v>0</v>
      </c>
      <c r="BF2329">
        <v>0</v>
      </c>
      <c r="BG2329">
        <v>0</v>
      </c>
      <c r="BH2329">
        <v>1</v>
      </c>
      <c r="BI2329">
        <v>1</v>
      </c>
      <c r="BJ2329">
        <v>0.2</v>
      </c>
      <c r="BK2329">
        <v>1</v>
      </c>
      <c r="BL2329">
        <v>54.66</v>
      </c>
      <c r="BM2329">
        <v>8.1999999999999993</v>
      </c>
      <c r="BN2329">
        <v>62.86</v>
      </c>
      <c r="BO2329">
        <v>62.86</v>
      </c>
      <c r="BQ2329" t="s">
        <v>2651</v>
      </c>
      <c r="BR2329" t="s">
        <v>84</v>
      </c>
      <c r="BS2329" s="3">
        <v>45798</v>
      </c>
      <c r="BT2329" s="4">
        <v>0.4236111111111111</v>
      </c>
      <c r="BU2329" t="s">
        <v>2652</v>
      </c>
      <c r="BV2329" t="s">
        <v>86</v>
      </c>
      <c r="BY2329">
        <v>1200</v>
      </c>
      <c r="CA2329" t="s">
        <v>1958</v>
      </c>
      <c r="CC2329" t="s">
        <v>76</v>
      </c>
      <c r="CD2329">
        <v>1666</v>
      </c>
      <c r="CE2329" t="s">
        <v>88</v>
      </c>
      <c r="CF2329" s="3">
        <v>45798</v>
      </c>
      <c r="CI2329">
        <v>1</v>
      </c>
      <c r="CJ2329">
        <v>1</v>
      </c>
      <c r="CK2329">
        <v>22</v>
      </c>
      <c r="CL2329" t="s">
        <v>89</v>
      </c>
    </row>
    <row r="2330" spans="1:90" x14ac:dyDescent="0.3">
      <c r="A2330" t="s">
        <v>72</v>
      </c>
      <c r="B2330" t="s">
        <v>73</v>
      </c>
      <c r="C2330" t="s">
        <v>74</v>
      </c>
      <c r="E2330" t="str">
        <f>"080065464869"</f>
        <v>080065464869</v>
      </c>
      <c r="F2330" s="3">
        <v>45797</v>
      </c>
      <c r="G2330">
        <v>202602</v>
      </c>
      <c r="H2330" t="s">
        <v>75</v>
      </c>
      <c r="I2330" t="s">
        <v>76</v>
      </c>
      <c r="J2330" t="s">
        <v>77</v>
      </c>
      <c r="K2330" t="s">
        <v>78</v>
      </c>
      <c r="L2330" t="s">
        <v>331</v>
      </c>
      <c r="M2330" t="s">
        <v>332</v>
      </c>
      <c r="N2330" t="s">
        <v>499</v>
      </c>
      <c r="O2330" t="s">
        <v>82</v>
      </c>
      <c r="P2330" t="str">
        <f>"4170039382                    "</f>
        <v xml:space="preserve">4170039382                    </v>
      </c>
      <c r="Q2330">
        <v>0</v>
      </c>
      <c r="R2330">
        <v>0</v>
      </c>
      <c r="S2330">
        <v>0</v>
      </c>
      <c r="T2330">
        <v>0</v>
      </c>
      <c r="U2330">
        <v>0</v>
      </c>
      <c r="V2330">
        <v>0</v>
      </c>
      <c r="W2330">
        <v>0</v>
      </c>
      <c r="X2330">
        <v>0</v>
      </c>
      <c r="Y2330">
        <v>0</v>
      </c>
      <c r="Z2330">
        <v>0</v>
      </c>
      <c r="AA2330">
        <v>0</v>
      </c>
      <c r="AB2330">
        <v>0</v>
      </c>
      <c r="AC2330">
        <v>0</v>
      </c>
      <c r="AD2330">
        <v>0</v>
      </c>
      <c r="AE2330">
        <v>0</v>
      </c>
      <c r="AF2330">
        <v>0</v>
      </c>
      <c r="AG2330">
        <v>0</v>
      </c>
      <c r="AH2330">
        <v>0</v>
      </c>
      <c r="AI2330">
        <v>0</v>
      </c>
      <c r="AJ2330">
        <v>0</v>
      </c>
      <c r="AK2330">
        <v>0</v>
      </c>
      <c r="AL2330">
        <v>0</v>
      </c>
      <c r="AM2330">
        <v>0</v>
      </c>
      <c r="AN2330">
        <v>0</v>
      </c>
      <c r="AO2330">
        <v>0</v>
      </c>
      <c r="AP2330">
        <v>0</v>
      </c>
      <c r="AQ2330">
        <v>16.7</v>
      </c>
      <c r="AR2330">
        <v>0</v>
      </c>
      <c r="AS2330">
        <v>0</v>
      </c>
      <c r="AT2330">
        <v>0</v>
      </c>
      <c r="AU2330">
        <v>0</v>
      </c>
      <c r="AV2330">
        <v>0</v>
      </c>
      <c r="AW2330">
        <v>0</v>
      </c>
      <c r="AX2330">
        <v>0</v>
      </c>
      <c r="AY2330">
        <v>0</v>
      </c>
      <c r="AZ2330">
        <v>0</v>
      </c>
      <c r="BA2330">
        <v>0</v>
      </c>
      <c r="BB2330">
        <v>0</v>
      </c>
      <c r="BC2330">
        <v>0</v>
      </c>
      <c r="BD2330">
        <v>0</v>
      </c>
      <c r="BE2330">
        <v>0</v>
      </c>
      <c r="BF2330">
        <v>0</v>
      </c>
      <c r="BG2330">
        <v>0</v>
      </c>
      <c r="BH2330">
        <v>1</v>
      </c>
      <c r="BI2330">
        <v>1</v>
      </c>
      <c r="BJ2330">
        <v>0.2</v>
      </c>
      <c r="BK2330">
        <v>1</v>
      </c>
      <c r="BL2330">
        <v>54.66</v>
      </c>
      <c r="BM2330">
        <v>8.1999999999999993</v>
      </c>
      <c r="BN2330">
        <v>62.86</v>
      </c>
      <c r="BO2330">
        <v>62.86</v>
      </c>
      <c r="BQ2330" t="s">
        <v>500</v>
      </c>
      <c r="BR2330" t="s">
        <v>84</v>
      </c>
      <c r="BS2330" s="3">
        <v>45798</v>
      </c>
      <c r="BT2330" s="4">
        <v>0.38194444444444442</v>
      </c>
      <c r="BU2330" t="s">
        <v>382</v>
      </c>
      <c r="BV2330" t="s">
        <v>86</v>
      </c>
      <c r="BY2330">
        <v>1200</v>
      </c>
      <c r="CA2330" t="s">
        <v>336</v>
      </c>
      <c r="CC2330" t="s">
        <v>332</v>
      </c>
      <c r="CD2330">
        <v>1451</v>
      </c>
      <c r="CE2330" t="s">
        <v>88</v>
      </c>
      <c r="CF2330" s="3">
        <v>45798</v>
      </c>
      <c r="CI2330">
        <v>1</v>
      </c>
      <c r="CJ2330">
        <v>1</v>
      </c>
      <c r="CK2330">
        <v>22</v>
      </c>
      <c r="CL2330" t="s">
        <v>89</v>
      </c>
    </row>
    <row r="2331" spans="1:90" x14ac:dyDescent="0.3">
      <c r="A2331" t="s">
        <v>72</v>
      </c>
      <c r="B2331" t="s">
        <v>73</v>
      </c>
      <c r="C2331" t="s">
        <v>74</v>
      </c>
      <c r="E2331" t="str">
        <f>"080065464871"</f>
        <v>080065464871</v>
      </c>
      <c r="F2331" s="3">
        <v>45797</v>
      </c>
      <c r="G2331">
        <v>202602</v>
      </c>
      <c r="H2331" t="s">
        <v>75</v>
      </c>
      <c r="I2331" t="s">
        <v>76</v>
      </c>
      <c r="J2331" t="s">
        <v>77</v>
      </c>
      <c r="K2331" t="s">
        <v>78</v>
      </c>
      <c r="L2331" t="s">
        <v>350</v>
      </c>
      <c r="M2331" t="s">
        <v>351</v>
      </c>
      <c r="N2331" t="s">
        <v>404</v>
      </c>
      <c r="O2331" t="s">
        <v>82</v>
      </c>
      <c r="P2331" t="str">
        <f>"4170039651                    "</f>
        <v xml:space="preserve">4170039651                    </v>
      </c>
      <c r="Q2331">
        <v>0</v>
      </c>
      <c r="R2331">
        <v>0</v>
      </c>
      <c r="S2331">
        <v>0</v>
      </c>
      <c r="T2331">
        <v>0</v>
      </c>
      <c r="U2331">
        <v>0</v>
      </c>
      <c r="V2331">
        <v>0</v>
      </c>
      <c r="W2331">
        <v>0</v>
      </c>
      <c r="X2331">
        <v>0</v>
      </c>
      <c r="Y2331">
        <v>0</v>
      </c>
      <c r="Z2331">
        <v>0</v>
      </c>
      <c r="AA2331">
        <v>0</v>
      </c>
      <c r="AB2331">
        <v>0</v>
      </c>
      <c r="AC2331">
        <v>0</v>
      </c>
      <c r="AD2331">
        <v>0</v>
      </c>
      <c r="AE2331">
        <v>0</v>
      </c>
      <c r="AF2331">
        <v>0</v>
      </c>
      <c r="AG2331">
        <v>0</v>
      </c>
      <c r="AH2331">
        <v>0</v>
      </c>
      <c r="AI2331">
        <v>0</v>
      </c>
      <c r="AJ2331">
        <v>0</v>
      </c>
      <c r="AK2331">
        <v>0</v>
      </c>
      <c r="AL2331">
        <v>0</v>
      </c>
      <c r="AM2331">
        <v>0</v>
      </c>
      <c r="AN2331">
        <v>0</v>
      </c>
      <c r="AO2331">
        <v>0</v>
      </c>
      <c r="AP2331">
        <v>0</v>
      </c>
      <c r="AQ2331">
        <v>106.85</v>
      </c>
      <c r="AR2331">
        <v>0</v>
      </c>
      <c r="AS2331">
        <v>0</v>
      </c>
      <c r="AT2331">
        <v>0</v>
      </c>
      <c r="AU2331">
        <v>0</v>
      </c>
      <c r="AV2331">
        <v>0</v>
      </c>
      <c r="AW2331">
        <v>0</v>
      </c>
      <c r="AX2331">
        <v>0</v>
      </c>
      <c r="AY2331">
        <v>0</v>
      </c>
      <c r="AZ2331">
        <v>0</v>
      </c>
      <c r="BA2331">
        <v>0</v>
      </c>
      <c r="BB2331">
        <v>0</v>
      </c>
      <c r="BC2331">
        <v>0</v>
      </c>
      <c r="BD2331">
        <v>0</v>
      </c>
      <c r="BE2331">
        <v>0</v>
      </c>
      <c r="BF2331">
        <v>0</v>
      </c>
      <c r="BG2331">
        <v>0</v>
      </c>
      <c r="BH2331">
        <v>1</v>
      </c>
      <c r="BI2331">
        <v>8</v>
      </c>
      <c r="BJ2331">
        <v>9.6</v>
      </c>
      <c r="BK2331">
        <v>10</v>
      </c>
      <c r="BL2331">
        <v>349.69</v>
      </c>
      <c r="BM2331">
        <v>52.45</v>
      </c>
      <c r="BN2331">
        <v>402.14</v>
      </c>
      <c r="BO2331">
        <v>402.14</v>
      </c>
      <c r="BQ2331" t="s">
        <v>405</v>
      </c>
      <c r="BR2331" t="s">
        <v>84</v>
      </c>
      <c r="BS2331" s="3">
        <v>45798</v>
      </c>
      <c r="BT2331" s="4">
        <v>0.66597222222222219</v>
      </c>
      <c r="BU2331" t="s">
        <v>2653</v>
      </c>
      <c r="BV2331" t="s">
        <v>89</v>
      </c>
      <c r="BW2331" t="s">
        <v>434</v>
      </c>
      <c r="BX2331" t="s">
        <v>435</v>
      </c>
      <c r="BY2331">
        <v>47824</v>
      </c>
      <c r="CA2331" t="s">
        <v>553</v>
      </c>
      <c r="CC2331" t="s">
        <v>351</v>
      </c>
      <c r="CD2331">
        <v>4052</v>
      </c>
      <c r="CE2331" t="s">
        <v>550</v>
      </c>
      <c r="CF2331" s="3">
        <v>45799</v>
      </c>
      <c r="CI2331">
        <v>1</v>
      </c>
      <c r="CJ2331">
        <v>1</v>
      </c>
      <c r="CK2331">
        <v>21</v>
      </c>
      <c r="CL2331" t="s">
        <v>89</v>
      </c>
    </row>
    <row r="2332" spans="1:90" x14ac:dyDescent="0.3">
      <c r="A2332" t="s">
        <v>72</v>
      </c>
      <c r="B2332" t="s">
        <v>73</v>
      </c>
      <c r="C2332" t="s">
        <v>74</v>
      </c>
      <c r="E2332" t="str">
        <f>"080065464906"</f>
        <v>080065464906</v>
      </c>
      <c r="F2332" s="3">
        <v>45797</v>
      </c>
      <c r="G2332">
        <v>202602</v>
      </c>
      <c r="H2332" t="s">
        <v>75</v>
      </c>
      <c r="I2332" t="s">
        <v>76</v>
      </c>
      <c r="J2332" t="s">
        <v>77</v>
      </c>
      <c r="K2332" t="s">
        <v>78</v>
      </c>
      <c r="L2332" t="s">
        <v>648</v>
      </c>
      <c r="M2332" t="s">
        <v>649</v>
      </c>
      <c r="N2332" t="s">
        <v>1702</v>
      </c>
      <c r="O2332" t="s">
        <v>82</v>
      </c>
      <c r="P2332" t="str">
        <f>"4170039375                    "</f>
        <v xml:space="preserve">4170039375                    </v>
      </c>
      <c r="Q2332">
        <v>0</v>
      </c>
      <c r="R2332">
        <v>0</v>
      </c>
      <c r="S2332">
        <v>0</v>
      </c>
      <c r="T2332">
        <v>0</v>
      </c>
      <c r="U2332">
        <v>0</v>
      </c>
      <c r="V2332">
        <v>0</v>
      </c>
      <c r="W2332">
        <v>0</v>
      </c>
      <c r="X2332">
        <v>0</v>
      </c>
      <c r="Y2332">
        <v>0</v>
      </c>
      <c r="Z2332">
        <v>0</v>
      </c>
      <c r="AA2332">
        <v>0</v>
      </c>
      <c r="AB2332">
        <v>0</v>
      </c>
      <c r="AC2332">
        <v>0</v>
      </c>
      <c r="AD2332">
        <v>0</v>
      </c>
      <c r="AE2332">
        <v>0</v>
      </c>
      <c r="AF2332">
        <v>0</v>
      </c>
      <c r="AG2332">
        <v>0</v>
      </c>
      <c r="AH2332">
        <v>0</v>
      </c>
      <c r="AI2332">
        <v>0</v>
      </c>
      <c r="AJ2332">
        <v>0</v>
      </c>
      <c r="AK2332">
        <v>0</v>
      </c>
      <c r="AL2332">
        <v>0</v>
      </c>
      <c r="AM2332">
        <v>0</v>
      </c>
      <c r="AN2332">
        <v>0</v>
      </c>
      <c r="AO2332">
        <v>0</v>
      </c>
      <c r="AP2332">
        <v>0</v>
      </c>
      <c r="AQ2332">
        <v>16.7</v>
      </c>
      <c r="AR2332">
        <v>0</v>
      </c>
      <c r="AS2332">
        <v>0</v>
      </c>
      <c r="AT2332">
        <v>0</v>
      </c>
      <c r="AU2332">
        <v>0</v>
      </c>
      <c r="AV2332">
        <v>0</v>
      </c>
      <c r="AW2332">
        <v>0</v>
      </c>
      <c r="AX2332">
        <v>0</v>
      </c>
      <c r="AY2332">
        <v>0</v>
      </c>
      <c r="AZ2332">
        <v>0</v>
      </c>
      <c r="BA2332">
        <v>0</v>
      </c>
      <c r="BB2332">
        <v>0</v>
      </c>
      <c r="BC2332">
        <v>0</v>
      </c>
      <c r="BD2332">
        <v>0</v>
      </c>
      <c r="BE2332">
        <v>0</v>
      </c>
      <c r="BF2332">
        <v>0</v>
      </c>
      <c r="BG2332">
        <v>0</v>
      </c>
      <c r="BH2332">
        <v>1</v>
      </c>
      <c r="BI2332">
        <v>1</v>
      </c>
      <c r="BJ2332">
        <v>0.2</v>
      </c>
      <c r="BK2332">
        <v>1</v>
      </c>
      <c r="BL2332">
        <v>54.66</v>
      </c>
      <c r="BM2332">
        <v>8.1999999999999993</v>
      </c>
      <c r="BN2332">
        <v>62.86</v>
      </c>
      <c r="BO2332">
        <v>62.86</v>
      </c>
      <c r="BQ2332" t="s">
        <v>1703</v>
      </c>
      <c r="BR2332" t="s">
        <v>84</v>
      </c>
      <c r="BS2332" s="3">
        <v>45798</v>
      </c>
      <c r="BT2332" s="4">
        <v>0.41666666666666669</v>
      </c>
      <c r="BU2332" t="s">
        <v>1014</v>
      </c>
      <c r="BV2332" t="s">
        <v>86</v>
      </c>
      <c r="BY2332">
        <v>1200</v>
      </c>
      <c r="CA2332" t="s">
        <v>698</v>
      </c>
      <c r="CC2332" t="s">
        <v>649</v>
      </c>
      <c r="CD2332">
        <v>1559</v>
      </c>
      <c r="CE2332" t="s">
        <v>88</v>
      </c>
      <c r="CF2332" s="3">
        <v>45798</v>
      </c>
      <c r="CI2332">
        <v>1</v>
      </c>
      <c r="CJ2332">
        <v>1</v>
      </c>
      <c r="CK2332">
        <v>22</v>
      </c>
      <c r="CL2332" t="s">
        <v>89</v>
      </c>
    </row>
    <row r="2333" spans="1:90" x14ac:dyDescent="0.3">
      <c r="A2333" t="s">
        <v>72</v>
      </c>
      <c r="B2333" t="s">
        <v>73</v>
      </c>
      <c r="C2333" t="s">
        <v>74</v>
      </c>
      <c r="E2333" t="str">
        <f>"080065464933"</f>
        <v>080065464933</v>
      </c>
      <c r="F2333" s="3">
        <v>45797</v>
      </c>
      <c r="G2333">
        <v>202602</v>
      </c>
      <c r="H2333" t="s">
        <v>75</v>
      </c>
      <c r="I2333" t="s">
        <v>76</v>
      </c>
      <c r="J2333" t="s">
        <v>77</v>
      </c>
      <c r="K2333" t="s">
        <v>78</v>
      </c>
      <c r="L2333" t="s">
        <v>136</v>
      </c>
      <c r="M2333" t="s">
        <v>137</v>
      </c>
      <c r="N2333" t="s">
        <v>499</v>
      </c>
      <c r="O2333" t="s">
        <v>82</v>
      </c>
      <c r="P2333" t="str">
        <f>"4170039439                    "</f>
        <v xml:space="preserve">4170039439                    </v>
      </c>
      <c r="Q2333">
        <v>0</v>
      </c>
      <c r="R2333">
        <v>0</v>
      </c>
      <c r="S2333">
        <v>0</v>
      </c>
      <c r="T2333">
        <v>0</v>
      </c>
      <c r="U2333">
        <v>0</v>
      </c>
      <c r="V2333">
        <v>0</v>
      </c>
      <c r="W2333">
        <v>0</v>
      </c>
      <c r="X2333">
        <v>0</v>
      </c>
      <c r="Y2333">
        <v>0</v>
      </c>
      <c r="Z2333">
        <v>0</v>
      </c>
      <c r="AA2333">
        <v>0</v>
      </c>
      <c r="AB2333">
        <v>0</v>
      </c>
      <c r="AC2333">
        <v>0</v>
      </c>
      <c r="AD2333">
        <v>0</v>
      </c>
      <c r="AE2333">
        <v>0</v>
      </c>
      <c r="AF2333">
        <v>0</v>
      </c>
      <c r="AG2333">
        <v>0</v>
      </c>
      <c r="AH2333">
        <v>0</v>
      </c>
      <c r="AI2333">
        <v>0</v>
      </c>
      <c r="AJ2333">
        <v>0</v>
      </c>
      <c r="AK2333">
        <v>0</v>
      </c>
      <c r="AL2333">
        <v>0</v>
      </c>
      <c r="AM2333">
        <v>0</v>
      </c>
      <c r="AN2333">
        <v>0</v>
      </c>
      <c r="AO2333">
        <v>0</v>
      </c>
      <c r="AP2333">
        <v>0</v>
      </c>
      <c r="AQ2333">
        <v>21.38</v>
      </c>
      <c r="AR2333">
        <v>0</v>
      </c>
      <c r="AS2333">
        <v>0</v>
      </c>
      <c r="AT2333">
        <v>0</v>
      </c>
      <c r="AU2333">
        <v>0</v>
      </c>
      <c r="AV2333">
        <v>0</v>
      </c>
      <c r="AW2333">
        <v>0</v>
      </c>
      <c r="AX2333">
        <v>0</v>
      </c>
      <c r="AY2333">
        <v>0</v>
      </c>
      <c r="AZ2333">
        <v>0</v>
      </c>
      <c r="BA2333">
        <v>0</v>
      </c>
      <c r="BB2333">
        <v>0</v>
      </c>
      <c r="BC2333">
        <v>0</v>
      </c>
      <c r="BD2333">
        <v>0</v>
      </c>
      <c r="BE2333">
        <v>0</v>
      </c>
      <c r="BF2333">
        <v>0</v>
      </c>
      <c r="BG2333">
        <v>0</v>
      </c>
      <c r="BH2333">
        <v>1</v>
      </c>
      <c r="BI2333">
        <v>1</v>
      </c>
      <c r="BJ2333">
        <v>0.2</v>
      </c>
      <c r="BK2333">
        <v>1</v>
      </c>
      <c r="BL2333">
        <v>69.98</v>
      </c>
      <c r="BM2333">
        <v>10.5</v>
      </c>
      <c r="BN2333">
        <v>80.48</v>
      </c>
      <c r="BO2333">
        <v>80.48</v>
      </c>
      <c r="BQ2333" t="s">
        <v>500</v>
      </c>
      <c r="BR2333" t="s">
        <v>84</v>
      </c>
      <c r="BS2333" s="3">
        <v>45798</v>
      </c>
      <c r="BT2333" s="4">
        <v>0.42083333333333334</v>
      </c>
      <c r="BU2333" t="s">
        <v>2632</v>
      </c>
      <c r="BV2333" t="s">
        <v>86</v>
      </c>
      <c r="BY2333">
        <v>1200</v>
      </c>
      <c r="CA2333" t="s">
        <v>141</v>
      </c>
      <c r="CC2333" t="s">
        <v>137</v>
      </c>
      <c r="CD2333" s="5" t="s">
        <v>142</v>
      </c>
      <c r="CE2333" t="s">
        <v>88</v>
      </c>
      <c r="CF2333" s="3">
        <v>45798</v>
      </c>
      <c r="CI2333">
        <v>1</v>
      </c>
      <c r="CJ2333">
        <v>1</v>
      </c>
      <c r="CK2333">
        <v>21</v>
      </c>
      <c r="CL2333" t="s">
        <v>89</v>
      </c>
    </row>
    <row r="2334" spans="1:90" x14ac:dyDescent="0.3">
      <c r="A2334" t="s">
        <v>72</v>
      </c>
      <c r="B2334" t="s">
        <v>73</v>
      </c>
      <c r="C2334" t="s">
        <v>74</v>
      </c>
      <c r="E2334" t="str">
        <f>"080065464966"</f>
        <v>080065464966</v>
      </c>
      <c r="F2334" s="3">
        <v>45797</v>
      </c>
      <c r="G2334">
        <v>202602</v>
      </c>
      <c r="H2334" t="s">
        <v>75</v>
      </c>
      <c r="I2334" t="s">
        <v>76</v>
      </c>
      <c r="J2334" t="s">
        <v>77</v>
      </c>
      <c r="K2334" t="s">
        <v>78</v>
      </c>
      <c r="L2334" t="s">
        <v>136</v>
      </c>
      <c r="M2334" t="s">
        <v>137</v>
      </c>
      <c r="N2334" t="s">
        <v>2262</v>
      </c>
      <c r="O2334" t="s">
        <v>82</v>
      </c>
      <c r="P2334" t="str">
        <f>"4170039531                    "</f>
        <v xml:space="preserve">4170039531                    </v>
      </c>
      <c r="Q2334">
        <v>0</v>
      </c>
      <c r="R2334">
        <v>0</v>
      </c>
      <c r="S2334">
        <v>0</v>
      </c>
      <c r="T2334">
        <v>0</v>
      </c>
      <c r="U2334">
        <v>0</v>
      </c>
      <c r="V2334">
        <v>0</v>
      </c>
      <c r="W2334">
        <v>0</v>
      </c>
      <c r="X2334">
        <v>0</v>
      </c>
      <c r="Y2334">
        <v>0</v>
      </c>
      <c r="Z2334">
        <v>0</v>
      </c>
      <c r="AA2334">
        <v>0</v>
      </c>
      <c r="AB2334">
        <v>0</v>
      </c>
      <c r="AC2334">
        <v>0</v>
      </c>
      <c r="AD2334">
        <v>0</v>
      </c>
      <c r="AE2334">
        <v>0</v>
      </c>
      <c r="AF2334">
        <v>0</v>
      </c>
      <c r="AG2334">
        <v>0</v>
      </c>
      <c r="AH2334">
        <v>0</v>
      </c>
      <c r="AI2334">
        <v>0</v>
      </c>
      <c r="AJ2334">
        <v>0</v>
      </c>
      <c r="AK2334">
        <v>0</v>
      </c>
      <c r="AL2334">
        <v>0</v>
      </c>
      <c r="AM2334">
        <v>0</v>
      </c>
      <c r="AN2334">
        <v>0</v>
      </c>
      <c r="AO2334">
        <v>0</v>
      </c>
      <c r="AP2334">
        <v>0</v>
      </c>
      <c r="AQ2334">
        <v>21.38</v>
      </c>
      <c r="AR2334">
        <v>0</v>
      </c>
      <c r="AS2334">
        <v>0</v>
      </c>
      <c r="AT2334">
        <v>0</v>
      </c>
      <c r="AU2334">
        <v>0</v>
      </c>
      <c r="AV2334">
        <v>0</v>
      </c>
      <c r="AW2334">
        <v>0</v>
      </c>
      <c r="AX2334">
        <v>0</v>
      </c>
      <c r="AY2334">
        <v>0</v>
      </c>
      <c r="AZ2334">
        <v>0</v>
      </c>
      <c r="BA2334">
        <v>0</v>
      </c>
      <c r="BB2334">
        <v>0</v>
      </c>
      <c r="BC2334">
        <v>0</v>
      </c>
      <c r="BD2334">
        <v>0</v>
      </c>
      <c r="BE2334">
        <v>0</v>
      </c>
      <c r="BF2334">
        <v>0</v>
      </c>
      <c r="BG2334">
        <v>0</v>
      </c>
      <c r="BH2334">
        <v>1</v>
      </c>
      <c r="BI2334">
        <v>1</v>
      </c>
      <c r="BJ2334">
        <v>0.2</v>
      </c>
      <c r="BK2334">
        <v>1</v>
      </c>
      <c r="BL2334">
        <v>69.98</v>
      </c>
      <c r="BM2334">
        <v>10.5</v>
      </c>
      <c r="BN2334">
        <v>80.48</v>
      </c>
      <c r="BO2334">
        <v>80.48</v>
      </c>
      <c r="BQ2334" t="s">
        <v>2263</v>
      </c>
      <c r="BR2334" t="s">
        <v>84</v>
      </c>
      <c r="BS2334" s="3">
        <v>45798</v>
      </c>
      <c r="BT2334" s="4">
        <v>0.4375</v>
      </c>
      <c r="BU2334" t="s">
        <v>2264</v>
      </c>
      <c r="BV2334" t="s">
        <v>86</v>
      </c>
      <c r="BY2334">
        <v>1200</v>
      </c>
      <c r="CA2334" t="s">
        <v>779</v>
      </c>
      <c r="CC2334" t="s">
        <v>137</v>
      </c>
      <c r="CD2334" s="5" t="s">
        <v>1786</v>
      </c>
      <c r="CE2334" t="s">
        <v>88</v>
      </c>
      <c r="CF2334" s="3">
        <v>45798</v>
      </c>
      <c r="CI2334">
        <v>1</v>
      </c>
      <c r="CJ2334">
        <v>1</v>
      </c>
      <c r="CK2334">
        <v>21</v>
      </c>
      <c r="CL2334" t="s">
        <v>89</v>
      </c>
    </row>
    <row r="2335" spans="1:90" x14ac:dyDescent="0.3">
      <c r="A2335" t="s">
        <v>72</v>
      </c>
      <c r="B2335" t="s">
        <v>73</v>
      </c>
      <c r="C2335" t="s">
        <v>74</v>
      </c>
      <c r="E2335" t="str">
        <f>"080065465003"</f>
        <v>080065465003</v>
      </c>
      <c r="F2335" s="3">
        <v>45797</v>
      </c>
      <c r="G2335">
        <v>202602</v>
      </c>
      <c r="H2335" t="s">
        <v>75</v>
      </c>
      <c r="I2335" t="s">
        <v>76</v>
      </c>
      <c r="J2335" t="s">
        <v>77</v>
      </c>
      <c r="K2335" t="s">
        <v>78</v>
      </c>
      <c r="L2335" t="s">
        <v>143</v>
      </c>
      <c r="M2335" t="s">
        <v>144</v>
      </c>
      <c r="N2335" t="s">
        <v>719</v>
      </c>
      <c r="O2335" t="s">
        <v>82</v>
      </c>
      <c r="P2335" t="str">
        <f>"4170039497                    "</f>
        <v xml:space="preserve">4170039497                    </v>
      </c>
      <c r="Q2335">
        <v>0</v>
      </c>
      <c r="R2335">
        <v>0</v>
      </c>
      <c r="S2335">
        <v>0</v>
      </c>
      <c r="T2335">
        <v>0</v>
      </c>
      <c r="U2335">
        <v>0</v>
      </c>
      <c r="V2335">
        <v>0</v>
      </c>
      <c r="W2335">
        <v>0</v>
      </c>
      <c r="X2335">
        <v>0</v>
      </c>
      <c r="Y2335">
        <v>0</v>
      </c>
      <c r="Z2335">
        <v>0</v>
      </c>
      <c r="AA2335">
        <v>0</v>
      </c>
      <c r="AB2335">
        <v>0</v>
      </c>
      <c r="AC2335">
        <v>0</v>
      </c>
      <c r="AD2335">
        <v>0</v>
      </c>
      <c r="AE2335">
        <v>0</v>
      </c>
      <c r="AF2335">
        <v>0</v>
      </c>
      <c r="AG2335">
        <v>0</v>
      </c>
      <c r="AH2335">
        <v>0</v>
      </c>
      <c r="AI2335">
        <v>0</v>
      </c>
      <c r="AJ2335">
        <v>0</v>
      </c>
      <c r="AK2335">
        <v>0</v>
      </c>
      <c r="AL2335">
        <v>0</v>
      </c>
      <c r="AM2335">
        <v>0</v>
      </c>
      <c r="AN2335">
        <v>0</v>
      </c>
      <c r="AO2335">
        <v>0</v>
      </c>
      <c r="AP2335">
        <v>0</v>
      </c>
      <c r="AQ2335">
        <v>16.7</v>
      </c>
      <c r="AR2335">
        <v>0</v>
      </c>
      <c r="AS2335">
        <v>0</v>
      </c>
      <c r="AT2335">
        <v>0</v>
      </c>
      <c r="AU2335">
        <v>0</v>
      </c>
      <c r="AV2335">
        <v>0</v>
      </c>
      <c r="AW2335">
        <v>0</v>
      </c>
      <c r="AX2335">
        <v>0</v>
      </c>
      <c r="AY2335">
        <v>0</v>
      </c>
      <c r="AZ2335">
        <v>0</v>
      </c>
      <c r="BA2335">
        <v>0</v>
      </c>
      <c r="BB2335">
        <v>0</v>
      </c>
      <c r="BC2335">
        <v>0</v>
      </c>
      <c r="BD2335">
        <v>0</v>
      </c>
      <c r="BE2335">
        <v>0</v>
      </c>
      <c r="BF2335">
        <v>0</v>
      </c>
      <c r="BG2335">
        <v>0</v>
      </c>
      <c r="BH2335">
        <v>1</v>
      </c>
      <c r="BI2335">
        <v>1</v>
      </c>
      <c r="BJ2335">
        <v>0.2</v>
      </c>
      <c r="BK2335">
        <v>1</v>
      </c>
      <c r="BL2335">
        <v>54.66</v>
      </c>
      <c r="BM2335">
        <v>8.1999999999999993</v>
      </c>
      <c r="BN2335">
        <v>62.86</v>
      </c>
      <c r="BO2335">
        <v>62.86</v>
      </c>
      <c r="BQ2335" t="s">
        <v>720</v>
      </c>
      <c r="BR2335" t="s">
        <v>84</v>
      </c>
      <c r="BS2335" s="3">
        <v>45798</v>
      </c>
      <c r="BT2335" s="4">
        <v>0.58402777777777781</v>
      </c>
      <c r="BU2335" t="s">
        <v>2654</v>
      </c>
      <c r="BV2335" t="s">
        <v>89</v>
      </c>
      <c r="BW2335" t="s">
        <v>148</v>
      </c>
      <c r="BX2335" t="s">
        <v>1798</v>
      </c>
      <c r="BY2335">
        <v>1200</v>
      </c>
      <c r="CA2335" t="s">
        <v>2655</v>
      </c>
      <c r="CC2335" t="s">
        <v>144</v>
      </c>
      <c r="CD2335">
        <v>1401</v>
      </c>
      <c r="CE2335" t="s">
        <v>176</v>
      </c>
      <c r="CF2335" s="3">
        <v>45798</v>
      </c>
      <c r="CI2335">
        <v>1</v>
      </c>
      <c r="CJ2335">
        <v>1</v>
      </c>
      <c r="CK2335">
        <v>22</v>
      </c>
      <c r="CL2335" t="s">
        <v>89</v>
      </c>
    </row>
    <row r="2336" spans="1:90" x14ac:dyDescent="0.3">
      <c r="A2336" t="s">
        <v>72</v>
      </c>
      <c r="B2336" t="s">
        <v>73</v>
      </c>
      <c r="C2336" t="s">
        <v>74</v>
      </c>
      <c r="E2336" t="str">
        <f>"080065465033"</f>
        <v>080065465033</v>
      </c>
      <c r="F2336" s="3">
        <v>45797</v>
      </c>
      <c r="G2336">
        <v>202602</v>
      </c>
      <c r="H2336" t="s">
        <v>75</v>
      </c>
      <c r="I2336" t="s">
        <v>76</v>
      </c>
      <c r="J2336" t="s">
        <v>77</v>
      </c>
      <c r="K2336" t="s">
        <v>78</v>
      </c>
      <c r="L2336" t="s">
        <v>579</v>
      </c>
      <c r="M2336" t="s">
        <v>580</v>
      </c>
      <c r="N2336" t="s">
        <v>988</v>
      </c>
      <c r="O2336" t="s">
        <v>82</v>
      </c>
      <c r="P2336" t="str">
        <f>"4170039520                    "</f>
        <v xml:space="preserve">4170039520                    </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c r="AI2336">
        <v>0</v>
      </c>
      <c r="AJ2336">
        <v>0</v>
      </c>
      <c r="AK2336">
        <v>0</v>
      </c>
      <c r="AL2336">
        <v>0</v>
      </c>
      <c r="AM2336">
        <v>0</v>
      </c>
      <c r="AN2336">
        <v>0</v>
      </c>
      <c r="AO2336">
        <v>0</v>
      </c>
      <c r="AP2336">
        <v>0</v>
      </c>
      <c r="AQ2336">
        <v>41.43</v>
      </c>
      <c r="AR2336">
        <v>0</v>
      </c>
      <c r="AS2336">
        <v>0</v>
      </c>
      <c r="AT2336">
        <v>0</v>
      </c>
      <c r="AU2336">
        <v>0</v>
      </c>
      <c r="AV2336">
        <v>0</v>
      </c>
      <c r="AW2336">
        <v>0</v>
      </c>
      <c r="AX2336">
        <v>0</v>
      </c>
      <c r="AY2336">
        <v>0</v>
      </c>
      <c r="AZ2336">
        <v>0</v>
      </c>
      <c r="BA2336">
        <v>0</v>
      </c>
      <c r="BB2336">
        <v>0</v>
      </c>
      <c r="BC2336">
        <v>0</v>
      </c>
      <c r="BD2336">
        <v>0</v>
      </c>
      <c r="BE2336">
        <v>0</v>
      </c>
      <c r="BF2336">
        <v>0</v>
      </c>
      <c r="BG2336">
        <v>0</v>
      </c>
      <c r="BH2336">
        <v>1</v>
      </c>
      <c r="BI2336">
        <v>1</v>
      </c>
      <c r="BJ2336">
        <v>0.2</v>
      </c>
      <c r="BK2336">
        <v>1</v>
      </c>
      <c r="BL2336">
        <v>135.59</v>
      </c>
      <c r="BM2336">
        <v>20.34</v>
      </c>
      <c r="BN2336">
        <v>155.93</v>
      </c>
      <c r="BO2336">
        <v>155.93</v>
      </c>
      <c r="BQ2336" t="s">
        <v>989</v>
      </c>
      <c r="BR2336" t="s">
        <v>84</v>
      </c>
      <c r="BS2336" s="3">
        <v>45798</v>
      </c>
      <c r="BT2336" s="4">
        <v>0.3611111111111111</v>
      </c>
      <c r="BU2336" t="s">
        <v>990</v>
      </c>
      <c r="BV2336" t="s">
        <v>86</v>
      </c>
      <c r="BY2336">
        <v>1200</v>
      </c>
      <c r="CA2336" t="s">
        <v>991</v>
      </c>
      <c r="CC2336" t="s">
        <v>580</v>
      </c>
      <c r="CD2336">
        <v>1035</v>
      </c>
      <c r="CE2336" t="s">
        <v>176</v>
      </c>
      <c r="CF2336" s="3">
        <v>45798</v>
      </c>
      <c r="CI2336">
        <v>1</v>
      </c>
      <c r="CJ2336">
        <v>1</v>
      </c>
      <c r="CK2336">
        <v>23</v>
      </c>
      <c r="CL2336" t="s">
        <v>89</v>
      </c>
    </row>
    <row r="2337" spans="1:90" x14ac:dyDescent="0.3">
      <c r="A2337" t="s">
        <v>72</v>
      </c>
      <c r="B2337" t="s">
        <v>73</v>
      </c>
      <c r="C2337" t="s">
        <v>74</v>
      </c>
      <c r="E2337" t="str">
        <f>"080065465057"</f>
        <v>080065465057</v>
      </c>
      <c r="F2337" s="3">
        <v>45797</v>
      </c>
      <c r="G2337">
        <v>202602</v>
      </c>
      <c r="H2337" t="s">
        <v>75</v>
      </c>
      <c r="I2337" t="s">
        <v>76</v>
      </c>
      <c r="J2337" t="s">
        <v>77</v>
      </c>
      <c r="K2337" t="s">
        <v>78</v>
      </c>
      <c r="L2337" t="s">
        <v>103</v>
      </c>
      <c r="M2337" t="s">
        <v>104</v>
      </c>
      <c r="N2337" t="s">
        <v>105</v>
      </c>
      <c r="O2337" t="s">
        <v>82</v>
      </c>
      <c r="P2337" t="str">
        <f>"4170039393                    "</f>
        <v xml:space="preserve">4170039393                    </v>
      </c>
      <c r="Q2337">
        <v>0</v>
      </c>
      <c r="R2337">
        <v>0</v>
      </c>
      <c r="S2337">
        <v>0</v>
      </c>
      <c r="T2337">
        <v>0</v>
      </c>
      <c r="U2337">
        <v>0</v>
      </c>
      <c r="V2337">
        <v>0</v>
      </c>
      <c r="W2337">
        <v>0</v>
      </c>
      <c r="X2337">
        <v>0</v>
      </c>
      <c r="Y2337">
        <v>0</v>
      </c>
      <c r="Z2337">
        <v>0</v>
      </c>
      <c r="AA2337">
        <v>0</v>
      </c>
      <c r="AB2337">
        <v>0</v>
      </c>
      <c r="AC2337">
        <v>0</v>
      </c>
      <c r="AD2337">
        <v>0</v>
      </c>
      <c r="AE2337">
        <v>0</v>
      </c>
      <c r="AF2337">
        <v>0</v>
      </c>
      <c r="AG2337">
        <v>0</v>
      </c>
      <c r="AH2337">
        <v>0</v>
      </c>
      <c r="AI2337">
        <v>0</v>
      </c>
      <c r="AJ2337">
        <v>0</v>
      </c>
      <c r="AK2337">
        <v>0</v>
      </c>
      <c r="AL2337">
        <v>0</v>
      </c>
      <c r="AM2337">
        <v>0</v>
      </c>
      <c r="AN2337">
        <v>0</v>
      </c>
      <c r="AO2337">
        <v>0</v>
      </c>
      <c r="AP2337">
        <v>0</v>
      </c>
      <c r="AQ2337">
        <v>21.38</v>
      </c>
      <c r="AR2337">
        <v>0</v>
      </c>
      <c r="AS2337">
        <v>0</v>
      </c>
      <c r="AT2337">
        <v>0</v>
      </c>
      <c r="AU2337">
        <v>0</v>
      </c>
      <c r="AV2337">
        <v>0</v>
      </c>
      <c r="AW2337">
        <v>0</v>
      </c>
      <c r="AX2337">
        <v>0</v>
      </c>
      <c r="AY2337">
        <v>0</v>
      </c>
      <c r="AZ2337">
        <v>0</v>
      </c>
      <c r="BA2337">
        <v>0</v>
      </c>
      <c r="BB2337">
        <v>0</v>
      </c>
      <c r="BC2337">
        <v>0</v>
      </c>
      <c r="BD2337">
        <v>0</v>
      </c>
      <c r="BE2337">
        <v>0</v>
      </c>
      <c r="BF2337">
        <v>0</v>
      </c>
      <c r="BG2337">
        <v>0</v>
      </c>
      <c r="BH2337">
        <v>1</v>
      </c>
      <c r="BI2337">
        <v>1</v>
      </c>
      <c r="BJ2337">
        <v>0.2</v>
      </c>
      <c r="BK2337">
        <v>1</v>
      </c>
      <c r="BL2337">
        <v>69.98</v>
      </c>
      <c r="BM2337">
        <v>10.5</v>
      </c>
      <c r="BN2337">
        <v>80.48</v>
      </c>
      <c r="BO2337">
        <v>80.48</v>
      </c>
      <c r="BQ2337" t="s">
        <v>106</v>
      </c>
      <c r="BR2337" t="s">
        <v>84</v>
      </c>
      <c r="BS2337" s="3">
        <v>45798</v>
      </c>
      <c r="BT2337" s="4">
        <v>0.41666666666666669</v>
      </c>
      <c r="BU2337" t="s">
        <v>107</v>
      </c>
      <c r="BV2337" t="s">
        <v>86</v>
      </c>
      <c r="BY2337">
        <v>1200</v>
      </c>
      <c r="CA2337" t="s">
        <v>108</v>
      </c>
      <c r="CC2337" t="s">
        <v>104</v>
      </c>
      <c r="CD2337">
        <v>3201</v>
      </c>
      <c r="CE2337" t="s">
        <v>176</v>
      </c>
      <c r="CF2337" s="3">
        <v>45799</v>
      </c>
      <c r="CI2337">
        <v>1</v>
      </c>
      <c r="CJ2337">
        <v>1</v>
      </c>
      <c r="CK2337">
        <v>21</v>
      </c>
      <c r="CL2337" t="s">
        <v>89</v>
      </c>
    </row>
    <row r="2338" spans="1:90" x14ac:dyDescent="0.3">
      <c r="A2338" t="s">
        <v>72</v>
      </c>
      <c r="B2338" t="s">
        <v>73</v>
      </c>
      <c r="C2338" t="s">
        <v>74</v>
      </c>
      <c r="E2338" t="str">
        <f>"080065465281"</f>
        <v>080065465281</v>
      </c>
      <c r="F2338" s="3">
        <v>45797</v>
      </c>
      <c r="G2338">
        <v>202602</v>
      </c>
      <c r="H2338" t="s">
        <v>75</v>
      </c>
      <c r="I2338" t="s">
        <v>76</v>
      </c>
      <c r="J2338" t="s">
        <v>77</v>
      </c>
      <c r="K2338" t="s">
        <v>78</v>
      </c>
      <c r="L2338" t="s">
        <v>713</v>
      </c>
      <c r="M2338" t="s">
        <v>714</v>
      </c>
      <c r="N2338" t="s">
        <v>715</v>
      </c>
      <c r="O2338" t="s">
        <v>82</v>
      </c>
      <c r="P2338" t="str">
        <f>"4170039272                    "</f>
        <v xml:space="preserve">4170039272                    </v>
      </c>
      <c r="Q2338">
        <v>0</v>
      </c>
      <c r="R2338">
        <v>0</v>
      </c>
      <c r="S2338">
        <v>0</v>
      </c>
      <c r="T2338">
        <v>0</v>
      </c>
      <c r="U2338">
        <v>0</v>
      </c>
      <c r="V2338">
        <v>0</v>
      </c>
      <c r="W2338">
        <v>0</v>
      </c>
      <c r="X2338">
        <v>0</v>
      </c>
      <c r="Y2338">
        <v>0</v>
      </c>
      <c r="Z2338">
        <v>0</v>
      </c>
      <c r="AA2338">
        <v>0</v>
      </c>
      <c r="AB2338">
        <v>0</v>
      </c>
      <c r="AC2338">
        <v>0</v>
      </c>
      <c r="AD2338">
        <v>0</v>
      </c>
      <c r="AE2338">
        <v>0</v>
      </c>
      <c r="AF2338">
        <v>0</v>
      </c>
      <c r="AG2338">
        <v>0</v>
      </c>
      <c r="AH2338">
        <v>0</v>
      </c>
      <c r="AI2338">
        <v>0</v>
      </c>
      <c r="AJ2338">
        <v>0</v>
      </c>
      <c r="AK2338">
        <v>0</v>
      </c>
      <c r="AL2338">
        <v>0</v>
      </c>
      <c r="AM2338">
        <v>0</v>
      </c>
      <c r="AN2338">
        <v>0</v>
      </c>
      <c r="AO2338">
        <v>0</v>
      </c>
      <c r="AP2338">
        <v>0</v>
      </c>
      <c r="AQ2338">
        <v>41.43</v>
      </c>
      <c r="AR2338">
        <v>0</v>
      </c>
      <c r="AS2338">
        <v>0</v>
      </c>
      <c r="AT2338">
        <v>0</v>
      </c>
      <c r="AU2338">
        <v>0</v>
      </c>
      <c r="AV2338">
        <v>0</v>
      </c>
      <c r="AW2338">
        <v>0</v>
      </c>
      <c r="AX2338">
        <v>0</v>
      </c>
      <c r="AY2338">
        <v>0</v>
      </c>
      <c r="AZ2338">
        <v>0</v>
      </c>
      <c r="BA2338">
        <v>0</v>
      </c>
      <c r="BB2338">
        <v>0</v>
      </c>
      <c r="BC2338">
        <v>0</v>
      </c>
      <c r="BD2338">
        <v>0</v>
      </c>
      <c r="BE2338">
        <v>0</v>
      </c>
      <c r="BF2338">
        <v>0</v>
      </c>
      <c r="BG2338">
        <v>0</v>
      </c>
      <c r="BH2338">
        <v>1</v>
      </c>
      <c r="BI2338">
        <v>1</v>
      </c>
      <c r="BJ2338">
        <v>0.2</v>
      </c>
      <c r="BK2338">
        <v>1</v>
      </c>
      <c r="BL2338">
        <v>135.59</v>
      </c>
      <c r="BM2338">
        <v>20.34</v>
      </c>
      <c r="BN2338">
        <v>155.93</v>
      </c>
      <c r="BO2338">
        <v>155.93</v>
      </c>
      <c r="BQ2338" t="s">
        <v>716</v>
      </c>
      <c r="BR2338" t="s">
        <v>84</v>
      </c>
      <c r="BS2338" s="3">
        <v>45798</v>
      </c>
      <c r="BT2338" s="4">
        <v>0.54861111111111116</v>
      </c>
      <c r="BU2338" t="s">
        <v>2421</v>
      </c>
      <c r="BV2338" t="s">
        <v>86</v>
      </c>
      <c r="BY2338">
        <v>1200</v>
      </c>
      <c r="CA2338" t="s">
        <v>718</v>
      </c>
      <c r="CC2338" t="s">
        <v>714</v>
      </c>
      <c r="CD2338">
        <v>6300</v>
      </c>
      <c r="CE2338" t="s">
        <v>88</v>
      </c>
      <c r="CF2338" s="3">
        <v>45798</v>
      </c>
      <c r="CI2338">
        <v>2</v>
      </c>
      <c r="CJ2338">
        <v>1</v>
      </c>
      <c r="CK2338">
        <v>23</v>
      </c>
      <c r="CL2338" t="s">
        <v>89</v>
      </c>
    </row>
    <row r="2339" spans="1:90" x14ac:dyDescent="0.3">
      <c r="A2339" t="s">
        <v>72</v>
      </c>
      <c r="B2339" t="s">
        <v>73</v>
      </c>
      <c r="C2339" t="s">
        <v>74</v>
      </c>
      <c r="E2339" t="str">
        <f>"080065465327"</f>
        <v>080065465327</v>
      </c>
      <c r="F2339" s="3">
        <v>45797</v>
      </c>
      <c r="G2339">
        <v>202602</v>
      </c>
      <c r="H2339" t="s">
        <v>75</v>
      </c>
      <c r="I2339" t="s">
        <v>76</v>
      </c>
      <c r="J2339" t="s">
        <v>77</v>
      </c>
      <c r="K2339" t="s">
        <v>78</v>
      </c>
      <c r="L2339" t="s">
        <v>97</v>
      </c>
      <c r="M2339" t="s">
        <v>98</v>
      </c>
      <c r="N2339" t="s">
        <v>2242</v>
      </c>
      <c r="O2339" t="s">
        <v>82</v>
      </c>
      <c r="P2339" t="str">
        <f>"4170039363                    "</f>
        <v xml:space="preserve">4170039363                    </v>
      </c>
      <c r="Q2339">
        <v>0</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c r="AJ2339">
        <v>0</v>
      </c>
      <c r="AK2339">
        <v>0</v>
      </c>
      <c r="AL2339">
        <v>0</v>
      </c>
      <c r="AM2339">
        <v>0</v>
      </c>
      <c r="AN2339">
        <v>0</v>
      </c>
      <c r="AO2339">
        <v>0</v>
      </c>
      <c r="AP2339">
        <v>0</v>
      </c>
      <c r="AQ2339">
        <v>16.7</v>
      </c>
      <c r="AR2339">
        <v>0</v>
      </c>
      <c r="AS2339">
        <v>0</v>
      </c>
      <c r="AT2339">
        <v>0</v>
      </c>
      <c r="AU2339">
        <v>0</v>
      </c>
      <c r="AV2339">
        <v>0</v>
      </c>
      <c r="AW2339">
        <v>0</v>
      </c>
      <c r="AX2339">
        <v>0</v>
      </c>
      <c r="AY2339">
        <v>0</v>
      </c>
      <c r="AZ2339">
        <v>0</v>
      </c>
      <c r="BA2339">
        <v>0</v>
      </c>
      <c r="BB2339">
        <v>0</v>
      </c>
      <c r="BC2339">
        <v>0</v>
      </c>
      <c r="BD2339">
        <v>0</v>
      </c>
      <c r="BE2339">
        <v>0</v>
      </c>
      <c r="BF2339">
        <v>0</v>
      </c>
      <c r="BG2339">
        <v>0</v>
      </c>
      <c r="BH2339">
        <v>1</v>
      </c>
      <c r="BI2339">
        <v>1</v>
      </c>
      <c r="BJ2339">
        <v>0.2</v>
      </c>
      <c r="BK2339">
        <v>1</v>
      </c>
      <c r="BL2339">
        <v>54.66</v>
      </c>
      <c r="BM2339">
        <v>8.1999999999999993</v>
      </c>
      <c r="BN2339">
        <v>62.86</v>
      </c>
      <c r="BO2339">
        <v>62.86</v>
      </c>
      <c r="BQ2339" t="s">
        <v>2243</v>
      </c>
      <c r="BR2339" t="s">
        <v>84</v>
      </c>
      <c r="BS2339" s="3">
        <v>45798</v>
      </c>
      <c r="BT2339" s="4">
        <v>0.30694444444444446</v>
      </c>
      <c r="BU2339" t="s">
        <v>2656</v>
      </c>
      <c r="BV2339" t="s">
        <v>86</v>
      </c>
      <c r="BY2339">
        <v>1200</v>
      </c>
      <c r="CA2339" t="s">
        <v>279</v>
      </c>
      <c r="CC2339" t="s">
        <v>98</v>
      </c>
      <c r="CD2339">
        <v>1459</v>
      </c>
      <c r="CE2339" t="s">
        <v>88</v>
      </c>
      <c r="CF2339" s="3">
        <v>45798</v>
      </c>
      <c r="CI2339">
        <v>1</v>
      </c>
      <c r="CJ2339">
        <v>1</v>
      </c>
      <c r="CK2339">
        <v>22</v>
      </c>
      <c r="CL2339" t="s">
        <v>89</v>
      </c>
    </row>
    <row r="2340" spans="1:90" x14ac:dyDescent="0.3">
      <c r="A2340" t="s">
        <v>72</v>
      </c>
      <c r="B2340" t="s">
        <v>73</v>
      </c>
      <c r="C2340" t="s">
        <v>74</v>
      </c>
      <c r="E2340" t="str">
        <f>"080065465376"</f>
        <v>080065465376</v>
      </c>
      <c r="F2340" s="3">
        <v>45797</v>
      </c>
      <c r="G2340">
        <v>202602</v>
      </c>
      <c r="H2340" t="s">
        <v>75</v>
      </c>
      <c r="I2340" t="s">
        <v>76</v>
      </c>
      <c r="J2340" t="s">
        <v>77</v>
      </c>
      <c r="K2340" t="s">
        <v>78</v>
      </c>
      <c r="L2340" t="s">
        <v>75</v>
      </c>
      <c r="M2340" t="s">
        <v>76</v>
      </c>
      <c r="N2340" t="s">
        <v>601</v>
      </c>
      <c r="O2340" t="s">
        <v>82</v>
      </c>
      <c r="P2340" t="str">
        <f>"4170039336                    "</f>
        <v xml:space="preserve">4170039336                    </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c r="AJ2340">
        <v>0</v>
      </c>
      <c r="AK2340">
        <v>0</v>
      </c>
      <c r="AL2340">
        <v>0</v>
      </c>
      <c r="AM2340">
        <v>0</v>
      </c>
      <c r="AN2340">
        <v>0</v>
      </c>
      <c r="AO2340">
        <v>0</v>
      </c>
      <c r="AP2340">
        <v>0</v>
      </c>
      <c r="AQ2340">
        <v>16.7</v>
      </c>
      <c r="AR2340">
        <v>0</v>
      </c>
      <c r="AS2340">
        <v>0</v>
      </c>
      <c r="AT2340">
        <v>0</v>
      </c>
      <c r="AU2340">
        <v>0</v>
      </c>
      <c r="AV2340">
        <v>0</v>
      </c>
      <c r="AW2340">
        <v>0</v>
      </c>
      <c r="AX2340">
        <v>0</v>
      </c>
      <c r="AY2340">
        <v>0</v>
      </c>
      <c r="AZ2340">
        <v>0</v>
      </c>
      <c r="BA2340">
        <v>0</v>
      </c>
      <c r="BB2340">
        <v>0</v>
      </c>
      <c r="BC2340">
        <v>0</v>
      </c>
      <c r="BD2340">
        <v>0</v>
      </c>
      <c r="BE2340">
        <v>0</v>
      </c>
      <c r="BF2340">
        <v>0</v>
      </c>
      <c r="BG2340">
        <v>0</v>
      </c>
      <c r="BH2340">
        <v>1</v>
      </c>
      <c r="BI2340">
        <v>1</v>
      </c>
      <c r="BJ2340">
        <v>0.2</v>
      </c>
      <c r="BK2340">
        <v>1</v>
      </c>
      <c r="BL2340">
        <v>54.66</v>
      </c>
      <c r="BM2340">
        <v>8.1999999999999993</v>
      </c>
      <c r="BN2340">
        <v>62.86</v>
      </c>
      <c r="BO2340">
        <v>62.86</v>
      </c>
      <c r="BQ2340" t="s">
        <v>603</v>
      </c>
      <c r="BR2340" t="s">
        <v>84</v>
      </c>
      <c r="BS2340" s="3">
        <v>45798</v>
      </c>
      <c r="BT2340" s="4">
        <v>0.39027777777777778</v>
      </c>
      <c r="BU2340" t="s">
        <v>789</v>
      </c>
      <c r="BV2340" t="s">
        <v>86</v>
      </c>
      <c r="BY2340">
        <v>1200</v>
      </c>
      <c r="CA2340" t="s">
        <v>475</v>
      </c>
      <c r="CC2340" t="s">
        <v>76</v>
      </c>
      <c r="CD2340">
        <v>1645</v>
      </c>
      <c r="CE2340" t="s">
        <v>88</v>
      </c>
      <c r="CF2340" s="3">
        <v>45798</v>
      </c>
      <c r="CI2340">
        <v>1</v>
      </c>
      <c r="CJ2340">
        <v>1</v>
      </c>
      <c r="CK2340">
        <v>22</v>
      </c>
      <c r="CL2340" t="s">
        <v>89</v>
      </c>
    </row>
    <row r="2341" spans="1:90" x14ac:dyDescent="0.3">
      <c r="A2341" t="s">
        <v>72</v>
      </c>
      <c r="B2341" t="s">
        <v>73</v>
      </c>
      <c r="C2341" t="s">
        <v>74</v>
      </c>
      <c r="E2341" t="str">
        <f>"080065465391"</f>
        <v>080065465391</v>
      </c>
      <c r="F2341" s="3">
        <v>45797</v>
      </c>
      <c r="G2341">
        <v>202602</v>
      </c>
      <c r="H2341" t="s">
        <v>75</v>
      </c>
      <c r="I2341" t="s">
        <v>76</v>
      </c>
      <c r="J2341" t="s">
        <v>77</v>
      </c>
      <c r="K2341" t="s">
        <v>78</v>
      </c>
      <c r="L2341" t="s">
        <v>103</v>
      </c>
      <c r="M2341" t="s">
        <v>104</v>
      </c>
      <c r="N2341" t="s">
        <v>633</v>
      </c>
      <c r="O2341" t="s">
        <v>82</v>
      </c>
      <c r="P2341" t="str">
        <f>"4170039288                    "</f>
        <v xml:space="preserve">4170039288                    </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c r="AI2341">
        <v>0</v>
      </c>
      <c r="AJ2341">
        <v>0</v>
      </c>
      <c r="AK2341">
        <v>0</v>
      </c>
      <c r="AL2341">
        <v>0</v>
      </c>
      <c r="AM2341">
        <v>0</v>
      </c>
      <c r="AN2341">
        <v>0</v>
      </c>
      <c r="AO2341">
        <v>0</v>
      </c>
      <c r="AP2341">
        <v>0</v>
      </c>
      <c r="AQ2341">
        <v>21.38</v>
      </c>
      <c r="AR2341">
        <v>0</v>
      </c>
      <c r="AS2341">
        <v>0</v>
      </c>
      <c r="AT2341">
        <v>0</v>
      </c>
      <c r="AU2341">
        <v>0</v>
      </c>
      <c r="AV2341">
        <v>0</v>
      </c>
      <c r="AW2341">
        <v>0</v>
      </c>
      <c r="AX2341">
        <v>0</v>
      </c>
      <c r="AY2341">
        <v>0</v>
      </c>
      <c r="AZ2341">
        <v>0</v>
      </c>
      <c r="BA2341">
        <v>0</v>
      </c>
      <c r="BB2341">
        <v>0</v>
      </c>
      <c r="BC2341">
        <v>0</v>
      </c>
      <c r="BD2341">
        <v>0</v>
      </c>
      <c r="BE2341">
        <v>0</v>
      </c>
      <c r="BF2341">
        <v>0</v>
      </c>
      <c r="BG2341">
        <v>0</v>
      </c>
      <c r="BH2341">
        <v>1</v>
      </c>
      <c r="BI2341">
        <v>1</v>
      </c>
      <c r="BJ2341">
        <v>0.2</v>
      </c>
      <c r="BK2341">
        <v>1</v>
      </c>
      <c r="BL2341">
        <v>69.98</v>
      </c>
      <c r="BM2341">
        <v>10.5</v>
      </c>
      <c r="BN2341">
        <v>80.48</v>
      </c>
      <c r="BO2341">
        <v>80.48</v>
      </c>
      <c r="BQ2341" t="s">
        <v>634</v>
      </c>
      <c r="BR2341" t="s">
        <v>84</v>
      </c>
      <c r="BS2341" s="3">
        <v>45798</v>
      </c>
      <c r="BT2341" s="4">
        <v>0.41666666666666669</v>
      </c>
      <c r="BU2341" t="s">
        <v>635</v>
      </c>
      <c r="BV2341" t="s">
        <v>86</v>
      </c>
      <c r="BY2341">
        <v>1200</v>
      </c>
      <c r="CA2341" t="s">
        <v>440</v>
      </c>
      <c r="CC2341" t="s">
        <v>104</v>
      </c>
      <c r="CD2341">
        <v>3212</v>
      </c>
      <c r="CE2341" t="s">
        <v>88</v>
      </c>
      <c r="CF2341" s="3">
        <v>45798</v>
      </c>
      <c r="CI2341">
        <v>2</v>
      </c>
      <c r="CJ2341">
        <v>1</v>
      </c>
      <c r="CK2341">
        <v>21</v>
      </c>
      <c r="CL2341" t="s">
        <v>89</v>
      </c>
    </row>
    <row r="2342" spans="1:90" x14ac:dyDescent="0.3">
      <c r="A2342" t="s">
        <v>72</v>
      </c>
      <c r="B2342" t="s">
        <v>73</v>
      </c>
      <c r="C2342" t="s">
        <v>74</v>
      </c>
      <c r="E2342" t="str">
        <f>"080065465411"</f>
        <v>080065465411</v>
      </c>
      <c r="F2342" s="3">
        <v>45797</v>
      </c>
      <c r="G2342">
        <v>202602</v>
      </c>
      <c r="H2342" t="s">
        <v>75</v>
      </c>
      <c r="I2342" t="s">
        <v>76</v>
      </c>
      <c r="J2342" t="s">
        <v>77</v>
      </c>
      <c r="K2342" t="s">
        <v>78</v>
      </c>
      <c r="L2342" t="s">
        <v>130</v>
      </c>
      <c r="M2342" t="s">
        <v>131</v>
      </c>
      <c r="N2342" t="s">
        <v>699</v>
      </c>
      <c r="O2342" t="s">
        <v>82</v>
      </c>
      <c r="P2342" t="str">
        <f>"4170039249                    "</f>
        <v xml:space="preserve">4170039249                    </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c r="AJ2342">
        <v>0</v>
      </c>
      <c r="AK2342">
        <v>0</v>
      </c>
      <c r="AL2342">
        <v>0</v>
      </c>
      <c r="AM2342">
        <v>0</v>
      </c>
      <c r="AN2342">
        <v>0</v>
      </c>
      <c r="AO2342">
        <v>0</v>
      </c>
      <c r="AP2342">
        <v>0</v>
      </c>
      <c r="AQ2342">
        <v>21.38</v>
      </c>
      <c r="AR2342">
        <v>0</v>
      </c>
      <c r="AS2342">
        <v>0</v>
      </c>
      <c r="AT2342">
        <v>0</v>
      </c>
      <c r="AU2342">
        <v>0</v>
      </c>
      <c r="AV2342">
        <v>0</v>
      </c>
      <c r="AW2342">
        <v>0</v>
      </c>
      <c r="AX2342">
        <v>0</v>
      </c>
      <c r="AY2342">
        <v>0</v>
      </c>
      <c r="AZ2342">
        <v>0</v>
      </c>
      <c r="BA2342">
        <v>0</v>
      </c>
      <c r="BB2342">
        <v>0</v>
      </c>
      <c r="BC2342">
        <v>0</v>
      </c>
      <c r="BD2342">
        <v>0</v>
      </c>
      <c r="BE2342">
        <v>0</v>
      </c>
      <c r="BF2342">
        <v>0</v>
      </c>
      <c r="BG2342">
        <v>0</v>
      </c>
      <c r="BH2342">
        <v>1</v>
      </c>
      <c r="BI2342">
        <v>1</v>
      </c>
      <c r="BJ2342">
        <v>0.2</v>
      </c>
      <c r="BK2342">
        <v>1</v>
      </c>
      <c r="BL2342">
        <v>69.98</v>
      </c>
      <c r="BM2342">
        <v>10.5</v>
      </c>
      <c r="BN2342">
        <v>80.48</v>
      </c>
      <c r="BO2342">
        <v>80.48</v>
      </c>
      <c r="BQ2342" t="s">
        <v>700</v>
      </c>
      <c r="BR2342" t="s">
        <v>84</v>
      </c>
      <c r="BS2342" s="3">
        <v>45798</v>
      </c>
      <c r="BT2342" s="4">
        <v>0.4201388888888889</v>
      </c>
      <c r="BU2342" t="s">
        <v>2551</v>
      </c>
      <c r="BV2342" t="s">
        <v>86</v>
      </c>
      <c r="BY2342">
        <v>1200</v>
      </c>
      <c r="CA2342" t="s">
        <v>330</v>
      </c>
      <c r="CC2342" t="s">
        <v>131</v>
      </c>
      <c r="CD2342">
        <v>7480</v>
      </c>
      <c r="CE2342" t="s">
        <v>88</v>
      </c>
      <c r="CF2342" s="3">
        <v>45799</v>
      </c>
      <c r="CI2342">
        <v>1</v>
      </c>
      <c r="CJ2342">
        <v>1</v>
      </c>
      <c r="CK2342">
        <v>21</v>
      </c>
      <c r="CL2342" t="s">
        <v>89</v>
      </c>
    </row>
    <row r="2343" spans="1:90" x14ac:dyDescent="0.3">
      <c r="A2343" t="s">
        <v>72</v>
      </c>
      <c r="B2343" t="s">
        <v>73</v>
      </c>
      <c r="C2343" t="s">
        <v>74</v>
      </c>
      <c r="E2343" t="str">
        <f>"080065465434"</f>
        <v>080065465434</v>
      </c>
      <c r="F2343" s="3">
        <v>45797</v>
      </c>
      <c r="G2343">
        <v>202602</v>
      </c>
      <c r="H2343" t="s">
        <v>75</v>
      </c>
      <c r="I2343" t="s">
        <v>76</v>
      </c>
      <c r="J2343" t="s">
        <v>77</v>
      </c>
      <c r="K2343" t="s">
        <v>78</v>
      </c>
      <c r="L2343" t="s">
        <v>79</v>
      </c>
      <c r="M2343" t="s">
        <v>80</v>
      </c>
      <c r="N2343" t="s">
        <v>357</v>
      </c>
      <c r="O2343" t="s">
        <v>82</v>
      </c>
      <c r="P2343" t="str">
        <f>"4170039513                    "</f>
        <v xml:space="preserve">4170039513                    </v>
      </c>
      <c r="Q2343">
        <v>0</v>
      </c>
      <c r="R2343">
        <v>0</v>
      </c>
      <c r="S2343">
        <v>0</v>
      </c>
      <c r="T2343">
        <v>0</v>
      </c>
      <c r="U2343">
        <v>0</v>
      </c>
      <c r="V2343">
        <v>0</v>
      </c>
      <c r="W2343">
        <v>0</v>
      </c>
      <c r="X2343">
        <v>0</v>
      </c>
      <c r="Y2343">
        <v>0</v>
      </c>
      <c r="Z2343">
        <v>0</v>
      </c>
      <c r="AA2343">
        <v>0</v>
      </c>
      <c r="AB2343">
        <v>0</v>
      </c>
      <c r="AC2343">
        <v>0</v>
      </c>
      <c r="AD2343">
        <v>0</v>
      </c>
      <c r="AE2343">
        <v>0</v>
      </c>
      <c r="AF2343">
        <v>0</v>
      </c>
      <c r="AG2343">
        <v>0</v>
      </c>
      <c r="AH2343">
        <v>0</v>
      </c>
      <c r="AI2343">
        <v>0</v>
      </c>
      <c r="AJ2343">
        <v>0</v>
      </c>
      <c r="AK2343">
        <v>0</v>
      </c>
      <c r="AL2343">
        <v>0</v>
      </c>
      <c r="AM2343">
        <v>0</v>
      </c>
      <c r="AN2343">
        <v>0</v>
      </c>
      <c r="AO2343">
        <v>0</v>
      </c>
      <c r="AP2343">
        <v>0</v>
      </c>
      <c r="AQ2343">
        <v>21.38</v>
      </c>
      <c r="AR2343">
        <v>0</v>
      </c>
      <c r="AS2343">
        <v>0</v>
      </c>
      <c r="AT2343">
        <v>0</v>
      </c>
      <c r="AU2343">
        <v>0</v>
      </c>
      <c r="AV2343">
        <v>0</v>
      </c>
      <c r="AW2343">
        <v>0</v>
      </c>
      <c r="AX2343">
        <v>0</v>
      </c>
      <c r="AY2343">
        <v>0</v>
      </c>
      <c r="AZ2343">
        <v>0</v>
      </c>
      <c r="BA2343">
        <v>0</v>
      </c>
      <c r="BB2343">
        <v>0</v>
      </c>
      <c r="BC2343">
        <v>0</v>
      </c>
      <c r="BD2343">
        <v>0</v>
      </c>
      <c r="BE2343">
        <v>0</v>
      </c>
      <c r="BF2343">
        <v>0</v>
      </c>
      <c r="BG2343">
        <v>0</v>
      </c>
      <c r="BH2343">
        <v>1</v>
      </c>
      <c r="BI2343">
        <v>1</v>
      </c>
      <c r="BJ2343">
        <v>0.2</v>
      </c>
      <c r="BK2343">
        <v>1</v>
      </c>
      <c r="BL2343">
        <v>69.98</v>
      </c>
      <c r="BM2343">
        <v>10.5</v>
      </c>
      <c r="BN2343">
        <v>80.48</v>
      </c>
      <c r="BO2343">
        <v>80.48</v>
      </c>
      <c r="BQ2343" t="s">
        <v>358</v>
      </c>
      <c r="BR2343" t="s">
        <v>84</v>
      </c>
      <c r="BS2343" s="3">
        <v>45798</v>
      </c>
      <c r="BT2343" s="4">
        <v>0.43402777777777779</v>
      </c>
      <c r="BU2343" t="s">
        <v>2644</v>
      </c>
      <c r="BV2343" t="s">
        <v>86</v>
      </c>
      <c r="BY2343">
        <v>1200</v>
      </c>
      <c r="CA2343" t="s">
        <v>418</v>
      </c>
      <c r="CC2343" t="s">
        <v>80</v>
      </c>
      <c r="CD2343">
        <v>3608</v>
      </c>
      <c r="CE2343" t="s">
        <v>88</v>
      </c>
      <c r="CF2343" s="3">
        <v>45798</v>
      </c>
      <c r="CI2343">
        <v>1</v>
      </c>
      <c r="CJ2343">
        <v>1</v>
      </c>
      <c r="CK2343">
        <v>21</v>
      </c>
      <c r="CL2343" t="s">
        <v>89</v>
      </c>
    </row>
    <row r="2344" spans="1:90" x14ac:dyDescent="0.3">
      <c r="A2344" t="s">
        <v>72</v>
      </c>
      <c r="B2344" t="s">
        <v>73</v>
      </c>
      <c r="C2344" t="s">
        <v>74</v>
      </c>
      <c r="E2344" t="str">
        <f>"080065465458"</f>
        <v>080065465458</v>
      </c>
      <c r="F2344" s="3">
        <v>45797</v>
      </c>
      <c r="G2344">
        <v>202602</v>
      </c>
      <c r="H2344" t="s">
        <v>75</v>
      </c>
      <c r="I2344" t="s">
        <v>76</v>
      </c>
      <c r="J2344" t="s">
        <v>77</v>
      </c>
      <c r="K2344" t="s">
        <v>78</v>
      </c>
      <c r="L2344" t="s">
        <v>117</v>
      </c>
      <c r="M2344" t="s">
        <v>118</v>
      </c>
      <c r="N2344" t="s">
        <v>2657</v>
      </c>
      <c r="O2344" t="s">
        <v>82</v>
      </c>
      <c r="P2344" t="str">
        <f>"4170039546                    "</f>
        <v xml:space="preserve">4170039546                    </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0</v>
      </c>
      <c r="AL2344">
        <v>0</v>
      </c>
      <c r="AM2344">
        <v>0</v>
      </c>
      <c r="AN2344">
        <v>0</v>
      </c>
      <c r="AO2344">
        <v>0</v>
      </c>
      <c r="AP2344">
        <v>0</v>
      </c>
      <c r="AQ2344">
        <v>16.7</v>
      </c>
      <c r="AR2344">
        <v>0</v>
      </c>
      <c r="AS2344">
        <v>0</v>
      </c>
      <c r="AT2344">
        <v>0</v>
      </c>
      <c r="AU2344">
        <v>0</v>
      </c>
      <c r="AV2344">
        <v>0</v>
      </c>
      <c r="AW2344">
        <v>0</v>
      </c>
      <c r="AX2344">
        <v>0</v>
      </c>
      <c r="AY2344">
        <v>0</v>
      </c>
      <c r="AZ2344">
        <v>0</v>
      </c>
      <c r="BA2344">
        <v>0</v>
      </c>
      <c r="BB2344">
        <v>0</v>
      </c>
      <c r="BC2344">
        <v>0</v>
      </c>
      <c r="BD2344">
        <v>0</v>
      </c>
      <c r="BE2344">
        <v>0</v>
      </c>
      <c r="BF2344">
        <v>0</v>
      </c>
      <c r="BG2344">
        <v>0</v>
      </c>
      <c r="BH2344">
        <v>1</v>
      </c>
      <c r="BI2344">
        <v>1</v>
      </c>
      <c r="BJ2344">
        <v>0.2</v>
      </c>
      <c r="BK2344">
        <v>1</v>
      </c>
      <c r="BL2344">
        <v>54.66</v>
      </c>
      <c r="BM2344">
        <v>8.1999999999999993</v>
      </c>
      <c r="BN2344">
        <v>62.86</v>
      </c>
      <c r="BO2344">
        <v>62.86</v>
      </c>
      <c r="BQ2344" t="s">
        <v>2658</v>
      </c>
      <c r="BR2344" t="s">
        <v>84</v>
      </c>
      <c r="BS2344" s="3">
        <v>45798</v>
      </c>
      <c r="BT2344" s="4">
        <v>0.51111111111111107</v>
      </c>
      <c r="BU2344" t="s">
        <v>843</v>
      </c>
      <c r="BV2344" t="s">
        <v>89</v>
      </c>
      <c r="BW2344" t="s">
        <v>148</v>
      </c>
      <c r="BX2344" t="s">
        <v>760</v>
      </c>
      <c r="BY2344">
        <v>1200</v>
      </c>
      <c r="CA2344" t="s">
        <v>2659</v>
      </c>
      <c r="CC2344" t="s">
        <v>118</v>
      </c>
      <c r="CD2344">
        <v>2090</v>
      </c>
      <c r="CE2344" t="s">
        <v>88</v>
      </c>
      <c r="CF2344" s="3">
        <v>45799</v>
      </c>
      <c r="CI2344">
        <v>1</v>
      </c>
      <c r="CJ2344">
        <v>1</v>
      </c>
      <c r="CK2344">
        <v>22</v>
      </c>
      <c r="CL2344" t="s">
        <v>89</v>
      </c>
    </row>
    <row r="2345" spans="1:90" x14ac:dyDescent="0.3">
      <c r="A2345" t="s">
        <v>72</v>
      </c>
      <c r="B2345" t="s">
        <v>73</v>
      </c>
      <c r="C2345" t="s">
        <v>74</v>
      </c>
      <c r="E2345" t="str">
        <f>"080065465472"</f>
        <v>080065465472</v>
      </c>
      <c r="F2345" s="3">
        <v>45797</v>
      </c>
      <c r="G2345">
        <v>202602</v>
      </c>
      <c r="H2345" t="s">
        <v>75</v>
      </c>
      <c r="I2345" t="s">
        <v>76</v>
      </c>
      <c r="J2345" t="s">
        <v>77</v>
      </c>
      <c r="K2345" t="s">
        <v>78</v>
      </c>
      <c r="L2345" t="s">
        <v>117</v>
      </c>
      <c r="M2345" t="s">
        <v>118</v>
      </c>
      <c r="N2345" t="s">
        <v>272</v>
      </c>
      <c r="O2345" t="s">
        <v>82</v>
      </c>
      <c r="P2345" t="str">
        <f>"4170039516                    "</f>
        <v xml:space="preserve">4170039516                    </v>
      </c>
      <c r="Q2345">
        <v>0</v>
      </c>
      <c r="R2345">
        <v>0</v>
      </c>
      <c r="S2345">
        <v>0</v>
      </c>
      <c r="T2345">
        <v>0</v>
      </c>
      <c r="U2345">
        <v>0</v>
      </c>
      <c r="V2345">
        <v>0</v>
      </c>
      <c r="W2345">
        <v>0</v>
      </c>
      <c r="X2345">
        <v>0</v>
      </c>
      <c r="Y2345">
        <v>0</v>
      </c>
      <c r="Z2345">
        <v>0</v>
      </c>
      <c r="AA2345">
        <v>0</v>
      </c>
      <c r="AB2345">
        <v>0</v>
      </c>
      <c r="AC2345">
        <v>0</v>
      </c>
      <c r="AD2345">
        <v>0</v>
      </c>
      <c r="AE2345">
        <v>0</v>
      </c>
      <c r="AF2345">
        <v>0</v>
      </c>
      <c r="AG2345">
        <v>0</v>
      </c>
      <c r="AH2345">
        <v>0</v>
      </c>
      <c r="AI2345">
        <v>0</v>
      </c>
      <c r="AJ2345">
        <v>0</v>
      </c>
      <c r="AK2345">
        <v>0</v>
      </c>
      <c r="AL2345">
        <v>0</v>
      </c>
      <c r="AM2345">
        <v>0</v>
      </c>
      <c r="AN2345">
        <v>0</v>
      </c>
      <c r="AO2345">
        <v>0</v>
      </c>
      <c r="AP2345">
        <v>0</v>
      </c>
      <c r="AQ2345">
        <v>16.7</v>
      </c>
      <c r="AR2345">
        <v>0</v>
      </c>
      <c r="AS2345">
        <v>0</v>
      </c>
      <c r="AT2345">
        <v>0</v>
      </c>
      <c r="AU2345">
        <v>0</v>
      </c>
      <c r="AV2345">
        <v>0</v>
      </c>
      <c r="AW2345">
        <v>0</v>
      </c>
      <c r="AX2345">
        <v>0</v>
      </c>
      <c r="AY2345">
        <v>0</v>
      </c>
      <c r="AZ2345">
        <v>0</v>
      </c>
      <c r="BA2345">
        <v>0</v>
      </c>
      <c r="BB2345">
        <v>0</v>
      </c>
      <c r="BC2345">
        <v>0</v>
      </c>
      <c r="BD2345">
        <v>0</v>
      </c>
      <c r="BE2345">
        <v>0</v>
      </c>
      <c r="BF2345">
        <v>0</v>
      </c>
      <c r="BG2345">
        <v>0</v>
      </c>
      <c r="BH2345">
        <v>1</v>
      </c>
      <c r="BI2345">
        <v>1</v>
      </c>
      <c r="BJ2345">
        <v>0.2</v>
      </c>
      <c r="BK2345">
        <v>1</v>
      </c>
      <c r="BL2345">
        <v>54.66</v>
      </c>
      <c r="BM2345">
        <v>8.1999999999999993</v>
      </c>
      <c r="BN2345">
        <v>62.86</v>
      </c>
      <c r="BO2345">
        <v>62.86</v>
      </c>
      <c r="BQ2345" t="s">
        <v>273</v>
      </c>
      <c r="BR2345" t="s">
        <v>84</v>
      </c>
      <c r="BS2345" s="3">
        <v>45798</v>
      </c>
      <c r="BT2345" s="4">
        <v>0.30069444444444443</v>
      </c>
      <c r="BU2345" t="s">
        <v>2587</v>
      </c>
      <c r="BV2345" t="s">
        <v>86</v>
      </c>
      <c r="BY2345">
        <v>1200</v>
      </c>
      <c r="CA2345" t="s">
        <v>275</v>
      </c>
      <c r="CC2345" t="s">
        <v>118</v>
      </c>
      <c r="CD2345">
        <v>2013</v>
      </c>
      <c r="CE2345" t="s">
        <v>88</v>
      </c>
      <c r="CF2345" s="3">
        <v>45798</v>
      </c>
      <c r="CI2345">
        <v>1</v>
      </c>
      <c r="CJ2345">
        <v>1</v>
      </c>
      <c r="CK2345">
        <v>22</v>
      </c>
      <c r="CL2345" t="s">
        <v>89</v>
      </c>
    </row>
    <row r="2346" spans="1:90" x14ac:dyDescent="0.3">
      <c r="A2346" t="s">
        <v>72</v>
      </c>
      <c r="B2346" t="s">
        <v>73</v>
      </c>
      <c r="C2346" t="s">
        <v>74</v>
      </c>
      <c r="E2346" t="str">
        <f>"080065465501"</f>
        <v>080065465501</v>
      </c>
      <c r="F2346" s="3">
        <v>45797</v>
      </c>
      <c r="G2346">
        <v>202602</v>
      </c>
      <c r="H2346" t="s">
        <v>75</v>
      </c>
      <c r="I2346" t="s">
        <v>76</v>
      </c>
      <c r="J2346" t="s">
        <v>77</v>
      </c>
      <c r="K2346" t="s">
        <v>78</v>
      </c>
      <c r="L2346" t="s">
        <v>177</v>
      </c>
      <c r="M2346" t="s">
        <v>178</v>
      </c>
      <c r="N2346" t="s">
        <v>2207</v>
      </c>
      <c r="O2346" t="s">
        <v>82</v>
      </c>
      <c r="P2346" t="str">
        <f>"4170039357                    "</f>
        <v xml:space="preserve">4170039357                    </v>
      </c>
      <c r="Q2346">
        <v>0</v>
      </c>
      <c r="R2346">
        <v>0</v>
      </c>
      <c r="S2346">
        <v>0</v>
      </c>
      <c r="T2346">
        <v>0</v>
      </c>
      <c r="U2346">
        <v>0</v>
      </c>
      <c r="V2346">
        <v>0</v>
      </c>
      <c r="W2346">
        <v>0</v>
      </c>
      <c r="X2346">
        <v>0</v>
      </c>
      <c r="Y2346">
        <v>0</v>
      </c>
      <c r="Z2346">
        <v>0</v>
      </c>
      <c r="AA2346">
        <v>0</v>
      </c>
      <c r="AB2346">
        <v>0</v>
      </c>
      <c r="AC2346">
        <v>0</v>
      </c>
      <c r="AD2346">
        <v>0</v>
      </c>
      <c r="AE2346">
        <v>0</v>
      </c>
      <c r="AF2346">
        <v>0</v>
      </c>
      <c r="AG2346">
        <v>0</v>
      </c>
      <c r="AH2346">
        <v>0</v>
      </c>
      <c r="AI2346">
        <v>0</v>
      </c>
      <c r="AJ2346">
        <v>0</v>
      </c>
      <c r="AK2346">
        <v>0</v>
      </c>
      <c r="AL2346">
        <v>0</v>
      </c>
      <c r="AM2346">
        <v>0</v>
      </c>
      <c r="AN2346">
        <v>0</v>
      </c>
      <c r="AO2346">
        <v>0</v>
      </c>
      <c r="AP2346">
        <v>0</v>
      </c>
      <c r="AQ2346">
        <v>21.38</v>
      </c>
      <c r="AR2346">
        <v>0</v>
      </c>
      <c r="AS2346">
        <v>0</v>
      </c>
      <c r="AT2346">
        <v>0</v>
      </c>
      <c r="AU2346">
        <v>0</v>
      </c>
      <c r="AV2346">
        <v>0</v>
      </c>
      <c r="AW2346">
        <v>0</v>
      </c>
      <c r="AX2346">
        <v>0</v>
      </c>
      <c r="AY2346">
        <v>0</v>
      </c>
      <c r="AZ2346">
        <v>0</v>
      </c>
      <c r="BA2346">
        <v>0</v>
      </c>
      <c r="BB2346">
        <v>0</v>
      </c>
      <c r="BC2346">
        <v>0</v>
      </c>
      <c r="BD2346">
        <v>0</v>
      </c>
      <c r="BE2346">
        <v>0</v>
      </c>
      <c r="BF2346">
        <v>0</v>
      </c>
      <c r="BG2346">
        <v>0</v>
      </c>
      <c r="BH2346">
        <v>1</v>
      </c>
      <c r="BI2346">
        <v>1</v>
      </c>
      <c r="BJ2346">
        <v>0.2</v>
      </c>
      <c r="BK2346">
        <v>1</v>
      </c>
      <c r="BL2346">
        <v>69.98</v>
      </c>
      <c r="BM2346">
        <v>10.5</v>
      </c>
      <c r="BN2346">
        <v>80.48</v>
      </c>
      <c r="BO2346">
        <v>80.48</v>
      </c>
      <c r="BQ2346" t="s">
        <v>2623</v>
      </c>
      <c r="BR2346" t="s">
        <v>84</v>
      </c>
      <c r="BS2346" s="3">
        <v>45798</v>
      </c>
      <c r="BT2346" s="4">
        <v>0.34375</v>
      </c>
      <c r="BU2346" t="s">
        <v>2624</v>
      </c>
      <c r="BV2346" t="s">
        <v>86</v>
      </c>
      <c r="BY2346">
        <v>1200</v>
      </c>
      <c r="CA2346" t="s">
        <v>182</v>
      </c>
      <c r="CC2346" t="s">
        <v>178</v>
      </c>
      <c r="CD2346">
        <v>6230</v>
      </c>
      <c r="CE2346" t="s">
        <v>88</v>
      </c>
      <c r="CF2346" s="3">
        <v>45798</v>
      </c>
      <c r="CI2346">
        <v>1</v>
      </c>
      <c r="CJ2346">
        <v>1</v>
      </c>
      <c r="CK2346">
        <v>21</v>
      </c>
      <c r="CL2346" t="s">
        <v>89</v>
      </c>
    </row>
    <row r="2347" spans="1:90" x14ac:dyDescent="0.3">
      <c r="A2347" t="s">
        <v>72</v>
      </c>
      <c r="B2347" t="s">
        <v>73</v>
      </c>
      <c r="C2347" t="s">
        <v>74</v>
      </c>
      <c r="E2347" t="str">
        <f>"080065465526"</f>
        <v>080065465526</v>
      </c>
      <c r="F2347" s="3">
        <v>45797</v>
      </c>
      <c r="G2347">
        <v>202602</v>
      </c>
      <c r="H2347" t="s">
        <v>75</v>
      </c>
      <c r="I2347" t="s">
        <v>76</v>
      </c>
      <c r="J2347" t="s">
        <v>77</v>
      </c>
      <c r="K2347" t="s">
        <v>78</v>
      </c>
      <c r="L2347" t="s">
        <v>75</v>
      </c>
      <c r="M2347" t="s">
        <v>76</v>
      </c>
      <c r="N2347" t="s">
        <v>2371</v>
      </c>
      <c r="O2347" t="s">
        <v>82</v>
      </c>
      <c r="P2347" t="str">
        <f>"4170039420                    "</f>
        <v xml:space="preserve">4170039420                    </v>
      </c>
      <c r="Q2347">
        <v>0</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c r="AJ2347">
        <v>0</v>
      </c>
      <c r="AK2347">
        <v>0</v>
      </c>
      <c r="AL2347">
        <v>0</v>
      </c>
      <c r="AM2347">
        <v>0</v>
      </c>
      <c r="AN2347">
        <v>0</v>
      </c>
      <c r="AO2347">
        <v>0</v>
      </c>
      <c r="AP2347">
        <v>0</v>
      </c>
      <c r="AQ2347">
        <v>16.7</v>
      </c>
      <c r="AR2347">
        <v>0</v>
      </c>
      <c r="AS2347">
        <v>0</v>
      </c>
      <c r="AT2347">
        <v>0</v>
      </c>
      <c r="AU2347">
        <v>0</v>
      </c>
      <c r="AV2347">
        <v>0</v>
      </c>
      <c r="AW2347">
        <v>0</v>
      </c>
      <c r="AX2347">
        <v>0</v>
      </c>
      <c r="AY2347">
        <v>0</v>
      </c>
      <c r="AZ2347">
        <v>0</v>
      </c>
      <c r="BA2347">
        <v>0</v>
      </c>
      <c r="BB2347">
        <v>0</v>
      </c>
      <c r="BC2347">
        <v>0</v>
      </c>
      <c r="BD2347">
        <v>0</v>
      </c>
      <c r="BE2347">
        <v>0</v>
      </c>
      <c r="BF2347">
        <v>0</v>
      </c>
      <c r="BG2347">
        <v>0</v>
      </c>
      <c r="BH2347">
        <v>1</v>
      </c>
      <c r="BI2347">
        <v>1</v>
      </c>
      <c r="BJ2347">
        <v>0.2</v>
      </c>
      <c r="BK2347">
        <v>1</v>
      </c>
      <c r="BL2347">
        <v>54.66</v>
      </c>
      <c r="BM2347">
        <v>8.1999999999999993</v>
      </c>
      <c r="BN2347">
        <v>62.86</v>
      </c>
      <c r="BO2347">
        <v>62.86</v>
      </c>
      <c r="BQ2347" t="s">
        <v>2372</v>
      </c>
      <c r="BR2347" t="s">
        <v>84</v>
      </c>
      <c r="BS2347" s="3">
        <v>45798</v>
      </c>
      <c r="BT2347" s="4">
        <v>0.44583333333333336</v>
      </c>
      <c r="BU2347" t="s">
        <v>2560</v>
      </c>
      <c r="BV2347" t="s">
        <v>89</v>
      </c>
      <c r="BW2347" t="s">
        <v>148</v>
      </c>
      <c r="BX2347" t="s">
        <v>203</v>
      </c>
      <c r="BY2347">
        <v>1200</v>
      </c>
      <c r="CA2347" t="s">
        <v>115</v>
      </c>
      <c r="CC2347" t="s">
        <v>76</v>
      </c>
      <c r="CD2347">
        <v>1619</v>
      </c>
      <c r="CE2347" t="s">
        <v>88</v>
      </c>
      <c r="CF2347" s="3">
        <v>45798</v>
      </c>
      <c r="CI2347">
        <v>1</v>
      </c>
      <c r="CJ2347">
        <v>1</v>
      </c>
      <c r="CK2347">
        <v>22</v>
      </c>
      <c r="CL2347" t="s">
        <v>89</v>
      </c>
    </row>
    <row r="2348" spans="1:90" x14ac:dyDescent="0.3">
      <c r="A2348" t="s">
        <v>72</v>
      </c>
      <c r="B2348" t="s">
        <v>73</v>
      </c>
      <c r="C2348" t="s">
        <v>74</v>
      </c>
      <c r="E2348" t="str">
        <f>"080065465536"</f>
        <v>080065465536</v>
      </c>
      <c r="F2348" s="3">
        <v>45797</v>
      </c>
      <c r="G2348">
        <v>202602</v>
      </c>
      <c r="H2348" t="s">
        <v>75</v>
      </c>
      <c r="I2348" t="s">
        <v>76</v>
      </c>
      <c r="J2348" t="s">
        <v>77</v>
      </c>
      <c r="K2348" t="s">
        <v>78</v>
      </c>
      <c r="L2348" t="s">
        <v>1355</v>
      </c>
      <c r="M2348" t="s">
        <v>1356</v>
      </c>
      <c r="N2348" t="s">
        <v>1357</v>
      </c>
      <c r="O2348" t="s">
        <v>82</v>
      </c>
      <c r="P2348" t="str">
        <f>"4170039548                    "</f>
        <v xml:space="preserve">4170039548                    </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c r="AI2348">
        <v>0</v>
      </c>
      <c r="AJ2348">
        <v>0</v>
      </c>
      <c r="AK2348">
        <v>0</v>
      </c>
      <c r="AL2348">
        <v>0</v>
      </c>
      <c r="AM2348">
        <v>0</v>
      </c>
      <c r="AN2348">
        <v>0</v>
      </c>
      <c r="AO2348">
        <v>0</v>
      </c>
      <c r="AP2348">
        <v>0</v>
      </c>
      <c r="AQ2348">
        <v>30.07</v>
      </c>
      <c r="AR2348">
        <v>0</v>
      </c>
      <c r="AS2348">
        <v>0</v>
      </c>
      <c r="AT2348">
        <v>0</v>
      </c>
      <c r="AU2348">
        <v>0</v>
      </c>
      <c r="AV2348">
        <v>0</v>
      </c>
      <c r="AW2348">
        <v>0</v>
      </c>
      <c r="AX2348">
        <v>0</v>
      </c>
      <c r="AY2348">
        <v>0</v>
      </c>
      <c r="AZ2348">
        <v>0</v>
      </c>
      <c r="BA2348">
        <v>0</v>
      </c>
      <c r="BB2348">
        <v>0</v>
      </c>
      <c r="BC2348">
        <v>0</v>
      </c>
      <c r="BD2348">
        <v>0</v>
      </c>
      <c r="BE2348">
        <v>0</v>
      </c>
      <c r="BF2348">
        <v>0</v>
      </c>
      <c r="BG2348">
        <v>0</v>
      </c>
      <c r="BH2348">
        <v>1</v>
      </c>
      <c r="BI2348">
        <v>1</v>
      </c>
      <c r="BJ2348">
        <v>0.2</v>
      </c>
      <c r="BK2348">
        <v>1</v>
      </c>
      <c r="BL2348">
        <v>98.42</v>
      </c>
      <c r="BM2348">
        <v>14.76</v>
      </c>
      <c r="BN2348">
        <v>113.18</v>
      </c>
      <c r="BO2348">
        <v>113.18</v>
      </c>
      <c r="BQ2348" t="s">
        <v>1358</v>
      </c>
      <c r="BR2348" t="s">
        <v>84</v>
      </c>
      <c r="BS2348" s="3">
        <v>45798</v>
      </c>
      <c r="BT2348" s="4">
        <v>0.34097222222222223</v>
      </c>
      <c r="BU2348" t="s">
        <v>2660</v>
      </c>
      <c r="BV2348" t="s">
        <v>86</v>
      </c>
      <c r="BY2348">
        <v>1200</v>
      </c>
      <c r="CA2348" t="s">
        <v>2661</v>
      </c>
      <c r="CC2348" t="s">
        <v>1356</v>
      </c>
      <c r="CD2348">
        <v>2410</v>
      </c>
      <c r="CE2348" t="s">
        <v>88</v>
      </c>
      <c r="CF2348" s="3">
        <v>45798</v>
      </c>
      <c r="CI2348">
        <v>1</v>
      </c>
      <c r="CJ2348">
        <v>1</v>
      </c>
      <c r="CK2348">
        <v>24</v>
      </c>
      <c r="CL2348" t="s">
        <v>89</v>
      </c>
    </row>
    <row r="2349" spans="1:90" x14ac:dyDescent="0.3">
      <c r="A2349" t="s">
        <v>72</v>
      </c>
      <c r="B2349" t="s">
        <v>73</v>
      </c>
      <c r="C2349" t="s">
        <v>74</v>
      </c>
      <c r="E2349" t="str">
        <f>"080065465560"</f>
        <v>080065465560</v>
      </c>
      <c r="F2349" s="3">
        <v>45797</v>
      </c>
      <c r="G2349">
        <v>202602</v>
      </c>
      <c r="H2349" t="s">
        <v>75</v>
      </c>
      <c r="I2349" t="s">
        <v>76</v>
      </c>
      <c r="J2349" t="s">
        <v>77</v>
      </c>
      <c r="K2349" t="s">
        <v>78</v>
      </c>
      <c r="L2349" t="s">
        <v>75</v>
      </c>
      <c r="M2349" t="s">
        <v>76</v>
      </c>
      <c r="N2349" t="s">
        <v>2662</v>
      </c>
      <c r="O2349" t="s">
        <v>82</v>
      </c>
      <c r="P2349" t="str">
        <f>"4170039295                    "</f>
        <v xml:space="preserve">4170039295                    </v>
      </c>
      <c r="Q2349">
        <v>0</v>
      </c>
      <c r="R2349">
        <v>0</v>
      </c>
      <c r="S2349">
        <v>0</v>
      </c>
      <c r="T2349">
        <v>0</v>
      </c>
      <c r="U2349">
        <v>0</v>
      </c>
      <c r="V2349">
        <v>0</v>
      </c>
      <c r="W2349">
        <v>0</v>
      </c>
      <c r="X2349">
        <v>0</v>
      </c>
      <c r="Y2349">
        <v>0</v>
      </c>
      <c r="Z2349">
        <v>0</v>
      </c>
      <c r="AA2349">
        <v>0</v>
      </c>
      <c r="AB2349">
        <v>0</v>
      </c>
      <c r="AC2349">
        <v>0</v>
      </c>
      <c r="AD2349">
        <v>0</v>
      </c>
      <c r="AE2349">
        <v>0</v>
      </c>
      <c r="AF2349">
        <v>0</v>
      </c>
      <c r="AG2349">
        <v>0</v>
      </c>
      <c r="AH2349">
        <v>0</v>
      </c>
      <c r="AI2349">
        <v>0</v>
      </c>
      <c r="AJ2349">
        <v>0</v>
      </c>
      <c r="AK2349">
        <v>0</v>
      </c>
      <c r="AL2349">
        <v>0</v>
      </c>
      <c r="AM2349">
        <v>0</v>
      </c>
      <c r="AN2349">
        <v>0</v>
      </c>
      <c r="AO2349">
        <v>0</v>
      </c>
      <c r="AP2349">
        <v>0</v>
      </c>
      <c r="AQ2349">
        <v>16.7</v>
      </c>
      <c r="AR2349">
        <v>0</v>
      </c>
      <c r="AS2349">
        <v>0</v>
      </c>
      <c r="AT2349">
        <v>0</v>
      </c>
      <c r="AU2349">
        <v>0</v>
      </c>
      <c r="AV2349">
        <v>0</v>
      </c>
      <c r="AW2349">
        <v>0</v>
      </c>
      <c r="AX2349">
        <v>0</v>
      </c>
      <c r="AY2349">
        <v>0</v>
      </c>
      <c r="AZ2349">
        <v>0</v>
      </c>
      <c r="BA2349">
        <v>0</v>
      </c>
      <c r="BB2349">
        <v>0</v>
      </c>
      <c r="BC2349">
        <v>0</v>
      </c>
      <c r="BD2349">
        <v>0</v>
      </c>
      <c r="BE2349">
        <v>0</v>
      </c>
      <c r="BF2349">
        <v>0</v>
      </c>
      <c r="BG2349">
        <v>0</v>
      </c>
      <c r="BH2349">
        <v>1</v>
      </c>
      <c r="BI2349">
        <v>1</v>
      </c>
      <c r="BJ2349">
        <v>0.2</v>
      </c>
      <c r="BK2349">
        <v>1</v>
      </c>
      <c r="BL2349">
        <v>54.66</v>
      </c>
      <c r="BM2349">
        <v>8.1999999999999993</v>
      </c>
      <c r="BN2349">
        <v>62.86</v>
      </c>
      <c r="BO2349">
        <v>62.86</v>
      </c>
      <c r="BQ2349" t="s">
        <v>2663</v>
      </c>
      <c r="BR2349" t="s">
        <v>84</v>
      </c>
      <c r="BS2349" s="3">
        <v>45800</v>
      </c>
      <c r="BT2349" s="4">
        <v>0.65138888888888891</v>
      </c>
      <c r="BU2349" t="s">
        <v>1642</v>
      </c>
      <c r="BV2349" t="s">
        <v>89</v>
      </c>
      <c r="BY2349">
        <v>1200</v>
      </c>
      <c r="CA2349" t="s">
        <v>1643</v>
      </c>
      <c r="CC2349" t="s">
        <v>76</v>
      </c>
      <c r="CD2349">
        <v>1600</v>
      </c>
      <c r="CE2349" t="s">
        <v>88</v>
      </c>
      <c r="CF2349" s="3">
        <v>45804</v>
      </c>
      <c r="CI2349">
        <v>1</v>
      </c>
      <c r="CJ2349">
        <v>3</v>
      </c>
      <c r="CK2349">
        <v>22</v>
      </c>
      <c r="CL2349" t="s">
        <v>89</v>
      </c>
    </row>
    <row r="2350" spans="1:90" x14ac:dyDescent="0.3">
      <c r="A2350" t="s">
        <v>72</v>
      </c>
      <c r="B2350" t="s">
        <v>73</v>
      </c>
      <c r="C2350" t="s">
        <v>74</v>
      </c>
      <c r="E2350" t="str">
        <f>"080065465603"</f>
        <v>080065465603</v>
      </c>
      <c r="F2350" s="3">
        <v>45797</v>
      </c>
      <c r="G2350">
        <v>202602</v>
      </c>
      <c r="H2350" t="s">
        <v>75</v>
      </c>
      <c r="I2350" t="s">
        <v>76</v>
      </c>
      <c r="J2350" t="s">
        <v>77</v>
      </c>
      <c r="K2350" t="s">
        <v>78</v>
      </c>
      <c r="L2350" t="s">
        <v>463</v>
      </c>
      <c r="M2350" t="s">
        <v>464</v>
      </c>
      <c r="N2350" t="s">
        <v>2664</v>
      </c>
      <c r="O2350" t="s">
        <v>82</v>
      </c>
      <c r="P2350" t="str">
        <f>"4170039538                    "</f>
        <v xml:space="preserve">4170039538                    </v>
      </c>
      <c r="Q2350">
        <v>0</v>
      </c>
      <c r="R2350">
        <v>0</v>
      </c>
      <c r="S2350">
        <v>0</v>
      </c>
      <c r="T2350">
        <v>0</v>
      </c>
      <c r="U2350">
        <v>0</v>
      </c>
      <c r="V2350">
        <v>0</v>
      </c>
      <c r="W2350">
        <v>0</v>
      </c>
      <c r="X2350">
        <v>0</v>
      </c>
      <c r="Y2350">
        <v>0</v>
      </c>
      <c r="Z2350">
        <v>0</v>
      </c>
      <c r="AA2350">
        <v>0</v>
      </c>
      <c r="AB2350">
        <v>0</v>
      </c>
      <c r="AC2350">
        <v>0</v>
      </c>
      <c r="AD2350">
        <v>0</v>
      </c>
      <c r="AE2350">
        <v>0</v>
      </c>
      <c r="AF2350">
        <v>0</v>
      </c>
      <c r="AG2350">
        <v>0</v>
      </c>
      <c r="AH2350">
        <v>0</v>
      </c>
      <c r="AI2350">
        <v>0</v>
      </c>
      <c r="AJ2350">
        <v>0</v>
      </c>
      <c r="AK2350">
        <v>0</v>
      </c>
      <c r="AL2350">
        <v>0</v>
      </c>
      <c r="AM2350">
        <v>0</v>
      </c>
      <c r="AN2350">
        <v>0</v>
      </c>
      <c r="AO2350">
        <v>0</v>
      </c>
      <c r="AP2350">
        <v>0</v>
      </c>
      <c r="AQ2350">
        <v>21.38</v>
      </c>
      <c r="AR2350">
        <v>0</v>
      </c>
      <c r="AS2350">
        <v>0</v>
      </c>
      <c r="AT2350">
        <v>0</v>
      </c>
      <c r="AU2350">
        <v>0</v>
      </c>
      <c r="AV2350">
        <v>0</v>
      </c>
      <c r="AW2350">
        <v>0</v>
      </c>
      <c r="AX2350">
        <v>0</v>
      </c>
      <c r="AY2350">
        <v>0</v>
      </c>
      <c r="AZ2350">
        <v>0</v>
      </c>
      <c r="BA2350">
        <v>0</v>
      </c>
      <c r="BB2350">
        <v>0</v>
      </c>
      <c r="BC2350">
        <v>0</v>
      </c>
      <c r="BD2350">
        <v>0</v>
      </c>
      <c r="BE2350">
        <v>0</v>
      </c>
      <c r="BF2350">
        <v>0</v>
      </c>
      <c r="BG2350">
        <v>0</v>
      </c>
      <c r="BH2350">
        <v>1</v>
      </c>
      <c r="BI2350">
        <v>1</v>
      </c>
      <c r="BJ2350">
        <v>0.2</v>
      </c>
      <c r="BK2350">
        <v>1</v>
      </c>
      <c r="BL2350">
        <v>69.98</v>
      </c>
      <c r="BM2350">
        <v>10.5</v>
      </c>
      <c r="BN2350">
        <v>80.48</v>
      </c>
      <c r="BO2350">
        <v>80.48</v>
      </c>
      <c r="BQ2350" t="s">
        <v>2665</v>
      </c>
      <c r="BR2350" t="s">
        <v>84</v>
      </c>
      <c r="BS2350" s="3">
        <v>45798</v>
      </c>
      <c r="BT2350" s="4">
        <v>0.49722222222222223</v>
      </c>
      <c r="BU2350" t="s">
        <v>2666</v>
      </c>
      <c r="BV2350" t="s">
        <v>89</v>
      </c>
      <c r="BY2350">
        <v>1200</v>
      </c>
      <c r="CA2350" t="s">
        <v>2107</v>
      </c>
      <c r="CC2350" t="s">
        <v>464</v>
      </c>
      <c r="CD2350">
        <v>5200</v>
      </c>
      <c r="CE2350" t="s">
        <v>88</v>
      </c>
      <c r="CF2350" s="3">
        <v>45798</v>
      </c>
      <c r="CI2350">
        <v>1</v>
      </c>
      <c r="CJ2350">
        <v>1</v>
      </c>
      <c r="CK2350">
        <v>21</v>
      </c>
      <c r="CL2350" t="s">
        <v>89</v>
      </c>
    </row>
    <row r="2351" spans="1:90" x14ac:dyDescent="0.3">
      <c r="A2351" t="s">
        <v>72</v>
      </c>
      <c r="B2351" t="s">
        <v>73</v>
      </c>
      <c r="C2351" t="s">
        <v>74</v>
      </c>
      <c r="E2351" t="str">
        <f>"080065465628"</f>
        <v>080065465628</v>
      </c>
      <c r="F2351" s="3">
        <v>45797</v>
      </c>
      <c r="G2351">
        <v>202602</v>
      </c>
      <c r="H2351" t="s">
        <v>75</v>
      </c>
      <c r="I2351" t="s">
        <v>76</v>
      </c>
      <c r="J2351" t="s">
        <v>77</v>
      </c>
      <c r="K2351" t="s">
        <v>78</v>
      </c>
      <c r="L2351" t="s">
        <v>117</v>
      </c>
      <c r="M2351" t="s">
        <v>118</v>
      </c>
      <c r="N2351" t="s">
        <v>532</v>
      </c>
      <c r="O2351" t="s">
        <v>82</v>
      </c>
      <c r="P2351" t="str">
        <f>"4170039442                    "</f>
        <v xml:space="preserve">4170039442                    </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c r="AI2351">
        <v>0</v>
      </c>
      <c r="AJ2351">
        <v>0</v>
      </c>
      <c r="AK2351">
        <v>0</v>
      </c>
      <c r="AL2351">
        <v>0</v>
      </c>
      <c r="AM2351">
        <v>0</v>
      </c>
      <c r="AN2351">
        <v>0</v>
      </c>
      <c r="AO2351">
        <v>0</v>
      </c>
      <c r="AP2351">
        <v>0</v>
      </c>
      <c r="AQ2351">
        <v>16.7</v>
      </c>
      <c r="AR2351">
        <v>0</v>
      </c>
      <c r="AS2351">
        <v>0</v>
      </c>
      <c r="AT2351">
        <v>0</v>
      </c>
      <c r="AU2351">
        <v>0</v>
      </c>
      <c r="AV2351">
        <v>0</v>
      </c>
      <c r="AW2351">
        <v>0</v>
      </c>
      <c r="AX2351">
        <v>0</v>
      </c>
      <c r="AY2351">
        <v>0</v>
      </c>
      <c r="AZ2351">
        <v>0</v>
      </c>
      <c r="BA2351">
        <v>0</v>
      </c>
      <c r="BB2351">
        <v>0</v>
      </c>
      <c r="BC2351">
        <v>0</v>
      </c>
      <c r="BD2351">
        <v>0</v>
      </c>
      <c r="BE2351">
        <v>0</v>
      </c>
      <c r="BF2351">
        <v>0</v>
      </c>
      <c r="BG2351">
        <v>0</v>
      </c>
      <c r="BH2351">
        <v>1</v>
      </c>
      <c r="BI2351">
        <v>1</v>
      </c>
      <c r="BJ2351">
        <v>0.2</v>
      </c>
      <c r="BK2351">
        <v>1</v>
      </c>
      <c r="BL2351">
        <v>54.66</v>
      </c>
      <c r="BM2351">
        <v>8.1999999999999993</v>
      </c>
      <c r="BN2351">
        <v>62.86</v>
      </c>
      <c r="BO2351">
        <v>62.86</v>
      </c>
      <c r="BQ2351" t="s">
        <v>533</v>
      </c>
      <c r="BR2351" t="s">
        <v>84</v>
      </c>
      <c r="BS2351" s="3">
        <v>45798</v>
      </c>
      <c r="BT2351" s="4">
        <v>0.40972222222222221</v>
      </c>
      <c r="BU2351" t="s">
        <v>890</v>
      </c>
      <c r="BV2351" t="s">
        <v>86</v>
      </c>
      <c r="BY2351">
        <v>1200</v>
      </c>
      <c r="CA2351" t="s">
        <v>535</v>
      </c>
      <c r="CC2351" t="s">
        <v>118</v>
      </c>
      <c r="CD2351">
        <v>2094</v>
      </c>
      <c r="CE2351" t="s">
        <v>88</v>
      </c>
      <c r="CF2351" s="3">
        <v>45798</v>
      </c>
      <c r="CI2351">
        <v>1</v>
      </c>
      <c r="CJ2351">
        <v>1</v>
      </c>
      <c r="CK2351">
        <v>22</v>
      </c>
      <c r="CL2351" t="s">
        <v>89</v>
      </c>
    </row>
    <row r="2352" spans="1:90" x14ac:dyDescent="0.3">
      <c r="A2352" t="s">
        <v>72</v>
      </c>
      <c r="B2352" t="s">
        <v>73</v>
      </c>
      <c r="C2352" t="s">
        <v>74</v>
      </c>
      <c r="E2352" t="str">
        <f>"080065465644"</f>
        <v>080065465644</v>
      </c>
      <c r="F2352" s="3">
        <v>45797</v>
      </c>
      <c r="G2352">
        <v>202602</v>
      </c>
      <c r="H2352" t="s">
        <v>75</v>
      </c>
      <c r="I2352" t="s">
        <v>76</v>
      </c>
      <c r="J2352" t="s">
        <v>77</v>
      </c>
      <c r="K2352" t="s">
        <v>78</v>
      </c>
      <c r="L2352" t="s">
        <v>143</v>
      </c>
      <c r="M2352" t="s">
        <v>144</v>
      </c>
      <c r="N2352" t="s">
        <v>669</v>
      </c>
      <c r="O2352" t="s">
        <v>82</v>
      </c>
      <c r="P2352" t="str">
        <f>"4170039404                    "</f>
        <v xml:space="preserve">4170039404                    </v>
      </c>
      <c r="Q2352">
        <v>0</v>
      </c>
      <c r="R2352">
        <v>0</v>
      </c>
      <c r="S2352">
        <v>0</v>
      </c>
      <c r="T2352">
        <v>0</v>
      </c>
      <c r="U2352">
        <v>0</v>
      </c>
      <c r="V2352">
        <v>0</v>
      </c>
      <c r="W2352">
        <v>0</v>
      </c>
      <c r="X2352">
        <v>0</v>
      </c>
      <c r="Y2352">
        <v>0</v>
      </c>
      <c r="Z2352">
        <v>0</v>
      </c>
      <c r="AA2352">
        <v>0</v>
      </c>
      <c r="AB2352">
        <v>0</v>
      </c>
      <c r="AC2352">
        <v>0</v>
      </c>
      <c r="AD2352">
        <v>0</v>
      </c>
      <c r="AE2352">
        <v>0</v>
      </c>
      <c r="AF2352">
        <v>0</v>
      </c>
      <c r="AG2352">
        <v>0</v>
      </c>
      <c r="AH2352">
        <v>0</v>
      </c>
      <c r="AI2352">
        <v>0</v>
      </c>
      <c r="AJ2352">
        <v>0</v>
      </c>
      <c r="AK2352">
        <v>0</v>
      </c>
      <c r="AL2352">
        <v>0</v>
      </c>
      <c r="AM2352">
        <v>0</v>
      </c>
      <c r="AN2352">
        <v>0</v>
      </c>
      <c r="AO2352">
        <v>0</v>
      </c>
      <c r="AP2352">
        <v>0</v>
      </c>
      <c r="AQ2352">
        <v>16.7</v>
      </c>
      <c r="AR2352">
        <v>0</v>
      </c>
      <c r="AS2352">
        <v>0</v>
      </c>
      <c r="AT2352">
        <v>0</v>
      </c>
      <c r="AU2352">
        <v>0</v>
      </c>
      <c r="AV2352">
        <v>0</v>
      </c>
      <c r="AW2352">
        <v>0</v>
      </c>
      <c r="AX2352">
        <v>0</v>
      </c>
      <c r="AY2352">
        <v>0</v>
      </c>
      <c r="AZ2352">
        <v>0</v>
      </c>
      <c r="BA2352">
        <v>0</v>
      </c>
      <c r="BB2352">
        <v>0</v>
      </c>
      <c r="BC2352">
        <v>0</v>
      </c>
      <c r="BD2352">
        <v>0</v>
      </c>
      <c r="BE2352">
        <v>0</v>
      </c>
      <c r="BF2352">
        <v>0</v>
      </c>
      <c r="BG2352">
        <v>0</v>
      </c>
      <c r="BH2352">
        <v>1</v>
      </c>
      <c r="BI2352">
        <v>1</v>
      </c>
      <c r="BJ2352">
        <v>0.2</v>
      </c>
      <c r="BK2352">
        <v>1</v>
      </c>
      <c r="BL2352">
        <v>54.66</v>
      </c>
      <c r="BM2352">
        <v>8.1999999999999993</v>
      </c>
      <c r="BN2352">
        <v>62.86</v>
      </c>
      <c r="BO2352">
        <v>62.86</v>
      </c>
      <c r="BQ2352" t="s">
        <v>670</v>
      </c>
      <c r="BR2352" t="s">
        <v>84</v>
      </c>
      <c r="BS2352" s="3">
        <v>45798</v>
      </c>
      <c r="BT2352" s="4">
        <v>0.40277777777777779</v>
      </c>
      <c r="BU2352" t="s">
        <v>2552</v>
      </c>
      <c r="BV2352" t="s">
        <v>86</v>
      </c>
      <c r="BY2352">
        <v>1200</v>
      </c>
      <c r="CA2352" t="s">
        <v>2655</v>
      </c>
      <c r="CC2352" t="s">
        <v>144</v>
      </c>
      <c r="CD2352">
        <v>1401</v>
      </c>
      <c r="CE2352" t="s">
        <v>88</v>
      </c>
      <c r="CF2352" s="3">
        <v>45798</v>
      </c>
      <c r="CI2352">
        <v>1</v>
      </c>
      <c r="CJ2352">
        <v>1</v>
      </c>
      <c r="CK2352">
        <v>22</v>
      </c>
      <c r="CL2352" t="s">
        <v>89</v>
      </c>
    </row>
    <row r="2353" spans="1:90" x14ac:dyDescent="0.3">
      <c r="A2353" t="s">
        <v>72</v>
      </c>
      <c r="B2353" t="s">
        <v>73</v>
      </c>
      <c r="C2353" t="s">
        <v>74</v>
      </c>
      <c r="E2353" t="str">
        <f>"080065465662"</f>
        <v>080065465662</v>
      </c>
      <c r="F2353" s="3">
        <v>45797</v>
      </c>
      <c r="G2353">
        <v>202602</v>
      </c>
      <c r="H2353" t="s">
        <v>75</v>
      </c>
      <c r="I2353" t="s">
        <v>76</v>
      </c>
      <c r="J2353" t="s">
        <v>77</v>
      </c>
      <c r="K2353" t="s">
        <v>78</v>
      </c>
      <c r="L2353" t="s">
        <v>103</v>
      </c>
      <c r="M2353" t="s">
        <v>104</v>
      </c>
      <c r="N2353" t="s">
        <v>437</v>
      </c>
      <c r="O2353" t="s">
        <v>82</v>
      </c>
      <c r="P2353" t="str">
        <f>"4170039343                    "</f>
        <v xml:space="preserve">4170039343                    </v>
      </c>
      <c r="Q2353">
        <v>0</v>
      </c>
      <c r="R2353">
        <v>0</v>
      </c>
      <c r="S2353">
        <v>0</v>
      </c>
      <c r="T2353">
        <v>0</v>
      </c>
      <c r="U2353">
        <v>0</v>
      </c>
      <c r="V2353">
        <v>0</v>
      </c>
      <c r="W2353">
        <v>0</v>
      </c>
      <c r="X2353">
        <v>0</v>
      </c>
      <c r="Y2353">
        <v>0</v>
      </c>
      <c r="Z2353">
        <v>0</v>
      </c>
      <c r="AA2353">
        <v>0</v>
      </c>
      <c r="AB2353">
        <v>0</v>
      </c>
      <c r="AC2353">
        <v>0</v>
      </c>
      <c r="AD2353">
        <v>0</v>
      </c>
      <c r="AE2353">
        <v>0</v>
      </c>
      <c r="AF2353">
        <v>0</v>
      </c>
      <c r="AG2353">
        <v>0</v>
      </c>
      <c r="AH2353">
        <v>0</v>
      </c>
      <c r="AI2353">
        <v>0</v>
      </c>
      <c r="AJ2353">
        <v>0</v>
      </c>
      <c r="AK2353">
        <v>0</v>
      </c>
      <c r="AL2353">
        <v>0</v>
      </c>
      <c r="AM2353">
        <v>0</v>
      </c>
      <c r="AN2353">
        <v>0</v>
      </c>
      <c r="AO2353">
        <v>0</v>
      </c>
      <c r="AP2353">
        <v>0</v>
      </c>
      <c r="AQ2353">
        <v>21.38</v>
      </c>
      <c r="AR2353">
        <v>0</v>
      </c>
      <c r="AS2353">
        <v>0</v>
      </c>
      <c r="AT2353">
        <v>0</v>
      </c>
      <c r="AU2353">
        <v>0</v>
      </c>
      <c r="AV2353">
        <v>0</v>
      </c>
      <c r="AW2353">
        <v>0</v>
      </c>
      <c r="AX2353">
        <v>0</v>
      </c>
      <c r="AY2353">
        <v>0</v>
      </c>
      <c r="AZ2353">
        <v>0</v>
      </c>
      <c r="BA2353">
        <v>0</v>
      </c>
      <c r="BB2353">
        <v>0</v>
      </c>
      <c r="BC2353">
        <v>0</v>
      </c>
      <c r="BD2353">
        <v>0</v>
      </c>
      <c r="BE2353">
        <v>0</v>
      </c>
      <c r="BF2353">
        <v>0</v>
      </c>
      <c r="BG2353">
        <v>0</v>
      </c>
      <c r="BH2353">
        <v>1</v>
      </c>
      <c r="BI2353">
        <v>1</v>
      </c>
      <c r="BJ2353">
        <v>0.2</v>
      </c>
      <c r="BK2353">
        <v>1</v>
      </c>
      <c r="BL2353">
        <v>69.98</v>
      </c>
      <c r="BM2353">
        <v>10.5</v>
      </c>
      <c r="BN2353">
        <v>80.48</v>
      </c>
      <c r="BO2353">
        <v>80.48</v>
      </c>
      <c r="BQ2353" t="s">
        <v>438</v>
      </c>
      <c r="BR2353" t="s">
        <v>84</v>
      </c>
      <c r="BS2353" s="3">
        <v>45798</v>
      </c>
      <c r="BT2353" s="4">
        <v>0.41666666666666669</v>
      </c>
      <c r="BU2353" t="s">
        <v>1863</v>
      </c>
      <c r="BV2353" t="s">
        <v>86</v>
      </c>
      <c r="BY2353">
        <v>1200</v>
      </c>
      <c r="CA2353" t="s">
        <v>440</v>
      </c>
      <c r="CC2353" t="s">
        <v>104</v>
      </c>
      <c r="CD2353">
        <v>3212</v>
      </c>
      <c r="CE2353" t="s">
        <v>88</v>
      </c>
      <c r="CF2353" s="3">
        <v>45798</v>
      </c>
      <c r="CI2353">
        <v>2</v>
      </c>
      <c r="CJ2353">
        <v>1</v>
      </c>
      <c r="CK2353">
        <v>21</v>
      </c>
      <c r="CL2353" t="s">
        <v>89</v>
      </c>
    </row>
    <row r="2354" spans="1:90" x14ac:dyDescent="0.3">
      <c r="A2354" t="s">
        <v>72</v>
      </c>
      <c r="B2354" t="s">
        <v>73</v>
      </c>
      <c r="C2354" t="s">
        <v>74</v>
      </c>
      <c r="E2354" t="str">
        <f>"080065465677"</f>
        <v>080065465677</v>
      </c>
      <c r="F2354" s="3">
        <v>45797</v>
      </c>
      <c r="G2354">
        <v>202602</v>
      </c>
      <c r="H2354" t="s">
        <v>75</v>
      </c>
      <c r="I2354" t="s">
        <v>76</v>
      </c>
      <c r="J2354" t="s">
        <v>77</v>
      </c>
      <c r="K2354" t="s">
        <v>78</v>
      </c>
      <c r="L2354" t="s">
        <v>177</v>
      </c>
      <c r="M2354" t="s">
        <v>178</v>
      </c>
      <c r="N2354" t="s">
        <v>1439</v>
      </c>
      <c r="O2354" t="s">
        <v>82</v>
      </c>
      <c r="P2354" t="str">
        <f>"4170039525                    "</f>
        <v xml:space="preserve">4170039525                    </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0</v>
      </c>
      <c r="AL2354">
        <v>0</v>
      </c>
      <c r="AM2354">
        <v>0</v>
      </c>
      <c r="AN2354">
        <v>0</v>
      </c>
      <c r="AO2354">
        <v>0</v>
      </c>
      <c r="AP2354">
        <v>0</v>
      </c>
      <c r="AQ2354">
        <v>21.38</v>
      </c>
      <c r="AR2354">
        <v>0</v>
      </c>
      <c r="AS2354">
        <v>0</v>
      </c>
      <c r="AT2354">
        <v>0</v>
      </c>
      <c r="AU2354">
        <v>0</v>
      </c>
      <c r="AV2354">
        <v>0</v>
      </c>
      <c r="AW2354">
        <v>0</v>
      </c>
      <c r="AX2354">
        <v>0</v>
      </c>
      <c r="AY2354">
        <v>0</v>
      </c>
      <c r="AZ2354">
        <v>0</v>
      </c>
      <c r="BA2354">
        <v>0</v>
      </c>
      <c r="BB2354">
        <v>0</v>
      </c>
      <c r="BC2354">
        <v>0</v>
      </c>
      <c r="BD2354">
        <v>0</v>
      </c>
      <c r="BE2354">
        <v>0</v>
      </c>
      <c r="BF2354">
        <v>0</v>
      </c>
      <c r="BG2354">
        <v>0</v>
      </c>
      <c r="BH2354">
        <v>1</v>
      </c>
      <c r="BI2354">
        <v>1</v>
      </c>
      <c r="BJ2354">
        <v>0.2</v>
      </c>
      <c r="BK2354">
        <v>1</v>
      </c>
      <c r="BL2354">
        <v>69.98</v>
      </c>
      <c r="BM2354">
        <v>10.5</v>
      </c>
      <c r="BN2354">
        <v>80.48</v>
      </c>
      <c r="BO2354">
        <v>80.48</v>
      </c>
      <c r="BQ2354" t="s">
        <v>1440</v>
      </c>
      <c r="BR2354" t="s">
        <v>84</v>
      </c>
      <c r="BS2354" s="3">
        <v>45798</v>
      </c>
      <c r="BT2354" s="4">
        <v>0.35069444444444442</v>
      </c>
      <c r="BU2354" t="s">
        <v>2363</v>
      </c>
      <c r="BV2354" t="s">
        <v>86</v>
      </c>
      <c r="BY2354">
        <v>1200</v>
      </c>
      <c r="CA2354" t="s">
        <v>182</v>
      </c>
      <c r="CC2354" t="s">
        <v>178</v>
      </c>
      <c r="CD2354">
        <v>6021</v>
      </c>
      <c r="CE2354" t="s">
        <v>88</v>
      </c>
      <c r="CF2354" s="3">
        <v>45798</v>
      </c>
      <c r="CI2354">
        <v>1</v>
      </c>
      <c r="CJ2354">
        <v>1</v>
      </c>
      <c r="CK2354">
        <v>21</v>
      </c>
      <c r="CL2354" t="s">
        <v>89</v>
      </c>
    </row>
    <row r="2355" spans="1:90" x14ac:dyDescent="0.3">
      <c r="A2355" t="s">
        <v>72</v>
      </c>
      <c r="B2355" t="s">
        <v>73</v>
      </c>
      <c r="C2355" t="s">
        <v>74</v>
      </c>
      <c r="E2355" t="str">
        <f>"080065465681"</f>
        <v>080065465681</v>
      </c>
      <c r="F2355" s="3">
        <v>45797</v>
      </c>
      <c r="G2355">
        <v>202602</v>
      </c>
      <c r="H2355" t="s">
        <v>75</v>
      </c>
      <c r="I2355" t="s">
        <v>76</v>
      </c>
      <c r="J2355" t="s">
        <v>77</v>
      </c>
      <c r="K2355" t="s">
        <v>78</v>
      </c>
      <c r="L2355" t="s">
        <v>123</v>
      </c>
      <c r="M2355" t="s">
        <v>123</v>
      </c>
      <c r="N2355" t="s">
        <v>2378</v>
      </c>
      <c r="O2355" t="s">
        <v>82</v>
      </c>
      <c r="P2355" t="str">
        <f>"4170039345                    "</f>
        <v xml:space="preserve">4170039345                    </v>
      </c>
      <c r="Q2355">
        <v>0</v>
      </c>
      <c r="R2355">
        <v>0</v>
      </c>
      <c r="S2355">
        <v>0</v>
      </c>
      <c r="T2355">
        <v>0</v>
      </c>
      <c r="U2355">
        <v>0</v>
      </c>
      <c r="V2355">
        <v>0</v>
      </c>
      <c r="W2355">
        <v>0</v>
      </c>
      <c r="X2355">
        <v>0</v>
      </c>
      <c r="Y2355">
        <v>0</v>
      </c>
      <c r="Z2355">
        <v>0</v>
      </c>
      <c r="AA2355">
        <v>0</v>
      </c>
      <c r="AB2355">
        <v>0</v>
      </c>
      <c r="AC2355">
        <v>0</v>
      </c>
      <c r="AD2355">
        <v>0</v>
      </c>
      <c r="AE2355">
        <v>0</v>
      </c>
      <c r="AF2355">
        <v>0</v>
      </c>
      <c r="AG2355">
        <v>0</v>
      </c>
      <c r="AH2355">
        <v>0</v>
      </c>
      <c r="AI2355">
        <v>0</v>
      </c>
      <c r="AJ2355">
        <v>0</v>
      </c>
      <c r="AK2355">
        <v>0</v>
      </c>
      <c r="AL2355">
        <v>0</v>
      </c>
      <c r="AM2355">
        <v>0</v>
      </c>
      <c r="AN2355">
        <v>0</v>
      </c>
      <c r="AO2355">
        <v>0</v>
      </c>
      <c r="AP2355">
        <v>0</v>
      </c>
      <c r="AQ2355">
        <v>41.43</v>
      </c>
      <c r="AR2355">
        <v>0</v>
      </c>
      <c r="AS2355">
        <v>0</v>
      </c>
      <c r="AT2355">
        <v>0</v>
      </c>
      <c r="AU2355">
        <v>0</v>
      </c>
      <c r="AV2355">
        <v>0</v>
      </c>
      <c r="AW2355">
        <v>0</v>
      </c>
      <c r="AX2355">
        <v>0</v>
      </c>
      <c r="AY2355">
        <v>0</v>
      </c>
      <c r="AZ2355">
        <v>0</v>
      </c>
      <c r="BA2355">
        <v>0</v>
      </c>
      <c r="BB2355">
        <v>0</v>
      </c>
      <c r="BC2355">
        <v>0</v>
      </c>
      <c r="BD2355">
        <v>0</v>
      </c>
      <c r="BE2355">
        <v>0</v>
      </c>
      <c r="BF2355">
        <v>0</v>
      </c>
      <c r="BG2355">
        <v>0</v>
      </c>
      <c r="BH2355">
        <v>1</v>
      </c>
      <c r="BI2355">
        <v>1</v>
      </c>
      <c r="BJ2355">
        <v>0.2</v>
      </c>
      <c r="BK2355">
        <v>1</v>
      </c>
      <c r="BL2355">
        <v>135.59</v>
      </c>
      <c r="BM2355">
        <v>20.34</v>
      </c>
      <c r="BN2355">
        <v>155.93</v>
      </c>
      <c r="BO2355">
        <v>155.93</v>
      </c>
      <c r="BQ2355" t="s">
        <v>2379</v>
      </c>
      <c r="BR2355" t="s">
        <v>84</v>
      </c>
      <c r="BS2355" s="3">
        <v>45798</v>
      </c>
      <c r="BT2355" s="4">
        <v>0.52430555555555558</v>
      </c>
      <c r="BU2355" t="s">
        <v>2667</v>
      </c>
      <c r="BV2355" t="s">
        <v>86</v>
      </c>
      <c r="BY2355">
        <v>1200</v>
      </c>
      <c r="CA2355" t="s">
        <v>128</v>
      </c>
      <c r="CC2355" t="s">
        <v>123</v>
      </c>
      <c r="CD2355">
        <v>7654</v>
      </c>
      <c r="CE2355" t="s">
        <v>88</v>
      </c>
      <c r="CF2355" s="3">
        <v>45799</v>
      </c>
      <c r="CI2355">
        <v>1</v>
      </c>
      <c r="CJ2355">
        <v>1</v>
      </c>
      <c r="CK2355">
        <v>23</v>
      </c>
      <c r="CL2355" t="s">
        <v>89</v>
      </c>
    </row>
    <row r="2356" spans="1:90" x14ac:dyDescent="0.3">
      <c r="A2356" t="s">
        <v>72</v>
      </c>
      <c r="B2356" t="s">
        <v>73</v>
      </c>
      <c r="C2356" t="s">
        <v>74</v>
      </c>
      <c r="E2356" t="str">
        <f>"080065465691"</f>
        <v>080065465691</v>
      </c>
      <c r="F2356" s="3">
        <v>45797</v>
      </c>
      <c r="G2356">
        <v>202602</v>
      </c>
      <c r="H2356" t="s">
        <v>75</v>
      </c>
      <c r="I2356" t="s">
        <v>76</v>
      </c>
      <c r="J2356" t="s">
        <v>77</v>
      </c>
      <c r="K2356" t="s">
        <v>78</v>
      </c>
      <c r="L2356" t="s">
        <v>75</v>
      </c>
      <c r="M2356" t="s">
        <v>76</v>
      </c>
      <c r="N2356" t="s">
        <v>601</v>
      </c>
      <c r="O2356" t="s">
        <v>82</v>
      </c>
      <c r="P2356" t="str">
        <f>"4170039334                    "</f>
        <v xml:space="preserve">4170039334                    </v>
      </c>
      <c r="Q2356">
        <v>0</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c r="AJ2356">
        <v>0</v>
      </c>
      <c r="AK2356">
        <v>0</v>
      </c>
      <c r="AL2356">
        <v>0</v>
      </c>
      <c r="AM2356">
        <v>0</v>
      </c>
      <c r="AN2356">
        <v>0</v>
      </c>
      <c r="AO2356">
        <v>0</v>
      </c>
      <c r="AP2356">
        <v>0</v>
      </c>
      <c r="AQ2356">
        <v>16.7</v>
      </c>
      <c r="AR2356">
        <v>0</v>
      </c>
      <c r="AS2356">
        <v>0</v>
      </c>
      <c r="AT2356">
        <v>0</v>
      </c>
      <c r="AU2356">
        <v>0</v>
      </c>
      <c r="AV2356">
        <v>0</v>
      </c>
      <c r="AW2356">
        <v>0</v>
      </c>
      <c r="AX2356">
        <v>0</v>
      </c>
      <c r="AY2356">
        <v>0</v>
      </c>
      <c r="AZ2356">
        <v>0</v>
      </c>
      <c r="BA2356">
        <v>0</v>
      </c>
      <c r="BB2356">
        <v>0</v>
      </c>
      <c r="BC2356">
        <v>0</v>
      </c>
      <c r="BD2356">
        <v>0</v>
      </c>
      <c r="BE2356">
        <v>0</v>
      </c>
      <c r="BF2356">
        <v>0</v>
      </c>
      <c r="BG2356">
        <v>0</v>
      </c>
      <c r="BH2356">
        <v>1</v>
      </c>
      <c r="BI2356">
        <v>1</v>
      </c>
      <c r="BJ2356">
        <v>0.2</v>
      </c>
      <c r="BK2356">
        <v>1</v>
      </c>
      <c r="BL2356">
        <v>54.66</v>
      </c>
      <c r="BM2356">
        <v>8.1999999999999993</v>
      </c>
      <c r="BN2356">
        <v>62.86</v>
      </c>
      <c r="BO2356">
        <v>62.86</v>
      </c>
      <c r="BQ2356" t="s">
        <v>603</v>
      </c>
      <c r="BR2356" t="s">
        <v>84</v>
      </c>
      <c r="BS2356" s="3">
        <v>45798</v>
      </c>
      <c r="BT2356" s="4">
        <v>0.38055555555555554</v>
      </c>
      <c r="BU2356" t="s">
        <v>1028</v>
      </c>
      <c r="BV2356" t="s">
        <v>86</v>
      </c>
      <c r="BY2356">
        <v>1200</v>
      </c>
      <c r="CA2356" t="s">
        <v>475</v>
      </c>
      <c r="CC2356" t="s">
        <v>76</v>
      </c>
      <c r="CD2356">
        <v>1645</v>
      </c>
      <c r="CE2356" t="s">
        <v>88</v>
      </c>
      <c r="CF2356" s="3">
        <v>45798</v>
      </c>
      <c r="CI2356">
        <v>1</v>
      </c>
      <c r="CJ2356">
        <v>1</v>
      </c>
      <c r="CK2356">
        <v>22</v>
      </c>
      <c r="CL2356" t="s">
        <v>89</v>
      </c>
    </row>
    <row r="2357" spans="1:90" x14ac:dyDescent="0.3">
      <c r="A2357" t="s">
        <v>72</v>
      </c>
      <c r="B2357" t="s">
        <v>73</v>
      </c>
      <c r="C2357" t="s">
        <v>74</v>
      </c>
      <c r="E2357" t="str">
        <f>"080065465698"</f>
        <v>080065465698</v>
      </c>
      <c r="F2357" s="3">
        <v>45797</v>
      </c>
      <c r="G2357">
        <v>202602</v>
      </c>
      <c r="H2357" t="s">
        <v>75</v>
      </c>
      <c r="I2357" t="s">
        <v>76</v>
      </c>
      <c r="J2357" t="s">
        <v>77</v>
      </c>
      <c r="K2357" t="s">
        <v>78</v>
      </c>
      <c r="L2357" t="s">
        <v>463</v>
      </c>
      <c r="M2357" t="s">
        <v>464</v>
      </c>
      <c r="N2357" t="s">
        <v>2664</v>
      </c>
      <c r="O2357" t="s">
        <v>82</v>
      </c>
      <c r="P2357" t="str">
        <f>"4170039541                    "</f>
        <v xml:space="preserve">4170039541                    </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c r="AI2357">
        <v>0</v>
      </c>
      <c r="AJ2357">
        <v>0</v>
      </c>
      <c r="AK2357">
        <v>0</v>
      </c>
      <c r="AL2357">
        <v>0</v>
      </c>
      <c r="AM2357">
        <v>0</v>
      </c>
      <c r="AN2357">
        <v>0</v>
      </c>
      <c r="AO2357">
        <v>0</v>
      </c>
      <c r="AP2357">
        <v>0</v>
      </c>
      <c r="AQ2357">
        <v>21.38</v>
      </c>
      <c r="AR2357">
        <v>0</v>
      </c>
      <c r="AS2357">
        <v>0</v>
      </c>
      <c r="AT2357">
        <v>0</v>
      </c>
      <c r="AU2357">
        <v>0</v>
      </c>
      <c r="AV2357">
        <v>0</v>
      </c>
      <c r="AW2357">
        <v>0</v>
      </c>
      <c r="AX2357">
        <v>0</v>
      </c>
      <c r="AY2357">
        <v>0</v>
      </c>
      <c r="AZ2357">
        <v>0</v>
      </c>
      <c r="BA2357">
        <v>0</v>
      </c>
      <c r="BB2357">
        <v>0</v>
      </c>
      <c r="BC2357">
        <v>0</v>
      </c>
      <c r="BD2357">
        <v>0</v>
      </c>
      <c r="BE2357">
        <v>0</v>
      </c>
      <c r="BF2357">
        <v>0</v>
      </c>
      <c r="BG2357">
        <v>0</v>
      </c>
      <c r="BH2357">
        <v>1</v>
      </c>
      <c r="BI2357">
        <v>1</v>
      </c>
      <c r="BJ2357">
        <v>0.2</v>
      </c>
      <c r="BK2357">
        <v>1</v>
      </c>
      <c r="BL2357">
        <v>69.98</v>
      </c>
      <c r="BM2357">
        <v>10.5</v>
      </c>
      <c r="BN2357">
        <v>80.48</v>
      </c>
      <c r="BO2357">
        <v>80.48</v>
      </c>
      <c r="BQ2357" t="s">
        <v>2665</v>
      </c>
      <c r="BR2357" t="s">
        <v>84</v>
      </c>
      <c r="BS2357" s="3">
        <v>45798</v>
      </c>
      <c r="BT2357" s="4">
        <v>0.49861111111111112</v>
      </c>
      <c r="BU2357" t="s">
        <v>2666</v>
      </c>
      <c r="BV2357" t="s">
        <v>89</v>
      </c>
      <c r="BY2357">
        <v>1200</v>
      </c>
      <c r="CA2357" t="s">
        <v>2107</v>
      </c>
      <c r="CC2357" t="s">
        <v>464</v>
      </c>
      <c r="CD2357">
        <v>5200</v>
      </c>
      <c r="CE2357" t="s">
        <v>88</v>
      </c>
      <c r="CF2357" s="3">
        <v>45798</v>
      </c>
      <c r="CI2357">
        <v>1</v>
      </c>
      <c r="CJ2357">
        <v>1</v>
      </c>
      <c r="CK2357">
        <v>21</v>
      </c>
      <c r="CL2357" t="s">
        <v>89</v>
      </c>
    </row>
    <row r="2358" spans="1:90" x14ac:dyDescent="0.3">
      <c r="A2358" t="s">
        <v>72</v>
      </c>
      <c r="B2358" t="s">
        <v>73</v>
      </c>
      <c r="C2358" t="s">
        <v>74</v>
      </c>
      <c r="E2358" t="str">
        <f>"080065465704"</f>
        <v>080065465704</v>
      </c>
      <c r="F2358" s="3">
        <v>45797</v>
      </c>
      <c r="G2358">
        <v>202602</v>
      </c>
      <c r="H2358" t="s">
        <v>75</v>
      </c>
      <c r="I2358" t="s">
        <v>76</v>
      </c>
      <c r="J2358" t="s">
        <v>77</v>
      </c>
      <c r="K2358" t="s">
        <v>78</v>
      </c>
      <c r="L2358" t="s">
        <v>177</v>
      </c>
      <c r="M2358" t="s">
        <v>178</v>
      </c>
      <c r="N2358" t="s">
        <v>212</v>
      </c>
      <c r="O2358" t="s">
        <v>82</v>
      </c>
      <c r="P2358" t="str">
        <f>"4170039452                    "</f>
        <v xml:space="preserve">4170039452                    </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0</v>
      </c>
      <c r="AL2358">
        <v>0</v>
      </c>
      <c r="AM2358">
        <v>0</v>
      </c>
      <c r="AN2358">
        <v>0</v>
      </c>
      <c r="AO2358">
        <v>0</v>
      </c>
      <c r="AP2358">
        <v>0</v>
      </c>
      <c r="AQ2358">
        <v>21.38</v>
      </c>
      <c r="AR2358">
        <v>0</v>
      </c>
      <c r="AS2358">
        <v>0</v>
      </c>
      <c r="AT2358">
        <v>0</v>
      </c>
      <c r="AU2358">
        <v>0</v>
      </c>
      <c r="AV2358">
        <v>0</v>
      </c>
      <c r="AW2358">
        <v>0</v>
      </c>
      <c r="AX2358">
        <v>0</v>
      </c>
      <c r="AY2358">
        <v>0</v>
      </c>
      <c r="AZ2358">
        <v>0</v>
      </c>
      <c r="BA2358">
        <v>0</v>
      </c>
      <c r="BB2358">
        <v>0</v>
      </c>
      <c r="BC2358">
        <v>0</v>
      </c>
      <c r="BD2358">
        <v>0</v>
      </c>
      <c r="BE2358">
        <v>0</v>
      </c>
      <c r="BF2358">
        <v>0</v>
      </c>
      <c r="BG2358">
        <v>0</v>
      </c>
      <c r="BH2358">
        <v>1</v>
      </c>
      <c r="BI2358">
        <v>1</v>
      </c>
      <c r="BJ2358">
        <v>0.2</v>
      </c>
      <c r="BK2358">
        <v>1</v>
      </c>
      <c r="BL2358">
        <v>69.98</v>
      </c>
      <c r="BM2358">
        <v>10.5</v>
      </c>
      <c r="BN2358">
        <v>80.48</v>
      </c>
      <c r="BO2358">
        <v>80.48</v>
      </c>
      <c r="BQ2358" t="s">
        <v>213</v>
      </c>
      <c r="BR2358" t="s">
        <v>84</v>
      </c>
      <c r="BS2358" s="3">
        <v>45798</v>
      </c>
      <c r="BT2358" s="4">
        <v>0.35833333333333334</v>
      </c>
      <c r="BU2358" t="s">
        <v>1568</v>
      </c>
      <c r="BV2358" t="s">
        <v>86</v>
      </c>
      <c r="BY2358">
        <v>1200</v>
      </c>
      <c r="CA2358" t="s">
        <v>182</v>
      </c>
      <c r="CC2358" t="s">
        <v>178</v>
      </c>
      <c r="CD2358">
        <v>6021</v>
      </c>
      <c r="CE2358" t="s">
        <v>88</v>
      </c>
      <c r="CF2358" s="3">
        <v>45798</v>
      </c>
      <c r="CI2358">
        <v>1</v>
      </c>
      <c r="CJ2358">
        <v>1</v>
      </c>
      <c r="CK2358">
        <v>21</v>
      </c>
      <c r="CL2358" t="s">
        <v>89</v>
      </c>
    </row>
    <row r="2359" spans="1:90" x14ac:dyDescent="0.3">
      <c r="A2359" t="s">
        <v>72</v>
      </c>
      <c r="B2359" t="s">
        <v>73</v>
      </c>
      <c r="C2359" t="s">
        <v>74</v>
      </c>
      <c r="E2359" t="str">
        <f>"080065465714"</f>
        <v>080065465714</v>
      </c>
      <c r="F2359" s="3">
        <v>45797</v>
      </c>
      <c r="G2359">
        <v>202602</v>
      </c>
      <c r="H2359" t="s">
        <v>75</v>
      </c>
      <c r="I2359" t="s">
        <v>76</v>
      </c>
      <c r="J2359" t="s">
        <v>77</v>
      </c>
      <c r="K2359" t="s">
        <v>78</v>
      </c>
      <c r="L2359" t="s">
        <v>75</v>
      </c>
      <c r="M2359" t="s">
        <v>76</v>
      </c>
      <c r="N2359" t="s">
        <v>183</v>
      </c>
      <c r="O2359" t="s">
        <v>82</v>
      </c>
      <c r="P2359" t="str">
        <f>"4170039383                    "</f>
        <v xml:space="preserve">4170039383                    </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0</v>
      </c>
      <c r="AL2359">
        <v>0</v>
      </c>
      <c r="AM2359">
        <v>0</v>
      </c>
      <c r="AN2359">
        <v>0</v>
      </c>
      <c r="AO2359">
        <v>0</v>
      </c>
      <c r="AP2359">
        <v>0</v>
      </c>
      <c r="AQ2359">
        <v>16.7</v>
      </c>
      <c r="AR2359">
        <v>0</v>
      </c>
      <c r="AS2359">
        <v>0</v>
      </c>
      <c r="AT2359">
        <v>0</v>
      </c>
      <c r="AU2359">
        <v>0</v>
      </c>
      <c r="AV2359">
        <v>0</v>
      </c>
      <c r="AW2359">
        <v>0</v>
      </c>
      <c r="AX2359">
        <v>0</v>
      </c>
      <c r="AY2359">
        <v>0</v>
      </c>
      <c r="AZ2359">
        <v>0</v>
      </c>
      <c r="BA2359">
        <v>0</v>
      </c>
      <c r="BB2359">
        <v>0</v>
      </c>
      <c r="BC2359">
        <v>0</v>
      </c>
      <c r="BD2359">
        <v>0</v>
      </c>
      <c r="BE2359">
        <v>0</v>
      </c>
      <c r="BF2359">
        <v>0</v>
      </c>
      <c r="BG2359">
        <v>0</v>
      </c>
      <c r="BH2359">
        <v>1</v>
      </c>
      <c r="BI2359">
        <v>1</v>
      </c>
      <c r="BJ2359">
        <v>0.2</v>
      </c>
      <c r="BK2359">
        <v>1</v>
      </c>
      <c r="BL2359">
        <v>54.66</v>
      </c>
      <c r="BM2359">
        <v>8.1999999999999993</v>
      </c>
      <c r="BN2359">
        <v>62.86</v>
      </c>
      <c r="BO2359">
        <v>62.86</v>
      </c>
      <c r="BQ2359" t="s">
        <v>184</v>
      </c>
      <c r="BR2359" t="s">
        <v>84</v>
      </c>
      <c r="BS2359" s="3">
        <v>45798</v>
      </c>
      <c r="BT2359" s="4">
        <v>0.29166666666666669</v>
      </c>
      <c r="BU2359" t="s">
        <v>185</v>
      </c>
      <c r="BV2359" t="s">
        <v>86</v>
      </c>
      <c r="BY2359">
        <v>1200</v>
      </c>
      <c r="CA2359" t="s">
        <v>115</v>
      </c>
      <c r="CC2359" t="s">
        <v>76</v>
      </c>
      <c r="CD2359">
        <v>1600</v>
      </c>
      <c r="CE2359" t="s">
        <v>88</v>
      </c>
      <c r="CF2359" s="3">
        <v>45798</v>
      </c>
      <c r="CI2359">
        <v>1</v>
      </c>
      <c r="CJ2359">
        <v>1</v>
      </c>
      <c r="CK2359">
        <v>22</v>
      </c>
      <c r="CL2359" t="s">
        <v>89</v>
      </c>
    </row>
    <row r="2360" spans="1:90" x14ac:dyDescent="0.3">
      <c r="A2360" t="s">
        <v>72</v>
      </c>
      <c r="B2360" t="s">
        <v>73</v>
      </c>
      <c r="C2360" t="s">
        <v>74</v>
      </c>
      <c r="E2360" t="str">
        <f>"080065465728"</f>
        <v>080065465728</v>
      </c>
      <c r="F2360" s="3">
        <v>45797</v>
      </c>
      <c r="G2360">
        <v>202602</v>
      </c>
      <c r="H2360" t="s">
        <v>75</v>
      </c>
      <c r="I2360" t="s">
        <v>76</v>
      </c>
      <c r="J2360" t="s">
        <v>77</v>
      </c>
      <c r="K2360" t="s">
        <v>78</v>
      </c>
      <c r="L2360" t="s">
        <v>97</v>
      </c>
      <c r="M2360" t="s">
        <v>98</v>
      </c>
      <c r="N2360" t="s">
        <v>172</v>
      </c>
      <c r="O2360" t="s">
        <v>82</v>
      </c>
      <c r="P2360" t="str">
        <f>"4170039381                    "</f>
        <v xml:space="preserve">4170039381                    </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0</v>
      </c>
      <c r="AL2360">
        <v>0</v>
      </c>
      <c r="AM2360">
        <v>0</v>
      </c>
      <c r="AN2360">
        <v>0</v>
      </c>
      <c r="AO2360">
        <v>0</v>
      </c>
      <c r="AP2360">
        <v>0</v>
      </c>
      <c r="AQ2360">
        <v>16.7</v>
      </c>
      <c r="AR2360">
        <v>0</v>
      </c>
      <c r="AS2360">
        <v>0</v>
      </c>
      <c r="AT2360">
        <v>0</v>
      </c>
      <c r="AU2360">
        <v>0</v>
      </c>
      <c r="AV2360">
        <v>0</v>
      </c>
      <c r="AW2360">
        <v>0</v>
      </c>
      <c r="AX2360">
        <v>0</v>
      </c>
      <c r="AY2360">
        <v>0</v>
      </c>
      <c r="AZ2360">
        <v>0</v>
      </c>
      <c r="BA2360">
        <v>0</v>
      </c>
      <c r="BB2360">
        <v>0</v>
      </c>
      <c r="BC2360">
        <v>0</v>
      </c>
      <c r="BD2360">
        <v>0</v>
      </c>
      <c r="BE2360">
        <v>0</v>
      </c>
      <c r="BF2360">
        <v>0</v>
      </c>
      <c r="BG2360">
        <v>0</v>
      </c>
      <c r="BH2360">
        <v>1</v>
      </c>
      <c r="BI2360">
        <v>1</v>
      </c>
      <c r="BJ2360">
        <v>0.2</v>
      </c>
      <c r="BK2360">
        <v>1</v>
      </c>
      <c r="BL2360">
        <v>54.66</v>
      </c>
      <c r="BM2360">
        <v>8.1999999999999993</v>
      </c>
      <c r="BN2360">
        <v>62.86</v>
      </c>
      <c r="BO2360">
        <v>62.86</v>
      </c>
      <c r="BQ2360" t="s">
        <v>173</v>
      </c>
      <c r="BR2360" t="s">
        <v>84</v>
      </c>
      <c r="BS2360" s="3">
        <v>45798</v>
      </c>
      <c r="BT2360" s="4">
        <v>0.43125000000000002</v>
      </c>
      <c r="BU2360" t="s">
        <v>1513</v>
      </c>
      <c r="BV2360" t="s">
        <v>86</v>
      </c>
      <c r="BY2360">
        <v>1200</v>
      </c>
      <c r="CA2360" t="s">
        <v>175</v>
      </c>
      <c r="CC2360" t="s">
        <v>98</v>
      </c>
      <c r="CD2360">
        <v>1459</v>
      </c>
      <c r="CE2360" t="s">
        <v>88</v>
      </c>
      <c r="CF2360" s="3">
        <v>45798</v>
      </c>
      <c r="CI2360">
        <v>1</v>
      </c>
      <c r="CJ2360">
        <v>1</v>
      </c>
      <c r="CK2360">
        <v>22</v>
      </c>
      <c r="CL2360" t="s">
        <v>89</v>
      </c>
    </row>
    <row r="2361" spans="1:90" x14ac:dyDescent="0.3">
      <c r="A2361" t="s">
        <v>72</v>
      </c>
      <c r="B2361" t="s">
        <v>73</v>
      </c>
      <c r="C2361" t="s">
        <v>74</v>
      </c>
      <c r="E2361" t="str">
        <f>"080065465738"</f>
        <v>080065465738</v>
      </c>
      <c r="F2361" s="3">
        <v>45797</v>
      </c>
      <c r="G2361">
        <v>202602</v>
      </c>
      <c r="H2361" t="s">
        <v>75</v>
      </c>
      <c r="I2361" t="s">
        <v>76</v>
      </c>
      <c r="J2361" t="s">
        <v>77</v>
      </c>
      <c r="K2361" t="s">
        <v>78</v>
      </c>
      <c r="L2361" t="s">
        <v>624</v>
      </c>
      <c r="M2361" t="s">
        <v>625</v>
      </c>
      <c r="N2361" t="s">
        <v>2603</v>
      </c>
      <c r="O2361" t="s">
        <v>82</v>
      </c>
      <c r="P2361" t="str">
        <f>"4170039549                    "</f>
        <v xml:space="preserve">4170039549                    </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0</v>
      </c>
      <c r="AL2361">
        <v>0</v>
      </c>
      <c r="AM2361">
        <v>0</v>
      </c>
      <c r="AN2361">
        <v>0</v>
      </c>
      <c r="AO2361">
        <v>0</v>
      </c>
      <c r="AP2361">
        <v>0</v>
      </c>
      <c r="AQ2361">
        <v>41.43</v>
      </c>
      <c r="AR2361">
        <v>0</v>
      </c>
      <c r="AS2361">
        <v>0</v>
      </c>
      <c r="AT2361">
        <v>0</v>
      </c>
      <c r="AU2361">
        <v>0</v>
      </c>
      <c r="AV2361">
        <v>0</v>
      </c>
      <c r="AW2361">
        <v>0</v>
      </c>
      <c r="AX2361">
        <v>0</v>
      </c>
      <c r="AY2361">
        <v>0</v>
      </c>
      <c r="AZ2361">
        <v>0</v>
      </c>
      <c r="BA2361">
        <v>0</v>
      </c>
      <c r="BB2361">
        <v>0</v>
      </c>
      <c r="BC2361">
        <v>0</v>
      </c>
      <c r="BD2361">
        <v>0</v>
      </c>
      <c r="BE2361">
        <v>0</v>
      </c>
      <c r="BF2361">
        <v>0</v>
      </c>
      <c r="BG2361">
        <v>0</v>
      </c>
      <c r="BH2361">
        <v>1</v>
      </c>
      <c r="BI2361">
        <v>1</v>
      </c>
      <c r="BJ2361">
        <v>0.2</v>
      </c>
      <c r="BK2361">
        <v>1</v>
      </c>
      <c r="BL2361">
        <v>135.59</v>
      </c>
      <c r="BM2361">
        <v>20.34</v>
      </c>
      <c r="BN2361">
        <v>155.93</v>
      </c>
      <c r="BO2361">
        <v>155.93</v>
      </c>
      <c r="BQ2361" t="s">
        <v>2668</v>
      </c>
      <c r="BR2361" t="s">
        <v>84</v>
      </c>
      <c r="BS2361" s="3">
        <v>45798</v>
      </c>
      <c r="BT2361" s="4">
        <v>0.40555555555555556</v>
      </c>
      <c r="BU2361" t="s">
        <v>2669</v>
      </c>
      <c r="BV2361" t="s">
        <v>86</v>
      </c>
      <c r="BY2361">
        <v>1200</v>
      </c>
      <c r="CA2361" t="s">
        <v>629</v>
      </c>
      <c r="CC2361" t="s">
        <v>625</v>
      </c>
      <c r="CD2361">
        <v>1947</v>
      </c>
      <c r="CE2361" t="s">
        <v>88</v>
      </c>
      <c r="CF2361" s="3">
        <v>45799</v>
      </c>
      <c r="CI2361">
        <v>1</v>
      </c>
      <c r="CJ2361">
        <v>1</v>
      </c>
      <c r="CK2361">
        <v>23</v>
      </c>
      <c r="CL2361" t="s">
        <v>89</v>
      </c>
    </row>
    <row r="2362" spans="1:90" x14ac:dyDescent="0.3">
      <c r="A2362" t="s">
        <v>72</v>
      </c>
      <c r="B2362" t="s">
        <v>73</v>
      </c>
      <c r="C2362" t="s">
        <v>74</v>
      </c>
      <c r="E2362" t="str">
        <f>"080065465745"</f>
        <v>080065465745</v>
      </c>
      <c r="F2362" s="3">
        <v>45797</v>
      </c>
      <c r="G2362">
        <v>202602</v>
      </c>
      <c r="H2362" t="s">
        <v>75</v>
      </c>
      <c r="I2362" t="s">
        <v>76</v>
      </c>
      <c r="J2362" t="s">
        <v>77</v>
      </c>
      <c r="K2362" t="s">
        <v>78</v>
      </c>
      <c r="L2362" t="s">
        <v>130</v>
      </c>
      <c r="M2362" t="s">
        <v>131</v>
      </c>
      <c r="N2362" t="s">
        <v>1280</v>
      </c>
      <c r="O2362" t="s">
        <v>82</v>
      </c>
      <c r="P2362" t="str">
        <f>"4170039485                    "</f>
        <v xml:space="preserve">4170039485                    </v>
      </c>
      <c r="Q2362">
        <v>0</v>
      </c>
      <c r="R2362">
        <v>0</v>
      </c>
      <c r="S2362">
        <v>0</v>
      </c>
      <c r="T2362">
        <v>0</v>
      </c>
      <c r="U2362">
        <v>0</v>
      </c>
      <c r="V2362">
        <v>0</v>
      </c>
      <c r="W2362">
        <v>0</v>
      </c>
      <c r="X2362">
        <v>0</v>
      </c>
      <c r="Y2362">
        <v>0</v>
      </c>
      <c r="Z2362">
        <v>0</v>
      </c>
      <c r="AA2362">
        <v>0</v>
      </c>
      <c r="AB2362">
        <v>0</v>
      </c>
      <c r="AC2362">
        <v>0</v>
      </c>
      <c r="AD2362">
        <v>0</v>
      </c>
      <c r="AE2362">
        <v>0</v>
      </c>
      <c r="AF2362">
        <v>0</v>
      </c>
      <c r="AG2362">
        <v>0</v>
      </c>
      <c r="AH2362">
        <v>0</v>
      </c>
      <c r="AI2362">
        <v>0</v>
      </c>
      <c r="AJ2362">
        <v>0</v>
      </c>
      <c r="AK2362">
        <v>0</v>
      </c>
      <c r="AL2362">
        <v>0</v>
      </c>
      <c r="AM2362">
        <v>0</v>
      </c>
      <c r="AN2362">
        <v>0</v>
      </c>
      <c r="AO2362">
        <v>0</v>
      </c>
      <c r="AP2362">
        <v>0</v>
      </c>
      <c r="AQ2362">
        <v>21.38</v>
      </c>
      <c r="AR2362">
        <v>0</v>
      </c>
      <c r="AS2362">
        <v>0</v>
      </c>
      <c r="AT2362">
        <v>0</v>
      </c>
      <c r="AU2362">
        <v>0</v>
      </c>
      <c r="AV2362">
        <v>0</v>
      </c>
      <c r="AW2362">
        <v>0</v>
      </c>
      <c r="AX2362">
        <v>0</v>
      </c>
      <c r="AY2362">
        <v>0</v>
      </c>
      <c r="AZ2362">
        <v>0</v>
      </c>
      <c r="BA2362">
        <v>0</v>
      </c>
      <c r="BB2362">
        <v>0</v>
      </c>
      <c r="BC2362">
        <v>0</v>
      </c>
      <c r="BD2362">
        <v>0</v>
      </c>
      <c r="BE2362">
        <v>0</v>
      </c>
      <c r="BF2362">
        <v>0</v>
      </c>
      <c r="BG2362">
        <v>0</v>
      </c>
      <c r="BH2362">
        <v>1</v>
      </c>
      <c r="BI2362">
        <v>1</v>
      </c>
      <c r="BJ2362">
        <v>0.2</v>
      </c>
      <c r="BK2362">
        <v>1</v>
      </c>
      <c r="BL2362">
        <v>69.98</v>
      </c>
      <c r="BM2362">
        <v>10.5</v>
      </c>
      <c r="BN2362">
        <v>80.48</v>
      </c>
      <c r="BO2362">
        <v>80.48</v>
      </c>
      <c r="BQ2362" t="s">
        <v>1281</v>
      </c>
      <c r="BR2362" t="s">
        <v>84</v>
      </c>
      <c r="BS2362" s="3">
        <v>45798</v>
      </c>
      <c r="BT2362" s="4">
        <v>0.35694444444444445</v>
      </c>
      <c r="BU2362" t="s">
        <v>1769</v>
      </c>
      <c r="BV2362" t="s">
        <v>86</v>
      </c>
      <c r="BY2362">
        <v>1200</v>
      </c>
      <c r="CA2362" t="s">
        <v>135</v>
      </c>
      <c r="CC2362" t="s">
        <v>131</v>
      </c>
      <c r="CD2362">
        <v>7490</v>
      </c>
      <c r="CE2362" t="s">
        <v>88</v>
      </c>
      <c r="CF2362" s="3">
        <v>45799</v>
      </c>
      <c r="CI2362">
        <v>1</v>
      </c>
      <c r="CJ2362">
        <v>1</v>
      </c>
      <c r="CK2362">
        <v>21</v>
      </c>
      <c r="CL2362" t="s">
        <v>89</v>
      </c>
    </row>
    <row r="2363" spans="1:90" x14ac:dyDescent="0.3">
      <c r="A2363" t="s">
        <v>72</v>
      </c>
      <c r="B2363" t="s">
        <v>73</v>
      </c>
      <c r="C2363" t="s">
        <v>74</v>
      </c>
      <c r="E2363" t="str">
        <f>"080065465761"</f>
        <v>080065465761</v>
      </c>
      <c r="F2363" s="3">
        <v>45797</v>
      </c>
      <c r="G2363">
        <v>202602</v>
      </c>
      <c r="H2363" t="s">
        <v>75</v>
      </c>
      <c r="I2363" t="s">
        <v>76</v>
      </c>
      <c r="J2363" t="s">
        <v>77</v>
      </c>
      <c r="K2363" t="s">
        <v>78</v>
      </c>
      <c r="L2363" t="s">
        <v>232</v>
      </c>
      <c r="M2363" t="s">
        <v>233</v>
      </c>
      <c r="N2363" t="s">
        <v>1147</v>
      </c>
      <c r="O2363" t="s">
        <v>82</v>
      </c>
      <c r="P2363" t="str">
        <f>"4170039314                    "</f>
        <v xml:space="preserve">4170039314                    </v>
      </c>
      <c r="Q2363">
        <v>0</v>
      </c>
      <c r="R2363">
        <v>0</v>
      </c>
      <c r="S2363">
        <v>0</v>
      </c>
      <c r="T2363">
        <v>0</v>
      </c>
      <c r="U2363">
        <v>0</v>
      </c>
      <c r="V2363">
        <v>0</v>
      </c>
      <c r="W2363">
        <v>0</v>
      </c>
      <c r="X2363">
        <v>0</v>
      </c>
      <c r="Y2363">
        <v>0</v>
      </c>
      <c r="Z2363">
        <v>0</v>
      </c>
      <c r="AA2363">
        <v>0</v>
      </c>
      <c r="AB2363">
        <v>0</v>
      </c>
      <c r="AC2363">
        <v>0</v>
      </c>
      <c r="AD2363">
        <v>0</v>
      </c>
      <c r="AE2363">
        <v>0</v>
      </c>
      <c r="AF2363">
        <v>0</v>
      </c>
      <c r="AG2363">
        <v>0</v>
      </c>
      <c r="AH2363">
        <v>0</v>
      </c>
      <c r="AI2363">
        <v>0</v>
      </c>
      <c r="AJ2363">
        <v>0</v>
      </c>
      <c r="AK2363">
        <v>0</v>
      </c>
      <c r="AL2363">
        <v>0</v>
      </c>
      <c r="AM2363">
        <v>0</v>
      </c>
      <c r="AN2363">
        <v>0</v>
      </c>
      <c r="AO2363">
        <v>0</v>
      </c>
      <c r="AP2363">
        <v>0</v>
      </c>
      <c r="AQ2363">
        <v>37.409999999999997</v>
      </c>
      <c r="AR2363">
        <v>0</v>
      </c>
      <c r="AS2363">
        <v>0</v>
      </c>
      <c r="AT2363">
        <v>0</v>
      </c>
      <c r="AU2363">
        <v>0</v>
      </c>
      <c r="AV2363">
        <v>0</v>
      </c>
      <c r="AW2363">
        <v>0</v>
      </c>
      <c r="AX2363">
        <v>0</v>
      </c>
      <c r="AY2363">
        <v>0</v>
      </c>
      <c r="AZ2363">
        <v>0</v>
      </c>
      <c r="BA2363">
        <v>0</v>
      </c>
      <c r="BB2363">
        <v>0</v>
      </c>
      <c r="BC2363">
        <v>0</v>
      </c>
      <c r="BD2363">
        <v>0</v>
      </c>
      <c r="BE2363">
        <v>0</v>
      </c>
      <c r="BF2363">
        <v>0</v>
      </c>
      <c r="BG2363">
        <v>0</v>
      </c>
      <c r="BH2363">
        <v>1</v>
      </c>
      <c r="BI2363">
        <v>1</v>
      </c>
      <c r="BJ2363">
        <v>3.4</v>
      </c>
      <c r="BK2363">
        <v>3.5</v>
      </c>
      <c r="BL2363">
        <v>122.43</v>
      </c>
      <c r="BM2363">
        <v>18.36</v>
      </c>
      <c r="BN2363">
        <v>140.79</v>
      </c>
      <c r="BO2363">
        <v>140.79</v>
      </c>
      <c r="BQ2363" t="s">
        <v>1148</v>
      </c>
      <c r="BR2363" t="s">
        <v>84</v>
      </c>
      <c r="BS2363" s="3">
        <v>45798</v>
      </c>
      <c r="BT2363" s="4">
        <v>0.40277777777777779</v>
      </c>
      <c r="BU2363" t="s">
        <v>2670</v>
      </c>
      <c r="BV2363" t="s">
        <v>86</v>
      </c>
      <c r="BY2363">
        <v>16965</v>
      </c>
      <c r="CA2363" t="s">
        <v>2671</v>
      </c>
      <c r="CC2363" t="s">
        <v>233</v>
      </c>
      <c r="CD2363" s="5" t="s">
        <v>238</v>
      </c>
      <c r="CE2363" t="s">
        <v>96</v>
      </c>
      <c r="CF2363" s="3">
        <v>45798</v>
      </c>
      <c r="CI2363">
        <v>1</v>
      </c>
      <c r="CJ2363">
        <v>1</v>
      </c>
      <c r="CK2363">
        <v>21</v>
      </c>
      <c r="CL2363" t="s">
        <v>89</v>
      </c>
    </row>
    <row r="2364" spans="1:90" x14ac:dyDescent="0.3">
      <c r="A2364" t="s">
        <v>72</v>
      </c>
      <c r="B2364" t="s">
        <v>73</v>
      </c>
      <c r="C2364" t="s">
        <v>74</v>
      </c>
      <c r="E2364" t="str">
        <f>"080065465776"</f>
        <v>080065465776</v>
      </c>
      <c r="F2364" s="3">
        <v>45797</v>
      </c>
      <c r="G2364">
        <v>202602</v>
      </c>
      <c r="H2364" t="s">
        <v>75</v>
      </c>
      <c r="I2364" t="s">
        <v>76</v>
      </c>
      <c r="J2364" t="s">
        <v>77</v>
      </c>
      <c r="K2364" t="s">
        <v>78</v>
      </c>
      <c r="L2364" t="s">
        <v>463</v>
      </c>
      <c r="M2364" t="s">
        <v>464</v>
      </c>
      <c r="N2364" t="s">
        <v>883</v>
      </c>
      <c r="O2364" t="s">
        <v>82</v>
      </c>
      <c r="P2364" t="str">
        <f>"4170039542                    "</f>
        <v xml:space="preserve">4170039542                    </v>
      </c>
      <c r="Q2364">
        <v>0</v>
      </c>
      <c r="R2364">
        <v>0</v>
      </c>
      <c r="S2364">
        <v>0</v>
      </c>
      <c r="T2364">
        <v>0</v>
      </c>
      <c r="U2364">
        <v>0</v>
      </c>
      <c r="V2364">
        <v>0</v>
      </c>
      <c r="W2364">
        <v>0</v>
      </c>
      <c r="X2364">
        <v>0</v>
      </c>
      <c r="Y2364">
        <v>0</v>
      </c>
      <c r="Z2364">
        <v>0</v>
      </c>
      <c r="AA2364">
        <v>0</v>
      </c>
      <c r="AB2364">
        <v>0</v>
      </c>
      <c r="AC2364">
        <v>0</v>
      </c>
      <c r="AD2364">
        <v>0</v>
      </c>
      <c r="AE2364">
        <v>0</v>
      </c>
      <c r="AF2364">
        <v>0</v>
      </c>
      <c r="AG2364">
        <v>0</v>
      </c>
      <c r="AH2364">
        <v>0</v>
      </c>
      <c r="AI2364">
        <v>0</v>
      </c>
      <c r="AJ2364">
        <v>0</v>
      </c>
      <c r="AK2364">
        <v>0</v>
      </c>
      <c r="AL2364">
        <v>0</v>
      </c>
      <c r="AM2364">
        <v>0</v>
      </c>
      <c r="AN2364">
        <v>0</v>
      </c>
      <c r="AO2364">
        <v>0</v>
      </c>
      <c r="AP2364">
        <v>0</v>
      </c>
      <c r="AQ2364">
        <v>21.38</v>
      </c>
      <c r="AR2364">
        <v>0</v>
      </c>
      <c r="AS2364">
        <v>0</v>
      </c>
      <c r="AT2364">
        <v>0</v>
      </c>
      <c r="AU2364">
        <v>0</v>
      </c>
      <c r="AV2364">
        <v>0</v>
      </c>
      <c r="AW2364">
        <v>0</v>
      </c>
      <c r="AX2364">
        <v>0</v>
      </c>
      <c r="AY2364">
        <v>0</v>
      </c>
      <c r="AZ2364">
        <v>0</v>
      </c>
      <c r="BA2364">
        <v>0</v>
      </c>
      <c r="BB2364">
        <v>0</v>
      </c>
      <c r="BC2364">
        <v>0</v>
      </c>
      <c r="BD2364">
        <v>0</v>
      </c>
      <c r="BE2364">
        <v>0</v>
      </c>
      <c r="BF2364">
        <v>0</v>
      </c>
      <c r="BG2364">
        <v>0</v>
      </c>
      <c r="BH2364">
        <v>1</v>
      </c>
      <c r="BI2364">
        <v>1</v>
      </c>
      <c r="BJ2364">
        <v>0.2</v>
      </c>
      <c r="BK2364">
        <v>1</v>
      </c>
      <c r="BL2364">
        <v>69.98</v>
      </c>
      <c r="BM2364">
        <v>10.5</v>
      </c>
      <c r="BN2364">
        <v>80.48</v>
      </c>
      <c r="BO2364">
        <v>80.48</v>
      </c>
      <c r="BQ2364" t="s">
        <v>884</v>
      </c>
      <c r="BR2364" t="s">
        <v>84</v>
      </c>
      <c r="BS2364" s="3">
        <v>45798</v>
      </c>
      <c r="BT2364" s="4">
        <v>0.49583333333333335</v>
      </c>
      <c r="BU2364" t="s">
        <v>885</v>
      </c>
      <c r="BV2364" t="s">
        <v>89</v>
      </c>
      <c r="BY2364">
        <v>1200</v>
      </c>
      <c r="CC2364" t="s">
        <v>464</v>
      </c>
      <c r="CD2364">
        <v>5200</v>
      </c>
      <c r="CE2364" t="s">
        <v>88</v>
      </c>
      <c r="CF2364" s="3">
        <v>45798</v>
      </c>
      <c r="CI2364">
        <v>1</v>
      </c>
      <c r="CJ2364">
        <v>1</v>
      </c>
      <c r="CK2364">
        <v>21</v>
      </c>
      <c r="CL2364" t="s">
        <v>89</v>
      </c>
    </row>
    <row r="2365" spans="1:90" x14ac:dyDescent="0.3">
      <c r="A2365" t="s">
        <v>72</v>
      </c>
      <c r="B2365" t="s">
        <v>73</v>
      </c>
      <c r="C2365" t="s">
        <v>74</v>
      </c>
      <c r="E2365" t="str">
        <f>"080065465758"</f>
        <v>080065465758</v>
      </c>
      <c r="F2365" s="3">
        <v>45797</v>
      </c>
      <c r="G2365">
        <v>202602</v>
      </c>
      <c r="H2365" t="s">
        <v>75</v>
      </c>
      <c r="I2365" t="s">
        <v>76</v>
      </c>
      <c r="J2365" t="s">
        <v>77</v>
      </c>
      <c r="K2365" t="s">
        <v>78</v>
      </c>
      <c r="L2365" t="s">
        <v>75</v>
      </c>
      <c r="M2365" t="s">
        <v>76</v>
      </c>
      <c r="N2365" t="s">
        <v>1841</v>
      </c>
      <c r="O2365" t="s">
        <v>82</v>
      </c>
      <c r="P2365" t="str">
        <f>"4170039499                    "</f>
        <v xml:space="preserve">4170039499                    </v>
      </c>
      <c r="Q2365">
        <v>0</v>
      </c>
      <c r="R2365">
        <v>0</v>
      </c>
      <c r="S2365">
        <v>0</v>
      </c>
      <c r="T2365">
        <v>0</v>
      </c>
      <c r="U2365">
        <v>0</v>
      </c>
      <c r="V2365">
        <v>0</v>
      </c>
      <c r="W2365">
        <v>0</v>
      </c>
      <c r="X2365">
        <v>0</v>
      </c>
      <c r="Y2365">
        <v>0</v>
      </c>
      <c r="Z2365">
        <v>0</v>
      </c>
      <c r="AA2365">
        <v>0</v>
      </c>
      <c r="AB2365">
        <v>0</v>
      </c>
      <c r="AC2365">
        <v>0</v>
      </c>
      <c r="AD2365">
        <v>0</v>
      </c>
      <c r="AE2365">
        <v>0</v>
      </c>
      <c r="AF2365">
        <v>0</v>
      </c>
      <c r="AG2365">
        <v>0</v>
      </c>
      <c r="AH2365">
        <v>0</v>
      </c>
      <c r="AI2365">
        <v>0</v>
      </c>
      <c r="AJ2365">
        <v>0</v>
      </c>
      <c r="AK2365">
        <v>0</v>
      </c>
      <c r="AL2365">
        <v>0</v>
      </c>
      <c r="AM2365">
        <v>0</v>
      </c>
      <c r="AN2365">
        <v>0</v>
      </c>
      <c r="AO2365">
        <v>0</v>
      </c>
      <c r="AP2365">
        <v>0</v>
      </c>
      <c r="AQ2365">
        <v>16.7</v>
      </c>
      <c r="AR2365">
        <v>0</v>
      </c>
      <c r="AS2365">
        <v>0</v>
      </c>
      <c r="AT2365">
        <v>0</v>
      </c>
      <c r="AU2365">
        <v>0</v>
      </c>
      <c r="AV2365">
        <v>0</v>
      </c>
      <c r="AW2365">
        <v>0</v>
      </c>
      <c r="AX2365">
        <v>0</v>
      </c>
      <c r="AY2365">
        <v>0</v>
      </c>
      <c r="AZ2365">
        <v>0</v>
      </c>
      <c r="BA2365">
        <v>0</v>
      </c>
      <c r="BB2365">
        <v>0</v>
      </c>
      <c r="BC2365">
        <v>0</v>
      </c>
      <c r="BD2365">
        <v>0</v>
      </c>
      <c r="BE2365">
        <v>0</v>
      </c>
      <c r="BF2365">
        <v>0</v>
      </c>
      <c r="BG2365">
        <v>0</v>
      </c>
      <c r="BH2365">
        <v>1</v>
      </c>
      <c r="BI2365">
        <v>1</v>
      </c>
      <c r="BJ2365">
        <v>0.2</v>
      </c>
      <c r="BK2365">
        <v>1</v>
      </c>
      <c r="BL2365">
        <v>54.66</v>
      </c>
      <c r="BM2365">
        <v>8.1999999999999993</v>
      </c>
      <c r="BN2365">
        <v>62.86</v>
      </c>
      <c r="BO2365">
        <v>62.86</v>
      </c>
      <c r="BQ2365" t="s">
        <v>1842</v>
      </c>
      <c r="BR2365" t="s">
        <v>84</v>
      </c>
      <c r="BS2365" s="3">
        <v>45798</v>
      </c>
      <c r="BT2365" s="4">
        <v>0.40416666666666667</v>
      </c>
      <c r="BU2365" t="s">
        <v>2364</v>
      </c>
      <c r="BV2365" t="s">
        <v>86</v>
      </c>
      <c r="BY2365">
        <v>1200</v>
      </c>
      <c r="CA2365" t="s">
        <v>475</v>
      </c>
      <c r="CC2365" t="s">
        <v>76</v>
      </c>
      <c r="CD2365">
        <v>1610</v>
      </c>
      <c r="CE2365" t="s">
        <v>88</v>
      </c>
      <c r="CF2365" s="3">
        <v>45798</v>
      </c>
      <c r="CI2365">
        <v>1</v>
      </c>
      <c r="CJ2365">
        <v>1</v>
      </c>
      <c r="CK2365">
        <v>22</v>
      </c>
      <c r="CL2365" t="s">
        <v>89</v>
      </c>
    </row>
    <row r="2366" spans="1:90" x14ac:dyDescent="0.3">
      <c r="A2366" t="s">
        <v>72</v>
      </c>
      <c r="B2366" t="s">
        <v>73</v>
      </c>
      <c r="C2366" t="s">
        <v>74</v>
      </c>
      <c r="E2366" t="str">
        <f>"080065465781"</f>
        <v>080065465781</v>
      </c>
      <c r="F2366" s="3">
        <v>45797</v>
      </c>
      <c r="G2366">
        <v>202602</v>
      </c>
      <c r="H2366" t="s">
        <v>75</v>
      </c>
      <c r="I2366" t="s">
        <v>76</v>
      </c>
      <c r="J2366" t="s">
        <v>77</v>
      </c>
      <c r="K2366" t="s">
        <v>78</v>
      </c>
      <c r="L2366" t="s">
        <v>75</v>
      </c>
      <c r="M2366" t="s">
        <v>76</v>
      </c>
      <c r="N2366" t="s">
        <v>112</v>
      </c>
      <c r="O2366" t="s">
        <v>82</v>
      </c>
      <c r="P2366" t="str">
        <f>"4170039313                    "</f>
        <v xml:space="preserve">4170039313                    </v>
      </c>
      <c r="Q2366">
        <v>0</v>
      </c>
      <c r="R2366">
        <v>0</v>
      </c>
      <c r="S2366">
        <v>0</v>
      </c>
      <c r="T2366">
        <v>0</v>
      </c>
      <c r="U2366">
        <v>0</v>
      </c>
      <c r="V2366">
        <v>0</v>
      </c>
      <c r="W2366">
        <v>0</v>
      </c>
      <c r="X2366">
        <v>0</v>
      </c>
      <c r="Y2366">
        <v>0</v>
      </c>
      <c r="Z2366">
        <v>0</v>
      </c>
      <c r="AA2366">
        <v>0</v>
      </c>
      <c r="AB2366">
        <v>0</v>
      </c>
      <c r="AC2366">
        <v>0</v>
      </c>
      <c r="AD2366">
        <v>0</v>
      </c>
      <c r="AE2366">
        <v>0</v>
      </c>
      <c r="AF2366">
        <v>0</v>
      </c>
      <c r="AG2366">
        <v>0</v>
      </c>
      <c r="AH2366">
        <v>0</v>
      </c>
      <c r="AI2366">
        <v>0</v>
      </c>
      <c r="AJ2366">
        <v>0</v>
      </c>
      <c r="AK2366">
        <v>0</v>
      </c>
      <c r="AL2366">
        <v>0</v>
      </c>
      <c r="AM2366">
        <v>0</v>
      </c>
      <c r="AN2366">
        <v>0</v>
      </c>
      <c r="AO2366">
        <v>0</v>
      </c>
      <c r="AP2366">
        <v>0</v>
      </c>
      <c r="AQ2366">
        <v>16.7</v>
      </c>
      <c r="AR2366">
        <v>0</v>
      </c>
      <c r="AS2366">
        <v>0</v>
      </c>
      <c r="AT2366">
        <v>0</v>
      </c>
      <c r="AU2366">
        <v>0</v>
      </c>
      <c r="AV2366">
        <v>0</v>
      </c>
      <c r="AW2366">
        <v>0</v>
      </c>
      <c r="AX2366">
        <v>0</v>
      </c>
      <c r="AY2366">
        <v>0</v>
      </c>
      <c r="AZ2366">
        <v>0</v>
      </c>
      <c r="BA2366">
        <v>0</v>
      </c>
      <c r="BB2366">
        <v>0</v>
      </c>
      <c r="BC2366">
        <v>0</v>
      </c>
      <c r="BD2366">
        <v>0</v>
      </c>
      <c r="BE2366">
        <v>0</v>
      </c>
      <c r="BF2366">
        <v>0</v>
      </c>
      <c r="BG2366">
        <v>0</v>
      </c>
      <c r="BH2366">
        <v>1</v>
      </c>
      <c r="BI2366">
        <v>1</v>
      </c>
      <c r="BJ2366">
        <v>1.4</v>
      </c>
      <c r="BK2366">
        <v>2</v>
      </c>
      <c r="BL2366">
        <v>54.66</v>
      </c>
      <c r="BM2366">
        <v>8.1999999999999993</v>
      </c>
      <c r="BN2366">
        <v>62.86</v>
      </c>
      <c r="BO2366">
        <v>62.86</v>
      </c>
      <c r="BQ2366" t="s">
        <v>113</v>
      </c>
      <c r="BR2366" t="s">
        <v>84</v>
      </c>
      <c r="BS2366" s="3">
        <v>45798</v>
      </c>
      <c r="BT2366" s="4">
        <v>0.4375</v>
      </c>
      <c r="BU2366" t="s">
        <v>2553</v>
      </c>
      <c r="BV2366" t="s">
        <v>86</v>
      </c>
      <c r="BY2366">
        <v>7000</v>
      </c>
      <c r="CA2366" t="s">
        <v>115</v>
      </c>
      <c r="CC2366" t="s">
        <v>76</v>
      </c>
      <c r="CD2366">
        <v>1624</v>
      </c>
      <c r="CE2366" t="s">
        <v>96</v>
      </c>
      <c r="CF2366" s="3">
        <v>45798</v>
      </c>
      <c r="CI2366">
        <v>1</v>
      </c>
      <c r="CJ2366">
        <v>1</v>
      </c>
      <c r="CK2366">
        <v>22</v>
      </c>
      <c r="CL2366" t="s">
        <v>89</v>
      </c>
    </row>
    <row r="2367" spans="1:90" x14ac:dyDescent="0.3">
      <c r="A2367" t="s">
        <v>72</v>
      </c>
      <c r="B2367" t="s">
        <v>73</v>
      </c>
      <c r="C2367" t="s">
        <v>74</v>
      </c>
      <c r="E2367" t="str">
        <f>"080065465817"</f>
        <v>080065465817</v>
      </c>
      <c r="F2367" s="3">
        <v>45797</v>
      </c>
      <c r="G2367">
        <v>202602</v>
      </c>
      <c r="H2367" t="s">
        <v>75</v>
      </c>
      <c r="I2367" t="s">
        <v>76</v>
      </c>
      <c r="J2367" t="s">
        <v>77</v>
      </c>
      <c r="K2367" t="s">
        <v>78</v>
      </c>
      <c r="L2367" t="s">
        <v>79</v>
      </c>
      <c r="M2367" t="s">
        <v>80</v>
      </c>
      <c r="N2367" t="s">
        <v>357</v>
      </c>
      <c r="O2367" t="s">
        <v>82</v>
      </c>
      <c r="P2367" t="str">
        <f>"4170039362                    "</f>
        <v xml:space="preserve">4170039362                    </v>
      </c>
      <c r="Q2367">
        <v>0</v>
      </c>
      <c r="R2367">
        <v>0</v>
      </c>
      <c r="S2367">
        <v>0</v>
      </c>
      <c r="T2367">
        <v>0</v>
      </c>
      <c r="U2367">
        <v>0</v>
      </c>
      <c r="V2367">
        <v>0</v>
      </c>
      <c r="W2367">
        <v>0</v>
      </c>
      <c r="X2367">
        <v>0</v>
      </c>
      <c r="Y2367">
        <v>0</v>
      </c>
      <c r="Z2367">
        <v>0</v>
      </c>
      <c r="AA2367">
        <v>0</v>
      </c>
      <c r="AB2367">
        <v>0</v>
      </c>
      <c r="AC2367">
        <v>0</v>
      </c>
      <c r="AD2367">
        <v>0</v>
      </c>
      <c r="AE2367">
        <v>0</v>
      </c>
      <c r="AF2367">
        <v>0</v>
      </c>
      <c r="AG2367">
        <v>0</v>
      </c>
      <c r="AH2367">
        <v>0</v>
      </c>
      <c r="AI2367">
        <v>0</v>
      </c>
      <c r="AJ2367">
        <v>0</v>
      </c>
      <c r="AK2367">
        <v>0</v>
      </c>
      <c r="AL2367">
        <v>0</v>
      </c>
      <c r="AM2367">
        <v>0</v>
      </c>
      <c r="AN2367">
        <v>0</v>
      </c>
      <c r="AO2367">
        <v>0</v>
      </c>
      <c r="AP2367">
        <v>0</v>
      </c>
      <c r="AQ2367">
        <v>21.38</v>
      </c>
      <c r="AR2367">
        <v>0</v>
      </c>
      <c r="AS2367">
        <v>0</v>
      </c>
      <c r="AT2367">
        <v>0</v>
      </c>
      <c r="AU2367">
        <v>0</v>
      </c>
      <c r="AV2367">
        <v>0</v>
      </c>
      <c r="AW2367">
        <v>0</v>
      </c>
      <c r="AX2367">
        <v>0</v>
      </c>
      <c r="AY2367">
        <v>0</v>
      </c>
      <c r="AZ2367">
        <v>0</v>
      </c>
      <c r="BA2367">
        <v>0</v>
      </c>
      <c r="BB2367">
        <v>0</v>
      </c>
      <c r="BC2367">
        <v>0</v>
      </c>
      <c r="BD2367">
        <v>0</v>
      </c>
      <c r="BE2367">
        <v>0</v>
      </c>
      <c r="BF2367">
        <v>0</v>
      </c>
      <c r="BG2367">
        <v>0</v>
      </c>
      <c r="BH2367">
        <v>1</v>
      </c>
      <c r="BI2367">
        <v>2</v>
      </c>
      <c r="BJ2367">
        <v>0.9</v>
      </c>
      <c r="BK2367">
        <v>2</v>
      </c>
      <c r="BL2367">
        <v>69.98</v>
      </c>
      <c r="BM2367">
        <v>10.5</v>
      </c>
      <c r="BN2367">
        <v>80.48</v>
      </c>
      <c r="BO2367">
        <v>80.48</v>
      </c>
      <c r="BQ2367" t="s">
        <v>358</v>
      </c>
      <c r="BR2367" t="s">
        <v>84</v>
      </c>
      <c r="BS2367" s="3">
        <v>45798</v>
      </c>
      <c r="BT2367" s="4">
        <v>0.43402777777777779</v>
      </c>
      <c r="BU2367" t="s">
        <v>2644</v>
      </c>
      <c r="BV2367" t="s">
        <v>86</v>
      </c>
      <c r="BY2367">
        <v>4560</v>
      </c>
      <c r="CA2367" t="s">
        <v>418</v>
      </c>
      <c r="CC2367" t="s">
        <v>80</v>
      </c>
      <c r="CD2367">
        <v>3608</v>
      </c>
      <c r="CE2367" t="s">
        <v>116</v>
      </c>
      <c r="CF2367" s="3">
        <v>45798</v>
      </c>
      <c r="CI2367">
        <v>1</v>
      </c>
      <c r="CJ2367">
        <v>1</v>
      </c>
      <c r="CK2367">
        <v>21</v>
      </c>
      <c r="CL2367" t="s">
        <v>89</v>
      </c>
    </row>
    <row r="2368" spans="1:90" x14ac:dyDescent="0.3">
      <c r="A2368" t="s">
        <v>72</v>
      </c>
      <c r="B2368" t="s">
        <v>73</v>
      </c>
      <c r="C2368" t="s">
        <v>74</v>
      </c>
      <c r="E2368" t="str">
        <f>"080065465832"</f>
        <v>080065465832</v>
      </c>
      <c r="F2368" s="3">
        <v>45797</v>
      </c>
      <c r="G2368">
        <v>202602</v>
      </c>
      <c r="H2368" t="s">
        <v>75</v>
      </c>
      <c r="I2368" t="s">
        <v>76</v>
      </c>
      <c r="J2368" t="s">
        <v>77</v>
      </c>
      <c r="K2368" t="s">
        <v>78</v>
      </c>
      <c r="L2368" t="s">
        <v>374</v>
      </c>
      <c r="M2368" t="s">
        <v>375</v>
      </c>
      <c r="N2368" t="s">
        <v>376</v>
      </c>
      <c r="O2368" t="s">
        <v>82</v>
      </c>
      <c r="P2368" t="str">
        <f>"4170039414                    "</f>
        <v xml:space="preserve">4170039414                    </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c r="AI2368">
        <v>0</v>
      </c>
      <c r="AJ2368">
        <v>0</v>
      </c>
      <c r="AK2368">
        <v>0</v>
      </c>
      <c r="AL2368">
        <v>0</v>
      </c>
      <c r="AM2368">
        <v>0</v>
      </c>
      <c r="AN2368">
        <v>0</v>
      </c>
      <c r="AO2368">
        <v>0</v>
      </c>
      <c r="AP2368">
        <v>0</v>
      </c>
      <c r="AQ2368">
        <v>41.43</v>
      </c>
      <c r="AR2368">
        <v>0</v>
      </c>
      <c r="AS2368">
        <v>0</v>
      </c>
      <c r="AT2368">
        <v>0</v>
      </c>
      <c r="AU2368">
        <v>0</v>
      </c>
      <c r="AV2368">
        <v>0</v>
      </c>
      <c r="AW2368">
        <v>0</v>
      </c>
      <c r="AX2368">
        <v>0</v>
      </c>
      <c r="AY2368">
        <v>0</v>
      </c>
      <c r="AZ2368">
        <v>0</v>
      </c>
      <c r="BA2368">
        <v>0</v>
      </c>
      <c r="BB2368">
        <v>0</v>
      </c>
      <c r="BC2368">
        <v>0</v>
      </c>
      <c r="BD2368">
        <v>0</v>
      </c>
      <c r="BE2368">
        <v>0</v>
      </c>
      <c r="BF2368">
        <v>0</v>
      </c>
      <c r="BG2368">
        <v>0</v>
      </c>
      <c r="BH2368">
        <v>1</v>
      </c>
      <c r="BI2368">
        <v>2</v>
      </c>
      <c r="BJ2368">
        <v>1.7</v>
      </c>
      <c r="BK2368">
        <v>2</v>
      </c>
      <c r="BL2368">
        <v>135.59</v>
      </c>
      <c r="BM2368">
        <v>20.34</v>
      </c>
      <c r="BN2368">
        <v>155.93</v>
      </c>
      <c r="BO2368">
        <v>155.93</v>
      </c>
      <c r="BQ2368" t="s">
        <v>377</v>
      </c>
      <c r="BR2368" t="s">
        <v>84</v>
      </c>
      <c r="BS2368" s="3">
        <v>45798</v>
      </c>
      <c r="BT2368" s="4">
        <v>0.4236111111111111</v>
      </c>
      <c r="BU2368" t="s">
        <v>2672</v>
      </c>
      <c r="BV2368" t="s">
        <v>86</v>
      </c>
      <c r="BY2368">
        <v>8512</v>
      </c>
      <c r="CC2368" t="s">
        <v>375</v>
      </c>
      <c r="CD2368">
        <v>7130</v>
      </c>
      <c r="CE2368" t="s">
        <v>116</v>
      </c>
      <c r="CF2368" s="3">
        <v>45799</v>
      </c>
      <c r="CI2368">
        <v>1</v>
      </c>
      <c r="CJ2368">
        <v>1</v>
      </c>
      <c r="CK2368">
        <v>23</v>
      </c>
      <c r="CL2368" t="s">
        <v>89</v>
      </c>
    </row>
    <row r="2369" spans="1:90" x14ac:dyDescent="0.3">
      <c r="A2369" t="s">
        <v>72</v>
      </c>
      <c r="B2369" t="s">
        <v>73</v>
      </c>
      <c r="C2369" t="s">
        <v>74</v>
      </c>
      <c r="E2369" t="str">
        <f>"080065465857"</f>
        <v>080065465857</v>
      </c>
      <c r="F2369" s="3">
        <v>45797</v>
      </c>
      <c r="G2369">
        <v>202602</v>
      </c>
      <c r="H2369" t="s">
        <v>75</v>
      </c>
      <c r="I2369" t="s">
        <v>76</v>
      </c>
      <c r="J2369" t="s">
        <v>77</v>
      </c>
      <c r="K2369" t="s">
        <v>78</v>
      </c>
      <c r="L2369" t="s">
        <v>136</v>
      </c>
      <c r="M2369" t="s">
        <v>137</v>
      </c>
      <c r="N2369" t="s">
        <v>992</v>
      </c>
      <c r="O2369" t="s">
        <v>82</v>
      </c>
      <c r="P2369" t="str">
        <f>"4170039506                    "</f>
        <v xml:space="preserve">4170039506                    </v>
      </c>
      <c r="Q2369">
        <v>0</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c r="AJ2369">
        <v>0</v>
      </c>
      <c r="AK2369">
        <v>0</v>
      </c>
      <c r="AL2369">
        <v>0</v>
      </c>
      <c r="AM2369">
        <v>0</v>
      </c>
      <c r="AN2369">
        <v>0</v>
      </c>
      <c r="AO2369">
        <v>0</v>
      </c>
      <c r="AP2369">
        <v>0</v>
      </c>
      <c r="AQ2369">
        <v>21.38</v>
      </c>
      <c r="AR2369">
        <v>0</v>
      </c>
      <c r="AS2369">
        <v>0</v>
      </c>
      <c r="AT2369">
        <v>0</v>
      </c>
      <c r="AU2369">
        <v>0</v>
      </c>
      <c r="AV2369">
        <v>0</v>
      </c>
      <c r="AW2369">
        <v>0</v>
      </c>
      <c r="AX2369">
        <v>0</v>
      </c>
      <c r="AY2369">
        <v>0</v>
      </c>
      <c r="AZ2369">
        <v>0</v>
      </c>
      <c r="BA2369">
        <v>0</v>
      </c>
      <c r="BB2369">
        <v>0</v>
      </c>
      <c r="BC2369">
        <v>0</v>
      </c>
      <c r="BD2369">
        <v>0</v>
      </c>
      <c r="BE2369">
        <v>0</v>
      </c>
      <c r="BF2369">
        <v>0</v>
      </c>
      <c r="BG2369">
        <v>0</v>
      </c>
      <c r="BH2369">
        <v>1</v>
      </c>
      <c r="BI2369">
        <v>2</v>
      </c>
      <c r="BJ2369">
        <v>0.9</v>
      </c>
      <c r="BK2369">
        <v>2</v>
      </c>
      <c r="BL2369">
        <v>69.98</v>
      </c>
      <c r="BM2369">
        <v>10.5</v>
      </c>
      <c r="BN2369">
        <v>80.48</v>
      </c>
      <c r="BO2369">
        <v>80.48</v>
      </c>
      <c r="BQ2369" t="s">
        <v>993</v>
      </c>
      <c r="BR2369" t="s">
        <v>84</v>
      </c>
      <c r="BS2369" s="3">
        <v>45798</v>
      </c>
      <c r="BT2369" s="4">
        <v>0.43680555555555556</v>
      </c>
      <c r="BU2369" t="s">
        <v>994</v>
      </c>
      <c r="BV2369" t="s">
        <v>86</v>
      </c>
      <c r="BY2369">
        <v>4560</v>
      </c>
      <c r="CA2369" t="s">
        <v>141</v>
      </c>
      <c r="CC2369" t="s">
        <v>137</v>
      </c>
      <c r="CD2369" s="5" t="s">
        <v>142</v>
      </c>
      <c r="CE2369" t="s">
        <v>116</v>
      </c>
      <c r="CF2369" s="3">
        <v>45798</v>
      </c>
      <c r="CI2369">
        <v>1</v>
      </c>
      <c r="CJ2369">
        <v>1</v>
      </c>
      <c r="CK2369">
        <v>21</v>
      </c>
      <c r="CL2369" t="s">
        <v>89</v>
      </c>
    </row>
    <row r="2370" spans="1:90" x14ac:dyDescent="0.3">
      <c r="A2370" t="s">
        <v>72</v>
      </c>
      <c r="B2370" t="s">
        <v>73</v>
      </c>
      <c r="C2370" t="s">
        <v>74</v>
      </c>
      <c r="E2370" t="str">
        <f>"080065465892"</f>
        <v>080065465892</v>
      </c>
      <c r="F2370" s="3">
        <v>45797</v>
      </c>
      <c r="G2370">
        <v>202602</v>
      </c>
      <c r="H2370" t="s">
        <v>75</v>
      </c>
      <c r="I2370" t="s">
        <v>76</v>
      </c>
      <c r="J2370" t="s">
        <v>77</v>
      </c>
      <c r="K2370" t="s">
        <v>78</v>
      </c>
      <c r="L2370" t="s">
        <v>75</v>
      </c>
      <c r="M2370" t="s">
        <v>76</v>
      </c>
      <c r="N2370" t="s">
        <v>601</v>
      </c>
      <c r="O2370" t="s">
        <v>82</v>
      </c>
      <c r="P2370" t="str">
        <f>"4170039335                    "</f>
        <v xml:space="preserve">4170039335                    </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c r="AI2370">
        <v>0</v>
      </c>
      <c r="AJ2370">
        <v>0</v>
      </c>
      <c r="AK2370">
        <v>0</v>
      </c>
      <c r="AL2370">
        <v>0</v>
      </c>
      <c r="AM2370">
        <v>0</v>
      </c>
      <c r="AN2370">
        <v>0</v>
      </c>
      <c r="AO2370">
        <v>0</v>
      </c>
      <c r="AP2370">
        <v>0</v>
      </c>
      <c r="AQ2370">
        <v>16.7</v>
      </c>
      <c r="AR2370">
        <v>0</v>
      </c>
      <c r="AS2370">
        <v>0</v>
      </c>
      <c r="AT2370">
        <v>0</v>
      </c>
      <c r="AU2370">
        <v>0</v>
      </c>
      <c r="AV2370">
        <v>0</v>
      </c>
      <c r="AW2370">
        <v>0</v>
      </c>
      <c r="AX2370">
        <v>0</v>
      </c>
      <c r="AY2370">
        <v>0</v>
      </c>
      <c r="AZ2370">
        <v>0</v>
      </c>
      <c r="BA2370">
        <v>0</v>
      </c>
      <c r="BB2370">
        <v>0</v>
      </c>
      <c r="BC2370">
        <v>0</v>
      </c>
      <c r="BD2370">
        <v>0</v>
      </c>
      <c r="BE2370">
        <v>0</v>
      </c>
      <c r="BF2370">
        <v>0</v>
      </c>
      <c r="BG2370">
        <v>0</v>
      </c>
      <c r="BH2370">
        <v>1</v>
      </c>
      <c r="BI2370">
        <v>1</v>
      </c>
      <c r="BJ2370">
        <v>0.9</v>
      </c>
      <c r="BK2370">
        <v>1</v>
      </c>
      <c r="BL2370">
        <v>54.66</v>
      </c>
      <c r="BM2370">
        <v>8.1999999999999993</v>
      </c>
      <c r="BN2370">
        <v>62.86</v>
      </c>
      <c r="BO2370">
        <v>62.86</v>
      </c>
      <c r="BQ2370" t="s">
        <v>603</v>
      </c>
      <c r="BR2370" t="s">
        <v>84</v>
      </c>
      <c r="BS2370" s="3">
        <v>45798</v>
      </c>
      <c r="BT2370" s="4">
        <v>0.33333333333333331</v>
      </c>
      <c r="BU2370" t="s">
        <v>789</v>
      </c>
      <c r="BV2370" t="s">
        <v>86</v>
      </c>
      <c r="BY2370">
        <v>4275</v>
      </c>
      <c r="CA2370" t="s">
        <v>605</v>
      </c>
      <c r="CC2370" t="s">
        <v>76</v>
      </c>
      <c r="CD2370">
        <v>1645</v>
      </c>
      <c r="CE2370" t="s">
        <v>116</v>
      </c>
      <c r="CF2370" s="3">
        <v>45798</v>
      </c>
      <c r="CI2370">
        <v>1</v>
      </c>
      <c r="CJ2370">
        <v>1</v>
      </c>
      <c r="CK2370">
        <v>22</v>
      </c>
      <c r="CL2370" t="s">
        <v>89</v>
      </c>
    </row>
    <row r="2371" spans="1:90" x14ac:dyDescent="0.3">
      <c r="A2371" t="s">
        <v>72</v>
      </c>
      <c r="B2371" t="s">
        <v>73</v>
      </c>
      <c r="C2371" t="s">
        <v>74</v>
      </c>
      <c r="E2371" t="str">
        <f>"080065465957"</f>
        <v>080065465957</v>
      </c>
      <c r="F2371" s="3">
        <v>45797</v>
      </c>
      <c r="G2371">
        <v>202602</v>
      </c>
      <c r="H2371" t="s">
        <v>75</v>
      </c>
      <c r="I2371" t="s">
        <v>76</v>
      </c>
      <c r="J2371" t="s">
        <v>77</v>
      </c>
      <c r="K2371" t="s">
        <v>78</v>
      </c>
      <c r="L2371" t="s">
        <v>130</v>
      </c>
      <c r="M2371" t="s">
        <v>131</v>
      </c>
      <c r="N2371" t="s">
        <v>2673</v>
      </c>
      <c r="O2371" t="s">
        <v>82</v>
      </c>
      <c r="P2371" t="str">
        <f>"4170039453                    "</f>
        <v xml:space="preserve">4170039453                    </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c r="AI2371">
        <v>0</v>
      </c>
      <c r="AJ2371">
        <v>0</v>
      </c>
      <c r="AK2371">
        <v>0</v>
      </c>
      <c r="AL2371">
        <v>0</v>
      </c>
      <c r="AM2371">
        <v>0</v>
      </c>
      <c r="AN2371">
        <v>0</v>
      </c>
      <c r="AO2371">
        <v>0</v>
      </c>
      <c r="AP2371">
        <v>0</v>
      </c>
      <c r="AQ2371">
        <v>21.38</v>
      </c>
      <c r="AR2371">
        <v>0</v>
      </c>
      <c r="AS2371">
        <v>0</v>
      </c>
      <c r="AT2371">
        <v>0</v>
      </c>
      <c r="AU2371">
        <v>0</v>
      </c>
      <c r="AV2371">
        <v>0</v>
      </c>
      <c r="AW2371">
        <v>0</v>
      </c>
      <c r="AX2371">
        <v>0</v>
      </c>
      <c r="AY2371">
        <v>0</v>
      </c>
      <c r="AZ2371">
        <v>0</v>
      </c>
      <c r="BA2371">
        <v>0</v>
      </c>
      <c r="BB2371">
        <v>0</v>
      </c>
      <c r="BC2371">
        <v>0</v>
      </c>
      <c r="BD2371">
        <v>0</v>
      </c>
      <c r="BE2371">
        <v>0</v>
      </c>
      <c r="BF2371">
        <v>0</v>
      </c>
      <c r="BG2371">
        <v>0</v>
      </c>
      <c r="BH2371">
        <v>1</v>
      </c>
      <c r="BI2371">
        <v>1</v>
      </c>
      <c r="BJ2371">
        <v>1.7</v>
      </c>
      <c r="BK2371">
        <v>2</v>
      </c>
      <c r="BL2371">
        <v>69.98</v>
      </c>
      <c r="BM2371">
        <v>10.5</v>
      </c>
      <c r="BN2371">
        <v>80.48</v>
      </c>
      <c r="BO2371">
        <v>80.48</v>
      </c>
      <c r="BQ2371" t="s">
        <v>2674</v>
      </c>
      <c r="BR2371" t="s">
        <v>84</v>
      </c>
      <c r="BS2371" s="3">
        <v>45798</v>
      </c>
      <c r="BT2371" s="4">
        <v>0.39027777777777778</v>
      </c>
      <c r="BU2371" t="s">
        <v>2675</v>
      </c>
      <c r="BV2371" t="s">
        <v>86</v>
      </c>
      <c r="BY2371">
        <v>8512</v>
      </c>
      <c r="CA2371" t="s">
        <v>135</v>
      </c>
      <c r="CC2371" t="s">
        <v>131</v>
      </c>
      <c r="CD2371">
        <v>7499</v>
      </c>
      <c r="CE2371" t="s">
        <v>116</v>
      </c>
      <c r="CF2371" s="3">
        <v>45799</v>
      </c>
      <c r="CI2371">
        <v>1</v>
      </c>
      <c r="CJ2371">
        <v>1</v>
      </c>
      <c r="CK2371">
        <v>21</v>
      </c>
      <c r="CL2371" t="s">
        <v>89</v>
      </c>
    </row>
    <row r="2372" spans="1:90" x14ac:dyDescent="0.3">
      <c r="A2372" t="s">
        <v>72</v>
      </c>
      <c r="B2372" t="s">
        <v>73</v>
      </c>
      <c r="C2372" t="s">
        <v>74</v>
      </c>
      <c r="E2372" t="str">
        <f>"080065465996"</f>
        <v>080065465996</v>
      </c>
      <c r="F2372" s="3">
        <v>45797</v>
      </c>
      <c r="G2372">
        <v>202602</v>
      </c>
      <c r="H2372" t="s">
        <v>75</v>
      </c>
      <c r="I2372" t="s">
        <v>76</v>
      </c>
      <c r="J2372" t="s">
        <v>77</v>
      </c>
      <c r="K2372" t="s">
        <v>78</v>
      </c>
      <c r="L2372" t="s">
        <v>479</v>
      </c>
      <c r="M2372" t="s">
        <v>480</v>
      </c>
      <c r="N2372" t="s">
        <v>793</v>
      </c>
      <c r="O2372" t="s">
        <v>300</v>
      </c>
      <c r="P2372" t="str">
        <f>"4170039199                    "</f>
        <v xml:space="preserve">4170039199                    </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c r="AJ2372">
        <v>0</v>
      </c>
      <c r="AK2372">
        <v>0</v>
      </c>
      <c r="AL2372">
        <v>0</v>
      </c>
      <c r="AM2372">
        <v>0</v>
      </c>
      <c r="AN2372">
        <v>0</v>
      </c>
      <c r="AO2372">
        <v>0</v>
      </c>
      <c r="AP2372">
        <v>0</v>
      </c>
      <c r="AQ2372">
        <v>36.57</v>
      </c>
      <c r="AR2372">
        <v>0</v>
      </c>
      <c r="AS2372">
        <v>0</v>
      </c>
      <c r="AT2372">
        <v>0</v>
      </c>
      <c r="AU2372">
        <v>0</v>
      </c>
      <c r="AV2372">
        <v>0</v>
      </c>
      <c r="AW2372">
        <v>0</v>
      </c>
      <c r="AX2372">
        <v>0</v>
      </c>
      <c r="AY2372">
        <v>0</v>
      </c>
      <c r="AZ2372">
        <v>0</v>
      </c>
      <c r="BA2372">
        <v>0</v>
      </c>
      <c r="BB2372">
        <v>0</v>
      </c>
      <c r="BC2372">
        <v>0</v>
      </c>
      <c r="BD2372">
        <v>0</v>
      </c>
      <c r="BE2372">
        <v>0</v>
      </c>
      <c r="BF2372">
        <v>0</v>
      </c>
      <c r="BG2372">
        <v>0</v>
      </c>
      <c r="BH2372">
        <v>2</v>
      </c>
      <c r="BI2372">
        <v>20</v>
      </c>
      <c r="BJ2372">
        <v>8.8000000000000007</v>
      </c>
      <c r="BK2372">
        <v>20</v>
      </c>
      <c r="BL2372">
        <v>125.26</v>
      </c>
      <c r="BM2372">
        <v>18.79</v>
      </c>
      <c r="BN2372">
        <v>144.05000000000001</v>
      </c>
      <c r="BO2372">
        <v>144.05000000000001</v>
      </c>
      <c r="BQ2372" t="s">
        <v>794</v>
      </c>
      <c r="BR2372" t="s">
        <v>84</v>
      </c>
      <c r="BS2372" s="3">
        <v>45798</v>
      </c>
      <c r="BT2372" s="4">
        <v>0.44027777777777777</v>
      </c>
      <c r="BU2372" t="s">
        <v>1884</v>
      </c>
      <c r="BV2372" t="s">
        <v>86</v>
      </c>
      <c r="BY2372">
        <v>22000</v>
      </c>
      <c r="CA2372" t="s">
        <v>1443</v>
      </c>
      <c r="CC2372" t="s">
        <v>480</v>
      </c>
      <c r="CD2372">
        <v>2163</v>
      </c>
      <c r="CE2372" t="s">
        <v>1799</v>
      </c>
      <c r="CF2372" s="3">
        <v>45799</v>
      </c>
      <c r="CI2372">
        <v>1</v>
      </c>
      <c r="CJ2372">
        <v>1</v>
      </c>
      <c r="CK2372">
        <v>42</v>
      </c>
      <c r="CL2372" t="s">
        <v>89</v>
      </c>
    </row>
    <row r="2373" spans="1:90" x14ac:dyDescent="0.3">
      <c r="A2373" t="s">
        <v>72</v>
      </c>
      <c r="B2373" t="s">
        <v>73</v>
      </c>
      <c r="C2373" t="s">
        <v>74</v>
      </c>
      <c r="E2373" t="str">
        <f>"080065466326"</f>
        <v>080065466326</v>
      </c>
      <c r="F2373" s="3">
        <v>45797</v>
      </c>
      <c r="G2373">
        <v>202602</v>
      </c>
      <c r="H2373" t="s">
        <v>75</v>
      </c>
      <c r="I2373" t="s">
        <v>76</v>
      </c>
      <c r="J2373" t="s">
        <v>77</v>
      </c>
      <c r="K2373" t="s">
        <v>78</v>
      </c>
      <c r="L2373" t="s">
        <v>75</v>
      </c>
      <c r="M2373" t="s">
        <v>76</v>
      </c>
      <c r="N2373" t="s">
        <v>183</v>
      </c>
      <c r="O2373" t="s">
        <v>82</v>
      </c>
      <c r="P2373" t="str">
        <f>"4170039294                    "</f>
        <v xml:space="preserve">4170039294                    </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c r="AJ2373">
        <v>0</v>
      </c>
      <c r="AK2373">
        <v>0</v>
      </c>
      <c r="AL2373">
        <v>0</v>
      </c>
      <c r="AM2373">
        <v>0</v>
      </c>
      <c r="AN2373">
        <v>0</v>
      </c>
      <c r="AO2373">
        <v>0</v>
      </c>
      <c r="AP2373">
        <v>0</v>
      </c>
      <c r="AQ2373">
        <v>16.7</v>
      </c>
      <c r="AR2373">
        <v>0</v>
      </c>
      <c r="AS2373">
        <v>0</v>
      </c>
      <c r="AT2373">
        <v>0</v>
      </c>
      <c r="AU2373">
        <v>0</v>
      </c>
      <c r="AV2373">
        <v>0</v>
      </c>
      <c r="AW2373">
        <v>0</v>
      </c>
      <c r="AX2373">
        <v>0</v>
      </c>
      <c r="AY2373">
        <v>0</v>
      </c>
      <c r="AZ2373">
        <v>0</v>
      </c>
      <c r="BA2373">
        <v>0</v>
      </c>
      <c r="BB2373">
        <v>0</v>
      </c>
      <c r="BC2373">
        <v>0</v>
      </c>
      <c r="BD2373">
        <v>0</v>
      </c>
      <c r="BE2373">
        <v>0</v>
      </c>
      <c r="BF2373">
        <v>0</v>
      </c>
      <c r="BG2373">
        <v>0</v>
      </c>
      <c r="BH2373">
        <v>1</v>
      </c>
      <c r="BI2373">
        <v>1</v>
      </c>
      <c r="BJ2373">
        <v>0.2</v>
      </c>
      <c r="BK2373">
        <v>1</v>
      </c>
      <c r="BL2373">
        <v>54.66</v>
      </c>
      <c r="BM2373">
        <v>8.1999999999999993</v>
      </c>
      <c r="BN2373">
        <v>62.86</v>
      </c>
      <c r="BO2373">
        <v>62.86</v>
      </c>
      <c r="BQ2373" t="s">
        <v>184</v>
      </c>
      <c r="BR2373" t="s">
        <v>84</v>
      </c>
      <c r="BS2373" s="3">
        <v>45798</v>
      </c>
      <c r="BT2373" s="4">
        <v>0.29166666666666669</v>
      </c>
      <c r="BU2373" t="s">
        <v>185</v>
      </c>
      <c r="BV2373" t="s">
        <v>86</v>
      </c>
      <c r="BY2373">
        <v>1200</v>
      </c>
      <c r="CA2373" t="s">
        <v>115</v>
      </c>
      <c r="CC2373" t="s">
        <v>76</v>
      </c>
      <c r="CD2373">
        <v>1600</v>
      </c>
      <c r="CE2373" t="s">
        <v>88</v>
      </c>
      <c r="CF2373" s="3">
        <v>45798</v>
      </c>
      <c r="CI2373">
        <v>1</v>
      </c>
      <c r="CJ2373">
        <v>1</v>
      </c>
      <c r="CK2373">
        <v>22</v>
      </c>
      <c r="CL2373" t="s">
        <v>89</v>
      </c>
    </row>
    <row r="2374" spans="1:90" x14ac:dyDescent="0.3">
      <c r="A2374" t="s">
        <v>72</v>
      </c>
      <c r="B2374" t="s">
        <v>73</v>
      </c>
      <c r="C2374" t="s">
        <v>74</v>
      </c>
      <c r="E2374" t="str">
        <f>"080065466491"</f>
        <v>080065466491</v>
      </c>
      <c r="F2374" s="3">
        <v>45797</v>
      </c>
      <c r="G2374">
        <v>202602</v>
      </c>
      <c r="H2374" t="s">
        <v>75</v>
      </c>
      <c r="I2374" t="s">
        <v>76</v>
      </c>
      <c r="J2374" t="s">
        <v>77</v>
      </c>
      <c r="K2374" t="s">
        <v>78</v>
      </c>
      <c r="L2374" t="s">
        <v>374</v>
      </c>
      <c r="M2374" t="s">
        <v>375</v>
      </c>
      <c r="N2374" t="s">
        <v>376</v>
      </c>
      <c r="O2374" t="s">
        <v>82</v>
      </c>
      <c r="P2374" t="str">
        <f>"4170039413                    "</f>
        <v xml:space="preserve">4170039413                    </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c r="AJ2374">
        <v>0</v>
      </c>
      <c r="AK2374">
        <v>0</v>
      </c>
      <c r="AL2374">
        <v>0</v>
      </c>
      <c r="AM2374">
        <v>0</v>
      </c>
      <c r="AN2374">
        <v>0</v>
      </c>
      <c r="AO2374">
        <v>0</v>
      </c>
      <c r="AP2374">
        <v>0</v>
      </c>
      <c r="AQ2374">
        <v>41.43</v>
      </c>
      <c r="AR2374">
        <v>0</v>
      </c>
      <c r="AS2374">
        <v>0</v>
      </c>
      <c r="AT2374">
        <v>0</v>
      </c>
      <c r="AU2374">
        <v>0</v>
      </c>
      <c r="AV2374">
        <v>0</v>
      </c>
      <c r="AW2374">
        <v>0</v>
      </c>
      <c r="AX2374">
        <v>0</v>
      </c>
      <c r="AY2374">
        <v>0</v>
      </c>
      <c r="AZ2374">
        <v>0</v>
      </c>
      <c r="BA2374">
        <v>0</v>
      </c>
      <c r="BB2374">
        <v>0</v>
      </c>
      <c r="BC2374">
        <v>0</v>
      </c>
      <c r="BD2374">
        <v>0</v>
      </c>
      <c r="BE2374">
        <v>0</v>
      </c>
      <c r="BF2374">
        <v>0</v>
      </c>
      <c r="BG2374">
        <v>0</v>
      </c>
      <c r="BH2374">
        <v>1</v>
      </c>
      <c r="BI2374">
        <v>1</v>
      </c>
      <c r="BJ2374">
        <v>1.4</v>
      </c>
      <c r="BK2374">
        <v>1.5</v>
      </c>
      <c r="BL2374">
        <v>135.59</v>
      </c>
      <c r="BM2374">
        <v>20.34</v>
      </c>
      <c r="BN2374">
        <v>155.93</v>
      </c>
      <c r="BO2374">
        <v>155.93</v>
      </c>
      <c r="BQ2374" t="s">
        <v>377</v>
      </c>
      <c r="BR2374" t="s">
        <v>84</v>
      </c>
      <c r="BS2374" s="3">
        <v>45798</v>
      </c>
      <c r="BT2374" s="4">
        <v>0.4236111111111111</v>
      </c>
      <c r="BU2374" t="s">
        <v>378</v>
      </c>
      <c r="BV2374" t="s">
        <v>86</v>
      </c>
      <c r="BY2374">
        <v>7168</v>
      </c>
      <c r="CA2374" t="s">
        <v>379</v>
      </c>
      <c r="CC2374" t="s">
        <v>375</v>
      </c>
      <c r="CD2374">
        <v>7130</v>
      </c>
      <c r="CE2374" t="s">
        <v>221</v>
      </c>
      <c r="CF2374" s="3">
        <v>45799</v>
      </c>
      <c r="CI2374">
        <v>1</v>
      </c>
      <c r="CJ2374">
        <v>1</v>
      </c>
      <c r="CK2374">
        <v>23</v>
      </c>
      <c r="CL2374" t="s">
        <v>89</v>
      </c>
    </row>
    <row r="2375" spans="1:90" x14ac:dyDescent="0.3">
      <c r="A2375" t="s">
        <v>72</v>
      </c>
      <c r="B2375" t="s">
        <v>73</v>
      </c>
      <c r="C2375" t="s">
        <v>74</v>
      </c>
      <c r="E2375" t="str">
        <f>"080065466515"</f>
        <v>080065466515</v>
      </c>
      <c r="F2375" s="3">
        <v>45797</v>
      </c>
      <c r="G2375">
        <v>202602</v>
      </c>
      <c r="H2375" t="s">
        <v>75</v>
      </c>
      <c r="I2375" t="s">
        <v>76</v>
      </c>
      <c r="J2375" t="s">
        <v>77</v>
      </c>
      <c r="K2375" t="s">
        <v>78</v>
      </c>
      <c r="L2375" t="s">
        <v>90</v>
      </c>
      <c r="M2375" t="s">
        <v>91</v>
      </c>
      <c r="N2375" t="s">
        <v>1586</v>
      </c>
      <c r="O2375" t="s">
        <v>82</v>
      </c>
      <c r="P2375" t="str">
        <f>"4170039505                    "</f>
        <v xml:space="preserve">4170039505                    </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c r="AJ2375">
        <v>0</v>
      </c>
      <c r="AK2375">
        <v>0</v>
      </c>
      <c r="AL2375">
        <v>0</v>
      </c>
      <c r="AM2375">
        <v>0</v>
      </c>
      <c r="AN2375">
        <v>0</v>
      </c>
      <c r="AO2375">
        <v>0</v>
      </c>
      <c r="AP2375">
        <v>0</v>
      </c>
      <c r="AQ2375">
        <v>21.38</v>
      </c>
      <c r="AR2375">
        <v>0</v>
      </c>
      <c r="AS2375">
        <v>0</v>
      </c>
      <c r="AT2375">
        <v>0</v>
      </c>
      <c r="AU2375">
        <v>0</v>
      </c>
      <c r="AV2375">
        <v>0</v>
      </c>
      <c r="AW2375">
        <v>0</v>
      </c>
      <c r="AX2375">
        <v>0</v>
      </c>
      <c r="AY2375">
        <v>0</v>
      </c>
      <c r="AZ2375">
        <v>0</v>
      </c>
      <c r="BA2375">
        <v>0</v>
      </c>
      <c r="BB2375">
        <v>0</v>
      </c>
      <c r="BC2375">
        <v>0</v>
      </c>
      <c r="BD2375">
        <v>0</v>
      </c>
      <c r="BE2375">
        <v>0</v>
      </c>
      <c r="BF2375">
        <v>0</v>
      </c>
      <c r="BG2375">
        <v>0</v>
      </c>
      <c r="BH2375">
        <v>1</v>
      </c>
      <c r="BI2375">
        <v>1</v>
      </c>
      <c r="BJ2375">
        <v>0.2</v>
      </c>
      <c r="BK2375">
        <v>1</v>
      </c>
      <c r="BL2375">
        <v>69.98</v>
      </c>
      <c r="BM2375">
        <v>10.5</v>
      </c>
      <c r="BN2375">
        <v>80.48</v>
      </c>
      <c r="BO2375">
        <v>80.48</v>
      </c>
      <c r="BQ2375" t="s">
        <v>1587</v>
      </c>
      <c r="BR2375" t="s">
        <v>84</v>
      </c>
      <c r="BS2375" s="3">
        <v>45798</v>
      </c>
      <c r="BT2375" s="4">
        <v>0.3576388888888889</v>
      </c>
      <c r="BU2375" t="s">
        <v>1528</v>
      </c>
      <c r="BV2375" t="s">
        <v>86</v>
      </c>
      <c r="BY2375">
        <v>1200</v>
      </c>
      <c r="CA2375" t="s">
        <v>298</v>
      </c>
      <c r="CC2375" t="s">
        <v>91</v>
      </c>
      <c r="CD2375">
        <v>6001</v>
      </c>
      <c r="CE2375" t="s">
        <v>88</v>
      </c>
      <c r="CF2375" s="3">
        <v>45798</v>
      </c>
      <c r="CI2375">
        <v>1</v>
      </c>
      <c r="CJ2375">
        <v>1</v>
      </c>
      <c r="CK2375">
        <v>21</v>
      </c>
      <c r="CL2375" t="s">
        <v>89</v>
      </c>
    </row>
    <row r="2376" spans="1:90" x14ac:dyDescent="0.3">
      <c r="A2376" t="s">
        <v>72</v>
      </c>
      <c r="B2376" t="s">
        <v>73</v>
      </c>
      <c r="C2376" t="s">
        <v>74</v>
      </c>
      <c r="E2376" t="str">
        <f>"080065466530"</f>
        <v>080065466530</v>
      </c>
      <c r="F2376" s="3">
        <v>45797</v>
      </c>
      <c r="G2376">
        <v>202602</v>
      </c>
      <c r="H2376" t="s">
        <v>75</v>
      </c>
      <c r="I2376" t="s">
        <v>76</v>
      </c>
      <c r="J2376" t="s">
        <v>77</v>
      </c>
      <c r="K2376" t="s">
        <v>78</v>
      </c>
      <c r="L2376" t="s">
        <v>463</v>
      </c>
      <c r="M2376" t="s">
        <v>464</v>
      </c>
      <c r="N2376" t="s">
        <v>585</v>
      </c>
      <c r="O2376" t="s">
        <v>82</v>
      </c>
      <c r="P2376" t="str">
        <f>"4170039528                    "</f>
        <v xml:space="preserve">4170039528                    </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0</v>
      </c>
      <c r="AK2376">
        <v>0</v>
      </c>
      <c r="AL2376">
        <v>0</v>
      </c>
      <c r="AM2376">
        <v>0</v>
      </c>
      <c r="AN2376">
        <v>0</v>
      </c>
      <c r="AO2376">
        <v>0</v>
      </c>
      <c r="AP2376">
        <v>0</v>
      </c>
      <c r="AQ2376">
        <v>32.07</v>
      </c>
      <c r="AR2376">
        <v>0</v>
      </c>
      <c r="AS2376">
        <v>0</v>
      </c>
      <c r="AT2376">
        <v>0</v>
      </c>
      <c r="AU2376">
        <v>0</v>
      </c>
      <c r="AV2376">
        <v>0</v>
      </c>
      <c r="AW2376">
        <v>0</v>
      </c>
      <c r="AX2376">
        <v>0</v>
      </c>
      <c r="AY2376">
        <v>0</v>
      </c>
      <c r="AZ2376">
        <v>0</v>
      </c>
      <c r="BA2376">
        <v>0</v>
      </c>
      <c r="BB2376">
        <v>0</v>
      </c>
      <c r="BC2376">
        <v>0</v>
      </c>
      <c r="BD2376">
        <v>0</v>
      </c>
      <c r="BE2376">
        <v>0</v>
      </c>
      <c r="BF2376">
        <v>0</v>
      </c>
      <c r="BG2376">
        <v>0</v>
      </c>
      <c r="BH2376">
        <v>1</v>
      </c>
      <c r="BI2376">
        <v>3</v>
      </c>
      <c r="BJ2376">
        <v>1.7</v>
      </c>
      <c r="BK2376">
        <v>3</v>
      </c>
      <c r="BL2376">
        <v>104.95</v>
      </c>
      <c r="BM2376">
        <v>15.74</v>
      </c>
      <c r="BN2376">
        <v>120.69</v>
      </c>
      <c r="BO2376">
        <v>120.69</v>
      </c>
      <c r="BQ2376" t="s">
        <v>586</v>
      </c>
      <c r="BR2376" t="s">
        <v>84</v>
      </c>
      <c r="BS2376" s="3">
        <v>45798</v>
      </c>
      <c r="BT2376" s="4">
        <v>0.48888888888888887</v>
      </c>
      <c r="BU2376" t="s">
        <v>587</v>
      </c>
      <c r="BV2376" t="s">
        <v>89</v>
      </c>
      <c r="BY2376">
        <v>8512</v>
      </c>
      <c r="CA2376" t="s">
        <v>588</v>
      </c>
      <c r="CC2376" t="s">
        <v>464</v>
      </c>
      <c r="CD2376">
        <v>5201</v>
      </c>
      <c r="CE2376" t="s">
        <v>116</v>
      </c>
      <c r="CF2376" s="3">
        <v>45798</v>
      </c>
      <c r="CI2376">
        <v>1</v>
      </c>
      <c r="CJ2376">
        <v>1</v>
      </c>
      <c r="CK2376">
        <v>21</v>
      </c>
      <c r="CL2376" t="s">
        <v>89</v>
      </c>
    </row>
    <row r="2377" spans="1:90" x14ac:dyDescent="0.3">
      <c r="A2377" t="s">
        <v>72</v>
      </c>
      <c r="B2377" t="s">
        <v>73</v>
      </c>
      <c r="C2377" t="s">
        <v>74</v>
      </c>
      <c r="E2377" t="str">
        <f>"080065466568"</f>
        <v>080065466568</v>
      </c>
      <c r="F2377" s="3">
        <v>45797</v>
      </c>
      <c r="G2377">
        <v>202602</v>
      </c>
      <c r="H2377" t="s">
        <v>75</v>
      </c>
      <c r="I2377" t="s">
        <v>76</v>
      </c>
      <c r="J2377" t="s">
        <v>77</v>
      </c>
      <c r="K2377" t="s">
        <v>78</v>
      </c>
      <c r="L2377" t="s">
        <v>97</v>
      </c>
      <c r="M2377" t="s">
        <v>98</v>
      </c>
      <c r="N2377" t="s">
        <v>934</v>
      </c>
      <c r="O2377" t="s">
        <v>82</v>
      </c>
      <c r="P2377" t="str">
        <f>"4170039374                    "</f>
        <v xml:space="preserve">4170039374                    </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c r="AJ2377">
        <v>0</v>
      </c>
      <c r="AK2377">
        <v>0</v>
      </c>
      <c r="AL2377">
        <v>0</v>
      </c>
      <c r="AM2377">
        <v>0</v>
      </c>
      <c r="AN2377">
        <v>0</v>
      </c>
      <c r="AO2377">
        <v>0</v>
      </c>
      <c r="AP2377">
        <v>0</v>
      </c>
      <c r="AQ2377">
        <v>16.7</v>
      </c>
      <c r="AR2377">
        <v>0</v>
      </c>
      <c r="AS2377">
        <v>0</v>
      </c>
      <c r="AT2377">
        <v>0</v>
      </c>
      <c r="AU2377">
        <v>0</v>
      </c>
      <c r="AV2377">
        <v>0</v>
      </c>
      <c r="AW2377">
        <v>0</v>
      </c>
      <c r="AX2377">
        <v>0</v>
      </c>
      <c r="AY2377">
        <v>0</v>
      </c>
      <c r="AZ2377">
        <v>0</v>
      </c>
      <c r="BA2377">
        <v>0</v>
      </c>
      <c r="BB2377">
        <v>0</v>
      </c>
      <c r="BC2377">
        <v>0</v>
      </c>
      <c r="BD2377">
        <v>0</v>
      </c>
      <c r="BE2377">
        <v>0</v>
      </c>
      <c r="BF2377">
        <v>0</v>
      </c>
      <c r="BG2377">
        <v>0</v>
      </c>
      <c r="BH2377">
        <v>1</v>
      </c>
      <c r="BI2377">
        <v>4</v>
      </c>
      <c r="BJ2377">
        <v>1.7</v>
      </c>
      <c r="BK2377">
        <v>4</v>
      </c>
      <c r="BL2377">
        <v>54.66</v>
      </c>
      <c r="BM2377">
        <v>8.1999999999999993</v>
      </c>
      <c r="BN2377">
        <v>62.86</v>
      </c>
      <c r="BO2377">
        <v>62.86</v>
      </c>
      <c r="BQ2377" t="s">
        <v>935</v>
      </c>
      <c r="BR2377" t="s">
        <v>84</v>
      </c>
      <c r="BS2377" s="3">
        <v>45798</v>
      </c>
      <c r="BT2377" s="4">
        <v>0.41319444444444442</v>
      </c>
      <c r="BU2377" t="s">
        <v>2676</v>
      </c>
      <c r="BV2377" t="s">
        <v>86</v>
      </c>
      <c r="BY2377">
        <v>8512</v>
      </c>
      <c r="CA2377" t="s">
        <v>175</v>
      </c>
      <c r="CC2377" t="s">
        <v>98</v>
      </c>
      <c r="CD2377">
        <v>1459</v>
      </c>
      <c r="CE2377" t="s">
        <v>116</v>
      </c>
      <c r="CF2377" s="3">
        <v>45798</v>
      </c>
      <c r="CI2377">
        <v>1</v>
      </c>
      <c r="CJ2377">
        <v>1</v>
      </c>
      <c r="CK2377">
        <v>22</v>
      </c>
      <c r="CL2377" t="s">
        <v>89</v>
      </c>
    </row>
    <row r="2378" spans="1:90" x14ac:dyDescent="0.3">
      <c r="A2378" t="s">
        <v>72</v>
      </c>
      <c r="B2378" t="s">
        <v>73</v>
      </c>
      <c r="C2378" t="s">
        <v>74</v>
      </c>
      <c r="E2378" t="str">
        <f>"080065466606"</f>
        <v>080065466606</v>
      </c>
      <c r="F2378" s="3">
        <v>45797</v>
      </c>
      <c r="G2378">
        <v>202602</v>
      </c>
      <c r="H2378" t="s">
        <v>75</v>
      </c>
      <c r="I2378" t="s">
        <v>76</v>
      </c>
      <c r="J2378" t="s">
        <v>77</v>
      </c>
      <c r="K2378" t="s">
        <v>78</v>
      </c>
      <c r="L2378" t="s">
        <v>123</v>
      </c>
      <c r="M2378" t="s">
        <v>123</v>
      </c>
      <c r="N2378" t="s">
        <v>317</v>
      </c>
      <c r="O2378" t="s">
        <v>82</v>
      </c>
      <c r="P2378" t="str">
        <f>"4170039264                    "</f>
        <v xml:space="preserve">4170039264                    </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c r="AJ2378">
        <v>0</v>
      </c>
      <c r="AK2378">
        <v>0</v>
      </c>
      <c r="AL2378">
        <v>0</v>
      </c>
      <c r="AM2378">
        <v>0</v>
      </c>
      <c r="AN2378">
        <v>0</v>
      </c>
      <c r="AO2378">
        <v>0</v>
      </c>
      <c r="AP2378">
        <v>0</v>
      </c>
      <c r="AQ2378">
        <v>41.43</v>
      </c>
      <c r="AR2378">
        <v>0</v>
      </c>
      <c r="AS2378">
        <v>0</v>
      </c>
      <c r="AT2378">
        <v>0</v>
      </c>
      <c r="AU2378">
        <v>0</v>
      </c>
      <c r="AV2378">
        <v>0</v>
      </c>
      <c r="AW2378">
        <v>0</v>
      </c>
      <c r="AX2378">
        <v>0</v>
      </c>
      <c r="AY2378">
        <v>0</v>
      </c>
      <c r="AZ2378">
        <v>0</v>
      </c>
      <c r="BA2378">
        <v>0</v>
      </c>
      <c r="BB2378">
        <v>0</v>
      </c>
      <c r="BC2378">
        <v>0</v>
      </c>
      <c r="BD2378">
        <v>0</v>
      </c>
      <c r="BE2378">
        <v>0</v>
      </c>
      <c r="BF2378">
        <v>0</v>
      </c>
      <c r="BG2378">
        <v>0</v>
      </c>
      <c r="BH2378">
        <v>1</v>
      </c>
      <c r="BI2378">
        <v>1</v>
      </c>
      <c r="BJ2378">
        <v>1.4</v>
      </c>
      <c r="BK2378">
        <v>1.5</v>
      </c>
      <c r="BL2378">
        <v>135.59</v>
      </c>
      <c r="BM2378">
        <v>20.34</v>
      </c>
      <c r="BN2378">
        <v>155.93</v>
      </c>
      <c r="BO2378">
        <v>155.93</v>
      </c>
      <c r="BQ2378" t="s">
        <v>318</v>
      </c>
      <c r="BR2378" t="s">
        <v>84</v>
      </c>
      <c r="BS2378" s="3">
        <v>45798</v>
      </c>
      <c r="BT2378" s="4">
        <v>0.49027777777777776</v>
      </c>
      <c r="BU2378" t="s">
        <v>329</v>
      </c>
      <c r="BV2378" t="s">
        <v>86</v>
      </c>
      <c r="BY2378">
        <v>7000</v>
      </c>
      <c r="CA2378" t="s">
        <v>128</v>
      </c>
      <c r="CC2378" t="s">
        <v>123</v>
      </c>
      <c r="CD2378">
        <v>7646</v>
      </c>
      <c r="CE2378" t="s">
        <v>116</v>
      </c>
      <c r="CF2378" s="3">
        <v>45799</v>
      </c>
      <c r="CI2378">
        <v>1</v>
      </c>
      <c r="CJ2378">
        <v>1</v>
      </c>
      <c r="CK2378">
        <v>23</v>
      </c>
      <c r="CL2378" t="s">
        <v>89</v>
      </c>
    </row>
    <row r="2379" spans="1:90" x14ac:dyDescent="0.3">
      <c r="A2379" t="s">
        <v>72</v>
      </c>
      <c r="B2379" t="s">
        <v>73</v>
      </c>
      <c r="C2379" t="s">
        <v>74</v>
      </c>
      <c r="E2379" t="str">
        <f>"080065466829"</f>
        <v>080065466829</v>
      </c>
      <c r="F2379" s="3">
        <v>45797</v>
      </c>
      <c r="G2379">
        <v>202602</v>
      </c>
      <c r="H2379" t="s">
        <v>75</v>
      </c>
      <c r="I2379" t="s">
        <v>76</v>
      </c>
      <c r="J2379" t="s">
        <v>77</v>
      </c>
      <c r="K2379" t="s">
        <v>78</v>
      </c>
      <c r="L2379" t="s">
        <v>844</v>
      </c>
      <c r="M2379" t="s">
        <v>845</v>
      </c>
      <c r="N2379" t="s">
        <v>1807</v>
      </c>
      <c r="O2379" t="s">
        <v>82</v>
      </c>
      <c r="P2379" t="str">
        <f>"4170039379                    "</f>
        <v xml:space="preserve">4170039379                    </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c r="AJ2379">
        <v>0</v>
      </c>
      <c r="AK2379">
        <v>0</v>
      </c>
      <c r="AL2379">
        <v>0</v>
      </c>
      <c r="AM2379">
        <v>0</v>
      </c>
      <c r="AN2379">
        <v>0</v>
      </c>
      <c r="AO2379">
        <v>0</v>
      </c>
      <c r="AP2379">
        <v>0</v>
      </c>
      <c r="AQ2379">
        <v>21.38</v>
      </c>
      <c r="AR2379">
        <v>0</v>
      </c>
      <c r="AS2379">
        <v>0</v>
      </c>
      <c r="AT2379">
        <v>0</v>
      </c>
      <c r="AU2379">
        <v>0</v>
      </c>
      <c r="AV2379">
        <v>0</v>
      </c>
      <c r="AW2379">
        <v>0</v>
      </c>
      <c r="AX2379">
        <v>0</v>
      </c>
      <c r="AY2379">
        <v>0</v>
      </c>
      <c r="AZ2379">
        <v>0</v>
      </c>
      <c r="BA2379">
        <v>0</v>
      </c>
      <c r="BB2379">
        <v>0</v>
      </c>
      <c r="BC2379">
        <v>0</v>
      </c>
      <c r="BD2379">
        <v>0</v>
      </c>
      <c r="BE2379">
        <v>0</v>
      </c>
      <c r="BF2379">
        <v>0</v>
      </c>
      <c r="BG2379">
        <v>0</v>
      </c>
      <c r="BH2379">
        <v>1</v>
      </c>
      <c r="BI2379">
        <v>1</v>
      </c>
      <c r="BJ2379">
        <v>0.2</v>
      </c>
      <c r="BK2379">
        <v>1</v>
      </c>
      <c r="BL2379">
        <v>69.98</v>
      </c>
      <c r="BM2379">
        <v>10.5</v>
      </c>
      <c r="BN2379">
        <v>80.48</v>
      </c>
      <c r="BO2379">
        <v>80.48</v>
      </c>
      <c r="BQ2379" t="s">
        <v>1808</v>
      </c>
      <c r="BR2379" t="s">
        <v>84</v>
      </c>
      <c r="BS2379" s="3">
        <v>45798</v>
      </c>
      <c r="BT2379" s="4">
        <v>0.63541666666666663</v>
      </c>
      <c r="BU2379" t="s">
        <v>2677</v>
      </c>
      <c r="BV2379" t="s">
        <v>89</v>
      </c>
      <c r="BW2379" t="s">
        <v>340</v>
      </c>
      <c r="BX2379" t="s">
        <v>578</v>
      </c>
      <c r="BY2379">
        <v>1200</v>
      </c>
      <c r="CA2379" t="s">
        <v>849</v>
      </c>
      <c r="CC2379" t="s">
        <v>845</v>
      </c>
      <c r="CD2379">
        <v>7600</v>
      </c>
      <c r="CE2379" t="s">
        <v>88</v>
      </c>
      <c r="CF2379" s="3">
        <v>45799</v>
      </c>
      <c r="CI2379">
        <v>1</v>
      </c>
      <c r="CJ2379">
        <v>1</v>
      </c>
      <c r="CK2379">
        <v>21</v>
      </c>
      <c r="CL2379" t="s">
        <v>89</v>
      </c>
    </row>
    <row r="2380" spans="1:90" x14ac:dyDescent="0.3">
      <c r="A2380" t="s">
        <v>72</v>
      </c>
      <c r="B2380" t="s">
        <v>73</v>
      </c>
      <c r="C2380" t="s">
        <v>74</v>
      </c>
      <c r="E2380" t="str">
        <f>"080065466830"</f>
        <v>080065466830</v>
      </c>
      <c r="F2380" s="3">
        <v>45797</v>
      </c>
      <c r="G2380">
        <v>202602</v>
      </c>
      <c r="H2380" t="s">
        <v>75</v>
      </c>
      <c r="I2380" t="s">
        <v>76</v>
      </c>
      <c r="J2380" t="s">
        <v>77</v>
      </c>
      <c r="K2380" t="s">
        <v>78</v>
      </c>
      <c r="L2380" t="s">
        <v>266</v>
      </c>
      <c r="M2380" t="s">
        <v>267</v>
      </c>
      <c r="N2380" t="s">
        <v>663</v>
      </c>
      <c r="O2380" t="s">
        <v>82</v>
      </c>
      <c r="P2380" t="str">
        <f>"4170039159                    "</f>
        <v xml:space="preserve">4170039159                    </v>
      </c>
      <c r="Q2380">
        <v>0</v>
      </c>
      <c r="R2380">
        <v>0</v>
      </c>
      <c r="S2380">
        <v>0</v>
      </c>
      <c r="T2380">
        <v>0</v>
      </c>
      <c r="U2380">
        <v>0</v>
      </c>
      <c r="V2380">
        <v>0</v>
      </c>
      <c r="W2380">
        <v>0</v>
      </c>
      <c r="X2380">
        <v>0</v>
      </c>
      <c r="Y2380">
        <v>0</v>
      </c>
      <c r="Z2380">
        <v>0</v>
      </c>
      <c r="AA2380">
        <v>0</v>
      </c>
      <c r="AB2380">
        <v>0</v>
      </c>
      <c r="AC2380">
        <v>0</v>
      </c>
      <c r="AD2380">
        <v>0</v>
      </c>
      <c r="AE2380">
        <v>0</v>
      </c>
      <c r="AF2380">
        <v>0</v>
      </c>
      <c r="AG2380">
        <v>0</v>
      </c>
      <c r="AH2380">
        <v>0</v>
      </c>
      <c r="AI2380">
        <v>0</v>
      </c>
      <c r="AJ2380">
        <v>0</v>
      </c>
      <c r="AK2380">
        <v>0</v>
      </c>
      <c r="AL2380">
        <v>0</v>
      </c>
      <c r="AM2380">
        <v>0</v>
      </c>
      <c r="AN2380">
        <v>0</v>
      </c>
      <c r="AO2380">
        <v>0</v>
      </c>
      <c r="AP2380">
        <v>0</v>
      </c>
      <c r="AQ2380">
        <v>69.459999999999994</v>
      </c>
      <c r="AR2380">
        <v>0</v>
      </c>
      <c r="AS2380">
        <v>0</v>
      </c>
      <c r="AT2380">
        <v>0</v>
      </c>
      <c r="AU2380">
        <v>0</v>
      </c>
      <c r="AV2380">
        <v>0</v>
      </c>
      <c r="AW2380">
        <v>0</v>
      </c>
      <c r="AX2380">
        <v>0</v>
      </c>
      <c r="AY2380">
        <v>0</v>
      </c>
      <c r="AZ2380">
        <v>0</v>
      </c>
      <c r="BA2380">
        <v>0</v>
      </c>
      <c r="BB2380">
        <v>0</v>
      </c>
      <c r="BC2380">
        <v>0</v>
      </c>
      <c r="BD2380">
        <v>0</v>
      </c>
      <c r="BE2380">
        <v>0</v>
      </c>
      <c r="BF2380">
        <v>0</v>
      </c>
      <c r="BG2380">
        <v>0</v>
      </c>
      <c r="BH2380">
        <v>1</v>
      </c>
      <c r="BI2380">
        <v>5</v>
      </c>
      <c r="BJ2380">
        <v>6.5</v>
      </c>
      <c r="BK2380">
        <v>6.5</v>
      </c>
      <c r="BL2380">
        <v>227.32</v>
      </c>
      <c r="BM2380">
        <v>34.1</v>
      </c>
      <c r="BN2380">
        <v>261.42</v>
      </c>
      <c r="BO2380">
        <v>261.42</v>
      </c>
      <c r="BQ2380" t="s">
        <v>664</v>
      </c>
      <c r="BR2380" t="s">
        <v>84</v>
      </c>
      <c r="BS2380" s="3">
        <v>45798</v>
      </c>
      <c r="BT2380" s="4">
        <v>0.43680555555555556</v>
      </c>
      <c r="BU2380" t="s">
        <v>1765</v>
      </c>
      <c r="BV2380" t="s">
        <v>86</v>
      </c>
      <c r="BY2380">
        <v>32256</v>
      </c>
      <c r="CA2380" t="s">
        <v>271</v>
      </c>
      <c r="CC2380" t="s">
        <v>267</v>
      </c>
      <c r="CD2380">
        <v>6220</v>
      </c>
      <c r="CE2380" t="s">
        <v>221</v>
      </c>
      <c r="CF2380" s="3">
        <v>45798</v>
      </c>
      <c r="CI2380">
        <v>1</v>
      </c>
      <c r="CJ2380">
        <v>1</v>
      </c>
      <c r="CK2380">
        <v>21</v>
      </c>
      <c r="CL2380" t="s">
        <v>89</v>
      </c>
    </row>
    <row r="2381" spans="1:90" x14ac:dyDescent="0.3">
      <c r="A2381" t="s">
        <v>72</v>
      </c>
      <c r="B2381" t="s">
        <v>73</v>
      </c>
      <c r="C2381" t="s">
        <v>74</v>
      </c>
      <c r="E2381" t="str">
        <f>"080065466852"</f>
        <v>080065466852</v>
      </c>
      <c r="F2381" s="3">
        <v>45797</v>
      </c>
      <c r="G2381">
        <v>202602</v>
      </c>
      <c r="H2381" t="s">
        <v>75</v>
      </c>
      <c r="I2381" t="s">
        <v>76</v>
      </c>
      <c r="J2381" t="s">
        <v>77</v>
      </c>
      <c r="K2381" t="s">
        <v>78</v>
      </c>
      <c r="L2381" t="s">
        <v>90</v>
      </c>
      <c r="M2381" t="s">
        <v>91</v>
      </c>
      <c r="N2381" t="s">
        <v>914</v>
      </c>
      <c r="O2381" t="s">
        <v>82</v>
      </c>
      <c r="P2381" t="str">
        <f>"4170039369                    "</f>
        <v xml:space="preserve">4170039369                    </v>
      </c>
      <c r="Q2381">
        <v>0</v>
      </c>
      <c r="R2381">
        <v>0</v>
      </c>
      <c r="S2381">
        <v>0</v>
      </c>
      <c r="T2381">
        <v>0</v>
      </c>
      <c r="U2381">
        <v>0</v>
      </c>
      <c r="V2381">
        <v>0</v>
      </c>
      <c r="W2381">
        <v>0</v>
      </c>
      <c r="X2381">
        <v>0</v>
      </c>
      <c r="Y2381">
        <v>0</v>
      </c>
      <c r="Z2381">
        <v>0</v>
      </c>
      <c r="AA2381">
        <v>0</v>
      </c>
      <c r="AB2381">
        <v>0</v>
      </c>
      <c r="AC2381">
        <v>0</v>
      </c>
      <c r="AD2381">
        <v>0</v>
      </c>
      <c r="AE2381">
        <v>0</v>
      </c>
      <c r="AF2381">
        <v>0</v>
      </c>
      <c r="AG2381">
        <v>0</v>
      </c>
      <c r="AH2381">
        <v>0</v>
      </c>
      <c r="AI2381">
        <v>0</v>
      </c>
      <c r="AJ2381">
        <v>0</v>
      </c>
      <c r="AK2381">
        <v>0</v>
      </c>
      <c r="AL2381">
        <v>0</v>
      </c>
      <c r="AM2381">
        <v>0</v>
      </c>
      <c r="AN2381">
        <v>0</v>
      </c>
      <c r="AO2381">
        <v>0</v>
      </c>
      <c r="AP2381">
        <v>0</v>
      </c>
      <c r="AQ2381">
        <v>21.38</v>
      </c>
      <c r="AR2381">
        <v>0</v>
      </c>
      <c r="AS2381">
        <v>0</v>
      </c>
      <c r="AT2381">
        <v>0</v>
      </c>
      <c r="AU2381">
        <v>0</v>
      </c>
      <c r="AV2381">
        <v>0</v>
      </c>
      <c r="AW2381">
        <v>0</v>
      </c>
      <c r="AX2381">
        <v>0</v>
      </c>
      <c r="AY2381">
        <v>0</v>
      </c>
      <c r="AZ2381">
        <v>0</v>
      </c>
      <c r="BA2381">
        <v>0</v>
      </c>
      <c r="BB2381">
        <v>0</v>
      </c>
      <c r="BC2381">
        <v>0</v>
      </c>
      <c r="BD2381">
        <v>0</v>
      </c>
      <c r="BE2381">
        <v>0</v>
      </c>
      <c r="BF2381">
        <v>0</v>
      </c>
      <c r="BG2381">
        <v>0</v>
      </c>
      <c r="BH2381">
        <v>1</v>
      </c>
      <c r="BI2381">
        <v>1</v>
      </c>
      <c r="BJ2381">
        <v>0.2</v>
      </c>
      <c r="BK2381">
        <v>1</v>
      </c>
      <c r="BL2381">
        <v>69.98</v>
      </c>
      <c r="BM2381">
        <v>10.5</v>
      </c>
      <c r="BN2381">
        <v>80.48</v>
      </c>
      <c r="BO2381">
        <v>80.48</v>
      </c>
      <c r="BQ2381" t="s">
        <v>915</v>
      </c>
      <c r="BR2381" t="s">
        <v>84</v>
      </c>
      <c r="BS2381" s="3">
        <v>45798</v>
      </c>
      <c r="BT2381" s="4">
        <v>0.41458333333333336</v>
      </c>
      <c r="BU2381" t="s">
        <v>1926</v>
      </c>
      <c r="BV2381" t="s">
        <v>86</v>
      </c>
      <c r="BY2381">
        <v>1200</v>
      </c>
      <c r="CA2381" t="s">
        <v>95</v>
      </c>
      <c r="CC2381" t="s">
        <v>91</v>
      </c>
      <c r="CD2381">
        <v>6001</v>
      </c>
      <c r="CE2381" t="s">
        <v>88</v>
      </c>
      <c r="CF2381" s="3">
        <v>45798</v>
      </c>
      <c r="CI2381">
        <v>1</v>
      </c>
      <c r="CJ2381">
        <v>1</v>
      </c>
      <c r="CK2381">
        <v>21</v>
      </c>
      <c r="CL2381" t="s">
        <v>89</v>
      </c>
    </row>
    <row r="2382" spans="1:90" x14ac:dyDescent="0.3">
      <c r="A2382" t="s">
        <v>72</v>
      </c>
      <c r="B2382" t="s">
        <v>73</v>
      </c>
      <c r="C2382" t="s">
        <v>74</v>
      </c>
      <c r="E2382" t="str">
        <f>"080065466854"</f>
        <v>080065466854</v>
      </c>
      <c r="F2382" s="3">
        <v>45797</v>
      </c>
      <c r="G2382">
        <v>202602</v>
      </c>
      <c r="H2382" t="s">
        <v>75</v>
      </c>
      <c r="I2382" t="s">
        <v>76</v>
      </c>
      <c r="J2382" t="s">
        <v>77</v>
      </c>
      <c r="K2382" t="s">
        <v>78</v>
      </c>
      <c r="L2382" t="s">
        <v>130</v>
      </c>
      <c r="M2382" t="s">
        <v>131</v>
      </c>
      <c r="N2382" t="s">
        <v>343</v>
      </c>
      <c r="O2382" t="s">
        <v>82</v>
      </c>
      <c r="P2382" t="str">
        <f>"4170039400                    "</f>
        <v xml:space="preserve">4170039400                    </v>
      </c>
      <c r="Q2382">
        <v>0</v>
      </c>
      <c r="R2382">
        <v>0</v>
      </c>
      <c r="S2382">
        <v>0</v>
      </c>
      <c r="T2382">
        <v>0</v>
      </c>
      <c r="U2382">
        <v>0</v>
      </c>
      <c r="V2382">
        <v>0</v>
      </c>
      <c r="W2382">
        <v>0</v>
      </c>
      <c r="X2382">
        <v>0</v>
      </c>
      <c r="Y2382">
        <v>0</v>
      </c>
      <c r="Z2382">
        <v>0</v>
      </c>
      <c r="AA2382">
        <v>0</v>
      </c>
      <c r="AB2382">
        <v>0</v>
      </c>
      <c r="AC2382">
        <v>0</v>
      </c>
      <c r="AD2382">
        <v>0</v>
      </c>
      <c r="AE2382">
        <v>0</v>
      </c>
      <c r="AF2382">
        <v>0</v>
      </c>
      <c r="AG2382">
        <v>0</v>
      </c>
      <c r="AH2382">
        <v>0</v>
      </c>
      <c r="AI2382">
        <v>0</v>
      </c>
      <c r="AJ2382">
        <v>0</v>
      </c>
      <c r="AK2382">
        <v>0</v>
      </c>
      <c r="AL2382">
        <v>0</v>
      </c>
      <c r="AM2382">
        <v>0</v>
      </c>
      <c r="AN2382">
        <v>0</v>
      </c>
      <c r="AO2382">
        <v>0</v>
      </c>
      <c r="AP2382">
        <v>0</v>
      </c>
      <c r="AQ2382">
        <v>21.38</v>
      </c>
      <c r="AR2382">
        <v>0</v>
      </c>
      <c r="AS2382">
        <v>0</v>
      </c>
      <c r="AT2382">
        <v>0</v>
      </c>
      <c r="AU2382">
        <v>0</v>
      </c>
      <c r="AV2382">
        <v>0</v>
      </c>
      <c r="AW2382">
        <v>0</v>
      </c>
      <c r="AX2382">
        <v>0</v>
      </c>
      <c r="AY2382">
        <v>0</v>
      </c>
      <c r="AZ2382">
        <v>0</v>
      </c>
      <c r="BA2382">
        <v>0</v>
      </c>
      <c r="BB2382">
        <v>0</v>
      </c>
      <c r="BC2382">
        <v>0</v>
      </c>
      <c r="BD2382">
        <v>0</v>
      </c>
      <c r="BE2382">
        <v>0</v>
      </c>
      <c r="BF2382">
        <v>0</v>
      </c>
      <c r="BG2382">
        <v>0</v>
      </c>
      <c r="BH2382">
        <v>1</v>
      </c>
      <c r="BI2382">
        <v>1</v>
      </c>
      <c r="BJ2382">
        <v>1.4</v>
      </c>
      <c r="BK2382">
        <v>1.5</v>
      </c>
      <c r="BL2382">
        <v>69.98</v>
      </c>
      <c r="BM2382">
        <v>10.5</v>
      </c>
      <c r="BN2382">
        <v>80.48</v>
      </c>
      <c r="BO2382">
        <v>80.48</v>
      </c>
      <c r="BQ2382" t="s">
        <v>344</v>
      </c>
      <c r="BR2382" t="s">
        <v>84</v>
      </c>
      <c r="BS2382" s="3">
        <v>45798</v>
      </c>
      <c r="BT2382" s="4">
        <v>0.4375</v>
      </c>
      <c r="BU2382" t="s">
        <v>1338</v>
      </c>
      <c r="BV2382" t="s">
        <v>86</v>
      </c>
      <c r="BY2382">
        <v>7000</v>
      </c>
      <c r="CA2382" t="s">
        <v>242</v>
      </c>
      <c r="CC2382" t="s">
        <v>131</v>
      </c>
      <c r="CD2382">
        <v>7441</v>
      </c>
      <c r="CE2382" t="s">
        <v>96</v>
      </c>
      <c r="CF2382" s="3">
        <v>45799</v>
      </c>
      <c r="CI2382">
        <v>1</v>
      </c>
      <c r="CJ2382">
        <v>1</v>
      </c>
      <c r="CK2382">
        <v>21</v>
      </c>
      <c r="CL2382" t="s">
        <v>89</v>
      </c>
    </row>
    <row r="2383" spans="1:90" x14ac:dyDescent="0.3">
      <c r="A2383" t="s">
        <v>72</v>
      </c>
      <c r="B2383" t="s">
        <v>73</v>
      </c>
      <c r="C2383" t="s">
        <v>74</v>
      </c>
      <c r="E2383" t="str">
        <f>"080065466875"</f>
        <v>080065466875</v>
      </c>
      <c r="F2383" s="3">
        <v>45797</v>
      </c>
      <c r="G2383">
        <v>202602</v>
      </c>
      <c r="H2383" t="s">
        <v>75</v>
      </c>
      <c r="I2383" t="s">
        <v>76</v>
      </c>
      <c r="J2383" t="s">
        <v>77</v>
      </c>
      <c r="K2383" t="s">
        <v>78</v>
      </c>
      <c r="L2383" t="s">
        <v>130</v>
      </c>
      <c r="M2383" t="s">
        <v>131</v>
      </c>
      <c r="N2383" t="s">
        <v>239</v>
      </c>
      <c r="O2383" t="s">
        <v>82</v>
      </c>
      <c r="P2383" t="str">
        <f>"4170039495                    "</f>
        <v xml:space="preserve">4170039495                    </v>
      </c>
      <c r="Q2383">
        <v>0</v>
      </c>
      <c r="R2383">
        <v>0</v>
      </c>
      <c r="S2383">
        <v>0</v>
      </c>
      <c r="T2383">
        <v>0</v>
      </c>
      <c r="U2383">
        <v>0</v>
      </c>
      <c r="V2383">
        <v>0</v>
      </c>
      <c r="W2383">
        <v>0</v>
      </c>
      <c r="X2383">
        <v>0</v>
      </c>
      <c r="Y2383">
        <v>0</v>
      </c>
      <c r="Z2383">
        <v>0</v>
      </c>
      <c r="AA2383">
        <v>0</v>
      </c>
      <c r="AB2383">
        <v>0</v>
      </c>
      <c r="AC2383">
        <v>0</v>
      </c>
      <c r="AD2383">
        <v>0</v>
      </c>
      <c r="AE2383">
        <v>0</v>
      </c>
      <c r="AF2383">
        <v>0</v>
      </c>
      <c r="AG2383">
        <v>0</v>
      </c>
      <c r="AH2383">
        <v>0</v>
      </c>
      <c r="AI2383">
        <v>0</v>
      </c>
      <c r="AJ2383">
        <v>0</v>
      </c>
      <c r="AK2383">
        <v>0</v>
      </c>
      <c r="AL2383">
        <v>0</v>
      </c>
      <c r="AM2383">
        <v>0</v>
      </c>
      <c r="AN2383">
        <v>0</v>
      </c>
      <c r="AO2383">
        <v>0</v>
      </c>
      <c r="AP2383">
        <v>0</v>
      </c>
      <c r="AQ2383">
        <v>21.38</v>
      </c>
      <c r="AR2383">
        <v>0</v>
      </c>
      <c r="AS2383">
        <v>0</v>
      </c>
      <c r="AT2383">
        <v>0</v>
      </c>
      <c r="AU2383">
        <v>0</v>
      </c>
      <c r="AV2383">
        <v>0</v>
      </c>
      <c r="AW2383">
        <v>0</v>
      </c>
      <c r="AX2383">
        <v>0</v>
      </c>
      <c r="AY2383">
        <v>0</v>
      </c>
      <c r="AZ2383">
        <v>0</v>
      </c>
      <c r="BA2383">
        <v>0</v>
      </c>
      <c r="BB2383">
        <v>0</v>
      </c>
      <c r="BC2383">
        <v>0</v>
      </c>
      <c r="BD2383">
        <v>0</v>
      </c>
      <c r="BE2383">
        <v>0</v>
      </c>
      <c r="BF2383">
        <v>0</v>
      </c>
      <c r="BG2383">
        <v>0</v>
      </c>
      <c r="BH2383">
        <v>1</v>
      </c>
      <c r="BI2383">
        <v>1</v>
      </c>
      <c r="BJ2383">
        <v>1.4</v>
      </c>
      <c r="BK2383">
        <v>1.5</v>
      </c>
      <c r="BL2383">
        <v>69.98</v>
      </c>
      <c r="BM2383">
        <v>10.5</v>
      </c>
      <c r="BN2383">
        <v>80.48</v>
      </c>
      <c r="BO2383">
        <v>80.48</v>
      </c>
      <c r="BQ2383" t="s">
        <v>240</v>
      </c>
      <c r="BR2383" t="s">
        <v>84</v>
      </c>
      <c r="BS2383" s="3">
        <v>45798</v>
      </c>
      <c r="BT2383" s="4">
        <v>0.40138888888888891</v>
      </c>
      <c r="BU2383" t="s">
        <v>2678</v>
      </c>
      <c r="BV2383" t="s">
        <v>86</v>
      </c>
      <c r="BY2383">
        <v>7000</v>
      </c>
      <c r="CA2383" t="s">
        <v>242</v>
      </c>
      <c r="CC2383" t="s">
        <v>131</v>
      </c>
      <c r="CD2383">
        <v>7441</v>
      </c>
      <c r="CE2383" t="s">
        <v>96</v>
      </c>
      <c r="CF2383" s="3">
        <v>45799</v>
      </c>
      <c r="CI2383">
        <v>1</v>
      </c>
      <c r="CJ2383">
        <v>1</v>
      </c>
      <c r="CK2383">
        <v>21</v>
      </c>
      <c r="CL2383" t="s">
        <v>89</v>
      </c>
    </row>
    <row r="2384" spans="1:90" x14ac:dyDescent="0.3">
      <c r="A2384" t="s">
        <v>72</v>
      </c>
      <c r="B2384" t="s">
        <v>73</v>
      </c>
      <c r="C2384" t="s">
        <v>74</v>
      </c>
      <c r="E2384" t="str">
        <f>"080065466908"</f>
        <v>080065466908</v>
      </c>
      <c r="F2384" s="3">
        <v>45797</v>
      </c>
      <c r="G2384">
        <v>202602</v>
      </c>
      <c r="H2384" t="s">
        <v>75</v>
      </c>
      <c r="I2384" t="s">
        <v>76</v>
      </c>
      <c r="J2384" t="s">
        <v>77</v>
      </c>
      <c r="K2384" t="s">
        <v>78</v>
      </c>
      <c r="L2384" t="s">
        <v>1076</v>
      </c>
      <c r="M2384" t="s">
        <v>1077</v>
      </c>
      <c r="N2384" t="s">
        <v>2679</v>
      </c>
      <c r="O2384" t="s">
        <v>82</v>
      </c>
      <c r="P2384" t="str">
        <f>"4170039509                    "</f>
        <v xml:space="preserve">4170039509                    </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c r="AI2384">
        <v>0</v>
      </c>
      <c r="AJ2384">
        <v>0</v>
      </c>
      <c r="AK2384">
        <v>0</v>
      </c>
      <c r="AL2384">
        <v>0</v>
      </c>
      <c r="AM2384">
        <v>0</v>
      </c>
      <c r="AN2384">
        <v>0</v>
      </c>
      <c r="AO2384">
        <v>0</v>
      </c>
      <c r="AP2384">
        <v>0</v>
      </c>
      <c r="AQ2384">
        <v>16.7</v>
      </c>
      <c r="AR2384">
        <v>0</v>
      </c>
      <c r="AS2384">
        <v>0</v>
      </c>
      <c r="AT2384">
        <v>0</v>
      </c>
      <c r="AU2384">
        <v>0</v>
      </c>
      <c r="AV2384">
        <v>0</v>
      </c>
      <c r="AW2384">
        <v>0</v>
      </c>
      <c r="AX2384">
        <v>0</v>
      </c>
      <c r="AY2384">
        <v>0</v>
      </c>
      <c r="AZ2384">
        <v>0</v>
      </c>
      <c r="BA2384">
        <v>0</v>
      </c>
      <c r="BB2384">
        <v>0</v>
      </c>
      <c r="BC2384">
        <v>0</v>
      </c>
      <c r="BD2384">
        <v>0</v>
      </c>
      <c r="BE2384">
        <v>0</v>
      </c>
      <c r="BF2384">
        <v>0</v>
      </c>
      <c r="BG2384">
        <v>0</v>
      </c>
      <c r="BH2384">
        <v>1</v>
      </c>
      <c r="BI2384">
        <v>1</v>
      </c>
      <c r="BJ2384">
        <v>0.6</v>
      </c>
      <c r="BK2384">
        <v>1</v>
      </c>
      <c r="BL2384">
        <v>54.66</v>
      </c>
      <c r="BM2384">
        <v>8.1999999999999993</v>
      </c>
      <c r="BN2384">
        <v>62.86</v>
      </c>
      <c r="BO2384">
        <v>62.86</v>
      </c>
      <c r="BQ2384" t="s">
        <v>2680</v>
      </c>
      <c r="BR2384" t="s">
        <v>84</v>
      </c>
      <c r="BS2384" s="3">
        <v>45798</v>
      </c>
      <c r="BT2384" s="4">
        <v>0.37777777777777777</v>
      </c>
      <c r="BU2384" t="s">
        <v>2681</v>
      </c>
      <c r="BV2384" t="s">
        <v>86</v>
      </c>
      <c r="BY2384">
        <v>3192</v>
      </c>
      <c r="CA2384" t="s">
        <v>1081</v>
      </c>
      <c r="CC2384" t="s">
        <v>1077</v>
      </c>
      <c r="CD2384">
        <v>1540</v>
      </c>
      <c r="CE2384" t="s">
        <v>96</v>
      </c>
      <c r="CF2384" s="3">
        <v>45799</v>
      </c>
      <c r="CI2384">
        <v>1</v>
      </c>
      <c r="CJ2384">
        <v>1</v>
      </c>
      <c r="CK2384">
        <v>22</v>
      </c>
      <c r="CL2384" t="s">
        <v>89</v>
      </c>
    </row>
    <row r="2385" spans="1:90" x14ac:dyDescent="0.3">
      <c r="A2385" t="s">
        <v>72</v>
      </c>
      <c r="B2385" t="s">
        <v>73</v>
      </c>
      <c r="C2385" t="s">
        <v>74</v>
      </c>
      <c r="E2385" t="str">
        <f>"080065467250"</f>
        <v>080065467250</v>
      </c>
      <c r="F2385" s="3">
        <v>45797</v>
      </c>
      <c r="G2385">
        <v>202602</v>
      </c>
      <c r="H2385" t="s">
        <v>75</v>
      </c>
      <c r="I2385" t="s">
        <v>76</v>
      </c>
      <c r="J2385" t="s">
        <v>77</v>
      </c>
      <c r="K2385" t="s">
        <v>78</v>
      </c>
      <c r="L2385" t="s">
        <v>1002</v>
      </c>
      <c r="M2385" t="s">
        <v>1003</v>
      </c>
      <c r="N2385" t="s">
        <v>1004</v>
      </c>
      <c r="O2385" t="s">
        <v>82</v>
      </c>
      <c r="P2385" t="str">
        <f>"4170039449                    "</f>
        <v xml:space="preserve">4170039449                    </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c r="AI2385">
        <v>0</v>
      </c>
      <c r="AJ2385">
        <v>0</v>
      </c>
      <c r="AK2385">
        <v>0</v>
      </c>
      <c r="AL2385">
        <v>0</v>
      </c>
      <c r="AM2385">
        <v>0</v>
      </c>
      <c r="AN2385">
        <v>0</v>
      </c>
      <c r="AO2385">
        <v>0</v>
      </c>
      <c r="AP2385">
        <v>0</v>
      </c>
      <c r="AQ2385">
        <v>88.2</v>
      </c>
      <c r="AR2385">
        <v>0</v>
      </c>
      <c r="AS2385">
        <v>0</v>
      </c>
      <c r="AT2385">
        <v>0</v>
      </c>
      <c r="AU2385">
        <v>0</v>
      </c>
      <c r="AV2385">
        <v>0</v>
      </c>
      <c r="AW2385">
        <v>0</v>
      </c>
      <c r="AX2385">
        <v>0</v>
      </c>
      <c r="AY2385">
        <v>0</v>
      </c>
      <c r="AZ2385">
        <v>0</v>
      </c>
      <c r="BA2385">
        <v>0</v>
      </c>
      <c r="BB2385">
        <v>0</v>
      </c>
      <c r="BC2385">
        <v>0</v>
      </c>
      <c r="BD2385">
        <v>0</v>
      </c>
      <c r="BE2385">
        <v>0</v>
      </c>
      <c r="BF2385">
        <v>0</v>
      </c>
      <c r="BG2385">
        <v>0</v>
      </c>
      <c r="BH2385">
        <v>1</v>
      </c>
      <c r="BI2385">
        <v>3</v>
      </c>
      <c r="BJ2385">
        <v>4.2</v>
      </c>
      <c r="BK2385">
        <v>4.5</v>
      </c>
      <c r="BL2385">
        <v>288.66000000000003</v>
      </c>
      <c r="BM2385">
        <v>43.3</v>
      </c>
      <c r="BN2385">
        <v>331.96</v>
      </c>
      <c r="BO2385">
        <v>331.96</v>
      </c>
      <c r="BQ2385" t="s">
        <v>1005</v>
      </c>
      <c r="BR2385" t="s">
        <v>84</v>
      </c>
      <c r="BS2385" s="3">
        <v>45798</v>
      </c>
      <c r="BT2385" s="4">
        <v>0.45555555555555555</v>
      </c>
      <c r="BU2385" t="s">
        <v>2682</v>
      </c>
      <c r="BV2385" t="s">
        <v>86</v>
      </c>
      <c r="BY2385">
        <v>20800</v>
      </c>
      <c r="CA2385" t="s">
        <v>2187</v>
      </c>
      <c r="CC2385" t="s">
        <v>1003</v>
      </c>
      <c r="CD2385">
        <v>5257</v>
      </c>
      <c r="CE2385" t="s">
        <v>221</v>
      </c>
      <c r="CF2385" s="3">
        <v>45799</v>
      </c>
      <c r="CI2385">
        <v>1</v>
      </c>
      <c r="CJ2385">
        <v>1</v>
      </c>
      <c r="CK2385">
        <v>23</v>
      </c>
      <c r="CL2385" t="s">
        <v>89</v>
      </c>
    </row>
    <row r="2386" spans="1:90" x14ac:dyDescent="0.3">
      <c r="A2386" t="s">
        <v>72</v>
      </c>
      <c r="B2386" t="s">
        <v>73</v>
      </c>
      <c r="C2386" t="s">
        <v>74</v>
      </c>
      <c r="E2386" t="str">
        <f>"080065467320"</f>
        <v>080065467320</v>
      </c>
      <c r="F2386" s="3">
        <v>45797</v>
      </c>
      <c r="G2386">
        <v>202602</v>
      </c>
      <c r="H2386" t="s">
        <v>75</v>
      </c>
      <c r="I2386" t="s">
        <v>76</v>
      </c>
      <c r="J2386" t="s">
        <v>77</v>
      </c>
      <c r="K2386" t="s">
        <v>78</v>
      </c>
      <c r="L2386" t="s">
        <v>97</v>
      </c>
      <c r="M2386" t="s">
        <v>98</v>
      </c>
      <c r="N2386" t="s">
        <v>2242</v>
      </c>
      <c r="O2386" t="s">
        <v>82</v>
      </c>
      <c r="P2386" t="str">
        <f>"4170039337                    "</f>
        <v xml:space="preserve">4170039337                    </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0</v>
      </c>
      <c r="AL2386">
        <v>0</v>
      </c>
      <c r="AM2386">
        <v>0</v>
      </c>
      <c r="AN2386">
        <v>0</v>
      </c>
      <c r="AO2386">
        <v>0</v>
      </c>
      <c r="AP2386">
        <v>0</v>
      </c>
      <c r="AQ2386">
        <v>18.7</v>
      </c>
      <c r="AR2386">
        <v>0</v>
      </c>
      <c r="AS2386">
        <v>0</v>
      </c>
      <c r="AT2386">
        <v>0</v>
      </c>
      <c r="AU2386">
        <v>0</v>
      </c>
      <c r="AV2386">
        <v>0</v>
      </c>
      <c r="AW2386">
        <v>0</v>
      </c>
      <c r="AX2386">
        <v>0</v>
      </c>
      <c r="AY2386">
        <v>0</v>
      </c>
      <c r="AZ2386">
        <v>0</v>
      </c>
      <c r="BA2386">
        <v>0</v>
      </c>
      <c r="BB2386">
        <v>0</v>
      </c>
      <c r="BC2386">
        <v>0</v>
      </c>
      <c r="BD2386">
        <v>0</v>
      </c>
      <c r="BE2386">
        <v>0</v>
      </c>
      <c r="BF2386">
        <v>0</v>
      </c>
      <c r="BG2386">
        <v>0</v>
      </c>
      <c r="BH2386">
        <v>1</v>
      </c>
      <c r="BI2386">
        <v>9</v>
      </c>
      <c r="BJ2386">
        <v>3.4</v>
      </c>
      <c r="BK2386">
        <v>9</v>
      </c>
      <c r="BL2386">
        <v>61.21</v>
      </c>
      <c r="BM2386">
        <v>9.18</v>
      </c>
      <c r="BN2386">
        <v>70.39</v>
      </c>
      <c r="BO2386">
        <v>70.39</v>
      </c>
      <c r="BQ2386" t="s">
        <v>2243</v>
      </c>
      <c r="BR2386" t="s">
        <v>84</v>
      </c>
      <c r="BS2386" s="3">
        <v>45798</v>
      </c>
      <c r="BT2386" s="4">
        <v>0.31041666666666667</v>
      </c>
      <c r="BU2386" t="s">
        <v>2656</v>
      </c>
      <c r="BV2386" t="s">
        <v>86</v>
      </c>
      <c r="BY2386">
        <v>16965</v>
      </c>
      <c r="CA2386" t="s">
        <v>279</v>
      </c>
      <c r="CC2386" t="s">
        <v>98</v>
      </c>
      <c r="CD2386">
        <v>1459</v>
      </c>
      <c r="CE2386" t="s">
        <v>96</v>
      </c>
      <c r="CF2386" s="3">
        <v>45798</v>
      </c>
      <c r="CI2386">
        <v>1</v>
      </c>
      <c r="CJ2386">
        <v>1</v>
      </c>
      <c r="CK2386">
        <v>22</v>
      </c>
      <c r="CL2386" t="s">
        <v>89</v>
      </c>
    </row>
    <row r="2387" spans="1:90" x14ac:dyDescent="0.3">
      <c r="A2387" t="s">
        <v>72</v>
      </c>
      <c r="B2387" t="s">
        <v>73</v>
      </c>
      <c r="C2387" t="s">
        <v>74</v>
      </c>
      <c r="E2387" t="str">
        <f>"080065467367"</f>
        <v>080065467367</v>
      </c>
      <c r="F2387" s="3">
        <v>45797</v>
      </c>
      <c r="G2387">
        <v>202602</v>
      </c>
      <c r="H2387" t="s">
        <v>75</v>
      </c>
      <c r="I2387" t="s">
        <v>76</v>
      </c>
      <c r="J2387" t="s">
        <v>77</v>
      </c>
      <c r="K2387" t="s">
        <v>78</v>
      </c>
      <c r="L2387" t="s">
        <v>75</v>
      </c>
      <c r="M2387" t="s">
        <v>76</v>
      </c>
      <c r="N2387" t="s">
        <v>390</v>
      </c>
      <c r="O2387" t="s">
        <v>300</v>
      </c>
      <c r="P2387" t="str">
        <f>"4170039351                    "</f>
        <v xml:space="preserve">4170039351                    </v>
      </c>
      <c r="Q2387">
        <v>0</v>
      </c>
      <c r="R2387">
        <v>0</v>
      </c>
      <c r="S2387">
        <v>0</v>
      </c>
      <c r="T2387">
        <v>0</v>
      </c>
      <c r="U2387">
        <v>0</v>
      </c>
      <c r="V2387">
        <v>0</v>
      </c>
      <c r="W2387">
        <v>0</v>
      </c>
      <c r="X2387">
        <v>0</v>
      </c>
      <c r="Y2387">
        <v>0</v>
      </c>
      <c r="Z2387">
        <v>0</v>
      </c>
      <c r="AA2387">
        <v>0</v>
      </c>
      <c r="AB2387">
        <v>0</v>
      </c>
      <c r="AC2387">
        <v>0</v>
      </c>
      <c r="AD2387">
        <v>0</v>
      </c>
      <c r="AE2387">
        <v>0</v>
      </c>
      <c r="AF2387">
        <v>0</v>
      </c>
      <c r="AG2387">
        <v>0</v>
      </c>
      <c r="AH2387">
        <v>0</v>
      </c>
      <c r="AI2387">
        <v>0</v>
      </c>
      <c r="AJ2387">
        <v>0</v>
      </c>
      <c r="AK2387">
        <v>0</v>
      </c>
      <c r="AL2387">
        <v>0</v>
      </c>
      <c r="AM2387">
        <v>0</v>
      </c>
      <c r="AN2387">
        <v>0</v>
      </c>
      <c r="AO2387">
        <v>0</v>
      </c>
      <c r="AP2387">
        <v>0</v>
      </c>
      <c r="AQ2387">
        <v>46.83</v>
      </c>
      <c r="AR2387">
        <v>0</v>
      </c>
      <c r="AS2387">
        <v>0</v>
      </c>
      <c r="AT2387">
        <v>0</v>
      </c>
      <c r="AU2387">
        <v>0</v>
      </c>
      <c r="AV2387">
        <v>0</v>
      </c>
      <c r="AW2387">
        <v>0</v>
      </c>
      <c r="AX2387">
        <v>0</v>
      </c>
      <c r="AY2387">
        <v>0</v>
      </c>
      <c r="AZ2387">
        <v>0</v>
      </c>
      <c r="BA2387">
        <v>0</v>
      </c>
      <c r="BB2387">
        <v>0</v>
      </c>
      <c r="BC2387">
        <v>0</v>
      </c>
      <c r="BD2387">
        <v>0</v>
      </c>
      <c r="BE2387">
        <v>0</v>
      </c>
      <c r="BF2387">
        <v>0</v>
      </c>
      <c r="BG2387">
        <v>0</v>
      </c>
      <c r="BH2387">
        <v>1</v>
      </c>
      <c r="BI2387">
        <v>11</v>
      </c>
      <c r="BJ2387">
        <v>30.9</v>
      </c>
      <c r="BK2387">
        <v>31</v>
      </c>
      <c r="BL2387">
        <v>158.84</v>
      </c>
      <c r="BM2387">
        <v>23.83</v>
      </c>
      <c r="BN2387">
        <v>182.67</v>
      </c>
      <c r="BO2387">
        <v>182.67</v>
      </c>
      <c r="BQ2387" t="s">
        <v>391</v>
      </c>
      <c r="BR2387" t="s">
        <v>84</v>
      </c>
      <c r="BS2387" s="3">
        <v>45798</v>
      </c>
      <c r="BT2387" s="4">
        <v>0.35902777777777778</v>
      </c>
      <c r="BU2387" t="s">
        <v>1660</v>
      </c>
      <c r="BV2387" t="s">
        <v>86</v>
      </c>
      <c r="BY2387">
        <v>154560</v>
      </c>
      <c r="CA2387" t="s">
        <v>115</v>
      </c>
      <c r="CC2387" t="s">
        <v>76</v>
      </c>
      <c r="CD2387">
        <v>1600</v>
      </c>
      <c r="CE2387" t="s">
        <v>96</v>
      </c>
      <c r="CF2387" s="3">
        <v>45798</v>
      </c>
      <c r="CI2387">
        <v>1</v>
      </c>
      <c r="CJ2387">
        <v>1</v>
      </c>
      <c r="CK2387">
        <v>42</v>
      </c>
      <c r="CL2387" t="s">
        <v>89</v>
      </c>
    </row>
    <row r="2388" spans="1:90" x14ac:dyDescent="0.3">
      <c r="A2388" t="s">
        <v>72</v>
      </c>
      <c r="B2388" t="s">
        <v>73</v>
      </c>
      <c r="C2388" t="s">
        <v>74</v>
      </c>
      <c r="E2388" t="str">
        <f>"080065467415"</f>
        <v>080065467415</v>
      </c>
      <c r="F2388" s="3">
        <v>45797</v>
      </c>
      <c r="G2388">
        <v>202602</v>
      </c>
      <c r="H2388" t="s">
        <v>75</v>
      </c>
      <c r="I2388" t="s">
        <v>76</v>
      </c>
      <c r="J2388" t="s">
        <v>77</v>
      </c>
      <c r="K2388" t="s">
        <v>78</v>
      </c>
      <c r="L2388" t="s">
        <v>177</v>
      </c>
      <c r="M2388" t="s">
        <v>178</v>
      </c>
      <c r="N2388" t="s">
        <v>393</v>
      </c>
      <c r="O2388" t="s">
        <v>82</v>
      </c>
      <c r="P2388" t="str">
        <f>"4170027182                    "</f>
        <v xml:space="preserve">4170027182                    </v>
      </c>
      <c r="Q2388">
        <v>0</v>
      </c>
      <c r="R2388">
        <v>0</v>
      </c>
      <c r="S2388">
        <v>0</v>
      </c>
      <c r="T2388">
        <v>0</v>
      </c>
      <c r="U2388">
        <v>0</v>
      </c>
      <c r="V2388">
        <v>0</v>
      </c>
      <c r="W2388">
        <v>0</v>
      </c>
      <c r="X2388">
        <v>0</v>
      </c>
      <c r="Y2388">
        <v>0</v>
      </c>
      <c r="Z2388">
        <v>0</v>
      </c>
      <c r="AA2388">
        <v>0</v>
      </c>
      <c r="AB2388">
        <v>0</v>
      </c>
      <c r="AC2388">
        <v>0</v>
      </c>
      <c r="AD2388">
        <v>0</v>
      </c>
      <c r="AE2388">
        <v>0</v>
      </c>
      <c r="AF2388">
        <v>0</v>
      </c>
      <c r="AG2388">
        <v>0</v>
      </c>
      <c r="AH2388">
        <v>0</v>
      </c>
      <c r="AI2388">
        <v>0</v>
      </c>
      <c r="AJ2388">
        <v>0</v>
      </c>
      <c r="AK2388">
        <v>0</v>
      </c>
      <c r="AL2388">
        <v>0</v>
      </c>
      <c r="AM2388">
        <v>0</v>
      </c>
      <c r="AN2388">
        <v>0</v>
      </c>
      <c r="AO2388">
        <v>0</v>
      </c>
      <c r="AP2388">
        <v>0</v>
      </c>
      <c r="AQ2388">
        <v>21.38</v>
      </c>
      <c r="AR2388">
        <v>0</v>
      </c>
      <c r="AS2388">
        <v>0</v>
      </c>
      <c r="AT2388">
        <v>0</v>
      </c>
      <c r="AU2388">
        <v>0</v>
      </c>
      <c r="AV2388">
        <v>0</v>
      </c>
      <c r="AW2388">
        <v>0</v>
      </c>
      <c r="AX2388">
        <v>0</v>
      </c>
      <c r="AY2388">
        <v>0</v>
      </c>
      <c r="AZ2388">
        <v>0</v>
      </c>
      <c r="BA2388">
        <v>0</v>
      </c>
      <c r="BB2388">
        <v>0</v>
      </c>
      <c r="BC2388">
        <v>0</v>
      </c>
      <c r="BD2388">
        <v>0</v>
      </c>
      <c r="BE2388">
        <v>0</v>
      </c>
      <c r="BF2388">
        <v>0</v>
      </c>
      <c r="BG2388">
        <v>0</v>
      </c>
      <c r="BH2388">
        <v>1</v>
      </c>
      <c r="BI2388">
        <v>1</v>
      </c>
      <c r="BJ2388">
        <v>0.2</v>
      </c>
      <c r="BK2388">
        <v>1</v>
      </c>
      <c r="BL2388">
        <v>69.98</v>
      </c>
      <c r="BM2388">
        <v>10.5</v>
      </c>
      <c r="BN2388">
        <v>80.48</v>
      </c>
      <c r="BO2388">
        <v>80.48</v>
      </c>
      <c r="BQ2388" t="s">
        <v>394</v>
      </c>
      <c r="BR2388" t="s">
        <v>84</v>
      </c>
      <c r="BS2388" s="3">
        <v>45798</v>
      </c>
      <c r="BT2388" s="4">
        <v>0.33402777777777776</v>
      </c>
      <c r="BU2388" t="s">
        <v>1728</v>
      </c>
      <c r="BV2388" t="s">
        <v>86</v>
      </c>
      <c r="BY2388">
        <v>1200</v>
      </c>
      <c r="CA2388" t="s">
        <v>182</v>
      </c>
      <c r="CC2388" t="s">
        <v>178</v>
      </c>
      <c r="CD2388">
        <v>6230</v>
      </c>
      <c r="CE2388" t="s">
        <v>88</v>
      </c>
      <c r="CF2388" s="3">
        <v>45798</v>
      </c>
      <c r="CI2388">
        <v>1</v>
      </c>
      <c r="CJ2388">
        <v>1</v>
      </c>
      <c r="CK2388">
        <v>21</v>
      </c>
      <c r="CL2388" t="s">
        <v>89</v>
      </c>
    </row>
    <row r="2389" spans="1:90" x14ac:dyDescent="0.3">
      <c r="A2389" t="s">
        <v>72</v>
      </c>
      <c r="B2389" t="s">
        <v>73</v>
      </c>
      <c r="C2389" t="s">
        <v>74</v>
      </c>
      <c r="E2389" t="str">
        <f>"080065467450"</f>
        <v>080065467450</v>
      </c>
      <c r="F2389" s="3">
        <v>45797</v>
      </c>
      <c r="G2389">
        <v>202602</v>
      </c>
      <c r="H2389" t="s">
        <v>75</v>
      </c>
      <c r="I2389" t="s">
        <v>76</v>
      </c>
      <c r="J2389" t="s">
        <v>77</v>
      </c>
      <c r="K2389" t="s">
        <v>78</v>
      </c>
      <c r="L2389" t="s">
        <v>287</v>
      </c>
      <c r="M2389" t="s">
        <v>288</v>
      </c>
      <c r="N2389" t="s">
        <v>289</v>
      </c>
      <c r="O2389" t="s">
        <v>82</v>
      </c>
      <c r="P2389" t="str">
        <f>"4170039152                    "</f>
        <v xml:space="preserve">4170039152                    </v>
      </c>
      <c r="Q2389">
        <v>0</v>
      </c>
      <c r="R2389">
        <v>0</v>
      </c>
      <c r="S2389">
        <v>0</v>
      </c>
      <c r="T2389">
        <v>0</v>
      </c>
      <c r="U2389">
        <v>0</v>
      </c>
      <c r="V2389">
        <v>0</v>
      </c>
      <c r="W2389">
        <v>0</v>
      </c>
      <c r="X2389">
        <v>0</v>
      </c>
      <c r="Y2389">
        <v>0</v>
      </c>
      <c r="Z2389">
        <v>0</v>
      </c>
      <c r="AA2389">
        <v>0</v>
      </c>
      <c r="AB2389">
        <v>0</v>
      </c>
      <c r="AC2389">
        <v>0</v>
      </c>
      <c r="AD2389">
        <v>0</v>
      </c>
      <c r="AE2389">
        <v>0</v>
      </c>
      <c r="AF2389">
        <v>0</v>
      </c>
      <c r="AG2389">
        <v>0</v>
      </c>
      <c r="AH2389">
        <v>0</v>
      </c>
      <c r="AI2389">
        <v>0</v>
      </c>
      <c r="AJ2389">
        <v>0</v>
      </c>
      <c r="AK2389">
        <v>0</v>
      </c>
      <c r="AL2389">
        <v>0</v>
      </c>
      <c r="AM2389">
        <v>0</v>
      </c>
      <c r="AN2389">
        <v>0</v>
      </c>
      <c r="AO2389">
        <v>0</v>
      </c>
      <c r="AP2389">
        <v>0</v>
      </c>
      <c r="AQ2389">
        <v>41.43</v>
      </c>
      <c r="AR2389">
        <v>0</v>
      </c>
      <c r="AS2389">
        <v>0</v>
      </c>
      <c r="AT2389">
        <v>0</v>
      </c>
      <c r="AU2389">
        <v>0</v>
      </c>
      <c r="AV2389">
        <v>0</v>
      </c>
      <c r="AW2389">
        <v>0</v>
      </c>
      <c r="AX2389">
        <v>0</v>
      </c>
      <c r="AY2389">
        <v>0</v>
      </c>
      <c r="AZ2389">
        <v>0</v>
      </c>
      <c r="BA2389">
        <v>0</v>
      </c>
      <c r="BB2389">
        <v>0</v>
      </c>
      <c r="BC2389">
        <v>0</v>
      </c>
      <c r="BD2389">
        <v>0</v>
      </c>
      <c r="BE2389">
        <v>0</v>
      </c>
      <c r="BF2389">
        <v>0</v>
      </c>
      <c r="BG2389">
        <v>0</v>
      </c>
      <c r="BH2389">
        <v>1</v>
      </c>
      <c r="BI2389">
        <v>1</v>
      </c>
      <c r="BJ2389">
        <v>0.2</v>
      </c>
      <c r="BK2389">
        <v>1</v>
      </c>
      <c r="BL2389">
        <v>135.59</v>
      </c>
      <c r="BM2389">
        <v>20.34</v>
      </c>
      <c r="BN2389">
        <v>155.93</v>
      </c>
      <c r="BO2389">
        <v>155.93</v>
      </c>
      <c r="BQ2389" t="s">
        <v>290</v>
      </c>
      <c r="BR2389" t="s">
        <v>84</v>
      </c>
      <c r="BS2389" s="3">
        <v>45798</v>
      </c>
      <c r="BT2389" s="4">
        <v>0.46458333333333335</v>
      </c>
      <c r="BU2389" t="s">
        <v>291</v>
      </c>
      <c r="BV2389" t="s">
        <v>86</v>
      </c>
      <c r="BY2389">
        <v>1200</v>
      </c>
      <c r="CA2389" t="s">
        <v>292</v>
      </c>
      <c r="CC2389" t="s">
        <v>288</v>
      </c>
      <c r="CD2389">
        <v>6715</v>
      </c>
      <c r="CE2389" t="s">
        <v>88</v>
      </c>
      <c r="CF2389" s="3">
        <v>45799</v>
      </c>
      <c r="CI2389">
        <v>2</v>
      </c>
      <c r="CJ2389">
        <v>1</v>
      </c>
      <c r="CK2389">
        <v>23</v>
      </c>
      <c r="CL2389" t="s">
        <v>89</v>
      </c>
    </row>
    <row r="2390" spans="1:90" x14ac:dyDescent="0.3">
      <c r="A2390" t="s">
        <v>72</v>
      </c>
      <c r="B2390" t="s">
        <v>73</v>
      </c>
      <c r="C2390" t="s">
        <v>74</v>
      </c>
      <c r="E2390" t="str">
        <f>"080065467932"</f>
        <v>080065467932</v>
      </c>
      <c r="F2390" s="3">
        <v>45797</v>
      </c>
      <c r="G2390">
        <v>202602</v>
      </c>
      <c r="H2390" t="s">
        <v>75</v>
      </c>
      <c r="I2390" t="s">
        <v>76</v>
      </c>
      <c r="J2390" t="s">
        <v>77</v>
      </c>
      <c r="K2390" t="s">
        <v>78</v>
      </c>
      <c r="L2390" t="s">
        <v>130</v>
      </c>
      <c r="M2390" t="s">
        <v>131</v>
      </c>
      <c r="N2390" t="s">
        <v>709</v>
      </c>
      <c r="O2390" t="s">
        <v>300</v>
      </c>
      <c r="P2390" t="str">
        <f>"4170039482                    "</f>
        <v xml:space="preserve">4170039482                    </v>
      </c>
      <c r="Q2390">
        <v>0</v>
      </c>
      <c r="R2390">
        <v>0</v>
      </c>
      <c r="S2390">
        <v>0</v>
      </c>
      <c r="T2390">
        <v>0</v>
      </c>
      <c r="U2390">
        <v>0</v>
      </c>
      <c r="V2390">
        <v>0</v>
      </c>
      <c r="W2390">
        <v>0</v>
      </c>
      <c r="X2390">
        <v>0</v>
      </c>
      <c r="Y2390">
        <v>0</v>
      </c>
      <c r="Z2390">
        <v>0</v>
      </c>
      <c r="AA2390">
        <v>0</v>
      </c>
      <c r="AB2390">
        <v>0</v>
      </c>
      <c r="AC2390">
        <v>0</v>
      </c>
      <c r="AD2390">
        <v>0</v>
      </c>
      <c r="AE2390">
        <v>0</v>
      </c>
      <c r="AF2390">
        <v>0</v>
      </c>
      <c r="AG2390">
        <v>0</v>
      </c>
      <c r="AH2390">
        <v>0</v>
      </c>
      <c r="AI2390">
        <v>0</v>
      </c>
      <c r="AJ2390">
        <v>0</v>
      </c>
      <c r="AK2390">
        <v>0</v>
      </c>
      <c r="AL2390">
        <v>0</v>
      </c>
      <c r="AM2390">
        <v>0</v>
      </c>
      <c r="AN2390">
        <v>0</v>
      </c>
      <c r="AO2390">
        <v>0</v>
      </c>
      <c r="AP2390">
        <v>0</v>
      </c>
      <c r="AQ2390">
        <v>48.18</v>
      </c>
      <c r="AR2390">
        <v>0</v>
      </c>
      <c r="AS2390">
        <v>0</v>
      </c>
      <c r="AT2390">
        <v>0</v>
      </c>
      <c r="AU2390">
        <v>0</v>
      </c>
      <c r="AV2390">
        <v>0</v>
      </c>
      <c r="AW2390">
        <v>0</v>
      </c>
      <c r="AX2390">
        <v>0</v>
      </c>
      <c r="AY2390">
        <v>0</v>
      </c>
      <c r="AZ2390">
        <v>0</v>
      </c>
      <c r="BA2390">
        <v>0</v>
      </c>
      <c r="BB2390">
        <v>0</v>
      </c>
      <c r="BC2390">
        <v>0</v>
      </c>
      <c r="BD2390">
        <v>0</v>
      </c>
      <c r="BE2390">
        <v>0</v>
      </c>
      <c r="BF2390">
        <v>0</v>
      </c>
      <c r="BG2390">
        <v>0</v>
      </c>
      <c r="BH2390">
        <v>2</v>
      </c>
      <c r="BI2390">
        <v>8</v>
      </c>
      <c r="BJ2390">
        <v>18.7</v>
      </c>
      <c r="BK2390">
        <v>19</v>
      </c>
      <c r="BL2390">
        <v>163.25</v>
      </c>
      <c r="BM2390">
        <v>24.49</v>
      </c>
      <c r="BN2390">
        <v>187.74</v>
      </c>
      <c r="BO2390">
        <v>187.74</v>
      </c>
      <c r="BQ2390" t="s">
        <v>710</v>
      </c>
      <c r="BR2390" t="s">
        <v>84</v>
      </c>
      <c r="BS2390" s="3">
        <v>45799</v>
      </c>
      <c r="BT2390" s="4">
        <v>0.34236111111111112</v>
      </c>
      <c r="BU2390" t="s">
        <v>2683</v>
      </c>
      <c r="BV2390" t="s">
        <v>86</v>
      </c>
      <c r="BY2390">
        <v>93512</v>
      </c>
      <c r="CA2390" t="s">
        <v>712</v>
      </c>
      <c r="CC2390" t="s">
        <v>131</v>
      </c>
      <c r="CD2390">
        <v>7530</v>
      </c>
      <c r="CE2390" t="s">
        <v>116</v>
      </c>
      <c r="CF2390" s="3">
        <v>45800</v>
      </c>
      <c r="CI2390">
        <v>3</v>
      </c>
      <c r="CJ2390">
        <v>2</v>
      </c>
      <c r="CK2390">
        <v>41</v>
      </c>
      <c r="CL2390" t="s">
        <v>89</v>
      </c>
    </row>
    <row r="2391" spans="1:90" x14ac:dyDescent="0.3">
      <c r="A2391" t="s">
        <v>72</v>
      </c>
      <c r="B2391" t="s">
        <v>73</v>
      </c>
      <c r="C2391" t="s">
        <v>74</v>
      </c>
      <c r="E2391" t="str">
        <f>"080065467934"</f>
        <v>080065467934</v>
      </c>
      <c r="F2391" s="3">
        <v>45797</v>
      </c>
      <c r="G2391">
        <v>202602</v>
      </c>
      <c r="H2391" t="s">
        <v>75</v>
      </c>
      <c r="I2391" t="s">
        <v>76</v>
      </c>
      <c r="J2391" t="s">
        <v>77</v>
      </c>
      <c r="K2391" t="s">
        <v>78</v>
      </c>
      <c r="L2391" t="s">
        <v>350</v>
      </c>
      <c r="M2391" t="s">
        <v>351</v>
      </c>
      <c r="N2391" t="s">
        <v>1951</v>
      </c>
      <c r="O2391" t="s">
        <v>82</v>
      </c>
      <c r="P2391" t="str">
        <f>"4170039512                    "</f>
        <v xml:space="preserve">4170039512                    </v>
      </c>
      <c r="Q2391">
        <v>0</v>
      </c>
      <c r="R2391">
        <v>0</v>
      </c>
      <c r="S2391">
        <v>0</v>
      </c>
      <c r="T2391">
        <v>0</v>
      </c>
      <c r="U2391">
        <v>0</v>
      </c>
      <c r="V2391">
        <v>0</v>
      </c>
      <c r="W2391">
        <v>0</v>
      </c>
      <c r="X2391">
        <v>0</v>
      </c>
      <c r="Y2391">
        <v>0</v>
      </c>
      <c r="Z2391">
        <v>0</v>
      </c>
      <c r="AA2391">
        <v>0</v>
      </c>
      <c r="AB2391">
        <v>0</v>
      </c>
      <c r="AC2391">
        <v>0</v>
      </c>
      <c r="AD2391">
        <v>0</v>
      </c>
      <c r="AE2391">
        <v>0</v>
      </c>
      <c r="AF2391">
        <v>0</v>
      </c>
      <c r="AG2391">
        <v>0</v>
      </c>
      <c r="AH2391">
        <v>0</v>
      </c>
      <c r="AI2391">
        <v>0</v>
      </c>
      <c r="AJ2391">
        <v>0</v>
      </c>
      <c r="AK2391">
        <v>0</v>
      </c>
      <c r="AL2391">
        <v>0</v>
      </c>
      <c r="AM2391">
        <v>0</v>
      </c>
      <c r="AN2391">
        <v>0</v>
      </c>
      <c r="AO2391">
        <v>0</v>
      </c>
      <c r="AP2391">
        <v>0</v>
      </c>
      <c r="AQ2391">
        <v>21.38</v>
      </c>
      <c r="AR2391">
        <v>0</v>
      </c>
      <c r="AS2391">
        <v>0</v>
      </c>
      <c r="AT2391">
        <v>0</v>
      </c>
      <c r="AU2391">
        <v>0</v>
      </c>
      <c r="AV2391">
        <v>0</v>
      </c>
      <c r="AW2391">
        <v>0</v>
      </c>
      <c r="AX2391">
        <v>0</v>
      </c>
      <c r="AY2391">
        <v>0</v>
      </c>
      <c r="AZ2391">
        <v>0</v>
      </c>
      <c r="BA2391">
        <v>0</v>
      </c>
      <c r="BB2391">
        <v>0</v>
      </c>
      <c r="BC2391">
        <v>0</v>
      </c>
      <c r="BD2391">
        <v>0</v>
      </c>
      <c r="BE2391">
        <v>0</v>
      </c>
      <c r="BF2391">
        <v>0</v>
      </c>
      <c r="BG2391">
        <v>0</v>
      </c>
      <c r="BH2391">
        <v>1</v>
      </c>
      <c r="BI2391">
        <v>1</v>
      </c>
      <c r="BJ2391">
        <v>0.2</v>
      </c>
      <c r="BK2391">
        <v>1</v>
      </c>
      <c r="BL2391">
        <v>69.98</v>
      </c>
      <c r="BM2391">
        <v>10.5</v>
      </c>
      <c r="BN2391">
        <v>80.48</v>
      </c>
      <c r="BO2391">
        <v>80.48</v>
      </c>
      <c r="BQ2391" t="s">
        <v>1952</v>
      </c>
      <c r="BR2391" t="s">
        <v>84</v>
      </c>
      <c r="BS2391" s="3">
        <v>45798</v>
      </c>
      <c r="BT2391" s="4">
        <v>0.6479166666666667</v>
      </c>
      <c r="BU2391" t="s">
        <v>433</v>
      </c>
      <c r="BV2391" t="s">
        <v>89</v>
      </c>
      <c r="BW2391" t="s">
        <v>296</v>
      </c>
      <c r="BX2391" t="s">
        <v>325</v>
      </c>
      <c r="BY2391">
        <v>1200</v>
      </c>
      <c r="CA2391" t="s">
        <v>436</v>
      </c>
      <c r="CC2391" t="s">
        <v>351</v>
      </c>
      <c r="CD2391">
        <v>4052</v>
      </c>
      <c r="CE2391" t="s">
        <v>88</v>
      </c>
      <c r="CF2391" s="3">
        <v>45799</v>
      </c>
      <c r="CI2391">
        <v>1</v>
      </c>
      <c r="CJ2391">
        <v>1</v>
      </c>
      <c r="CK2391">
        <v>21</v>
      </c>
      <c r="CL2391" t="s">
        <v>89</v>
      </c>
    </row>
    <row r="2392" spans="1:90" x14ac:dyDescent="0.3">
      <c r="A2392" t="s">
        <v>72</v>
      </c>
      <c r="B2392" t="s">
        <v>73</v>
      </c>
      <c r="C2392" t="s">
        <v>74</v>
      </c>
      <c r="E2392" t="str">
        <f>"080065467985"</f>
        <v>080065467985</v>
      </c>
      <c r="F2392" s="3">
        <v>45797</v>
      </c>
      <c r="G2392">
        <v>202602</v>
      </c>
      <c r="H2392" t="s">
        <v>75</v>
      </c>
      <c r="I2392" t="s">
        <v>76</v>
      </c>
      <c r="J2392" t="s">
        <v>77</v>
      </c>
      <c r="K2392" t="s">
        <v>78</v>
      </c>
      <c r="L2392" t="s">
        <v>350</v>
      </c>
      <c r="M2392" t="s">
        <v>351</v>
      </c>
      <c r="N2392" t="s">
        <v>1951</v>
      </c>
      <c r="O2392" t="s">
        <v>82</v>
      </c>
      <c r="P2392" t="str">
        <f>"4170039507                    "</f>
        <v xml:space="preserve">4170039507                    </v>
      </c>
      <c r="Q2392">
        <v>0</v>
      </c>
      <c r="R2392">
        <v>0</v>
      </c>
      <c r="S2392">
        <v>0</v>
      </c>
      <c r="T2392">
        <v>0</v>
      </c>
      <c r="U2392">
        <v>0</v>
      </c>
      <c r="V2392">
        <v>0</v>
      </c>
      <c r="W2392">
        <v>0</v>
      </c>
      <c r="X2392">
        <v>0</v>
      </c>
      <c r="Y2392">
        <v>0</v>
      </c>
      <c r="Z2392">
        <v>0</v>
      </c>
      <c r="AA2392">
        <v>0</v>
      </c>
      <c r="AB2392">
        <v>0</v>
      </c>
      <c r="AC2392">
        <v>0</v>
      </c>
      <c r="AD2392">
        <v>0</v>
      </c>
      <c r="AE2392">
        <v>0</v>
      </c>
      <c r="AF2392">
        <v>0</v>
      </c>
      <c r="AG2392">
        <v>0</v>
      </c>
      <c r="AH2392">
        <v>0</v>
      </c>
      <c r="AI2392">
        <v>0</v>
      </c>
      <c r="AJ2392">
        <v>0</v>
      </c>
      <c r="AK2392">
        <v>0</v>
      </c>
      <c r="AL2392">
        <v>0</v>
      </c>
      <c r="AM2392">
        <v>0</v>
      </c>
      <c r="AN2392">
        <v>0</v>
      </c>
      <c r="AO2392">
        <v>0</v>
      </c>
      <c r="AP2392">
        <v>0</v>
      </c>
      <c r="AQ2392">
        <v>21.38</v>
      </c>
      <c r="AR2392">
        <v>0</v>
      </c>
      <c r="AS2392">
        <v>0</v>
      </c>
      <c r="AT2392">
        <v>0</v>
      </c>
      <c r="AU2392">
        <v>0</v>
      </c>
      <c r="AV2392">
        <v>0</v>
      </c>
      <c r="AW2392">
        <v>0</v>
      </c>
      <c r="AX2392">
        <v>0</v>
      </c>
      <c r="AY2392">
        <v>0</v>
      </c>
      <c r="AZ2392">
        <v>0</v>
      </c>
      <c r="BA2392">
        <v>0</v>
      </c>
      <c r="BB2392">
        <v>0</v>
      </c>
      <c r="BC2392">
        <v>0</v>
      </c>
      <c r="BD2392">
        <v>0</v>
      </c>
      <c r="BE2392">
        <v>0</v>
      </c>
      <c r="BF2392">
        <v>0</v>
      </c>
      <c r="BG2392">
        <v>0</v>
      </c>
      <c r="BH2392">
        <v>1</v>
      </c>
      <c r="BI2392">
        <v>1</v>
      </c>
      <c r="BJ2392">
        <v>0.2</v>
      </c>
      <c r="BK2392">
        <v>1</v>
      </c>
      <c r="BL2392">
        <v>69.98</v>
      </c>
      <c r="BM2392">
        <v>10.5</v>
      </c>
      <c r="BN2392">
        <v>80.48</v>
      </c>
      <c r="BO2392">
        <v>80.48</v>
      </c>
      <c r="BQ2392" t="s">
        <v>1952</v>
      </c>
      <c r="BR2392" t="s">
        <v>84</v>
      </c>
      <c r="BS2392" s="3">
        <v>45798</v>
      </c>
      <c r="BT2392" s="4">
        <v>0.6479166666666667</v>
      </c>
      <c r="BU2392" t="s">
        <v>433</v>
      </c>
      <c r="BV2392" t="s">
        <v>89</v>
      </c>
      <c r="BW2392" t="s">
        <v>296</v>
      </c>
      <c r="BX2392" t="s">
        <v>325</v>
      </c>
      <c r="BY2392">
        <v>1200</v>
      </c>
      <c r="CA2392" t="s">
        <v>436</v>
      </c>
      <c r="CC2392" t="s">
        <v>351</v>
      </c>
      <c r="CD2392">
        <v>4052</v>
      </c>
      <c r="CE2392" t="s">
        <v>88</v>
      </c>
      <c r="CF2392" s="3">
        <v>45799</v>
      </c>
      <c r="CI2392">
        <v>1</v>
      </c>
      <c r="CJ2392">
        <v>1</v>
      </c>
      <c r="CK2392">
        <v>21</v>
      </c>
      <c r="CL2392" t="s">
        <v>89</v>
      </c>
    </row>
    <row r="2393" spans="1:90" x14ac:dyDescent="0.3">
      <c r="A2393" t="s">
        <v>72</v>
      </c>
      <c r="B2393" t="s">
        <v>73</v>
      </c>
      <c r="C2393" t="s">
        <v>74</v>
      </c>
      <c r="E2393" t="str">
        <f>"080065468007"</f>
        <v>080065468007</v>
      </c>
      <c r="F2393" s="3">
        <v>45797</v>
      </c>
      <c r="G2393">
        <v>202602</v>
      </c>
      <c r="H2393" t="s">
        <v>75</v>
      </c>
      <c r="I2393" t="s">
        <v>76</v>
      </c>
      <c r="J2393" t="s">
        <v>77</v>
      </c>
      <c r="K2393" t="s">
        <v>78</v>
      </c>
      <c r="L2393" t="s">
        <v>463</v>
      </c>
      <c r="M2393" t="s">
        <v>464</v>
      </c>
      <c r="N2393" t="s">
        <v>744</v>
      </c>
      <c r="O2393" t="s">
        <v>82</v>
      </c>
      <c r="P2393" t="str">
        <f>"4170039640                    "</f>
        <v xml:space="preserve">4170039640                    </v>
      </c>
      <c r="Q2393">
        <v>0</v>
      </c>
      <c r="R2393">
        <v>0</v>
      </c>
      <c r="S2393">
        <v>0</v>
      </c>
      <c r="T2393">
        <v>0</v>
      </c>
      <c r="U2393">
        <v>0</v>
      </c>
      <c r="V2393">
        <v>0</v>
      </c>
      <c r="W2393">
        <v>0</v>
      </c>
      <c r="X2393">
        <v>0</v>
      </c>
      <c r="Y2393">
        <v>0</v>
      </c>
      <c r="Z2393">
        <v>0</v>
      </c>
      <c r="AA2393">
        <v>0</v>
      </c>
      <c r="AB2393">
        <v>0</v>
      </c>
      <c r="AC2393">
        <v>0</v>
      </c>
      <c r="AD2393">
        <v>0</v>
      </c>
      <c r="AE2393">
        <v>0</v>
      </c>
      <c r="AF2393">
        <v>0</v>
      </c>
      <c r="AG2393">
        <v>0</v>
      </c>
      <c r="AH2393">
        <v>0</v>
      </c>
      <c r="AI2393">
        <v>0</v>
      </c>
      <c r="AJ2393">
        <v>0</v>
      </c>
      <c r="AK2393">
        <v>0</v>
      </c>
      <c r="AL2393">
        <v>0</v>
      </c>
      <c r="AM2393">
        <v>0</v>
      </c>
      <c r="AN2393">
        <v>0</v>
      </c>
      <c r="AO2393">
        <v>0</v>
      </c>
      <c r="AP2393">
        <v>0</v>
      </c>
      <c r="AQ2393">
        <v>21.38</v>
      </c>
      <c r="AR2393">
        <v>0</v>
      </c>
      <c r="AS2393">
        <v>0</v>
      </c>
      <c r="AT2393">
        <v>0</v>
      </c>
      <c r="AU2393">
        <v>0</v>
      </c>
      <c r="AV2393">
        <v>0</v>
      </c>
      <c r="AW2393">
        <v>0</v>
      </c>
      <c r="AX2393">
        <v>0</v>
      </c>
      <c r="AY2393">
        <v>0</v>
      </c>
      <c r="AZ2393">
        <v>0</v>
      </c>
      <c r="BA2393">
        <v>0</v>
      </c>
      <c r="BB2393">
        <v>0</v>
      </c>
      <c r="BC2393">
        <v>0</v>
      </c>
      <c r="BD2393">
        <v>0</v>
      </c>
      <c r="BE2393">
        <v>0</v>
      </c>
      <c r="BF2393">
        <v>0</v>
      </c>
      <c r="BG2393">
        <v>0</v>
      </c>
      <c r="BH2393">
        <v>1</v>
      </c>
      <c r="BI2393">
        <v>1</v>
      </c>
      <c r="BJ2393">
        <v>0.2</v>
      </c>
      <c r="BK2393">
        <v>1</v>
      </c>
      <c r="BL2393">
        <v>69.98</v>
      </c>
      <c r="BM2393">
        <v>10.5</v>
      </c>
      <c r="BN2393">
        <v>80.48</v>
      </c>
      <c r="BO2393">
        <v>80.48</v>
      </c>
      <c r="BQ2393" t="s">
        <v>745</v>
      </c>
      <c r="BR2393" t="s">
        <v>84</v>
      </c>
      <c r="BS2393" s="3">
        <v>45798</v>
      </c>
      <c r="BT2393" s="4">
        <v>0.48541666666666666</v>
      </c>
      <c r="BU2393" t="s">
        <v>746</v>
      </c>
      <c r="BV2393" t="s">
        <v>89</v>
      </c>
      <c r="BY2393">
        <v>1200</v>
      </c>
      <c r="CA2393" t="s">
        <v>588</v>
      </c>
      <c r="CC2393" t="s">
        <v>464</v>
      </c>
      <c r="CD2393">
        <v>5201</v>
      </c>
      <c r="CE2393" t="s">
        <v>88</v>
      </c>
      <c r="CF2393" s="3">
        <v>45798</v>
      </c>
      <c r="CI2393">
        <v>1</v>
      </c>
      <c r="CJ2393">
        <v>1</v>
      </c>
      <c r="CK2393">
        <v>21</v>
      </c>
      <c r="CL2393" t="s">
        <v>89</v>
      </c>
    </row>
    <row r="2394" spans="1:90" x14ac:dyDescent="0.3">
      <c r="A2394" t="s">
        <v>72</v>
      </c>
      <c r="B2394" t="s">
        <v>73</v>
      </c>
      <c r="C2394" t="s">
        <v>74</v>
      </c>
      <c r="E2394" t="str">
        <f>"080065468035"</f>
        <v>080065468035</v>
      </c>
      <c r="F2394" s="3">
        <v>45797</v>
      </c>
      <c r="G2394">
        <v>202602</v>
      </c>
      <c r="H2394" t="s">
        <v>75</v>
      </c>
      <c r="I2394" t="s">
        <v>76</v>
      </c>
      <c r="J2394" t="s">
        <v>77</v>
      </c>
      <c r="K2394" t="s">
        <v>78</v>
      </c>
      <c r="L2394" t="s">
        <v>350</v>
      </c>
      <c r="M2394" t="s">
        <v>351</v>
      </c>
      <c r="N2394" t="s">
        <v>678</v>
      </c>
      <c r="O2394" t="s">
        <v>82</v>
      </c>
      <c r="P2394" t="str">
        <f>"4170039630                    "</f>
        <v xml:space="preserve">4170039630                    </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0</v>
      </c>
      <c r="AJ2394">
        <v>0</v>
      </c>
      <c r="AK2394">
        <v>0</v>
      </c>
      <c r="AL2394">
        <v>0</v>
      </c>
      <c r="AM2394">
        <v>0</v>
      </c>
      <c r="AN2394">
        <v>0</v>
      </c>
      <c r="AO2394">
        <v>0</v>
      </c>
      <c r="AP2394">
        <v>0</v>
      </c>
      <c r="AQ2394">
        <v>21.38</v>
      </c>
      <c r="AR2394">
        <v>0</v>
      </c>
      <c r="AS2394">
        <v>0</v>
      </c>
      <c r="AT2394">
        <v>0</v>
      </c>
      <c r="AU2394">
        <v>0</v>
      </c>
      <c r="AV2394">
        <v>0</v>
      </c>
      <c r="AW2394">
        <v>0</v>
      </c>
      <c r="AX2394">
        <v>0</v>
      </c>
      <c r="AY2394">
        <v>0</v>
      </c>
      <c r="AZ2394">
        <v>0</v>
      </c>
      <c r="BA2394">
        <v>0</v>
      </c>
      <c r="BB2394">
        <v>0</v>
      </c>
      <c r="BC2394">
        <v>0</v>
      </c>
      <c r="BD2394">
        <v>0</v>
      </c>
      <c r="BE2394">
        <v>0</v>
      </c>
      <c r="BF2394">
        <v>0</v>
      </c>
      <c r="BG2394">
        <v>0</v>
      </c>
      <c r="BH2394">
        <v>1</v>
      </c>
      <c r="BI2394">
        <v>1</v>
      </c>
      <c r="BJ2394">
        <v>0.2</v>
      </c>
      <c r="BK2394">
        <v>1</v>
      </c>
      <c r="BL2394">
        <v>69.98</v>
      </c>
      <c r="BM2394">
        <v>10.5</v>
      </c>
      <c r="BN2394">
        <v>80.48</v>
      </c>
      <c r="BO2394">
        <v>80.48</v>
      </c>
      <c r="BQ2394" t="s">
        <v>679</v>
      </c>
      <c r="BR2394" t="s">
        <v>84</v>
      </c>
      <c r="BS2394" s="3">
        <v>45798</v>
      </c>
      <c r="BT2394" s="4">
        <v>0.38472222222222224</v>
      </c>
      <c r="BU2394" t="s">
        <v>680</v>
      </c>
      <c r="BV2394" t="s">
        <v>86</v>
      </c>
      <c r="BY2394">
        <v>1200</v>
      </c>
      <c r="CA2394" t="s">
        <v>326</v>
      </c>
      <c r="CC2394" t="s">
        <v>351</v>
      </c>
      <c r="CD2394">
        <v>4052</v>
      </c>
      <c r="CE2394" t="s">
        <v>88</v>
      </c>
      <c r="CF2394" s="3">
        <v>45798</v>
      </c>
      <c r="CI2394">
        <v>1</v>
      </c>
      <c r="CJ2394">
        <v>1</v>
      </c>
      <c r="CK2394">
        <v>21</v>
      </c>
      <c r="CL2394" t="s">
        <v>89</v>
      </c>
    </row>
    <row r="2395" spans="1:90" x14ac:dyDescent="0.3">
      <c r="A2395" t="s">
        <v>72</v>
      </c>
      <c r="B2395" t="s">
        <v>73</v>
      </c>
      <c r="C2395" t="s">
        <v>74</v>
      </c>
      <c r="E2395" t="str">
        <f>"080065468072"</f>
        <v>080065468072</v>
      </c>
      <c r="F2395" s="3">
        <v>45797</v>
      </c>
      <c r="G2395">
        <v>202602</v>
      </c>
      <c r="H2395" t="s">
        <v>75</v>
      </c>
      <c r="I2395" t="s">
        <v>76</v>
      </c>
      <c r="J2395" t="s">
        <v>77</v>
      </c>
      <c r="K2395" t="s">
        <v>78</v>
      </c>
      <c r="L2395" t="s">
        <v>90</v>
      </c>
      <c r="M2395" t="s">
        <v>91</v>
      </c>
      <c r="N2395" t="s">
        <v>1211</v>
      </c>
      <c r="O2395" t="s">
        <v>82</v>
      </c>
      <c r="P2395" t="str">
        <f>"4170039671                    "</f>
        <v xml:space="preserve">4170039671                    </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0</v>
      </c>
      <c r="AJ2395">
        <v>0</v>
      </c>
      <c r="AK2395">
        <v>0</v>
      </c>
      <c r="AL2395">
        <v>0</v>
      </c>
      <c r="AM2395">
        <v>0</v>
      </c>
      <c r="AN2395">
        <v>0</v>
      </c>
      <c r="AO2395">
        <v>0</v>
      </c>
      <c r="AP2395">
        <v>0</v>
      </c>
      <c r="AQ2395">
        <v>21.38</v>
      </c>
      <c r="AR2395">
        <v>0</v>
      </c>
      <c r="AS2395">
        <v>0</v>
      </c>
      <c r="AT2395">
        <v>0</v>
      </c>
      <c r="AU2395">
        <v>0</v>
      </c>
      <c r="AV2395">
        <v>0</v>
      </c>
      <c r="AW2395">
        <v>0</v>
      </c>
      <c r="AX2395">
        <v>0</v>
      </c>
      <c r="AY2395">
        <v>0</v>
      </c>
      <c r="AZ2395">
        <v>0</v>
      </c>
      <c r="BA2395">
        <v>0</v>
      </c>
      <c r="BB2395">
        <v>0</v>
      </c>
      <c r="BC2395">
        <v>0</v>
      </c>
      <c r="BD2395">
        <v>0</v>
      </c>
      <c r="BE2395">
        <v>0</v>
      </c>
      <c r="BF2395">
        <v>0</v>
      </c>
      <c r="BG2395">
        <v>0</v>
      </c>
      <c r="BH2395">
        <v>1</v>
      </c>
      <c r="BI2395">
        <v>1</v>
      </c>
      <c r="BJ2395">
        <v>0.2</v>
      </c>
      <c r="BK2395">
        <v>1</v>
      </c>
      <c r="BL2395">
        <v>69.98</v>
      </c>
      <c r="BM2395">
        <v>10.5</v>
      </c>
      <c r="BN2395">
        <v>80.48</v>
      </c>
      <c r="BO2395">
        <v>80.48</v>
      </c>
      <c r="BQ2395" t="s">
        <v>1212</v>
      </c>
      <c r="BR2395" t="s">
        <v>84</v>
      </c>
      <c r="BS2395" s="3">
        <v>45798</v>
      </c>
      <c r="BT2395" s="4">
        <v>0.3923611111111111</v>
      </c>
      <c r="BU2395" t="s">
        <v>2684</v>
      </c>
      <c r="BV2395" t="s">
        <v>86</v>
      </c>
      <c r="BY2395">
        <v>1200</v>
      </c>
      <c r="CA2395" t="s">
        <v>283</v>
      </c>
      <c r="CC2395" t="s">
        <v>91</v>
      </c>
      <c r="CD2395">
        <v>6012</v>
      </c>
      <c r="CE2395" t="s">
        <v>88</v>
      </c>
      <c r="CF2395" s="3">
        <v>45798</v>
      </c>
      <c r="CI2395">
        <v>1</v>
      </c>
      <c r="CJ2395">
        <v>1</v>
      </c>
      <c r="CK2395">
        <v>21</v>
      </c>
      <c r="CL2395" t="s">
        <v>89</v>
      </c>
    </row>
    <row r="2396" spans="1:90" x14ac:dyDescent="0.3">
      <c r="A2396" t="s">
        <v>72</v>
      </c>
      <c r="B2396" t="s">
        <v>73</v>
      </c>
      <c r="C2396" t="s">
        <v>74</v>
      </c>
      <c r="E2396" t="str">
        <f>"080065468099"</f>
        <v>080065468099</v>
      </c>
      <c r="F2396" s="3">
        <v>45797</v>
      </c>
      <c r="G2396">
        <v>202602</v>
      </c>
      <c r="H2396" t="s">
        <v>75</v>
      </c>
      <c r="I2396" t="s">
        <v>76</v>
      </c>
      <c r="J2396" t="s">
        <v>77</v>
      </c>
      <c r="K2396" t="s">
        <v>78</v>
      </c>
      <c r="L2396" t="s">
        <v>75</v>
      </c>
      <c r="M2396" t="s">
        <v>76</v>
      </c>
      <c r="N2396" t="s">
        <v>390</v>
      </c>
      <c r="O2396" t="s">
        <v>82</v>
      </c>
      <c r="P2396" t="str">
        <f>"4170039606                    "</f>
        <v xml:space="preserve">4170039606                    </v>
      </c>
      <c r="Q2396">
        <v>0</v>
      </c>
      <c r="R2396">
        <v>0</v>
      </c>
      <c r="S2396">
        <v>0</v>
      </c>
      <c r="T2396">
        <v>0</v>
      </c>
      <c r="U2396">
        <v>0</v>
      </c>
      <c r="V2396">
        <v>0</v>
      </c>
      <c r="W2396">
        <v>0</v>
      </c>
      <c r="X2396">
        <v>0</v>
      </c>
      <c r="Y2396">
        <v>0</v>
      </c>
      <c r="Z2396">
        <v>0</v>
      </c>
      <c r="AA2396">
        <v>0</v>
      </c>
      <c r="AB2396">
        <v>0</v>
      </c>
      <c r="AC2396">
        <v>0</v>
      </c>
      <c r="AD2396">
        <v>0</v>
      </c>
      <c r="AE2396">
        <v>0</v>
      </c>
      <c r="AF2396">
        <v>0</v>
      </c>
      <c r="AG2396">
        <v>0</v>
      </c>
      <c r="AH2396">
        <v>0</v>
      </c>
      <c r="AI2396">
        <v>0</v>
      </c>
      <c r="AJ2396">
        <v>0</v>
      </c>
      <c r="AK2396">
        <v>0</v>
      </c>
      <c r="AL2396">
        <v>0</v>
      </c>
      <c r="AM2396">
        <v>0</v>
      </c>
      <c r="AN2396">
        <v>0</v>
      </c>
      <c r="AO2396">
        <v>0</v>
      </c>
      <c r="AP2396">
        <v>0</v>
      </c>
      <c r="AQ2396">
        <v>16.7</v>
      </c>
      <c r="AR2396">
        <v>0</v>
      </c>
      <c r="AS2396">
        <v>0</v>
      </c>
      <c r="AT2396">
        <v>0</v>
      </c>
      <c r="AU2396">
        <v>0</v>
      </c>
      <c r="AV2396">
        <v>0</v>
      </c>
      <c r="AW2396">
        <v>0</v>
      </c>
      <c r="AX2396">
        <v>0</v>
      </c>
      <c r="AY2396">
        <v>0</v>
      </c>
      <c r="AZ2396">
        <v>0</v>
      </c>
      <c r="BA2396">
        <v>0</v>
      </c>
      <c r="BB2396">
        <v>0</v>
      </c>
      <c r="BC2396">
        <v>0</v>
      </c>
      <c r="BD2396">
        <v>0</v>
      </c>
      <c r="BE2396">
        <v>0</v>
      </c>
      <c r="BF2396">
        <v>0</v>
      </c>
      <c r="BG2396">
        <v>0</v>
      </c>
      <c r="BH2396">
        <v>1</v>
      </c>
      <c r="BI2396">
        <v>1</v>
      </c>
      <c r="BJ2396">
        <v>0.2</v>
      </c>
      <c r="BK2396">
        <v>1</v>
      </c>
      <c r="BL2396">
        <v>54.66</v>
      </c>
      <c r="BM2396">
        <v>8.1999999999999993</v>
      </c>
      <c r="BN2396">
        <v>62.86</v>
      </c>
      <c r="BO2396">
        <v>62.86</v>
      </c>
      <c r="BQ2396" t="s">
        <v>391</v>
      </c>
      <c r="BR2396" t="s">
        <v>84</v>
      </c>
      <c r="BS2396" s="3">
        <v>45798</v>
      </c>
      <c r="BT2396" s="4">
        <v>0.35902777777777778</v>
      </c>
      <c r="BU2396" t="s">
        <v>2642</v>
      </c>
      <c r="BV2396" t="s">
        <v>86</v>
      </c>
      <c r="BY2396">
        <v>1200</v>
      </c>
      <c r="CA2396" t="s">
        <v>115</v>
      </c>
      <c r="CC2396" t="s">
        <v>76</v>
      </c>
      <c r="CD2396">
        <v>1600</v>
      </c>
      <c r="CE2396" t="s">
        <v>88</v>
      </c>
      <c r="CF2396" s="3">
        <v>45798</v>
      </c>
      <c r="CI2396">
        <v>1</v>
      </c>
      <c r="CJ2396">
        <v>1</v>
      </c>
      <c r="CK2396">
        <v>22</v>
      </c>
      <c r="CL2396" t="s">
        <v>89</v>
      </c>
    </row>
    <row r="2397" spans="1:90" x14ac:dyDescent="0.3">
      <c r="A2397" t="s">
        <v>72</v>
      </c>
      <c r="B2397" t="s">
        <v>73</v>
      </c>
      <c r="C2397" t="s">
        <v>74</v>
      </c>
      <c r="E2397" t="str">
        <f>"080065468105"</f>
        <v>080065468105</v>
      </c>
      <c r="F2397" s="3">
        <v>45797</v>
      </c>
      <c r="G2397">
        <v>202602</v>
      </c>
      <c r="H2397" t="s">
        <v>75</v>
      </c>
      <c r="I2397" t="s">
        <v>76</v>
      </c>
      <c r="J2397" t="s">
        <v>77</v>
      </c>
      <c r="K2397" t="s">
        <v>78</v>
      </c>
      <c r="L2397" t="s">
        <v>177</v>
      </c>
      <c r="M2397" t="s">
        <v>178</v>
      </c>
      <c r="N2397" t="s">
        <v>1854</v>
      </c>
      <c r="O2397" t="s">
        <v>300</v>
      </c>
      <c r="P2397" t="str">
        <f>"4170039521                    "</f>
        <v xml:space="preserve">4170039521                    </v>
      </c>
      <c r="Q2397">
        <v>0</v>
      </c>
      <c r="R2397">
        <v>0</v>
      </c>
      <c r="S2397">
        <v>0</v>
      </c>
      <c r="T2397">
        <v>0</v>
      </c>
      <c r="U2397">
        <v>0</v>
      </c>
      <c r="V2397">
        <v>0</v>
      </c>
      <c r="W2397">
        <v>0</v>
      </c>
      <c r="X2397">
        <v>0</v>
      </c>
      <c r="Y2397">
        <v>0</v>
      </c>
      <c r="Z2397">
        <v>0</v>
      </c>
      <c r="AA2397">
        <v>0</v>
      </c>
      <c r="AB2397">
        <v>0</v>
      </c>
      <c r="AC2397">
        <v>0</v>
      </c>
      <c r="AD2397">
        <v>0</v>
      </c>
      <c r="AE2397">
        <v>0</v>
      </c>
      <c r="AF2397">
        <v>0</v>
      </c>
      <c r="AG2397">
        <v>0</v>
      </c>
      <c r="AH2397">
        <v>0</v>
      </c>
      <c r="AI2397">
        <v>0</v>
      </c>
      <c r="AJ2397">
        <v>0</v>
      </c>
      <c r="AK2397">
        <v>0</v>
      </c>
      <c r="AL2397">
        <v>0</v>
      </c>
      <c r="AM2397">
        <v>0</v>
      </c>
      <c r="AN2397">
        <v>0</v>
      </c>
      <c r="AO2397">
        <v>0</v>
      </c>
      <c r="AP2397">
        <v>0</v>
      </c>
      <c r="AQ2397">
        <v>56.72</v>
      </c>
      <c r="AR2397">
        <v>0</v>
      </c>
      <c r="AS2397">
        <v>0</v>
      </c>
      <c r="AT2397">
        <v>0</v>
      </c>
      <c r="AU2397">
        <v>0</v>
      </c>
      <c r="AV2397">
        <v>0</v>
      </c>
      <c r="AW2397">
        <v>0</v>
      </c>
      <c r="AX2397">
        <v>0</v>
      </c>
      <c r="AY2397">
        <v>0</v>
      </c>
      <c r="AZ2397">
        <v>0</v>
      </c>
      <c r="BA2397">
        <v>0</v>
      </c>
      <c r="BB2397">
        <v>0</v>
      </c>
      <c r="BC2397">
        <v>0</v>
      </c>
      <c r="BD2397">
        <v>0</v>
      </c>
      <c r="BE2397">
        <v>0</v>
      </c>
      <c r="BF2397">
        <v>0</v>
      </c>
      <c r="BG2397">
        <v>0</v>
      </c>
      <c r="BH2397">
        <v>1</v>
      </c>
      <c r="BI2397">
        <v>7</v>
      </c>
      <c r="BJ2397">
        <v>23.5</v>
      </c>
      <c r="BK2397">
        <v>24</v>
      </c>
      <c r="BL2397">
        <v>191.19</v>
      </c>
      <c r="BM2397">
        <v>28.68</v>
      </c>
      <c r="BN2397">
        <v>219.87</v>
      </c>
      <c r="BO2397">
        <v>219.87</v>
      </c>
      <c r="BQ2397" t="s">
        <v>1855</v>
      </c>
      <c r="BR2397" t="s">
        <v>84</v>
      </c>
      <c r="BS2397" s="3">
        <v>45799</v>
      </c>
      <c r="BT2397" s="4">
        <v>0.33611111111111114</v>
      </c>
      <c r="BU2397" t="s">
        <v>2685</v>
      </c>
      <c r="BV2397" t="s">
        <v>86</v>
      </c>
      <c r="BY2397">
        <v>117500</v>
      </c>
      <c r="CA2397" t="s">
        <v>182</v>
      </c>
      <c r="CC2397" t="s">
        <v>178</v>
      </c>
      <c r="CD2397">
        <v>6230</v>
      </c>
      <c r="CE2397" t="s">
        <v>221</v>
      </c>
      <c r="CF2397" s="3">
        <v>45799</v>
      </c>
      <c r="CI2397">
        <v>3</v>
      </c>
      <c r="CJ2397">
        <v>2</v>
      </c>
      <c r="CK2397">
        <v>41</v>
      </c>
      <c r="CL2397" t="s">
        <v>89</v>
      </c>
    </row>
    <row r="2398" spans="1:90" x14ac:dyDescent="0.3">
      <c r="A2398" t="s">
        <v>72</v>
      </c>
      <c r="B2398" t="s">
        <v>73</v>
      </c>
      <c r="C2398" t="s">
        <v>74</v>
      </c>
      <c r="E2398" t="str">
        <f>"080065468127"</f>
        <v>080065468127</v>
      </c>
      <c r="F2398" s="3">
        <v>45797</v>
      </c>
      <c r="G2398">
        <v>202602</v>
      </c>
      <c r="H2398" t="s">
        <v>75</v>
      </c>
      <c r="I2398" t="s">
        <v>76</v>
      </c>
      <c r="J2398" t="s">
        <v>77</v>
      </c>
      <c r="K2398" t="s">
        <v>78</v>
      </c>
      <c r="L2398" t="s">
        <v>409</v>
      </c>
      <c r="M2398" t="s">
        <v>410</v>
      </c>
      <c r="N2398" t="s">
        <v>512</v>
      </c>
      <c r="O2398" t="s">
        <v>82</v>
      </c>
      <c r="P2398" t="str">
        <f>"4170039618                    "</f>
        <v xml:space="preserve">4170039618                    </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0</v>
      </c>
      <c r="AJ2398">
        <v>0</v>
      </c>
      <c r="AK2398">
        <v>0</v>
      </c>
      <c r="AL2398">
        <v>0</v>
      </c>
      <c r="AM2398">
        <v>0</v>
      </c>
      <c r="AN2398">
        <v>0</v>
      </c>
      <c r="AO2398">
        <v>0</v>
      </c>
      <c r="AP2398">
        <v>0</v>
      </c>
      <c r="AQ2398">
        <v>41.43</v>
      </c>
      <c r="AR2398">
        <v>0</v>
      </c>
      <c r="AS2398">
        <v>0</v>
      </c>
      <c r="AT2398">
        <v>0</v>
      </c>
      <c r="AU2398">
        <v>0</v>
      </c>
      <c r="AV2398">
        <v>0</v>
      </c>
      <c r="AW2398">
        <v>0</v>
      </c>
      <c r="AX2398">
        <v>0</v>
      </c>
      <c r="AY2398">
        <v>0</v>
      </c>
      <c r="AZ2398">
        <v>0</v>
      </c>
      <c r="BA2398">
        <v>0</v>
      </c>
      <c r="BB2398">
        <v>0</v>
      </c>
      <c r="BC2398">
        <v>0</v>
      </c>
      <c r="BD2398">
        <v>0</v>
      </c>
      <c r="BE2398">
        <v>0</v>
      </c>
      <c r="BF2398">
        <v>0</v>
      </c>
      <c r="BG2398">
        <v>0</v>
      </c>
      <c r="BH2398">
        <v>1</v>
      </c>
      <c r="BI2398">
        <v>1</v>
      </c>
      <c r="BJ2398">
        <v>0.6</v>
      </c>
      <c r="BK2398">
        <v>1</v>
      </c>
      <c r="BL2398">
        <v>135.59</v>
      </c>
      <c r="BM2398">
        <v>20.34</v>
      </c>
      <c r="BN2398">
        <v>155.93</v>
      </c>
      <c r="BO2398">
        <v>155.93</v>
      </c>
      <c r="BQ2398" t="s">
        <v>513</v>
      </c>
      <c r="BR2398" t="s">
        <v>84</v>
      </c>
      <c r="BS2398" s="3">
        <v>45798</v>
      </c>
      <c r="BT2398" s="4">
        <v>0.49583333333333335</v>
      </c>
      <c r="BU2398" t="s">
        <v>2638</v>
      </c>
      <c r="BV2398" t="s">
        <v>86</v>
      </c>
      <c r="BY2398">
        <v>3192</v>
      </c>
      <c r="CA2398" t="s">
        <v>414</v>
      </c>
      <c r="CC2398" t="s">
        <v>410</v>
      </c>
      <c r="CD2398">
        <v>6850</v>
      </c>
      <c r="CE2398" t="s">
        <v>116</v>
      </c>
      <c r="CF2398" s="3">
        <v>45799</v>
      </c>
      <c r="CI2398">
        <v>2</v>
      </c>
      <c r="CJ2398">
        <v>1</v>
      </c>
      <c r="CK2398">
        <v>23</v>
      </c>
      <c r="CL2398" t="s">
        <v>89</v>
      </c>
    </row>
    <row r="2399" spans="1:90" x14ac:dyDescent="0.3">
      <c r="A2399" t="s">
        <v>72</v>
      </c>
      <c r="B2399" t="s">
        <v>73</v>
      </c>
      <c r="C2399" t="s">
        <v>74</v>
      </c>
      <c r="E2399" t="str">
        <f>"080065468134"</f>
        <v>080065468134</v>
      </c>
      <c r="F2399" s="3">
        <v>45797</v>
      </c>
      <c r="G2399">
        <v>202602</v>
      </c>
      <c r="H2399" t="s">
        <v>75</v>
      </c>
      <c r="I2399" t="s">
        <v>76</v>
      </c>
      <c r="J2399" t="s">
        <v>77</v>
      </c>
      <c r="K2399" t="s">
        <v>78</v>
      </c>
      <c r="L2399" t="s">
        <v>350</v>
      </c>
      <c r="M2399" t="s">
        <v>351</v>
      </c>
      <c r="N2399" t="s">
        <v>1951</v>
      </c>
      <c r="O2399" t="s">
        <v>82</v>
      </c>
      <c r="P2399" t="str">
        <f>"4170039504                    "</f>
        <v xml:space="preserve">4170039504                    </v>
      </c>
      <c r="Q2399">
        <v>0</v>
      </c>
      <c r="R2399">
        <v>0</v>
      </c>
      <c r="S2399">
        <v>0</v>
      </c>
      <c r="T2399">
        <v>0</v>
      </c>
      <c r="U2399">
        <v>0</v>
      </c>
      <c r="V2399">
        <v>0</v>
      </c>
      <c r="W2399">
        <v>0</v>
      </c>
      <c r="X2399">
        <v>0</v>
      </c>
      <c r="Y2399">
        <v>0</v>
      </c>
      <c r="Z2399">
        <v>0</v>
      </c>
      <c r="AA2399">
        <v>0</v>
      </c>
      <c r="AB2399">
        <v>0</v>
      </c>
      <c r="AC2399">
        <v>0</v>
      </c>
      <c r="AD2399">
        <v>0</v>
      </c>
      <c r="AE2399">
        <v>0</v>
      </c>
      <c r="AF2399">
        <v>0</v>
      </c>
      <c r="AG2399">
        <v>0</v>
      </c>
      <c r="AH2399">
        <v>0</v>
      </c>
      <c r="AI2399">
        <v>0</v>
      </c>
      <c r="AJ2399">
        <v>0</v>
      </c>
      <c r="AK2399">
        <v>0</v>
      </c>
      <c r="AL2399">
        <v>0</v>
      </c>
      <c r="AM2399">
        <v>0</v>
      </c>
      <c r="AN2399">
        <v>0</v>
      </c>
      <c r="AO2399">
        <v>0</v>
      </c>
      <c r="AP2399">
        <v>0</v>
      </c>
      <c r="AQ2399">
        <v>21.38</v>
      </c>
      <c r="AR2399">
        <v>0</v>
      </c>
      <c r="AS2399">
        <v>0</v>
      </c>
      <c r="AT2399">
        <v>0</v>
      </c>
      <c r="AU2399">
        <v>0</v>
      </c>
      <c r="AV2399">
        <v>0</v>
      </c>
      <c r="AW2399">
        <v>0</v>
      </c>
      <c r="AX2399">
        <v>0</v>
      </c>
      <c r="AY2399">
        <v>0</v>
      </c>
      <c r="AZ2399">
        <v>0</v>
      </c>
      <c r="BA2399">
        <v>0</v>
      </c>
      <c r="BB2399">
        <v>0</v>
      </c>
      <c r="BC2399">
        <v>0</v>
      </c>
      <c r="BD2399">
        <v>0</v>
      </c>
      <c r="BE2399">
        <v>0</v>
      </c>
      <c r="BF2399">
        <v>0</v>
      </c>
      <c r="BG2399">
        <v>0</v>
      </c>
      <c r="BH2399">
        <v>1</v>
      </c>
      <c r="BI2399">
        <v>1</v>
      </c>
      <c r="BJ2399">
        <v>0.2</v>
      </c>
      <c r="BK2399">
        <v>1</v>
      </c>
      <c r="BL2399">
        <v>69.98</v>
      </c>
      <c r="BM2399">
        <v>10.5</v>
      </c>
      <c r="BN2399">
        <v>80.48</v>
      </c>
      <c r="BO2399">
        <v>80.48</v>
      </c>
      <c r="BQ2399" t="s">
        <v>1952</v>
      </c>
      <c r="BR2399" t="s">
        <v>84</v>
      </c>
      <c r="BS2399" s="3">
        <v>45798</v>
      </c>
      <c r="BT2399" s="4">
        <v>0.6479166666666667</v>
      </c>
      <c r="BU2399" t="s">
        <v>433</v>
      </c>
      <c r="BV2399" t="s">
        <v>89</v>
      </c>
      <c r="BW2399" t="s">
        <v>296</v>
      </c>
      <c r="BX2399" t="s">
        <v>325</v>
      </c>
      <c r="BY2399">
        <v>1200</v>
      </c>
      <c r="CA2399" t="s">
        <v>436</v>
      </c>
      <c r="CC2399" t="s">
        <v>351</v>
      </c>
      <c r="CD2399">
        <v>4052</v>
      </c>
      <c r="CE2399" t="s">
        <v>88</v>
      </c>
      <c r="CF2399" s="3">
        <v>45799</v>
      </c>
      <c r="CI2399">
        <v>1</v>
      </c>
      <c r="CJ2399">
        <v>1</v>
      </c>
      <c r="CK2399">
        <v>21</v>
      </c>
      <c r="CL2399" t="s">
        <v>89</v>
      </c>
    </row>
    <row r="2400" spans="1:90" x14ac:dyDescent="0.3">
      <c r="A2400" t="s">
        <v>72</v>
      </c>
      <c r="B2400" t="s">
        <v>73</v>
      </c>
      <c r="C2400" t="s">
        <v>74</v>
      </c>
      <c r="E2400" t="str">
        <f>"080065468156"</f>
        <v>080065468156</v>
      </c>
      <c r="F2400" s="3">
        <v>45797</v>
      </c>
      <c r="G2400">
        <v>202602</v>
      </c>
      <c r="H2400" t="s">
        <v>75</v>
      </c>
      <c r="I2400" t="s">
        <v>76</v>
      </c>
      <c r="J2400" t="s">
        <v>77</v>
      </c>
      <c r="K2400" t="s">
        <v>78</v>
      </c>
      <c r="L2400" t="s">
        <v>350</v>
      </c>
      <c r="M2400" t="s">
        <v>351</v>
      </c>
      <c r="N2400" t="s">
        <v>678</v>
      </c>
      <c r="O2400" t="s">
        <v>82</v>
      </c>
      <c r="P2400" t="str">
        <f>"4170039629                    "</f>
        <v xml:space="preserve">4170039629                    </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c r="AI2400">
        <v>0</v>
      </c>
      <c r="AJ2400">
        <v>0</v>
      </c>
      <c r="AK2400">
        <v>0</v>
      </c>
      <c r="AL2400">
        <v>0</v>
      </c>
      <c r="AM2400">
        <v>0</v>
      </c>
      <c r="AN2400">
        <v>0</v>
      </c>
      <c r="AO2400">
        <v>0</v>
      </c>
      <c r="AP2400">
        <v>0</v>
      </c>
      <c r="AQ2400">
        <v>21.38</v>
      </c>
      <c r="AR2400">
        <v>0</v>
      </c>
      <c r="AS2400">
        <v>0</v>
      </c>
      <c r="AT2400">
        <v>0</v>
      </c>
      <c r="AU2400">
        <v>0</v>
      </c>
      <c r="AV2400">
        <v>0</v>
      </c>
      <c r="AW2400">
        <v>0</v>
      </c>
      <c r="AX2400">
        <v>0</v>
      </c>
      <c r="AY2400">
        <v>0</v>
      </c>
      <c r="AZ2400">
        <v>0</v>
      </c>
      <c r="BA2400">
        <v>0</v>
      </c>
      <c r="BB2400">
        <v>0</v>
      </c>
      <c r="BC2400">
        <v>0</v>
      </c>
      <c r="BD2400">
        <v>0</v>
      </c>
      <c r="BE2400">
        <v>0</v>
      </c>
      <c r="BF2400">
        <v>0</v>
      </c>
      <c r="BG2400">
        <v>0</v>
      </c>
      <c r="BH2400">
        <v>1</v>
      </c>
      <c r="BI2400">
        <v>1</v>
      </c>
      <c r="BJ2400">
        <v>0.2</v>
      </c>
      <c r="BK2400">
        <v>1</v>
      </c>
      <c r="BL2400">
        <v>69.98</v>
      </c>
      <c r="BM2400">
        <v>10.5</v>
      </c>
      <c r="BN2400">
        <v>80.48</v>
      </c>
      <c r="BO2400">
        <v>80.48</v>
      </c>
      <c r="BQ2400" t="s">
        <v>679</v>
      </c>
      <c r="BR2400" t="s">
        <v>84</v>
      </c>
      <c r="BS2400" s="3">
        <v>45798</v>
      </c>
      <c r="BT2400" s="4">
        <v>0.38472222222222224</v>
      </c>
      <c r="BU2400" t="s">
        <v>680</v>
      </c>
      <c r="BV2400" t="s">
        <v>86</v>
      </c>
      <c r="BY2400">
        <v>1200</v>
      </c>
      <c r="CA2400" t="s">
        <v>326</v>
      </c>
      <c r="CC2400" t="s">
        <v>351</v>
      </c>
      <c r="CD2400">
        <v>4052</v>
      </c>
      <c r="CE2400" t="s">
        <v>88</v>
      </c>
      <c r="CF2400" s="3">
        <v>45798</v>
      </c>
      <c r="CI2400">
        <v>1</v>
      </c>
      <c r="CJ2400">
        <v>1</v>
      </c>
      <c r="CK2400">
        <v>21</v>
      </c>
      <c r="CL2400" t="s">
        <v>89</v>
      </c>
    </row>
    <row r="2401" spans="1:90" x14ac:dyDescent="0.3">
      <c r="A2401" t="s">
        <v>72</v>
      </c>
      <c r="B2401" t="s">
        <v>73</v>
      </c>
      <c r="C2401" t="s">
        <v>74</v>
      </c>
      <c r="E2401" t="str">
        <f>"080065468160"</f>
        <v>080065468160</v>
      </c>
      <c r="F2401" s="3">
        <v>45797</v>
      </c>
      <c r="G2401">
        <v>202602</v>
      </c>
      <c r="H2401" t="s">
        <v>75</v>
      </c>
      <c r="I2401" t="s">
        <v>76</v>
      </c>
      <c r="J2401" t="s">
        <v>77</v>
      </c>
      <c r="K2401" t="s">
        <v>78</v>
      </c>
      <c r="L2401" t="s">
        <v>117</v>
      </c>
      <c r="M2401" t="s">
        <v>118</v>
      </c>
      <c r="N2401" t="s">
        <v>2686</v>
      </c>
      <c r="O2401" t="s">
        <v>82</v>
      </c>
      <c r="P2401" t="str">
        <f>"4170039510                    "</f>
        <v xml:space="preserve">4170039510                    </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0</v>
      </c>
      <c r="AL2401">
        <v>0</v>
      </c>
      <c r="AM2401">
        <v>0</v>
      </c>
      <c r="AN2401">
        <v>0</v>
      </c>
      <c r="AO2401">
        <v>0</v>
      </c>
      <c r="AP2401">
        <v>0</v>
      </c>
      <c r="AQ2401">
        <v>16.7</v>
      </c>
      <c r="AR2401">
        <v>0</v>
      </c>
      <c r="AS2401">
        <v>0</v>
      </c>
      <c r="AT2401">
        <v>0</v>
      </c>
      <c r="AU2401">
        <v>0</v>
      </c>
      <c r="AV2401">
        <v>0</v>
      </c>
      <c r="AW2401">
        <v>0</v>
      </c>
      <c r="AX2401">
        <v>0</v>
      </c>
      <c r="AY2401">
        <v>0</v>
      </c>
      <c r="AZ2401">
        <v>0</v>
      </c>
      <c r="BA2401">
        <v>0</v>
      </c>
      <c r="BB2401">
        <v>0</v>
      </c>
      <c r="BC2401">
        <v>0</v>
      </c>
      <c r="BD2401">
        <v>0</v>
      </c>
      <c r="BE2401">
        <v>0</v>
      </c>
      <c r="BF2401">
        <v>0</v>
      </c>
      <c r="BG2401">
        <v>0</v>
      </c>
      <c r="BH2401">
        <v>1</v>
      </c>
      <c r="BI2401">
        <v>2</v>
      </c>
      <c r="BJ2401">
        <v>1.4</v>
      </c>
      <c r="BK2401">
        <v>2</v>
      </c>
      <c r="BL2401">
        <v>54.66</v>
      </c>
      <c r="BM2401">
        <v>8.1999999999999993</v>
      </c>
      <c r="BN2401">
        <v>62.86</v>
      </c>
      <c r="BO2401">
        <v>62.86</v>
      </c>
      <c r="BQ2401" t="s">
        <v>2687</v>
      </c>
      <c r="BR2401" t="s">
        <v>84</v>
      </c>
      <c r="BS2401" s="3">
        <v>45798</v>
      </c>
      <c r="BT2401" s="4">
        <v>0.38819444444444445</v>
      </c>
      <c r="BU2401" t="s">
        <v>324</v>
      </c>
      <c r="BV2401" t="s">
        <v>86</v>
      </c>
      <c r="BY2401">
        <v>7000</v>
      </c>
      <c r="CA2401" t="s">
        <v>535</v>
      </c>
      <c r="CC2401" t="s">
        <v>118</v>
      </c>
      <c r="CD2401">
        <v>2094</v>
      </c>
      <c r="CE2401" t="s">
        <v>96</v>
      </c>
      <c r="CF2401" s="3">
        <v>45798</v>
      </c>
      <c r="CI2401">
        <v>1</v>
      </c>
      <c r="CJ2401">
        <v>1</v>
      </c>
      <c r="CK2401">
        <v>22</v>
      </c>
      <c r="CL2401" t="s">
        <v>89</v>
      </c>
    </row>
    <row r="2402" spans="1:90" x14ac:dyDescent="0.3">
      <c r="A2402" t="s">
        <v>72</v>
      </c>
      <c r="B2402" t="s">
        <v>73</v>
      </c>
      <c r="C2402" t="s">
        <v>74</v>
      </c>
      <c r="E2402" t="str">
        <f>"080065468200"</f>
        <v>080065468200</v>
      </c>
      <c r="F2402" s="3">
        <v>45797</v>
      </c>
      <c r="G2402">
        <v>202602</v>
      </c>
      <c r="H2402" t="s">
        <v>75</v>
      </c>
      <c r="I2402" t="s">
        <v>76</v>
      </c>
      <c r="J2402" t="s">
        <v>77</v>
      </c>
      <c r="K2402" t="s">
        <v>78</v>
      </c>
      <c r="L2402" t="s">
        <v>130</v>
      </c>
      <c r="M2402" t="s">
        <v>131</v>
      </c>
      <c r="N2402" t="s">
        <v>496</v>
      </c>
      <c r="O2402" t="s">
        <v>82</v>
      </c>
      <c r="P2402" t="str">
        <f>"4170039534                    "</f>
        <v xml:space="preserve">4170039534                    </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0</v>
      </c>
      <c r="AJ2402">
        <v>0</v>
      </c>
      <c r="AK2402">
        <v>0</v>
      </c>
      <c r="AL2402">
        <v>0</v>
      </c>
      <c r="AM2402">
        <v>0</v>
      </c>
      <c r="AN2402">
        <v>0</v>
      </c>
      <c r="AO2402">
        <v>0</v>
      </c>
      <c r="AP2402">
        <v>0</v>
      </c>
      <c r="AQ2402">
        <v>21.38</v>
      </c>
      <c r="AR2402">
        <v>0</v>
      </c>
      <c r="AS2402">
        <v>0</v>
      </c>
      <c r="AT2402">
        <v>0</v>
      </c>
      <c r="AU2402">
        <v>0</v>
      </c>
      <c r="AV2402">
        <v>0</v>
      </c>
      <c r="AW2402">
        <v>0</v>
      </c>
      <c r="AX2402">
        <v>0</v>
      </c>
      <c r="AY2402">
        <v>0</v>
      </c>
      <c r="AZ2402">
        <v>0</v>
      </c>
      <c r="BA2402">
        <v>0</v>
      </c>
      <c r="BB2402">
        <v>0</v>
      </c>
      <c r="BC2402">
        <v>0</v>
      </c>
      <c r="BD2402">
        <v>0</v>
      </c>
      <c r="BE2402">
        <v>0</v>
      </c>
      <c r="BF2402">
        <v>0</v>
      </c>
      <c r="BG2402">
        <v>0</v>
      </c>
      <c r="BH2402">
        <v>1</v>
      </c>
      <c r="BI2402">
        <v>1</v>
      </c>
      <c r="BJ2402">
        <v>1.4</v>
      </c>
      <c r="BK2402">
        <v>1.5</v>
      </c>
      <c r="BL2402">
        <v>69.98</v>
      </c>
      <c r="BM2402">
        <v>10.5</v>
      </c>
      <c r="BN2402">
        <v>80.48</v>
      </c>
      <c r="BO2402">
        <v>80.48</v>
      </c>
      <c r="BQ2402" t="s">
        <v>497</v>
      </c>
      <c r="BR2402" t="s">
        <v>84</v>
      </c>
      <c r="BS2402" s="3">
        <v>45798</v>
      </c>
      <c r="BT2402" s="4">
        <v>0.38819444444444445</v>
      </c>
      <c r="BU2402" t="s">
        <v>2190</v>
      </c>
      <c r="BV2402" t="s">
        <v>86</v>
      </c>
      <c r="BY2402">
        <v>7000</v>
      </c>
      <c r="CA2402" t="s">
        <v>242</v>
      </c>
      <c r="CC2402" t="s">
        <v>131</v>
      </c>
      <c r="CD2402">
        <v>8001</v>
      </c>
      <c r="CE2402" t="s">
        <v>96</v>
      </c>
      <c r="CF2402" s="3">
        <v>45799</v>
      </c>
      <c r="CI2402">
        <v>1</v>
      </c>
      <c r="CJ2402">
        <v>1</v>
      </c>
      <c r="CK2402">
        <v>21</v>
      </c>
      <c r="CL2402" t="s">
        <v>89</v>
      </c>
    </row>
    <row r="2403" spans="1:90" x14ac:dyDescent="0.3">
      <c r="A2403" t="s">
        <v>72</v>
      </c>
      <c r="B2403" t="s">
        <v>73</v>
      </c>
      <c r="C2403" t="s">
        <v>74</v>
      </c>
      <c r="E2403" t="str">
        <f>"080065468202"</f>
        <v>080065468202</v>
      </c>
      <c r="F2403" s="3">
        <v>45797</v>
      </c>
      <c r="G2403">
        <v>202602</v>
      </c>
      <c r="H2403" t="s">
        <v>75</v>
      </c>
      <c r="I2403" t="s">
        <v>76</v>
      </c>
      <c r="J2403" t="s">
        <v>77</v>
      </c>
      <c r="K2403" t="s">
        <v>78</v>
      </c>
      <c r="L2403" t="s">
        <v>130</v>
      </c>
      <c r="M2403" t="s">
        <v>131</v>
      </c>
      <c r="N2403" t="s">
        <v>496</v>
      </c>
      <c r="O2403" t="s">
        <v>82</v>
      </c>
      <c r="P2403" t="str">
        <f>"4170039535                    "</f>
        <v xml:space="preserve">4170039535                    </v>
      </c>
      <c r="Q2403">
        <v>0</v>
      </c>
      <c r="R2403">
        <v>0</v>
      </c>
      <c r="S2403">
        <v>0</v>
      </c>
      <c r="T2403">
        <v>0</v>
      </c>
      <c r="U2403">
        <v>0</v>
      </c>
      <c r="V2403">
        <v>0</v>
      </c>
      <c r="W2403">
        <v>0</v>
      </c>
      <c r="X2403">
        <v>0</v>
      </c>
      <c r="Y2403">
        <v>0</v>
      </c>
      <c r="Z2403">
        <v>0</v>
      </c>
      <c r="AA2403">
        <v>0</v>
      </c>
      <c r="AB2403">
        <v>0</v>
      </c>
      <c r="AC2403">
        <v>0</v>
      </c>
      <c r="AD2403">
        <v>0</v>
      </c>
      <c r="AE2403">
        <v>0</v>
      </c>
      <c r="AF2403">
        <v>0</v>
      </c>
      <c r="AG2403">
        <v>0</v>
      </c>
      <c r="AH2403">
        <v>0</v>
      </c>
      <c r="AI2403">
        <v>0</v>
      </c>
      <c r="AJ2403">
        <v>0</v>
      </c>
      <c r="AK2403">
        <v>0</v>
      </c>
      <c r="AL2403">
        <v>0</v>
      </c>
      <c r="AM2403">
        <v>0</v>
      </c>
      <c r="AN2403">
        <v>0</v>
      </c>
      <c r="AO2403">
        <v>0</v>
      </c>
      <c r="AP2403">
        <v>0</v>
      </c>
      <c r="AQ2403">
        <v>21.38</v>
      </c>
      <c r="AR2403">
        <v>0</v>
      </c>
      <c r="AS2403">
        <v>0</v>
      </c>
      <c r="AT2403">
        <v>0</v>
      </c>
      <c r="AU2403">
        <v>0</v>
      </c>
      <c r="AV2403">
        <v>0</v>
      </c>
      <c r="AW2403">
        <v>0</v>
      </c>
      <c r="AX2403">
        <v>0</v>
      </c>
      <c r="AY2403">
        <v>0</v>
      </c>
      <c r="AZ2403">
        <v>0</v>
      </c>
      <c r="BA2403">
        <v>0</v>
      </c>
      <c r="BB2403">
        <v>0</v>
      </c>
      <c r="BC2403">
        <v>0</v>
      </c>
      <c r="BD2403">
        <v>0</v>
      </c>
      <c r="BE2403">
        <v>0</v>
      </c>
      <c r="BF2403">
        <v>0</v>
      </c>
      <c r="BG2403">
        <v>0</v>
      </c>
      <c r="BH2403">
        <v>1</v>
      </c>
      <c r="BI2403">
        <v>1</v>
      </c>
      <c r="BJ2403">
        <v>0.2</v>
      </c>
      <c r="BK2403">
        <v>1</v>
      </c>
      <c r="BL2403">
        <v>69.98</v>
      </c>
      <c r="BM2403">
        <v>10.5</v>
      </c>
      <c r="BN2403">
        <v>80.48</v>
      </c>
      <c r="BO2403">
        <v>80.48</v>
      </c>
      <c r="BQ2403" t="s">
        <v>497</v>
      </c>
      <c r="BR2403" t="s">
        <v>84</v>
      </c>
      <c r="BS2403" s="3">
        <v>45798</v>
      </c>
      <c r="BT2403" s="4">
        <v>0.38819444444444445</v>
      </c>
      <c r="BU2403" t="s">
        <v>2190</v>
      </c>
      <c r="BV2403" t="s">
        <v>86</v>
      </c>
      <c r="BY2403">
        <v>1200</v>
      </c>
      <c r="CA2403" t="s">
        <v>242</v>
      </c>
      <c r="CC2403" t="s">
        <v>131</v>
      </c>
      <c r="CD2403">
        <v>8001</v>
      </c>
      <c r="CE2403" t="s">
        <v>88</v>
      </c>
      <c r="CF2403" s="3">
        <v>45799</v>
      </c>
      <c r="CI2403">
        <v>1</v>
      </c>
      <c r="CJ2403">
        <v>1</v>
      </c>
      <c r="CK2403">
        <v>21</v>
      </c>
      <c r="CL2403" t="s">
        <v>89</v>
      </c>
    </row>
    <row r="2404" spans="1:90" x14ac:dyDescent="0.3">
      <c r="A2404" t="s">
        <v>72</v>
      </c>
      <c r="B2404" t="s">
        <v>73</v>
      </c>
      <c r="C2404" t="s">
        <v>74</v>
      </c>
      <c r="E2404" t="str">
        <f>"080065468239"</f>
        <v>080065468239</v>
      </c>
      <c r="F2404" s="3">
        <v>45797</v>
      </c>
      <c r="G2404">
        <v>202602</v>
      </c>
      <c r="H2404" t="s">
        <v>75</v>
      </c>
      <c r="I2404" t="s">
        <v>76</v>
      </c>
      <c r="J2404" t="s">
        <v>77</v>
      </c>
      <c r="K2404" t="s">
        <v>78</v>
      </c>
      <c r="L2404" t="s">
        <v>1503</v>
      </c>
      <c r="M2404" t="s">
        <v>1504</v>
      </c>
      <c r="N2404" t="s">
        <v>2536</v>
      </c>
      <c r="O2404" t="s">
        <v>82</v>
      </c>
      <c r="P2404" t="str">
        <f>"4170039660                    "</f>
        <v xml:space="preserve">4170039660                    </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0</v>
      </c>
      <c r="AJ2404">
        <v>0</v>
      </c>
      <c r="AK2404">
        <v>0</v>
      </c>
      <c r="AL2404">
        <v>0</v>
      </c>
      <c r="AM2404">
        <v>0</v>
      </c>
      <c r="AN2404">
        <v>0</v>
      </c>
      <c r="AO2404">
        <v>0</v>
      </c>
      <c r="AP2404">
        <v>0</v>
      </c>
      <c r="AQ2404">
        <v>69.489999999999995</v>
      </c>
      <c r="AR2404">
        <v>0</v>
      </c>
      <c r="AS2404">
        <v>0</v>
      </c>
      <c r="AT2404">
        <v>0</v>
      </c>
      <c r="AU2404">
        <v>0</v>
      </c>
      <c r="AV2404">
        <v>0</v>
      </c>
      <c r="AW2404">
        <v>0</v>
      </c>
      <c r="AX2404">
        <v>0</v>
      </c>
      <c r="AY2404">
        <v>0</v>
      </c>
      <c r="AZ2404">
        <v>0</v>
      </c>
      <c r="BA2404">
        <v>0</v>
      </c>
      <c r="BB2404">
        <v>0</v>
      </c>
      <c r="BC2404">
        <v>0</v>
      </c>
      <c r="BD2404">
        <v>0</v>
      </c>
      <c r="BE2404">
        <v>0</v>
      </c>
      <c r="BF2404">
        <v>0</v>
      </c>
      <c r="BG2404">
        <v>0</v>
      </c>
      <c r="BH2404">
        <v>1</v>
      </c>
      <c r="BI2404">
        <v>1</v>
      </c>
      <c r="BJ2404">
        <v>3.2</v>
      </c>
      <c r="BK2404">
        <v>3.5</v>
      </c>
      <c r="BL2404">
        <v>227.43</v>
      </c>
      <c r="BM2404">
        <v>34.11</v>
      </c>
      <c r="BN2404">
        <v>261.54000000000002</v>
      </c>
      <c r="BO2404">
        <v>261.54000000000002</v>
      </c>
      <c r="BQ2404" t="s">
        <v>2537</v>
      </c>
      <c r="BR2404" t="s">
        <v>84</v>
      </c>
      <c r="BS2404" s="3">
        <v>45798</v>
      </c>
      <c r="BT2404" s="4">
        <v>0.41597222222222224</v>
      </c>
      <c r="BU2404" t="s">
        <v>2688</v>
      </c>
      <c r="BV2404" t="s">
        <v>86</v>
      </c>
      <c r="BY2404">
        <v>15834</v>
      </c>
      <c r="CA2404" t="s">
        <v>2538</v>
      </c>
      <c r="CC2404" t="s">
        <v>1504</v>
      </c>
      <c r="CD2404">
        <v>4340</v>
      </c>
      <c r="CE2404" t="s">
        <v>96</v>
      </c>
      <c r="CF2404" s="3">
        <v>45799</v>
      </c>
      <c r="CI2404">
        <v>1</v>
      </c>
      <c r="CJ2404">
        <v>1</v>
      </c>
      <c r="CK2404">
        <v>23</v>
      </c>
      <c r="CL2404" t="s">
        <v>89</v>
      </c>
    </row>
    <row r="2405" spans="1:90" x14ac:dyDescent="0.3">
      <c r="A2405" t="s">
        <v>72</v>
      </c>
      <c r="B2405" t="s">
        <v>73</v>
      </c>
      <c r="C2405" t="s">
        <v>74</v>
      </c>
      <c r="E2405" t="str">
        <f>"080065468280"</f>
        <v>080065468280</v>
      </c>
      <c r="F2405" s="3">
        <v>45797</v>
      </c>
      <c r="G2405">
        <v>202602</v>
      </c>
      <c r="H2405" t="s">
        <v>75</v>
      </c>
      <c r="I2405" t="s">
        <v>76</v>
      </c>
      <c r="J2405" t="s">
        <v>77</v>
      </c>
      <c r="K2405" t="s">
        <v>78</v>
      </c>
      <c r="L2405" t="s">
        <v>136</v>
      </c>
      <c r="M2405" t="s">
        <v>137</v>
      </c>
      <c r="N2405" t="s">
        <v>250</v>
      </c>
      <c r="O2405" t="s">
        <v>82</v>
      </c>
      <c r="P2405" t="str">
        <f>"4170039659                    "</f>
        <v xml:space="preserve">4170039659                    </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c r="AI2405">
        <v>0</v>
      </c>
      <c r="AJ2405">
        <v>0</v>
      </c>
      <c r="AK2405">
        <v>0</v>
      </c>
      <c r="AL2405">
        <v>0</v>
      </c>
      <c r="AM2405">
        <v>0</v>
      </c>
      <c r="AN2405">
        <v>0</v>
      </c>
      <c r="AO2405">
        <v>0</v>
      </c>
      <c r="AP2405">
        <v>0</v>
      </c>
      <c r="AQ2405">
        <v>37.409999999999997</v>
      </c>
      <c r="AR2405">
        <v>0</v>
      </c>
      <c r="AS2405">
        <v>0</v>
      </c>
      <c r="AT2405">
        <v>0</v>
      </c>
      <c r="AU2405">
        <v>0</v>
      </c>
      <c r="AV2405">
        <v>0</v>
      </c>
      <c r="AW2405">
        <v>0</v>
      </c>
      <c r="AX2405">
        <v>0</v>
      </c>
      <c r="AY2405">
        <v>0</v>
      </c>
      <c r="AZ2405">
        <v>0</v>
      </c>
      <c r="BA2405">
        <v>0</v>
      </c>
      <c r="BB2405">
        <v>0</v>
      </c>
      <c r="BC2405">
        <v>0</v>
      </c>
      <c r="BD2405">
        <v>0</v>
      </c>
      <c r="BE2405">
        <v>0</v>
      </c>
      <c r="BF2405">
        <v>0</v>
      </c>
      <c r="BG2405">
        <v>0</v>
      </c>
      <c r="BH2405">
        <v>1</v>
      </c>
      <c r="BI2405">
        <v>2</v>
      </c>
      <c r="BJ2405">
        <v>3.1</v>
      </c>
      <c r="BK2405">
        <v>3.5</v>
      </c>
      <c r="BL2405">
        <v>122.43</v>
      </c>
      <c r="BM2405">
        <v>18.36</v>
      </c>
      <c r="BN2405">
        <v>140.79</v>
      </c>
      <c r="BO2405">
        <v>140.79</v>
      </c>
      <c r="BQ2405" t="s">
        <v>251</v>
      </c>
      <c r="BR2405" t="s">
        <v>84</v>
      </c>
      <c r="BS2405" s="3">
        <v>45798</v>
      </c>
      <c r="BT2405" s="4">
        <v>0.42777777777777776</v>
      </c>
      <c r="BU2405" t="s">
        <v>252</v>
      </c>
      <c r="BV2405" t="s">
        <v>86</v>
      </c>
      <c r="BY2405">
        <v>15360</v>
      </c>
      <c r="CA2405" t="s">
        <v>253</v>
      </c>
      <c r="CC2405" t="s">
        <v>137</v>
      </c>
      <c r="CD2405" s="5" t="s">
        <v>254</v>
      </c>
      <c r="CE2405" t="s">
        <v>116</v>
      </c>
      <c r="CF2405" s="3">
        <v>45799</v>
      </c>
      <c r="CI2405">
        <v>1</v>
      </c>
      <c r="CJ2405">
        <v>1</v>
      </c>
      <c r="CK2405">
        <v>21</v>
      </c>
      <c r="CL2405" t="s">
        <v>89</v>
      </c>
    </row>
    <row r="2406" spans="1:90" x14ac:dyDescent="0.3">
      <c r="A2406" t="s">
        <v>72</v>
      </c>
      <c r="B2406" t="s">
        <v>73</v>
      </c>
      <c r="C2406" t="s">
        <v>74</v>
      </c>
      <c r="E2406" t="str">
        <f>"080065468321"</f>
        <v>080065468321</v>
      </c>
      <c r="F2406" s="3">
        <v>45797</v>
      </c>
      <c r="G2406">
        <v>202602</v>
      </c>
      <c r="H2406" t="s">
        <v>75</v>
      </c>
      <c r="I2406" t="s">
        <v>76</v>
      </c>
      <c r="J2406" t="s">
        <v>77</v>
      </c>
      <c r="K2406" t="s">
        <v>78</v>
      </c>
      <c r="L2406" t="s">
        <v>90</v>
      </c>
      <c r="M2406" t="s">
        <v>91</v>
      </c>
      <c r="N2406" t="s">
        <v>385</v>
      </c>
      <c r="O2406" t="s">
        <v>82</v>
      </c>
      <c r="P2406" t="str">
        <f>"4170039654                    "</f>
        <v xml:space="preserve">4170039654                    </v>
      </c>
      <c r="Q2406">
        <v>0</v>
      </c>
      <c r="R2406">
        <v>0</v>
      </c>
      <c r="S2406">
        <v>0</v>
      </c>
      <c r="T2406">
        <v>0</v>
      </c>
      <c r="U2406">
        <v>0</v>
      </c>
      <c r="V2406">
        <v>0</v>
      </c>
      <c r="W2406">
        <v>0</v>
      </c>
      <c r="X2406">
        <v>0</v>
      </c>
      <c r="Y2406">
        <v>0</v>
      </c>
      <c r="Z2406">
        <v>0</v>
      </c>
      <c r="AA2406">
        <v>0</v>
      </c>
      <c r="AB2406">
        <v>0</v>
      </c>
      <c r="AC2406">
        <v>0</v>
      </c>
      <c r="AD2406">
        <v>0</v>
      </c>
      <c r="AE2406">
        <v>0</v>
      </c>
      <c r="AF2406">
        <v>0</v>
      </c>
      <c r="AG2406">
        <v>0</v>
      </c>
      <c r="AH2406">
        <v>0</v>
      </c>
      <c r="AI2406">
        <v>0</v>
      </c>
      <c r="AJ2406">
        <v>0</v>
      </c>
      <c r="AK2406">
        <v>0</v>
      </c>
      <c r="AL2406">
        <v>0</v>
      </c>
      <c r="AM2406">
        <v>0</v>
      </c>
      <c r="AN2406">
        <v>0</v>
      </c>
      <c r="AO2406">
        <v>0</v>
      </c>
      <c r="AP2406">
        <v>0</v>
      </c>
      <c r="AQ2406">
        <v>21.38</v>
      </c>
      <c r="AR2406">
        <v>0</v>
      </c>
      <c r="AS2406">
        <v>0</v>
      </c>
      <c r="AT2406">
        <v>0</v>
      </c>
      <c r="AU2406">
        <v>0</v>
      </c>
      <c r="AV2406">
        <v>0</v>
      </c>
      <c r="AW2406">
        <v>0</v>
      </c>
      <c r="AX2406">
        <v>0</v>
      </c>
      <c r="AY2406">
        <v>0</v>
      </c>
      <c r="AZ2406">
        <v>0</v>
      </c>
      <c r="BA2406">
        <v>0</v>
      </c>
      <c r="BB2406">
        <v>0</v>
      </c>
      <c r="BC2406">
        <v>0</v>
      </c>
      <c r="BD2406">
        <v>0</v>
      </c>
      <c r="BE2406">
        <v>0</v>
      </c>
      <c r="BF2406">
        <v>0</v>
      </c>
      <c r="BG2406">
        <v>0</v>
      </c>
      <c r="BH2406">
        <v>1</v>
      </c>
      <c r="BI2406">
        <v>1</v>
      </c>
      <c r="BJ2406">
        <v>1.3</v>
      </c>
      <c r="BK2406">
        <v>1.5</v>
      </c>
      <c r="BL2406">
        <v>69.98</v>
      </c>
      <c r="BM2406">
        <v>10.5</v>
      </c>
      <c r="BN2406">
        <v>80.48</v>
      </c>
      <c r="BO2406">
        <v>80.48</v>
      </c>
      <c r="BQ2406" t="s">
        <v>386</v>
      </c>
      <c r="BR2406" t="s">
        <v>84</v>
      </c>
      <c r="BS2406" s="3">
        <v>45798</v>
      </c>
      <c r="BT2406" s="4">
        <v>0.43541666666666667</v>
      </c>
      <c r="BU2406" t="s">
        <v>747</v>
      </c>
      <c r="BV2406" t="s">
        <v>86</v>
      </c>
      <c r="BY2406">
        <v>6384</v>
      </c>
      <c r="CA2406" t="s">
        <v>95</v>
      </c>
      <c r="CC2406" t="s">
        <v>91</v>
      </c>
      <c r="CD2406">
        <v>6056</v>
      </c>
      <c r="CE2406" t="s">
        <v>116</v>
      </c>
      <c r="CF2406" s="3">
        <v>45798</v>
      </c>
      <c r="CI2406">
        <v>1</v>
      </c>
      <c r="CJ2406">
        <v>1</v>
      </c>
      <c r="CK2406">
        <v>21</v>
      </c>
      <c r="CL2406" t="s">
        <v>89</v>
      </c>
    </row>
    <row r="2407" spans="1:90" x14ac:dyDescent="0.3">
      <c r="A2407" t="s">
        <v>72</v>
      </c>
      <c r="B2407" t="s">
        <v>73</v>
      </c>
      <c r="C2407" t="s">
        <v>74</v>
      </c>
      <c r="E2407" t="str">
        <f>"080065468359"</f>
        <v>080065468359</v>
      </c>
      <c r="F2407" s="3">
        <v>45797</v>
      </c>
      <c r="G2407">
        <v>202602</v>
      </c>
      <c r="H2407" t="s">
        <v>75</v>
      </c>
      <c r="I2407" t="s">
        <v>76</v>
      </c>
      <c r="J2407" t="s">
        <v>77</v>
      </c>
      <c r="K2407" t="s">
        <v>78</v>
      </c>
      <c r="L2407" t="s">
        <v>489</v>
      </c>
      <c r="M2407" t="s">
        <v>490</v>
      </c>
      <c r="N2407" t="s">
        <v>491</v>
      </c>
      <c r="O2407" t="s">
        <v>82</v>
      </c>
      <c r="P2407" t="str">
        <f>"4170039551                    "</f>
        <v xml:space="preserve">4170039551                    </v>
      </c>
      <c r="Q2407">
        <v>0</v>
      </c>
      <c r="R2407">
        <v>0</v>
      </c>
      <c r="S2407">
        <v>0</v>
      </c>
      <c r="T2407">
        <v>0</v>
      </c>
      <c r="U2407">
        <v>0</v>
      </c>
      <c r="V2407">
        <v>0</v>
      </c>
      <c r="W2407">
        <v>0</v>
      </c>
      <c r="X2407">
        <v>0</v>
      </c>
      <c r="Y2407">
        <v>0</v>
      </c>
      <c r="Z2407">
        <v>0</v>
      </c>
      <c r="AA2407">
        <v>0</v>
      </c>
      <c r="AB2407">
        <v>0</v>
      </c>
      <c r="AC2407">
        <v>0</v>
      </c>
      <c r="AD2407">
        <v>0</v>
      </c>
      <c r="AE2407">
        <v>0</v>
      </c>
      <c r="AF2407">
        <v>0</v>
      </c>
      <c r="AG2407">
        <v>0</v>
      </c>
      <c r="AH2407">
        <v>0</v>
      </c>
      <c r="AI2407">
        <v>0</v>
      </c>
      <c r="AJ2407">
        <v>0</v>
      </c>
      <c r="AK2407">
        <v>0</v>
      </c>
      <c r="AL2407">
        <v>0</v>
      </c>
      <c r="AM2407">
        <v>0</v>
      </c>
      <c r="AN2407">
        <v>0</v>
      </c>
      <c r="AO2407">
        <v>0</v>
      </c>
      <c r="AP2407">
        <v>0</v>
      </c>
      <c r="AQ2407">
        <v>41.43</v>
      </c>
      <c r="AR2407">
        <v>0</v>
      </c>
      <c r="AS2407">
        <v>0</v>
      </c>
      <c r="AT2407">
        <v>0</v>
      </c>
      <c r="AU2407">
        <v>0</v>
      </c>
      <c r="AV2407">
        <v>0</v>
      </c>
      <c r="AW2407">
        <v>0</v>
      </c>
      <c r="AX2407">
        <v>0</v>
      </c>
      <c r="AY2407">
        <v>0</v>
      </c>
      <c r="AZ2407">
        <v>0</v>
      </c>
      <c r="BA2407">
        <v>0</v>
      </c>
      <c r="BB2407">
        <v>0</v>
      </c>
      <c r="BC2407">
        <v>0</v>
      </c>
      <c r="BD2407">
        <v>0</v>
      </c>
      <c r="BE2407">
        <v>0</v>
      </c>
      <c r="BF2407">
        <v>0</v>
      </c>
      <c r="BG2407">
        <v>0</v>
      </c>
      <c r="BH2407">
        <v>1</v>
      </c>
      <c r="BI2407">
        <v>2</v>
      </c>
      <c r="BJ2407">
        <v>0.6</v>
      </c>
      <c r="BK2407">
        <v>2</v>
      </c>
      <c r="BL2407">
        <v>135.59</v>
      </c>
      <c r="BM2407">
        <v>20.34</v>
      </c>
      <c r="BN2407">
        <v>155.93</v>
      </c>
      <c r="BO2407">
        <v>155.93</v>
      </c>
      <c r="BQ2407" t="s">
        <v>492</v>
      </c>
      <c r="BR2407" t="s">
        <v>84</v>
      </c>
      <c r="BS2407" s="3">
        <v>45798</v>
      </c>
      <c r="BT2407" s="4">
        <v>0.31597222222222221</v>
      </c>
      <c r="BU2407" t="s">
        <v>2689</v>
      </c>
      <c r="BV2407" t="s">
        <v>86</v>
      </c>
      <c r="BY2407">
        <v>3192</v>
      </c>
      <c r="CA2407" t="s">
        <v>1268</v>
      </c>
      <c r="CC2407" t="s">
        <v>490</v>
      </c>
      <c r="CD2407">
        <v>2740</v>
      </c>
      <c r="CE2407" t="s">
        <v>116</v>
      </c>
      <c r="CF2407" s="3">
        <v>45799</v>
      </c>
      <c r="CI2407">
        <v>1</v>
      </c>
      <c r="CJ2407">
        <v>1</v>
      </c>
      <c r="CK2407">
        <v>23</v>
      </c>
      <c r="CL2407" t="s">
        <v>89</v>
      </c>
    </row>
    <row r="2408" spans="1:90" x14ac:dyDescent="0.3">
      <c r="A2408" t="s">
        <v>72</v>
      </c>
      <c r="B2408" t="s">
        <v>73</v>
      </c>
      <c r="C2408" t="s">
        <v>74</v>
      </c>
      <c r="E2408" t="str">
        <f>"080065468538"</f>
        <v>080065468538</v>
      </c>
      <c r="F2408" s="3">
        <v>45797</v>
      </c>
      <c r="G2408">
        <v>202602</v>
      </c>
      <c r="H2408" t="s">
        <v>75</v>
      </c>
      <c r="I2408" t="s">
        <v>76</v>
      </c>
      <c r="J2408" t="s">
        <v>77</v>
      </c>
      <c r="K2408" t="s">
        <v>78</v>
      </c>
      <c r="L2408" t="s">
        <v>130</v>
      </c>
      <c r="M2408" t="s">
        <v>131</v>
      </c>
      <c r="N2408" t="s">
        <v>239</v>
      </c>
      <c r="O2408" t="s">
        <v>82</v>
      </c>
      <c r="P2408" t="str">
        <f>"4170039670                    "</f>
        <v xml:space="preserve">4170039670                    </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c r="AI2408">
        <v>0</v>
      </c>
      <c r="AJ2408">
        <v>0</v>
      </c>
      <c r="AK2408">
        <v>0</v>
      </c>
      <c r="AL2408">
        <v>0</v>
      </c>
      <c r="AM2408">
        <v>0</v>
      </c>
      <c r="AN2408">
        <v>0</v>
      </c>
      <c r="AO2408">
        <v>0</v>
      </c>
      <c r="AP2408">
        <v>0</v>
      </c>
      <c r="AQ2408">
        <v>21.38</v>
      </c>
      <c r="AR2408">
        <v>0</v>
      </c>
      <c r="AS2408">
        <v>0</v>
      </c>
      <c r="AT2408">
        <v>0</v>
      </c>
      <c r="AU2408">
        <v>0</v>
      </c>
      <c r="AV2408">
        <v>0</v>
      </c>
      <c r="AW2408">
        <v>0</v>
      </c>
      <c r="AX2408">
        <v>0</v>
      </c>
      <c r="AY2408">
        <v>0</v>
      </c>
      <c r="AZ2408">
        <v>0</v>
      </c>
      <c r="BA2408">
        <v>0</v>
      </c>
      <c r="BB2408">
        <v>0</v>
      </c>
      <c r="BC2408">
        <v>0</v>
      </c>
      <c r="BD2408">
        <v>0</v>
      </c>
      <c r="BE2408">
        <v>0</v>
      </c>
      <c r="BF2408">
        <v>0</v>
      </c>
      <c r="BG2408">
        <v>0</v>
      </c>
      <c r="BH2408">
        <v>1</v>
      </c>
      <c r="BI2408">
        <v>1</v>
      </c>
      <c r="BJ2408">
        <v>0.2</v>
      </c>
      <c r="BK2408">
        <v>1</v>
      </c>
      <c r="BL2408">
        <v>69.98</v>
      </c>
      <c r="BM2408">
        <v>10.5</v>
      </c>
      <c r="BN2408">
        <v>80.48</v>
      </c>
      <c r="BO2408">
        <v>80.48</v>
      </c>
      <c r="BQ2408" t="s">
        <v>240</v>
      </c>
      <c r="BR2408" t="s">
        <v>84</v>
      </c>
      <c r="BS2408" s="3">
        <v>45798</v>
      </c>
      <c r="BT2408" s="4">
        <v>0.39930555555555558</v>
      </c>
      <c r="BU2408" t="s">
        <v>2678</v>
      </c>
      <c r="BV2408" t="s">
        <v>86</v>
      </c>
      <c r="BY2408">
        <v>1200</v>
      </c>
      <c r="CC2408" t="s">
        <v>131</v>
      </c>
      <c r="CD2408">
        <v>7441</v>
      </c>
      <c r="CE2408" t="s">
        <v>88</v>
      </c>
      <c r="CF2408" s="3">
        <v>45799</v>
      </c>
      <c r="CI2408">
        <v>1</v>
      </c>
      <c r="CJ2408">
        <v>1</v>
      </c>
      <c r="CK2408">
        <v>21</v>
      </c>
      <c r="CL2408" t="s">
        <v>89</v>
      </c>
    </row>
    <row r="2409" spans="1:90" x14ac:dyDescent="0.3">
      <c r="A2409" t="s">
        <v>72</v>
      </c>
      <c r="B2409" t="s">
        <v>73</v>
      </c>
      <c r="C2409" t="s">
        <v>74</v>
      </c>
      <c r="E2409" t="str">
        <f>"080065468587"</f>
        <v>080065468587</v>
      </c>
      <c r="F2409" s="3">
        <v>45797</v>
      </c>
      <c r="G2409">
        <v>202602</v>
      </c>
      <c r="H2409" t="s">
        <v>75</v>
      </c>
      <c r="I2409" t="s">
        <v>76</v>
      </c>
      <c r="J2409" t="s">
        <v>77</v>
      </c>
      <c r="K2409" t="s">
        <v>78</v>
      </c>
      <c r="L2409" t="s">
        <v>103</v>
      </c>
      <c r="M2409" t="s">
        <v>104</v>
      </c>
      <c r="N2409" t="s">
        <v>396</v>
      </c>
      <c r="O2409" t="s">
        <v>82</v>
      </c>
      <c r="P2409" t="str">
        <f>"4170039674                    "</f>
        <v xml:space="preserve">4170039674                    </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0</v>
      </c>
      <c r="AJ2409">
        <v>0</v>
      </c>
      <c r="AK2409">
        <v>0</v>
      </c>
      <c r="AL2409">
        <v>0</v>
      </c>
      <c r="AM2409">
        <v>0</v>
      </c>
      <c r="AN2409">
        <v>0</v>
      </c>
      <c r="AO2409">
        <v>0</v>
      </c>
      <c r="AP2409">
        <v>0</v>
      </c>
      <c r="AQ2409">
        <v>21.38</v>
      </c>
      <c r="AR2409">
        <v>0</v>
      </c>
      <c r="AS2409">
        <v>0</v>
      </c>
      <c r="AT2409">
        <v>0</v>
      </c>
      <c r="AU2409">
        <v>0</v>
      </c>
      <c r="AV2409">
        <v>0</v>
      </c>
      <c r="AW2409">
        <v>16.739999999999998</v>
      </c>
      <c r="AX2409">
        <v>0</v>
      </c>
      <c r="AY2409">
        <v>0</v>
      </c>
      <c r="AZ2409">
        <v>0</v>
      </c>
      <c r="BA2409">
        <v>0</v>
      </c>
      <c r="BB2409">
        <v>0</v>
      </c>
      <c r="BC2409">
        <v>0</v>
      </c>
      <c r="BD2409">
        <v>0</v>
      </c>
      <c r="BE2409">
        <v>0</v>
      </c>
      <c r="BF2409">
        <v>0</v>
      </c>
      <c r="BG2409">
        <v>0</v>
      </c>
      <c r="BH2409">
        <v>1</v>
      </c>
      <c r="BI2409">
        <v>1</v>
      </c>
      <c r="BJ2409">
        <v>0.2</v>
      </c>
      <c r="BK2409">
        <v>1</v>
      </c>
      <c r="BL2409">
        <v>86.72</v>
      </c>
      <c r="BM2409">
        <v>13.01</v>
      </c>
      <c r="BN2409">
        <v>99.73</v>
      </c>
      <c r="BO2409">
        <v>99.73</v>
      </c>
      <c r="BQ2409" t="s">
        <v>397</v>
      </c>
      <c r="BR2409" t="s">
        <v>84</v>
      </c>
      <c r="BS2409" s="3">
        <v>45798</v>
      </c>
      <c r="BT2409" s="4">
        <v>0.41666666666666669</v>
      </c>
      <c r="BU2409" t="s">
        <v>2690</v>
      </c>
      <c r="BV2409" t="s">
        <v>86</v>
      </c>
      <c r="BY2409">
        <v>1200</v>
      </c>
      <c r="BZ2409" t="s">
        <v>30</v>
      </c>
      <c r="CA2409" t="s">
        <v>945</v>
      </c>
      <c r="CC2409" t="s">
        <v>104</v>
      </c>
      <c r="CD2409">
        <v>3699</v>
      </c>
      <c r="CE2409" t="s">
        <v>176</v>
      </c>
      <c r="CF2409" s="3">
        <v>45799</v>
      </c>
      <c r="CI2409">
        <v>1</v>
      </c>
      <c r="CJ2409">
        <v>1</v>
      </c>
      <c r="CK2409">
        <v>21</v>
      </c>
      <c r="CL2409" t="s">
        <v>89</v>
      </c>
    </row>
    <row r="2410" spans="1:90" x14ac:dyDescent="0.3">
      <c r="A2410" t="s">
        <v>72</v>
      </c>
      <c r="B2410" t="s">
        <v>73</v>
      </c>
      <c r="C2410" t="s">
        <v>74</v>
      </c>
      <c r="E2410" t="str">
        <f>"080065468648"</f>
        <v>080065468648</v>
      </c>
      <c r="F2410" s="3">
        <v>45797</v>
      </c>
      <c r="G2410">
        <v>202602</v>
      </c>
      <c r="H2410" t="s">
        <v>75</v>
      </c>
      <c r="I2410" t="s">
        <v>76</v>
      </c>
      <c r="J2410" t="s">
        <v>77</v>
      </c>
      <c r="K2410" t="s">
        <v>78</v>
      </c>
      <c r="L2410" t="s">
        <v>75</v>
      </c>
      <c r="M2410" t="s">
        <v>76</v>
      </c>
      <c r="N2410" t="s">
        <v>346</v>
      </c>
      <c r="O2410" t="s">
        <v>82</v>
      </c>
      <c r="P2410" t="str">
        <f>"4170039636                    "</f>
        <v xml:space="preserve">4170039636                    </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0</v>
      </c>
      <c r="AJ2410">
        <v>0</v>
      </c>
      <c r="AK2410">
        <v>0</v>
      </c>
      <c r="AL2410">
        <v>0</v>
      </c>
      <c r="AM2410">
        <v>0</v>
      </c>
      <c r="AN2410">
        <v>0</v>
      </c>
      <c r="AO2410">
        <v>0</v>
      </c>
      <c r="AP2410">
        <v>0</v>
      </c>
      <c r="AQ2410">
        <v>16.7</v>
      </c>
      <c r="AR2410">
        <v>0</v>
      </c>
      <c r="AS2410">
        <v>0</v>
      </c>
      <c r="AT2410">
        <v>0</v>
      </c>
      <c r="AU2410">
        <v>0</v>
      </c>
      <c r="AV2410">
        <v>0</v>
      </c>
      <c r="AW2410">
        <v>0</v>
      </c>
      <c r="AX2410">
        <v>0</v>
      </c>
      <c r="AY2410">
        <v>0</v>
      </c>
      <c r="AZ2410">
        <v>0</v>
      </c>
      <c r="BA2410">
        <v>0</v>
      </c>
      <c r="BB2410">
        <v>0</v>
      </c>
      <c r="BC2410">
        <v>0</v>
      </c>
      <c r="BD2410">
        <v>0</v>
      </c>
      <c r="BE2410">
        <v>0</v>
      </c>
      <c r="BF2410">
        <v>0</v>
      </c>
      <c r="BG2410">
        <v>0</v>
      </c>
      <c r="BH2410">
        <v>1</v>
      </c>
      <c r="BI2410">
        <v>1</v>
      </c>
      <c r="BJ2410">
        <v>0.2</v>
      </c>
      <c r="BK2410">
        <v>1</v>
      </c>
      <c r="BL2410">
        <v>54.66</v>
      </c>
      <c r="BM2410">
        <v>8.1999999999999993</v>
      </c>
      <c r="BN2410">
        <v>62.86</v>
      </c>
      <c r="BO2410">
        <v>62.86</v>
      </c>
      <c r="BQ2410" t="s">
        <v>347</v>
      </c>
      <c r="BR2410" t="s">
        <v>84</v>
      </c>
      <c r="BS2410" s="3">
        <v>45798</v>
      </c>
      <c r="BT2410" s="4">
        <v>0.38333333333333336</v>
      </c>
      <c r="BU2410" t="s">
        <v>407</v>
      </c>
      <c r="BV2410" t="s">
        <v>86</v>
      </c>
      <c r="BY2410">
        <v>1200</v>
      </c>
      <c r="CA2410" t="s">
        <v>349</v>
      </c>
      <c r="CC2410" t="s">
        <v>76</v>
      </c>
      <c r="CD2410">
        <v>1619</v>
      </c>
      <c r="CE2410" t="s">
        <v>176</v>
      </c>
      <c r="CF2410" s="3">
        <v>45798</v>
      </c>
      <c r="CI2410">
        <v>1</v>
      </c>
      <c r="CJ2410">
        <v>1</v>
      </c>
      <c r="CK2410">
        <v>22</v>
      </c>
      <c r="CL2410" t="s">
        <v>89</v>
      </c>
    </row>
    <row r="2411" spans="1:90" x14ac:dyDescent="0.3">
      <c r="A2411" t="s">
        <v>72</v>
      </c>
      <c r="B2411" t="s">
        <v>73</v>
      </c>
      <c r="C2411" t="s">
        <v>74</v>
      </c>
      <c r="E2411" t="str">
        <f>"080065468700"</f>
        <v>080065468700</v>
      </c>
      <c r="F2411" s="3">
        <v>45797</v>
      </c>
      <c r="G2411">
        <v>202602</v>
      </c>
      <c r="H2411" t="s">
        <v>75</v>
      </c>
      <c r="I2411" t="s">
        <v>76</v>
      </c>
      <c r="J2411" t="s">
        <v>77</v>
      </c>
      <c r="K2411" t="s">
        <v>78</v>
      </c>
      <c r="L2411" t="s">
        <v>90</v>
      </c>
      <c r="M2411" t="s">
        <v>91</v>
      </c>
      <c r="N2411" t="s">
        <v>914</v>
      </c>
      <c r="O2411" t="s">
        <v>82</v>
      </c>
      <c r="P2411" t="str">
        <f>"4170039518                    "</f>
        <v xml:space="preserve">4170039518                    </v>
      </c>
      <c r="Q2411">
        <v>0</v>
      </c>
      <c r="R2411">
        <v>0</v>
      </c>
      <c r="S2411">
        <v>0</v>
      </c>
      <c r="T2411">
        <v>0</v>
      </c>
      <c r="U2411">
        <v>0</v>
      </c>
      <c r="V2411">
        <v>0</v>
      </c>
      <c r="W2411">
        <v>0</v>
      </c>
      <c r="X2411">
        <v>0</v>
      </c>
      <c r="Y2411">
        <v>0</v>
      </c>
      <c r="Z2411">
        <v>0</v>
      </c>
      <c r="AA2411">
        <v>0</v>
      </c>
      <c r="AB2411">
        <v>0</v>
      </c>
      <c r="AC2411">
        <v>0</v>
      </c>
      <c r="AD2411">
        <v>0</v>
      </c>
      <c r="AE2411">
        <v>0</v>
      </c>
      <c r="AF2411">
        <v>0</v>
      </c>
      <c r="AG2411">
        <v>0</v>
      </c>
      <c r="AH2411">
        <v>0</v>
      </c>
      <c r="AI2411">
        <v>0</v>
      </c>
      <c r="AJ2411">
        <v>0</v>
      </c>
      <c r="AK2411">
        <v>0</v>
      </c>
      <c r="AL2411">
        <v>0</v>
      </c>
      <c r="AM2411">
        <v>0</v>
      </c>
      <c r="AN2411">
        <v>0</v>
      </c>
      <c r="AO2411">
        <v>0</v>
      </c>
      <c r="AP2411">
        <v>0</v>
      </c>
      <c r="AQ2411">
        <v>21.38</v>
      </c>
      <c r="AR2411">
        <v>0</v>
      </c>
      <c r="AS2411">
        <v>0</v>
      </c>
      <c r="AT2411">
        <v>0</v>
      </c>
      <c r="AU2411">
        <v>0</v>
      </c>
      <c r="AV2411">
        <v>0</v>
      </c>
      <c r="AW2411">
        <v>0</v>
      </c>
      <c r="AX2411">
        <v>0</v>
      </c>
      <c r="AY2411">
        <v>0</v>
      </c>
      <c r="AZ2411">
        <v>0</v>
      </c>
      <c r="BA2411">
        <v>0</v>
      </c>
      <c r="BB2411">
        <v>0</v>
      </c>
      <c r="BC2411">
        <v>0</v>
      </c>
      <c r="BD2411">
        <v>0</v>
      </c>
      <c r="BE2411">
        <v>0</v>
      </c>
      <c r="BF2411">
        <v>0</v>
      </c>
      <c r="BG2411">
        <v>0</v>
      </c>
      <c r="BH2411">
        <v>1</v>
      </c>
      <c r="BI2411">
        <v>1</v>
      </c>
      <c r="BJ2411">
        <v>0.2</v>
      </c>
      <c r="BK2411">
        <v>1</v>
      </c>
      <c r="BL2411">
        <v>69.98</v>
      </c>
      <c r="BM2411">
        <v>10.5</v>
      </c>
      <c r="BN2411">
        <v>80.48</v>
      </c>
      <c r="BO2411">
        <v>80.48</v>
      </c>
      <c r="BQ2411" t="s">
        <v>915</v>
      </c>
      <c r="BR2411" t="s">
        <v>84</v>
      </c>
      <c r="BS2411" s="3">
        <v>45798</v>
      </c>
      <c r="BT2411" s="4">
        <v>0.41597222222222224</v>
      </c>
      <c r="BU2411" t="s">
        <v>1926</v>
      </c>
      <c r="BV2411" t="s">
        <v>86</v>
      </c>
      <c r="BY2411">
        <v>1200</v>
      </c>
      <c r="CA2411" t="s">
        <v>95</v>
      </c>
      <c r="CC2411" t="s">
        <v>91</v>
      </c>
      <c r="CD2411">
        <v>6001</v>
      </c>
      <c r="CE2411" t="s">
        <v>176</v>
      </c>
      <c r="CF2411" s="3">
        <v>45798</v>
      </c>
      <c r="CI2411">
        <v>1</v>
      </c>
      <c r="CJ2411">
        <v>1</v>
      </c>
      <c r="CK2411">
        <v>21</v>
      </c>
      <c r="CL2411" t="s">
        <v>89</v>
      </c>
    </row>
    <row r="2412" spans="1:90" x14ac:dyDescent="0.3">
      <c r="A2412" t="s">
        <v>72</v>
      </c>
      <c r="B2412" t="s">
        <v>73</v>
      </c>
      <c r="C2412" t="s">
        <v>74</v>
      </c>
      <c r="E2412" t="str">
        <f>"080065468784"</f>
        <v>080065468784</v>
      </c>
      <c r="F2412" s="3">
        <v>45797</v>
      </c>
      <c r="G2412">
        <v>202602</v>
      </c>
      <c r="H2412" t="s">
        <v>75</v>
      </c>
      <c r="I2412" t="s">
        <v>76</v>
      </c>
      <c r="J2412" t="s">
        <v>77</v>
      </c>
      <c r="K2412" t="s">
        <v>78</v>
      </c>
      <c r="L2412" t="s">
        <v>463</v>
      </c>
      <c r="M2412" t="s">
        <v>464</v>
      </c>
      <c r="N2412" t="s">
        <v>2664</v>
      </c>
      <c r="O2412" t="s">
        <v>82</v>
      </c>
      <c r="P2412" t="str">
        <f>"4170039553                    "</f>
        <v xml:space="preserve">4170039553                    </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0</v>
      </c>
      <c r="AJ2412">
        <v>0</v>
      </c>
      <c r="AK2412">
        <v>0</v>
      </c>
      <c r="AL2412">
        <v>0</v>
      </c>
      <c r="AM2412">
        <v>0</v>
      </c>
      <c r="AN2412">
        <v>0</v>
      </c>
      <c r="AO2412">
        <v>0</v>
      </c>
      <c r="AP2412">
        <v>0</v>
      </c>
      <c r="AQ2412">
        <v>21.38</v>
      </c>
      <c r="AR2412">
        <v>0</v>
      </c>
      <c r="AS2412">
        <v>0</v>
      </c>
      <c r="AT2412">
        <v>0</v>
      </c>
      <c r="AU2412">
        <v>0</v>
      </c>
      <c r="AV2412">
        <v>0</v>
      </c>
      <c r="AW2412">
        <v>0</v>
      </c>
      <c r="AX2412">
        <v>0</v>
      </c>
      <c r="AY2412">
        <v>0</v>
      </c>
      <c r="AZ2412">
        <v>0</v>
      </c>
      <c r="BA2412">
        <v>0</v>
      </c>
      <c r="BB2412">
        <v>0</v>
      </c>
      <c r="BC2412">
        <v>0</v>
      </c>
      <c r="BD2412">
        <v>0</v>
      </c>
      <c r="BE2412">
        <v>0</v>
      </c>
      <c r="BF2412">
        <v>0</v>
      </c>
      <c r="BG2412">
        <v>0</v>
      </c>
      <c r="BH2412">
        <v>1</v>
      </c>
      <c r="BI2412">
        <v>1</v>
      </c>
      <c r="BJ2412">
        <v>0.2</v>
      </c>
      <c r="BK2412">
        <v>1</v>
      </c>
      <c r="BL2412">
        <v>69.98</v>
      </c>
      <c r="BM2412">
        <v>10.5</v>
      </c>
      <c r="BN2412">
        <v>80.48</v>
      </c>
      <c r="BO2412">
        <v>80.48</v>
      </c>
      <c r="BQ2412" t="s">
        <v>2665</v>
      </c>
      <c r="BR2412" t="s">
        <v>84</v>
      </c>
      <c r="BS2412" s="3">
        <v>45798</v>
      </c>
      <c r="BT2412" s="4">
        <v>0.49861111111111112</v>
      </c>
      <c r="BU2412" t="s">
        <v>2666</v>
      </c>
      <c r="BV2412" t="s">
        <v>89</v>
      </c>
      <c r="BY2412">
        <v>1200</v>
      </c>
      <c r="CA2412" t="s">
        <v>2107</v>
      </c>
      <c r="CC2412" t="s">
        <v>464</v>
      </c>
      <c r="CD2412">
        <v>5200</v>
      </c>
      <c r="CE2412" t="s">
        <v>176</v>
      </c>
      <c r="CF2412" s="3">
        <v>45798</v>
      </c>
      <c r="CI2412">
        <v>1</v>
      </c>
      <c r="CJ2412">
        <v>1</v>
      </c>
      <c r="CK2412">
        <v>21</v>
      </c>
      <c r="CL2412" t="s">
        <v>89</v>
      </c>
    </row>
    <row r="2413" spans="1:90" x14ac:dyDescent="0.3">
      <c r="A2413" t="s">
        <v>72</v>
      </c>
      <c r="B2413" t="s">
        <v>73</v>
      </c>
      <c r="C2413" t="s">
        <v>74</v>
      </c>
      <c r="E2413" t="str">
        <f>"080065468837"</f>
        <v>080065468837</v>
      </c>
      <c r="F2413" s="3">
        <v>45797</v>
      </c>
      <c r="G2413">
        <v>202602</v>
      </c>
      <c r="H2413" t="s">
        <v>75</v>
      </c>
      <c r="I2413" t="s">
        <v>76</v>
      </c>
      <c r="J2413" t="s">
        <v>77</v>
      </c>
      <c r="K2413" t="s">
        <v>78</v>
      </c>
      <c r="L2413" t="s">
        <v>360</v>
      </c>
      <c r="M2413" t="s">
        <v>361</v>
      </c>
      <c r="N2413" t="s">
        <v>362</v>
      </c>
      <c r="O2413" t="s">
        <v>82</v>
      </c>
      <c r="P2413" t="str">
        <f>"4170039642                    "</f>
        <v xml:space="preserve">4170039642                    </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0</v>
      </c>
      <c r="AJ2413">
        <v>0</v>
      </c>
      <c r="AK2413">
        <v>0</v>
      </c>
      <c r="AL2413">
        <v>0</v>
      </c>
      <c r="AM2413">
        <v>0</v>
      </c>
      <c r="AN2413">
        <v>0</v>
      </c>
      <c r="AO2413">
        <v>0</v>
      </c>
      <c r="AP2413">
        <v>0</v>
      </c>
      <c r="AQ2413">
        <v>41.43</v>
      </c>
      <c r="AR2413">
        <v>0</v>
      </c>
      <c r="AS2413">
        <v>0</v>
      </c>
      <c r="AT2413">
        <v>0</v>
      </c>
      <c r="AU2413">
        <v>0</v>
      </c>
      <c r="AV2413">
        <v>0</v>
      </c>
      <c r="AW2413">
        <v>0</v>
      </c>
      <c r="AX2413">
        <v>0</v>
      </c>
      <c r="AY2413">
        <v>0</v>
      </c>
      <c r="AZ2413">
        <v>0</v>
      </c>
      <c r="BA2413">
        <v>0</v>
      </c>
      <c r="BB2413">
        <v>0</v>
      </c>
      <c r="BC2413">
        <v>0</v>
      </c>
      <c r="BD2413">
        <v>0</v>
      </c>
      <c r="BE2413">
        <v>0</v>
      </c>
      <c r="BF2413">
        <v>0</v>
      </c>
      <c r="BG2413">
        <v>0</v>
      </c>
      <c r="BH2413">
        <v>1</v>
      </c>
      <c r="BI2413">
        <v>1</v>
      </c>
      <c r="BJ2413">
        <v>0.2</v>
      </c>
      <c r="BK2413">
        <v>1</v>
      </c>
      <c r="BL2413">
        <v>135.59</v>
      </c>
      <c r="BM2413">
        <v>20.34</v>
      </c>
      <c r="BN2413">
        <v>155.93</v>
      </c>
      <c r="BO2413">
        <v>155.93</v>
      </c>
      <c r="BQ2413" t="s">
        <v>363</v>
      </c>
      <c r="BR2413" t="s">
        <v>84</v>
      </c>
      <c r="BS2413" s="3">
        <v>45798</v>
      </c>
      <c r="BT2413" s="4">
        <v>0.66666666666666663</v>
      </c>
      <c r="BU2413" t="s">
        <v>1246</v>
      </c>
      <c r="BV2413" t="s">
        <v>86</v>
      </c>
      <c r="BY2413">
        <v>1200</v>
      </c>
      <c r="CA2413" t="s">
        <v>365</v>
      </c>
      <c r="CC2413" t="s">
        <v>361</v>
      </c>
      <c r="CD2413">
        <v>7299</v>
      </c>
      <c r="CE2413" t="s">
        <v>176</v>
      </c>
      <c r="CF2413" s="3">
        <v>45799</v>
      </c>
      <c r="CI2413">
        <v>1</v>
      </c>
      <c r="CJ2413">
        <v>1</v>
      </c>
      <c r="CK2413">
        <v>23</v>
      </c>
      <c r="CL2413" t="s">
        <v>89</v>
      </c>
    </row>
    <row r="2414" spans="1:90" x14ac:dyDescent="0.3">
      <c r="A2414" t="s">
        <v>72</v>
      </c>
      <c r="B2414" t="s">
        <v>73</v>
      </c>
      <c r="C2414" t="s">
        <v>74</v>
      </c>
      <c r="E2414" t="str">
        <f>"080065468895"</f>
        <v>080065468895</v>
      </c>
      <c r="F2414" s="3">
        <v>45797</v>
      </c>
      <c r="G2414">
        <v>202602</v>
      </c>
      <c r="H2414" t="s">
        <v>75</v>
      </c>
      <c r="I2414" t="s">
        <v>76</v>
      </c>
      <c r="J2414" t="s">
        <v>77</v>
      </c>
      <c r="K2414" t="s">
        <v>78</v>
      </c>
      <c r="L2414" t="s">
        <v>2278</v>
      </c>
      <c r="M2414" t="s">
        <v>2279</v>
      </c>
      <c r="N2414" t="s">
        <v>2374</v>
      </c>
      <c r="O2414" t="s">
        <v>82</v>
      </c>
      <c r="P2414" t="str">
        <f>"4170039517                    "</f>
        <v xml:space="preserve">4170039517                    </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0</v>
      </c>
      <c r="AJ2414">
        <v>0</v>
      </c>
      <c r="AK2414">
        <v>0</v>
      </c>
      <c r="AL2414">
        <v>0</v>
      </c>
      <c r="AM2414">
        <v>0</v>
      </c>
      <c r="AN2414">
        <v>0</v>
      </c>
      <c r="AO2414">
        <v>0</v>
      </c>
      <c r="AP2414">
        <v>0</v>
      </c>
      <c r="AQ2414">
        <v>21.38</v>
      </c>
      <c r="AR2414">
        <v>0</v>
      </c>
      <c r="AS2414">
        <v>0</v>
      </c>
      <c r="AT2414">
        <v>0</v>
      </c>
      <c r="AU2414">
        <v>0</v>
      </c>
      <c r="AV2414">
        <v>0</v>
      </c>
      <c r="AW2414">
        <v>0</v>
      </c>
      <c r="AX2414">
        <v>0</v>
      </c>
      <c r="AY2414">
        <v>0</v>
      </c>
      <c r="AZ2414">
        <v>0</v>
      </c>
      <c r="BA2414">
        <v>0</v>
      </c>
      <c r="BB2414">
        <v>0</v>
      </c>
      <c r="BC2414">
        <v>0</v>
      </c>
      <c r="BD2414">
        <v>0</v>
      </c>
      <c r="BE2414">
        <v>0</v>
      </c>
      <c r="BF2414">
        <v>0</v>
      </c>
      <c r="BG2414">
        <v>0</v>
      </c>
      <c r="BH2414">
        <v>1</v>
      </c>
      <c r="BI2414">
        <v>1</v>
      </c>
      <c r="BJ2414">
        <v>0.2</v>
      </c>
      <c r="BK2414">
        <v>1</v>
      </c>
      <c r="BL2414">
        <v>69.98</v>
      </c>
      <c r="BM2414">
        <v>10.5</v>
      </c>
      <c r="BN2414">
        <v>80.48</v>
      </c>
      <c r="BO2414">
        <v>80.48</v>
      </c>
      <c r="BQ2414" t="s">
        <v>2375</v>
      </c>
      <c r="BR2414" t="s">
        <v>84</v>
      </c>
      <c r="BS2414" s="3">
        <v>45798</v>
      </c>
      <c r="BT2414" s="4">
        <v>0.38055555555555554</v>
      </c>
      <c r="BU2414" t="s">
        <v>2376</v>
      </c>
      <c r="BV2414" t="s">
        <v>86</v>
      </c>
      <c r="BY2414">
        <v>1200</v>
      </c>
      <c r="CA2414" t="s">
        <v>326</v>
      </c>
      <c r="CC2414" t="s">
        <v>2279</v>
      </c>
      <c r="CD2414">
        <v>4026</v>
      </c>
      <c r="CE2414" t="s">
        <v>176</v>
      </c>
      <c r="CF2414" s="3">
        <v>45798</v>
      </c>
      <c r="CI2414">
        <v>1</v>
      </c>
      <c r="CJ2414">
        <v>1</v>
      </c>
      <c r="CK2414">
        <v>21</v>
      </c>
      <c r="CL2414" t="s">
        <v>89</v>
      </c>
    </row>
    <row r="2415" spans="1:90" x14ac:dyDescent="0.3">
      <c r="A2415" t="s">
        <v>72</v>
      </c>
      <c r="B2415" t="s">
        <v>73</v>
      </c>
      <c r="C2415" t="s">
        <v>74</v>
      </c>
      <c r="E2415" t="str">
        <f>"080065469289"</f>
        <v>080065469289</v>
      </c>
      <c r="F2415" s="3">
        <v>45797</v>
      </c>
      <c r="G2415">
        <v>202602</v>
      </c>
      <c r="H2415" t="s">
        <v>75</v>
      </c>
      <c r="I2415" t="s">
        <v>76</v>
      </c>
      <c r="J2415" t="s">
        <v>77</v>
      </c>
      <c r="K2415" t="s">
        <v>78</v>
      </c>
      <c r="L2415" t="s">
        <v>90</v>
      </c>
      <c r="M2415" t="s">
        <v>91</v>
      </c>
      <c r="N2415" t="s">
        <v>563</v>
      </c>
      <c r="O2415" t="s">
        <v>300</v>
      </c>
      <c r="P2415" t="str">
        <f>"4170039658                    "</f>
        <v xml:space="preserve">4170039658                    </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0</v>
      </c>
      <c r="AJ2415">
        <v>0</v>
      </c>
      <c r="AK2415">
        <v>0</v>
      </c>
      <c r="AL2415">
        <v>0</v>
      </c>
      <c r="AM2415">
        <v>0</v>
      </c>
      <c r="AN2415">
        <v>0</v>
      </c>
      <c r="AO2415">
        <v>0</v>
      </c>
      <c r="AP2415">
        <v>0</v>
      </c>
      <c r="AQ2415">
        <v>49.89</v>
      </c>
      <c r="AR2415">
        <v>0</v>
      </c>
      <c r="AS2415">
        <v>0</v>
      </c>
      <c r="AT2415">
        <v>0</v>
      </c>
      <c r="AU2415">
        <v>0</v>
      </c>
      <c r="AV2415">
        <v>0</v>
      </c>
      <c r="AW2415">
        <v>0</v>
      </c>
      <c r="AX2415">
        <v>0</v>
      </c>
      <c r="AY2415">
        <v>0</v>
      </c>
      <c r="AZ2415">
        <v>0</v>
      </c>
      <c r="BA2415">
        <v>0</v>
      </c>
      <c r="BB2415">
        <v>0</v>
      </c>
      <c r="BC2415">
        <v>0</v>
      </c>
      <c r="BD2415">
        <v>0</v>
      </c>
      <c r="BE2415">
        <v>0</v>
      </c>
      <c r="BF2415">
        <v>0</v>
      </c>
      <c r="BG2415">
        <v>0</v>
      </c>
      <c r="BH2415">
        <v>1</v>
      </c>
      <c r="BI2415">
        <v>20</v>
      </c>
      <c r="BJ2415">
        <v>4.9000000000000004</v>
      </c>
      <c r="BK2415">
        <v>20</v>
      </c>
      <c r="BL2415">
        <v>168.84</v>
      </c>
      <c r="BM2415">
        <v>25.33</v>
      </c>
      <c r="BN2415">
        <v>194.17</v>
      </c>
      <c r="BO2415">
        <v>194.17</v>
      </c>
      <c r="BQ2415" t="s">
        <v>564</v>
      </c>
      <c r="BR2415" t="s">
        <v>84</v>
      </c>
      <c r="BS2415" s="3">
        <v>45799</v>
      </c>
      <c r="BT2415" s="4">
        <v>0.34791666666666665</v>
      </c>
      <c r="BU2415" t="s">
        <v>2691</v>
      </c>
      <c r="BV2415" t="s">
        <v>86</v>
      </c>
      <c r="BY2415">
        <v>24400</v>
      </c>
      <c r="CA2415" t="s">
        <v>566</v>
      </c>
      <c r="CC2415" t="s">
        <v>91</v>
      </c>
      <c r="CD2415">
        <v>6001</v>
      </c>
      <c r="CE2415" t="s">
        <v>96</v>
      </c>
      <c r="CF2415" s="3">
        <v>45799</v>
      </c>
      <c r="CI2415">
        <v>3</v>
      </c>
      <c r="CJ2415">
        <v>2</v>
      </c>
      <c r="CK2415">
        <v>41</v>
      </c>
      <c r="CL2415" t="s">
        <v>89</v>
      </c>
    </row>
    <row r="2416" spans="1:90" x14ac:dyDescent="0.3">
      <c r="A2416" t="s">
        <v>72</v>
      </c>
      <c r="B2416" t="s">
        <v>73</v>
      </c>
      <c r="C2416" t="s">
        <v>74</v>
      </c>
      <c r="E2416" t="str">
        <f>"080065469356"</f>
        <v>080065469356</v>
      </c>
      <c r="F2416" s="3">
        <v>45797</v>
      </c>
      <c r="G2416">
        <v>202602</v>
      </c>
      <c r="H2416" t="s">
        <v>75</v>
      </c>
      <c r="I2416" t="s">
        <v>76</v>
      </c>
      <c r="J2416" t="s">
        <v>77</v>
      </c>
      <c r="K2416" t="s">
        <v>78</v>
      </c>
      <c r="L2416" t="s">
        <v>902</v>
      </c>
      <c r="M2416" t="s">
        <v>903</v>
      </c>
      <c r="N2416" t="s">
        <v>2527</v>
      </c>
      <c r="O2416" t="s">
        <v>82</v>
      </c>
      <c r="P2416" t="str">
        <f>"4170039656                    "</f>
        <v xml:space="preserve">4170039656                    </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0</v>
      </c>
      <c r="AJ2416">
        <v>0</v>
      </c>
      <c r="AK2416">
        <v>0</v>
      </c>
      <c r="AL2416">
        <v>0</v>
      </c>
      <c r="AM2416">
        <v>0</v>
      </c>
      <c r="AN2416">
        <v>0</v>
      </c>
      <c r="AO2416">
        <v>0</v>
      </c>
      <c r="AP2416">
        <v>0</v>
      </c>
      <c r="AQ2416">
        <v>41.43</v>
      </c>
      <c r="AR2416">
        <v>0</v>
      </c>
      <c r="AS2416">
        <v>0</v>
      </c>
      <c r="AT2416">
        <v>0</v>
      </c>
      <c r="AU2416">
        <v>0</v>
      </c>
      <c r="AV2416">
        <v>0</v>
      </c>
      <c r="AW2416">
        <v>0</v>
      </c>
      <c r="AX2416">
        <v>0</v>
      </c>
      <c r="AY2416">
        <v>0</v>
      </c>
      <c r="AZ2416">
        <v>0</v>
      </c>
      <c r="BA2416">
        <v>0</v>
      </c>
      <c r="BB2416">
        <v>0</v>
      </c>
      <c r="BC2416">
        <v>0</v>
      </c>
      <c r="BD2416">
        <v>0</v>
      </c>
      <c r="BE2416">
        <v>0</v>
      </c>
      <c r="BF2416">
        <v>0</v>
      </c>
      <c r="BG2416">
        <v>0</v>
      </c>
      <c r="BH2416">
        <v>1</v>
      </c>
      <c r="BI2416">
        <v>2</v>
      </c>
      <c r="BJ2416">
        <v>1.3</v>
      </c>
      <c r="BK2416">
        <v>2</v>
      </c>
      <c r="BL2416">
        <v>135.59</v>
      </c>
      <c r="BM2416">
        <v>20.34</v>
      </c>
      <c r="BN2416">
        <v>155.93</v>
      </c>
      <c r="BO2416">
        <v>155.93</v>
      </c>
      <c r="BQ2416" t="s">
        <v>2528</v>
      </c>
      <c r="BR2416" t="s">
        <v>84</v>
      </c>
      <c r="BS2416" s="3">
        <v>45798</v>
      </c>
      <c r="BT2416" s="4">
        <v>0.49722222222222223</v>
      </c>
      <c r="BU2416" t="s">
        <v>185</v>
      </c>
      <c r="BV2416" t="s">
        <v>86</v>
      </c>
      <c r="BY2416">
        <v>6384</v>
      </c>
      <c r="CA2416" t="s">
        <v>907</v>
      </c>
      <c r="CC2416" t="s">
        <v>903</v>
      </c>
      <c r="CD2416">
        <v>1020</v>
      </c>
      <c r="CE2416" t="s">
        <v>116</v>
      </c>
      <c r="CF2416" s="3">
        <v>45798</v>
      </c>
      <c r="CI2416">
        <v>1</v>
      </c>
      <c r="CJ2416">
        <v>1</v>
      </c>
      <c r="CK2416">
        <v>23</v>
      </c>
      <c r="CL2416" t="s">
        <v>89</v>
      </c>
    </row>
    <row r="2417" spans="1:90" x14ac:dyDescent="0.3">
      <c r="A2417" t="s">
        <v>72</v>
      </c>
      <c r="B2417" t="s">
        <v>73</v>
      </c>
      <c r="C2417" t="s">
        <v>74</v>
      </c>
      <c r="E2417" t="str">
        <f>"080065469417"</f>
        <v>080065469417</v>
      </c>
      <c r="F2417" s="3">
        <v>45797</v>
      </c>
      <c r="G2417">
        <v>202602</v>
      </c>
      <c r="H2417" t="s">
        <v>75</v>
      </c>
      <c r="I2417" t="s">
        <v>76</v>
      </c>
      <c r="J2417" t="s">
        <v>77</v>
      </c>
      <c r="K2417" t="s">
        <v>78</v>
      </c>
      <c r="L2417" t="s">
        <v>350</v>
      </c>
      <c r="M2417" t="s">
        <v>351</v>
      </c>
      <c r="N2417" t="s">
        <v>459</v>
      </c>
      <c r="O2417" t="s">
        <v>82</v>
      </c>
      <c r="P2417" t="str">
        <f>"4170039664                    "</f>
        <v xml:space="preserve">4170039664                    </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0</v>
      </c>
      <c r="AJ2417">
        <v>0</v>
      </c>
      <c r="AK2417">
        <v>0</v>
      </c>
      <c r="AL2417">
        <v>0</v>
      </c>
      <c r="AM2417">
        <v>0</v>
      </c>
      <c r="AN2417">
        <v>0</v>
      </c>
      <c r="AO2417">
        <v>0</v>
      </c>
      <c r="AP2417">
        <v>0</v>
      </c>
      <c r="AQ2417">
        <v>37.409999999999997</v>
      </c>
      <c r="AR2417">
        <v>0</v>
      </c>
      <c r="AS2417">
        <v>0</v>
      </c>
      <c r="AT2417">
        <v>0</v>
      </c>
      <c r="AU2417">
        <v>0</v>
      </c>
      <c r="AV2417">
        <v>0</v>
      </c>
      <c r="AW2417">
        <v>0</v>
      </c>
      <c r="AX2417">
        <v>0</v>
      </c>
      <c r="AY2417">
        <v>0</v>
      </c>
      <c r="AZ2417">
        <v>0</v>
      </c>
      <c r="BA2417">
        <v>0</v>
      </c>
      <c r="BB2417">
        <v>0</v>
      </c>
      <c r="BC2417">
        <v>0</v>
      </c>
      <c r="BD2417">
        <v>0</v>
      </c>
      <c r="BE2417">
        <v>0</v>
      </c>
      <c r="BF2417">
        <v>0</v>
      </c>
      <c r="BG2417">
        <v>0</v>
      </c>
      <c r="BH2417">
        <v>1</v>
      </c>
      <c r="BI2417">
        <v>1</v>
      </c>
      <c r="BJ2417">
        <v>3.1</v>
      </c>
      <c r="BK2417">
        <v>3.5</v>
      </c>
      <c r="BL2417">
        <v>122.43</v>
      </c>
      <c r="BM2417">
        <v>18.36</v>
      </c>
      <c r="BN2417">
        <v>140.79</v>
      </c>
      <c r="BO2417">
        <v>140.79</v>
      </c>
      <c r="BQ2417" t="s">
        <v>460</v>
      </c>
      <c r="BR2417" t="s">
        <v>84</v>
      </c>
      <c r="BS2417" s="3">
        <v>45798</v>
      </c>
      <c r="BT2417" s="4">
        <v>0.33124999999999999</v>
      </c>
      <c r="BU2417" t="s">
        <v>2692</v>
      </c>
      <c r="BV2417" t="s">
        <v>86</v>
      </c>
      <c r="BY2417">
        <v>15360</v>
      </c>
      <c r="CA2417" t="s">
        <v>802</v>
      </c>
      <c r="CC2417" t="s">
        <v>351</v>
      </c>
      <c r="CD2417">
        <v>4051</v>
      </c>
      <c r="CE2417" t="s">
        <v>96</v>
      </c>
      <c r="CF2417" s="3">
        <v>45798</v>
      </c>
      <c r="CI2417">
        <v>1</v>
      </c>
      <c r="CJ2417">
        <v>1</v>
      </c>
      <c r="CK2417">
        <v>21</v>
      </c>
      <c r="CL2417" t="s">
        <v>89</v>
      </c>
    </row>
    <row r="2418" spans="1:90" x14ac:dyDescent="0.3">
      <c r="A2418" t="s">
        <v>72</v>
      </c>
      <c r="B2418" t="s">
        <v>73</v>
      </c>
      <c r="C2418" t="s">
        <v>74</v>
      </c>
      <c r="E2418" t="str">
        <f>"080065469465"</f>
        <v>080065469465</v>
      </c>
      <c r="F2418" s="3">
        <v>45797</v>
      </c>
      <c r="G2418">
        <v>202602</v>
      </c>
      <c r="H2418" t="s">
        <v>75</v>
      </c>
      <c r="I2418" t="s">
        <v>76</v>
      </c>
      <c r="J2418" t="s">
        <v>77</v>
      </c>
      <c r="K2418" t="s">
        <v>78</v>
      </c>
      <c r="L2418" t="s">
        <v>130</v>
      </c>
      <c r="M2418" t="s">
        <v>131</v>
      </c>
      <c r="N2418" t="s">
        <v>343</v>
      </c>
      <c r="O2418" t="s">
        <v>82</v>
      </c>
      <c r="P2418" t="str">
        <f>"4170039662                    "</f>
        <v xml:space="preserve">4170039662                    </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c r="AI2418">
        <v>0</v>
      </c>
      <c r="AJ2418">
        <v>0</v>
      </c>
      <c r="AK2418">
        <v>0</v>
      </c>
      <c r="AL2418">
        <v>0</v>
      </c>
      <c r="AM2418">
        <v>0</v>
      </c>
      <c r="AN2418">
        <v>0</v>
      </c>
      <c r="AO2418">
        <v>0</v>
      </c>
      <c r="AP2418">
        <v>0</v>
      </c>
      <c r="AQ2418">
        <v>42.75</v>
      </c>
      <c r="AR2418">
        <v>0</v>
      </c>
      <c r="AS2418">
        <v>0</v>
      </c>
      <c r="AT2418">
        <v>0</v>
      </c>
      <c r="AU2418">
        <v>0</v>
      </c>
      <c r="AV2418">
        <v>0</v>
      </c>
      <c r="AW2418">
        <v>0</v>
      </c>
      <c r="AX2418">
        <v>0</v>
      </c>
      <c r="AY2418">
        <v>0</v>
      </c>
      <c r="AZ2418">
        <v>0</v>
      </c>
      <c r="BA2418">
        <v>0</v>
      </c>
      <c r="BB2418">
        <v>0</v>
      </c>
      <c r="BC2418">
        <v>0</v>
      </c>
      <c r="BD2418">
        <v>0</v>
      </c>
      <c r="BE2418">
        <v>0</v>
      </c>
      <c r="BF2418">
        <v>0</v>
      </c>
      <c r="BG2418">
        <v>0</v>
      </c>
      <c r="BH2418">
        <v>1</v>
      </c>
      <c r="BI2418">
        <v>4</v>
      </c>
      <c r="BJ2418">
        <v>3.1</v>
      </c>
      <c r="BK2418">
        <v>4</v>
      </c>
      <c r="BL2418">
        <v>139.91</v>
      </c>
      <c r="BM2418">
        <v>20.99</v>
      </c>
      <c r="BN2418">
        <v>160.9</v>
      </c>
      <c r="BO2418">
        <v>160.9</v>
      </c>
      <c r="BQ2418" t="s">
        <v>344</v>
      </c>
      <c r="BR2418" t="s">
        <v>84</v>
      </c>
      <c r="BS2418" s="3">
        <v>45798</v>
      </c>
      <c r="BT2418" s="4">
        <v>0.4375</v>
      </c>
      <c r="BU2418" t="s">
        <v>1338</v>
      </c>
      <c r="BV2418" t="s">
        <v>86</v>
      </c>
      <c r="BY2418">
        <v>15360</v>
      </c>
      <c r="CA2418" t="s">
        <v>242</v>
      </c>
      <c r="CC2418" t="s">
        <v>131</v>
      </c>
      <c r="CD2418">
        <v>7441</v>
      </c>
      <c r="CE2418" t="s">
        <v>96</v>
      </c>
      <c r="CF2418" s="3">
        <v>45799</v>
      </c>
      <c r="CI2418">
        <v>1</v>
      </c>
      <c r="CJ2418">
        <v>1</v>
      </c>
      <c r="CK2418">
        <v>21</v>
      </c>
      <c r="CL2418" t="s">
        <v>89</v>
      </c>
    </row>
    <row r="2419" spans="1:90" x14ac:dyDescent="0.3">
      <c r="A2419" t="s">
        <v>72</v>
      </c>
      <c r="B2419" t="s">
        <v>73</v>
      </c>
      <c r="C2419" t="s">
        <v>74</v>
      </c>
      <c r="E2419" t="str">
        <f>"080065469528"</f>
        <v>080065469528</v>
      </c>
      <c r="F2419" s="3">
        <v>45797</v>
      </c>
      <c r="G2419">
        <v>202602</v>
      </c>
      <c r="H2419" t="s">
        <v>75</v>
      </c>
      <c r="I2419" t="s">
        <v>76</v>
      </c>
      <c r="J2419" t="s">
        <v>77</v>
      </c>
      <c r="K2419" t="s">
        <v>78</v>
      </c>
      <c r="L2419" t="s">
        <v>103</v>
      </c>
      <c r="M2419" t="s">
        <v>104</v>
      </c>
      <c r="N2419" t="s">
        <v>633</v>
      </c>
      <c r="O2419" t="s">
        <v>82</v>
      </c>
      <c r="P2419" t="str">
        <f>"4170039612                    "</f>
        <v xml:space="preserve">4170039612                    </v>
      </c>
      <c r="Q2419">
        <v>0</v>
      </c>
      <c r="R2419">
        <v>0</v>
      </c>
      <c r="S2419">
        <v>0</v>
      </c>
      <c r="T2419">
        <v>0</v>
      </c>
      <c r="U2419">
        <v>0</v>
      </c>
      <c r="V2419">
        <v>0</v>
      </c>
      <c r="W2419">
        <v>0</v>
      </c>
      <c r="X2419">
        <v>0</v>
      </c>
      <c r="Y2419">
        <v>0</v>
      </c>
      <c r="Z2419">
        <v>0</v>
      </c>
      <c r="AA2419">
        <v>0</v>
      </c>
      <c r="AB2419">
        <v>0</v>
      </c>
      <c r="AC2419">
        <v>0</v>
      </c>
      <c r="AD2419">
        <v>0</v>
      </c>
      <c r="AE2419">
        <v>0</v>
      </c>
      <c r="AF2419">
        <v>0</v>
      </c>
      <c r="AG2419">
        <v>0</v>
      </c>
      <c r="AH2419">
        <v>0</v>
      </c>
      <c r="AI2419">
        <v>0</v>
      </c>
      <c r="AJ2419">
        <v>0</v>
      </c>
      <c r="AK2419">
        <v>0</v>
      </c>
      <c r="AL2419">
        <v>0</v>
      </c>
      <c r="AM2419">
        <v>0</v>
      </c>
      <c r="AN2419">
        <v>0</v>
      </c>
      <c r="AO2419">
        <v>0</v>
      </c>
      <c r="AP2419">
        <v>0</v>
      </c>
      <c r="AQ2419">
        <v>96.17</v>
      </c>
      <c r="AR2419">
        <v>0</v>
      </c>
      <c r="AS2419">
        <v>0</v>
      </c>
      <c r="AT2419">
        <v>0</v>
      </c>
      <c r="AU2419">
        <v>0</v>
      </c>
      <c r="AV2419">
        <v>0</v>
      </c>
      <c r="AW2419">
        <v>0</v>
      </c>
      <c r="AX2419">
        <v>0</v>
      </c>
      <c r="AY2419">
        <v>0</v>
      </c>
      <c r="AZ2419">
        <v>0</v>
      </c>
      <c r="BA2419">
        <v>0</v>
      </c>
      <c r="BB2419">
        <v>0</v>
      </c>
      <c r="BC2419">
        <v>0</v>
      </c>
      <c r="BD2419">
        <v>0</v>
      </c>
      <c r="BE2419">
        <v>0</v>
      </c>
      <c r="BF2419">
        <v>0</v>
      </c>
      <c r="BG2419">
        <v>0</v>
      </c>
      <c r="BH2419">
        <v>1</v>
      </c>
      <c r="BI2419">
        <v>9</v>
      </c>
      <c r="BJ2419">
        <v>1.9</v>
      </c>
      <c r="BK2419">
        <v>9</v>
      </c>
      <c r="BL2419">
        <v>314.73</v>
      </c>
      <c r="BM2419">
        <v>47.21</v>
      </c>
      <c r="BN2419">
        <v>361.94</v>
      </c>
      <c r="BO2419">
        <v>361.94</v>
      </c>
      <c r="BQ2419" t="s">
        <v>634</v>
      </c>
      <c r="BR2419" t="s">
        <v>84</v>
      </c>
      <c r="BS2419" s="3">
        <v>45798</v>
      </c>
      <c r="BT2419" s="4">
        <v>0.41666666666666669</v>
      </c>
      <c r="BU2419" t="s">
        <v>635</v>
      </c>
      <c r="BV2419" t="s">
        <v>86</v>
      </c>
      <c r="BY2419">
        <v>9600</v>
      </c>
      <c r="CA2419" t="s">
        <v>440</v>
      </c>
      <c r="CC2419" t="s">
        <v>104</v>
      </c>
      <c r="CD2419">
        <v>3212</v>
      </c>
      <c r="CE2419" t="s">
        <v>96</v>
      </c>
      <c r="CF2419" s="3">
        <v>45798</v>
      </c>
      <c r="CI2419">
        <v>2</v>
      </c>
      <c r="CJ2419">
        <v>1</v>
      </c>
      <c r="CK2419">
        <v>21</v>
      </c>
      <c r="CL2419" t="s">
        <v>89</v>
      </c>
    </row>
    <row r="2420" spans="1:90" x14ac:dyDescent="0.3">
      <c r="A2420" t="s">
        <v>72</v>
      </c>
      <c r="B2420" t="s">
        <v>73</v>
      </c>
      <c r="C2420" t="s">
        <v>74</v>
      </c>
      <c r="E2420" t="str">
        <f>"080065469592"</f>
        <v>080065469592</v>
      </c>
      <c r="F2420" s="3">
        <v>45797</v>
      </c>
      <c r="G2420">
        <v>202602</v>
      </c>
      <c r="H2420" t="s">
        <v>75</v>
      </c>
      <c r="I2420" t="s">
        <v>76</v>
      </c>
      <c r="J2420" t="s">
        <v>77</v>
      </c>
      <c r="K2420" t="s">
        <v>78</v>
      </c>
      <c r="L2420" t="s">
        <v>1099</v>
      </c>
      <c r="M2420" t="s">
        <v>1100</v>
      </c>
      <c r="N2420" t="s">
        <v>1287</v>
      </c>
      <c r="O2420" t="s">
        <v>82</v>
      </c>
      <c r="P2420" t="str">
        <f>"4170039649                    "</f>
        <v xml:space="preserve">4170039649                    </v>
      </c>
      <c r="Q2420">
        <v>0</v>
      </c>
      <c r="R2420">
        <v>0</v>
      </c>
      <c r="S2420">
        <v>0</v>
      </c>
      <c r="T2420">
        <v>0</v>
      </c>
      <c r="U2420">
        <v>0</v>
      </c>
      <c r="V2420">
        <v>0</v>
      </c>
      <c r="W2420">
        <v>0</v>
      </c>
      <c r="X2420">
        <v>0</v>
      </c>
      <c r="Y2420">
        <v>0</v>
      </c>
      <c r="Z2420">
        <v>0</v>
      </c>
      <c r="AA2420">
        <v>0</v>
      </c>
      <c r="AB2420">
        <v>0</v>
      </c>
      <c r="AC2420">
        <v>0</v>
      </c>
      <c r="AD2420">
        <v>0</v>
      </c>
      <c r="AE2420">
        <v>0</v>
      </c>
      <c r="AF2420">
        <v>0</v>
      </c>
      <c r="AG2420">
        <v>0</v>
      </c>
      <c r="AH2420">
        <v>0</v>
      </c>
      <c r="AI2420">
        <v>0</v>
      </c>
      <c r="AJ2420">
        <v>0</v>
      </c>
      <c r="AK2420">
        <v>0</v>
      </c>
      <c r="AL2420">
        <v>0</v>
      </c>
      <c r="AM2420">
        <v>0</v>
      </c>
      <c r="AN2420">
        <v>0</v>
      </c>
      <c r="AO2420">
        <v>0</v>
      </c>
      <c r="AP2420">
        <v>0</v>
      </c>
      <c r="AQ2420">
        <v>60.14</v>
      </c>
      <c r="AR2420">
        <v>0</v>
      </c>
      <c r="AS2420">
        <v>0</v>
      </c>
      <c r="AT2420">
        <v>0</v>
      </c>
      <c r="AU2420">
        <v>0</v>
      </c>
      <c r="AV2420">
        <v>0</v>
      </c>
      <c r="AW2420">
        <v>0</v>
      </c>
      <c r="AX2420">
        <v>0</v>
      </c>
      <c r="AY2420">
        <v>0</v>
      </c>
      <c r="AZ2420">
        <v>0</v>
      </c>
      <c r="BA2420">
        <v>0</v>
      </c>
      <c r="BB2420">
        <v>0</v>
      </c>
      <c r="BC2420">
        <v>0</v>
      </c>
      <c r="BD2420">
        <v>0</v>
      </c>
      <c r="BE2420">
        <v>0</v>
      </c>
      <c r="BF2420">
        <v>0</v>
      </c>
      <c r="BG2420">
        <v>0</v>
      </c>
      <c r="BH2420">
        <v>1</v>
      </c>
      <c r="BI2420">
        <v>3</v>
      </c>
      <c r="BJ2420">
        <v>1.4</v>
      </c>
      <c r="BK2420">
        <v>3</v>
      </c>
      <c r="BL2420">
        <v>196.82</v>
      </c>
      <c r="BM2420">
        <v>29.52</v>
      </c>
      <c r="BN2420">
        <v>226.34</v>
      </c>
      <c r="BO2420">
        <v>226.34</v>
      </c>
      <c r="BQ2420" t="s">
        <v>1288</v>
      </c>
      <c r="BR2420" t="s">
        <v>84</v>
      </c>
      <c r="BS2420" s="3">
        <v>45798</v>
      </c>
      <c r="BT2420" s="4">
        <v>0.43263888888888891</v>
      </c>
      <c r="BU2420" t="s">
        <v>339</v>
      </c>
      <c r="BV2420" t="s">
        <v>86</v>
      </c>
      <c r="BY2420">
        <v>7000</v>
      </c>
      <c r="CA2420" t="s">
        <v>2693</v>
      </c>
      <c r="CC2420" t="s">
        <v>1100</v>
      </c>
      <c r="CD2420" s="5" t="s">
        <v>1291</v>
      </c>
      <c r="CE2420" t="s">
        <v>96</v>
      </c>
      <c r="CF2420" s="3">
        <v>45799</v>
      </c>
      <c r="CI2420">
        <v>1</v>
      </c>
      <c r="CJ2420">
        <v>1</v>
      </c>
      <c r="CK2420">
        <v>23</v>
      </c>
      <c r="CL2420" t="s">
        <v>89</v>
      </c>
    </row>
    <row r="2421" spans="1:90" x14ac:dyDescent="0.3">
      <c r="A2421" t="s">
        <v>72</v>
      </c>
      <c r="B2421" t="s">
        <v>73</v>
      </c>
      <c r="C2421" t="s">
        <v>74</v>
      </c>
      <c r="E2421" t="str">
        <f>"080065469651"</f>
        <v>080065469651</v>
      </c>
      <c r="F2421" s="3">
        <v>45797</v>
      </c>
      <c r="G2421">
        <v>202602</v>
      </c>
      <c r="H2421" t="s">
        <v>75</v>
      </c>
      <c r="I2421" t="s">
        <v>76</v>
      </c>
      <c r="J2421" t="s">
        <v>77</v>
      </c>
      <c r="K2421" t="s">
        <v>78</v>
      </c>
      <c r="L2421" t="s">
        <v>374</v>
      </c>
      <c r="M2421" t="s">
        <v>375</v>
      </c>
      <c r="N2421" t="s">
        <v>376</v>
      </c>
      <c r="O2421" t="s">
        <v>82</v>
      </c>
      <c r="P2421" t="str">
        <f>"4170039650                    "</f>
        <v xml:space="preserve">4170039650                    </v>
      </c>
      <c r="Q2421">
        <v>0</v>
      </c>
      <c r="R2421">
        <v>0</v>
      </c>
      <c r="S2421">
        <v>0</v>
      </c>
      <c r="T2421">
        <v>0</v>
      </c>
      <c r="U2421">
        <v>0</v>
      </c>
      <c r="V2421">
        <v>0</v>
      </c>
      <c r="W2421">
        <v>0</v>
      </c>
      <c r="X2421">
        <v>0</v>
      </c>
      <c r="Y2421">
        <v>0</v>
      </c>
      <c r="Z2421">
        <v>0</v>
      </c>
      <c r="AA2421">
        <v>0</v>
      </c>
      <c r="AB2421">
        <v>0</v>
      </c>
      <c r="AC2421">
        <v>0</v>
      </c>
      <c r="AD2421">
        <v>0</v>
      </c>
      <c r="AE2421">
        <v>0</v>
      </c>
      <c r="AF2421">
        <v>0</v>
      </c>
      <c r="AG2421">
        <v>0</v>
      </c>
      <c r="AH2421">
        <v>0</v>
      </c>
      <c r="AI2421">
        <v>0</v>
      </c>
      <c r="AJ2421">
        <v>0</v>
      </c>
      <c r="AK2421">
        <v>0</v>
      </c>
      <c r="AL2421">
        <v>0</v>
      </c>
      <c r="AM2421">
        <v>0</v>
      </c>
      <c r="AN2421">
        <v>0</v>
      </c>
      <c r="AO2421">
        <v>0</v>
      </c>
      <c r="AP2421">
        <v>0</v>
      </c>
      <c r="AQ2421">
        <v>116.27</v>
      </c>
      <c r="AR2421">
        <v>0</v>
      </c>
      <c r="AS2421">
        <v>0</v>
      </c>
      <c r="AT2421">
        <v>0</v>
      </c>
      <c r="AU2421">
        <v>0</v>
      </c>
      <c r="AV2421">
        <v>0</v>
      </c>
      <c r="AW2421">
        <v>0</v>
      </c>
      <c r="AX2421">
        <v>0</v>
      </c>
      <c r="AY2421">
        <v>0</v>
      </c>
      <c r="AZ2421">
        <v>0</v>
      </c>
      <c r="BA2421">
        <v>0</v>
      </c>
      <c r="BB2421">
        <v>0</v>
      </c>
      <c r="BC2421">
        <v>0</v>
      </c>
      <c r="BD2421">
        <v>0</v>
      </c>
      <c r="BE2421">
        <v>0</v>
      </c>
      <c r="BF2421">
        <v>0</v>
      </c>
      <c r="BG2421">
        <v>0</v>
      </c>
      <c r="BH2421">
        <v>1</v>
      </c>
      <c r="BI2421">
        <v>6</v>
      </c>
      <c r="BJ2421">
        <v>1.7</v>
      </c>
      <c r="BK2421">
        <v>6</v>
      </c>
      <c r="BL2421">
        <v>380.51</v>
      </c>
      <c r="BM2421">
        <v>57.08</v>
      </c>
      <c r="BN2421">
        <v>437.59</v>
      </c>
      <c r="BO2421">
        <v>437.59</v>
      </c>
      <c r="BQ2421" t="s">
        <v>377</v>
      </c>
      <c r="BR2421" t="s">
        <v>84</v>
      </c>
      <c r="BS2421" s="3">
        <v>45798</v>
      </c>
      <c r="BT2421" s="4">
        <v>0.4236111111111111</v>
      </c>
      <c r="BU2421" t="s">
        <v>2694</v>
      </c>
      <c r="BV2421" t="s">
        <v>86</v>
      </c>
      <c r="BY2421">
        <v>8512</v>
      </c>
      <c r="CC2421" t="s">
        <v>375</v>
      </c>
      <c r="CD2421">
        <v>7130</v>
      </c>
      <c r="CE2421" t="s">
        <v>116</v>
      </c>
      <c r="CF2421" s="3">
        <v>45799</v>
      </c>
      <c r="CI2421">
        <v>1</v>
      </c>
      <c r="CJ2421">
        <v>1</v>
      </c>
      <c r="CK2421">
        <v>23</v>
      </c>
      <c r="CL2421" t="s">
        <v>89</v>
      </c>
    </row>
    <row r="2422" spans="1:90" x14ac:dyDescent="0.3">
      <c r="A2422" t="s">
        <v>72</v>
      </c>
      <c r="B2422" t="s">
        <v>73</v>
      </c>
      <c r="C2422" t="s">
        <v>74</v>
      </c>
      <c r="E2422" t="str">
        <f>"080065469722"</f>
        <v>080065469722</v>
      </c>
      <c r="F2422" s="3">
        <v>45797</v>
      </c>
      <c r="G2422">
        <v>202602</v>
      </c>
      <c r="H2422" t="s">
        <v>75</v>
      </c>
      <c r="I2422" t="s">
        <v>76</v>
      </c>
      <c r="J2422" t="s">
        <v>77</v>
      </c>
      <c r="K2422" t="s">
        <v>78</v>
      </c>
      <c r="L2422" t="s">
        <v>90</v>
      </c>
      <c r="M2422" t="s">
        <v>91</v>
      </c>
      <c r="N2422" t="s">
        <v>543</v>
      </c>
      <c r="O2422" t="s">
        <v>82</v>
      </c>
      <c r="P2422" t="str">
        <f>"4170039619                    "</f>
        <v xml:space="preserve">4170039619                    </v>
      </c>
      <c r="Q2422">
        <v>0</v>
      </c>
      <c r="R2422">
        <v>0</v>
      </c>
      <c r="S2422">
        <v>0</v>
      </c>
      <c r="T2422">
        <v>0</v>
      </c>
      <c r="U2422">
        <v>0</v>
      </c>
      <c r="V2422">
        <v>0</v>
      </c>
      <c r="W2422">
        <v>0</v>
      </c>
      <c r="X2422">
        <v>0</v>
      </c>
      <c r="Y2422">
        <v>0</v>
      </c>
      <c r="Z2422">
        <v>0</v>
      </c>
      <c r="AA2422">
        <v>0</v>
      </c>
      <c r="AB2422">
        <v>0</v>
      </c>
      <c r="AC2422">
        <v>0</v>
      </c>
      <c r="AD2422">
        <v>0</v>
      </c>
      <c r="AE2422">
        <v>0</v>
      </c>
      <c r="AF2422">
        <v>0</v>
      </c>
      <c r="AG2422">
        <v>0</v>
      </c>
      <c r="AH2422">
        <v>0</v>
      </c>
      <c r="AI2422">
        <v>0</v>
      </c>
      <c r="AJ2422">
        <v>0</v>
      </c>
      <c r="AK2422">
        <v>0</v>
      </c>
      <c r="AL2422">
        <v>0</v>
      </c>
      <c r="AM2422">
        <v>0</v>
      </c>
      <c r="AN2422">
        <v>0</v>
      </c>
      <c r="AO2422">
        <v>0</v>
      </c>
      <c r="AP2422">
        <v>0</v>
      </c>
      <c r="AQ2422">
        <v>21.38</v>
      </c>
      <c r="AR2422">
        <v>0</v>
      </c>
      <c r="AS2422">
        <v>0</v>
      </c>
      <c r="AT2422">
        <v>0</v>
      </c>
      <c r="AU2422">
        <v>0</v>
      </c>
      <c r="AV2422">
        <v>0</v>
      </c>
      <c r="AW2422">
        <v>0</v>
      </c>
      <c r="AX2422">
        <v>0</v>
      </c>
      <c r="AY2422">
        <v>0</v>
      </c>
      <c r="AZ2422">
        <v>0</v>
      </c>
      <c r="BA2422">
        <v>0</v>
      </c>
      <c r="BB2422">
        <v>0</v>
      </c>
      <c r="BC2422">
        <v>0</v>
      </c>
      <c r="BD2422">
        <v>0</v>
      </c>
      <c r="BE2422">
        <v>0</v>
      </c>
      <c r="BF2422">
        <v>0</v>
      </c>
      <c r="BG2422">
        <v>0</v>
      </c>
      <c r="BH2422">
        <v>1</v>
      </c>
      <c r="BI2422">
        <v>2</v>
      </c>
      <c r="BJ2422">
        <v>0.6</v>
      </c>
      <c r="BK2422">
        <v>2</v>
      </c>
      <c r="BL2422">
        <v>69.98</v>
      </c>
      <c r="BM2422">
        <v>10.5</v>
      </c>
      <c r="BN2422">
        <v>80.48</v>
      </c>
      <c r="BO2422">
        <v>80.48</v>
      </c>
      <c r="BQ2422" t="s">
        <v>544</v>
      </c>
      <c r="BR2422" t="s">
        <v>84</v>
      </c>
      <c r="BS2422" s="3">
        <v>45798</v>
      </c>
      <c r="BT2422" s="4">
        <v>0.36875000000000002</v>
      </c>
      <c r="BU2422" t="s">
        <v>1764</v>
      </c>
      <c r="BV2422" t="s">
        <v>86</v>
      </c>
      <c r="BY2422">
        <v>3192</v>
      </c>
      <c r="CA2422" t="s">
        <v>283</v>
      </c>
      <c r="CC2422" t="s">
        <v>91</v>
      </c>
      <c r="CD2422">
        <v>6001</v>
      </c>
      <c r="CE2422" t="s">
        <v>116</v>
      </c>
      <c r="CF2422" s="3">
        <v>45799</v>
      </c>
      <c r="CI2422">
        <v>1</v>
      </c>
      <c r="CJ2422">
        <v>1</v>
      </c>
      <c r="CK2422">
        <v>21</v>
      </c>
      <c r="CL2422" t="s">
        <v>89</v>
      </c>
    </row>
    <row r="2423" spans="1:90" x14ac:dyDescent="0.3">
      <c r="A2423" t="s">
        <v>72</v>
      </c>
      <c r="B2423" t="s">
        <v>73</v>
      </c>
      <c r="C2423" t="s">
        <v>74</v>
      </c>
      <c r="E2423" t="str">
        <f>"080065469790"</f>
        <v>080065469790</v>
      </c>
      <c r="F2423" s="3">
        <v>45797</v>
      </c>
      <c r="G2423">
        <v>202602</v>
      </c>
      <c r="H2423" t="s">
        <v>75</v>
      </c>
      <c r="I2423" t="s">
        <v>76</v>
      </c>
      <c r="J2423" t="s">
        <v>77</v>
      </c>
      <c r="K2423" t="s">
        <v>78</v>
      </c>
      <c r="L2423" t="s">
        <v>311</v>
      </c>
      <c r="M2423" t="s">
        <v>312</v>
      </c>
      <c r="N2423" t="s">
        <v>2562</v>
      </c>
      <c r="O2423" t="s">
        <v>82</v>
      </c>
      <c r="P2423" t="str">
        <f>"4170039502                    "</f>
        <v xml:space="preserve">4170039502                    </v>
      </c>
      <c r="Q2423">
        <v>0</v>
      </c>
      <c r="R2423">
        <v>0</v>
      </c>
      <c r="S2423">
        <v>0</v>
      </c>
      <c r="T2423">
        <v>0</v>
      </c>
      <c r="U2423">
        <v>0</v>
      </c>
      <c r="V2423">
        <v>0</v>
      </c>
      <c r="W2423">
        <v>0</v>
      </c>
      <c r="X2423">
        <v>0</v>
      </c>
      <c r="Y2423">
        <v>0</v>
      </c>
      <c r="Z2423">
        <v>0</v>
      </c>
      <c r="AA2423">
        <v>0</v>
      </c>
      <c r="AB2423">
        <v>0</v>
      </c>
      <c r="AC2423">
        <v>0</v>
      </c>
      <c r="AD2423">
        <v>0</v>
      </c>
      <c r="AE2423">
        <v>0</v>
      </c>
      <c r="AF2423">
        <v>0</v>
      </c>
      <c r="AG2423">
        <v>0</v>
      </c>
      <c r="AH2423">
        <v>0</v>
      </c>
      <c r="AI2423">
        <v>0</v>
      </c>
      <c r="AJ2423">
        <v>0</v>
      </c>
      <c r="AK2423">
        <v>0</v>
      </c>
      <c r="AL2423">
        <v>0</v>
      </c>
      <c r="AM2423">
        <v>0</v>
      </c>
      <c r="AN2423">
        <v>0</v>
      </c>
      <c r="AO2423">
        <v>0</v>
      </c>
      <c r="AP2423">
        <v>0</v>
      </c>
      <c r="AQ2423">
        <v>16.7</v>
      </c>
      <c r="AR2423">
        <v>0</v>
      </c>
      <c r="AS2423">
        <v>0</v>
      </c>
      <c r="AT2423">
        <v>0</v>
      </c>
      <c r="AU2423">
        <v>0</v>
      </c>
      <c r="AV2423">
        <v>0</v>
      </c>
      <c r="AW2423">
        <v>0</v>
      </c>
      <c r="AX2423">
        <v>0</v>
      </c>
      <c r="AY2423">
        <v>0</v>
      </c>
      <c r="AZ2423">
        <v>0</v>
      </c>
      <c r="BA2423">
        <v>0</v>
      </c>
      <c r="BB2423">
        <v>0</v>
      </c>
      <c r="BC2423">
        <v>0</v>
      </c>
      <c r="BD2423">
        <v>0</v>
      </c>
      <c r="BE2423">
        <v>0</v>
      </c>
      <c r="BF2423">
        <v>0</v>
      </c>
      <c r="BG2423">
        <v>0</v>
      </c>
      <c r="BH2423">
        <v>1</v>
      </c>
      <c r="BI2423">
        <v>5</v>
      </c>
      <c r="BJ2423">
        <v>3.4</v>
      </c>
      <c r="BK2423">
        <v>5</v>
      </c>
      <c r="BL2423">
        <v>54.66</v>
      </c>
      <c r="BM2423">
        <v>8.1999999999999993</v>
      </c>
      <c r="BN2423">
        <v>62.86</v>
      </c>
      <c r="BO2423">
        <v>62.86</v>
      </c>
      <c r="BQ2423" t="s">
        <v>2563</v>
      </c>
      <c r="BR2423" t="s">
        <v>84</v>
      </c>
      <c r="BS2423" s="3">
        <v>45798</v>
      </c>
      <c r="BT2423" s="4">
        <v>0.44513888888888886</v>
      </c>
      <c r="BU2423" t="s">
        <v>2695</v>
      </c>
      <c r="BV2423" t="s">
        <v>89</v>
      </c>
      <c r="BW2423" t="s">
        <v>148</v>
      </c>
      <c r="BX2423" t="s">
        <v>203</v>
      </c>
      <c r="BY2423">
        <v>16965</v>
      </c>
      <c r="CA2423" t="s">
        <v>1320</v>
      </c>
      <c r="CC2423" t="s">
        <v>312</v>
      </c>
      <c r="CD2423">
        <v>1502</v>
      </c>
      <c r="CE2423" t="s">
        <v>96</v>
      </c>
      <c r="CF2423" s="3">
        <v>45798</v>
      </c>
      <c r="CI2423">
        <v>1</v>
      </c>
      <c r="CJ2423">
        <v>1</v>
      </c>
      <c r="CK2423">
        <v>22</v>
      </c>
      <c r="CL2423" t="s">
        <v>89</v>
      </c>
    </row>
    <row r="2424" spans="1:90" x14ac:dyDescent="0.3">
      <c r="A2424" t="s">
        <v>72</v>
      </c>
      <c r="B2424" t="s">
        <v>73</v>
      </c>
      <c r="C2424" t="s">
        <v>74</v>
      </c>
      <c r="E2424" t="str">
        <f>"080065469856"</f>
        <v>080065469856</v>
      </c>
      <c r="F2424" s="3">
        <v>45797</v>
      </c>
      <c r="G2424">
        <v>202602</v>
      </c>
      <c r="H2424" t="s">
        <v>75</v>
      </c>
      <c r="I2424" t="s">
        <v>76</v>
      </c>
      <c r="J2424" t="s">
        <v>77</v>
      </c>
      <c r="K2424" t="s">
        <v>78</v>
      </c>
      <c r="L2424" t="s">
        <v>75</v>
      </c>
      <c r="M2424" t="s">
        <v>76</v>
      </c>
      <c r="N2424" t="s">
        <v>2696</v>
      </c>
      <c r="O2424" t="s">
        <v>82</v>
      </c>
      <c r="P2424" t="str">
        <f>"4170039550                    "</f>
        <v xml:space="preserve">4170039550                    </v>
      </c>
      <c r="Q2424">
        <v>0</v>
      </c>
      <c r="R2424">
        <v>0</v>
      </c>
      <c r="S2424">
        <v>0</v>
      </c>
      <c r="T2424">
        <v>0</v>
      </c>
      <c r="U2424">
        <v>0</v>
      </c>
      <c r="V2424">
        <v>0</v>
      </c>
      <c r="W2424">
        <v>0</v>
      </c>
      <c r="X2424">
        <v>0</v>
      </c>
      <c r="Y2424">
        <v>0</v>
      </c>
      <c r="Z2424">
        <v>0</v>
      </c>
      <c r="AA2424">
        <v>0</v>
      </c>
      <c r="AB2424">
        <v>0</v>
      </c>
      <c r="AC2424">
        <v>0</v>
      </c>
      <c r="AD2424">
        <v>0</v>
      </c>
      <c r="AE2424">
        <v>0</v>
      </c>
      <c r="AF2424">
        <v>0</v>
      </c>
      <c r="AG2424">
        <v>0</v>
      </c>
      <c r="AH2424">
        <v>0</v>
      </c>
      <c r="AI2424">
        <v>0</v>
      </c>
      <c r="AJ2424">
        <v>0</v>
      </c>
      <c r="AK2424">
        <v>0</v>
      </c>
      <c r="AL2424">
        <v>0</v>
      </c>
      <c r="AM2424">
        <v>0</v>
      </c>
      <c r="AN2424">
        <v>0</v>
      </c>
      <c r="AO2424">
        <v>0</v>
      </c>
      <c r="AP2424">
        <v>0</v>
      </c>
      <c r="AQ2424">
        <v>16.7</v>
      </c>
      <c r="AR2424">
        <v>0</v>
      </c>
      <c r="AS2424">
        <v>0</v>
      </c>
      <c r="AT2424">
        <v>0</v>
      </c>
      <c r="AU2424">
        <v>0</v>
      </c>
      <c r="AV2424">
        <v>0</v>
      </c>
      <c r="AW2424">
        <v>0</v>
      </c>
      <c r="AX2424">
        <v>0</v>
      </c>
      <c r="AY2424">
        <v>0</v>
      </c>
      <c r="AZ2424">
        <v>0</v>
      </c>
      <c r="BA2424">
        <v>0</v>
      </c>
      <c r="BB2424">
        <v>0</v>
      </c>
      <c r="BC2424">
        <v>0</v>
      </c>
      <c r="BD2424">
        <v>0</v>
      </c>
      <c r="BE2424">
        <v>0</v>
      </c>
      <c r="BF2424">
        <v>0</v>
      </c>
      <c r="BG2424">
        <v>0</v>
      </c>
      <c r="BH2424">
        <v>1</v>
      </c>
      <c r="BI2424">
        <v>1</v>
      </c>
      <c r="BJ2424">
        <v>2.5</v>
      </c>
      <c r="BK2424">
        <v>3</v>
      </c>
      <c r="BL2424">
        <v>54.66</v>
      </c>
      <c r="BM2424">
        <v>8.1999999999999993</v>
      </c>
      <c r="BN2424">
        <v>62.86</v>
      </c>
      <c r="BO2424">
        <v>62.86</v>
      </c>
      <c r="BQ2424" t="s">
        <v>2697</v>
      </c>
      <c r="BR2424" t="s">
        <v>84</v>
      </c>
      <c r="BS2424" s="3">
        <v>45798</v>
      </c>
      <c r="BT2424" s="4">
        <v>0.35138888888888886</v>
      </c>
      <c r="BU2424" t="s">
        <v>994</v>
      </c>
      <c r="BV2424" t="s">
        <v>86</v>
      </c>
      <c r="BY2424">
        <v>12600</v>
      </c>
      <c r="CA2424" t="s">
        <v>484</v>
      </c>
      <c r="CC2424" t="s">
        <v>76</v>
      </c>
      <c r="CD2424">
        <v>1601</v>
      </c>
      <c r="CE2424" t="s">
        <v>221</v>
      </c>
      <c r="CF2424" s="3">
        <v>45798</v>
      </c>
      <c r="CI2424">
        <v>1</v>
      </c>
      <c r="CJ2424">
        <v>1</v>
      </c>
      <c r="CK2424">
        <v>22</v>
      </c>
      <c r="CL2424" t="s">
        <v>89</v>
      </c>
    </row>
    <row r="2425" spans="1:90" x14ac:dyDescent="0.3">
      <c r="A2425" t="s">
        <v>72</v>
      </c>
      <c r="B2425" t="s">
        <v>73</v>
      </c>
      <c r="C2425" t="s">
        <v>74</v>
      </c>
      <c r="E2425" t="str">
        <f>"080065469908"</f>
        <v>080065469908</v>
      </c>
      <c r="F2425" s="3">
        <v>45797</v>
      </c>
      <c r="G2425">
        <v>202602</v>
      </c>
      <c r="H2425" t="s">
        <v>75</v>
      </c>
      <c r="I2425" t="s">
        <v>76</v>
      </c>
      <c r="J2425" t="s">
        <v>77</v>
      </c>
      <c r="K2425" t="s">
        <v>78</v>
      </c>
      <c r="L2425" t="s">
        <v>90</v>
      </c>
      <c r="M2425" t="s">
        <v>91</v>
      </c>
      <c r="N2425" t="s">
        <v>563</v>
      </c>
      <c r="O2425" t="s">
        <v>300</v>
      </c>
      <c r="P2425" t="str">
        <f>"4170039530                    "</f>
        <v xml:space="preserve">4170039530                    </v>
      </c>
      <c r="Q2425">
        <v>0</v>
      </c>
      <c r="R2425">
        <v>0</v>
      </c>
      <c r="S2425">
        <v>0</v>
      </c>
      <c r="T2425">
        <v>0</v>
      </c>
      <c r="U2425">
        <v>0</v>
      </c>
      <c r="V2425">
        <v>0</v>
      </c>
      <c r="W2425">
        <v>0</v>
      </c>
      <c r="X2425">
        <v>0</v>
      </c>
      <c r="Y2425">
        <v>0</v>
      </c>
      <c r="Z2425">
        <v>0</v>
      </c>
      <c r="AA2425">
        <v>0</v>
      </c>
      <c r="AB2425">
        <v>0</v>
      </c>
      <c r="AC2425">
        <v>0</v>
      </c>
      <c r="AD2425">
        <v>0</v>
      </c>
      <c r="AE2425">
        <v>0</v>
      </c>
      <c r="AF2425">
        <v>0</v>
      </c>
      <c r="AG2425">
        <v>0</v>
      </c>
      <c r="AH2425">
        <v>0</v>
      </c>
      <c r="AI2425">
        <v>0</v>
      </c>
      <c r="AJ2425">
        <v>0</v>
      </c>
      <c r="AK2425">
        <v>0</v>
      </c>
      <c r="AL2425">
        <v>0</v>
      </c>
      <c r="AM2425">
        <v>0</v>
      </c>
      <c r="AN2425">
        <v>0</v>
      </c>
      <c r="AO2425">
        <v>0</v>
      </c>
      <c r="AP2425">
        <v>0</v>
      </c>
      <c r="AQ2425">
        <v>63.54</v>
      </c>
      <c r="AR2425">
        <v>0</v>
      </c>
      <c r="AS2425">
        <v>0</v>
      </c>
      <c r="AT2425">
        <v>0</v>
      </c>
      <c r="AU2425">
        <v>0</v>
      </c>
      <c r="AV2425">
        <v>0</v>
      </c>
      <c r="AW2425">
        <v>0</v>
      </c>
      <c r="AX2425">
        <v>0</v>
      </c>
      <c r="AY2425">
        <v>0</v>
      </c>
      <c r="AZ2425">
        <v>0</v>
      </c>
      <c r="BA2425">
        <v>0</v>
      </c>
      <c r="BB2425">
        <v>0</v>
      </c>
      <c r="BC2425">
        <v>0</v>
      </c>
      <c r="BD2425">
        <v>0</v>
      </c>
      <c r="BE2425">
        <v>0</v>
      </c>
      <c r="BF2425">
        <v>0</v>
      </c>
      <c r="BG2425">
        <v>0</v>
      </c>
      <c r="BH2425">
        <v>1</v>
      </c>
      <c r="BI2425">
        <v>28</v>
      </c>
      <c r="BJ2425">
        <v>17.7</v>
      </c>
      <c r="BK2425">
        <v>28</v>
      </c>
      <c r="BL2425">
        <v>213.53</v>
      </c>
      <c r="BM2425">
        <v>32.03</v>
      </c>
      <c r="BN2425">
        <v>245.56</v>
      </c>
      <c r="BO2425">
        <v>245.56</v>
      </c>
      <c r="BQ2425" t="s">
        <v>564</v>
      </c>
      <c r="BR2425" t="s">
        <v>84</v>
      </c>
      <c r="BS2425" s="3">
        <v>45799</v>
      </c>
      <c r="BT2425" s="4">
        <v>0.34791666666666665</v>
      </c>
      <c r="BU2425" t="s">
        <v>2691</v>
      </c>
      <c r="BV2425" t="s">
        <v>86</v>
      </c>
      <c r="BY2425">
        <v>88320</v>
      </c>
      <c r="CA2425" t="s">
        <v>566</v>
      </c>
      <c r="CC2425" t="s">
        <v>91</v>
      </c>
      <c r="CD2425">
        <v>6001</v>
      </c>
      <c r="CE2425" t="s">
        <v>96</v>
      </c>
      <c r="CF2425" s="3">
        <v>45799</v>
      </c>
      <c r="CI2425">
        <v>3</v>
      </c>
      <c r="CJ2425">
        <v>2</v>
      </c>
      <c r="CK2425">
        <v>41</v>
      </c>
      <c r="CL2425" t="s">
        <v>89</v>
      </c>
    </row>
    <row r="2426" spans="1:90" x14ac:dyDescent="0.3">
      <c r="A2426" t="s">
        <v>72</v>
      </c>
      <c r="B2426" t="s">
        <v>73</v>
      </c>
      <c r="C2426" t="s">
        <v>74</v>
      </c>
      <c r="E2426" t="str">
        <f>"080065469980"</f>
        <v>080065469980</v>
      </c>
      <c r="F2426" s="3">
        <v>45797</v>
      </c>
      <c r="G2426">
        <v>202602</v>
      </c>
      <c r="H2426" t="s">
        <v>75</v>
      </c>
      <c r="I2426" t="s">
        <v>76</v>
      </c>
      <c r="J2426" t="s">
        <v>77</v>
      </c>
      <c r="K2426" t="s">
        <v>78</v>
      </c>
      <c r="L2426" t="s">
        <v>90</v>
      </c>
      <c r="M2426" t="s">
        <v>91</v>
      </c>
      <c r="N2426" t="s">
        <v>543</v>
      </c>
      <c r="O2426" t="s">
        <v>82</v>
      </c>
      <c r="P2426" t="str">
        <f>"4170039668                    "</f>
        <v xml:space="preserve">4170039668                    </v>
      </c>
      <c r="Q2426">
        <v>0</v>
      </c>
      <c r="R2426">
        <v>0</v>
      </c>
      <c r="S2426">
        <v>0</v>
      </c>
      <c r="T2426">
        <v>0</v>
      </c>
      <c r="U2426">
        <v>0</v>
      </c>
      <c r="V2426">
        <v>0</v>
      </c>
      <c r="W2426">
        <v>0</v>
      </c>
      <c r="X2426">
        <v>0</v>
      </c>
      <c r="Y2426">
        <v>0</v>
      </c>
      <c r="Z2426">
        <v>0</v>
      </c>
      <c r="AA2426">
        <v>0</v>
      </c>
      <c r="AB2426">
        <v>0</v>
      </c>
      <c r="AC2426">
        <v>0</v>
      </c>
      <c r="AD2426">
        <v>0</v>
      </c>
      <c r="AE2426">
        <v>0</v>
      </c>
      <c r="AF2426">
        <v>0</v>
      </c>
      <c r="AG2426">
        <v>0</v>
      </c>
      <c r="AH2426">
        <v>0</v>
      </c>
      <c r="AI2426">
        <v>0</v>
      </c>
      <c r="AJ2426">
        <v>0</v>
      </c>
      <c r="AK2426">
        <v>0</v>
      </c>
      <c r="AL2426">
        <v>0</v>
      </c>
      <c r="AM2426">
        <v>0</v>
      </c>
      <c r="AN2426">
        <v>0</v>
      </c>
      <c r="AO2426">
        <v>0</v>
      </c>
      <c r="AP2426">
        <v>0</v>
      </c>
      <c r="AQ2426">
        <v>21.38</v>
      </c>
      <c r="AR2426">
        <v>0</v>
      </c>
      <c r="AS2426">
        <v>0</v>
      </c>
      <c r="AT2426">
        <v>0</v>
      </c>
      <c r="AU2426">
        <v>0</v>
      </c>
      <c r="AV2426">
        <v>0</v>
      </c>
      <c r="AW2426">
        <v>0</v>
      </c>
      <c r="AX2426">
        <v>0</v>
      </c>
      <c r="AY2426">
        <v>0</v>
      </c>
      <c r="AZ2426">
        <v>0</v>
      </c>
      <c r="BA2426">
        <v>0</v>
      </c>
      <c r="BB2426">
        <v>0</v>
      </c>
      <c r="BC2426">
        <v>0</v>
      </c>
      <c r="BD2426">
        <v>0</v>
      </c>
      <c r="BE2426">
        <v>0</v>
      </c>
      <c r="BF2426">
        <v>0</v>
      </c>
      <c r="BG2426">
        <v>0</v>
      </c>
      <c r="BH2426">
        <v>1</v>
      </c>
      <c r="BI2426">
        <v>1</v>
      </c>
      <c r="BJ2426">
        <v>1.4</v>
      </c>
      <c r="BK2426">
        <v>1.5</v>
      </c>
      <c r="BL2426">
        <v>69.98</v>
      </c>
      <c r="BM2426">
        <v>10.5</v>
      </c>
      <c r="BN2426">
        <v>80.48</v>
      </c>
      <c r="BO2426">
        <v>80.48</v>
      </c>
      <c r="BQ2426" t="s">
        <v>544</v>
      </c>
      <c r="BR2426" t="s">
        <v>84</v>
      </c>
      <c r="BS2426" s="3">
        <v>45798</v>
      </c>
      <c r="BT2426" s="4">
        <v>0.36805555555555558</v>
      </c>
      <c r="BU2426" t="s">
        <v>1764</v>
      </c>
      <c r="BV2426" t="s">
        <v>86</v>
      </c>
      <c r="BY2426">
        <v>7000</v>
      </c>
      <c r="CA2426" t="s">
        <v>283</v>
      </c>
      <c r="CC2426" t="s">
        <v>91</v>
      </c>
      <c r="CD2426">
        <v>6001</v>
      </c>
      <c r="CE2426" t="s">
        <v>96</v>
      </c>
      <c r="CF2426" s="3">
        <v>45798</v>
      </c>
      <c r="CI2426">
        <v>1</v>
      </c>
      <c r="CJ2426">
        <v>1</v>
      </c>
      <c r="CK2426">
        <v>21</v>
      </c>
      <c r="CL2426" t="s">
        <v>89</v>
      </c>
    </row>
    <row r="2427" spans="1:90" x14ac:dyDescent="0.3">
      <c r="A2427" t="s">
        <v>72</v>
      </c>
      <c r="B2427" t="s">
        <v>73</v>
      </c>
      <c r="C2427" t="s">
        <v>74</v>
      </c>
      <c r="E2427" t="str">
        <f>"080065470193"</f>
        <v>080065470193</v>
      </c>
      <c r="F2427" s="3">
        <v>45797</v>
      </c>
      <c r="G2427">
        <v>202602</v>
      </c>
      <c r="H2427" t="s">
        <v>75</v>
      </c>
      <c r="I2427" t="s">
        <v>76</v>
      </c>
      <c r="J2427" t="s">
        <v>77</v>
      </c>
      <c r="K2427" t="s">
        <v>78</v>
      </c>
      <c r="L2427" t="s">
        <v>90</v>
      </c>
      <c r="M2427" t="s">
        <v>91</v>
      </c>
      <c r="N2427" t="s">
        <v>598</v>
      </c>
      <c r="O2427" t="s">
        <v>82</v>
      </c>
      <c r="P2427" t="str">
        <f>"4170039675                    "</f>
        <v xml:space="preserve">4170039675                    </v>
      </c>
      <c r="Q2427">
        <v>0</v>
      </c>
      <c r="R2427">
        <v>0</v>
      </c>
      <c r="S2427">
        <v>0</v>
      </c>
      <c r="T2427">
        <v>0</v>
      </c>
      <c r="U2427">
        <v>0</v>
      </c>
      <c r="V2427">
        <v>0</v>
      </c>
      <c r="W2427">
        <v>0</v>
      </c>
      <c r="X2427">
        <v>0</v>
      </c>
      <c r="Y2427">
        <v>0</v>
      </c>
      <c r="Z2427">
        <v>0</v>
      </c>
      <c r="AA2427">
        <v>0</v>
      </c>
      <c r="AB2427">
        <v>0</v>
      </c>
      <c r="AC2427">
        <v>0</v>
      </c>
      <c r="AD2427">
        <v>0</v>
      </c>
      <c r="AE2427">
        <v>0</v>
      </c>
      <c r="AF2427">
        <v>0</v>
      </c>
      <c r="AG2427">
        <v>0</v>
      </c>
      <c r="AH2427">
        <v>0</v>
      </c>
      <c r="AI2427">
        <v>0</v>
      </c>
      <c r="AJ2427">
        <v>0</v>
      </c>
      <c r="AK2427">
        <v>0</v>
      </c>
      <c r="AL2427">
        <v>0</v>
      </c>
      <c r="AM2427">
        <v>0</v>
      </c>
      <c r="AN2427">
        <v>0</v>
      </c>
      <c r="AO2427">
        <v>0</v>
      </c>
      <c r="AP2427">
        <v>0</v>
      </c>
      <c r="AQ2427">
        <v>69.459999999999994</v>
      </c>
      <c r="AR2427">
        <v>0</v>
      </c>
      <c r="AS2427">
        <v>0</v>
      </c>
      <c r="AT2427">
        <v>0</v>
      </c>
      <c r="AU2427">
        <v>0</v>
      </c>
      <c r="AV2427">
        <v>0</v>
      </c>
      <c r="AW2427">
        <v>0</v>
      </c>
      <c r="AX2427">
        <v>0</v>
      </c>
      <c r="AY2427">
        <v>0</v>
      </c>
      <c r="AZ2427">
        <v>0</v>
      </c>
      <c r="BA2427">
        <v>0</v>
      </c>
      <c r="BB2427">
        <v>0</v>
      </c>
      <c r="BC2427">
        <v>0</v>
      </c>
      <c r="BD2427">
        <v>0</v>
      </c>
      <c r="BE2427">
        <v>0</v>
      </c>
      <c r="BF2427">
        <v>0</v>
      </c>
      <c r="BG2427">
        <v>0</v>
      </c>
      <c r="BH2427">
        <v>1</v>
      </c>
      <c r="BI2427">
        <v>4</v>
      </c>
      <c r="BJ2427">
        <v>6.5</v>
      </c>
      <c r="BK2427">
        <v>6.5</v>
      </c>
      <c r="BL2427">
        <v>227.32</v>
      </c>
      <c r="BM2427">
        <v>34.1</v>
      </c>
      <c r="BN2427">
        <v>261.42</v>
      </c>
      <c r="BO2427">
        <v>261.42</v>
      </c>
      <c r="BQ2427" t="s">
        <v>599</v>
      </c>
      <c r="BR2427" t="s">
        <v>84</v>
      </c>
      <c r="BS2427" s="3">
        <v>45798</v>
      </c>
      <c r="BT2427" s="4">
        <v>0.43402777777777779</v>
      </c>
      <c r="BU2427" t="s">
        <v>734</v>
      </c>
      <c r="BV2427" t="s">
        <v>86</v>
      </c>
      <c r="BY2427">
        <v>32256</v>
      </c>
      <c r="CA2427" t="s">
        <v>943</v>
      </c>
      <c r="CC2427" t="s">
        <v>91</v>
      </c>
      <c r="CD2427">
        <v>6012</v>
      </c>
      <c r="CE2427" t="s">
        <v>96</v>
      </c>
      <c r="CF2427" s="3">
        <v>45798</v>
      </c>
      <c r="CI2427">
        <v>1</v>
      </c>
      <c r="CJ2427">
        <v>1</v>
      </c>
      <c r="CK2427">
        <v>21</v>
      </c>
      <c r="CL2427" t="s">
        <v>89</v>
      </c>
    </row>
    <row r="2428" spans="1:90" x14ac:dyDescent="0.3">
      <c r="A2428" t="s">
        <v>72</v>
      </c>
      <c r="B2428" t="s">
        <v>73</v>
      </c>
      <c r="C2428" t="s">
        <v>74</v>
      </c>
      <c r="E2428" t="str">
        <f>"080065470238"</f>
        <v>080065470238</v>
      </c>
      <c r="F2428" s="3">
        <v>45797</v>
      </c>
      <c r="G2428">
        <v>202602</v>
      </c>
      <c r="H2428" t="s">
        <v>75</v>
      </c>
      <c r="I2428" t="s">
        <v>76</v>
      </c>
      <c r="J2428" t="s">
        <v>77</v>
      </c>
      <c r="K2428" t="s">
        <v>78</v>
      </c>
      <c r="L2428" t="s">
        <v>409</v>
      </c>
      <c r="M2428" t="s">
        <v>410</v>
      </c>
      <c r="N2428" t="s">
        <v>512</v>
      </c>
      <c r="O2428" t="s">
        <v>82</v>
      </c>
      <c r="P2428" t="str">
        <f>"4170039678                    "</f>
        <v xml:space="preserve">4170039678                    </v>
      </c>
      <c r="Q2428">
        <v>0</v>
      </c>
      <c r="R2428">
        <v>0</v>
      </c>
      <c r="S2428">
        <v>0</v>
      </c>
      <c r="T2428">
        <v>0</v>
      </c>
      <c r="U2428">
        <v>0</v>
      </c>
      <c r="V2428">
        <v>0</v>
      </c>
      <c r="W2428">
        <v>0</v>
      </c>
      <c r="X2428">
        <v>0</v>
      </c>
      <c r="Y2428">
        <v>0</v>
      </c>
      <c r="Z2428">
        <v>0</v>
      </c>
      <c r="AA2428">
        <v>0</v>
      </c>
      <c r="AB2428">
        <v>0</v>
      </c>
      <c r="AC2428">
        <v>0</v>
      </c>
      <c r="AD2428">
        <v>0</v>
      </c>
      <c r="AE2428">
        <v>0</v>
      </c>
      <c r="AF2428">
        <v>0</v>
      </c>
      <c r="AG2428">
        <v>0</v>
      </c>
      <c r="AH2428">
        <v>0</v>
      </c>
      <c r="AI2428">
        <v>0</v>
      </c>
      <c r="AJ2428">
        <v>0</v>
      </c>
      <c r="AK2428">
        <v>0</v>
      </c>
      <c r="AL2428">
        <v>0</v>
      </c>
      <c r="AM2428">
        <v>0</v>
      </c>
      <c r="AN2428">
        <v>0</v>
      </c>
      <c r="AO2428">
        <v>0</v>
      </c>
      <c r="AP2428">
        <v>0</v>
      </c>
      <c r="AQ2428">
        <v>116.27</v>
      </c>
      <c r="AR2428">
        <v>0</v>
      </c>
      <c r="AS2428">
        <v>0</v>
      </c>
      <c r="AT2428">
        <v>0</v>
      </c>
      <c r="AU2428">
        <v>0</v>
      </c>
      <c r="AV2428">
        <v>0</v>
      </c>
      <c r="AW2428">
        <v>0</v>
      </c>
      <c r="AX2428">
        <v>0</v>
      </c>
      <c r="AY2428">
        <v>0</v>
      </c>
      <c r="AZ2428">
        <v>0</v>
      </c>
      <c r="BA2428">
        <v>0</v>
      </c>
      <c r="BB2428">
        <v>0</v>
      </c>
      <c r="BC2428">
        <v>0</v>
      </c>
      <c r="BD2428">
        <v>0</v>
      </c>
      <c r="BE2428">
        <v>0</v>
      </c>
      <c r="BF2428">
        <v>0</v>
      </c>
      <c r="BG2428">
        <v>0</v>
      </c>
      <c r="BH2428">
        <v>1</v>
      </c>
      <c r="BI2428">
        <v>5</v>
      </c>
      <c r="BJ2428">
        <v>5.6</v>
      </c>
      <c r="BK2428">
        <v>6</v>
      </c>
      <c r="BL2428">
        <v>380.51</v>
      </c>
      <c r="BM2428">
        <v>57.08</v>
      </c>
      <c r="BN2428">
        <v>437.59</v>
      </c>
      <c r="BO2428">
        <v>437.59</v>
      </c>
      <c r="BQ2428" t="s">
        <v>513</v>
      </c>
      <c r="BR2428" t="s">
        <v>84</v>
      </c>
      <c r="BS2428" s="3">
        <v>45798</v>
      </c>
      <c r="BT2428" s="4">
        <v>0.49513888888888891</v>
      </c>
      <c r="BU2428" t="s">
        <v>2638</v>
      </c>
      <c r="BV2428" t="s">
        <v>86</v>
      </c>
      <c r="BY2428">
        <v>28120</v>
      </c>
      <c r="CA2428" t="s">
        <v>414</v>
      </c>
      <c r="CC2428" t="s">
        <v>410</v>
      </c>
      <c r="CD2428">
        <v>6850</v>
      </c>
      <c r="CE2428" t="s">
        <v>96</v>
      </c>
      <c r="CF2428" s="3">
        <v>45799</v>
      </c>
      <c r="CI2428">
        <v>2</v>
      </c>
      <c r="CJ2428">
        <v>1</v>
      </c>
      <c r="CK2428">
        <v>23</v>
      </c>
      <c r="CL2428" t="s">
        <v>89</v>
      </c>
    </row>
    <row r="2429" spans="1:90" x14ac:dyDescent="0.3">
      <c r="A2429" t="s">
        <v>72</v>
      </c>
      <c r="B2429" t="s">
        <v>73</v>
      </c>
      <c r="C2429" t="s">
        <v>74</v>
      </c>
      <c r="E2429" t="str">
        <f>"080065470267"</f>
        <v>080065470267</v>
      </c>
      <c r="F2429" s="3">
        <v>45797</v>
      </c>
      <c r="G2429">
        <v>202602</v>
      </c>
      <c r="H2429" t="s">
        <v>75</v>
      </c>
      <c r="I2429" t="s">
        <v>76</v>
      </c>
      <c r="J2429" t="s">
        <v>77</v>
      </c>
      <c r="K2429" t="s">
        <v>78</v>
      </c>
      <c r="L2429" t="s">
        <v>972</v>
      </c>
      <c r="M2429" t="s">
        <v>973</v>
      </c>
      <c r="N2429" t="s">
        <v>1744</v>
      </c>
      <c r="O2429" t="s">
        <v>82</v>
      </c>
      <c r="P2429" t="str">
        <f>"4170039592                    "</f>
        <v xml:space="preserve">4170039592                    </v>
      </c>
      <c r="Q2429">
        <v>0</v>
      </c>
      <c r="R2429">
        <v>0</v>
      </c>
      <c r="S2429">
        <v>0</v>
      </c>
      <c r="T2429">
        <v>0</v>
      </c>
      <c r="U2429">
        <v>0</v>
      </c>
      <c r="V2429">
        <v>0</v>
      </c>
      <c r="W2429">
        <v>0</v>
      </c>
      <c r="X2429">
        <v>0</v>
      </c>
      <c r="Y2429">
        <v>0</v>
      </c>
      <c r="Z2429">
        <v>0</v>
      </c>
      <c r="AA2429">
        <v>0</v>
      </c>
      <c r="AB2429">
        <v>0</v>
      </c>
      <c r="AC2429">
        <v>0</v>
      </c>
      <c r="AD2429">
        <v>0</v>
      </c>
      <c r="AE2429">
        <v>0</v>
      </c>
      <c r="AF2429">
        <v>0</v>
      </c>
      <c r="AG2429">
        <v>0</v>
      </c>
      <c r="AH2429">
        <v>0</v>
      </c>
      <c r="AI2429">
        <v>0</v>
      </c>
      <c r="AJ2429">
        <v>0</v>
      </c>
      <c r="AK2429">
        <v>0</v>
      </c>
      <c r="AL2429">
        <v>0</v>
      </c>
      <c r="AM2429">
        <v>0</v>
      </c>
      <c r="AN2429">
        <v>0</v>
      </c>
      <c r="AO2429">
        <v>0</v>
      </c>
      <c r="AP2429">
        <v>0</v>
      </c>
      <c r="AQ2429">
        <v>16.7</v>
      </c>
      <c r="AR2429">
        <v>0</v>
      </c>
      <c r="AS2429">
        <v>0</v>
      </c>
      <c r="AT2429">
        <v>0</v>
      </c>
      <c r="AU2429">
        <v>0</v>
      </c>
      <c r="AV2429">
        <v>0</v>
      </c>
      <c r="AW2429">
        <v>0</v>
      </c>
      <c r="AX2429">
        <v>0</v>
      </c>
      <c r="AY2429">
        <v>0</v>
      </c>
      <c r="AZ2429">
        <v>0</v>
      </c>
      <c r="BA2429">
        <v>0</v>
      </c>
      <c r="BB2429">
        <v>0</v>
      </c>
      <c r="BC2429">
        <v>0</v>
      </c>
      <c r="BD2429">
        <v>0</v>
      </c>
      <c r="BE2429">
        <v>0</v>
      </c>
      <c r="BF2429">
        <v>0</v>
      </c>
      <c r="BG2429">
        <v>0</v>
      </c>
      <c r="BH2429">
        <v>1</v>
      </c>
      <c r="BI2429">
        <v>2</v>
      </c>
      <c r="BJ2429">
        <v>3.6</v>
      </c>
      <c r="BK2429">
        <v>4</v>
      </c>
      <c r="BL2429">
        <v>54.66</v>
      </c>
      <c r="BM2429">
        <v>8.1999999999999993</v>
      </c>
      <c r="BN2429">
        <v>62.86</v>
      </c>
      <c r="BO2429">
        <v>62.86</v>
      </c>
      <c r="BQ2429" t="s">
        <v>1745</v>
      </c>
      <c r="BR2429" t="s">
        <v>84</v>
      </c>
      <c r="BS2429" s="3">
        <v>45798</v>
      </c>
      <c r="BT2429" s="4">
        <v>0.36458333333333331</v>
      </c>
      <c r="BU2429" t="s">
        <v>1992</v>
      </c>
      <c r="BV2429" t="s">
        <v>86</v>
      </c>
      <c r="BY2429">
        <v>18144</v>
      </c>
      <c r="CA2429" t="s">
        <v>1596</v>
      </c>
      <c r="CC2429" t="s">
        <v>973</v>
      </c>
      <c r="CD2429">
        <v>1709</v>
      </c>
      <c r="CE2429" t="s">
        <v>96</v>
      </c>
      <c r="CF2429" s="3">
        <v>45798</v>
      </c>
      <c r="CI2429">
        <v>1</v>
      </c>
      <c r="CJ2429">
        <v>1</v>
      </c>
      <c r="CK2429">
        <v>22</v>
      </c>
      <c r="CL2429" t="s">
        <v>89</v>
      </c>
    </row>
    <row r="2430" spans="1:90" x14ac:dyDescent="0.3">
      <c r="A2430" t="s">
        <v>72</v>
      </c>
      <c r="B2430" t="s">
        <v>73</v>
      </c>
      <c r="C2430" t="s">
        <v>74</v>
      </c>
      <c r="E2430" t="str">
        <f>"080065470268"</f>
        <v>080065470268</v>
      </c>
      <c r="F2430" s="3">
        <v>45797</v>
      </c>
      <c r="G2430">
        <v>202602</v>
      </c>
      <c r="H2430" t="s">
        <v>75</v>
      </c>
      <c r="I2430" t="s">
        <v>76</v>
      </c>
      <c r="J2430" t="s">
        <v>77</v>
      </c>
      <c r="K2430" t="s">
        <v>78</v>
      </c>
      <c r="L2430" t="s">
        <v>97</v>
      </c>
      <c r="M2430" t="s">
        <v>98</v>
      </c>
      <c r="N2430" t="s">
        <v>2242</v>
      </c>
      <c r="O2430" t="s">
        <v>602</v>
      </c>
      <c r="P2430" t="str">
        <f>"4170039657                    "</f>
        <v xml:space="preserve">4170039657                    </v>
      </c>
      <c r="Q2430">
        <v>0</v>
      </c>
      <c r="R2430">
        <v>0</v>
      </c>
      <c r="S2430">
        <v>0</v>
      </c>
      <c r="T2430">
        <v>0</v>
      </c>
      <c r="U2430">
        <v>0</v>
      </c>
      <c r="V2430">
        <v>0</v>
      </c>
      <c r="W2430">
        <v>0</v>
      </c>
      <c r="X2430">
        <v>0</v>
      </c>
      <c r="Y2430">
        <v>0</v>
      </c>
      <c r="Z2430">
        <v>0</v>
      </c>
      <c r="AA2430">
        <v>0</v>
      </c>
      <c r="AB2430">
        <v>0</v>
      </c>
      <c r="AC2430">
        <v>0</v>
      </c>
      <c r="AD2430">
        <v>0</v>
      </c>
      <c r="AE2430">
        <v>0</v>
      </c>
      <c r="AF2430">
        <v>0</v>
      </c>
      <c r="AG2430">
        <v>0</v>
      </c>
      <c r="AH2430">
        <v>0</v>
      </c>
      <c r="AI2430">
        <v>0</v>
      </c>
      <c r="AJ2430">
        <v>0</v>
      </c>
      <c r="AK2430">
        <v>0</v>
      </c>
      <c r="AL2430">
        <v>0</v>
      </c>
      <c r="AM2430">
        <v>0</v>
      </c>
      <c r="AN2430">
        <v>0</v>
      </c>
      <c r="AO2430">
        <v>0</v>
      </c>
      <c r="AP2430">
        <v>0</v>
      </c>
      <c r="AQ2430">
        <v>16.71</v>
      </c>
      <c r="AR2430">
        <v>0</v>
      </c>
      <c r="AS2430">
        <v>0</v>
      </c>
      <c r="AT2430">
        <v>0</v>
      </c>
      <c r="AU2430">
        <v>0</v>
      </c>
      <c r="AV2430">
        <v>0</v>
      </c>
      <c r="AW2430">
        <v>0</v>
      </c>
      <c r="AX2430">
        <v>0</v>
      </c>
      <c r="AY2430">
        <v>0</v>
      </c>
      <c r="AZ2430">
        <v>0</v>
      </c>
      <c r="BA2430">
        <v>0</v>
      </c>
      <c r="BB2430">
        <v>0</v>
      </c>
      <c r="BC2430">
        <v>0</v>
      </c>
      <c r="BD2430">
        <v>0</v>
      </c>
      <c r="BE2430">
        <v>0</v>
      </c>
      <c r="BF2430">
        <v>0</v>
      </c>
      <c r="BG2430">
        <v>0</v>
      </c>
      <c r="BH2430">
        <v>1</v>
      </c>
      <c r="BI2430">
        <v>7</v>
      </c>
      <c r="BJ2430">
        <v>7.5</v>
      </c>
      <c r="BK2430">
        <v>8</v>
      </c>
      <c r="BL2430">
        <v>54.68</v>
      </c>
      <c r="BM2430">
        <v>8.1999999999999993</v>
      </c>
      <c r="BN2430">
        <v>62.88</v>
      </c>
      <c r="BO2430">
        <v>62.88</v>
      </c>
      <c r="BQ2430" t="s">
        <v>2243</v>
      </c>
      <c r="BR2430" t="s">
        <v>84</v>
      </c>
      <c r="BS2430" s="3">
        <v>45798</v>
      </c>
      <c r="BT2430" s="4">
        <v>0.4284722222222222</v>
      </c>
      <c r="BU2430" t="s">
        <v>2656</v>
      </c>
      <c r="BV2430" t="s">
        <v>86</v>
      </c>
      <c r="BY2430">
        <v>37488</v>
      </c>
      <c r="CA2430" t="s">
        <v>279</v>
      </c>
      <c r="CC2430" t="s">
        <v>98</v>
      </c>
      <c r="CD2430">
        <v>1459</v>
      </c>
      <c r="CE2430" t="s">
        <v>96</v>
      </c>
      <c r="CF2430" s="3">
        <v>45798</v>
      </c>
      <c r="CI2430">
        <v>1</v>
      </c>
      <c r="CJ2430">
        <v>1</v>
      </c>
      <c r="CK2430">
        <v>32</v>
      </c>
      <c r="CL2430" t="s">
        <v>89</v>
      </c>
    </row>
    <row r="2431" spans="1:90" x14ac:dyDescent="0.3">
      <c r="A2431" t="s">
        <v>72</v>
      </c>
      <c r="B2431" t="s">
        <v>73</v>
      </c>
      <c r="C2431" t="s">
        <v>74</v>
      </c>
      <c r="E2431" t="str">
        <f>"080065470334"</f>
        <v>080065470334</v>
      </c>
      <c r="F2431" s="3">
        <v>45797</v>
      </c>
      <c r="G2431">
        <v>202602</v>
      </c>
      <c r="H2431" t="s">
        <v>75</v>
      </c>
      <c r="I2431" t="s">
        <v>76</v>
      </c>
      <c r="J2431" t="s">
        <v>77</v>
      </c>
      <c r="K2431" t="s">
        <v>78</v>
      </c>
      <c r="L2431" t="s">
        <v>90</v>
      </c>
      <c r="M2431" t="s">
        <v>91</v>
      </c>
      <c r="N2431" t="s">
        <v>563</v>
      </c>
      <c r="O2431" t="s">
        <v>82</v>
      </c>
      <c r="P2431" t="str">
        <f>"4170039621                    "</f>
        <v xml:space="preserve">4170039621                    </v>
      </c>
      <c r="Q2431">
        <v>0</v>
      </c>
      <c r="R2431">
        <v>0</v>
      </c>
      <c r="S2431">
        <v>0</v>
      </c>
      <c r="T2431">
        <v>0</v>
      </c>
      <c r="U2431">
        <v>0</v>
      </c>
      <c r="V2431">
        <v>0</v>
      </c>
      <c r="W2431">
        <v>0</v>
      </c>
      <c r="X2431">
        <v>0</v>
      </c>
      <c r="Y2431">
        <v>0</v>
      </c>
      <c r="Z2431">
        <v>0</v>
      </c>
      <c r="AA2431">
        <v>0</v>
      </c>
      <c r="AB2431">
        <v>0</v>
      </c>
      <c r="AC2431">
        <v>0</v>
      </c>
      <c r="AD2431">
        <v>0</v>
      </c>
      <c r="AE2431">
        <v>0</v>
      </c>
      <c r="AF2431">
        <v>0</v>
      </c>
      <c r="AG2431">
        <v>0</v>
      </c>
      <c r="AH2431">
        <v>0</v>
      </c>
      <c r="AI2431">
        <v>0</v>
      </c>
      <c r="AJ2431">
        <v>0</v>
      </c>
      <c r="AK2431">
        <v>0</v>
      </c>
      <c r="AL2431">
        <v>0</v>
      </c>
      <c r="AM2431">
        <v>0</v>
      </c>
      <c r="AN2431">
        <v>0</v>
      </c>
      <c r="AO2431">
        <v>0</v>
      </c>
      <c r="AP2431">
        <v>0</v>
      </c>
      <c r="AQ2431">
        <v>21.38</v>
      </c>
      <c r="AR2431">
        <v>0</v>
      </c>
      <c r="AS2431">
        <v>0</v>
      </c>
      <c r="AT2431">
        <v>0</v>
      </c>
      <c r="AU2431">
        <v>0</v>
      </c>
      <c r="AV2431">
        <v>0</v>
      </c>
      <c r="AW2431">
        <v>0</v>
      </c>
      <c r="AX2431">
        <v>0</v>
      </c>
      <c r="AY2431">
        <v>0</v>
      </c>
      <c r="AZ2431">
        <v>0</v>
      </c>
      <c r="BA2431">
        <v>0</v>
      </c>
      <c r="BB2431">
        <v>0</v>
      </c>
      <c r="BC2431">
        <v>0</v>
      </c>
      <c r="BD2431">
        <v>0</v>
      </c>
      <c r="BE2431">
        <v>0</v>
      </c>
      <c r="BF2431">
        <v>0</v>
      </c>
      <c r="BG2431">
        <v>0</v>
      </c>
      <c r="BH2431">
        <v>1</v>
      </c>
      <c r="BI2431">
        <v>1</v>
      </c>
      <c r="BJ2431">
        <v>1.4</v>
      </c>
      <c r="BK2431">
        <v>1.5</v>
      </c>
      <c r="BL2431">
        <v>69.98</v>
      </c>
      <c r="BM2431">
        <v>10.5</v>
      </c>
      <c r="BN2431">
        <v>80.48</v>
      </c>
      <c r="BO2431">
        <v>80.48</v>
      </c>
      <c r="BQ2431" t="s">
        <v>564</v>
      </c>
      <c r="BR2431" t="s">
        <v>84</v>
      </c>
      <c r="BS2431" s="3">
        <v>45798</v>
      </c>
      <c r="BT2431" s="4">
        <v>0.35833333333333334</v>
      </c>
      <c r="BU2431" t="s">
        <v>987</v>
      </c>
      <c r="BV2431" t="s">
        <v>86</v>
      </c>
      <c r="BY2431">
        <v>7000</v>
      </c>
      <c r="CA2431" t="s">
        <v>566</v>
      </c>
      <c r="CC2431" t="s">
        <v>91</v>
      </c>
      <c r="CD2431">
        <v>6001</v>
      </c>
      <c r="CE2431" t="s">
        <v>96</v>
      </c>
      <c r="CF2431" s="3">
        <v>45798</v>
      </c>
      <c r="CI2431">
        <v>1</v>
      </c>
      <c r="CJ2431">
        <v>1</v>
      </c>
      <c r="CK2431">
        <v>21</v>
      </c>
      <c r="CL2431" t="s">
        <v>89</v>
      </c>
    </row>
    <row r="2432" spans="1:90" x14ac:dyDescent="0.3">
      <c r="A2432" t="s">
        <v>72</v>
      </c>
      <c r="B2432" t="s">
        <v>73</v>
      </c>
      <c r="C2432" t="s">
        <v>74</v>
      </c>
      <c r="E2432" t="str">
        <f>"080065470336"</f>
        <v>080065470336</v>
      </c>
      <c r="F2432" s="3">
        <v>45797</v>
      </c>
      <c r="G2432">
        <v>202602</v>
      </c>
      <c r="H2432" t="s">
        <v>75</v>
      </c>
      <c r="I2432" t="s">
        <v>76</v>
      </c>
      <c r="J2432" t="s">
        <v>77</v>
      </c>
      <c r="K2432" t="s">
        <v>78</v>
      </c>
      <c r="L2432" t="s">
        <v>350</v>
      </c>
      <c r="M2432" t="s">
        <v>351</v>
      </c>
      <c r="N2432" t="s">
        <v>352</v>
      </c>
      <c r="O2432" t="s">
        <v>82</v>
      </c>
      <c r="P2432" t="str">
        <f>"4170039680                    "</f>
        <v xml:space="preserve">4170039680                    </v>
      </c>
      <c r="Q2432">
        <v>0</v>
      </c>
      <c r="R2432">
        <v>0</v>
      </c>
      <c r="S2432">
        <v>0</v>
      </c>
      <c r="T2432">
        <v>0</v>
      </c>
      <c r="U2432">
        <v>0</v>
      </c>
      <c r="V2432">
        <v>0</v>
      </c>
      <c r="W2432">
        <v>0</v>
      </c>
      <c r="X2432">
        <v>0</v>
      </c>
      <c r="Y2432">
        <v>0</v>
      </c>
      <c r="Z2432">
        <v>0</v>
      </c>
      <c r="AA2432">
        <v>0</v>
      </c>
      <c r="AB2432">
        <v>0</v>
      </c>
      <c r="AC2432">
        <v>0</v>
      </c>
      <c r="AD2432">
        <v>0</v>
      </c>
      <c r="AE2432">
        <v>0</v>
      </c>
      <c r="AF2432">
        <v>0</v>
      </c>
      <c r="AG2432">
        <v>0</v>
      </c>
      <c r="AH2432">
        <v>0</v>
      </c>
      <c r="AI2432">
        <v>0</v>
      </c>
      <c r="AJ2432">
        <v>0</v>
      </c>
      <c r="AK2432">
        <v>0</v>
      </c>
      <c r="AL2432">
        <v>0</v>
      </c>
      <c r="AM2432">
        <v>0</v>
      </c>
      <c r="AN2432">
        <v>0</v>
      </c>
      <c r="AO2432">
        <v>0</v>
      </c>
      <c r="AP2432">
        <v>0</v>
      </c>
      <c r="AQ2432">
        <v>58.78</v>
      </c>
      <c r="AR2432">
        <v>0</v>
      </c>
      <c r="AS2432">
        <v>0</v>
      </c>
      <c r="AT2432">
        <v>0</v>
      </c>
      <c r="AU2432">
        <v>0</v>
      </c>
      <c r="AV2432">
        <v>0</v>
      </c>
      <c r="AW2432">
        <v>0</v>
      </c>
      <c r="AX2432">
        <v>0</v>
      </c>
      <c r="AY2432">
        <v>0</v>
      </c>
      <c r="AZ2432">
        <v>0</v>
      </c>
      <c r="BA2432">
        <v>0</v>
      </c>
      <c r="BB2432">
        <v>0</v>
      </c>
      <c r="BC2432">
        <v>0</v>
      </c>
      <c r="BD2432">
        <v>0</v>
      </c>
      <c r="BE2432">
        <v>0</v>
      </c>
      <c r="BF2432">
        <v>0</v>
      </c>
      <c r="BG2432">
        <v>0</v>
      </c>
      <c r="BH2432">
        <v>1</v>
      </c>
      <c r="BI2432">
        <v>2</v>
      </c>
      <c r="BJ2432">
        <v>5.2</v>
      </c>
      <c r="BK2432">
        <v>5.5</v>
      </c>
      <c r="BL2432">
        <v>192.36</v>
      </c>
      <c r="BM2432">
        <v>28.85</v>
      </c>
      <c r="BN2432">
        <v>221.21</v>
      </c>
      <c r="BO2432">
        <v>221.21</v>
      </c>
      <c r="BQ2432" t="s">
        <v>353</v>
      </c>
      <c r="BR2432" t="s">
        <v>84</v>
      </c>
      <c r="BS2432" s="3">
        <v>45798</v>
      </c>
      <c r="BT2432" s="4">
        <v>0.37430555555555556</v>
      </c>
      <c r="BU2432" t="s">
        <v>2327</v>
      </c>
      <c r="BV2432" t="s">
        <v>86</v>
      </c>
      <c r="BY2432">
        <v>26013</v>
      </c>
      <c r="CA2432" t="s">
        <v>160</v>
      </c>
      <c r="CC2432" t="s">
        <v>351</v>
      </c>
      <c r="CD2432">
        <v>4000</v>
      </c>
      <c r="CE2432" t="s">
        <v>96</v>
      </c>
      <c r="CF2432" s="3">
        <v>45798</v>
      </c>
      <c r="CI2432">
        <v>1</v>
      </c>
      <c r="CJ2432">
        <v>1</v>
      </c>
      <c r="CK2432">
        <v>21</v>
      </c>
      <c r="CL2432" t="s">
        <v>89</v>
      </c>
    </row>
    <row r="2433" spans="1:90" x14ac:dyDescent="0.3">
      <c r="A2433" t="s">
        <v>72</v>
      </c>
      <c r="B2433" t="s">
        <v>73</v>
      </c>
      <c r="C2433" t="s">
        <v>74</v>
      </c>
      <c r="E2433" t="str">
        <f>"080065470398"</f>
        <v>080065470398</v>
      </c>
      <c r="F2433" s="3">
        <v>45797</v>
      </c>
      <c r="G2433">
        <v>202602</v>
      </c>
      <c r="H2433" t="s">
        <v>75</v>
      </c>
      <c r="I2433" t="s">
        <v>76</v>
      </c>
      <c r="J2433" t="s">
        <v>77</v>
      </c>
      <c r="K2433" t="s">
        <v>78</v>
      </c>
      <c r="L2433" t="s">
        <v>350</v>
      </c>
      <c r="M2433" t="s">
        <v>351</v>
      </c>
      <c r="N2433" t="s">
        <v>876</v>
      </c>
      <c r="O2433" t="s">
        <v>82</v>
      </c>
      <c r="P2433" t="str">
        <f>"4170039493                    "</f>
        <v xml:space="preserve">4170039493                    </v>
      </c>
      <c r="Q2433">
        <v>0</v>
      </c>
      <c r="R2433">
        <v>0</v>
      </c>
      <c r="S2433">
        <v>0</v>
      </c>
      <c r="T2433">
        <v>0</v>
      </c>
      <c r="U2433">
        <v>0</v>
      </c>
      <c r="V2433">
        <v>0</v>
      </c>
      <c r="W2433">
        <v>0</v>
      </c>
      <c r="X2433">
        <v>0</v>
      </c>
      <c r="Y2433">
        <v>0</v>
      </c>
      <c r="Z2433">
        <v>0</v>
      </c>
      <c r="AA2433">
        <v>0</v>
      </c>
      <c r="AB2433">
        <v>0</v>
      </c>
      <c r="AC2433">
        <v>0</v>
      </c>
      <c r="AD2433">
        <v>0</v>
      </c>
      <c r="AE2433">
        <v>0</v>
      </c>
      <c r="AF2433">
        <v>0</v>
      </c>
      <c r="AG2433">
        <v>0</v>
      </c>
      <c r="AH2433">
        <v>0</v>
      </c>
      <c r="AI2433">
        <v>0</v>
      </c>
      <c r="AJ2433">
        <v>0</v>
      </c>
      <c r="AK2433">
        <v>0</v>
      </c>
      <c r="AL2433">
        <v>0</v>
      </c>
      <c r="AM2433">
        <v>0</v>
      </c>
      <c r="AN2433">
        <v>0</v>
      </c>
      <c r="AO2433">
        <v>0</v>
      </c>
      <c r="AP2433">
        <v>0</v>
      </c>
      <c r="AQ2433">
        <v>42.75</v>
      </c>
      <c r="AR2433">
        <v>0</v>
      </c>
      <c r="AS2433">
        <v>0</v>
      </c>
      <c r="AT2433">
        <v>0</v>
      </c>
      <c r="AU2433">
        <v>0</v>
      </c>
      <c r="AV2433">
        <v>0</v>
      </c>
      <c r="AW2433">
        <v>0</v>
      </c>
      <c r="AX2433">
        <v>0</v>
      </c>
      <c r="AY2433">
        <v>0</v>
      </c>
      <c r="AZ2433">
        <v>0</v>
      </c>
      <c r="BA2433">
        <v>0</v>
      </c>
      <c r="BB2433">
        <v>0</v>
      </c>
      <c r="BC2433">
        <v>0</v>
      </c>
      <c r="BD2433">
        <v>0</v>
      </c>
      <c r="BE2433">
        <v>0</v>
      </c>
      <c r="BF2433">
        <v>0</v>
      </c>
      <c r="BG2433">
        <v>0</v>
      </c>
      <c r="BH2433">
        <v>1</v>
      </c>
      <c r="BI2433">
        <v>4</v>
      </c>
      <c r="BJ2433">
        <v>1.2</v>
      </c>
      <c r="BK2433">
        <v>4</v>
      </c>
      <c r="BL2433">
        <v>139.91</v>
      </c>
      <c r="BM2433">
        <v>20.99</v>
      </c>
      <c r="BN2433">
        <v>160.9</v>
      </c>
      <c r="BO2433">
        <v>160.9</v>
      </c>
      <c r="BQ2433" t="s">
        <v>877</v>
      </c>
      <c r="BR2433" t="s">
        <v>84</v>
      </c>
      <c r="BS2433" s="3">
        <v>45798</v>
      </c>
      <c r="BT2433" s="4">
        <v>0.38819444444444445</v>
      </c>
      <c r="BU2433" t="s">
        <v>2698</v>
      </c>
      <c r="BV2433" t="s">
        <v>86</v>
      </c>
      <c r="BY2433">
        <v>5900</v>
      </c>
      <c r="CA2433" t="s">
        <v>2649</v>
      </c>
      <c r="CC2433" t="s">
        <v>351</v>
      </c>
      <c r="CD2433">
        <v>4001</v>
      </c>
      <c r="CE2433" t="s">
        <v>221</v>
      </c>
      <c r="CF2433" s="3">
        <v>45798</v>
      </c>
      <c r="CI2433">
        <v>1</v>
      </c>
      <c r="CJ2433">
        <v>1</v>
      </c>
      <c r="CK2433">
        <v>21</v>
      </c>
      <c r="CL2433" t="s">
        <v>89</v>
      </c>
    </row>
    <row r="2434" spans="1:90" x14ac:dyDescent="0.3">
      <c r="A2434" t="s">
        <v>72</v>
      </c>
      <c r="B2434" t="s">
        <v>73</v>
      </c>
      <c r="C2434" t="s">
        <v>74</v>
      </c>
      <c r="E2434" t="str">
        <f>"080065470434"</f>
        <v>080065470434</v>
      </c>
      <c r="F2434" s="3">
        <v>45797</v>
      </c>
      <c r="G2434">
        <v>202602</v>
      </c>
      <c r="H2434" t="s">
        <v>75</v>
      </c>
      <c r="I2434" t="s">
        <v>76</v>
      </c>
      <c r="J2434" t="s">
        <v>77</v>
      </c>
      <c r="K2434" t="s">
        <v>78</v>
      </c>
      <c r="L2434" t="s">
        <v>75</v>
      </c>
      <c r="M2434" t="s">
        <v>76</v>
      </c>
      <c r="N2434" t="s">
        <v>601</v>
      </c>
      <c r="O2434" t="s">
        <v>82</v>
      </c>
      <c r="P2434" t="str">
        <f>"4170039558                    "</f>
        <v xml:space="preserve">4170039558                    </v>
      </c>
      <c r="Q2434">
        <v>0</v>
      </c>
      <c r="R2434">
        <v>0</v>
      </c>
      <c r="S2434">
        <v>0</v>
      </c>
      <c r="T2434">
        <v>0</v>
      </c>
      <c r="U2434">
        <v>0</v>
      </c>
      <c r="V2434">
        <v>0</v>
      </c>
      <c r="W2434">
        <v>0</v>
      </c>
      <c r="X2434">
        <v>0</v>
      </c>
      <c r="Y2434">
        <v>0</v>
      </c>
      <c r="Z2434">
        <v>0</v>
      </c>
      <c r="AA2434">
        <v>0</v>
      </c>
      <c r="AB2434">
        <v>0</v>
      </c>
      <c r="AC2434">
        <v>0</v>
      </c>
      <c r="AD2434">
        <v>0</v>
      </c>
      <c r="AE2434">
        <v>0</v>
      </c>
      <c r="AF2434">
        <v>0</v>
      </c>
      <c r="AG2434">
        <v>0</v>
      </c>
      <c r="AH2434">
        <v>0</v>
      </c>
      <c r="AI2434">
        <v>0</v>
      </c>
      <c r="AJ2434">
        <v>0</v>
      </c>
      <c r="AK2434">
        <v>0</v>
      </c>
      <c r="AL2434">
        <v>0</v>
      </c>
      <c r="AM2434">
        <v>0</v>
      </c>
      <c r="AN2434">
        <v>0</v>
      </c>
      <c r="AO2434">
        <v>0</v>
      </c>
      <c r="AP2434">
        <v>0</v>
      </c>
      <c r="AQ2434">
        <v>16.7</v>
      </c>
      <c r="AR2434">
        <v>0</v>
      </c>
      <c r="AS2434">
        <v>0</v>
      </c>
      <c r="AT2434">
        <v>0</v>
      </c>
      <c r="AU2434">
        <v>0</v>
      </c>
      <c r="AV2434">
        <v>0</v>
      </c>
      <c r="AW2434">
        <v>0</v>
      </c>
      <c r="AX2434">
        <v>0</v>
      </c>
      <c r="AY2434">
        <v>0</v>
      </c>
      <c r="AZ2434">
        <v>0</v>
      </c>
      <c r="BA2434">
        <v>0</v>
      </c>
      <c r="BB2434">
        <v>0</v>
      </c>
      <c r="BC2434">
        <v>0</v>
      </c>
      <c r="BD2434">
        <v>0</v>
      </c>
      <c r="BE2434">
        <v>0</v>
      </c>
      <c r="BF2434">
        <v>0</v>
      </c>
      <c r="BG2434">
        <v>0</v>
      </c>
      <c r="BH2434">
        <v>1</v>
      </c>
      <c r="BI2434">
        <v>3</v>
      </c>
      <c r="BJ2434">
        <v>2</v>
      </c>
      <c r="BK2434">
        <v>3</v>
      </c>
      <c r="BL2434">
        <v>54.66</v>
      </c>
      <c r="BM2434">
        <v>8.1999999999999993</v>
      </c>
      <c r="BN2434">
        <v>62.86</v>
      </c>
      <c r="BO2434">
        <v>62.86</v>
      </c>
      <c r="BQ2434" t="s">
        <v>603</v>
      </c>
      <c r="BR2434" t="s">
        <v>84</v>
      </c>
      <c r="BS2434" s="3">
        <v>45798</v>
      </c>
      <c r="BT2434" s="4">
        <v>0.33333333333333331</v>
      </c>
      <c r="BU2434" t="s">
        <v>604</v>
      </c>
      <c r="BV2434" t="s">
        <v>86</v>
      </c>
      <c r="BY2434">
        <v>9918</v>
      </c>
      <c r="CA2434" t="s">
        <v>605</v>
      </c>
      <c r="CC2434" t="s">
        <v>76</v>
      </c>
      <c r="CD2434">
        <v>1645</v>
      </c>
      <c r="CE2434" t="s">
        <v>96</v>
      </c>
      <c r="CF2434" s="3">
        <v>45798</v>
      </c>
      <c r="CI2434">
        <v>1</v>
      </c>
      <c r="CJ2434">
        <v>1</v>
      </c>
      <c r="CK2434">
        <v>22</v>
      </c>
      <c r="CL2434" t="s">
        <v>89</v>
      </c>
    </row>
    <row r="2435" spans="1:90" x14ac:dyDescent="0.3">
      <c r="A2435" t="s">
        <v>72</v>
      </c>
      <c r="B2435" t="s">
        <v>73</v>
      </c>
      <c r="C2435" t="s">
        <v>74</v>
      </c>
      <c r="E2435" t="str">
        <f>"080065470471"</f>
        <v>080065470471</v>
      </c>
      <c r="F2435" s="3">
        <v>45797</v>
      </c>
      <c r="G2435">
        <v>202602</v>
      </c>
      <c r="H2435" t="s">
        <v>75</v>
      </c>
      <c r="I2435" t="s">
        <v>76</v>
      </c>
      <c r="J2435" t="s">
        <v>77</v>
      </c>
      <c r="K2435" t="s">
        <v>78</v>
      </c>
      <c r="L2435" t="s">
        <v>420</v>
      </c>
      <c r="M2435" t="s">
        <v>421</v>
      </c>
      <c r="N2435" t="s">
        <v>1914</v>
      </c>
      <c r="O2435" t="s">
        <v>82</v>
      </c>
      <c r="P2435" t="str">
        <f>"4170039401                    "</f>
        <v xml:space="preserve">4170039401                    </v>
      </c>
      <c r="Q2435">
        <v>0</v>
      </c>
      <c r="R2435">
        <v>0</v>
      </c>
      <c r="S2435">
        <v>0</v>
      </c>
      <c r="T2435">
        <v>0</v>
      </c>
      <c r="U2435">
        <v>0</v>
      </c>
      <c r="V2435">
        <v>0</v>
      </c>
      <c r="W2435">
        <v>0</v>
      </c>
      <c r="X2435">
        <v>0</v>
      </c>
      <c r="Y2435">
        <v>0</v>
      </c>
      <c r="Z2435">
        <v>0</v>
      </c>
      <c r="AA2435">
        <v>0</v>
      </c>
      <c r="AB2435">
        <v>0</v>
      </c>
      <c r="AC2435">
        <v>0</v>
      </c>
      <c r="AD2435">
        <v>0</v>
      </c>
      <c r="AE2435">
        <v>0</v>
      </c>
      <c r="AF2435">
        <v>0</v>
      </c>
      <c r="AG2435">
        <v>0</v>
      </c>
      <c r="AH2435">
        <v>0</v>
      </c>
      <c r="AI2435">
        <v>0</v>
      </c>
      <c r="AJ2435">
        <v>0</v>
      </c>
      <c r="AK2435">
        <v>0</v>
      </c>
      <c r="AL2435">
        <v>0</v>
      </c>
      <c r="AM2435">
        <v>0</v>
      </c>
      <c r="AN2435">
        <v>0</v>
      </c>
      <c r="AO2435">
        <v>0</v>
      </c>
      <c r="AP2435">
        <v>0</v>
      </c>
      <c r="AQ2435">
        <v>78.849999999999994</v>
      </c>
      <c r="AR2435">
        <v>0</v>
      </c>
      <c r="AS2435">
        <v>0</v>
      </c>
      <c r="AT2435">
        <v>0</v>
      </c>
      <c r="AU2435">
        <v>0</v>
      </c>
      <c r="AV2435">
        <v>0</v>
      </c>
      <c r="AW2435">
        <v>0</v>
      </c>
      <c r="AX2435">
        <v>0</v>
      </c>
      <c r="AY2435">
        <v>0</v>
      </c>
      <c r="AZ2435">
        <v>0</v>
      </c>
      <c r="BA2435">
        <v>0</v>
      </c>
      <c r="BB2435">
        <v>0</v>
      </c>
      <c r="BC2435">
        <v>0</v>
      </c>
      <c r="BD2435">
        <v>0</v>
      </c>
      <c r="BE2435">
        <v>0</v>
      </c>
      <c r="BF2435">
        <v>0</v>
      </c>
      <c r="BG2435">
        <v>0</v>
      </c>
      <c r="BH2435">
        <v>1</v>
      </c>
      <c r="BI2435">
        <v>4</v>
      </c>
      <c r="BJ2435">
        <v>1.9</v>
      </c>
      <c r="BK2435">
        <v>4</v>
      </c>
      <c r="BL2435">
        <v>258.05</v>
      </c>
      <c r="BM2435">
        <v>38.71</v>
      </c>
      <c r="BN2435">
        <v>296.76</v>
      </c>
      <c r="BO2435">
        <v>296.76</v>
      </c>
      <c r="BQ2435" t="s">
        <v>1915</v>
      </c>
      <c r="BR2435" t="s">
        <v>84</v>
      </c>
      <c r="BS2435" s="3">
        <v>45798</v>
      </c>
      <c r="BT2435" s="4">
        <v>0.41666666666666669</v>
      </c>
      <c r="BU2435" t="s">
        <v>2699</v>
      </c>
      <c r="BV2435" t="s">
        <v>86</v>
      </c>
      <c r="BY2435">
        <v>9576</v>
      </c>
      <c r="CC2435" t="s">
        <v>421</v>
      </c>
      <c r="CD2435">
        <v>3290</v>
      </c>
      <c r="CE2435" t="s">
        <v>96</v>
      </c>
      <c r="CF2435" s="3">
        <v>45799</v>
      </c>
      <c r="CI2435">
        <v>1</v>
      </c>
      <c r="CJ2435">
        <v>1</v>
      </c>
      <c r="CK2435">
        <v>23</v>
      </c>
      <c r="CL2435" t="s">
        <v>89</v>
      </c>
    </row>
    <row r="2436" spans="1:90" x14ac:dyDescent="0.3">
      <c r="A2436" t="s">
        <v>72</v>
      </c>
      <c r="B2436" t="s">
        <v>73</v>
      </c>
      <c r="C2436" t="s">
        <v>74</v>
      </c>
      <c r="E2436" t="str">
        <f>"080065470503"</f>
        <v>080065470503</v>
      </c>
      <c r="F2436" s="3">
        <v>45797</v>
      </c>
      <c r="G2436">
        <v>202602</v>
      </c>
      <c r="H2436" t="s">
        <v>75</v>
      </c>
      <c r="I2436" t="s">
        <v>76</v>
      </c>
      <c r="J2436" t="s">
        <v>77</v>
      </c>
      <c r="K2436" t="s">
        <v>78</v>
      </c>
      <c r="L2436" t="s">
        <v>186</v>
      </c>
      <c r="M2436" t="s">
        <v>187</v>
      </c>
      <c r="N2436" t="s">
        <v>188</v>
      </c>
      <c r="O2436" t="s">
        <v>82</v>
      </c>
      <c r="P2436" t="str">
        <f>"4170039623                    "</f>
        <v xml:space="preserve">4170039623                    </v>
      </c>
      <c r="Q2436">
        <v>0</v>
      </c>
      <c r="R2436">
        <v>0</v>
      </c>
      <c r="S2436">
        <v>0</v>
      </c>
      <c r="T2436">
        <v>0</v>
      </c>
      <c r="U2436">
        <v>0</v>
      </c>
      <c r="V2436">
        <v>0</v>
      </c>
      <c r="W2436">
        <v>0</v>
      </c>
      <c r="X2436">
        <v>0</v>
      </c>
      <c r="Y2436">
        <v>0</v>
      </c>
      <c r="Z2436">
        <v>0</v>
      </c>
      <c r="AA2436">
        <v>0</v>
      </c>
      <c r="AB2436">
        <v>0</v>
      </c>
      <c r="AC2436">
        <v>0</v>
      </c>
      <c r="AD2436">
        <v>0</v>
      </c>
      <c r="AE2436">
        <v>0</v>
      </c>
      <c r="AF2436">
        <v>0</v>
      </c>
      <c r="AG2436">
        <v>0</v>
      </c>
      <c r="AH2436">
        <v>0</v>
      </c>
      <c r="AI2436">
        <v>0</v>
      </c>
      <c r="AJ2436">
        <v>0</v>
      </c>
      <c r="AK2436">
        <v>0</v>
      </c>
      <c r="AL2436">
        <v>0</v>
      </c>
      <c r="AM2436">
        <v>0</v>
      </c>
      <c r="AN2436">
        <v>0</v>
      </c>
      <c r="AO2436">
        <v>0</v>
      </c>
      <c r="AP2436">
        <v>0</v>
      </c>
      <c r="AQ2436">
        <v>32.07</v>
      </c>
      <c r="AR2436">
        <v>0</v>
      </c>
      <c r="AS2436">
        <v>0</v>
      </c>
      <c r="AT2436">
        <v>0</v>
      </c>
      <c r="AU2436">
        <v>0</v>
      </c>
      <c r="AV2436">
        <v>0</v>
      </c>
      <c r="AW2436">
        <v>0</v>
      </c>
      <c r="AX2436">
        <v>0</v>
      </c>
      <c r="AY2436">
        <v>0</v>
      </c>
      <c r="AZ2436">
        <v>0</v>
      </c>
      <c r="BA2436">
        <v>0</v>
      </c>
      <c r="BB2436">
        <v>0</v>
      </c>
      <c r="BC2436">
        <v>0</v>
      </c>
      <c r="BD2436">
        <v>0</v>
      </c>
      <c r="BE2436">
        <v>0</v>
      </c>
      <c r="BF2436">
        <v>0</v>
      </c>
      <c r="BG2436">
        <v>0</v>
      </c>
      <c r="BH2436">
        <v>1</v>
      </c>
      <c r="BI2436">
        <v>3</v>
      </c>
      <c r="BJ2436">
        <v>0.9</v>
      </c>
      <c r="BK2436">
        <v>3</v>
      </c>
      <c r="BL2436">
        <v>104.95</v>
      </c>
      <c r="BM2436">
        <v>15.74</v>
      </c>
      <c r="BN2436">
        <v>120.69</v>
      </c>
      <c r="BO2436">
        <v>120.69</v>
      </c>
      <c r="BQ2436" t="s">
        <v>189</v>
      </c>
      <c r="BR2436" t="s">
        <v>84</v>
      </c>
      <c r="BS2436" s="3">
        <v>45798</v>
      </c>
      <c r="BT2436" s="4">
        <v>0.43263888888888891</v>
      </c>
      <c r="BU2436" t="s">
        <v>190</v>
      </c>
      <c r="BV2436" t="s">
        <v>86</v>
      </c>
      <c r="BY2436">
        <v>4256</v>
      </c>
      <c r="CA2436" t="s">
        <v>191</v>
      </c>
      <c r="CC2436" t="s">
        <v>187</v>
      </c>
      <c r="CD2436">
        <v>4126</v>
      </c>
      <c r="CE2436" t="s">
        <v>96</v>
      </c>
      <c r="CF2436" s="3">
        <v>45798</v>
      </c>
      <c r="CI2436">
        <v>1</v>
      </c>
      <c r="CJ2436">
        <v>1</v>
      </c>
      <c r="CK2436">
        <v>21</v>
      </c>
      <c r="CL2436" t="s">
        <v>89</v>
      </c>
    </row>
    <row r="2437" spans="1:90" x14ac:dyDescent="0.3">
      <c r="A2437" t="s">
        <v>72</v>
      </c>
      <c r="B2437" t="s">
        <v>73</v>
      </c>
      <c r="C2437" t="s">
        <v>74</v>
      </c>
      <c r="E2437" t="str">
        <f>"080065470537"</f>
        <v>080065470537</v>
      </c>
      <c r="F2437" s="3">
        <v>45797</v>
      </c>
      <c r="G2437">
        <v>202602</v>
      </c>
      <c r="H2437" t="s">
        <v>75</v>
      </c>
      <c r="I2437" t="s">
        <v>76</v>
      </c>
      <c r="J2437" t="s">
        <v>77</v>
      </c>
      <c r="K2437" t="s">
        <v>78</v>
      </c>
      <c r="L2437" t="s">
        <v>136</v>
      </c>
      <c r="M2437" t="s">
        <v>137</v>
      </c>
      <c r="N2437" t="s">
        <v>2700</v>
      </c>
      <c r="O2437" t="s">
        <v>300</v>
      </c>
      <c r="P2437" t="str">
        <f>"4170039598                    "</f>
        <v xml:space="preserve">4170039598                    </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c r="AI2437">
        <v>0</v>
      </c>
      <c r="AJ2437">
        <v>0</v>
      </c>
      <c r="AK2437">
        <v>0</v>
      </c>
      <c r="AL2437">
        <v>0</v>
      </c>
      <c r="AM2437">
        <v>0</v>
      </c>
      <c r="AN2437">
        <v>0</v>
      </c>
      <c r="AO2437">
        <v>0</v>
      </c>
      <c r="AP2437">
        <v>0</v>
      </c>
      <c r="AQ2437">
        <v>41.35</v>
      </c>
      <c r="AR2437">
        <v>0</v>
      </c>
      <c r="AS2437">
        <v>0</v>
      </c>
      <c r="AT2437">
        <v>0</v>
      </c>
      <c r="AU2437">
        <v>0</v>
      </c>
      <c r="AV2437">
        <v>0</v>
      </c>
      <c r="AW2437">
        <v>0</v>
      </c>
      <c r="AX2437">
        <v>0</v>
      </c>
      <c r="AY2437">
        <v>0</v>
      </c>
      <c r="AZ2437">
        <v>0</v>
      </c>
      <c r="BA2437">
        <v>0</v>
      </c>
      <c r="BB2437">
        <v>0</v>
      </c>
      <c r="BC2437">
        <v>0</v>
      </c>
      <c r="BD2437">
        <v>0</v>
      </c>
      <c r="BE2437">
        <v>0</v>
      </c>
      <c r="BF2437">
        <v>0</v>
      </c>
      <c r="BG2437">
        <v>0</v>
      </c>
      <c r="BH2437">
        <v>1</v>
      </c>
      <c r="BI2437">
        <v>5</v>
      </c>
      <c r="BJ2437">
        <v>1.9</v>
      </c>
      <c r="BK2437">
        <v>5</v>
      </c>
      <c r="BL2437">
        <v>140.9</v>
      </c>
      <c r="BM2437">
        <v>21.14</v>
      </c>
      <c r="BN2437">
        <v>162.04</v>
      </c>
      <c r="BO2437">
        <v>162.04</v>
      </c>
      <c r="BQ2437" t="s">
        <v>2701</v>
      </c>
      <c r="BR2437" t="s">
        <v>84</v>
      </c>
      <c r="BS2437" s="3">
        <v>45798</v>
      </c>
      <c r="BT2437" s="4">
        <v>0.32361111111111113</v>
      </c>
      <c r="BU2437" t="s">
        <v>2702</v>
      </c>
      <c r="BV2437" t="s">
        <v>86</v>
      </c>
      <c r="BY2437">
        <v>9576</v>
      </c>
      <c r="CA2437" t="s">
        <v>2703</v>
      </c>
      <c r="CC2437" t="s">
        <v>137</v>
      </c>
      <c r="CD2437" s="5" t="s">
        <v>738</v>
      </c>
      <c r="CE2437" t="s">
        <v>96</v>
      </c>
      <c r="CF2437" s="3">
        <v>45798</v>
      </c>
      <c r="CI2437">
        <v>1</v>
      </c>
      <c r="CJ2437">
        <v>1</v>
      </c>
      <c r="CK2437">
        <v>41</v>
      </c>
      <c r="CL2437" t="s">
        <v>89</v>
      </c>
    </row>
    <row r="2438" spans="1:90" x14ac:dyDescent="0.3">
      <c r="A2438" t="s">
        <v>72</v>
      </c>
      <c r="B2438" t="s">
        <v>73</v>
      </c>
      <c r="C2438" t="s">
        <v>74</v>
      </c>
      <c r="E2438" t="str">
        <f>"080065470577"</f>
        <v>080065470577</v>
      </c>
      <c r="F2438" s="3">
        <v>45797</v>
      </c>
      <c r="G2438">
        <v>202602</v>
      </c>
      <c r="H2438" t="s">
        <v>75</v>
      </c>
      <c r="I2438" t="s">
        <v>76</v>
      </c>
      <c r="J2438" t="s">
        <v>77</v>
      </c>
      <c r="K2438" t="s">
        <v>78</v>
      </c>
      <c r="L2438" t="s">
        <v>79</v>
      </c>
      <c r="M2438" t="s">
        <v>80</v>
      </c>
      <c r="N2438" t="s">
        <v>1111</v>
      </c>
      <c r="O2438" t="s">
        <v>82</v>
      </c>
      <c r="P2438" t="str">
        <f>"4170039676                    "</f>
        <v xml:space="preserve">4170039676                    </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c r="AJ2438">
        <v>0</v>
      </c>
      <c r="AK2438">
        <v>0</v>
      </c>
      <c r="AL2438">
        <v>0</v>
      </c>
      <c r="AM2438">
        <v>0</v>
      </c>
      <c r="AN2438">
        <v>0</v>
      </c>
      <c r="AO2438">
        <v>0</v>
      </c>
      <c r="AP2438">
        <v>0</v>
      </c>
      <c r="AQ2438">
        <v>58.78</v>
      </c>
      <c r="AR2438">
        <v>0</v>
      </c>
      <c r="AS2438">
        <v>0</v>
      </c>
      <c r="AT2438">
        <v>0</v>
      </c>
      <c r="AU2438">
        <v>0</v>
      </c>
      <c r="AV2438">
        <v>0</v>
      </c>
      <c r="AW2438">
        <v>0</v>
      </c>
      <c r="AX2438">
        <v>0</v>
      </c>
      <c r="AY2438">
        <v>0</v>
      </c>
      <c r="AZ2438">
        <v>0</v>
      </c>
      <c r="BA2438">
        <v>0</v>
      </c>
      <c r="BB2438">
        <v>0</v>
      </c>
      <c r="BC2438">
        <v>0</v>
      </c>
      <c r="BD2438">
        <v>0</v>
      </c>
      <c r="BE2438">
        <v>0</v>
      </c>
      <c r="BF2438">
        <v>0</v>
      </c>
      <c r="BG2438">
        <v>0</v>
      </c>
      <c r="BH2438">
        <v>1</v>
      </c>
      <c r="BI2438">
        <v>3</v>
      </c>
      <c r="BJ2438">
        <v>5.2</v>
      </c>
      <c r="BK2438">
        <v>5.5</v>
      </c>
      <c r="BL2438">
        <v>192.36</v>
      </c>
      <c r="BM2438">
        <v>28.85</v>
      </c>
      <c r="BN2438">
        <v>221.21</v>
      </c>
      <c r="BO2438">
        <v>221.21</v>
      </c>
      <c r="BQ2438" t="s">
        <v>1112</v>
      </c>
      <c r="BR2438" t="s">
        <v>84</v>
      </c>
      <c r="BS2438" s="3">
        <v>45798</v>
      </c>
      <c r="BT2438" s="4">
        <v>0.41666666666666669</v>
      </c>
      <c r="BU2438" t="s">
        <v>2704</v>
      </c>
      <c r="BV2438" t="s">
        <v>86</v>
      </c>
      <c r="BY2438">
        <v>26013</v>
      </c>
      <c r="CC2438" t="s">
        <v>80</v>
      </c>
      <c r="CD2438">
        <v>3610</v>
      </c>
      <c r="CE2438" t="s">
        <v>96</v>
      </c>
      <c r="CF2438" s="3">
        <v>45798</v>
      </c>
      <c r="CI2438">
        <v>1</v>
      </c>
      <c r="CJ2438">
        <v>1</v>
      </c>
      <c r="CK2438">
        <v>21</v>
      </c>
      <c r="CL2438" t="s">
        <v>89</v>
      </c>
    </row>
    <row r="2439" spans="1:90" x14ac:dyDescent="0.3">
      <c r="A2439" t="s">
        <v>72</v>
      </c>
      <c r="B2439" t="s">
        <v>73</v>
      </c>
      <c r="C2439" t="s">
        <v>74</v>
      </c>
      <c r="E2439" t="str">
        <f>"080065470659"</f>
        <v>080065470659</v>
      </c>
      <c r="F2439" s="3">
        <v>45797</v>
      </c>
      <c r="G2439">
        <v>202602</v>
      </c>
      <c r="H2439" t="s">
        <v>75</v>
      </c>
      <c r="I2439" t="s">
        <v>76</v>
      </c>
      <c r="J2439" t="s">
        <v>77</v>
      </c>
      <c r="K2439" t="s">
        <v>78</v>
      </c>
      <c r="L2439" t="s">
        <v>624</v>
      </c>
      <c r="M2439" t="s">
        <v>625</v>
      </c>
      <c r="N2439" t="s">
        <v>481</v>
      </c>
      <c r="O2439" t="s">
        <v>300</v>
      </c>
      <c r="P2439" t="str">
        <f>"4170039501                    "</f>
        <v xml:space="preserve">4170039501                    </v>
      </c>
      <c r="Q2439">
        <v>0</v>
      </c>
      <c r="R2439">
        <v>0</v>
      </c>
      <c r="S2439">
        <v>0</v>
      </c>
      <c r="T2439">
        <v>0</v>
      </c>
      <c r="U2439">
        <v>0</v>
      </c>
      <c r="V2439">
        <v>0</v>
      </c>
      <c r="W2439">
        <v>0</v>
      </c>
      <c r="X2439">
        <v>0</v>
      </c>
      <c r="Y2439">
        <v>0</v>
      </c>
      <c r="Z2439">
        <v>0</v>
      </c>
      <c r="AA2439">
        <v>0</v>
      </c>
      <c r="AB2439">
        <v>0</v>
      </c>
      <c r="AC2439">
        <v>0</v>
      </c>
      <c r="AD2439">
        <v>0</v>
      </c>
      <c r="AE2439">
        <v>0</v>
      </c>
      <c r="AF2439">
        <v>0</v>
      </c>
      <c r="AG2439">
        <v>0</v>
      </c>
      <c r="AH2439">
        <v>0</v>
      </c>
      <c r="AI2439">
        <v>0</v>
      </c>
      <c r="AJ2439">
        <v>0</v>
      </c>
      <c r="AK2439">
        <v>0</v>
      </c>
      <c r="AL2439">
        <v>0</v>
      </c>
      <c r="AM2439">
        <v>0</v>
      </c>
      <c r="AN2439">
        <v>0</v>
      </c>
      <c r="AO2439">
        <v>0</v>
      </c>
      <c r="AP2439">
        <v>0</v>
      </c>
      <c r="AQ2439">
        <v>58.32</v>
      </c>
      <c r="AR2439">
        <v>0</v>
      </c>
      <c r="AS2439">
        <v>0</v>
      </c>
      <c r="AT2439">
        <v>0</v>
      </c>
      <c r="AU2439">
        <v>0</v>
      </c>
      <c r="AV2439">
        <v>0</v>
      </c>
      <c r="AW2439">
        <v>0</v>
      </c>
      <c r="AX2439">
        <v>0</v>
      </c>
      <c r="AY2439">
        <v>0</v>
      </c>
      <c r="AZ2439">
        <v>0</v>
      </c>
      <c r="BA2439">
        <v>0</v>
      </c>
      <c r="BB2439">
        <v>0</v>
      </c>
      <c r="BC2439">
        <v>0</v>
      </c>
      <c r="BD2439">
        <v>0</v>
      </c>
      <c r="BE2439">
        <v>0</v>
      </c>
      <c r="BF2439">
        <v>0</v>
      </c>
      <c r="BG2439">
        <v>0</v>
      </c>
      <c r="BH2439">
        <v>1</v>
      </c>
      <c r="BI2439">
        <v>4</v>
      </c>
      <c r="BJ2439">
        <v>6.2</v>
      </c>
      <c r="BK2439">
        <v>7</v>
      </c>
      <c r="BL2439">
        <v>196.44</v>
      </c>
      <c r="BM2439">
        <v>29.47</v>
      </c>
      <c r="BN2439">
        <v>225.91</v>
      </c>
      <c r="BO2439">
        <v>225.91</v>
      </c>
      <c r="BQ2439" t="s">
        <v>482</v>
      </c>
      <c r="BR2439" t="s">
        <v>84</v>
      </c>
      <c r="BS2439" s="3">
        <v>45799</v>
      </c>
      <c r="BT2439" s="4">
        <v>0.41666666666666669</v>
      </c>
      <c r="BU2439" t="s">
        <v>2705</v>
      </c>
      <c r="BV2439" t="s">
        <v>89</v>
      </c>
      <c r="BW2439" t="s">
        <v>434</v>
      </c>
      <c r="BX2439" t="s">
        <v>760</v>
      </c>
      <c r="BY2439">
        <v>30926</v>
      </c>
      <c r="CA2439" t="s">
        <v>231</v>
      </c>
      <c r="CC2439" t="s">
        <v>625</v>
      </c>
      <c r="CD2439">
        <v>1947</v>
      </c>
      <c r="CE2439" t="s">
        <v>1296</v>
      </c>
      <c r="CF2439" s="3">
        <v>45799</v>
      </c>
      <c r="CI2439">
        <v>1</v>
      </c>
      <c r="CJ2439">
        <v>2</v>
      </c>
      <c r="CK2439">
        <v>43</v>
      </c>
      <c r="CL2439" t="s">
        <v>89</v>
      </c>
    </row>
    <row r="2440" spans="1:90" x14ac:dyDescent="0.3">
      <c r="A2440" t="s">
        <v>72</v>
      </c>
      <c r="B2440" t="s">
        <v>73</v>
      </c>
      <c r="C2440" t="s">
        <v>74</v>
      </c>
      <c r="E2440" t="str">
        <f>"080065470684"</f>
        <v>080065470684</v>
      </c>
      <c r="F2440" s="3">
        <v>45797</v>
      </c>
      <c r="G2440">
        <v>202602</v>
      </c>
      <c r="H2440" t="s">
        <v>75</v>
      </c>
      <c r="I2440" t="s">
        <v>76</v>
      </c>
      <c r="J2440" t="s">
        <v>77</v>
      </c>
      <c r="K2440" t="s">
        <v>78</v>
      </c>
      <c r="L2440" t="s">
        <v>123</v>
      </c>
      <c r="M2440" t="s">
        <v>123</v>
      </c>
      <c r="N2440" t="s">
        <v>766</v>
      </c>
      <c r="O2440" t="s">
        <v>82</v>
      </c>
      <c r="P2440" t="str">
        <f>"4170039496                    "</f>
        <v xml:space="preserve">4170039496                    </v>
      </c>
      <c r="Q2440">
        <v>0</v>
      </c>
      <c r="R2440">
        <v>0</v>
      </c>
      <c r="S2440">
        <v>0</v>
      </c>
      <c r="T2440">
        <v>0</v>
      </c>
      <c r="U2440">
        <v>0</v>
      </c>
      <c r="V2440">
        <v>0</v>
      </c>
      <c r="W2440">
        <v>0</v>
      </c>
      <c r="X2440">
        <v>0</v>
      </c>
      <c r="Y2440">
        <v>0</v>
      </c>
      <c r="Z2440">
        <v>0</v>
      </c>
      <c r="AA2440">
        <v>0</v>
      </c>
      <c r="AB2440">
        <v>0</v>
      </c>
      <c r="AC2440">
        <v>0</v>
      </c>
      <c r="AD2440">
        <v>0</v>
      </c>
      <c r="AE2440">
        <v>0</v>
      </c>
      <c r="AF2440">
        <v>0</v>
      </c>
      <c r="AG2440">
        <v>0</v>
      </c>
      <c r="AH2440">
        <v>0</v>
      </c>
      <c r="AI2440">
        <v>0</v>
      </c>
      <c r="AJ2440">
        <v>0</v>
      </c>
      <c r="AK2440">
        <v>0</v>
      </c>
      <c r="AL2440">
        <v>0</v>
      </c>
      <c r="AM2440">
        <v>0</v>
      </c>
      <c r="AN2440">
        <v>0</v>
      </c>
      <c r="AO2440">
        <v>0</v>
      </c>
      <c r="AP2440">
        <v>0</v>
      </c>
      <c r="AQ2440">
        <v>41.43</v>
      </c>
      <c r="AR2440">
        <v>0</v>
      </c>
      <c r="AS2440">
        <v>0</v>
      </c>
      <c r="AT2440">
        <v>0</v>
      </c>
      <c r="AU2440">
        <v>0</v>
      </c>
      <c r="AV2440">
        <v>0</v>
      </c>
      <c r="AW2440">
        <v>0</v>
      </c>
      <c r="AX2440">
        <v>0</v>
      </c>
      <c r="AY2440">
        <v>0</v>
      </c>
      <c r="AZ2440">
        <v>0</v>
      </c>
      <c r="BA2440">
        <v>0</v>
      </c>
      <c r="BB2440">
        <v>0</v>
      </c>
      <c r="BC2440">
        <v>0</v>
      </c>
      <c r="BD2440">
        <v>0</v>
      </c>
      <c r="BE2440">
        <v>0</v>
      </c>
      <c r="BF2440">
        <v>0</v>
      </c>
      <c r="BG2440">
        <v>0</v>
      </c>
      <c r="BH2440">
        <v>1</v>
      </c>
      <c r="BI2440">
        <v>1</v>
      </c>
      <c r="BJ2440">
        <v>0.2</v>
      </c>
      <c r="BK2440">
        <v>1</v>
      </c>
      <c r="BL2440">
        <v>135.59</v>
      </c>
      <c r="BM2440">
        <v>20.34</v>
      </c>
      <c r="BN2440">
        <v>155.93</v>
      </c>
      <c r="BO2440">
        <v>155.93</v>
      </c>
      <c r="BQ2440" t="s">
        <v>767</v>
      </c>
      <c r="BR2440" t="s">
        <v>84</v>
      </c>
      <c r="BS2440" s="3">
        <v>45798</v>
      </c>
      <c r="BT2440" s="4">
        <v>0.50972222222222219</v>
      </c>
      <c r="BU2440" t="s">
        <v>768</v>
      </c>
      <c r="BV2440" t="s">
        <v>86</v>
      </c>
      <c r="BY2440">
        <v>1200</v>
      </c>
      <c r="CA2440" t="s">
        <v>128</v>
      </c>
      <c r="CC2440" t="s">
        <v>123</v>
      </c>
      <c r="CD2440">
        <v>7646</v>
      </c>
      <c r="CE2440" t="s">
        <v>88</v>
      </c>
      <c r="CF2440" s="3">
        <v>45799</v>
      </c>
      <c r="CI2440">
        <v>1</v>
      </c>
      <c r="CJ2440">
        <v>1</v>
      </c>
      <c r="CK2440">
        <v>23</v>
      </c>
      <c r="CL2440" t="s">
        <v>89</v>
      </c>
    </row>
    <row r="2441" spans="1:90" x14ac:dyDescent="0.3">
      <c r="A2441" t="s">
        <v>72</v>
      </c>
      <c r="B2441" t="s">
        <v>73</v>
      </c>
      <c r="C2441" t="s">
        <v>74</v>
      </c>
      <c r="E2441" t="str">
        <f>"080065470707"</f>
        <v>080065470707</v>
      </c>
      <c r="F2441" s="3">
        <v>45797</v>
      </c>
      <c r="G2441">
        <v>202602</v>
      </c>
      <c r="H2441" t="s">
        <v>75</v>
      </c>
      <c r="I2441" t="s">
        <v>76</v>
      </c>
      <c r="J2441" t="s">
        <v>77</v>
      </c>
      <c r="K2441" t="s">
        <v>78</v>
      </c>
      <c r="L2441" t="s">
        <v>222</v>
      </c>
      <c r="M2441" t="s">
        <v>223</v>
      </c>
      <c r="N2441" t="s">
        <v>224</v>
      </c>
      <c r="O2441" t="s">
        <v>82</v>
      </c>
      <c r="P2441" t="str">
        <f>"4170039584                    "</f>
        <v xml:space="preserve">4170039584                    </v>
      </c>
      <c r="Q2441">
        <v>0</v>
      </c>
      <c r="R2441">
        <v>0</v>
      </c>
      <c r="S2441">
        <v>0</v>
      </c>
      <c r="T2441">
        <v>0</v>
      </c>
      <c r="U2441">
        <v>0</v>
      </c>
      <c r="V2441">
        <v>0</v>
      </c>
      <c r="W2441">
        <v>0</v>
      </c>
      <c r="X2441">
        <v>0</v>
      </c>
      <c r="Y2441">
        <v>0</v>
      </c>
      <c r="Z2441">
        <v>0</v>
      </c>
      <c r="AA2441">
        <v>0</v>
      </c>
      <c r="AB2441">
        <v>0</v>
      </c>
      <c r="AC2441">
        <v>0</v>
      </c>
      <c r="AD2441">
        <v>0</v>
      </c>
      <c r="AE2441">
        <v>0</v>
      </c>
      <c r="AF2441">
        <v>0</v>
      </c>
      <c r="AG2441">
        <v>0</v>
      </c>
      <c r="AH2441">
        <v>0</v>
      </c>
      <c r="AI2441">
        <v>0</v>
      </c>
      <c r="AJ2441">
        <v>0</v>
      </c>
      <c r="AK2441">
        <v>0</v>
      </c>
      <c r="AL2441">
        <v>0</v>
      </c>
      <c r="AM2441">
        <v>0</v>
      </c>
      <c r="AN2441">
        <v>0</v>
      </c>
      <c r="AO2441">
        <v>0</v>
      </c>
      <c r="AP2441">
        <v>0</v>
      </c>
      <c r="AQ2441">
        <v>30.07</v>
      </c>
      <c r="AR2441">
        <v>0</v>
      </c>
      <c r="AS2441">
        <v>0</v>
      </c>
      <c r="AT2441">
        <v>0</v>
      </c>
      <c r="AU2441">
        <v>0</v>
      </c>
      <c r="AV2441">
        <v>0</v>
      </c>
      <c r="AW2441">
        <v>0</v>
      </c>
      <c r="AX2441">
        <v>0</v>
      </c>
      <c r="AY2441">
        <v>0</v>
      </c>
      <c r="AZ2441">
        <v>0</v>
      </c>
      <c r="BA2441">
        <v>0</v>
      </c>
      <c r="BB2441">
        <v>0</v>
      </c>
      <c r="BC2441">
        <v>0</v>
      </c>
      <c r="BD2441">
        <v>0</v>
      </c>
      <c r="BE2441">
        <v>0</v>
      </c>
      <c r="BF2441">
        <v>0</v>
      </c>
      <c r="BG2441">
        <v>0</v>
      </c>
      <c r="BH2441">
        <v>1</v>
      </c>
      <c r="BI2441">
        <v>1</v>
      </c>
      <c r="BJ2441">
        <v>0.2</v>
      </c>
      <c r="BK2441">
        <v>1</v>
      </c>
      <c r="BL2441">
        <v>98.42</v>
      </c>
      <c r="BM2441">
        <v>14.76</v>
      </c>
      <c r="BN2441">
        <v>113.18</v>
      </c>
      <c r="BO2441">
        <v>113.18</v>
      </c>
      <c r="BQ2441" t="s">
        <v>225</v>
      </c>
      <c r="BR2441" t="s">
        <v>84</v>
      </c>
      <c r="BS2441" s="3">
        <v>45798</v>
      </c>
      <c r="BT2441" s="4">
        <v>0.49375000000000002</v>
      </c>
      <c r="BU2441" t="s">
        <v>655</v>
      </c>
      <c r="BV2441" t="s">
        <v>86</v>
      </c>
      <c r="BY2441">
        <v>1200</v>
      </c>
      <c r="CA2441" t="s">
        <v>227</v>
      </c>
      <c r="CC2441" t="s">
        <v>223</v>
      </c>
      <c r="CD2441">
        <v>1754</v>
      </c>
      <c r="CE2441" t="s">
        <v>88</v>
      </c>
      <c r="CF2441" s="3">
        <v>45799</v>
      </c>
      <c r="CI2441">
        <v>1</v>
      </c>
      <c r="CJ2441">
        <v>1</v>
      </c>
      <c r="CK2441">
        <v>24</v>
      </c>
      <c r="CL2441" t="s">
        <v>89</v>
      </c>
    </row>
    <row r="2442" spans="1:90" x14ac:dyDescent="0.3">
      <c r="A2442" t="s">
        <v>72</v>
      </c>
      <c r="B2442" t="s">
        <v>73</v>
      </c>
      <c r="C2442" t="s">
        <v>74</v>
      </c>
      <c r="E2442" t="str">
        <f>"080065470726"</f>
        <v>080065470726</v>
      </c>
      <c r="F2442" s="3">
        <v>45797</v>
      </c>
      <c r="G2442">
        <v>202602</v>
      </c>
      <c r="H2442" t="s">
        <v>75</v>
      </c>
      <c r="I2442" t="s">
        <v>76</v>
      </c>
      <c r="J2442" t="s">
        <v>77</v>
      </c>
      <c r="K2442" t="s">
        <v>78</v>
      </c>
      <c r="L2442" t="s">
        <v>79</v>
      </c>
      <c r="M2442" t="s">
        <v>80</v>
      </c>
      <c r="N2442" t="s">
        <v>2154</v>
      </c>
      <c r="O2442" t="s">
        <v>82</v>
      </c>
      <c r="P2442" t="str">
        <f>"4170039519                    "</f>
        <v xml:space="preserve">4170039519                    </v>
      </c>
      <c r="Q2442">
        <v>0</v>
      </c>
      <c r="R2442">
        <v>0</v>
      </c>
      <c r="S2442">
        <v>0</v>
      </c>
      <c r="T2442">
        <v>0</v>
      </c>
      <c r="U2442">
        <v>0</v>
      </c>
      <c r="V2442">
        <v>0</v>
      </c>
      <c r="W2442">
        <v>0</v>
      </c>
      <c r="X2442">
        <v>0</v>
      </c>
      <c r="Y2442">
        <v>0</v>
      </c>
      <c r="Z2442">
        <v>0</v>
      </c>
      <c r="AA2442">
        <v>0</v>
      </c>
      <c r="AB2442">
        <v>0</v>
      </c>
      <c r="AC2442">
        <v>0</v>
      </c>
      <c r="AD2442">
        <v>0</v>
      </c>
      <c r="AE2442">
        <v>0</v>
      </c>
      <c r="AF2442">
        <v>0</v>
      </c>
      <c r="AG2442">
        <v>0</v>
      </c>
      <c r="AH2442">
        <v>0</v>
      </c>
      <c r="AI2442">
        <v>0</v>
      </c>
      <c r="AJ2442">
        <v>0</v>
      </c>
      <c r="AK2442">
        <v>0</v>
      </c>
      <c r="AL2442">
        <v>0</v>
      </c>
      <c r="AM2442">
        <v>0</v>
      </c>
      <c r="AN2442">
        <v>0</v>
      </c>
      <c r="AO2442">
        <v>0</v>
      </c>
      <c r="AP2442">
        <v>0</v>
      </c>
      <c r="AQ2442">
        <v>21.38</v>
      </c>
      <c r="AR2442">
        <v>0</v>
      </c>
      <c r="AS2442">
        <v>0</v>
      </c>
      <c r="AT2442">
        <v>0</v>
      </c>
      <c r="AU2442">
        <v>0</v>
      </c>
      <c r="AV2442">
        <v>0</v>
      </c>
      <c r="AW2442">
        <v>0</v>
      </c>
      <c r="AX2442">
        <v>0</v>
      </c>
      <c r="AY2442">
        <v>0</v>
      </c>
      <c r="AZ2442">
        <v>0</v>
      </c>
      <c r="BA2442">
        <v>0</v>
      </c>
      <c r="BB2442">
        <v>0</v>
      </c>
      <c r="BC2442">
        <v>0</v>
      </c>
      <c r="BD2442">
        <v>0</v>
      </c>
      <c r="BE2442">
        <v>0</v>
      </c>
      <c r="BF2442">
        <v>0</v>
      </c>
      <c r="BG2442">
        <v>0</v>
      </c>
      <c r="BH2442">
        <v>1</v>
      </c>
      <c r="BI2442">
        <v>1</v>
      </c>
      <c r="BJ2442">
        <v>0.2</v>
      </c>
      <c r="BK2442">
        <v>1</v>
      </c>
      <c r="BL2442">
        <v>69.98</v>
      </c>
      <c r="BM2442">
        <v>10.5</v>
      </c>
      <c r="BN2442">
        <v>80.48</v>
      </c>
      <c r="BO2442">
        <v>80.48</v>
      </c>
      <c r="BQ2442" t="s">
        <v>2155</v>
      </c>
      <c r="BR2442" t="s">
        <v>84</v>
      </c>
      <c r="BS2442" s="3">
        <v>45798</v>
      </c>
      <c r="BT2442" s="4">
        <v>0.40972222222222221</v>
      </c>
      <c r="BU2442" t="s">
        <v>2706</v>
      </c>
      <c r="BV2442" t="s">
        <v>86</v>
      </c>
      <c r="BY2442">
        <v>1200</v>
      </c>
      <c r="CA2442" t="s">
        <v>418</v>
      </c>
      <c r="CC2442" t="s">
        <v>80</v>
      </c>
      <c r="CD2442">
        <v>3600</v>
      </c>
      <c r="CE2442" t="s">
        <v>88</v>
      </c>
      <c r="CF2442" s="3">
        <v>45798</v>
      </c>
      <c r="CI2442">
        <v>1</v>
      </c>
      <c r="CJ2442">
        <v>1</v>
      </c>
      <c r="CK2442">
        <v>21</v>
      </c>
      <c r="CL2442" t="s">
        <v>89</v>
      </c>
    </row>
    <row r="2443" spans="1:90" x14ac:dyDescent="0.3">
      <c r="A2443" t="s">
        <v>72</v>
      </c>
      <c r="B2443" t="s">
        <v>73</v>
      </c>
      <c r="C2443" t="s">
        <v>74</v>
      </c>
      <c r="E2443" t="str">
        <f>"080065470753"</f>
        <v>080065470753</v>
      </c>
      <c r="F2443" s="3">
        <v>45797</v>
      </c>
      <c r="G2443">
        <v>202602</v>
      </c>
      <c r="H2443" t="s">
        <v>75</v>
      </c>
      <c r="I2443" t="s">
        <v>76</v>
      </c>
      <c r="J2443" t="s">
        <v>77</v>
      </c>
      <c r="K2443" t="s">
        <v>78</v>
      </c>
      <c r="L2443" t="s">
        <v>350</v>
      </c>
      <c r="M2443" t="s">
        <v>351</v>
      </c>
      <c r="N2443" t="s">
        <v>2707</v>
      </c>
      <c r="O2443" t="s">
        <v>82</v>
      </c>
      <c r="P2443" t="str">
        <f>"4170039602                    "</f>
        <v xml:space="preserve">4170039602                    </v>
      </c>
      <c r="Q2443">
        <v>0</v>
      </c>
      <c r="R2443">
        <v>0</v>
      </c>
      <c r="S2443">
        <v>0</v>
      </c>
      <c r="T2443">
        <v>0</v>
      </c>
      <c r="U2443">
        <v>0</v>
      </c>
      <c r="V2443">
        <v>0</v>
      </c>
      <c r="W2443">
        <v>0</v>
      </c>
      <c r="X2443">
        <v>0</v>
      </c>
      <c r="Y2443">
        <v>0</v>
      </c>
      <c r="Z2443">
        <v>0</v>
      </c>
      <c r="AA2443">
        <v>0</v>
      </c>
      <c r="AB2443">
        <v>0</v>
      </c>
      <c r="AC2443">
        <v>0</v>
      </c>
      <c r="AD2443">
        <v>0</v>
      </c>
      <c r="AE2443">
        <v>0</v>
      </c>
      <c r="AF2443">
        <v>0</v>
      </c>
      <c r="AG2443">
        <v>0</v>
      </c>
      <c r="AH2443">
        <v>0</v>
      </c>
      <c r="AI2443">
        <v>0</v>
      </c>
      <c r="AJ2443">
        <v>0</v>
      </c>
      <c r="AK2443">
        <v>0</v>
      </c>
      <c r="AL2443">
        <v>0</v>
      </c>
      <c r="AM2443">
        <v>0</v>
      </c>
      <c r="AN2443">
        <v>0</v>
      </c>
      <c r="AO2443">
        <v>0</v>
      </c>
      <c r="AP2443">
        <v>0</v>
      </c>
      <c r="AQ2443">
        <v>21.38</v>
      </c>
      <c r="AR2443">
        <v>0</v>
      </c>
      <c r="AS2443">
        <v>0</v>
      </c>
      <c r="AT2443">
        <v>0</v>
      </c>
      <c r="AU2443">
        <v>0</v>
      </c>
      <c r="AV2443">
        <v>0</v>
      </c>
      <c r="AW2443">
        <v>0</v>
      </c>
      <c r="AX2443">
        <v>0</v>
      </c>
      <c r="AY2443">
        <v>0</v>
      </c>
      <c r="AZ2443">
        <v>0</v>
      </c>
      <c r="BA2443">
        <v>0</v>
      </c>
      <c r="BB2443">
        <v>0</v>
      </c>
      <c r="BC2443">
        <v>0</v>
      </c>
      <c r="BD2443">
        <v>0</v>
      </c>
      <c r="BE2443">
        <v>0</v>
      </c>
      <c r="BF2443">
        <v>0</v>
      </c>
      <c r="BG2443">
        <v>0</v>
      </c>
      <c r="BH2443">
        <v>1</v>
      </c>
      <c r="BI2443">
        <v>1</v>
      </c>
      <c r="BJ2443">
        <v>0.2</v>
      </c>
      <c r="BK2443">
        <v>1</v>
      </c>
      <c r="BL2443">
        <v>69.98</v>
      </c>
      <c r="BM2443">
        <v>10.5</v>
      </c>
      <c r="BN2443">
        <v>80.48</v>
      </c>
      <c r="BO2443">
        <v>80.48</v>
      </c>
      <c r="BQ2443" t="s">
        <v>2708</v>
      </c>
      <c r="BR2443" t="s">
        <v>84</v>
      </c>
      <c r="BS2443" s="3">
        <v>45798</v>
      </c>
      <c r="BT2443" s="4">
        <v>0.42222222222222222</v>
      </c>
      <c r="BU2443" t="s">
        <v>2709</v>
      </c>
      <c r="BV2443" t="s">
        <v>86</v>
      </c>
      <c r="BY2443">
        <v>1200</v>
      </c>
      <c r="CA2443" t="s">
        <v>772</v>
      </c>
      <c r="CC2443" t="s">
        <v>351</v>
      </c>
      <c r="CD2443">
        <v>4051</v>
      </c>
      <c r="CE2443" t="s">
        <v>88</v>
      </c>
      <c r="CF2443" s="3">
        <v>45798</v>
      </c>
      <c r="CI2443">
        <v>1</v>
      </c>
      <c r="CJ2443">
        <v>1</v>
      </c>
      <c r="CK2443">
        <v>21</v>
      </c>
      <c r="CL2443" t="s">
        <v>89</v>
      </c>
    </row>
    <row r="2444" spans="1:90" x14ac:dyDescent="0.3">
      <c r="A2444" t="s">
        <v>72</v>
      </c>
      <c r="B2444" t="s">
        <v>73</v>
      </c>
      <c r="C2444" t="s">
        <v>74</v>
      </c>
      <c r="E2444" t="str">
        <f>"080065470769"</f>
        <v>080065470769</v>
      </c>
      <c r="F2444" s="3">
        <v>45797</v>
      </c>
      <c r="G2444">
        <v>202602</v>
      </c>
      <c r="H2444" t="s">
        <v>75</v>
      </c>
      <c r="I2444" t="s">
        <v>76</v>
      </c>
      <c r="J2444" t="s">
        <v>77</v>
      </c>
      <c r="K2444" t="s">
        <v>78</v>
      </c>
      <c r="L2444" t="s">
        <v>350</v>
      </c>
      <c r="M2444" t="s">
        <v>351</v>
      </c>
      <c r="N2444" t="s">
        <v>459</v>
      </c>
      <c r="O2444" t="s">
        <v>82</v>
      </c>
      <c r="P2444" t="str">
        <f>"4170039492                    "</f>
        <v xml:space="preserve">4170039492                    </v>
      </c>
      <c r="Q2444">
        <v>0</v>
      </c>
      <c r="R2444">
        <v>0</v>
      </c>
      <c r="S2444">
        <v>0</v>
      </c>
      <c r="T2444">
        <v>0</v>
      </c>
      <c r="U2444">
        <v>0</v>
      </c>
      <c r="V2444">
        <v>0</v>
      </c>
      <c r="W2444">
        <v>0</v>
      </c>
      <c r="X2444">
        <v>0</v>
      </c>
      <c r="Y2444">
        <v>0</v>
      </c>
      <c r="Z2444">
        <v>0</v>
      </c>
      <c r="AA2444">
        <v>0</v>
      </c>
      <c r="AB2444">
        <v>0</v>
      </c>
      <c r="AC2444">
        <v>0</v>
      </c>
      <c r="AD2444">
        <v>0</v>
      </c>
      <c r="AE2444">
        <v>0</v>
      </c>
      <c r="AF2444">
        <v>0</v>
      </c>
      <c r="AG2444">
        <v>0</v>
      </c>
      <c r="AH2444">
        <v>0</v>
      </c>
      <c r="AI2444">
        <v>0</v>
      </c>
      <c r="AJ2444">
        <v>0</v>
      </c>
      <c r="AK2444">
        <v>0</v>
      </c>
      <c r="AL2444">
        <v>0</v>
      </c>
      <c r="AM2444">
        <v>0</v>
      </c>
      <c r="AN2444">
        <v>0</v>
      </c>
      <c r="AO2444">
        <v>0</v>
      </c>
      <c r="AP2444">
        <v>0</v>
      </c>
      <c r="AQ2444">
        <v>21.38</v>
      </c>
      <c r="AR2444">
        <v>0</v>
      </c>
      <c r="AS2444">
        <v>0</v>
      </c>
      <c r="AT2444">
        <v>0</v>
      </c>
      <c r="AU2444">
        <v>0</v>
      </c>
      <c r="AV2444">
        <v>0</v>
      </c>
      <c r="AW2444">
        <v>0</v>
      </c>
      <c r="AX2444">
        <v>0</v>
      </c>
      <c r="AY2444">
        <v>0</v>
      </c>
      <c r="AZ2444">
        <v>0</v>
      </c>
      <c r="BA2444">
        <v>0</v>
      </c>
      <c r="BB2444">
        <v>0</v>
      </c>
      <c r="BC2444">
        <v>0</v>
      </c>
      <c r="BD2444">
        <v>0</v>
      </c>
      <c r="BE2444">
        <v>0</v>
      </c>
      <c r="BF2444">
        <v>0</v>
      </c>
      <c r="BG2444">
        <v>0</v>
      </c>
      <c r="BH2444">
        <v>1</v>
      </c>
      <c r="BI2444">
        <v>1</v>
      </c>
      <c r="BJ2444">
        <v>0.2</v>
      </c>
      <c r="BK2444">
        <v>1</v>
      </c>
      <c r="BL2444">
        <v>69.98</v>
      </c>
      <c r="BM2444">
        <v>10.5</v>
      </c>
      <c r="BN2444">
        <v>80.48</v>
      </c>
      <c r="BO2444">
        <v>80.48</v>
      </c>
      <c r="BQ2444" t="s">
        <v>460</v>
      </c>
      <c r="BR2444" t="s">
        <v>84</v>
      </c>
      <c r="BS2444" s="3">
        <v>45798</v>
      </c>
      <c r="BT2444" s="4">
        <v>0.33124999999999999</v>
      </c>
      <c r="BU2444" t="s">
        <v>2692</v>
      </c>
      <c r="BV2444" t="s">
        <v>86</v>
      </c>
      <c r="BY2444">
        <v>1200</v>
      </c>
      <c r="CA2444" t="s">
        <v>802</v>
      </c>
      <c r="CC2444" t="s">
        <v>351</v>
      </c>
      <c r="CD2444">
        <v>4051</v>
      </c>
      <c r="CE2444" t="s">
        <v>88</v>
      </c>
      <c r="CF2444" s="3">
        <v>45798</v>
      </c>
      <c r="CI2444">
        <v>1</v>
      </c>
      <c r="CJ2444">
        <v>1</v>
      </c>
      <c r="CK2444">
        <v>21</v>
      </c>
      <c r="CL2444" t="s">
        <v>89</v>
      </c>
    </row>
    <row r="2445" spans="1:90" x14ac:dyDescent="0.3">
      <c r="A2445" t="s">
        <v>72</v>
      </c>
      <c r="B2445" t="s">
        <v>73</v>
      </c>
      <c r="C2445" t="s">
        <v>74</v>
      </c>
      <c r="E2445" t="str">
        <f>"080065470773"</f>
        <v>080065470773</v>
      </c>
      <c r="F2445" s="3">
        <v>45797</v>
      </c>
      <c r="G2445">
        <v>202602</v>
      </c>
      <c r="H2445" t="s">
        <v>75</v>
      </c>
      <c r="I2445" t="s">
        <v>76</v>
      </c>
      <c r="J2445" t="s">
        <v>77</v>
      </c>
      <c r="K2445" t="s">
        <v>78</v>
      </c>
      <c r="L2445" t="s">
        <v>136</v>
      </c>
      <c r="M2445" t="s">
        <v>137</v>
      </c>
      <c r="N2445" t="s">
        <v>1090</v>
      </c>
      <c r="O2445" t="s">
        <v>82</v>
      </c>
      <c r="P2445" t="str">
        <f>"4170039583                    "</f>
        <v xml:space="preserve">4170039583                    </v>
      </c>
      <c r="Q2445">
        <v>0</v>
      </c>
      <c r="R2445">
        <v>0</v>
      </c>
      <c r="S2445">
        <v>0</v>
      </c>
      <c r="T2445">
        <v>0</v>
      </c>
      <c r="U2445">
        <v>0</v>
      </c>
      <c r="V2445">
        <v>0</v>
      </c>
      <c r="W2445">
        <v>0</v>
      </c>
      <c r="X2445">
        <v>0</v>
      </c>
      <c r="Y2445">
        <v>0</v>
      </c>
      <c r="Z2445">
        <v>0</v>
      </c>
      <c r="AA2445">
        <v>0</v>
      </c>
      <c r="AB2445">
        <v>0</v>
      </c>
      <c r="AC2445">
        <v>0</v>
      </c>
      <c r="AD2445">
        <v>0</v>
      </c>
      <c r="AE2445">
        <v>0</v>
      </c>
      <c r="AF2445">
        <v>0</v>
      </c>
      <c r="AG2445">
        <v>0</v>
      </c>
      <c r="AH2445">
        <v>0</v>
      </c>
      <c r="AI2445">
        <v>0</v>
      </c>
      <c r="AJ2445">
        <v>0</v>
      </c>
      <c r="AK2445">
        <v>0</v>
      </c>
      <c r="AL2445">
        <v>0</v>
      </c>
      <c r="AM2445">
        <v>0</v>
      </c>
      <c r="AN2445">
        <v>0</v>
      </c>
      <c r="AO2445">
        <v>0</v>
      </c>
      <c r="AP2445">
        <v>0</v>
      </c>
      <c r="AQ2445">
        <v>21.38</v>
      </c>
      <c r="AR2445">
        <v>0</v>
      </c>
      <c r="AS2445">
        <v>0</v>
      </c>
      <c r="AT2445">
        <v>0</v>
      </c>
      <c r="AU2445">
        <v>0</v>
      </c>
      <c r="AV2445">
        <v>0</v>
      </c>
      <c r="AW2445">
        <v>0</v>
      </c>
      <c r="AX2445">
        <v>0</v>
      </c>
      <c r="AY2445">
        <v>0</v>
      </c>
      <c r="AZ2445">
        <v>0</v>
      </c>
      <c r="BA2445">
        <v>0</v>
      </c>
      <c r="BB2445">
        <v>0</v>
      </c>
      <c r="BC2445">
        <v>0</v>
      </c>
      <c r="BD2445">
        <v>0</v>
      </c>
      <c r="BE2445">
        <v>0</v>
      </c>
      <c r="BF2445">
        <v>0</v>
      </c>
      <c r="BG2445">
        <v>0</v>
      </c>
      <c r="BH2445">
        <v>1</v>
      </c>
      <c r="BI2445">
        <v>1</v>
      </c>
      <c r="BJ2445">
        <v>0.2</v>
      </c>
      <c r="BK2445">
        <v>1</v>
      </c>
      <c r="BL2445">
        <v>69.98</v>
      </c>
      <c r="BM2445">
        <v>10.5</v>
      </c>
      <c r="BN2445">
        <v>80.48</v>
      </c>
      <c r="BO2445">
        <v>80.48</v>
      </c>
      <c r="BQ2445" t="s">
        <v>1091</v>
      </c>
      <c r="BR2445" t="s">
        <v>84</v>
      </c>
      <c r="BS2445" s="3">
        <v>45798</v>
      </c>
      <c r="BT2445" s="4">
        <v>0.37708333333333333</v>
      </c>
      <c r="BU2445" t="s">
        <v>1719</v>
      </c>
      <c r="BV2445" t="s">
        <v>86</v>
      </c>
      <c r="BY2445">
        <v>1200</v>
      </c>
      <c r="CA2445" t="s">
        <v>1093</v>
      </c>
      <c r="CC2445" t="s">
        <v>137</v>
      </c>
      <c r="CD2445" s="5" t="s">
        <v>738</v>
      </c>
      <c r="CE2445" t="s">
        <v>88</v>
      </c>
      <c r="CF2445" s="3">
        <v>45798</v>
      </c>
      <c r="CI2445">
        <v>1</v>
      </c>
      <c r="CJ2445">
        <v>1</v>
      </c>
      <c r="CK2445">
        <v>21</v>
      </c>
      <c r="CL2445" t="s">
        <v>89</v>
      </c>
    </row>
    <row r="2446" spans="1:90" x14ac:dyDescent="0.3">
      <c r="A2446" t="s">
        <v>72</v>
      </c>
      <c r="B2446" t="s">
        <v>73</v>
      </c>
      <c r="C2446" t="s">
        <v>74</v>
      </c>
      <c r="E2446" t="str">
        <f>"080065470802"</f>
        <v>080065470802</v>
      </c>
      <c r="F2446" s="3">
        <v>45797</v>
      </c>
      <c r="G2446">
        <v>202602</v>
      </c>
      <c r="H2446" t="s">
        <v>75</v>
      </c>
      <c r="I2446" t="s">
        <v>76</v>
      </c>
      <c r="J2446" t="s">
        <v>77</v>
      </c>
      <c r="K2446" t="s">
        <v>78</v>
      </c>
      <c r="L2446" t="s">
        <v>177</v>
      </c>
      <c r="M2446" t="s">
        <v>178</v>
      </c>
      <c r="N2446" t="s">
        <v>393</v>
      </c>
      <c r="O2446" t="s">
        <v>82</v>
      </c>
      <c r="P2446" t="str">
        <f>"4170039620                    "</f>
        <v xml:space="preserve">4170039620                    </v>
      </c>
      <c r="Q2446">
        <v>0</v>
      </c>
      <c r="R2446">
        <v>0</v>
      </c>
      <c r="S2446">
        <v>0</v>
      </c>
      <c r="T2446">
        <v>0</v>
      </c>
      <c r="U2446">
        <v>0</v>
      </c>
      <c r="V2446">
        <v>0</v>
      </c>
      <c r="W2446">
        <v>0</v>
      </c>
      <c r="X2446">
        <v>0</v>
      </c>
      <c r="Y2446">
        <v>0</v>
      </c>
      <c r="Z2446">
        <v>0</v>
      </c>
      <c r="AA2446">
        <v>0</v>
      </c>
      <c r="AB2446">
        <v>0</v>
      </c>
      <c r="AC2446">
        <v>0</v>
      </c>
      <c r="AD2446">
        <v>0</v>
      </c>
      <c r="AE2446">
        <v>0</v>
      </c>
      <c r="AF2446">
        <v>0</v>
      </c>
      <c r="AG2446">
        <v>0</v>
      </c>
      <c r="AH2446">
        <v>0</v>
      </c>
      <c r="AI2446">
        <v>0</v>
      </c>
      <c r="AJ2446">
        <v>0</v>
      </c>
      <c r="AK2446">
        <v>0</v>
      </c>
      <c r="AL2446">
        <v>0</v>
      </c>
      <c r="AM2446">
        <v>0</v>
      </c>
      <c r="AN2446">
        <v>0</v>
      </c>
      <c r="AO2446">
        <v>0</v>
      </c>
      <c r="AP2446">
        <v>0</v>
      </c>
      <c r="AQ2446">
        <v>21.38</v>
      </c>
      <c r="AR2446">
        <v>0</v>
      </c>
      <c r="AS2446">
        <v>0</v>
      </c>
      <c r="AT2446">
        <v>0</v>
      </c>
      <c r="AU2446">
        <v>0</v>
      </c>
      <c r="AV2446">
        <v>0</v>
      </c>
      <c r="AW2446">
        <v>0</v>
      </c>
      <c r="AX2446">
        <v>0</v>
      </c>
      <c r="AY2446">
        <v>0</v>
      </c>
      <c r="AZ2446">
        <v>0</v>
      </c>
      <c r="BA2446">
        <v>0</v>
      </c>
      <c r="BB2446">
        <v>0</v>
      </c>
      <c r="BC2446">
        <v>0</v>
      </c>
      <c r="BD2446">
        <v>0</v>
      </c>
      <c r="BE2446">
        <v>0</v>
      </c>
      <c r="BF2446">
        <v>0</v>
      </c>
      <c r="BG2446">
        <v>0</v>
      </c>
      <c r="BH2446">
        <v>1</v>
      </c>
      <c r="BI2446">
        <v>1</v>
      </c>
      <c r="BJ2446">
        <v>0.2</v>
      </c>
      <c r="BK2446">
        <v>1</v>
      </c>
      <c r="BL2446">
        <v>69.98</v>
      </c>
      <c r="BM2446">
        <v>10.5</v>
      </c>
      <c r="BN2446">
        <v>80.48</v>
      </c>
      <c r="BO2446">
        <v>80.48</v>
      </c>
      <c r="BQ2446" t="s">
        <v>394</v>
      </c>
      <c r="BR2446" t="s">
        <v>84</v>
      </c>
      <c r="BS2446" s="3">
        <v>45798</v>
      </c>
      <c r="BT2446" s="4">
        <v>0.33333333333333331</v>
      </c>
      <c r="BU2446" t="s">
        <v>1728</v>
      </c>
      <c r="BV2446" t="s">
        <v>86</v>
      </c>
      <c r="BY2446">
        <v>1200</v>
      </c>
      <c r="CA2446" t="s">
        <v>182</v>
      </c>
      <c r="CC2446" t="s">
        <v>178</v>
      </c>
      <c r="CD2446">
        <v>6230</v>
      </c>
      <c r="CE2446" t="s">
        <v>88</v>
      </c>
      <c r="CF2446" s="3">
        <v>45798</v>
      </c>
      <c r="CI2446">
        <v>1</v>
      </c>
      <c r="CJ2446">
        <v>1</v>
      </c>
      <c r="CK2446">
        <v>21</v>
      </c>
      <c r="CL2446" t="s">
        <v>89</v>
      </c>
    </row>
    <row r="2447" spans="1:90" x14ac:dyDescent="0.3">
      <c r="A2447" t="s">
        <v>72</v>
      </c>
      <c r="B2447" t="s">
        <v>73</v>
      </c>
      <c r="C2447" t="s">
        <v>74</v>
      </c>
      <c r="E2447" t="str">
        <f>"080065470816"</f>
        <v>080065470816</v>
      </c>
      <c r="F2447" s="3">
        <v>45797</v>
      </c>
      <c r="G2447">
        <v>202602</v>
      </c>
      <c r="H2447" t="s">
        <v>75</v>
      </c>
      <c r="I2447" t="s">
        <v>76</v>
      </c>
      <c r="J2447" t="s">
        <v>77</v>
      </c>
      <c r="K2447" t="s">
        <v>78</v>
      </c>
      <c r="L2447" t="s">
        <v>79</v>
      </c>
      <c r="M2447" t="s">
        <v>80</v>
      </c>
      <c r="N2447" t="s">
        <v>2710</v>
      </c>
      <c r="O2447" t="s">
        <v>82</v>
      </c>
      <c r="P2447" t="str">
        <f>"4170039608                    "</f>
        <v xml:space="preserve">4170039608                    </v>
      </c>
      <c r="Q2447">
        <v>0</v>
      </c>
      <c r="R2447">
        <v>0</v>
      </c>
      <c r="S2447">
        <v>0</v>
      </c>
      <c r="T2447">
        <v>0</v>
      </c>
      <c r="U2447">
        <v>0</v>
      </c>
      <c r="V2447">
        <v>0</v>
      </c>
      <c r="W2447">
        <v>0</v>
      </c>
      <c r="X2447">
        <v>0</v>
      </c>
      <c r="Y2447">
        <v>0</v>
      </c>
      <c r="Z2447">
        <v>0</v>
      </c>
      <c r="AA2447">
        <v>0</v>
      </c>
      <c r="AB2447">
        <v>0</v>
      </c>
      <c r="AC2447">
        <v>0</v>
      </c>
      <c r="AD2447">
        <v>0</v>
      </c>
      <c r="AE2447">
        <v>0</v>
      </c>
      <c r="AF2447">
        <v>0</v>
      </c>
      <c r="AG2447">
        <v>0</v>
      </c>
      <c r="AH2447">
        <v>0</v>
      </c>
      <c r="AI2447">
        <v>0</v>
      </c>
      <c r="AJ2447">
        <v>0</v>
      </c>
      <c r="AK2447">
        <v>0</v>
      </c>
      <c r="AL2447">
        <v>0</v>
      </c>
      <c r="AM2447">
        <v>0</v>
      </c>
      <c r="AN2447">
        <v>0</v>
      </c>
      <c r="AO2447">
        <v>0</v>
      </c>
      <c r="AP2447">
        <v>0</v>
      </c>
      <c r="AQ2447">
        <v>21.38</v>
      </c>
      <c r="AR2447">
        <v>0</v>
      </c>
      <c r="AS2447">
        <v>0</v>
      </c>
      <c r="AT2447">
        <v>0</v>
      </c>
      <c r="AU2447">
        <v>0</v>
      </c>
      <c r="AV2447">
        <v>0</v>
      </c>
      <c r="AW2447">
        <v>0</v>
      </c>
      <c r="AX2447">
        <v>0</v>
      </c>
      <c r="AY2447">
        <v>0</v>
      </c>
      <c r="AZ2447">
        <v>0</v>
      </c>
      <c r="BA2447">
        <v>0</v>
      </c>
      <c r="BB2447">
        <v>0</v>
      </c>
      <c r="BC2447">
        <v>0</v>
      </c>
      <c r="BD2447">
        <v>0</v>
      </c>
      <c r="BE2447">
        <v>0</v>
      </c>
      <c r="BF2447">
        <v>0</v>
      </c>
      <c r="BG2447">
        <v>0</v>
      </c>
      <c r="BH2447">
        <v>1</v>
      </c>
      <c r="BI2447">
        <v>1</v>
      </c>
      <c r="BJ2447">
        <v>0.2</v>
      </c>
      <c r="BK2447">
        <v>1</v>
      </c>
      <c r="BL2447">
        <v>69.98</v>
      </c>
      <c r="BM2447">
        <v>10.5</v>
      </c>
      <c r="BN2447">
        <v>80.48</v>
      </c>
      <c r="BO2447">
        <v>80.48</v>
      </c>
      <c r="BQ2447" t="s">
        <v>2711</v>
      </c>
      <c r="BR2447" t="s">
        <v>84</v>
      </c>
      <c r="BS2447" s="3">
        <v>45798</v>
      </c>
      <c r="BT2447" s="4">
        <v>0.45416666666666666</v>
      </c>
      <c r="BU2447" t="s">
        <v>2712</v>
      </c>
      <c r="BV2447" t="s">
        <v>89</v>
      </c>
      <c r="BW2447" t="s">
        <v>296</v>
      </c>
      <c r="BX2447" t="s">
        <v>325</v>
      </c>
      <c r="BY2447">
        <v>1200</v>
      </c>
      <c r="CA2447" t="s">
        <v>418</v>
      </c>
      <c r="CC2447" t="s">
        <v>80</v>
      </c>
      <c r="CD2447">
        <v>3608</v>
      </c>
      <c r="CE2447" t="s">
        <v>88</v>
      </c>
      <c r="CF2447" s="3">
        <v>45798</v>
      </c>
      <c r="CI2447">
        <v>1</v>
      </c>
      <c r="CJ2447">
        <v>1</v>
      </c>
      <c r="CK2447">
        <v>21</v>
      </c>
      <c r="CL2447" t="s">
        <v>89</v>
      </c>
    </row>
    <row r="2448" spans="1:90" x14ac:dyDescent="0.3">
      <c r="A2448" t="s">
        <v>72</v>
      </c>
      <c r="B2448" t="s">
        <v>73</v>
      </c>
      <c r="C2448" t="s">
        <v>74</v>
      </c>
      <c r="E2448" t="str">
        <f>"080065470843"</f>
        <v>080065470843</v>
      </c>
      <c r="F2448" s="3">
        <v>45797</v>
      </c>
      <c r="G2448">
        <v>202602</v>
      </c>
      <c r="H2448" t="s">
        <v>75</v>
      </c>
      <c r="I2448" t="s">
        <v>76</v>
      </c>
      <c r="J2448" t="s">
        <v>77</v>
      </c>
      <c r="K2448" t="s">
        <v>78</v>
      </c>
      <c r="L2448" t="s">
        <v>90</v>
      </c>
      <c r="M2448" t="s">
        <v>91</v>
      </c>
      <c r="N2448" t="s">
        <v>371</v>
      </c>
      <c r="O2448" t="s">
        <v>82</v>
      </c>
      <c r="P2448" t="str">
        <f>"4170039576                    "</f>
        <v xml:space="preserve">4170039576                    </v>
      </c>
      <c r="Q2448">
        <v>0</v>
      </c>
      <c r="R2448">
        <v>0</v>
      </c>
      <c r="S2448">
        <v>0</v>
      </c>
      <c r="T2448">
        <v>0</v>
      </c>
      <c r="U2448">
        <v>0</v>
      </c>
      <c r="V2448">
        <v>0</v>
      </c>
      <c r="W2448">
        <v>0</v>
      </c>
      <c r="X2448">
        <v>0</v>
      </c>
      <c r="Y2448">
        <v>0</v>
      </c>
      <c r="Z2448">
        <v>0</v>
      </c>
      <c r="AA2448">
        <v>0</v>
      </c>
      <c r="AB2448">
        <v>0</v>
      </c>
      <c r="AC2448">
        <v>0</v>
      </c>
      <c r="AD2448">
        <v>0</v>
      </c>
      <c r="AE2448">
        <v>0</v>
      </c>
      <c r="AF2448">
        <v>0</v>
      </c>
      <c r="AG2448">
        <v>0</v>
      </c>
      <c r="AH2448">
        <v>0</v>
      </c>
      <c r="AI2448">
        <v>0</v>
      </c>
      <c r="AJ2448">
        <v>0</v>
      </c>
      <c r="AK2448">
        <v>0</v>
      </c>
      <c r="AL2448">
        <v>0</v>
      </c>
      <c r="AM2448">
        <v>0</v>
      </c>
      <c r="AN2448">
        <v>0</v>
      </c>
      <c r="AO2448">
        <v>0</v>
      </c>
      <c r="AP2448">
        <v>0</v>
      </c>
      <c r="AQ2448">
        <v>21.38</v>
      </c>
      <c r="AR2448">
        <v>0</v>
      </c>
      <c r="AS2448">
        <v>0</v>
      </c>
      <c r="AT2448">
        <v>0</v>
      </c>
      <c r="AU2448">
        <v>0</v>
      </c>
      <c r="AV2448">
        <v>0</v>
      </c>
      <c r="AW2448">
        <v>0</v>
      </c>
      <c r="AX2448">
        <v>0</v>
      </c>
      <c r="AY2448">
        <v>0</v>
      </c>
      <c r="AZ2448">
        <v>0</v>
      </c>
      <c r="BA2448">
        <v>0</v>
      </c>
      <c r="BB2448">
        <v>0</v>
      </c>
      <c r="BC2448">
        <v>0</v>
      </c>
      <c r="BD2448">
        <v>0</v>
      </c>
      <c r="BE2448">
        <v>0</v>
      </c>
      <c r="BF2448">
        <v>0</v>
      </c>
      <c r="BG2448">
        <v>0</v>
      </c>
      <c r="BH2448">
        <v>1</v>
      </c>
      <c r="BI2448">
        <v>1</v>
      </c>
      <c r="BJ2448">
        <v>0.2</v>
      </c>
      <c r="BK2448">
        <v>1</v>
      </c>
      <c r="BL2448">
        <v>69.98</v>
      </c>
      <c r="BM2448">
        <v>10.5</v>
      </c>
      <c r="BN2448">
        <v>80.48</v>
      </c>
      <c r="BO2448">
        <v>80.48</v>
      </c>
      <c r="BQ2448" t="s">
        <v>372</v>
      </c>
      <c r="BR2448" t="s">
        <v>84</v>
      </c>
      <c r="BS2448" s="3">
        <v>45798</v>
      </c>
      <c r="BT2448" s="4">
        <v>0.35416666666666669</v>
      </c>
      <c r="BU2448" t="s">
        <v>373</v>
      </c>
      <c r="BV2448" t="s">
        <v>86</v>
      </c>
      <c r="BY2448">
        <v>1200</v>
      </c>
      <c r="CA2448" t="s">
        <v>298</v>
      </c>
      <c r="CC2448" t="s">
        <v>91</v>
      </c>
      <c r="CD2448">
        <v>6001</v>
      </c>
      <c r="CE2448" t="s">
        <v>88</v>
      </c>
      <c r="CF2448" s="3">
        <v>45798</v>
      </c>
      <c r="CI2448">
        <v>1</v>
      </c>
      <c r="CJ2448">
        <v>1</v>
      </c>
      <c r="CK2448">
        <v>21</v>
      </c>
      <c r="CL2448" t="s">
        <v>89</v>
      </c>
    </row>
    <row r="2449" spans="1:90" x14ac:dyDescent="0.3">
      <c r="A2449" t="s">
        <v>72</v>
      </c>
      <c r="B2449" t="s">
        <v>73</v>
      </c>
      <c r="C2449" t="s">
        <v>74</v>
      </c>
      <c r="E2449" t="str">
        <f>"080065470874"</f>
        <v>080065470874</v>
      </c>
      <c r="F2449" s="3">
        <v>45797</v>
      </c>
      <c r="G2449">
        <v>202602</v>
      </c>
      <c r="H2449" t="s">
        <v>75</v>
      </c>
      <c r="I2449" t="s">
        <v>76</v>
      </c>
      <c r="J2449" t="s">
        <v>77</v>
      </c>
      <c r="K2449" t="s">
        <v>78</v>
      </c>
      <c r="L2449" t="s">
        <v>177</v>
      </c>
      <c r="M2449" t="s">
        <v>178</v>
      </c>
      <c r="N2449" t="s">
        <v>2713</v>
      </c>
      <c r="O2449" t="s">
        <v>82</v>
      </c>
      <c r="P2449" t="str">
        <f>"4170039653                    "</f>
        <v xml:space="preserve">4170039653                    </v>
      </c>
      <c r="Q2449">
        <v>0</v>
      </c>
      <c r="R2449">
        <v>0</v>
      </c>
      <c r="S2449">
        <v>0</v>
      </c>
      <c r="T2449">
        <v>0</v>
      </c>
      <c r="U2449">
        <v>0</v>
      </c>
      <c r="V2449">
        <v>0</v>
      </c>
      <c r="W2449">
        <v>0</v>
      </c>
      <c r="X2449">
        <v>0</v>
      </c>
      <c r="Y2449">
        <v>0</v>
      </c>
      <c r="Z2449">
        <v>0</v>
      </c>
      <c r="AA2449">
        <v>0</v>
      </c>
      <c r="AB2449">
        <v>0</v>
      </c>
      <c r="AC2449">
        <v>0</v>
      </c>
      <c r="AD2449">
        <v>0</v>
      </c>
      <c r="AE2449">
        <v>0</v>
      </c>
      <c r="AF2449">
        <v>0</v>
      </c>
      <c r="AG2449">
        <v>0</v>
      </c>
      <c r="AH2449">
        <v>0</v>
      </c>
      <c r="AI2449">
        <v>0</v>
      </c>
      <c r="AJ2449">
        <v>0</v>
      </c>
      <c r="AK2449">
        <v>0</v>
      </c>
      <c r="AL2449">
        <v>0</v>
      </c>
      <c r="AM2449">
        <v>0</v>
      </c>
      <c r="AN2449">
        <v>0</v>
      </c>
      <c r="AO2449">
        <v>0</v>
      </c>
      <c r="AP2449">
        <v>0</v>
      </c>
      <c r="AQ2449">
        <v>21.38</v>
      </c>
      <c r="AR2449">
        <v>0</v>
      </c>
      <c r="AS2449">
        <v>0</v>
      </c>
      <c r="AT2449">
        <v>0</v>
      </c>
      <c r="AU2449">
        <v>0</v>
      </c>
      <c r="AV2449">
        <v>0</v>
      </c>
      <c r="AW2449">
        <v>0</v>
      </c>
      <c r="AX2449">
        <v>0</v>
      </c>
      <c r="AY2449">
        <v>0</v>
      </c>
      <c r="AZ2449">
        <v>0</v>
      </c>
      <c r="BA2449">
        <v>0</v>
      </c>
      <c r="BB2449">
        <v>0</v>
      </c>
      <c r="BC2449">
        <v>0</v>
      </c>
      <c r="BD2449">
        <v>0</v>
      </c>
      <c r="BE2449">
        <v>0</v>
      </c>
      <c r="BF2449">
        <v>0</v>
      </c>
      <c r="BG2449">
        <v>0</v>
      </c>
      <c r="BH2449">
        <v>1</v>
      </c>
      <c r="BI2449">
        <v>1</v>
      </c>
      <c r="BJ2449">
        <v>0.2</v>
      </c>
      <c r="BK2449">
        <v>1</v>
      </c>
      <c r="BL2449">
        <v>69.98</v>
      </c>
      <c r="BM2449">
        <v>10.5</v>
      </c>
      <c r="BN2449">
        <v>80.48</v>
      </c>
      <c r="BO2449">
        <v>80.48</v>
      </c>
      <c r="BQ2449" t="s">
        <v>2714</v>
      </c>
      <c r="BR2449" t="s">
        <v>84</v>
      </c>
      <c r="BS2449" s="3">
        <v>45798</v>
      </c>
      <c r="BT2449" s="4">
        <v>0.38194444444444442</v>
      </c>
      <c r="BU2449" t="s">
        <v>2715</v>
      </c>
      <c r="BV2449" t="s">
        <v>86</v>
      </c>
      <c r="BY2449">
        <v>1200</v>
      </c>
      <c r="CA2449" t="s">
        <v>182</v>
      </c>
      <c r="CC2449" t="s">
        <v>178</v>
      </c>
      <c r="CD2449">
        <v>6230</v>
      </c>
      <c r="CE2449" t="s">
        <v>88</v>
      </c>
      <c r="CF2449" s="3">
        <v>45798</v>
      </c>
      <c r="CI2449">
        <v>1</v>
      </c>
      <c r="CJ2449">
        <v>1</v>
      </c>
      <c r="CK2449">
        <v>21</v>
      </c>
      <c r="CL2449" t="s">
        <v>89</v>
      </c>
    </row>
    <row r="2450" spans="1:90" x14ac:dyDescent="0.3">
      <c r="A2450" t="s">
        <v>72</v>
      </c>
      <c r="B2450" t="s">
        <v>73</v>
      </c>
      <c r="C2450" t="s">
        <v>74</v>
      </c>
      <c r="E2450" t="str">
        <f>"080065470887"</f>
        <v>080065470887</v>
      </c>
      <c r="F2450" s="3">
        <v>45797</v>
      </c>
      <c r="G2450">
        <v>202602</v>
      </c>
      <c r="H2450" t="s">
        <v>75</v>
      </c>
      <c r="I2450" t="s">
        <v>76</v>
      </c>
      <c r="J2450" t="s">
        <v>77</v>
      </c>
      <c r="K2450" t="s">
        <v>78</v>
      </c>
      <c r="L2450" t="s">
        <v>489</v>
      </c>
      <c r="M2450" t="s">
        <v>490</v>
      </c>
      <c r="N2450" t="s">
        <v>491</v>
      </c>
      <c r="O2450" t="s">
        <v>82</v>
      </c>
      <c r="P2450" t="str">
        <f>"4170039233                    "</f>
        <v xml:space="preserve">4170039233                    </v>
      </c>
      <c r="Q2450">
        <v>0</v>
      </c>
      <c r="R2450">
        <v>0</v>
      </c>
      <c r="S2450">
        <v>0</v>
      </c>
      <c r="T2450">
        <v>0</v>
      </c>
      <c r="U2450">
        <v>0</v>
      </c>
      <c r="V2450">
        <v>0</v>
      </c>
      <c r="W2450">
        <v>0</v>
      </c>
      <c r="X2450">
        <v>0</v>
      </c>
      <c r="Y2450">
        <v>0</v>
      </c>
      <c r="Z2450">
        <v>0</v>
      </c>
      <c r="AA2450">
        <v>0</v>
      </c>
      <c r="AB2450">
        <v>0</v>
      </c>
      <c r="AC2450">
        <v>0</v>
      </c>
      <c r="AD2450">
        <v>0</v>
      </c>
      <c r="AE2450">
        <v>0</v>
      </c>
      <c r="AF2450">
        <v>0</v>
      </c>
      <c r="AG2450">
        <v>0</v>
      </c>
      <c r="AH2450">
        <v>0</v>
      </c>
      <c r="AI2450">
        <v>0</v>
      </c>
      <c r="AJ2450">
        <v>0</v>
      </c>
      <c r="AK2450">
        <v>0</v>
      </c>
      <c r="AL2450">
        <v>0</v>
      </c>
      <c r="AM2450">
        <v>0</v>
      </c>
      <c r="AN2450">
        <v>0</v>
      </c>
      <c r="AO2450">
        <v>0</v>
      </c>
      <c r="AP2450">
        <v>0</v>
      </c>
      <c r="AQ2450">
        <v>41.43</v>
      </c>
      <c r="AR2450">
        <v>0</v>
      </c>
      <c r="AS2450">
        <v>0</v>
      </c>
      <c r="AT2450">
        <v>0</v>
      </c>
      <c r="AU2450">
        <v>0</v>
      </c>
      <c r="AV2450">
        <v>0</v>
      </c>
      <c r="AW2450">
        <v>0</v>
      </c>
      <c r="AX2450">
        <v>0</v>
      </c>
      <c r="AY2450">
        <v>0</v>
      </c>
      <c r="AZ2450">
        <v>0</v>
      </c>
      <c r="BA2450">
        <v>0</v>
      </c>
      <c r="BB2450">
        <v>0</v>
      </c>
      <c r="BC2450">
        <v>0</v>
      </c>
      <c r="BD2450">
        <v>0</v>
      </c>
      <c r="BE2450">
        <v>0</v>
      </c>
      <c r="BF2450">
        <v>0</v>
      </c>
      <c r="BG2450">
        <v>0</v>
      </c>
      <c r="BH2450">
        <v>1</v>
      </c>
      <c r="BI2450">
        <v>1</v>
      </c>
      <c r="BJ2450">
        <v>0.2</v>
      </c>
      <c r="BK2450">
        <v>1</v>
      </c>
      <c r="BL2450">
        <v>135.59</v>
      </c>
      <c r="BM2450">
        <v>20.34</v>
      </c>
      <c r="BN2450">
        <v>155.93</v>
      </c>
      <c r="BO2450">
        <v>155.93</v>
      </c>
      <c r="BQ2450" t="s">
        <v>492</v>
      </c>
      <c r="BR2450" t="s">
        <v>84</v>
      </c>
      <c r="BS2450" s="3">
        <v>45798</v>
      </c>
      <c r="BT2450" s="4">
        <v>0.31666666666666665</v>
      </c>
      <c r="BU2450" t="s">
        <v>2689</v>
      </c>
      <c r="BV2450" t="s">
        <v>86</v>
      </c>
      <c r="BY2450">
        <v>1200</v>
      </c>
      <c r="CA2450" t="s">
        <v>1268</v>
      </c>
      <c r="CC2450" t="s">
        <v>490</v>
      </c>
      <c r="CD2450">
        <v>2740</v>
      </c>
      <c r="CE2450" t="s">
        <v>88</v>
      </c>
      <c r="CF2450" s="3">
        <v>45799</v>
      </c>
      <c r="CI2450">
        <v>1</v>
      </c>
      <c r="CJ2450">
        <v>1</v>
      </c>
      <c r="CK2450">
        <v>23</v>
      </c>
      <c r="CL2450" t="s">
        <v>89</v>
      </c>
    </row>
    <row r="2451" spans="1:90" x14ac:dyDescent="0.3">
      <c r="A2451" t="s">
        <v>72</v>
      </c>
      <c r="B2451" t="s">
        <v>73</v>
      </c>
      <c r="C2451" t="s">
        <v>74</v>
      </c>
      <c r="E2451" t="str">
        <f>"080065470911"</f>
        <v>080065470911</v>
      </c>
      <c r="F2451" s="3">
        <v>45797</v>
      </c>
      <c r="G2451">
        <v>202602</v>
      </c>
      <c r="H2451" t="s">
        <v>75</v>
      </c>
      <c r="I2451" t="s">
        <v>76</v>
      </c>
      <c r="J2451" t="s">
        <v>77</v>
      </c>
      <c r="K2451" t="s">
        <v>78</v>
      </c>
      <c r="L2451" t="s">
        <v>103</v>
      </c>
      <c r="M2451" t="s">
        <v>104</v>
      </c>
      <c r="N2451" t="s">
        <v>228</v>
      </c>
      <c r="O2451" t="s">
        <v>82</v>
      </c>
      <c r="P2451" t="str">
        <f>"4170039617                    "</f>
        <v xml:space="preserve">4170039617                    </v>
      </c>
      <c r="Q2451">
        <v>0</v>
      </c>
      <c r="R2451">
        <v>0</v>
      </c>
      <c r="S2451">
        <v>0</v>
      </c>
      <c r="T2451">
        <v>0</v>
      </c>
      <c r="U2451">
        <v>0</v>
      </c>
      <c r="V2451">
        <v>0</v>
      </c>
      <c r="W2451">
        <v>0</v>
      </c>
      <c r="X2451">
        <v>0</v>
      </c>
      <c r="Y2451">
        <v>0</v>
      </c>
      <c r="Z2451">
        <v>0</v>
      </c>
      <c r="AA2451">
        <v>0</v>
      </c>
      <c r="AB2451">
        <v>0</v>
      </c>
      <c r="AC2451">
        <v>0</v>
      </c>
      <c r="AD2451">
        <v>0</v>
      </c>
      <c r="AE2451">
        <v>0</v>
      </c>
      <c r="AF2451">
        <v>0</v>
      </c>
      <c r="AG2451">
        <v>0</v>
      </c>
      <c r="AH2451">
        <v>0</v>
      </c>
      <c r="AI2451">
        <v>0</v>
      </c>
      <c r="AJ2451">
        <v>0</v>
      </c>
      <c r="AK2451">
        <v>0</v>
      </c>
      <c r="AL2451">
        <v>0</v>
      </c>
      <c r="AM2451">
        <v>0</v>
      </c>
      <c r="AN2451">
        <v>0</v>
      </c>
      <c r="AO2451">
        <v>0</v>
      </c>
      <c r="AP2451">
        <v>0</v>
      </c>
      <c r="AQ2451">
        <v>21.38</v>
      </c>
      <c r="AR2451">
        <v>0</v>
      </c>
      <c r="AS2451">
        <v>0</v>
      </c>
      <c r="AT2451">
        <v>0</v>
      </c>
      <c r="AU2451">
        <v>0</v>
      </c>
      <c r="AV2451">
        <v>0</v>
      </c>
      <c r="AW2451">
        <v>16.739999999999998</v>
      </c>
      <c r="AX2451">
        <v>0</v>
      </c>
      <c r="AY2451">
        <v>0</v>
      </c>
      <c r="AZ2451">
        <v>0</v>
      </c>
      <c r="BA2451">
        <v>0</v>
      </c>
      <c r="BB2451">
        <v>0</v>
      </c>
      <c r="BC2451">
        <v>0</v>
      </c>
      <c r="BD2451">
        <v>0</v>
      </c>
      <c r="BE2451">
        <v>0</v>
      </c>
      <c r="BF2451">
        <v>0</v>
      </c>
      <c r="BG2451">
        <v>0</v>
      </c>
      <c r="BH2451">
        <v>1</v>
      </c>
      <c r="BI2451">
        <v>1</v>
      </c>
      <c r="BJ2451">
        <v>0.2</v>
      </c>
      <c r="BK2451">
        <v>1</v>
      </c>
      <c r="BL2451">
        <v>86.72</v>
      </c>
      <c r="BM2451">
        <v>13.01</v>
      </c>
      <c r="BN2451">
        <v>99.73</v>
      </c>
      <c r="BO2451">
        <v>99.73</v>
      </c>
      <c r="BQ2451" t="s">
        <v>229</v>
      </c>
      <c r="BR2451" t="s">
        <v>84</v>
      </c>
      <c r="BS2451" s="3">
        <v>45798</v>
      </c>
      <c r="BT2451" s="4">
        <v>0.41666666666666669</v>
      </c>
      <c r="BU2451" t="s">
        <v>324</v>
      </c>
      <c r="BV2451" t="s">
        <v>86</v>
      </c>
      <c r="BY2451">
        <v>1200</v>
      </c>
      <c r="BZ2451" t="s">
        <v>30</v>
      </c>
      <c r="CA2451" t="s">
        <v>945</v>
      </c>
      <c r="CC2451" t="s">
        <v>104</v>
      </c>
      <c r="CD2451">
        <v>3699</v>
      </c>
      <c r="CE2451" t="s">
        <v>88</v>
      </c>
      <c r="CF2451" s="3">
        <v>45799</v>
      </c>
      <c r="CI2451">
        <v>1</v>
      </c>
      <c r="CJ2451">
        <v>1</v>
      </c>
      <c r="CK2451">
        <v>21</v>
      </c>
      <c r="CL2451" t="s">
        <v>89</v>
      </c>
    </row>
    <row r="2452" spans="1:90" x14ac:dyDescent="0.3">
      <c r="A2452" t="s">
        <v>72</v>
      </c>
      <c r="B2452" t="s">
        <v>73</v>
      </c>
      <c r="C2452" t="s">
        <v>74</v>
      </c>
      <c r="E2452" t="str">
        <f>"080065470942"</f>
        <v>080065470942</v>
      </c>
      <c r="F2452" s="3">
        <v>45797</v>
      </c>
      <c r="G2452">
        <v>202602</v>
      </c>
      <c r="H2452" t="s">
        <v>75</v>
      </c>
      <c r="I2452" t="s">
        <v>76</v>
      </c>
      <c r="J2452" t="s">
        <v>77</v>
      </c>
      <c r="K2452" t="s">
        <v>78</v>
      </c>
      <c r="L2452" t="s">
        <v>103</v>
      </c>
      <c r="M2452" t="s">
        <v>104</v>
      </c>
      <c r="N2452" t="s">
        <v>1815</v>
      </c>
      <c r="O2452" t="s">
        <v>82</v>
      </c>
      <c r="P2452" t="str">
        <f>"4170039610                    "</f>
        <v xml:space="preserve">4170039610                    </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c r="AI2452">
        <v>0</v>
      </c>
      <c r="AJ2452">
        <v>0</v>
      </c>
      <c r="AK2452">
        <v>0</v>
      </c>
      <c r="AL2452">
        <v>0</v>
      </c>
      <c r="AM2452">
        <v>0</v>
      </c>
      <c r="AN2452">
        <v>0</v>
      </c>
      <c r="AO2452">
        <v>0</v>
      </c>
      <c r="AP2452">
        <v>0</v>
      </c>
      <c r="AQ2452">
        <v>21.38</v>
      </c>
      <c r="AR2452">
        <v>0</v>
      </c>
      <c r="AS2452">
        <v>0</v>
      </c>
      <c r="AT2452">
        <v>0</v>
      </c>
      <c r="AU2452">
        <v>0</v>
      </c>
      <c r="AV2452">
        <v>0</v>
      </c>
      <c r="AW2452">
        <v>0</v>
      </c>
      <c r="AX2452">
        <v>0</v>
      </c>
      <c r="AY2452">
        <v>0</v>
      </c>
      <c r="AZ2452">
        <v>0</v>
      </c>
      <c r="BA2452">
        <v>0</v>
      </c>
      <c r="BB2452">
        <v>0</v>
      </c>
      <c r="BC2452">
        <v>0</v>
      </c>
      <c r="BD2452">
        <v>0</v>
      </c>
      <c r="BE2452">
        <v>0</v>
      </c>
      <c r="BF2452">
        <v>0</v>
      </c>
      <c r="BG2452">
        <v>0</v>
      </c>
      <c r="BH2452">
        <v>1</v>
      </c>
      <c r="BI2452">
        <v>1</v>
      </c>
      <c r="BJ2452">
        <v>0.2</v>
      </c>
      <c r="BK2452">
        <v>1</v>
      </c>
      <c r="BL2452">
        <v>69.98</v>
      </c>
      <c r="BM2452">
        <v>10.5</v>
      </c>
      <c r="BN2452">
        <v>80.48</v>
      </c>
      <c r="BO2452">
        <v>80.48</v>
      </c>
      <c r="BQ2452" t="s">
        <v>1816</v>
      </c>
      <c r="BR2452" t="s">
        <v>84</v>
      </c>
      <c r="BS2452" s="3">
        <v>45798</v>
      </c>
      <c r="BT2452" s="4">
        <v>0.40625</v>
      </c>
      <c r="BU2452" t="s">
        <v>1817</v>
      </c>
      <c r="BV2452" t="s">
        <v>86</v>
      </c>
      <c r="BY2452">
        <v>1200</v>
      </c>
      <c r="CA2452" t="s">
        <v>1375</v>
      </c>
      <c r="CC2452" t="s">
        <v>104</v>
      </c>
      <c r="CD2452">
        <v>3201</v>
      </c>
      <c r="CE2452" t="s">
        <v>88</v>
      </c>
      <c r="CF2452" s="3">
        <v>45799</v>
      </c>
      <c r="CI2452">
        <v>1</v>
      </c>
      <c r="CJ2452">
        <v>1</v>
      </c>
      <c r="CK2452">
        <v>21</v>
      </c>
      <c r="CL2452" t="s">
        <v>89</v>
      </c>
    </row>
    <row r="2453" spans="1:90" x14ac:dyDescent="0.3">
      <c r="A2453" t="s">
        <v>72</v>
      </c>
      <c r="B2453" t="s">
        <v>73</v>
      </c>
      <c r="C2453" t="s">
        <v>74</v>
      </c>
      <c r="E2453" t="str">
        <f>"080065470985"</f>
        <v>080065470985</v>
      </c>
      <c r="F2453" s="3">
        <v>45797</v>
      </c>
      <c r="G2453">
        <v>202602</v>
      </c>
      <c r="H2453" t="s">
        <v>75</v>
      </c>
      <c r="I2453" t="s">
        <v>76</v>
      </c>
      <c r="J2453" t="s">
        <v>77</v>
      </c>
      <c r="K2453" t="s">
        <v>78</v>
      </c>
      <c r="L2453" t="s">
        <v>130</v>
      </c>
      <c r="M2453" t="s">
        <v>131</v>
      </c>
      <c r="N2453" t="s">
        <v>1619</v>
      </c>
      <c r="O2453" t="s">
        <v>82</v>
      </c>
      <c r="P2453" t="str">
        <f>"4170039561                    "</f>
        <v xml:space="preserve">4170039561                    </v>
      </c>
      <c r="Q2453">
        <v>0</v>
      </c>
      <c r="R2453">
        <v>0</v>
      </c>
      <c r="S2453">
        <v>0</v>
      </c>
      <c r="T2453">
        <v>0</v>
      </c>
      <c r="U2453">
        <v>0</v>
      </c>
      <c r="V2453">
        <v>0</v>
      </c>
      <c r="W2453">
        <v>0</v>
      </c>
      <c r="X2453">
        <v>0</v>
      </c>
      <c r="Y2453">
        <v>0</v>
      </c>
      <c r="Z2453">
        <v>0</v>
      </c>
      <c r="AA2453">
        <v>0</v>
      </c>
      <c r="AB2453">
        <v>0</v>
      </c>
      <c r="AC2453">
        <v>0</v>
      </c>
      <c r="AD2453">
        <v>0</v>
      </c>
      <c r="AE2453">
        <v>0</v>
      </c>
      <c r="AF2453">
        <v>0</v>
      </c>
      <c r="AG2453">
        <v>0</v>
      </c>
      <c r="AH2453">
        <v>0</v>
      </c>
      <c r="AI2453">
        <v>0</v>
      </c>
      <c r="AJ2453">
        <v>0</v>
      </c>
      <c r="AK2453">
        <v>0</v>
      </c>
      <c r="AL2453">
        <v>0</v>
      </c>
      <c r="AM2453">
        <v>0</v>
      </c>
      <c r="AN2453">
        <v>0</v>
      </c>
      <c r="AO2453">
        <v>0</v>
      </c>
      <c r="AP2453">
        <v>0</v>
      </c>
      <c r="AQ2453">
        <v>21.38</v>
      </c>
      <c r="AR2453">
        <v>0</v>
      </c>
      <c r="AS2453">
        <v>0</v>
      </c>
      <c r="AT2453">
        <v>0</v>
      </c>
      <c r="AU2453">
        <v>0</v>
      </c>
      <c r="AV2453">
        <v>0</v>
      </c>
      <c r="AW2453">
        <v>0</v>
      </c>
      <c r="AX2453">
        <v>0</v>
      </c>
      <c r="AY2453">
        <v>0</v>
      </c>
      <c r="AZ2453">
        <v>0</v>
      </c>
      <c r="BA2453">
        <v>0</v>
      </c>
      <c r="BB2453">
        <v>0</v>
      </c>
      <c r="BC2453">
        <v>0</v>
      </c>
      <c r="BD2453">
        <v>0</v>
      </c>
      <c r="BE2453">
        <v>0</v>
      </c>
      <c r="BF2453">
        <v>0</v>
      </c>
      <c r="BG2453">
        <v>0</v>
      </c>
      <c r="BH2453">
        <v>1</v>
      </c>
      <c r="BI2453">
        <v>1</v>
      </c>
      <c r="BJ2453">
        <v>0.2</v>
      </c>
      <c r="BK2453">
        <v>1</v>
      </c>
      <c r="BL2453">
        <v>69.98</v>
      </c>
      <c r="BM2453">
        <v>10.5</v>
      </c>
      <c r="BN2453">
        <v>80.48</v>
      </c>
      <c r="BO2453">
        <v>80.48</v>
      </c>
      <c r="BQ2453" t="s">
        <v>1620</v>
      </c>
      <c r="BR2453" t="s">
        <v>84</v>
      </c>
      <c r="BS2453" s="3">
        <v>45798</v>
      </c>
      <c r="BT2453" s="4">
        <v>0.41805555555555557</v>
      </c>
      <c r="BU2453" t="s">
        <v>1582</v>
      </c>
      <c r="BV2453" t="s">
        <v>86</v>
      </c>
      <c r="BY2453">
        <v>1200</v>
      </c>
      <c r="CA2453" t="s">
        <v>784</v>
      </c>
      <c r="CC2453" t="s">
        <v>131</v>
      </c>
      <c r="CD2453">
        <v>7405</v>
      </c>
      <c r="CE2453" t="s">
        <v>88</v>
      </c>
      <c r="CF2453" s="3">
        <v>45799</v>
      </c>
      <c r="CI2453">
        <v>1</v>
      </c>
      <c r="CJ2453">
        <v>1</v>
      </c>
      <c r="CK2453">
        <v>21</v>
      </c>
      <c r="CL2453" t="s">
        <v>89</v>
      </c>
    </row>
    <row r="2454" spans="1:90" x14ac:dyDescent="0.3">
      <c r="A2454" t="s">
        <v>72</v>
      </c>
      <c r="B2454" t="s">
        <v>73</v>
      </c>
      <c r="C2454" t="s">
        <v>74</v>
      </c>
      <c r="E2454" t="str">
        <f>"080065471037"</f>
        <v>080065471037</v>
      </c>
      <c r="F2454" s="3">
        <v>45797</v>
      </c>
      <c r="G2454">
        <v>202602</v>
      </c>
      <c r="H2454" t="s">
        <v>75</v>
      </c>
      <c r="I2454" t="s">
        <v>76</v>
      </c>
      <c r="J2454" t="s">
        <v>77</v>
      </c>
      <c r="K2454" t="s">
        <v>78</v>
      </c>
      <c r="L2454" t="s">
        <v>90</v>
      </c>
      <c r="M2454" t="s">
        <v>91</v>
      </c>
      <c r="N2454" t="s">
        <v>109</v>
      </c>
      <c r="O2454" t="s">
        <v>82</v>
      </c>
      <c r="P2454" t="str">
        <f>"4170039563                    "</f>
        <v xml:space="preserve">4170039563                    </v>
      </c>
      <c r="Q2454">
        <v>0</v>
      </c>
      <c r="R2454">
        <v>0</v>
      </c>
      <c r="S2454">
        <v>0</v>
      </c>
      <c r="T2454">
        <v>0</v>
      </c>
      <c r="U2454">
        <v>0</v>
      </c>
      <c r="V2454">
        <v>0</v>
      </c>
      <c r="W2454">
        <v>0</v>
      </c>
      <c r="X2454">
        <v>0</v>
      </c>
      <c r="Y2454">
        <v>0</v>
      </c>
      <c r="Z2454">
        <v>0</v>
      </c>
      <c r="AA2454">
        <v>0</v>
      </c>
      <c r="AB2454">
        <v>0</v>
      </c>
      <c r="AC2454">
        <v>0</v>
      </c>
      <c r="AD2454">
        <v>0</v>
      </c>
      <c r="AE2454">
        <v>0</v>
      </c>
      <c r="AF2454">
        <v>0</v>
      </c>
      <c r="AG2454">
        <v>0</v>
      </c>
      <c r="AH2454">
        <v>0</v>
      </c>
      <c r="AI2454">
        <v>0</v>
      </c>
      <c r="AJ2454">
        <v>0</v>
      </c>
      <c r="AK2454">
        <v>0</v>
      </c>
      <c r="AL2454">
        <v>0</v>
      </c>
      <c r="AM2454">
        <v>0</v>
      </c>
      <c r="AN2454">
        <v>0</v>
      </c>
      <c r="AO2454">
        <v>0</v>
      </c>
      <c r="AP2454">
        <v>0</v>
      </c>
      <c r="AQ2454">
        <v>160.27000000000001</v>
      </c>
      <c r="AR2454">
        <v>0</v>
      </c>
      <c r="AS2454">
        <v>0</v>
      </c>
      <c r="AT2454">
        <v>0</v>
      </c>
      <c r="AU2454">
        <v>0</v>
      </c>
      <c r="AV2454">
        <v>0</v>
      </c>
      <c r="AW2454">
        <v>0</v>
      </c>
      <c r="AX2454">
        <v>0</v>
      </c>
      <c r="AY2454">
        <v>0</v>
      </c>
      <c r="AZ2454">
        <v>0</v>
      </c>
      <c r="BA2454">
        <v>0</v>
      </c>
      <c r="BB2454">
        <v>0</v>
      </c>
      <c r="BC2454">
        <v>0</v>
      </c>
      <c r="BD2454">
        <v>0</v>
      </c>
      <c r="BE2454">
        <v>0</v>
      </c>
      <c r="BF2454">
        <v>0</v>
      </c>
      <c r="BG2454">
        <v>0</v>
      </c>
      <c r="BH2454">
        <v>2</v>
      </c>
      <c r="BI2454">
        <v>15</v>
      </c>
      <c r="BJ2454">
        <v>12.6</v>
      </c>
      <c r="BK2454">
        <v>15</v>
      </c>
      <c r="BL2454">
        <v>524.51</v>
      </c>
      <c r="BM2454">
        <v>78.680000000000007</v>
      </c>
      <c r="BN2454">
        <v>603.19000000000005</v>
      </c>
      <c r="BO2454">
        <v>603.19000000000005</v>
      </c>
      <c r="BQ2454" t="s">
        <v>110</v>
      </c>
      <c r="BR2454" t="s">
        <v>84</v>
      </c>
      <c r="BS2454" s="3">
        <v>45798</v>
      </c>
      <c r="BT2454" s="4">
        <v>0.4201388888888889</v>
      </c>
      <c r="BU2454" t="s">
        <v>2716</v>
      </c>
      <c r="BV2454" t="s">
        <v>86</v>
      </c>
      <c r="BY2454">
        <v>63025</v>
      </c>
      <c r="CA2454" t="s">
        <v>95</v>
      </c>
      <c r="CC2454" t="s">
        <v>91</v>
      </c>
      <c r="CD2454">
        <v>6001</v>
      </c>
      <c r="CE2454" t="s">
        <v>96</v>
      </c>
      <c r="CF2454" s="3">
        <v>45798</v>
      </c>
      <c r="CI2454">
        <v>1</v>
      </c>
      <c r="CJ2454">
        <v>1</v>
      </c>
      <c r="CK2454">
        <v>21</v>
      </c>
      <c r="CL2454" t="s">
        <v>89</v>
      </c>
    </row>
    <row r="2455" spans="1:90" x14ac:dyDescent="0.3">
      <c r="A2455" t="s">
        <v>72</v>
      </c>
      <c r="B2455" t="s">
        <v>73</v>
      </c>
      <c r="C2455" t="s">
        <v>74</v>
      </c>
      <c r="E2455" t="str">
        <f>"080065471069"</f>
        <v>080065471069</v>
      </c>
      <c r="F2455" s="3">
        <v>45797</v>
      </c>
      <c r="G2455">
        <v>202602</v>
      </c>
      <c r="H2455" t="s">
        <v>75</v>
      </c>
      <c r="I2455" t="s">
        <v>76</v>
      </c>
      <c r="J2455" t="s">
        <v>77</v>
      </c>
      <c r="K2455" t="s">
        <v>78</v>
      </c>
      <c r="L2455" t="s">
        <v>75</v>
      </c>
      <c r="M2455" t="s">
        <v>76</v>
      </c>
      <c r="N2455" t="s">
        <v>390</v>
      </c>
      <c r="O2455" t="s">
        <v>82</v>
      </c>
      <c r="P2455" t="str">
        <f>"4170039672                    "</f>
        <v xml:space="preserve">4170039672                    </v>
      </c>
      <c r="Q2455">
        <v>0</v>
      </c>
      <c r="R2455">
        <v>0</v>
      </c>
      <c r="S2455">
        <v>0</v>
      </c>
      <c r="T2455">
        <v>0</v>
      </c>
      <c r="U2455">
        <v>0</v>
      </c>
      <c r="V2455">
        <v>0</v>
      </c>
      <c r="W2455">
        <v>0</v>
      </c>
      <c r="X2455">
        <v>0</v>
      </c>
      <c r="Y2455">
        <v>0</v>
      </c>
      <c r="Z2455">
        <v>0</v>
      </c>
      <c r="AA2455">
        <v>0</v>
      </c>
      <c r="AB2455">
        <v>0</v>
      </c>
      <c r="AC2455">
        <v>0</v>
      </c>
      <c r="AD2455">
        <v>0</v>
      </c>
      <c r="AE2455">
        <v>0</v>
      </c>
      <c r="AF2455">
        <v>0</v>
      </c>
      <c r="AG2455">
        <v>0</v>
      </c>
      <c r="AH2455">
        <v>0</v>
      </c>
      <c r="AI2455">
        <v>0</v>
      </c>
      <c r="AJ2455">
        <v>0</v>
      </c>
      <c r="AK2455">
        <v>0</v>
      </c>
      <c r="AL2455">
        <v>0</v>
      </c>
      <c r="AM2455">
        <v>0</v>
      </c>
      <c r="AN2455">
        <v>0</v>
      </c>
      <c r="AO2455">
        <v>0</v>
      </c>
      <c r="AP2455">
        <v>0</v>
      </c>
      <c r="AQ2455">
        <v>16.7</v>
      </c>
      <c r="AR2455">
        <v>0</v>
      </c>
      <c r="AS2455">
        <v>0</v>
      </c>
      <c r="AT2455">
        <v>0</v>
      </c>
      <c r="AU2455">
        <v>0</v>
      </c>
      <c r="AV2455">
        <v>0</v>
      </c>
      <c r="AW2455">
        <v>0</v>
      </c>
      <c r="AX2455">
        <v>0</v>
      </c>
      <c r="AY2455">
        <v>0</v>
      </c>
      <c r="AZ2455">
        <v>0</v>
      </c>
      <c r="BA2455">
        <v>0</v>
      </c>
      <c r="BB2455">
        <v>0</v>
      </c>
      <c r="BC2455">
        <v>0</v>
      </c>
      <c r="BD2455">
        <v>0</v>
      </c>
      <c r="BE2455">
        <v>0</v>
      </c>
      <c r="BF2455">
        <v>0</v>
      </c>
      <c r="BG2455">
        <v>0</v>
      </c>
      <c r="BH2455">
        <v>1</v>
      </c>
      <c r="BI2455">
        <v>3</v>
      </c>
      <c r="BJ2455">
        <v>1.9</v>
      </c>
      <c r="BK2455">
        <v>3</v>
      </c>
      <c r="BL2455">
        <v>54.66</v>
      </c>
      <c r="BM2455">
        <v>8.1999999999999993</v>
      </c>
      <c r="BN2455">
        <v>62.86</v>
      </c>
      <c r="BO2455">
        <v>62.86</v>
      </c>
      <c r="BQ2455" t="s">
        <v>391</v>
      </c>
      <c r="BR2455" t="s">
        <v>84</v>
      </c>
      <c r="BS2455" s="3">
        <v>45798</v>
      </c>
      <c r="BT2455" s="4">
        <v>0.35902777777777778</v>
      </c>
      <c r="BU2455" t="s">
        <v>1660</v>
      </c>
      <c r="BV2455" t="s">
        <v>86</v>
      </c>
      <c r="BY2455">
        <v>9600</v>
      </c>
      <c r="CA2455" t="s">
        <v>115</v>
      </c>
      <c r="CC2455" t="s">
        <v>76</v>
      </c>
      <c r="CD2455">
        <v>1600</v>
      </c>
      <c r="CE2455" t="s">
        <v>96</v>
      </c>
      <c r="CF2455" s="3">
        <v>45798</v>
      </c>
      <c r="CI2455">
        <v>1</v>
      </c>
      <c r="CJ2455">
        <v>1</v>
      </c>
      <c r="CK2455">
        <v>22</v>
      </c>
      <c r="CL2455" t="s">
        <v>89</v>
      </c>
    </row>
    <row r="2456" spans="1:90" x14ac:dyDescent="0.3">
      <c r="A2456" t="s">
        <v>72</v>
      </c>
      <c r="B2456" t="s">
        <v>73</v>
      </c>
      <c r="C2456" t="s">
        <v>74</v>
      </c>
      <c r="E2456" t="str">
        <f>"080065471130"</f>
        <v>080065471130</v>
      </c>
      <c r="F2456" s="3">
        <v>45797</v>
      </c>
      <c r="G2456">
        <v>202602</v>
      </c>
      <c r="H2456" t="s">
        <v>75</v>
      </c>
      <c r="I2456" t="s">
        <v>76</v>
      </c>
      <c r="J2456" t="s">
        <v>77</v>
      </c>
      <c r="K2456" t="s">
        <v>78</v>
      </c>
      <c r="L2456" t="s">
        <v>79</v>
      </c>
      <c r="M2456" t="s">
        <v>80</v>
      </c>
      <c r="N2456" t="s">
        <v>1111</v>
      </c>
      <c r="O2456" t="s">
        <v>82</v>
      </c>
      <c r="P2456" t="str">
        <f>"4170039637                    "</f>
        <v xml:space="preserve">4170039637                    </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c r="AJ2456">
        <v>0</v>
      </c>
      <c r="AK2456">
        <v>0</v>
      </c>
      <c r="AL2456">
        <v>0</v>
      </c>
      <c r="AM2456">
        <v>0</v>
      </c>
      <c r="AN2456">
        <v>0</v>
      </c>
      <c r="AO2456">
        <v>0</v>
      </c>
      <c r="AP2456">
        <v>0</v>
      </c>
      <c r="AQ2456">
        <v>21.38</v>
      </c>
      <c r="AR2456">
        <v>0</v>
      </c>
      <c r="AS2456">
        <v>0</v>
      </c>
      <c r="AT2456">
        <v>0</v>
      </c>
      <c r="AU2456">
        <v>0</v>
      </c>
      <c r="AV2456">
        <v>0</v>
      </c>
      <c r="AW2456">
        <v>0</v>
      </c>
      <c r="AX2456">
        <v>0</v>
      </c>
      <c r="AY2456">
        <v>0</v>
      </c>
      <c r="AZ2456">
        <v>0</v>
      </c>
      <c r="BA2456">
        <v>0</v>
      </c>
      <c r="BB2456">
        <v>0</v>
      </c>
      <c r="BC2456">
        <v>0</v>
      </c>
      <c r="BD2456">
        <v>0</v>
      </c>
      <c r="BE2456">
        <v>0</v>
      </c>
      <c r="BF2456">
        <v>0</v>
      </c>
      <c r="BG2456">
        <v>0</v>
      </c>
      <c r="BH2456">
        <v>1</v>
      </c>
      <c r="BI2456">
        <v>2</v>
      </c>
      <c r="BJ2456">
        <v>1.9</v>
      </c>
      <c r="BK2456">
        <v>2</v>
      </c>
      <c r="BL2456">
        <v>69.98</v>
      </c>
      <c r="BM2456">
        <v>10.5</v>
      </c>
      <c r="BN2456">
        <v>80.48</v>
      </c>
      <c r="BO2456">
        <v>80.48</v>
      </c>
      <c r="BQ2456" t="s">
        <v>1112</v>
      </c>
      <c r="BR2456" t="s">
        <v>84</v>
      </c>
      <c r="BS2456" s="3">
        <v>45798</v>
      </c>
      <c r="BT2456" s="4">
        <v>0.37986111111111109</v>
      </c>
      <c r="BU2456" t="s">
        <v>2717</v>
      </c>
      <c r="BV2456" t="s">
        <v>86</v>
      </c>
      <c r="BY2456">
        <v>9600</v>
      </c>
      <c r="CC2456" t="s">
        <v>80</v>
      </c>
      <c r="CD2456">
        <v>3610</v>
      </c>
      <c r="CE2456" t="s">
        <v>96</v>
      </c>
      <c r="CF2456" s="3">
        <v>45798</v>
      </c>
      <c r="CI2456">
        <v>1</v>
      </c>
      <c r="CJ2456">
        <v>1</v>
      </c>
      <c r="CK2456">
        <v>21</v>
      </c>
      <c r="CL2456" t="s">
        <v>89</v>
      </c>
    </row>
    <row r="2457" spans="1:90" x14ac:dyDescent="0.3">
      <c r="A2457" t="s">
        <v>72</v>
      </c>
      <c r="B2457" t="s">
        <v>73</v>
      </c>
      <c r="C2457" t="s">
        <v>74</v>
      </c>
      <c r="E2457" t="str">
        <f>"080065471194"</f>
        <v>080065471194</v>
      </c>
      <c r="F2457" s="3">
        <v>45797</v>
      </c>
      <c r="G2457">
        <v>202602</v>
      </c>
      <c r="H2457" t="s">
        <v>75</v>
      </c>
      <c r="I2457" t="s">
        <v>76</v>
      </c>
      <c r="J2457" t="s">
        <v>77</v>
      </c>
      <c r="K2457" t="s">
        <v>78</v>
      </c>
      <c r="L2457" t="s">
        <v>90</v>
      </c>
      <c r="M2457" t="s">
        <v>91</v>
      </c>
      <c r="N2457" t="s">
        <v>543</v>
      </c>
      <c r="O2457" t="s">
        <v>82</v>
      </c>
      <c r="P2457" t="str">
        <f>"4170039638                    "</f>
        <v xml:space="preserve">4170039638                    </v>
      </c>
      <c r="Q2457">
        <v>0</v>
      </c>
      <c r="R2457">
        <v>0</v>
      </c>
      <c r="S2457">
        <v>0</v>
      </c>
      <c r="T2457">
        <v>0</v>
      </c>
      <c r="U2457">
        <v>0</v>
      </c>
      <c r="V2457">
        <v>0</v>
      </c>
      <c r="W2457">
        <v>0</v>
      </c>
      <c r="X2457">
        <v>0</v>
      </c>
      <c r="Y2457">
        <v>0</v>
      </c>
      <c r="Z2457">
        <v>0</v>
      </c>
      <c r="AA2457">
        <v>0</v>
      </c>
      <c r="AB2457">
        <v>0</v>
      </c>
      <c r="AC2457">
        <v>0</v>
      </c>
      <c r="AD2457">
        <v>0</v>
      </c>
      <c r="AE2457">
        <v>0</v>
      </c>
      <c r="AF2457">
        <v>0</v>
      </c>
      <c r="AG2457">
        <v>0</v>
      </c>
      <c r="AH2457">
        <v>0</v>
      </c>
      <c r="AI2457">
        <v>0</v>
      </c>
      <c r="AJ2457">
        <v>0</v>
      </c>
      <c r="AK2457">
        <v>0</v>
      </c>
      <c r="AL2457">
        <v>0</v>
      </c>
      <c r="AM2457">
        <v>0</v>
      </c>
      <c r="AN2457">
        <v>0</v>
      </c>
      <c r="AO2457">
        <v>0</v>
      </c>
      <c r="AP2457">
        <v>0</v>
      </c>
      <c r="AQ2457">
        <v>21.38</v>
      </c>
      <c r="AR2457">
        <v>0</v>
      </c>
      <c r="AS2457">
        <v>0</v>
      </c>
      <c r="AT2457">
        <v>0</v>
      </c>
      <c r="AU2457">
        <v>0</v>
      </c>
      <c r="AV2457">
        <v>0</v>
      </c>
      <c r="AW2457">
        <v>0</v>
      </c>
      <c r="AX2457">
        <v>0</v>
      </c>
      <c r="AY2457">
        <v>0</v>
      </c>
      <c r="AZ2457">
        <v>0</v>
      </c>
      <c r="BA2457">
        <v>0</v>
      </c>
      <c r="BB2457">
        <v>0</v>
      </c>
      <c r="BC2457">
        <v>0</v>
      </c>
      <c r="BD2457">
        <v>0</v>
      </c>
      <c r="BE2457">
        <v>0</v>
      </c>
      <c r="BF2457">
        <v>0</v>
      </c>
      <c r="BG2457">
        <v>0</v>
      </c>
      <c r="BH2457">
        <v>1</v>
      </c>
      <c r="BI2457">
        <v>2</v>
      </c>
      <c r="BJ2457">
        <v>1.4</v>
      </c>
      <c r="BK2457">
        <v>2</v>
      </c>
      <c r="BL2457">
        <v>69.98</v>
      </c>
      <c r="BM2457">
        <v>10.5</v>
      </c>
      <c r="BN2457">
        <v>80.48</v>
      </c>
      <c r="BO2457">
        <v>80.48</v>
      </c>
      <c r="BQ2457" t="s">
        <v>544</v>
      </c>
      <c r="BR2457" t="s">
        <v>84</v>
      </c>
      <c r="BS2457" s="3">
        <v>45798</v>
      </c>
      <c r="BT2457" s="4">
        <v>0.36944444444444446</v>
      </c>
      <c r="BU2457" t="s">
        <v>1764</v>
      </c>
      <c r="BV2457" t="s">
        <v>86</v>
      </c>
      <c r="BY2457">
        <v>7000</v>
      </c>
      <c r="CA2457" t="s">
        <v>283</v>
      </c>
      <c r="CC2457" t="s">
        <v>91</v>
      </c>
      <c r="CD2457">
        <v>6001</v>
      </c>
      <c r="CE2457" t="s">
        <v>96</v>
      </c>
      <c r="CF2457" s="3">
        <v>45798</v>
      </c>
      <c r="CI2457">
        <v>1</v>
      </c>
      <c r="CJ2457">
        <v>1</v>
      </c>
      <c r="CK2457">
        <v>21</v>
      </c>
      <c r="CL2457" t="s">
        <v>89</v>
      </c>
    </row>
    <row r="2458" spans="1:90" x14ac:dyDescent="0.3">
      <c r="A2458" t="s">
        <v>72</v>
      </c>
      <c r="B2458" t="s">
        <v>73</v>
      </c>
      <c r="C2458" t="s">
        <v>74</v>
      </c>
      <c r="E2458" t="str">
        <f>"080065471266"</f>
        <v>080065471266</v>
      </c>
      <c r="F2458" s="3">
        <v>45797</v>
      </c>
      <c r="G2458">
        <v>202602</v>
      </c>
      <c r="H2458" t="s">
        <v>75</v>
      </c>
      <c r="I2458" t="s">
        <v>76</v>
      </c>
      <c r="J2458" t="s">
        <v>77</v>
      </c>
      <c r="K2458" t="s">
        <v>78</v>
      </c>
      <c r="L2458" t="s">
        <v>79</v>
      </c>
      <c r="M2458" t="s">
        <v>80</v>
      </c>
      <c r="N2458" t="s">
        <v>862</v>
      </c>
      <c r="O2458" t="s">
        <v>82</v>
      </c>
      <c r="P2458" t="str">
        <f>"4170039627                    "</f>
        <v xml:space="preserve">4170039627                    </v>
      </c>
      <c r="Q2458">
        <v>0</v>
      </c>
      <c r="R2458">
        <v>0</v>
      </c>
      <c r="S2458">
        <v>0</v>
      </c>
      <c r="T2458">
        <v>0</v>
      </c>
      <c r="U2458">
        <v>0</v>
      </c>
      <c r="V2458">
        <v>0</v>
      </c>
      <c r="W2458">
        <v>0</v>
      </c>
      <c r="X2458">
        <v>0</v>
      </c>
      <c r="Y2458">
        <v>0</v>
      </c>
      <c r="Z2458">
        <v>0</v>
      </c>
      <c r="AA2458">
        <v>0</v>
      </c>
      <c r="AB2458">
        <v>0</v>
      </c>
      <c r="AC2458">
        <v>0</v>
      </c>
      <c r="AD2458">
        <v>0</v>
      </c>
      <c r="AE2458">
        <v>0</v>
      </c>
      <c r="AF2458">
        <v>0</v>
      </c>
      <c r="AG2458">
        <v>0</v>
      </c>
      <c r="AH2458">
        <v>0</v>
      </c>
      <c r="AI2458">
        <v>0</v>
      </c>
      <c r="AJ2458">
        <v>0</v>
      </c>
      <c r="AK2458">
        <v>0</v>
      </c>
      <c r="AL2458">
        <v>0</v>
      </c>
      <c r="AM2458">
        <v>0</v>
      </c>
      <c r="AN2458">
        <v>0</v>
      </c>
      <c r="AO2458">
        <v>0</v>
      </c>
      <c r="AP2458">
        <v>0</v>
      </c>
      <c r="AQ2458">
        <v>21.38</v>
      </c>
      <c r="AR2458">
        <v>0</v>
      </c>
      <c r="AS2458">
        <v>0</v>
      </c>
      <c r="AT2458">
        <v>0</v>
      </c>
      <c r="AU2458">
        <v>0</v>
      </c>
      <c r="AV2458">
        <v>0</v>
      </c>
      <c r="AW2458">
        <v>0</v>
      </c>
      <c r="AX2458">
        <v>0</v>
      </c>
      <c r="AY2458">
        <v>0</v>
      </c>
      <c r="AZ2458">
        <v>0</v>
      </c>
      <c r="BA2458">
        <v>0</v>
      </c>
      <c r="BB2458">
        <v>0</v>
      </c>
      <c r="BC2458">
        <v>0</v>
      </c>
      <c r="BD2458">
        <v>0</v>
      </c>
      <c r="BE2458">
        <v>0</v>
      </c>
      <c r="BF2458">
        <v>0</v>
      </c>
      <c r="BG2458">
        <v>0</v>
      </c>
      <c r="BH2458">
        <v>1</v>
      </c>
      <c r="BI2458">
        <v>1</v>
      </c>
      <c r="BJ2458">
        <v>1.7</v>
      </c>
      <c r="BK2458">
        <v>2</v>
      </c>
      <c r="BL2458">
        <v>69.98</v>
      </c>
      <c r="BM2458">
        <v>10.5</v>
      </c>
      <c r="BN2458">
        <v>80.48</v>
      </c>
      <c r="BO2458">
        <v>80.48</v>
      </c>
      <c r="BQ2458" t="s">
        <v>863</v>
      </c>
      <c r="BR2458" t="s">
        <v>84</v>
      </c>
      <c r="BS2458" s="3">
        <v>45798</v>
      </c>
      <c r="BT2458" s="4">
        <v>0.42708333333333331</v>
      </c>
      <c r="BU2458" t="s">
        <v>864</v>
      </c>
      <c r="BV2458" t="s">
        <v>86</v>
      </c>
      <c r="BY2458">
        <v>8512</v>
      </c>
      <c r="CA2458" t="s">
        <v>160</v>
      </c>
      <c r="CC2458" t="s">
        <v>80</v>
      </c>
      <c r="CD2458">
        <v>3610</v>
      </c>
      <c r="CE2458" t="s">
        <v>116</v>
      </c>
      <c r="CF2458" s="3">
        <v>45798</v>
      </c>
      <c r="CI2458">
        <v>1</v>
      </c>
      <c r="CJ2458">
        <v>1</v>
      </c>
      <c r="CK2458">
        <v>21</v>
      </c>
      <c r="CL2458" t="s">
        <v>89</v>
      </c>
    </row>
    <row r="2459" spans="1:90" x14ac:dyDescent="0.3">
      <c r="A2459" t="s">
        <v>72</v>
      </c>
      <c r="B2459" t="s">
        <v>73</v>
      </c>
      <c r="C2459" t="s">
        <v>74</v>
      </c>
      <c r="E2459" t="str">
        <f>"080065471310"</f>
        <v>080065471310</v>
      </c>
      <c r="F2459" s="3">
        <v>45797</v>
      </c>
      <c r="G2459">
        <v>202602</v>
      </c>
      <c r="H2459" t="s">
        <v>75</v>
      </c>
      <c r="I2459" t="s">
        <v>76</v>
      </c>
      <c r="J2459" t="s">
        <v>77</v>
      </c>
      <c r="K2459" t="s">
        <v>78</v>
      </c>
      <c r="L2459" t="s">
        <v>75</v>
      </c>
      <c r="M2459" t="s">
        <v>76</v>
      </c>
      <c r="N2459" t="s">
        <v>112</v>
      </c>
      <c r="O2459" t="s">
        <v>82</v>
      </c>
      <c r="P2459" t="str">
        <f>"4170039568                    "</f>
        <v xml:space="preserve">4170039568                    </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c r="AI2459">
        <v>0</v>
      </c>
      <c r="AJ2459">
        <v>0</v>
      </c>
      <c r="AK2459">
        <v>0</v>
      </c>
      <c r="AL2459">
        <v>0</v>
      </c>
      <c r="AM2459">
        <v>0</v>
      </c>
      <c r="AN2459">
        <v>0</v>
      </c>
      <c r="AO2459">
        <v>0</v>
      </c>
      <c r="AP2459">
        <v>0</v>
      </c>
      <c r="AQ2459">
        <v>16.7</v>
      </c>
      <c r="AR2459">
        <v>0</v>
      </c>
      <c r="AS2459">
        <v>0</v>
      </c>
      <c r="AT2459">
        <v>0</v>
      </c>
      <c r="AU2459">
        <v>0</v>
      </c>
      <c r="AV2459">
        <v>0</v>
      </c>
      <c r="AW2459">
        <v>0</v>
      </c>
      <c r="AX2459">
        <v>0</v>
      </c>
      <c r="AY2459">
        <v>0</v>
      </c>
      <c r="AZ2459">
        <v>0</v>
      </c>
      <c r="BA2459">
        <v>0</v>
      </c>
      <c r="BB2459">
        <v>0</v>
      </c>
      <c r="BC2459">
        <v>0</v>
      </c>
      <c r="BD2459">
        <v>0</v>
      </c>
      <c r="BE2459">
        <v>0</v>
      </c>
      <c r="BF2459">
        <v>0</v>
      </c>
      <c r="BG2459">
        <v>0</v>
      </c>
      <c r="BH2459">
        <v>1</v>
      </c>
      <c r="BI2459">
        <v>3</v>
      </c>
      <c r="BJ2459">
        <v>3.2</v>
      </c>
      <c r="BK2459">
        <v>4</v>
      </c>
      <c r="BL2459">
        <v>54.66</v>
      </c>
      <c r="BM2459">
        <v>8.1999999999999993</v>
      </c>
      <c r="BN2459">
        <v>62.86</v>
      </c>
      <c r="BO2459">
        <v>62.86</v>
      </c>
      <c r="BQ2459" t="s">
        <v>113</v>
      </c>
      <c r="BR2459" t="s">
        <v>84</v>
      </c>
      <c r="BS2459" s="3">
        <v>45798</v>
      </c>
      <c r="BT2459" s="4">
        <v>0.39513888888888887</v>
      </c>
      <c r="BU2459" t="s">
        <v>2553</v>
      </c>
      <c r="BV2459" t="s">
        <v>86</v>
      </c>
      <c r="BY2459">
        <v>16128</v>
      </c>
      <c r="CA2459" t="s">
        <v>115</v>
      </c>
      <c r="CC2459" t="s">
        <v>76</v>
      </c>
      <c r="CD2459">
        <v>1624</v>
      </c>
      <c r="CE2459" t="s">
        <v>96</v>
      </c>
      <c r="CF2459" s="3">
        <v>45798</v>
      </c>
      <c r="CI2459">
        <v>1</v>
      </c>
      <c r="CJ2459">
        <v>1</v>
      </c>
      <c r="CK2459">
        <v>22</v>
      </c>
      <c r="CL2459" t="s">
        <v>89</v>
      </c>
    </row>
    <row r="2460" spans="1:90" x14ac:dyDescent="0.3">
      <c r="A2460" t="s">
        <v>72</v>
      </c>
      <c r="B2460" t="s">
        <v>73</v>
      </c>
      <c r="C2460" t="s">
        <v>74</v>
      </c>
      <c r="E2460" t="str">
        <f>"080065471355"</f>
        <v>080065471355</v>
      </c>
      <c r="F2460" s="3">
        <v>45797</v>
      </c>
      <c r="G2460">
        <v>202602</v>
      </c>
      <c r="H2460" t="s">
        <v>75</v>
      </c>
      <c r="I2460" t="s">
        <v>76</v>
      </c>
      <c r="J2460" t="s">
        <v>77</v>
      </c>
      <c r="K2460" t="s">
        <v>78</v>
      </c>
      <c r="L2460" t="s">
        <v>79</v>
      </c>
      <c r="M2460" t="s">
        <v>80</v>
      </c>
      <c r="N2460" t="s">
        <v>2710</v>
      </c>
      <c r="O2460" t="s">
        <v>82</v>
      </c>
      <c r="P2460" t="str">
        <f>"4170039529                    "</f>
        <v xml:space="preserve">4170039529                    </v>
      </c>
      <c r="Q2460">
        <v>0</v>
      </c>
      <c r="R2460">
        <v>0</v>
      </c>
      <c r="S2460">
        <v>0</v>
      </c>
      <c r="T2460">
        <v>0</v>
      </c>
      <c r="U2460">
        <v>0</v>
      </c>
      <c r="V2460">
        <v>0</v>
      </c>
      <c r="W2460">
        <v>0</v>
      </c>
      <c r="X2460">
        <v>0</v>
      </c>
      <c r="Y2460">
        <v>0</v>
      </c>
      <c r="Z2460">
        <v>0</v>
      </c>
      <c r="AA2460">
        <v>0</v>
      </c>
      <c r="AB2460">
        <v>0</v>
      </c>
      <c r="AC2460">
        <v>0</v>
      </c>
      <c r="AD2460">
        <v>0</v>
      </c>
      <c r="AE2460">
        <v>0</v>
      </c>
      <c r="AF2460">
        <v>0</v>
      </c>
      <c r="AG2460">
        <v>0</v>
      </c>
      <c r="AH2460">
        <v>0</v>
      </c>
      <c r="AI2460">
        <v>0</v>
      </c>
      <c r="AJ2460">
        <v>0</v>
      </c>
      <c r="AK2460">
        <v>0</v>
      </c>
      <c r="AL2460">
        <v>0</v>
      </c>
      <c r="AM2460">
        <v>0</v>
      </c>
      <c r="AN2460">
        <v>0</v>
      </c>
      <c r="AO2460">
        <v>0</v>
      </c>
      <c r="AP2460">
        <v>0</v>
      </c>
      <c r="AQ2460">
        <v>21.38</v>
      </c>
      <c r="AR2460">
        <v>0</v>
      </c>
      <c r="AS2460">
        <v>0</v>
      </c>
      <c r="AT2460">
        <v>0</v>
      </c>
      <c r="AU2460">
        <v>0</v>
      </c>
      <c r="AV2460">
        <v>0</v>
      </c>
      <c r="AW2460">
        <v>0</v>
      </c>
      <c r="AX2460">
        <v>0</v>
      </c>
      <c r="AY2460">
        <v>0</v>
      </c>
      <c r="AZ2460">
        <v>0</v>
      </c>
      <c r="BA2460">
        <v>0</v>
      </c>
      <c r="BB2460">
        <v>0</v>
      </c>
      <c r="BC2460">
        <v>0</v>
      </c>
      <c r="BD2460">
        <v>0</v>
      </c>
      <c r="BE2460">
        <v>0</v>
      </c>
      <c r="BF2460">
        <v>0</v>
      </c>
      <c r="BG2460">
        <v>0</v>
      </c>
      <c r="BH2460">
        <v>1</v>
      </c>
      <c r="BI2460">
        <v>1</v>
      </c>
      <c r="BJ2460">
        <v>1.4</v>
      </c>
      <c r="BK2460">
        <v>1.5</v>
      </c>
      <c r="BL2460">
        <v>69.98</v>
      </c>
      <c r="BM2460">
        <v>10.5</v>
      </c>
      <c r="BN2460">
        <v>80.48</v>
      </c>
      <c r="BO2460">
        <v>80.48</v>
      </c>
      <c r="BQ2460" t="s">
        <v>2711</v>
      </c>
      <c r="BR2460" t="s">
        <v>84</v>
      </c>
      <c r="BS2460" s="3">
        <v>45798</v>
      </c>
      <c r="BT2460" s="4">
        <v>0.43680555555555556</v>
      </c>
      <c r="BU2460" t="s">
        <v>2712</v>
      </c>
      <c r="BV2460" t="s">
        <v>86</v>
      </c>
      <c r="BY2460">
        <v>7000</v>
      </c>
      <c r="CA2460" t="s">
        <v>418</v>
      </c>
      <c r="CC2460" t="s">
        <v>80</v>
      </c>
      <c r="CD2460">
        <v>3608</v>
      </c>
      <c r="CE2460" t="s">
        <v>96</v>
      </c>
      <c r="CF2460" s="3">
        <v>45798</v>
      </c>
      <c r="CI2460">
        <v>1</v>
      </c>
      <c r="CJ2460">
        <v>1</v>
      </c>
      <c r="CK2460">
        <v>21</v>
      </c>
      <c r="CL2460" t="s">
        <v>89</v>
      </c>
    </row>
    <row r="2461" spans="1:90" x14ac:dyDescent="0.3">
      <c r="A2461" t="s">
        <v>72</v>
      </c>
      <c r="B2461" t="s">
        <v>73</v>
      </c>
      <c r="C2461" t="s">
        <v>74</v>
      </c>
      <c r="E2461" t="str">
        <f>"080065471380"</f>
        <v>080065471380</v>
      </c>
      <c r="F2461" s="3">
        <v>45797</v>
      </c>
      <c r="G2461">
        <v>202602</v>
      </c>
      <c r="H2461" t="s">
        <v>75</v>
      </c>
      <c r="I2461" t="s">
        <v>76</v>
      </c>
      <c r="J2461" t="s">
        <v>77</v>
      </c>
      <c r="K2461" t="s">
        <v>78</v>
      </c>
      <c r="L2461" t="s">
        <v>79</v>
      </c>
      <c r="M2461" t="s">
        <v>80</v>
      </c>
      <c r="N2461" t="s">
        <v>415</v>
      </c>
      <c r="O2461" t="s">
        <v>82</v>
      </c>
      <c r="P2461" t="str">
        <f>"4170039555                    "</f>
        <v xml:space="preserve">4170039555                    </v>
      </c>
      <c r="Q2461">
        <v>0</v>
      </c>
      <c r="R2461">
        <v>0</v>
      </c>
      <c r="S2461">
        <v>0</v>
      </c>
      <c r="T2461">
        <v>0</v>
      </c>
      <c r="U2461">
        <v>0</v>
      </c>
      <c r="V2461">
        <v>0</v>
      </c>
      <c r="W2461">
        <v>0</v>
      </c>
      <c r="X2461">
        <v>0</v>
      </c>
      <c r="Y2461">
        <v>0</v>
      </c>
      <c r="Z2461">
        <v>0</v>
      </c>
      <c r="AA2461">
        <v>0</v>
      </c>
      <c r="AB2461">
        <v>0</v>
      </c>
      <c r="AC2461">
        <v>0</v>
      </c>
      <c r="AD2461">
        <v>0</v>
      </c>
      <c r="AE2461">
        <v>0</v>
      </c>
      <c r="AF2461">
        <v>0</v>
      </c>
      <c r="AG2461">
        <v>0</v>
      </c>
      <c r="AH2461">
        <v>0</v>
      </c>
      <c r="AI2461">
        <v>0</v>
      </c>
      <c r="AJ2461">
        <v>0</v>
      </c>
      <c r="AK2461">
        <v>0</v>
      </c>
      <c r="AL2461">
        <v>0</v>
      </c>
      <c r="AM2461">
        <v>0</v>
      </c>
      <c r="AN2461">
        <v>0</v>
      </c>
      <c r="AO2461">
        <v>0</v>
      </c>
      <c r="AP2461">
        <v>0</v>
      </c>
      <c r="AQ2461">
        <v>21.38</v>
      </c>
      <c r="AR2461">
        <v>0</v>
      </c>
      <c r="AS2461">
        <v>0</v>
      </c>
      <c r="AT2461">
        <v>0</v>
      </c>
      <c r="AU2461">
        <v>0</v>
      </c>
      <c r="AV2461">
        <v>0</v>
      </c>
      <c r="AW2461">
        <v>0</v>
      </c>
      <c r="AX2461">
        <v>0</v>
      </c>
      <c r="AY2461">
        <v>0</v>
      </c>
      <c r="AZ2461">
        <v>0</v>
      </c>
      <c r="BA2461">
        <v>0</v>
      </c>
      <c r="BB2461">
        <v>0</v>
      </c>
      <c r="BC2461">
        <v>0</v>
      </c>
      <c r="BD2461">
        <v>0</v>
      </c>
      <c r="BE2461">
        <v>0</v>
      </c>
      <c r="BF2461">
        <v>0</v>
      </c>
      <c r="BG2461">
        <v>0</v>
      </c>
      <c r="BH2461">
        <v>1</v>
      </c>
      <c r="BI2461">
        <v>1</v>
      </c>
      <c r="BJ2461">
        <v>1.4</v>
      </c>
      <c r="BK2461">
        <v>1.5</v>
      </c>
      <c r="BL2461">
        <v>69.98</v>
      </c>
      <c r="BM2461">
        <v>10.5</v>
      </c>
      <c r="BN2461">
        <v>80.48</v>
      </c>
      <c r="BO2461">
        <v>80.48</v>
      </c>
      <c r="BQ2461" t="s">
        <v>416</v>
      </c>
      <c r="BR2461" t="s">
        <v>84</v>
      </c>
      <c r="BS2461" s="3">
        <v>45798</v>
      </c>
      <c r="BT2461" s="4">
        <v>0.42569444444444443</v>
      </c>
      <c r="BU2461" t="s">
        <v>417</v>
      </c>
      <c r="BV2461" t="s">
        <v>86</v>
      </c>
      <c r="BY2461">
        <v>7000</v>
      </c>
      <c r="CA2461" t="s">
        <v>418</v>
      </c>
      <c r="CC2461" t="s">
        <v>80</v>
      </c>
      <c r="CD2461">
        <v>3610</v>
      </c>
      <c r="CE2461" t="s">
        <v>96</v>
      </c>
      <c r="CF2461" s="3">
        <v>45798</v>
      </c>
      <c r="CI2461">
        <v>1</v>
      </c>
      <c r="CJ2461">
        <v>1</v>
      </c>
      <c r="CK2461">
        <v>21</v>
      </c>
      <c r="CL2461" t="s">
        <v>89</v>
      </c>
    </row>
    <row r="2462" spans="1:90" x14ac:dyDescent="0.3">
      <c r="A2462" t="s">
        <v>72</v>
      </c>
      <c r="B2462" t="s">
        <v>73</v>
      </c>
      <c r="C2462" t="s">
        <v>74</v>
      </c>
      <c r="E2462" t="str">
        <f>"080065471422"</f>
        <v>080065471422</v>
      </c>
      <c r="F2462" s="3">
        <v>45797</v>
      </c>
      <c r="G2462">
        <v>202602</v>
      </c>
      <c r="H2462" t="s">
        <v>75</v>
      </c>
      <c r="I2462" t="s">
        <v>76</v>
      </c>
      <c r="J2462" t="s">
        <v>77</v>
      </c>
      <c r="K2462" t="s">
        <v>78</v>
      </c>
      <c r="L2462" t="s">
        <v>130</v>
      </c>
      <c r="M2462" t="s">
        <v>131</v>
      </c>
      <c r="N2462" t="s">
        <v>909</v>
      </c>
      <c r="O2462" t="s">
        <v>82</v>
      </c>
      <c r="P2462" t="str">
        <f>"4170039625                    "</f>
        <v xml:space="preserve">4170039625                    </v>
      </c>
      <c r="Q2462">
        <v>0</v>
      </c>
      <c r="R2462">
        <v>0</v>
      </c>
      <c r="S2462">
        <v>0</v>
      </c>
      <c r="T2462">
        <v>0</v>
      </c>
      <c r="U2462">
        <v>0</v>
      </c>
      <c r="V2462">
        <v>0</v>
      </c>
      <c r="W2462">
        <v>0</v>
      </c>
      <c r="X2462">
        <v>0</v>
      </c>
      <c r="Y2462">
        <v>0</v>
      </c>
      <c r="Z2462">
        <v>0</v>
      </c>
      <c r="AA2462">
        <v>0</v>
      </c>
      <c r="AB2462">
        <v>0</v>
      </c>
      <c r="AC2462">
        <v>0</v>
      </c>
      <c r="AD2462">
        <v>0</v>
      </c>
      <c r="AE2462">
        <v>0</v>
      </c>
      <c r="AF2462">
        <v>0</v>
      </c>
      <c r="AG2462">
        <v>0</v>
      </c>
      <c r="AH2462">
        <v>0</v>
      </c>
      <c r="AI2462">
        <v>0</v>
      </c>
      <c r="AJ2462">
        <v>0</v>
      </c>
      <c r="AK2462">
        <v>0</v>
      </c>
      <c r="AL2462">
        <v>0</v>
      </c>
      <c r="AM2462">
        <v>0</v>
      </c>
      <c r="AN2462">
        <v>0</v>
      </c>
      <c r="AO2462">
        <v>0</v>
      </c>
      <c r="AP2462">
        <v>0</v>
      </c>
      <c r="AQ2462">
        <v>21.38</v>
      </c>
      <c r="AR2462">
        <v>0</v>
      </c>
      <c r="AS2462">
        <v>0</v>
      </c>
      <c r="AT2462">
        <v>0</v>
      </c>
      <c r="AU2462">
        <v>0</v>
      </c>
      <c r="AV2462">
        <v>0</v>
      </c>
      <c r="AW2462">
        <v>0</v>
      </c>
      <c r="AX2462">
        <v>0</v>
      </c>
      <c r="AY2462">
        <v>0</v>
      </c>
      <c r="AZ2462">
        <v>0</v>
      </c>
      <c r="BA2462">
        <v>0</v>
      </c>
      <c r="BB2462">
        <v>0</v>
      </c>
      <c r="BC2462">
        <v>0</v>
      </c>
      <c r="BD2462">
        <v>0</v>
      </c>
      <c r="BE2462">
        <v>0</v>
      </c>
      <c r="BF2462">
        <v>0</v>
      </c>
      <c r="BG2462">
        <v>0</v>
      </c>
      <c r="BH2462">
        <v>1</v>
      </c>
      <c r="BI2462">
        <v>1</v>
      </c>
      <c r="BJ2462">
        <v>0.9</v>
      </c>
      <c r="BK2462">
        <v>1</v>
      </c>
      <c r="BL2462">
        <v>69.98</v>
      </c>
      <c r="BM2462">
        <v>10.5</v>
      </c>
      <c r="BN2462">
        <v>80.48</v>
      </c>
      <c r="BO2462">
        <v>80.48</v>
      </c>
      <c r="BQ2462" t="s">
        <v>910</v>
      </c>
      <c r="BR2462" t="s">
        <v>84</v>
      </c>
      <c r="BS2462" s="3">
        <v>45798</v>
      </c>
      <c r="BT2462" s="4">
        <v>0.34375</v>
      </c>
      <c r="BU2462" t="s">
        <v>938</v>
      </c>
      <c r="BV2462" t="s">
        <v>86</v>
      </c>
      <c r="BY2462">
        <v>4560</v>
      </c>
      <c r="CA2462" t="s">
        <v>712</v>
      </c>
      <c r="CC2462" t="s">
        <v>131</v>
      </c>
      <c r="CD2462">
        <v>7530</v>
      </c>
      <c r="CE2462" t="s">
        <v>116</v>
      </c>
      <c r="CF2462" s="3">
        <v>45799</v>
      </c>
      <c r="CI2462">
        <v>1</v>
      </c>
      <c r="CJ2462">
        <v>1</v>
      </c>
      <c r="CK2462">
        <v>21</v>
      </c>
      <c r="CL2462" t="s">
        <v>89</v>
      </c>
    </row>
    <row r="2463" spans="1:90" x14ac:dyDescent="0.3">
      <c r="A2463" t="s">
        <v>72</v>
      </c>
      <c r="B2463" t="s">
        <v>73</v>
      </c>
      <c r="C2463" t="s">
        <v>74</v>
      </c>
      <c r="E2463" t="str">
        <f>"080065471542"</f>
        <v>080065471542</v>
      </c>
      <c r="F2463" s="3">
        <v>45797</v>
      </c>
      <c r="G2463">
        <v>202602</v>
      </c>
      <c r="H2463" t="s">
        <v>75</v>
      </c>
      <c r="I2463" t="s">
        <v>76</v>
      </c>
      <c r="J2463" t="s">
        <v>77</v>
      </c>
      <c r="K2463" t="s">
        <v>78</v>
      </c>
      <c r="L2463" t="s">
        <v>130</v>
      </c>
      <c r="M2463" t="s">
        <v>131</v>
      </c>
      <c r="N2463" t="s">
        <v>709</v>
      </c>
      <c r="O2463" t="s">
        <v>82</v>
      </c>
      <c r="P2463" t="str">
        <f>"4170039573                    "</f>
        <v xml:space="preserve">4170039573                    </v>
      </c>
      <c r="Q2463">
        <v>0</v>
      </c>
      <c r="R2463">
        <v>0</v>
      </c>
      <c r="S2463">
        <v>0</v>
      </c>
      <c r="T2463">
        <v>0</v>
      </c>
      <c r="U2463">
        <v>0</v>
      </c>
      <c r="V2463">
        <v>0</v>
      </c>
      <c r="W2463">
        <v>0</v>
      </c>
      <c r="X2463">
        <v>0</v>
      </c>
      <c r="Y2463">
        <v>0</v>
      </c>
      <c r="Z2463">
        <v>0</v>
      </c>
      <c r="AA2463">
        <v>0</v>
      </c>
      <c r="AB2463">
        <v>0</v>
      </c>
      <c r="AC2463">
        <v>0</v>
      </c>
      <c r="AD2463">
        <v>0</v>
      </c>
      <c r="AE2463">
        <v>0</v>
      </c>
      <c r="AF2463">
        <v>0</v>
      </c>
      <c r="AG2463">
        <v>0</v>
      </c>
      <c r="AH2463">
        <v>0</v>
      </c>
      <c r="AI2463">
        <v>0</v>
      </c>
      <c r="AJ2463">
        <v>0</v>
      </c>
      <c r="AK2463">
        <v>0</v>
      </c>
      <c r="AL2463">
        <v>0</v>
      </c>
      <c r="AM2463">
        <v>0</v>
      </c>
      <c r="AN2463">
        <v>0</v>
      </c>
      <c r="AO2463">
        <v>0</v>
      </c>
      <c r="AP2463">
        <v>0</v>
      </c>
      <c r="AQ2463">
        <v>42.75</v>
      </c>
      <c r="AR2463">
        <v>0</v>
      </c>
      <c r="AS2463">
        <v>0</v>
      </c>
      <c r="AT2463">
        <v>0</v>
      </c>
      <c r="AU2463">
        <v>0</v>
      </c>
      <c r="AV2463">
        <v>0</v>
      </c>
      <c r="AW2463">
        <v>0</v>
      </c>
      <c r="AX2463">
        <v>0</v>
      </c>
      <c r="AY2463">
        <v>0</v>
      </c>
      <c r="AZ2463">
        <v>0</v>
      </c>
      <c r="BA2463">
        <v>0</v>
      </c>
      <c r="BB2463">
        <v>0</v>
      </c>
      <c r="BC2463">
        <v>0</v>
      </c>
      <c r="BD2463">
        <v>0</v>
      </c>
      <c r="BE2463">
        <v>0</v>
      </c>
      <c r="BF2463">
        <v>0</v>
      </c>
      <c r="BG2463">
        <v>0</v>
      </c>
      <c r="BH2463">
        <v>1</v>
      </c>
      <c r="BI2463">
        <v>4</v>
      </c>
      <c r="BJ2463">
        <v>1.9</v>
      </c>
      <c r="BK2463">
        <v>4</v>
      </c>
      <c r="BL2463">
        <v>139.91</v>
      </c>
      <c r="BM2463">
        <v>20.99</v>
      </c>
      <c r="BN2463">
        <v>160.9</v>
      </c>
      <c r="BO2463">
        <v>160.9</v>
      </c>
      <c r="BQ2463" t="s">
        <v>710</v>
      </c>
      <c r="BR2463" t="s">
        <v>84</v>
      </c>
      <c r="BS2463" s="3">
        <v>45798</v>
      </c>
      <c r="BT2463" s="4">
        <v>0.33680555555555558</v>
      </c>
      <c r="BU2463" t="s">
        <v>1272</v>
      </c>
      <c r="BV2463" t="s">
        <v>86</v>
      </c>
      <c r="BY2463">
        <v>9464</v>
      </c>
      <c r="CA2463" t="s">
        <v>712</v>
      </c>
      <c r="CC2463" t="s">
        <v>131</v>
      </c>
      <c r="CD2463">
        <v>7530</v>
      </c>
      <c r="CE2463" t="s">
        <v>221</v>
      </c>
      <c r="CF2463" s="3">
        <v>45799</v>
      </c>
      <c r="CI2463">
        <v>1</v>
      </c>
      <c r="CJ2463">
        <v>1</v>
      </c>
      <c r="CK2463">
        <v>21</v>
      </c>
      <c r="CL2463" t="s">
        <v>89</v>
      </c>
    </row>
    <row r="2464" spans="1:90" x14ac:dyDescent="0.3">
      <c r="A2464" t="s">
        <v>72</v>
      </c>
      <c r="B2464" t="s">
        <v>73</v>
      </c>
      <c r="C2464" t="s">
        <v>74</v>
      </c>
      <c r="E2464" t="str">
        <f>"080065471662"</f>
        <v>080065471662</v>
      </c>
      <c r="F2464" s="3">
        <v>45797</v>
      </c>
      <c r="G2464">
        <v>202602</v>
      </c>
      <c r="H2464" t="s">
        <v>75</v>
      </c>
      <c r="I2464" t="s">
        <v>76</v>
      </c>
      <c r="J2464" t="s">
        <v>77</v>
      </c>
      <c r="K2464" t="s">
        <v>78</v>
      </c>
      <c r="L2464" t="s">
        <v>130</v>
      </c>
      <c r="M2464" t="s">
        <v>131</v>
      </c>
      <c r="N2464" t="s">
        <v>1066</v>
      </c>
      <c r="O2464" t="s">
        <v>82</v>
      </c>
      <c r="P2464" t="str">
        <f>"4170039562                    "</f>
        <v xml:space="preserve">4170039562                    </v>
      </c>
      <c r="Q2464">
        <v>0</v>
      </c>
      <c r="R2464">
        <v>0</v>
      </c>
      <c r="S2464">
        <v>0</v>
      </c>
      <c r="T2464">
        <v>0</v>
      </c>
      <c r="U2464">
        <v>0</v>
      </c>
      <c r="V2464">
        <v>0</v>
      </c>
      <c r="W2464">
        <v>0</v>
      </c>
      <c r="X2464">
        <v>0</v>
      </c>
      <c r="Y2464">
        <v>0</v>
      </c>
      <c r="Z2464">
        <v>0</v>
      </c>
      <c r="AA2464">
        <v>0</v>
      </c>
      <c r="AB2464">
        <v>0</v>
      </c>
      <c r="AC2464">
        <v>0</v>
      </c>
      <c r="AD2464">
        <v>0</v>
      </c>
      <c r="AE2464">
        <v>0</v>
      </c>
      <c r="AF2464">
        <v>0</v>
      </c>
      <c r="AG2464">
        <v>0</v>
      </c>
      <c r="AH2464">
        <v>0</v>
      </c>
      <c r="AI2464">
        <v>0</v>
      </c>
      <c r="AJ2464">
        <v>0</v>
      </c>
      <c r="AK2464">
        <v>0</v>
      </c>
      <c r="AL2464">
        <v>0</v>
      </c>
      <c r="AM2464">
        <v>0</v>
      </c>
      <c r="AN2464">
        <v>0</v>
      </c>
      <c r="AO2464">
        <v>0</v>
      </c>
      <c r="AP2464">
        <v>0</v>
      </c>
      <c r="AQ2464">
        <v>21.38</v>
      </c>
      <c r="AR2464">
        <v>0</v>
      </c>
      <c r="AS2464">
        <v>0</v>
      </c>
      <c r="AT2464">
        <v>0</v>
      </c>
      <c r="AU2464">
        <v>0</v>
      </c>
      <c r="AV2464">
        <v>0</v>
      </c>
      <c r="AW2464">
        <v>0</v>
      </c>
      <c r="AX2464">
        <v>0</v>
      </c>
      <c r="AY2464">
        <v>0</v>
      </c>
      <c r="AZ2464">
        <v>0</v>
      </c>
      <c r="BA2464">
        <v>0</v>
      </c>
      <c r="BB2464">
        <v>0</v>
      </c>
      <c r="BC2464">
        <v>0</v>
      </c>
      <c r="BD2464">
        <v>0</v>
      </c>
      <c r="BE2464">
        <v>0</v>
      </c>
      <c r="BF2464">
        <v>0</v>
      </c>
      <c r="BG2464">
        <v>0</v>
      </c>
      <c r="BH2464">
        <v>1</v>
      </c>
      <c r="BI2464">
        <v>1</v>
      </c>
      <c r="BJ2464">
        <v>0.2</v>
      </c>
      <c r="BK2464">
        <v>1</v>
      </c>
      <c r="BL2464">
        <v>69.98</v>
      </c>
      <c r="BM2464">
        <v>10.5</v>
      </c>
      <c r="BN2464">
        <v>80.48</v>
      </c>
      <c r="BO2464">
        <v>80.48</v>
      </c>
      <c r="BQ2464" t="s">
        <v>1067</v>
      </c>
      <c r="BR2464" t="s">
        <v>84</v>
      </c>
      <c r="BS2464" s="3">
        <v>45798</v>
      </c>
      <c r="BT2464" s="4">
        <v>0.36944444444444446</v>
      </c>
      <c r="BU2464" t="s">
        <v>2342</v>
      </c>
      <c r="BV2464" t="s">
        <v>86</v>
      </c>
      <c r="BY2464">
        <v>1200</v>
      </c>
      <c r="CA2464" t="s">
        <v>712</v>
      </c>
      <c r="CC2464" t="s">
        <v>131</v>
      </c>
      <c r="CD2464">
        <v>7561</v>
      </c>
      <c r="CE2464" t="s">
        <v>88</v>
      </c>
      <c r="CF2464" s="3">
        <v>45799</v>
      </c>
      <c r="CI2464">
        <v>1</v>
      </c>
      <c r="CJ2464">
        <v>1</v>
      </c>
      <c r="CK2464">
        <v>21</v>
      </c>
      <c r="CL2464" t="s">
        <v>89</v>
      </c>
    </row>
    <row r="2465" spans="1:90" x14ac:dyDescent="0.3">
      <c r="A2465" t="s">
        <v>72</v>
      </c>
      <c r="B2465" t="s">
        <v>73</v>
      </c>
      <c r="C2465" t="s">
        <v>74</v>
      </c>
      <c r="E2465" t="str">
        <f>"080065471691"</f>
        <v>080065471691</v>
      </c>
      <c r="F2465" s="3">
        <v>45797</v>
      </c>
      <c r="G2465">
        <v>202602</v>
      </c>
      <c r="H2465" t="s">
        <v>75</v>
      </c>
      <c r="I2465" t="s">
        <v>76</v>
      </c>
      <c r="J2465" t="s">
        <v>77</v>
      </c>
      <c r="K2465" t="s">
        <v>78</v>
      </c>
      <c r="L2465" t="s">
        <v>2718</v>
      </c>
      <c r="M2465" t="s">
        <v>2719</v>
      </c>
      <c r="N2465" t="s">
        <v>2720</v>
      </c>
      <c r="O2465" t="s">
        <v>82</v>
      </c>
      <c r="P2465" t="str">
        <f>"4170039560                    "</f>
        <v xml:space="preserve">4170039560                    </v>
      </c>
      <c r="Q2465">
        <v>0</v>
      </c>
      <c r="R2465">
        <v>0</v>
      </c>
      <c r="S2465">
        <v>0</v>
      </c>
      <c r="T2465">
        <v>0</v>
      </c>
      <c r="U2465">
        <v>0</v>
      </c>
      <c r="V2465">
        <v>0</v>
      </c>
      <c r="W2465">
        <v>0</v>
      </c>
      <c r="X2465">
        <v>0</v>
      </c>
      <c r="Y2465">
        <v>0</v>
      </c>
      <c r="Z2465">
        <v>0</v>
      </c>
      <c r="AA2465">
        <v>0</v>
      </c>
      <c r="AB2465">
        <v>0</v>
      </c>
      <c r="AC2465">
        <v>0</v>
      </c>
      <c r="AD2465">
        <v>0</v>
      </c>
      <c r="AE2465">
        <v>0</v>
      </c>
      <c r="AF2465">
        <v>0</v>
      </c>
      <c r="AG2465">
        <v>0</v>
      </c>
      <c r="AH2465">
        <v>0</v>
      </c>
      <c r="AI2465">
        <v>0</v>
      </c>
      <c r="AJ2465">
        <v>0</v>
      </c>
      <c r="AK2465">
        <v>0</v>
      </c>
      <c r="AL2465">
        <v>0</v>
      </c>
      <c r="AM2465">
        <v>0</v>
      </c>
      <c r="AN2465">
        <v>0</v>
      </c>
      <c r="AO2465">
        <v>0</v>
      </c>
      <c r="AP2465">
        <v>0</v>
      </c>
      <c r="AQ2465">
        <v>41.43</v>
      </c>
      <c r="AR2465">
        <v>0</v>
      </c>
      <c r="AS2465">
        <v>0</v>
      </c>
      <c r="AT2465">
        <v>0</v>
      </c>
      <c r="AU2465">
        <v>0</v>
      </c>
      <c r="AV2465">
        <v>0</v>
      </c>
      <c r="AW2465">
        <v>0</v>
      </c>
      <c r="AX2465">
        <v>0</v>
      </c>
      <c r="AY2465">
        <v>0</v>
      </c>
      <c r="AZ2465">
        <v>0</v>
      </c>
      <c r="BA2465">
        <v>0</v>
      </c>
      <c r="BB2465">
        <v>0</v>
      </c>
      <c r="BC2465">
        <v>0</v>
      </c>
      <c r="BD2465">
        <v>0</v>
      </c>
      <c r="BE2465">
        <v>0</v>
      </c>
      <c r="BF2465">
        <v>0</v>
      </c>
      <c r="BG2465">
        <v>0</v>
      </c>
      <c r="BH2465">
        <v>1</v>
      </c>
      <c r="BI2465">
        <v>1</v>
      </c>
      <c r="BJ2465">
        <v>0.2</v>
      </c>
      <c r="BK2465">
        <v>1</v>
      </c>
      <c r="BL2465">
        <v>135.59</v>
      </c>
      <c r="BM2465">
        <v>20.34</v>
      </c>
      <c r="BN2465">
        <v>155.93</v>
      </c>
      <c r="BO2465">
        <v>155.93</v>
      </c>
      <c r="BQ2465" t="s">
        <v>2721</v>
      </c>
      <c r="BR2465" t="s">
        <v>84</v>
      </c>
      <c r="BS2465" s="3">
        <v>45798</v>
      </c>
      <c r="BT2465" s="4">
        <v>0.47916666666666669</v>
      </c>
      <c r="BU2465" t="s">
        <v>2722</v>
      </c>
      <c r="BV2465" t="s">
        <v>86</v>
      </c>
      <c r="BY2465">
        <v>1200</v>
      </c>
      <c r="CA2465" t="s">
        <v>2723</v>
      </c>
      <c r="CC2465" t="s">
        <v>2719</v>
      </c>
      <c r="CD2465">
        <v>4252</v>
      </c>
      <c r="CE2465" t="s">
        <v>88</v>
      </c>
      <c r="CF2465" s="3">
        <v>45799</v>
      </c>
      <c r="CI2465">
        <v>2</v>
      </c>
      <c r="CJ2465">
        <v>1</v>
      </c>
      <c r="CK2465">
        <v>23</v>
      </c>
      <c r="CL2465" t="s">
        <v>89</v>
      </c>
    </row>
    <row r="2466" spans="1:90" x14ac:dyDescent="0.3">
      <c r="A2466" t="s">
        <v>72</v>
      </c>
      <c r="B2466" t="s">
        <v>73</v>
      </c>
      <c r="C2466" t="s">
        <v>74</v>
      </c>
      <c r="E2466" t="str">
        <f>"080065471827"</f>
        <v>080065471827</v>
      </c>
      <c r="F2466" s="3">
        <v>45797</v>
      </c>
      <c r="G2466">
        <v>202602</v>
      </c>
      <c r="H2466" t="s">
        <v>75</v>
      </c>
      <c r="I2466" t="s">
        <v>76</v>
      </c>
      <c r="J2466" t="s">
        <v>77</v>
      </c>
      <c r="K2466" t="s">
        <v>78</v>
      </c>
      <c r="L2466" t="s">
        <v>130</v>
      </c>
      <c r="M2466" t="s">
        <v>131</v>
      </c>
      <c r="N2466" t="s">
        <v>2724</v>
      </c>
      <c r="O2466" t="s">
        <v>82</v>
      </c>
      <c r="P2466" t="str">
        <f>"4170039624                    "</f>
        <v xml:space="preserve">4170039624                    </v>
      </c>
      <c r="Q2466">
        <v>0</v>
      </c>
      <c r="R2466">
        <v>0</v>
      </c>
      <c r="S2466">
        <v>0</v>
      </c>
      <c r="T2466">
        <v>0</v>
      </c>
      <c r="U2466">
        <v>0</v>
      </c>
      <c r="V2466">
        <v>0</v>
      </c>
      <c r="W2466">
        <v>0</v>
      </c>
      <c r="X2466">
        <v>0</v>
      </c>
      <c r="Y2466">
        <v>0</v>
      </c>
      <c r="Z2466">
        <v>0</v>
      </c>
      <c r="AA2466">
        <v>0</v>
      </c>
      <c r="AB2466">
        <v>0</v>
      </c>
      <c r="AC2466">
        <v>0</v>
      </c>
      <c r="AD2466">
        <v>0</v>
      </c>
      <c r="AE2466">
        <v>0</v>
      </c>
      <c r="AF2466">
        <v>0</v>
      </c>
      <c r="AG2466">
        <v>0</v>
      </c>
      <c r="AH2466">
        <v>0</v>
      </c>
      <c r="AI2466">
        <v>0</v>
      </c>
      <c r="AJ2466">
        <v>0</v>
      </c>
      <c r="AK2466">
        <v>0</v>
      </c>
      <c r="AL2466">
        <v>0</v>
      </c>
      <c r="AM2466">
        <v>0</v>
      </c>
      <c r="AN2466">
        <v>0</v>
      </c>
      <c r="AO2466">
        <v>0</v>
      </c>
      <c r="AP2466">
        <v>0</v>
      </c>
      <c r="AQ2466">
        <v>48.09</v>
      </c>
      <c r="AR2466">
        <v>0</v>
      </c>
      <c r="AS2466">
        <v>0</v>
      </c>
      <c r="AT2466">
        <v>0</v>
      </c>
      <c r="AU2466">
        <v>0</v>
      </c>
      <c r="AV2466">
        <v>0</v>
      </c>
      <c r="AW2466">
        <v>0</v>
      </c>
      <c r="AX2466">
        <v>0</v>
      </c>
      <c r="AY2466">
        <v>0</v>
      </c>
      <c r="AZ2466">
        <v>0</v>
      </c>
      <c r="BA2466">
        <v>0</v>
      </c>
      <c r="BB2466">
        <v>0</v>
      </c>
      <c r="BC2466">
        <v>0</v>
      </c>
      <c r="BD2466">
        <v>0</v>
      </c>
      <c r="BE2466">
        <v>0</v>
      </c>
      <c r="BF2466">
        <v>0</v>
      </c>
      <c r="BG2466">
        <v>0</v>
      </c>
      <c r="BH2466">
        <v>1</v>
      </c>
      <c r="BI2466">
        <v>2</v>
      </c>
      <c r="BJ2466">
        <v>4.5</v>
      </c>
      <c r="BK2466">
        <v>4.5</v>
      </c>
      <c r="BL2466">
        <v>157.38999999999999</v>
      </c>
      <c r="BM2466">
        <v>23.61</v>
      </c>
      <c r="BN2466">
        <v>181</v>
      </c>
      <c r="BO2466">
        <v>181</v>
      </c>
      <c r="BQ2466" t="s">
        <v>2725</v>
      </c>
      <c r="BR2466" t="s">
        <v>84</v>
      </c>
      <c r="BS2466" s="3">
        <v>45798</v>
      </c>
      <c r="BT2466" s="4">
        <v>0.40972222222222221</v>
      </c>
      <c r="BU2466" t="s">
        <v>2726</v>
      </c>
      <c r="BV2466" t="s">
        <v>86</v>
      </c>
      <c r="BY2466">
        <v>22496</v>
      </c>
      <c r="CA2466" t="s">
        <v>784</v>
      </c>
      <c r="CC2466" t="s">
        <v>131</v>
      </c>
      <c r="CD2466">
        <v>7405</v>
      </c>
      <c r="CE2466" t="s">
        <v>96</v>
      </c>
      <c r="CF2466" s="3">
        <v>45799</v>
      </c>
      <c r="CI2466">
        <v>1</v>
      </c>
      <c r="CJ2466">
        <v>1</v>
      </c>
      <c r="CK2466">
        <v>21</v>
      </c>
      <c r="CL2466" t="s">
        <v>89</v>
      </c>
    </row>
    <row r="2467" spans="1:90" x14ac:dyDescent="0.3">
      <c r="A2467" t="s">
        <v>72</v>
      </c>
      <c r="B2467" t="s">
        <v>73</v>
      </c>
      <c r="C2467" t="s">
        <v>74</v>
      </c>
      <c r="E2467" t="str">
        <f>"080065472309"</f>
        <v>080065472309</v>
      </c>
      <c r="F2467" s="3">
        <v>45797</v>
      </c>
      <c r="G2467">
        <v>202602</v>
      </c>
      <c r="H2467" t="s">
        <v>75</v>
      </c>
      <c r="I2467" t="s">
        <v>76</v>
      </c>
      <c r="J2467" t="s">
        <v>77</v>
      </c>
      <c r="K2467" t="s">
        <v>78</v>
      </c>
      <c r="L2467" t="s">
        <v>1503</v>
      </c>
      <c r="M2467" t="s">
        <v>1504</v>
      </c>
      <c r="N2467" t="s">
        <v>2536</v>
      </c>
      <c r="O2467" t="s">
        <v>82</v>
      </c>
      <c r="P2467" t="str">
        <f>"4170039586                    "</f>
        <v xml:space="preserve">4170039586                    </v>
      </c>
      <c r="Q2467">
        <v>0</v>
      </c>
      <c r="R2467">
        <v>0</v>
      </c>
      <c r="S2467">
        <v>0</v>
      </c>
      <c r="T2467">
        <v>0</v>
      </c>
      <c r="U2467">
        <v>0</v>
      </c>
      <c r="V2467">
        <v>0</v>
      </c>
      <c r="W2467">
        <v>0</v>
      </c>
      <c r="X2467">
        <v>0</v>
      </c>
      <c r="Y2467">
        <v>0</v>
      </c>
      <c r="Z2467">
        <v>0</v>
      </c>
      <c r="AA2467">
        <v>0</v>
      </c>
      <c r="AB2467">
        <v>0</v>
      </c>
      <c r="AC2467">
        <v>0</v>
      </c>
      <c r="AD2467">
        <v>0</v>
      </c>
      <c r="AE2467">
        <v>0</v>
      </c>
      <c r="AF2467">
        <v>0</v>
      </c>
      <c r="AG2467">
        <v>0</v>
      </c>
      <c r="AH2467">
        <v>0</v>
      </c>
      <c r="AI2467">
        <v>0</v>
      </c>
      <c r="AJ2467">
        <v>0</v>
      </c>
      <c r="AK2467">
        <v>0</v>
      </c>
      <c r="AL2467">
        <v>0</v>
      </c>
      <c r="AM2467">
        <v>0</v>
      </c>
      <c r="AN2467">
        <v>0</v>
      </c>
      <c r="AO2467">
        <v>0</v>
      </c>
      <c r="AP2467">
        <v>0</v>
      </c>
      <c r="AQ2467">
        <v>41.43</v>
      </c>
      <c r="AR2467">
        <v>0</v>
      </c>
      <c r="AS2467">
        <v>0</v>
      </c>
      <c r="AT2467">
        <v>0</v>
      </c>
      <c r="AU2467">
        <v>0</v>
      </c>
      <c r="AV2467">
        <v>0</v>
      </c>
      <c r="AW2467">
        <v>0</v>
      </c>
      <c r="AX2467">
        <v>0</v>
      </c>
      <c r="AY2467">
        <v>0</v>
      </c>
      <c r="AZ2467">
        <v>0</v>
      </c>
      <c r="BA2467">
        <v>0</v>
      </c>
      <c r="BB2467">
        <v>0</v>
      </c>
      <c r="BC2467">
        <v>0</v>
      </c>
      <c r="BD2467">
        <v>0</v>
      </c>
      <c r="BE2467">
        <v>0</v>
      </c>
      <c r="BF2467">
        <v>0</v>
      </c>
      <c r="BG2467">
        <v>0</v>
      </c>
      <c r="BH2467">
        <v>1</v>
      </c>
      <c r="BI2467">
        <v>1</v>
      </c>
      <c r="BJ2467">
        <v>0.2</v>
      </c>
      <c r="BK2467">
        <v>1</v>
      </c>
      <c r="BL2467">
        <v>135.59</v>
      </c>
      <c r="BM2467">
        <v>20.34</v>
      </c>
      <c r="BN2467">
        <v>155.93</v>
      </c>
      <c r="BO2467">
        <v>155.93</v>
      </c>
      <c r="BQ2467" t="s">
        <v>2537</v>
      </c>
      <c r="BR2467" t="s">
        <v>84</v>
      </c>
      <c r="BS2467" s="3">
        <v>45798</v>
      </c>
      <c r="BT2467" s="4">
        <v>0.41597222222222224</v>
      </c>
      <c r="BU2467" t="s">
        <v>2727</v>
      </c>
      <c r="BV2467" t="s">
        <v>86</v>
      </c>
      <c r="BY2467">
        <v>1200</v>
      </c>
      <c r="CC2467" t="s">
        <v>1504</v>
      </c>
      <c r="CD2467">
        <v>4340</v>
      </c>
      <c r="CE2467" t="s">
        <v>88</v>
      </c>
      <c r="CF2467" s="3">
        <v>45799</v>
      </c>
      <c r="CI2467">
        <v>1</v>
      </c>
      <c r="CJ2467">
        <v>1</v>
      </c>
      <c r="CK2467">
        <v>23</v>
      </c>
      <c r="CL2467" t="s">
        <v>89</v>
      </c>
    </row>
    <row r="2468" spans="1:90" x14ac:dyDescent="0.3">
      <c r="A2468" t="s">
        <v>72</v>
      </c>
      <c r="B2468" t="s">
        <v>73</v>
      </c>
      <c r="C2468" t="s">
        <v>74</v>
      </c>
      <c r="E2468" t="str">
        <f>"080065472329"</f>
        <v>080065472329</v>
      </c>
      <c r="F2468" s="3">
        <v>45797</v>
      </c>
      <c r="G2468">
        <v>202602</v>
      </c>
      <c r="H2468" t="s">
        <v>75</v>
      </c>
      <c r="I2468" t="s">
        <v>76</v>
      </c>
      <c r="J2468" t="s">
        <v>77</v>
      </c>
      <c r="K2468" t="s">
        <v>78</v>
      </c>
      <c r="L2468" t="s">
        <v>103</v>
      </c>
      <c r="M2468" t="s">
        <v>104</v>
      </c>
      <c r="N2468" t="s">
        <v>1614</v>
      </c>
      <c r="O2468" t="s">
        <v>82</v>
      </c>
      <c r="P2468" t="str">
        <f>"4170039667                    "</f>
        <v xml:space="preserve">4170039667                    </v>
      </c>
      <c r="Q2468">
        <v>0</v>
      </c>
      <c r="R2468">
        <v>0</v>
      </c>
      <c r="S2468">
        <v>0</v>
      </c>
      <c r="T2468">
        <v>0</v>
      </c>
      <c r="U2468">
        <v>0</v>
      </c>
      <c r="V2468">
        <v>0</v>
      </c>
      <c r="W2468">
        <v>0</v>
      </c>
      <c r="X2468">
        <v>0</v>
      </c>
      <c r="Y2468">
        <v>0</v>
      </c>
      <c r="Z2468">
        <v>0</v>
      </c>
      <c r="AA2468">
        <v>0</v>
      </c>
      <c r="AB2468">
        <v>0</v>
      </c>
      <c r="AC2468">
        <v>0</v>
      </c>
      <c r="AD2468">
        <v>0</v>
      </c>
      <c r="AE2468">
        <v>0</v>
      </c>
      <c r="AF2468">
        <v>0</v>
      </c>
      <c r="AG2468">
        <v>0</v>
      </c>
      <c r="AH2468">
        <v>0</v>
      </c>
      <c r="AI2468">
        <v>0</v>
      </c>
      <c r="AJ2468">
        <v>0</v>
      </c>
      <c r="AK2468">
        <v>0</v>
      </c>
      <c r="AL2468">
        <v>0</v>
      </c>
      <c r="AM2468">
        <v>0</v>
      </c>
      <c r="AN2468">
        <v>0</v>
      </c>
      <c r="AO2468">
        <v>0</v>
      </c>
      <c r="AP2468">
        <v>0</v>
      </c>
      <c r="AQ2468">
        <v>21.38</v>
      </c>
      <c r="AR2468">
        <v>0</v>
      </c>
      <c r="AS2468">
        <v>0</v>
      </c>
      <c r="AT2468">
        <v>0</v>
      </c>
      <c r="AU2468">
        <v>0</v>
      </c>
      <c r="AV2468">
        <v>0</v>
      </c>
      <c r="AW2468">
        <v>16.739999999999998</v>
      </c>
      <c r="AX2468">
        <v>0</v>
      </c>
      <c r="AY2468">
        <v>0</v>
      </c>
      <c r="AZ2468">
        <v>0</v>
      </c>
      <c r="BA2468">
        <v>0</v>
      </c>
      <c r="BB2468">
        <v>0</v>
      </c>
      <c r="BC2468">
        <v>0</v>
      </c>
      <c r="BD2468">
        <v>0</v>
      </c>
      <c r="BE2468">
        <v>0</v>
      </c>
      <c r="BF2468">
        <v>0</v>
      </c>
      <c r="BG2468">
        <v>0</v>
      </c>
      <c r="BH2468">
        <v>1</v>
      </c>
      <c r="BI2468">
        <v>1</v>
      </c>
      <c r="BJ2468">
        <v>0.2</v>
      </c>
      <c r="BK2468">
        <v>1</v>
      </c>
      <c r="BL2468">
        <v>86.72</v>
      </c>
      <c r="BM2468">
        <v>13.01</v>
      </c>
      <c r="BN2468">
        <v>99.73</v>
      </c>
      <c r="BO2468">
        <v>99.73</v>
      </c>
      <c r="BQ2468" t="s">
        <v>1615</v>
      </c>
      <c r="BR2468" t="s">
        <v>84</v>
      </c>
      <c r="BS2468" s="3">
        <v>45798</v>
      </c>
      <c r="BT2468" s="4">
        <v>0.41666666666666669</v>
      </c>
      <c r="BU2468" t="s">
        <v>2728</v>
      </c>
      <c r="BV2468" t="s">
        <v>86</v>
      </c>
      <c r="BY2468">
        <v>1200</v>
      </c>
      <c r="BZ2468" t="s">
        <v>30</v>
      </c>
      <c r="CA2468" t="s">
        <v>945</v>
      </c>
      <c r="CC2468" t="s">
        <v>104</v>
      </c>
      <c r="CD2468">
        <v>3699</v>
      </c>
      <c r="CE2468" t="s">
        <v>88</v>
      </c>
      <c r="CF2468" s="3">
        <v>45799</v>
      </c>
      <c r="CI2468">
        <v>1</v>
      </c>
      <c r="CJ2468">
        <v>1</v>
      </c>
      <c r="CK2468">
        <v>21</v>
      </c>
      <c r="CL2468" t="s">
        <v>89</v>
      </c>
    </row>
    <row r="2469" spans="1:90" x14ac:dyDescent="0.3">
      <c r="A2469" t="s">
        <v>72</v>
      </c>
      <c r="B2469" t="s">
        <v>73</v>
      </c>
      <c r="C2469" t="s">
        <v>74</v>
      </c>
      <c r="E2469" t="str">
        <f>"080065472341"</f>
        <v>080065472341</v>
      </c>
      <c r="F2469" s="3">
        <v>45797</v>
      </c>
      <c r="G2469">
        <v>202602</v>
      </c>
      <c r="H2469" t="s">
        <v>75</v>
      </c>
      <c r="I2469" t="s">
        <v>76</v>
      </c>
      <c r="J2469" t="s">
        <v>77</v>
      </c>
      <c r="K2469" t="s">
        <v>78</v>
      </c>
      <c r="L2469" t="s">
        <v>489</v>
      </c>
      <c r="M2469" t="s">
        <v>490</v>
      </c>
      <c r="N2469" t="s">
        <v>491</v>
      </c>
      <c r="O2469" t="s">
        <v>82</v>
      </c>
      <c r="P2469" t="str">
        <f>"4170039585                    "</f>
        <v xml:space="preserve">4170039585                    </v>
      </c>
      <c r="Q2469">
        <v>0</v>
      </c>
      <c r="R2469">
        <v>0</v>
      </c>
      <c r="S2469">
        <v>0</v>
      </c>
      <c r="T2469">
        <v>0</v>
      </c>
      <c r="U2469">
        <v>0</v>
      </c>
      <c r="V2469">
        <v>0</v>
      </c>
      <c r="W2469">
        <v>0</v>
      </c>
      <c r="X2469">
        <v>0</v>
      </c>
      <c r="Y2469">
        <v>0</v>
      </c>
      <c r="Z2469">
        <v>0</v>
      </c>
      <c r="AA2469">
        <v>0</v>
      </c>
      <c r="AB2469">
        <v>0</v>
      </c>
      <c r="AC2469">
        <v>0</v>
      </c>
      <c r="AD2469">
        <v>0</v>
      </c>
      <c r="AE2469">
        <v>0</v>
      </c>
      <c r="AF2469">
        <v>0</v>
      </c>
      <c r="AG2469">
        <v>0</v>
      </c>
      <c r="AH2469">
        <v>0</v>
      </c>
      <c r="AI2469">
        <v>0</v>
      </c>
      <c r="AJ2469">
        <v>0</v>
      </c>
      <c r="AK2469">
        <v>0</v>
      </c>
      <c r="AL2469">
        <v>0</v>
      </c>
      <c r="AM2469">
        <v>0</v>
      </c>
      <c r="AN2469">
        <v>0</v>
      </c>
      <c r="AO2469">
        <v>0</v>
      </c>
      <c r="AP2469">
        <v>0</v>
      </c>
      <c r="AQ2469">
        <v>41.43</v>
      </c>
      <c r="AR2469">
        <v>0</v>
      </c>
      <c r="AS2469">
        <v>0</v>
      </c>
      <c r="AT2469">
        <v>0</v>
      </c>
      <c r="AU2469">
        <v>0</v>
      </c>
      <c r="AV2469">
        <v>0</v>
      </c>
      <c r="AW2469">
        <v>0</v>
      </c>
      <c r="AX2469">
        <v>0</v>
      </c>
      <c r="AY2469">
        <v>0</v>
      </c>
      <c r="AZ2469">
        <v>0</v>
      </c>
      <c r="BA2469">
        <v>0</v>
      </c>
      <c r="BB2469">
        <v>0</v>
      </c>
      <c r="BC2469">
        <v>0</v>
      </c>
      <c r="BD2469">
        <v>0</v>
      </c>
      <c r="BE2469">
        <v>0</v>
      </c>
      <c r="BF2469">
        <v>0</v>
      </c>
      <c r="BG2469">
        <v>0</v>
      </c>
      <c r="BH2469">
        <v>1</v>
      </c>
      <c r="BI2469">
        <v>1</v>
      </c>
      <c r="BJ2469">
        <v>0.9</v>
      </c>
      <c r="BK2469">
        <v>1</v>
      </c>
      <c r="BL2469">
        <v>135.59</v>
      </c>
      <c r="BM2469">
        <v>20.34</v>
      </c>
      <c r="BN2469">
        <v>155.93</v>
      </c>
      <c r="BO2469">
        <v>155.93</v>
      </c>
      <c r="BQ2469" t="s">
        <v>492</v>
      </c>
      <c r="BR2469" t="s">
        <v>84</v>
      </c>
      <c r="BS2469" s="3">
        <v>45798</v>
      </c>
      <c r="BT2469" s="4">
        <v>0.31527777777777777</v>
      </c>
      <c r="BU2469" t="s">
        <v>2689</v>
      </c>
      <c r="BV2469" t="s">
        <v>86</v>
      </c>
      <c r="BY2469">
        <v>4275</v>
      </c>
      <c r="CA2469" t="s">
        <v>1268</v>
      </c>
      <c r="CC2469" t="s">
        <v>490</v>
      </c>
      <c r="CD2469">
        <v>2740</v>
      </c>
      <c r="CE2469" t="s">
        <v>116</v>
      </c>
      <c r="CF2469" s="3">
        <v>45799</v>
      </c>
      <c r="CI2469">
        <v>1</v>
      </c>
      <c r="CJ2469">
        <v>1</v>
      </c>
      <c r="CK2469">
        <v>23</v>
      </c>
      <c r="CL2469" t="s">
        <v>89</v>
      </c>
    </row>
    <row r="2470" spans="1:90" x14ac:dyDescent="0.3">
      <c r="A2470" t="s">
        <v>72</v>
      </c>
      <c r="B2470" t="s">
        <v>73</v>
      </c>
      <c r="C2470" t="s">
        <v>74</v>
      </c>
      <c r="E2470" t="str">
        <f>"080065472366"</f>
        <v>080065472366</v>
      </c>
      <c r="F2470" s="3">
        <v>45797</v>
      </c>
      <c r="G2470">
        <v>202602</v>
      </c>
      <c r="H2470" t="s">
        <v>75</v>
      </c>
      <c r="I2470" t="s">
        <v>76</v>
      </c>
      <c r="J2470" t="s">
        <v>77</v>
      </c>
      <c r="K2470" t="s">
        <v>78</v>
      </c>
      <c r="L2470" t="s">
        <v>79</v>
      </c>
      <c r="M2470" t="s">
        <v>80</v>
      </c>
      <c r="N2470" t="s">
        <v>862</v>
      </c>
      <c r="O2470" t="s">
        <v>82</v>
      </c>
      <c r="P2470" t="str">
        <f>"4170039597                    "</f>
        <v xml:space="preserve">4170039597                    </v>
      </c>
      <c r="Q2470">
        <v>0</v>
      </c>
      <c r="R2470">
        <v>0</v>
      </c>
      <c r="S2470">
        <v>0</v>
      </c>
      <c r="T2470">
        <v>0</v>
      </c>
      <c r="U2470">
        <v>0</v>
      </c>
      <c r="V2470">
        <v>0</v>
      </c>
      <c r="W2470">
        <v>0</v>
      </c>
      <c r="X2470">
        <v>0</v>
      </c>
      <c r="Y2470">
        <v>0</v>
      </c>
      <c r="Z2470">
        <v>0</v>
      </c>
      <c r="AA2470">
        <v>0</v>
      </c>
      <c r="AB2470">
        <v>0</v>
      </c>
      <c r="AC2470">
        <v>0</v>
      </c>
      <c r="AD2470">
        <v>0</v>
      </c>
      <c r="AE2470">
        <v>0</v>
      </c>
      <c r="AF2470">
        <v>0</v>
      </c>
      <c r="AG2470">
        <v>0</v>
      </c>
      <c r="AH2470">
        <v>0</v>
      </c>
      <c r="AI2470">
        <v>0</v>
      </c>
      <c r="AJ2470">
        <v>0</v>
      </c>
      <c r="AK2470">
        <v>0</v>
      </c>
      <c r="AL2470">
        <v>0</v>
      </c>
      <c r="AM2470">
        <v>0</v>
      </c>
      <c r="AN2470">
        <v>0</v>
      </c>
      <c r="AO2470">
        <v>0</v>
      </c>
      <c r="AP2470">
        <v>0</v>
      </c>
      <c r="AQ2470">
        <v>21.38</v>
      </c>
      <c r="AR2470">
        <v>0</v>
      </c>
      <c r="AS2470">
        <v>0</v>
      </c>
      <c r="AT2470">
        <v>0</v>
      </c>
      <c r="AU2470">
        <v>0</v>
      </c>
      <c r="AV2470">
        <v>0</v>
      </c>
      <c r="AW2470">
        <v>0</v>
      </c>
      <c r="AX2470">
        <v>0</v>
      </c>
      <c r="AY2470">
        <v>0</v>
      </c>
      <c r="AZ2470">
        <v>0</v>
      </c>
      <c r="BA2470">
        <v>0</v>
      </c>
      <c r="BB2470">
        <v>0</v>
      </c>
      <c r="BC2470">
        <v>0</v>
      </c>
      <c r="BD2470">
        <v>0</v>
      </c>
      <c r="BE2470">
        <v>0</v>
      </c>
      <c r="BF2470">
        <v>0</v>
      </c>
      <c r="BG2470">
        <v>0</v>
      </c>
      <c r="BH2470">
        <v>1</v>
      </c>
      <c r="BI2470">
        <v>1</v>
      </c>
      <c r="BJ2470">
        <v>0.9</v>
      </c>
      <c r="BK2470">
        <v>1</v>
      </c>
      <c r="BL2470">
        <v>69.98</v>
      </c>
      <c r="BM2470">
        <v>10.5</v>
      </c>
      <c r="BN2470">
        <v>80.48</v>
      </c>
      <c r="BO2470">
        <v>80.48</v>
      </c>
      <c r="BQ2470" t="s">
        <v>863</v>
      </c>
      <c r="BR2470" t="s">
        <v>84</v>
      </c>
      <c r="BS2470" s="3">
        <v>45798</v>
      </c>
      <c r="BT2470" s="4">
        <v>0.42708333333333331</v>
      </c>
      <c r="BU2470" t="s">
        <v>864</v>
      </c>
      <c r="BV2470" t="s">
        <v>86</v>
      </c>
      <c r="BY2470">
        <v>4275</v>
      </c>
      <c r="CA2470" t="s">
        <v>160</v>
      </c>
      <c r="CC2470" t="s">
        <v>80</v>
      </c>
      <c r="CD2470">
        <v>3610</v>
      </c>
      <c r="CE2470" t="s">
        <v>116</v>
      </c>
      <c r="CF2470" s="3">
        <v>45798</v>
      </c>
      <c r="CI2470">
        <v>1</v>
      </c>
      <c r="CJ2470">
        <v>1</v>
      </c>
      <c r="CK2470">
        <v>21</v>
      </c>
      <c r="CL2470" t="s">
        <v>89</v>
      </c>
    </row>
    <row r="2471" spans="1:90" x14ac:dyDescent="0.3">
      <c r="A2471" t="s">
        <v>72</v>
      </c>
      <c r="B2471" t="s">
        <v>73</v>
      </c>
      <c r="C2471" t="s">
        <v>74</v>
      </c>
      <c r="E2471" t="str">
        <f>"080065472407"</f>
        <v>080065472407</v>
      </c>
      <c r="F2471" s="3">
        <v>45797</v>
      </c>
      <c r="G2471">
        <v>202602</v>
      </c>
      <c r="H2471" t="s">
        <v>75</v>
      </c>
      <c r="I2471" t="s">
        <v>76</v>
      </c>
      <c r="J2471" t="s">
        <v>77</v>
      </c>
      <c r="K2471" t="s">
        <v>78</v>
      </c>
      <c r="L2471" t="s">
        <v>350</v>
      </c>
      <c r="M2471" t="s">
        <v>351</v>
      </c>
      <c r="N2471" t="s">
        <v>459</v>
      </c>
      <c r="O2471" t="s">
        <v>300</v>
      </c>
      <c r="P2471" t="str">
        <f>"4170039666                    "</f>
        <v xml:space="preserve">4170039666                    </v>
      </c>
      <c r="Q2471">
        <v>0</v>
      </c>
      <c r="R2471">
        <v>0</v>
      </c>
      <c r="S2471">
        <v>0</v>
      </c>
      <c r="T2471">
        <v>0</v>
      </c>
      <c r="U2471">
        <v>0</v>
      </c>
      <c r="V2471">
        <v>0</v>
      </c>
      <c r="W2471">
        <v>0</v>
      </c>
      <c r="X2471">
        <v>0</v>
      </c>
      <c r="Y2471">
        <v>0</v>
      </c>
      <c r="Z2471">
        <v>0</v>
      </c>
      <c r="AA2471">
        <v>0</v>
      </c>
      <c r="AB2471">
        <v>0</v>
      </c>
      <c r="AC2471">
        <v>0</v>
      </c>
      <c r="AD2471">
        <v>0</v>
      </c>
      <c r="AE2471">
        <v>0</v>
      </c>
      <c r="AF2471">
        <v>0</v>
      </c>
      <c r="AG2471">
        <v>0</v>
      </c>
      <c r="AH2471">
        <v>0</v>
      </c>
      <c r="AI2471">
        <v>0</v>
      </c>
      <c r="AJ2471">
        <v>0</v>
      </c>
      <c r="AK2471">
        <v>0</v>
      </c>
      <c r="AL2471">
        <v>0</v>
      </c>
      <c r="AM2471">
        <v>0</v>
      </c>
      <c r="AN2471">
        <v>0</v>
      </c>
      <c r="AO2471">
        <v>0</v>
      </c>
      <c r="AP2471">
        <v>0</v>
      </c>
      <c r="AQ2471">
        <v>51.59</v>
      </c>
      <c r="AR2471">
        <v>0</v>
      </c>
      <c r="AS2471">
        <v>0</v>
      </c>
      <c r="AT2471">
        <v>0</v>
      </c>
      <c r="AU2471">
        <v>0</v>
      </c>
      <c r="AV2471">
        <v>0</v>
      </c>
      <c r="AW2471">
        <v>0</v>
      </c>
      <c r="AX2471">
        <v>0</v>
      </c>
      <c r="AY2471">
        <v>0</v>
      </c>
      <c r="AZ2471">
        <v>0</v>
      </c>
      <c r="BA2471">
        <v>0</v>
      </c>
      <c r="BB2471">
        <v>0</v>
      </c>
      <c r="BC2471">
        <v>0</v>
      </c>
      <c r="BD2471">
        <v>0</v>
      </c>
      <c r="BE2471">
        <v>0</v>
      </c>
      <c r="BF2471">
        <v>0</v>
      </c>
      <c r="BG2471">
        <v>0</v>
      </c>
      <c r="BH2471">
        <v>1</v>
      </c>
      <c r="BI2471">
        <v>21</v>
      </c>
      <c r="BJ2471">
        <v>9.5</v>
      </c>
      <c r="BK2471">
        <v>21</v>
      </c>
      <c r="BL2471">
        <v>174.42</v>
      </c>
      <c r="BM2471">
        <v>26.16</v>
      </c>
      <c r="BN2471">
        <v>200.58</v>
      </c>
      <c r="BO2471">
        <v>200.58</v>
      </c>
      <c r="BQ2471" t="s">
        <v>460</v>
      </c>
      <c r="BR2471" t="s">
        <v>84</v>
      </c>
      <c r="BS2471" s="3">
        <v>45798</v>
      </c>
      <c r="BT2471" s="4">
        <v>0.40694444444444444</v>
      </c>
      <c r="BU2471" t="s">
        <v>801</v>
      </c>
      <c r="BV2471" t="s">
        <v>86</v>
      </c>
      <c r="BY2471">
        <v>47705</v>
      </c>
      <c r="CA2471" t="s">
        <v>2729</v>
      </c>
      <c r="CC2471" t="s">
        <v>351</v>
      </c>
      <c r="CD2471">
        <v>4051</v>
      </c>
      <c r="CE2471" t="s">
        <v>96</v>
      </c>
      <c r="CF2471" s="3">
        <v>45798</v>
      </c>
      <c r="CI2471">
        <v>1</v>
      </c>
      <c r="CJ2471">
        <v>1</v>
      </c>
      <c r="CK2471">
        <v>41</v>
      </c>
      <c r="CL2471" t="s">
        <v>89</v>
      </c>
    </row>
    <row r="2472" spans="1:90" x14ac:dyDescent="0.3">
      <c r="A2472" t="s">
        <v>72</v>
      </c>
      <c r="B2472" t="s">
        <v>73</v>
      </c>
      <c r="C2472" t="s">
        <v>74</v>
      </c>
      <c r="E2472" t="str">
        <f>"080065472629"</f>
        <v>080065472629</v>
      </c>
      <c r="F2472" s="3">
        <v>45797</v>
      </c>
      <c r="G2472">
        <v>202602</v>
      </c>
      <c r="H2472" t="s">
        <v>75</v>
      </c>
      <c r="I2472" t="s">
        <v>76</v>
      </c>
      <c r="J2472" t="s">
        <v>77</v>
      </c>
      <c r="K2472" t="s">
        <v>78</v>
      </c>
      <c r="L2472" t="s">
        <v>311</v>
      </c>
      <c r="M2472" t="s">
        <v>312</v>
      </c>
      <c r="N2472" t="s">
        <v>2036</v>
      </c>
      <c r="O2472" t="s">
        <v>82</v>
      </c>
      <c r="P2472" t="str">
        <f>"4170039661                    "</f>
        <v xml:space="preserve">4170039661                    </v>
      </c>
      <c r="Q2472">
        <v>0</v>
      </c>
      <c r="R2472">
        <v>0</v>
      </c>
      <c r="S2472">
        <v>0</v>
      </c>
      <c r="T2472">
        <v>0</v>
      </c>
      <c r="U2472">
        <v>0</v>
      </c>
      <c r="V2472">
        <v>0</v>
      </c>
      <c r="W2472">
        <v>0</v>
      </c>
      <c r="X2472">
        <v>0</v>
      </c>
      <c r="Y2472">
        <v>0</v>
      </c>
      <c r="Z2472">
        <v>0</v>
      </c>
      <c r="AA2472">
        <v>0</v>
      </c>
      <c r="AB2472">
        <v>0</v>
      </c>
      <c r="AC2472">
        <v>0</v>
      </c>
      <c r="AD2472">
        <v>0</v>
      </c>
      <c r="AE2472">
        <v>0</v>
      </c>
      <c r="AF2472">
        <v>0</v>
      </c>
      <c r="AG2472">
        <v>0</v>
      </c>
      <c r="AH2472">
        <v>0</v>
      </c>
      <c r="AI2472">
        <v>0</v>
      </c>
      <c r="AJ2472">
        <v>0</v>
      </c>
      <c r="AK2472">
        <v>0</v>
      </c>
      <c r="AL2472">
        <v>0</v>
      </c>
      <c r="AM2472">
        <v>0</v>
      </c>
      <c r="AN2472">
        <v>0</v>
      </c>
      <c r="AO2472">
        <v>0</v>
      </c>
      <c r="AP2472">
        <v>0</v>
      </c>
      <c r="AQ2472">
        <v>16.7</v>
      </c>
      <c r="AR2472">
        <v>0</v>
      </c>
      <c r="AS2472">
        <v>0</v>
      </c>
      <c r="AT2472">
        <v>0</v>
      </c>
      <c r="AU2472">
        <v>0</v>
      </c>
      <c r="AV2472">
        <v>0</v>
      </c>
      <c r="AW2472">
        <v>0</v>
      </c>
      <c r="AX2472">
        <v>0</v>
      </c>
      <c r="AY2472">
        <v>0</v>
      </c>
      <c r="AZ2472">
        <v>0</v>
      </c>
      <c r="BA2472">
        <v>0</v>
      </c>
      <c r="BB2472">
        <v>0</v>
      </c>
      <c r="BC2472">
        <v>0</v>
      </c>
      <c r="BD2472">
        <v>0</v>
      </c>
      <c r="BE2472">
        <v>0</v>
      </c>
      <c r="BF2472">
        <v>0</v>
      </c>
      <c r="BG2472">
        <v>0</v>
      </c>
      <c r="BH2472">
        <v>2</v>
      </c>
      <c r="BI2472">
        <v>5</v>
      </c>
      <c r="BJ2472">
        <v>4.3</v>
      </c>
      <c r="BK2472">
        <v>5</v>
      </c>
      <c r="BL2472">
        <v>54.66</v>
      </c>
      <c r="BM2472">
        <v>8.1999999999999993</v>
      </c>
      <c r="BN2472">
        <v>62.86</v>
      </c>
      <c r="BO2472">
        <v>62.86</v>
      </c>
      <c r="BQ2472" t="s">
        <v>2037</v>
      </c>
      <c r="BR2472" t="s">
        <v>84</v>
      </c>
      <c r="BS2472" s="3">
        <v>45798</v>
      </c>
      <c r="BT2472" s="4">
        <v>0.38958333333333334</v>
      </c>
      <c r="BU2472" t="s">
        <v>2730</v>
      </c>
      <c r="BV2472" t="s">
        <v>86</v>
      </c>
      <c r="BY2472">
        <v>21558</v>
      </c>
      <c r="CA2472" t="s">
        <v>2731</v>
      </c>
      <c r="CC2472" t="s">
        <v>312</v>
      </c>
      <c r="CD2472">
        <v>1501</v>
      </c>
      <c r="CE2472" t="s">
        <v>88</v>
      </c>
      <c r="CF2472" s="3">
        <v>45798</v>
      </c>
      <c r="CI2472">
        <v>1</v>
      </c>
      <c r="CJ2472">
        <v>1</v>
      </c>
      <c r="CK2472">
        <v>22</v>
      </c>
      <c r="CL2472" t="s">
        <v>89</v>
      </c>
    </row>
    <row r="2473" spans="1:90" x14ac:dyDescent="0.3">
      <c r="A2473" t="s">
        <v>72</v>
      </c>
      <c r="B2473" t="s">
        <v>73</v>
      </c>
      <c r="C2473" t="s">
        <v>74</v>
      </c>
      <c r="E2473" t="str">
        <f>"080065472690"</f>
        <v>080065472690</v>
      </c>
      <c r="F2473" s="3">
        <v>45797</v>
      </c>
      <c r="G2473">
        <v>202602</v>
      </c>
      <c r="H2473" t="s">
        <v>75</v>
      </c>
      <c r="I2473" t="s">
        <v>76</v>
      </c>
      <c r="J2473" t="s">
        <v>77</v>
      </c>
      <c r="K2473" t="s">
        <v>78</v>
      </c>
      <c r="L2473" t="s">
        <v>123</v>
      </c>
      <c r="M2473" t="s">
        <v>123</v>
      </c>
      <c r="N2473" t="s">
        <v>1700</v>
      </c>
      <c r="O2473" t="s">
        <v>300</v>
      </c>
      <c r="P2473" t="str">
        <f>"4170039611                    "</f>
        <v xml:space="preserve">4170039611                    </v>
      </c>
      <c r="Q2473">
        <v>0</v>
      </c>
      <c r="R2473">
        <v>0</v>
      </c>
      <c r="S2473">
        <v>0</v>
      </c>
      <c r="T2473">
        <v>0</v>
      </c>
      <c r="U2473">
        <v>0</v>
      </c>
      <c r="V2473">
        <v>0</v>
      </c>
      <c r="W2473">
        <v>0</v>
      </c>
      <c r="X2473">
        <v>0</v>
      </c>
      <c r="Y2473">
        <v>0</v>
      </c>
      <c r="Z2473">
        <v>0</v>
      </c>
      <c r="AA2473">
        <v>0</v>
      </c>
      <c r="AB2473">
        <v>0</v>
      </c>
      <c r="AC2473">
        <v>0</v>
      </c>
      <c r="AD2473">
        <v>0</v>
      </c>
      <c r="AE2473">
        <v>0</v>
      </c>
      <c r="AF2473">
        <v>0</v>
      </c>
      <c r="AG2473">
        <v>0</v>
      </c>
      <c r="AH2473">
        <v>0</v>
      </c>
      <c r="AI2473">
        <v>0</v>
      </c>
      <c r="AJ2473">
        <v>0</v>
      </c>
      <c r="AK2473">
        <v>0</v>
      </c>
      <c r="AL2473">
        <v>0</v>
      </c>
      <c r="AM2473">
        <v>0</v>
      </c>
      <c r="AN2473">
        <v>0</v>
      </c>
      <c r="AO2473">
        <v>0</v>
      </c>
      <c r="AP2473">
        <v>0</v>
      </c>
      <c r="AQ2473">
        <v>70.239999999999995</v>
      </c>
      <c r="AR2473">
        <v>0</v>
      </c>
      <c r="AS2473">
        <v>0</v>
      </c>
      <c r="AT2473">
        <v>0</v>
      </c>
      <c r="AU2473">
        <v>0</v>
      </c>
      <c r="AV2473">
        <v>0</v>
      </c>
      <c r="AW2473">
        <v>0</v>
      </c>
      <c r="AX2473">
        <v>0</v>
      </c>
      <c r="AY2473">
        <v>0</v>
      </c>
      <c r="AZ2473">
        <v>0</v>
      </c>
      <c r="BA2473">
        <v>0</v>
      </c>
      <c r="BB2473">
        <v>0</v>
      </c>
      <c r="BC2473">
        <v>0</v>
      </c>
      <c r="BD2473">
        <v>0</v>
      </c>
      <c r="BE2473">
        <v>0</v>
      </c>
      <c r="BF2473">
        <v>0</v>
      </c>
      <c r="BG2473">
        <v>0</v>
      </c>
      <c r="BH2473">
        <v>1</v>
      </c>
      <c r="BI2473">
        <v>6</v>
      </c>
      <c r="BJ2473">
        <v>18.3</v>
      </c>
      <c r="BK2473">
        <v>19</v>
      </c>
      <c r="BL2473">
        <v>235.44</v>
      </c>
      <c r="BM2473">
        <v>35.32</v>
      </c>
      <c r="BN2473">
        <v>270.76</v>
      </c>
      <c r="BO2473">
        <v>270.76</v>
      </c>
      <c r="BQ2473" t="s">
        <v>1701</v>
      </c>
      <c r="BR2473" t="s">
        <v>84</v>
      </c>
      <c r="BS2473" s="3">
        <v>45800</v>
      </c>
      <c r="BT2473" s="4">
        <v>0.52083333333333337</v>
      </c>
      <c r="BU2473" t="s">
        <v>329</v>
      </c>
      <c r="BV2473" t="s">
        <v>86</v>
      </c>
      <c r="BY2473">
        <v>91264</v>
      </c>
      <c r="CA2473" t="s">
        <v>128</v>
      </c>
      <c r="CC2473" t="s">
        <v>123</v>
      </c>
      <c r="CD2473">
        <v>7646</v>
      </c>
      <c r="CE2473" t="s">
        <v>96</v>
      </c>
      <c r="CF2473" s="3">
        <v>45803</v>
      </c>
      <c r="CI2473">
        <v>3</v>
      </c>
      <c r="CJ2473">
        <v>3</v>
      </c>
      <c r="CK2473">
        <v>43</v>
      </c>
      <c r="CL2473" t="s">
        <v>89</v>
      </c>
    </row>
    <row r="2474" spans="1:90" x14ac:dyDescent="0.3">
      <c r="A2474" t="s">
        <v>72</v>
      </c>
      <c r="B2474" t="s">
        <v>73</v>
      </c>
      <c r="C2474" t="s">
        <v>74</v>
      </c>
      <c r="E2474" t="str">
        <f>"080065472736"</f>
        <v>080065472736</v>
      </c>
      <c r="F2474" s="3">
        <v>45797</v>
      </c>
      <c r="G2474">
        <v>202602</v>
      </c>
      <c r="H2474" t="s">
        <v>75</v>
      </c>
      <c r="I2474" t="s">
        <v>76</v>
      </c>
      <c r="J2474" t="s">
        <v>77</v>
      </c>
      <c r="K2474" t="s">
        <v>78</v>
      </c>
      <c r="L2474" t="s">
        <v>90</v>
      </c>
      <c r="M2474" t="s">
        <v>91</v>
      </c>
      <c r="N2474" t="s">
        <v>92</v>
      </c>
      <c r="O2474" t="s">
        <v>82</v>
      </c>
      <c r="P2474" t="str">
        <f>"4170039631                    "</f>
        <v xml:space="preserve">4170039631                    </v>
      </c>
      <c r="Q2474">
        <v>0</v>
      </c>
      <c r="R2474">
        <v>0</v>
      </c>
      <c r="S2474">
        <v>0</v>
      </c>
      <c r="T2474">
        <v>0</v>
      </c>
      <c r="U2474">
        <v>0</v>
      </c>
      <c r="V2474">
        <v>0</v>
      </c>
      <c r="W2474">
        <v>0</v>
      </c>
      <c r="X2474">
        <v>0</v>
      </c>
      <c r="Y2474">
        <v>0</v>
      </c>
      <c r="Z2474">
        <v>0</v>
      </c>
      <c r="AA2474">
        <v>0</v>
      </c>
      <c r="AB2474">
        <v>0</v>
      </c>
      <c r="AC2474">
        <v>0</v>
      </c>
      <c r="AD2474">
        <v>0</v>
      </c>
      <c r="AE2474">
        <v>0</v>
      </c>
      <c r="AF2474">
        <v>0</v>
      </c>
      <c r="AG2474">
        <v>0</v>
      </c>
      <c r="AH2474">
        <v>0</v>
      </c>
      <c r="AI2474">
        <v>0</v>
      </c>
      <c r="AJ2474">
        <v>0</v>
      </c>
      <c r="AK2474">
        <v>0</v>
      </c>
      <c r="AL2474">
        <v>0</v>
      </c>
      <c r="AM2474">
        <v>0</v>
      </c>
      <c r="AN2474">
        <v>0</v>
      </c>
      <c r="AO2474">
        <v>0</v>
      </c>
      <c r="AP2474">
        <v>0</v>
      </c>
      <c r="AQ2474">
        <v>144.24</v>
      </c>
      <c r="AR2474">
        <v>0</v>
      </c>
      <c r="AS2474">
        <v>0</v>
      </c>
      <c r="AT2474">
        <v>0</v>
      </c>
      <c r="AU2474">
        <v>0</v>
      </c>
      <c r="AV2474">
        <v>0</v>
      </c>
      <c r="AW2474">
        <v>0</v>
      </c>
      <c r="AX2474">
        <v>0</v>
      </c>
      <c r="AY2474">
        <v>0</v>
      </c>
      <c r="AZ2474">
        <v>0</v>
      </c>
      <c r="BA2474">
        <v>0</v>
      </c>
      <c r="BB2474">
        <v>0</v>
      </c>
      <c r="BC2474">
        <v>0</v>
      </c>
      <c r="BD2474">
        <v>0</v>
      </c>
      <c r="BE2474">
        <v>0</v>
      </c>
      <c r="BF2474">
        <v>0</v>
      </c>
      <c r="BG2474">
        <v>0</v>
      </c>
      <c r="BH2474">
        <v>1</v>
      </c>
      <c r="BI2474">
        <v>5</v>
      </c>
      <c r="BJ2474">
        <v>13.1</v>
      </c>
      <c r="BK2474">
        <v>13.5</v>
      </c>
      <c r="BL2474">
        <v>472.06</v>
      </c>
      <c r="BM2474">
        <v>70.81</v>
      </c>
      <c r="BN2474">
        <v>542.87</v>
      </c>
      <c r="BO2474">
        <v>542.87</v>
      </c>
      <c r="BQ2474" t="s">
        <v>93</v>
      </c>
      <c r="BR2474" t="s">
        <v>84</v>
      </c>
      <c r="BS2474" s="3">
        <v>45798</v>
      </c>
      <c r="BT2474" s="4">
        <v>0.38680555555555557</v>
      </c>
      <c r="BU2474" t="s">
        <v>2636</v>
      </c>
      <c r="BV2474" t="s">
        <v>86</v>
      </c>
      <c r="BY2474">
        <v>65596</v>
      </c>
      <c r="CA2474" t="s">
        <v>95</v>
      </c>
      <c r="CC2474" t="s">
        <v>91</v>
      </c>
      <c r="CD2474">
        <v>6001</v>
      </c>
      <c r="CE2474" t="s">
        <v>96</v>
      </c>
      <c r="CF2474" s="3">
        <v>45798</v>
      </c>
      <c r="CI2474">
        <v>1</v>
      </c>
      <c r="CJ2474">
        <v>1</v>
      </c>
      <c r="CK2474">
        <v>21</v>
      </c>
      <c r="CL2474" t="s">
        <v>89</v>
      </c>
    </row>
    <row r="2475" spans="1:90" x14ac:dyDescent="0.3">
      <c r="A2475" t="s">
        <v>72</v>
      </c>
      <c r="B2475" t="s">
        <v>73</v>
      </c>
      <c r="C2475" t="s">
        <v>74</v>
      </c>
      <c r="E2475" t="str">
        <f>"080065472985"</f>
        <v>080065472985</v>
      </c>
      <c r="F2475" s="3">
        <v>45797</v>
      </c>
      <c r="G2475">
        <v>202602</v>
      </c>
      <c r="H2475" t="s">
        <v>75</v>
      </c>
      <c r="I2475" t="s">
        <v>76</v>
      </c>
      <c r="J2475" t="s">
        <v>77</v>
      </c>
      <c r="K2475" t="s">
        <v>78</v>
      </c>
      <c r="L2475" t="s">
        <v>117</v>
      </c>
      <c r="M2475" t="s">
        <v>118</v>
      </c>
      <c r="N2475" t="s">
        <v>1019</v>
      </c>
      <c r="O2475" t="s">
        <v>82</v>
      </c>
      <c r="P2475" t="str">
        <f>"4170039673                    "</f>
        <v xml:space="preserve">4170039673                    </v>
      </c>
      <c r="Q2475">
        <v>0</v>
      </c>
      <c r="R2475">
        <v>0</v>
      </c>
      <c r="S2475">
        <v>0</v>
      </c>
      <c r="T2475">
        <v>0</v>
      </c>
      <c r="U2475">
        <v>0</v>
      </c>
      <c r="V2475">
        <v>0</v>
      </c>
      <c r="W2475">
        <v>0</v>
      </c>
      <c r="X2475">
        <v>0</v>
      </c>
      <c r="Y2475">
        <v>0</v>
      </c>
      <c r="Z2475">
        <v>0</v>
      </c>
      <c r="AA2475">
        <v>0</v>
      </c>
      <c r="AB2475">
        <v>0</v>
      </c>
      <c r="AC2475">
        <v>0</v>
      </c>
      <c r="AD2475">
        <v>0</v>
      </c>
      <c r="AE2475">
        <v>0</v>
      </c>
      <c r="AF2475">
        <v>0</v>
      </c>
      <c r="AG2475">
        <v>0</v>
      </c>
      <c r="AH2475">
        <v>0</v>
      </c>
      <c r="AI2475">
        <v>0</v>
      </c>
      <c r="AJ2475">
        <v>0</v>
      </c>
      <c r="AK2475">
        <v>0</v>
      </c>
      <c r="AL2475">
        <v>0</v>
      </c>
      <c r="AM2475">
        <v>0</v>
      </c>
      <c r="AN2475">
        <v>0</v>
      </c>
      <c r="AO2475">
        <v>0</v>
      </c>
      <c r="AP2475">
        <v>0</v>
      </c>
      <c r="AQ2475">
        <v>16.7</v>
      </c>
      <c r="AR2475">
        <v>0</v>
      </c>
      <c r="AS2475">
        <v>0</v>
      </c>
      <c r="AT2475">
        <v>0</v>
      </c>
      <c r="AU2475">
        <v>0</v>
      </c>
      <c r="AV2475">
        <v>0</v>
      </c>
      <c r="AW2475">
        <v>0</v>
      </c>
      <c r="AX2475">
        <v>0</v>
      </c>
      <c r="AY2475">
        <v>0</v>
      </c>
      <c r="AZ2475">
        <v>0</v>
      </c>
      <c r="BA2475">
        <v>0</v>
      </c>
      <c r="BB2475">
        <v>0</v>
      </c>
      <c r="BC2475">
        <v>0</v>
      </c>
      <c r="BD2475">
        <v>0</v>
      </c>
      <c r="BE2475">
        <v>0</v>
      </c>
      <c r="BF2475">
        <v>0</v>
      </c>
      <c r="BG2475">
        <v>0</v>
      </c>
      <c r="BH2475">
        <v>1</v>
      </c>
      <c r="BI2475">
        <v>1</v>
      </c>
      <c r="BJ2475">
        <v>0.2</v>
      </c>
      <c r="BK2475">
        <v>1</v>
      </c>
      <c r="BL2475">
        <v>54.66</v>
      </c>
      <c r="BM2475">
        <v>8.1999999999999993</v>
      </c>
      <c r="BN2475">
        <v>62.86</v>
      </c>
      <c r="BO2475">
        <v>62.86</v>
      </c>
      <c r="BQ2475" t="s">
        <v>1020</v>
      </c>
      <c r="BR2475" t="s">
        <v>84</v>
      </c>
      <c r="BS2475" s="3">
        <v>45798</v>
      </c>
      <c r="BT2475" s="4">
        <v>0.3125</v>
      </c>
      <c r="BU2475" t="s">
        <v>1021</v>
      </c>
      <c r="BV2475" t="s">
        <v>86</v>
      </c>
      <c r="BY2475">
        <v>1200</v>
      </c>
      <c r="CA2475" t="s">
        <v>275</v>
      </c>
      <c r="CC2475" t="s">
        <v>118</v>
      </c>
      <c r="CD2475">
        <v>2013</v>
      </c>
      <c r="CE2475" t="s">
        <v>88</v>
      </c>
      <c r="CF2475" s="3">
        <v>45798</v>
      </c>
      <c r="CI2475">
        <v>1</v>
      </c>
      <c r="CJ2475">
        <v>1</v>
      </c>
      <c r="CK2475">
        <v>22</v>
      </c>
      <c r="CL2475" t="s">
        <v>89</v>
      </c>
    </row>
    <row r="2476" spans="1:90" x14ac:dyDescent="0.3">
      <c r="A2476" t="s">
        <v>72</v>
      </c>
      <c r="B2476" t="s">
        <v>73</v>
      </c>
      <c r="C2476" t="s">
        <v>74</v>
      </c>
      <c r="E2476" t="str">
        <f>"080065473013"</f>
        <v>080065473013</v>
      </c>
      <c r="F2476" s="3">
        <v>45797</v>
      </c>
      <c r="G2476">
        <v>202602</v>
      </c>
      <c r="H2476" t="s">
        <v>75</v>
      </c>
      <c r="I2476" t="s">
        <v>76</v>
      </c>
      <c r="J2476" t="s">
        <v>77</v>
      </c>
      <c r="K2476" t="s">
        <v>78</v>
      </c>
      <c r="L2476" t="s">
        <v>463</v>
      </c>
      <c r="M2476" t="s">
        <v>464</v>
      </c>
      <c r="N2476" t="s">
        <v>883</v>
      </c>
      <c r="O2476" t="s">
        <v>82</v>
      </c>
      <c r="P2476" t="str">
        <f>"4170039707                    "</f>
        <v xml:space="preserve">4170039707                    </v>
      </c>
      <c r="Q2476">
        <v>0</v>
      </c>
      <c r="R2476">
        <v>0</v>
      </c>
      <c r="S2476">
        <v>0</v>
      </c>
      <c r="T2476">
        <v>0</v>
      </c>
      <c r="U2476">
        <v>0</v>
      </c>
      <c r="V2476">
        <v>0</v>
      </c>
      <c r="W2476">
        <v>0</v>
      </c>
      <c r="X2476">
        <v>0</v>
      </c>
      <c r="Y2476">
        <v>0</v>
      </c>
      <c r="Z2476">
        <v>0</v>
      </c>
      <c r="AA2476">
        <v>0</v>
      </c>
      <c r="AB2476">
        <v>0</v>
      </c>
      <c r="AC2476">
        <v>0</v>
      </c>
      <c r="AD2476">
        <v>0</v>
      </c>
      <c r="AE2476">
        <v>0</v>
      </c>
      <c r="AF2476">
        <v>0</v>
      </c>
      <c r="AG2476">
        <v>0</v>
      </c>
      <c r="AH2476">
        <v>0</v>
      </c>
      <c r="AI2476">
        <v>0</v>
      </c>
      <c r="AJ2476">
        <v>0</v>
      </c>
      <c r="AK2476">
        <v>0</v>
      </c>
      <c r="AL2476">
        <v>0</v>
      </c>
      <c r="AM2476">
        <v>0</v>
      </c>
      <c r="AN2476">
        <v>0</v>
      </c>
      <c r="AO2476">
        <v>0</v>
      </c>
      <c r="AP2476">
        <v>0</v>
      </c>
      <c r="AQ2476">
        <v>21.38</v>
      </c>
      <c r="AR2476">
        <v>0</v>
      </c>
      <c r="AS2476">
        <v>0</v>
      </c>
      <c r="AT2476">
        <v>0</v>
      </c>
      <c r="AU2476">
        <v>0</v>
      </c>
      <c r="AV2476">
        <v>0</v>
      </c>
      <c r="AW2476">
        <v>0</v>
      </c>
      <c r="AX2476">
        <v>0</v>
      </c>
      <c r="AY2476">
        <v>0</v>
      </c>
      <c r="AZ2476">
        <v>0</v>
      </c>
      <c r="BA2476">
        <v>0</v>
      </c>
      <c r="BB2476">
        <v>0</v>
      </c>
      <c r="BC2476">
        <v>0</v>
      </c>
      <c r="BD2476">
        <v>0</v>
      </c>
      <c r="BE2476">
        <v>0</v>
      </c>
      <c r="BF2476">
        <v>0</v>
      </c>
      <c r="BG2476">
        <v>0</v>
      </c>
      <c r="BH2476">
        <v>1</v>
      </c>
      <c r="BI2476">
        <v>1</v>
      </c>
      <c r="BJ2476">
        <v>0.2</v>
      </c>
      <c r="BK2476">
        <v>1</v>
      </c>
      <c r="BL2476">
        <v>69.98</v>
      </c>
      <c r="BM2476">
        <v>10.5</v>
      </c>
      <c r="BN2476">
        <v>80.48</v>
      </c>
      <c r="BO2476">
        <v>80.48</v>
      </c>
      <c r="BQ2476" t="s">
        <v>884</v>
      </c>
      <c r="BR2476" t="s">
        <v>84</v>
      </c>
      <c r="BS2476" s="3">
        <v>45798</v>
      </c>
      <c r="BT2476" s="4">
        <v>0.49583333333333335</v>
      </c>
      <c r="BU2476" t="s">
        <v>885</v>
      </c>
      <c r="BV2476" t="s">
        <v>89</v>
      </c>
      <c r="BY2476">
        <v>1200</v>
      </c>
      <c r="CC2476" t="s">
        <v>464</v>
      </c>
      <c r="CD2476">
        <v>5201</v>
      </c>
      <c r="CE2476" t="s">
        <v>88</v>
      </c>
      <c r="CF2476" s="3">
        <v>45798</v>
      </c>
      <c r="CI2476">
        <v>1</v>
      </c>
      <c r="CJ2476">
        <v>1</v>
      </c>
      <c r="CK2476">
        <v>21</v>
      </c>
      <c r="CL2476" t="s">
        <v>89</v>
      </c>
    </row>
    <row r="2477" spans="1:90" x14ac:dyDescent="0.3">
      <c r="A2477" t="s">
        <v>72</v>
      </c>
      <c r="B2477" t="s">
        <v>73</v>
      </c>
      <c r="C2477" t="s">
        <v>74</v>
      </c>
      <c r="E2477" t="str">
        <f>"080065473174"</f>
        <v>080065473174</v>
      </c>
      <c r="F2477" s="3">
        <v>45797</v>
      </c>
      <c r="G2477">
        <v>202602</v>
      </c>
      <c r="H2477" t="s">
        <v>75</v>
      </c>
      <c r="I2477" t="s">
        <v>76</v>
      </c>
      <c r="J2477" t="s">
        <v>77</v>
      </c>
      <c r="K2477" t="s">
        <v>78</v>
      </c>
      <c r="L2477" t="s">
        <v>136</v>
      </c>
      <c r="M2477" t="s">
        <v>137</v>
      </c>
      <c r="N2477" t="s">
        <v>2262</v>
      </c>
      <c r="O2477" t="s">
        <v>82</v>
      </c>
      <c r="P2477" t="str">
        <f>"4170039628                    "</f>
        <v xml:space="preserve">4170039628                    </v>
      </c>
      <c r="Q2477">
        <v>0</v>
      </c>
      <c r="R2477">
        <v>0</v>
      </c>
      <c r="S2477">
        <v>0</v>
      </c>
      <c r="T2477">
        <v>0</v>
      </c>
      <c r="U2477">
        <v>0</v>
      </c>
      <c r="V2477">
        <v>0</v>
      </c>
      <c r="W2477">
        <v>0</v>
      </c>
      <c r="X2477">
        <v>0</v>
      </c>
      <c r="Y2477">
        <v>0</v>
      </c>
      <c r="Z2477">
        <v>0</v>
      </c>
      <c r="AA2477">
        <v>0</v>
      </c>
      <c r="AB2477">
        <v>0</v>
      </c>
      <c r="AC2477">
        <v>0</v>
      </c>
      <c r="AD2477">
        <v>0</v>
      </c>
      <c r="AE2477">
        <v>0</v>
      </c>
      <c r="AF2477">
        <v>0</v>
      </c>
      <c r="AG2477">
        <v>0</v>
      </c>
      <c r="AH2477">
        <v>0</v>
      </c>
      <c r="AI2477">
        <v>0</v>
      </c>
      <c r="AJ2477">
        <v>0</v>
      </c>
      <c r="AK2477">
        <v>0</v>
      </c>
      <c r="AL2477">
        <v>0</v>
      </c>
      <c r="AM2477">
        <v>0</v>
      </c>
      <c r="AN2477">
        <v>0</v>
      </c>
      <c r="AO2477">
        <v>0</v>
      </c>
      <c r="AP2477">
        <v>0</v>
      </c>
      <c r="AQ2477">
        <v>21.38</v>
      </c>
      <c r="AR2477">
        <v>0</v>
      </c>
      <c r="AS2477">
        <v>0</v>
      </c>
      <c r="AT2477">
        <v>0</v>
      </c>
      <c r="AU2477">
        <v>0</v>
      </c>
      <c r="AV2477">
        <v>0</v>
      </c>
      <c r="AW2477">
        <v>0</v>
      </c>
      <c r="AX2477">
        <v>0</v>
      </c>
      <c r="AY2477">
        <v>0</v>
      </c>
      <c r="AZ2477">
        <v>0</v>
      </c>
      <c r="BA2477">
        <v>0</v>
      </c>
      <c r="BB2477">
        <v>0</v>
      </c>
      <c r="BC2477">
        <v>0</v>
      </c>
      <c r="BD2477">
        <v>0</v>
      </c>
      <c r="BE2477">
        <v>0</v>
      </c>
      <c r="BF2477">
        <v>0</v>
      </c>
      <c r="BG2477">
        <v>0</v>
      </c>
      <c r="BH2477">
        <v>1</v>
      </c>
      <c r="BI2477">
        <v>1</v>
      </c>
      <c r="BJ2477">
        <v>0.2</v>
      </c>
      <c r="BK2477">
        <v>1</v>
      </c>
      <c r="BL2477">
        <v>69.98</v>
      </c>
      <c r="BM2477">
        <v>10.5</v>
      </c>
      <c r="BN2477">
        <v>80.48</v>
      </c>
      <c r="BO2477">
        <v>80.48</v>
      </c>
      <c r="BQ2477" t="s">
        <v>2263</v>
      </c>
      <c r="BR2477" t="s">
        <v>84</v>
      </c>
      <c r="BS2477" s="3">
        <v>45798</v>
      </c>
      <c r="BT2477" s="4">
        <v>0.4375</v>
      </c>
      <c r="BU2477" t="s">
        <v>2264</v>
      </c>
      <c r="BV2477" t="s">
        <v>86</v>
      </c>
      <c r="BY2477">
        <v>1200</v>
      </c>
      <c r="CA2477" t="s">
        <v>779</v>
      </c>
      <c r="CC2477" t="s">
        <v>137</v>
      </c>
      <c r="CD2477" s="5" t="s">
        <v>1786</v>
      </c>
      <c r="CE2477" t="s">
        <v>88</v>
      </c>
      <c r="CF2477" s="3">
        <v>45798</v>
      </c>
      <c r="CI2477">
        <v>1</v>
      </c>
      <c r="CJ2477">
        <v>1</v>
      </c>
      <c r="CK2477">
        <v>21</v>
      </c>
      <c r="CL2477" t="s">
        <v>89</v>
      </c>
    </row>
    <row r="2478" spans="1:90" x14ac:dyDescent="0.3">
      <c r="A2478" t="s">
        <v>72</v>
      </c>
      <c r="B2478" t="s">
        <v>73</v>
      </c>
      <c r="C2478" t="s">
        <v>74</v>
      </c>
      <c r="E2478" t="str">
        <f>"080065473345"</f>
        <v>080065473345</v>
      </c>
      <c r="F2478" s="3">
        <v>45797</v>
      </c>
      <c r="G2478">
        <v>202602</v>
      </c>
      <c r="H2478" t="s">
        <v>75</v>
      </c>
      <c r="I2478" t="s">
        <v>76</v>
      </c>
      <c r="J2478" t="s">
        <v>77</v>
      </c>
      <c r="K2478" t="s">
        <v>78</v>
      </c>
      <c r="L2478" t="s">
        <v>75</v>
      </c>
      <c r="M2478" t="s">
        <v>76</v>
      </c>
      <c r="N2478" t="s">
        <v>390</v>
      </c>
      <c r="O2478" t="s">
        <v>82</v>
      </c>
      <c r="P2478" t="str">
        <f>"4170039699                    "</f>
        <v xml:space="preserve">4170039699                    </v>
      </c>
      <c r="Q2478">
        <v>0</v>
      </c>
      <c r="R2478">
        <v>0</v>
      </c>
      <c r="S2478">
        <v>0</v>
      </c>
      <c r="T2478">
        <v>0</v>
      </c>
      <c r="U2478">
        <v>0</v>
      </c>
      <c r="V2478">
        <v>0</v>
      </c>
      <c r="W2478">
        <v>0</v>
      </c>
      <c r="X2478">
        <v>0</v>
      </c>
      <c r="Y2478">
        <v>0</v>
      </c>
      <c r="Z2478">
        <v>0</v>
      </c>
      <c r="AA2478">
        <v>0</v>
      </c>
      <c r="AB2478">
        <v>0</v>
      </c>
      <c r="AC2478">
        <v>0</v>
      </c>
      <c r="AD2478">
        <v>0</v>
      </c>
      <c r="AE2478">
        <v>0</v>
      </c>
      <c r="AF2478">
        <v>0</v>
      </c>
      <c r="AG2478">
        <v>0</v>
      </c>
      <c r="AH2478">
        <v>0</v>
      </c>
      <c r="AI2478">
        <v>0</v>
      </c>
      <c r="AJ2478">
        <v>0</v>
      </c>
      <c r="AK2478">
        <v>0</v>
      </c>
      <c r="AL2478">
        <v>0</v>
      </c>
      <c r="AM2478">
        <v>0</v>
      </c>
      <c r="AN2478">
        <v>0</v>
      </c>
      <c r="AO2478">
        <v>0</v>
      </c>
      <c r="AP2478">
        <v>0</v>
      </c>
      <c r="AQ2478">
        <v>16.7</v>
      </c>
      <c r="AR2478">
        <v>0</v>
      </c>
      <c r="AS2478">
        <v>0</v>
      </c>
      <c r="AT2478">
        <v>0</v>
      </c>
      <c r="AU2478">
        <v>0</v>
      </c>
      <c r="AV2478">
        <v>0</v>
      </c>
      <c r="AW2478">
        <v>0</v>
      </c>
      <c r="AX2478">
        <v>0</v>
      </c>
      <c r="AY2478">
        <v>0</v>
      </c>
      <c r="AZ2478">
        <v>0</v>
      </c>
      <c r="BA2478">
        <v>0</v>
      </c>
      <c r="BB2478">
        <v>0</v>
      </c>
      <c r="BC2478">
        <v>0</v>
      </c>
      <c r="BD2478">
        <v>0</v>
      </c>
      <c r="BE2478">
        <v>0</v>
      </c>
      <c r="BF2478">
        <v>0</v>
      </c>
      <c r="BG2478">
        <v>0</v>
      </c>
      <c r="BH2478">
        <v>1</v>
      </c>
      <c r="BI2478">
        <v>1</v>
      </c>
      <c r="BJ2478">
        <v>0.2</v>
      </c>
      <c r="BK2478">
        <v>1</v>
      </c>
      <c r="BL2478">
        <v>54.66</v>
      </c>
      <c r="BM2478">
        <v>8.1999999999999993</v>
      </c>
      <c r="BN2478">
        <v>62.86</v>
      </c>
      <c r="BO2478">
        <v>62.86</v>
      </c>
      <c r="BQ2478" t="s">
        <v>391</v>
      </c>
      <c r="BR2478" t="s">
        <v>84</v>
      </c>
      <c r="BS2478" s="3">
        <v>45798</v>
      </c>
      <c r="BT2478" s="4">
        <v>0.35902777777777778</v>
      </c>
      <c r="BU2478" t="s">
        <v>2642</v>
      </c>
      <c r="BV2478" t="s">
        <v>86</v>
      </c>
      <c r="BY2478">
        <v>1200</v>
      </c>
      <c r="CA2478" t="s">
        <v>115</v>
      </c>
      <c r="CC2478" t="s">
        <v>76</v>
      </c>
      <c r="CD2478">
        <v>1600</v>
      </c>
      <c r="CE2478" t="s">
        <v>88</v>
      </c>
      <c r="CF2478" s="3">
        <v>45798</v>
      </c>
      <c r="CI2478">
        <v>1</v>
      </c>
      <c r="CJ2478">
        <v>1</v>
      </c>
      <c r="CK2478">
        <v>22</v>
      </c>
      <c r="CL2478" t="s">
        <v>89</v>
      </c>
    </row>
    <row r="2479" spans="1:90" x14ac:dyDescent="0.3">
      <c r="A2479" t="s">
        <v>72</v>
      </c>
      <c r="B2479" t="s">
        <v>73</v>
      </c>
      <c r="C2479" t="s">
        <v>74</v>
      </c>
      <c r="E2479" t="str">
        <f>"080065473359"</f>
        <v>080065473359</v>
      </c>
      <c r="F2479" s="3">
        <v>45797</v>
      </c>
      <c r="G2479">
        <v>202602</v>
      </c>
      <c r="H2479" t="s">
        <v>75</v>
      </c>
      <c r="I2479" t="s">
        <v>76</v>
      </c>
      <c r="J2479" t="s">
        <v>77</v>
      </c>
      <c r="K2479" t="s">
        <v>78</v>
      </c>
      <c r="L2479" t="s">
        <v>222</v>
      </c>
      <c r="M2479" t="s">
        <v>223</v>
      </c>
      <c r="N2479" t="s">
        <v>1967</v>
      </c>
      <c r="O2479" t="s">
        <v>82</v>
      </c>
      <c r="P2479" t="str">
        <f>"4170039697                    "</f>
        <v xml:space="preserve">4170039697                    </v>
      </c>
      <c r="Q2479">
        <v>0</v>
      </c>
      <c r="R2479">
        <v>0</v>
      </c>
      <c r="S2479">
        <v>0</v>
      </c>
      <c r="T2479">
        <v>0</v>
      </c>
      <c r="U2479">
        <v>0</v>
      </c>
      <c r="V2479">
        <v>0</v>
      </c>
      <c r="W2479">
        <v>0</v>
      </c>
      <c r="X2479">
        <v>0</v>
      </c>
      <c r="Y2479">
        <v>0</v>
      </c>
      <c r="Z2479">
        <v>0</v>
      </c>
      <c r="AA2479">
        <v>0</v>
      </c>
      <c r="AB2479">
        <v>0</v>
      </c>
      <c r="AC2479">
        <v>0</v>
      </c>
      <c r="AD2479">
        <v>0</v>
      </c>
      <c r="AE2479">
        <v>0</v>
      </c>
      <c r="AF2479">
        <v>0</v>
      </c>
      <c r="AG2479">
        <v>0</v>
      </c>
      <c r="AH2479">
        <v>0</v>
      </c>
      <c r="AI2479">
        <v>0</v>
      </c>
      <c r="AJ2479">
        <v>0</v>
      </c>
      <c r="AK2479">
        <v>0</v>
      </c>
      <c r="AL2479">
        <v>0</v>
      </c>
      <c r="AM2479">
        <v>0</v>
      </c>
      <c r="AN2479">
        <v>0</v>
      </c>
      <c r="AO2479">
        <v>0</v>
      </c>
      <c r="AP2479">
        <v>0</v>
      </c>
      <c r="AQ2479">
        <v>30.07</v>
      </c>
      <c r="AR2479">
        <v>0</v>
      </c>
      <c r="AS2479">
        <v>0</v>
      </c>
      <c r="AT2479">
        <v>0</v>
      </c>
      <c r="AU2479">
        <v>0</v>
      </c>
      <c r="AV2479">
        <v>0</v>
      </c>
      <c r="AW2479">
        <v>0</v>
      </c>
      <c r="AX2479">
        <v>0</v>
      </c>
      <c r="AY2479">
        <v>0</v>
      </c>
      <c r="AZ2479">
        <v>0</v>
      </c>
      <c r="BA2479">
        <v>0</v>
      </c>
      <c r="BB2479">
        <v>0</v>
      </c>
      <c r="BC2479">
        <v>0</v>
      </c>
      <c r="BD2479">
        <v>0</v>
      </c>
      <c r="BE2479">
        <v>0</v>
      </c>
      <c r="BF2479">
        <v>0</v>
      </c>
      <c r="BG2479">
        <v>0</v>
      </c>
      <c r="BH2479">
        <v>1</v>
      </c>
      <c r="BI2479">
        <v>1</v>
      </c>
      <c r="BJ2479">
        <v>0.2</v>
      </c>
      <c r="BK2479">
        <v>1</v>
      </c>
      <c r="BL2479">
        <v>98.42</v>
      </c>
      <c r="BM2479">
        <v>14.76</v>
      </c>
      <c r="BN2479">
        <v>113.18</v>
      </c>
      <c r="BO2479">
        <v>113.18</v>
      </c>
      <c r="BQ2479" t="s">
        <v>1968</v>
      </c>
      <c r="BR2479" t="s">
        <v>84</v>
      </c>
      <c r="BS2479" s="3">
        <v>45798</v>
      </c>
      <c r="BT2479" s="4">
        <v>0.40416666666666667</v>
      </c>
      <c r="BU2479" t="s">
        <v>1183</v>
      </c>
      <c r="BV2479" t="s">
        <v>86</v>
      </c>
      <c r="BY2479">
        <v>1200</v>
      </c>
      <c r="CA2479" t="s">
        <v>2732</v>
      </c>
      <c r="CC2479" t="s">
        <v>223</v>
      </c>
      <c r="CD2479">
        <v>1756</v>
      </c>
      <c r="CE2479" t="s">
        <v>88</v>
      </c>
      <c r="CF2479" s="3">
        <v>45798</v>
      </c>
      <c r="CI2479">
        <v>1</v>
      </c>
      <c r="CJ2479">
        <v>1</v>
      </c>
      <c r="CK2479">
        <v>24</v>
      </c>
      <c r="CL2479" t="s">
        <v>89</v>
      </c>
    </row>
    <row r="2480" spans="1:90" x14ac:dyDescent="0.3">
      <c r="A2480" t="s">
        <v>72</v>
      </c>
      <c r="B2480" t="s">
        <v>73</v>
      </c>
      <c r="C2480" t="s">
        <v>74</v>
      </c>
      <c r="E2480" t="str">
        <f>"080065473389"</f>
        <v>080065473389</v>
      </c>
      <c r="F2480" s="3">
        <v>45797</v>
      </c>
      <c r="G2480">
        <v>202602</v>
      </c>
      <c r="H2480" t="s">
        <v>75</v>
      </c>
      <c r="I2480" t="s">
        <v>76</v>
      </c>
      <c r="J2480" t="s">
        <v>77</v>
      </c>
      <c r="K2480" t="s">
        <v>78</v>
      </c>
      <c r="L2480" t="s">
        <v>972</v>
      </c>
      <c r="M2480" t="s">
        <v>973</v>
      </c>
      <c r="N2480" t="s">
        <v>974</v>
      </c>
      <c r="O2480" t="s">
        <v>82</v>
      </c>
      <c r="P2480" t="str">
        <f>"4170039705                    "</f>
        <v xml:space="preserve">4170039705                    </v>
      </c>
      <c r="Q2480">
        <v>0</v>
      </c>
      <c r="R2480">
        <v>0</v>
      </c>
      <c r="S2480">
        <v>0</v>
      </c>
      <c r="T2480">
        <v>0</v>
      </c>
      <c r="U2480">
        <v>0</v>
      </c>
      <c r="V2480">
        <v>0</v>
      </c>
      <c r="W2480">
        <v>0</v>
      </c>
      <c r="X2480">
        <v>0</v>
      </c>
      <c r="Y2480">
        <v>0</v>
      </c>
      <c r="Z2480">
        <v>0</v>
      </c>
      <c r="AA2480">
        <v>0</v>
      </c>
      <c r="AB2480">
        <v>0</v>
      </c>
      <c r="AC2480">
        <v>0</v>
      </c>
      <c r="AD2480">
        <v>0</v>
      </c>
      <c r="AE2480">
        <v>0</v>
      </c>
      <c r="AF2480">
        <v>0</v>
      </c>
      <c r="AG2480">
        <v>0</v>
      </c>
      <c r="AH2480">
        <v>0</v>
      </c>
      <c r="AI2480">
        <v>0</v>
      </c>
      <c r="AJ2480">
        <v>0</v>
      </c>
      <c r="AK2480">
        <v>0</v>
      </c>
      <c r="AL2480">
        <v>0</v>
      </c>
      <c r="AM2480">
        <v>0</v>
      </c>
      <c r="AN2480">
        <v>0</v>
      </c>
      <c r="AO2480">
        <v>0</v>
      </c>
      <c r="AP2480">
        <v>0</v>
      </c>
      <c r="AQ2480">
        <v>16.7</v>
      </c>
      <c r="AR2480">
        <v>0</v>
      </c>
      <c r="AS2480">
        <v>0</v>
      </c>
      <c r="AT2480">
        <v>0</v>
      </c>
      <c r="AU2480">
        <v>0</v>
      </c>
      <c r="AV2480">
        <v>0</v>
      </c>
      <c r="AW2480">
        <v>0</v>
      </c>
      <c r="AX2480">
        <v>0</v>
      </c>
      <c r="AY2480">
        <v>0</v>
      </c>
      <c r="AZ2480">
        <v>0</v>
      </c>
      <c r="BA2480">
        <v>0</v>
      </c>
      <c r="BB2480">
        <v>0</v>
      </c>
      <c r="BC2480">
        <v>0</v>
      </c>
      <c r="BD2480">
        <v>0</v>
      </c>
      <c r="BE2480">
        <v>0</v>
      </c>
      <c r="BF2480">
        <v>0</v>
      </c>
      <c r="BG2480">
        <v>0</v>
      </c>
      <c r="BH2480">
        <v>1</v>
      </c>
      <c r="BI2480">
        <v>1</v>
      </c>
      <c r="BJ2480">
        <v>0.2</v>
      </c>
      <c r="BK2480">
        <v>1</v>
      </c>
      <c r="BL2480">
        <v>54.66</v>
      </c>
      <c r="BM2480">
        <v>8.1999999999999993</v>
      </c>
      <c r="BN2480">
        <v>62.86</v>
      </c>
      <c r="BO2480">
        <v>62.86</v>
      </c>
      <c r="BQ2480" t="s">
        <v>975</v>
      </c>
      <c r="BR2480" t="s">
        <v>84</v>
      </c>
      <c r="BS2480" s="3">
        <v>45798</v>
      </c>
      <c r="BT2480" s="4">
        <v>0.3923611111111111</v>
      </c>
      <c r="BU2480" t="s">
        <v>2733</v>
      </c>
      <c r="BV2480" t="s">
        <v>86</v>
      </c>
      <c r="BY2480">
        <v>1200</v>
      </c>
      <c r="CA2480" t="s">
        <v>1126</v>
      </c>
      <c r="CC2480" t="s">
        <v>973</v>
      </c>
      <c r="CD2480">
        <v>1724</v>
      </c>
      <c r="CE2480" t="s">
        <v>88</v>
      </c>
      <c r="CF2480" s="3">
        <v>45798</v>
      </c>
      <c r="CI2480">
        <v>1</v>
      </c>
      <c r="CJ2480">
        <v>1</v>
      </c>
      <c r="CK2480">
        <v>22</v>
      </c>
      <c r="CL2480" t="s">
        <v>89</v>
      </c>
    </row>
    <row r="2481" spans="1:90" x14ac:dyDescent="0.3">
      <c r="A2481" t="s">
        <v>72</v>
      </c>
      <c r="B2481" t="s">
        <v>73</v>
      </c>
      <c r="C2481" t="s">
        <v>74</v>
      </c>
      <c r="E2481" t="str">
        <f>"080065473391"</f>
        <v>080065473391</v>
      </c>
      <c r="F2481" s="3">
        <v>45797</v>
      </c>
      <c r="G2481">
        <v>202602</v>
      </c>
      <c r="H2481" t="s">
        <v>75</v>
      </c>
      <c r="I2481" t="s">
        <v>76</v>
      </c>
      <c r="J2481" t="s">
        <v>77</v>
      </c>
      <c r="K2481" t="s">
        <v>78</v>
      </c>
      <c r="L2481" t="s">
        <v>143</v>
      </c>
      <c r="M2481" t="s">
        <v>144</v>
      </c>
      <c r="N2481" t="s">
        <v>2734</v>
      </c>
      <c r="O2481" t="s">
        <v>82</v>
      </c>
      <c r="P2481" t="str">
        <f>"4170039704                    "</f>
        <v xml:space="preserve">4170039704                    </v>
      </c>
      <c r="Q2481">
        <v>0</v>
      </c>
      <c r="R2481">
        <v>0</v>
      </c>
      <c r="S2481">
        <v>0</v>
      </c>
      <c r="T2481">
        <v>0</v>
      </c>
      <c r="U2481">
        <v>0</v>
      </c>
      <c r="V2481">
        <v>0</v>
      </c>
      <c r="W2481">
        <v>0</v>
      </c>
      <c r="X2481">
        <v>0</v>
      </c>
      <c r="Y2481">
        <v>0</v>
      </c>
      <c r="Z2481">
        <v>0</v>
      </c>
      <c r="AA2481">
        <v>0</v>
      </c>
      <c r="AB2481">
        <v>0</v>
      </c>
      <c r="AC2481">
        <v>0</v>
      </c>
      <c r="AD2481">
        <v>0</v>
      </c>
      <c r="AE2481">
        <v>0</v>
      </c>
      <c r="AF2481">
        <v>0</v>
      </c>
      <c r="AG2481">
        <v>0</v>
      </c>
      <c r="AH2481">
        <v>0</v>
      </c>
      <c r="AI2481">
        <v>0</v>
      </c>
      <c r="AJ2481">
        <v>0</v>
      </c>
      <c r="AK2481">
        <v>0</v>
      </c>
      <c r="AL2481">
        <v>0</v>
      </c>
      <c r="AM2481">
        <v>0</v>
      </c>
      <c r="AN2481">
        <v>0</v>
      </c>
      <c r="AO2481">
        <v>0</v>
      </c>
      <c r="AP2481">
        <v>0</v>
      </c>
      <c r="AQ2481">
        <v>16.7</v>
      </c>
      <c r="AR2481">
        <v>0</v>
      </c>
      <c r="AS2481">
        <v>0</v>
      </c>
      <c r="AT2481">
        <v>0</v>
      </c>
      <c r="AU2481">
        <v>0</v>
      </c>
      <c r="AV2481">
        <v>0</v>
      </c>
      <c r="AW2481">
        <v>0</v>
      </c>
      <c r="AX2481">
        <v>0</v>
      </c>
      <c r="AY2481">
        <v>0</v>
      </c>
      <c r="AZ2481">
        <v>0</v>
      </c>
      <c r="BA2481">
        <v>0</v>
      </c>
      <c r="BB2481">
        <v>0</v>
      </c>
      <c r="BC2481">
        <v>0</v>
      </c>
      <c r="BD2481">
        <v>0</v>
      </c>
      <c r="BE2481">
        <v>0</v>
      </c>
      <c r="BF2481">
        <v>0</v>
      </c>
      <c r="BG2481">
        <v>0</v>
      </c>
      <c r="BH2481">
        <v>1</v>
      </c>
      <c r="BI2481">
        <v>1</v>
      </c>
      <c r="BJ2481">
        <v>0.2</v>
      </c>
      <c r="BK2481">
        <v>1</v>
      </c>
      <c r="BL2481">
        <v>54.66</v>
      </c>
      <c r="BM2481">
        <v>8.1999999999999993</v>
      </c>
      <c r="BN2481">
        <v>62.86</v>
      </c>
      <c r="BO2481">
        <v>62.86</v>
      </c>
      <c r="BQ2481" t="s">
        <v>2735</v>
      </c>
      <c r="BR2481" t="s">
        <v>84</v>
      </c>
      <c r="BS2481" s="3">
        <v>45798</v>
      </c>
      <c r="BT2481" s="4">
        <v>0.44583333333333336</v>
      </c>
      <c r="BU2481" t="s">
        <v>2736</v>
      </c>
      <c r="BV2481" t="s">
        <v>89</v>
      </c>
      <c r="BY2481">
        <v>1200</v>
      </c>
      <c r="CA2481" t="s">
        <v>2655</v>
      </c>
      <c r="CC2481" t="s">
        <v>144</v>
      </c>
      <c r="CD2481">
        <v>1401</v>
      </c>
      <c r="CE2481" t="s">
        <v>88</v>
      </c>
      <c r="CF2481" s="3">
        <v>45798</v>
      </c>
      <c r="CI2481">
        <v>1</v>
      </c>
      <c r="CJ2481">
        <v>1</v>
      </c>
      <c r="CK2481">
        <v>22</v>
      </c>
      <c r="CL2481" t="s">
        <v>89</v>
      </c>
    </row>
    <row r="2482" spans="1:90" x14ac:dyDescent="0.3">
      <c r="A2482" t="s">
        <v>72</v>
      </c>
      <c r="B2482" t="s">
        <v>73</v>
      </c>
      <c r="C2482" t="s">
        <v>74</v>
      </c>
      <c r="E2482" t="str">
        <f>"080065473490"</f>
        <v>080065473490</v>
      </c>
      <c r="F2482" s="3">
        <v>45797</v>
      </c>
      <c r="G2482">
        <v>202602</v>
      </c>
      <c r="H2482" t="s">
        <v>75</v>
      </c>
      <c r="I2482" t="s">
        <v>76</v>
      </c>
      <c r="J2482" t="s">
        <v>77</v>
      </c>
      <c r="K2482" t="s">
        <v>78</v>
      </c>
      <c r="L2482" t="s">
        <v>75</v>
      </c>
      <c r="M2482" t="s">
        <v>76</v>
      </c>
      <c r="N2482" t="s">
        <v>346</v>
      </c>
      <c r="O2482" t="s">
        <v>82</v>
      </c>
      <c r="P2482" t="str">
        <f>"4170039593                    "</f>
        <v xml:space="preserve">4170039593                    </v>
      </c>
      <c r="Q2482">
        <v>0</v>
      </c>
      <c r="R2482">
        <v>0</v>
      </c>
      <c r="S2482">
        <v>0</v>
      </c>
      <c r="T2482">
        <v>0</v>
      </c>
      <c r="U2482">
        <v>0</v>
      </c>
      <c r="V2482">
        <v>0</v>
      </c>
      <c r="W2482">
        <v>0</v>
      </c>
      <c r="X2482">
        <v>0</v>
      </c>
      <c r="Y2482">
        <v>0</v>
      </c>
      <c r="Z2482">
        <v>0</v>
      </c>
      <c r="AA2482">
        <v>0</v>
      </c>
      <c r="AB2482">
        <v>0</v>
      </c>
      <c r="AC2482">
        <v>0</v>
      </c>
      <c r="AD2482">
        <v>0</v>
      </c>
      <c r="AE2482">
        <v>0</v>
      </c>
      <c r="AF2482">
        <v>0</v>
      </c>
      <c r="AG2482">
        <v>0</v>
      </c>
      <c r="AH2482">
        <v>0</v>
      </c>
      <c r="AI2482">
        <v>0</v>
      </c>
      <c r="AJ2482">
        <v>0</v>
      </c>
      <c r="AK2482">
        <v>0</v>
      </c>
      <c r="AL2482">
        <v>0</v>
      </c>
      <c r="AM2482">
        <v>0</v>
      </c>
      <c r="AN2482">
        <v>0</v>
      </c>
      <c r="AO2482">
        <v>0</v>
      </c>
      <c r="AP2482">
        <v>0</v>
      </c>
      <c r="AQ2482">
        <v>16.7</v>
      </c>
      <c r="AR2482">
        <v>0</v>
      </c>
      <c r="AS2482">
        <v>0</v>
      </c>
      <c r="AT2482">
        <v>0</v>
      </c>
      <c r="AU2482">
        <v>0</v>
      </c>
      <c r="AV2482">
        <v>0</v>
      </c>
      <c r="AW2482">
        <v>0</v>
      </c>
      <c r="AX2482">
        <v>0</v>
      </c>
      <c r="AY2482">
        <v>0</v>
      </c>
      <c r="AZ2482">
        <v>0</v>
      </c>
      <c r="BA2482">
        <v>0</v>
      </c>
      <c r="BB2482">
        <v>0</v>
      </c>
      <c r="BC2482">
        <v>0</v>
      </c>
      <c r="BD2482">
        <v>0</v>
      </c>
      <c r="BE2482">
        <v>0</v>
      </c>
      <c r="BF2482">
        <v>0</v>
      </c>
      <c r="BG2482">
        <v>0</v>
      </c>
      <c r="BH2482">
        <v>1</v>
      </c>
      <c r="BI2482">
        <v>1</v>
      </c>
      <c r="BJ2482">
        <v>0.2</v>
      </c>
      <c r="BK2482">
        <v>1</v>
      </c>
      <c r="BL2482">
        <v>54.66</v>
      </c>
      <c r="BM2482">
        <v>8.1999999999999993</v>
      </c>
      <c r="BN2482">
        <v>62.86</v>
      </c>
      <c r="BO2482">
        <v>62.86</v>
      </c>
      <c r="BQ2482" t="s">
        <v>347</v>
      </c>
      <c r="BR2482" t="s">
        <v>84</v>
      </c>
      <c r="BS2482" s="3">
        <v>45798</v>
      </c>
      <c r="BT2482" s="4">
        <v>0.38055555555555554</v>
      </c>
      <c r="BU2482" t="s">
        <v>407</v>
      </c>
      <c r="BV2482" t="s">
        <v>86</v>
      </c>
      <c r="BY2482">
        <v>1200</v>
      </c>
      <c r="CA2482" t="s">
        <v>349</v>
      </c>
      <c r="CC2482" t="s">
        <v>76</v>
      </c>
      <c r="CD2482">
        <v>1619</v>
      </c>
      <c r="CE2482" t="s">
        <v>88</v>
      </c>
      <c r="CF2482" s="3">
        <v>45798</v>
      </c>
      <c r="CI2482">
        <v>1</v>
      </c>
      <c r="CJ2482">
        <v>1</v>
      </c>
      <c r="CK2482">
        <v>22</v>
      </c>
      <c r="CL2482" t="s">
        <v>89</v>
      </c>
    </row>
    <row r="2483" spans="1:90" x14ac:dyDescent="0.3">
      <c r="A2483" t="s">
        <v>72</v>
      </c>
      <c r="B2483" t="s">
        <v>73</v>
      </c>
      <c r="C2483" t="s">
        <v>74</v>
      </c>
      <c r="E2483" t="str">
        <f>"080065473500"</f>
        <v>080065473500</v>
      </c>
      <c r="F2483" s="3">
        <v>45797</v>
      </c>
      <c r="G2483">
        <v>202602</v>
      </c>
      <c r="H2483" t="s">
        <v>75</v>
      </c>
      <c r="I2483" t="s">
        <v>76</v>
      </c>
      <c r="J2483" t="s">
        <v>77</v>
      </c>
      <c r="K2483" t="s">
        <v>78</v>
      </c>
      <c r="L2483" t="s">
        <v>75</v>
      </c>
      <c r="M2483" t="s">
        <v>76</v>
      </c>
      <c r="N2483" t="s">
        <v>1263</v>
      </c>
      <c r="O2483" t="s">
        <v>82</v>
      </c>
      <c r="P2483" t="str">
        <f>"4170039580                    "</f>
        <v xml:space="preserve">4170039580                    </v>
      </c>
      <c r="Q2483">
        <v>0</v>
      </c>
      <c r="R2483">
        <v>0</v>
      </c>
      <c r="S2483">
        <v>0</v>
      </c>
      <c r="T2483">
        <v>0</v>
      </c>
      <c r="U2483">
        <v>0</v>
      </c>
      <c r="V2483">
        <v>0</v>
      </c>
      <c r="W2483">
        <v>0</v>
      </c>
      <c r="X2483">
        <v>0</v>
      </c>
      <c r="Y2483">
        <v>0</v>
      </c>
      <c r="Z2483">
        <v>0</v>
      </c>
      <c r="AA2483">
        <v>0</v>
      </c>
      <c r="AB2483">
        <v>0</v>
      </c>
      <c r="AC2483">
        <v>0</v>
      </c>
      <c r="AD2483">
        <v>0</v>
      </c>
      <c r="AE2483">
        <v>0</v>
      </c>
      <c r="AF2483">
        <v>0</v>
      </c>
      <c r="AG2483">
        <v>0</v>
      </c>
      <c r="AH2483">
        <v>0</v>
      </c>
      <c r="AI2483">
        <v>0</v>
      </c>
      <c r="AJ2483">
        <v>0</v>
      </c>
      <c r="AK2483">
        <v>0</v>
      </c>
      <c r="AL2483">
        <v>0</v>
      </c>
      <c r="AM2483">
        <v>0</v>
      </c>
      <c r="AN2483">
        <v>0</v>
      </c>
      <c r="AO2483">
        <v>0</v>
      </c>
      <c r="AP2483">
        <v>0</v>
      </c>
      <c r="AQ2483">
        <v>16.7</v>
      </c>
      <c r="AR2483">
        <v>0</v>
      </c>
      <c r="AS2483">
        <v>0</v>
      </c>
      <c r="AT2483">
        <v>0</v>
      </c>
      <c r="AU2483">
        <v>0</v>
      </c>
      <c r="AV2483">
        <v>0</v>
      </c>
      <c r="AW2483">
        <v>0</v>
      </c>
      <c r="AX2483">
        <v>0</v>
      </c>
      <c r="AY2483">
        <v>0</v>
      </c>
      <c r="AZ2483">
        <v>0</v>
      </c>
      <c r="BA2483">
        <v>0</v>
      </c>
      <c r="BB2483">
        <v>0</v>
      </c>
      <c r="BC2483">
        <v>0</v>
      </c>
      <c r="BD2483">
        <v>0</v>
      </c>
      <c r="BE2483">
        <v>0</v>
      </c>
      <c r="BF2483">
        <v>0</v>
      </c>
      <c r="BG2483">
        <v>0</v>
      </c>
      <c r="BH2483">
        <v>1</v>
      </c>
      <c r="BI2483">
        <v>1</v>
      </c>
      <c r="BJ2483">
        <v>0.2</v>
      </c>
      <c r="BK2483">
        <v>1</v>
      </c>
      <c r="BL2483">
        <v>54.66</v>
      </c>
      <c r="BM2483">
        <v>8.1999999999999993</v>
      </c>
      <c r="BN2483">
        <v>62.86</v>
      </c>
      <c r="BO2483">
        <v>62.86</v>
      </c>
      <c r="BQ2483" t="s">
        <v>1264</v>
      </c>
      <c r="BR2483" t="s">
        <v>84</v>
      </c>
      <c r="BS2483" s="3">
        <v>45798</v>
      </c>
      <c r="BT2483" s="4">
        <v>0.30972222222222223</v>
      </c>
      <c r="BU2483" t="s">
        <v>2125</v>
      </c>
      <c r="BV2483" t="s">
        <v>86</v>
      </c>
      <c r="BY2483">
        <v>1200</v>
      </c>
      <c r="CA2483" t="s">
        <v>115</v>
      </c>
      <c r="CC2483" t="s">
        <v>76</v>
      </c>
      <c r="CD2483">
        <v>1600</v>
      </c>
      <c r="CE2483" t="s">
        <v>88</v>
      </c>
      <c r="CF2483" s="3">
        <v>45798</v>
      </c>
      <c r="CI2483">
        <v>1</v>
      </c>
      <c r="CJ2483">
        <v>1</v>
      </c>
      <c r="CK2483">
        <v>22</v>
      </c>
      <c r="CL2483" t="s">
        <v>89</v>
      </c>
    </row>
    <row r="2484" spans="1:90" x14ac:dyDescent="0.3">
      <c r="A2484" t="s">
        <v>72</v>
      </c>
      <c r="B2484" t="s">
        <v>73</v>
      </c>
      <c r="C2484" t="s">
        <v>74</v>
      </c>
      <c r="E2484" t="str">
        <f>"080065473522"</f>
        <v>080065473522</v>
      </c>
      <c r="F2484" s="3">
        <v>45797</v>
      </c>
      <c r="G2484">
        <v>202602</v>
      </c>
      <c r="H2484" t="s">
        <v>75</v>
      </c>
      <c r="I2484" t="s">
        <v>76</v>
      </c>
      <c r="J2484" t="s">
        <v>77</v>
      </c>
      <c r="K2484" t="s">
        <v>78</v>
      </c>
      <c r="L2484" t="s">
        <v>79</v>
      </c>
      <c r="M2484" t="s">
        <v>80</v>
      </c>
      <c r="N2484" t="s">
        <v>2737</v>
      </c>
      <c r="O2484" t="s">
        <v>82</v>
      </c>
      <c r="P2484" t="str">
        <f>"4170039685                    "</f>
        <v xml:space="preserve">4170039685                    </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c r="AI2484">
        <v>0</v>
      </c>
      <c r="AJ2484">
        <v>0</v>
      </c>
      <c r="AK2484">
        <v>0</v>
      </c>
      <c r="AL2484">
        <v>0</v>
      </c>
      <c r="AM2484">
        <v>0</v>
      </c>
      <c r="AN2484">
        <v>0</v>
      </c>
      <c r="AO2484">
        <v>0</v>
      </c>
      <c r="AP2484">
        <v>0</v>
      </c>
      <c r="AQ2484">
        <v>21.38</v>
      </c>
      <c r="AR2484">
        <v>0</v>
      </c>
      <c r="AS2484">
        <v>0</v>
      </c>
      <c r="AT2484">
        <v>0</v>
      </c>
      <c r="AU2484">
        <v>0</v>
      </c>
      <c r="AV2484">
        <v>0</v>
      </c>
      <c r="AW2484">
        <v>0</v>
      </c>
      <c r="AX2484">
        <v>0</v>
      </c>
      <c r="AY2484">
        <v>0</v>
      </c>
      <c r="AZ2484">
        <v>0</v>
      </c>
      <c r="BA2484">
        <v>0</v>
      </c>
      <c r="BB2484">
        <v>0</v>
      </c>
      <c r="BC2484">
        <v>0</v>
      </c>
      <c r="BD2484">
        <v>0</v>
      </c>
      <c r="BE2484">
        <v>0</v>
      </c>
      <c r="BF2484">
        <v>0</v>
      </c>
      <c r="BG2484">
        <v>0</v>
      </c>
      <c r="BH2484">
        <v>1</v>
      </c>
      <c r="BI2484">
        <v>1</v>
      </c>
      <c r="BJ2484">
        <v>0.2</v>
      </c>
      <c r="BK2484">
        <v>1</v>
      </c>
      <c r="BL2484">
        <v>69.98</v>
      </c>
      <c r="BM2484">
        <v>10.5</v>
      </c>
      <c r="BN2484">
        <v>80.48</v>
      </c>
      <c r="BO2484">
        <v>80.48</v>
      </c>
      <c r="BQ2484" t="s">
        <v>2738</v>
      </c>
      <c r="BR2484" t="s">
        <v>84</v>
      </c>
      <c r="BS2484" s="3">
        <v>45798</v>
      </c>
      <c r="BT2484" s="4">
        <v>0.42916666666666664</v>
      </c>
      <c r="BU2484" t="s">
        <v>2739</v>
      </c>
      <c r="BV2484" t="s">
        <v>86</v>
      </c>
      <c r="BY2484">
        <v>1200</v>
      </c>
      <c r="CA2484" t="s">
        <v>160</v>
      </c>
      <c r="CC2484" t="s">
        <v>80</v>
      </c>
      <c r="CD2484">
        <v>3610</v>
      </c>
      <c r="CE2484" t="s">
        <v>88</v>
      </c>
      <c r="CF2484" s="3">
        <v>45798</v>
      </c>
      <c r="CI2484">
        <v>1</v>
      </c>
      <c r="CJ2484">
        <v>1</v>
      </c>
      <c r="CK2484">
        <v>21</v>
      </c>
      <c r="CL2484" t="s">
        <v>89</v>
      </c>
    </row>
    <row r="2485" spans="1:90" x14ac:dyDescent="0.3">
      <c r="A2485" t="s">
        <v>72</v>
      </c>
      <c r="B2485" t="s">
        <v>73</v>
      </c>
      <c r="C2485" t="s">
        <v>74</v>
      </c>
      <c r="E2485" t="str">
        <f>"080065473523"</f>
        <v>080065473523</v>
      </c>
      <c r="F2485" s="3">
        <v>45797</v>
      </c>
      <c r="G2485">
        <v>202602</v>
      </c>
      <c r="H2485" t="s">
        <v>75</v>
      </c>
      <c r="I2485" t="s">
        <v>76</v>
      </c>
      <c r="J2485" t="s">
        <v>77</v>
      </c>
      <c r="K2485" t="s">
        <v>78</v>
      </c>
      <c r="L2485" t="s">
        <v>117</v>
      </c>
      <c r="M2485" t="s">
        <v>118</v>
      </c>
      <c r="N2485" t="s">
        <v>2740</v>
      </c>
      <c r="O2485" t="s">
        <v>82</v>
      </c>
      <c r="P2485" t="str">
        <f>"4170039721                    "</f>
        <v xml:space="preserve">4170039721                    </v>
      </c>
      <c r="Q2485">
        <v>0</v>
      </c>
      <c r="R2485">
        <v>0</v>
      </c>
      <c r="S2485">
        <v>0</v>
      </c>
      <c r="T2485">
        <v>0</v>
      </c>
      <c r="U2485">
        <v>0</v>
      </c>
      <c r="V2485">
        <v>0</v>
      </c>
      <c r="W2485">
        <v>0</v>
      </c>
      <c r="X2485">
        <v>0</v>
      </c>
      <c r="Y2485">
        <v>0</v>
      </c>
      <c r="Z2485">
        <v>0</v>
      </c>
      <c r="AA2485">
        <v>0</v>
      </c>
      <c r="AB2485">
        <v>0</v>
      </c>
      <c r="AC2485">
        <v>0</v>
      </c>
      <c r="AD2485">
        <v>0</v>
      </c>
      <c r="AE2485">
        <v>0</v>
      </c>
      <c r="AF2485">
        <v>0</v>
      </c>
      <c r="AG2485">
        <v>0</v>
      </c>
      <c r="AH2485">
        <v>0</v>
      </c>
      <c r="AI2485">
        <v>0</v>
      </c>
      <c r="AJ2485">
        <v>0</v>
      </c>
      <c r="AK2485">
        <v>0</v>
      </c>
      <c r="AL2485">
        <v>0</v>
      </c>
      <c r="AM2485">
        <v>0</v>
      </c>
      <c r="AN2485">
        <v>0</v>
      </c>
      <c r="AO2485">
        <v>0</v>
      </c>
      <c r="AP2485">
        <v>0</v>
      </c>
      <c r="AQ2485">
        <v>16.7</v>
      </c>
      <c r="AR2485">
        <v>0</v>
      </c>
      <c r="AS2485">
        <v>0</v>
      </c>
      <c r="AT2485">
        <v>0</v>
      </c>
      <c r="AU2485">
        <v>0</v>
      </c>
      <c r="AV2485">
        <v>0</v>
      </c>
      <c r="AW2485">
        <v>0</v>
      </c>
      <c r="AX2485">
        <v>0</v>
      </c>
      <c r="AY2485">
        <v>0</v>
      </c>
      <c r="AZ2485">
        <v>0</v>
      </c>
      <c r="BA2485">
        <v>0</v>
      </c>
      <c r="BB2485">
        <v>0</v>
      </c>
      <c r="BC2485">
        <v>0</v>
      </c>
      <c r="BD2485">
        <v>0</v>
      </c>
      <c r="BE2485">
        <v>0</v>
      </c>
      <c r="BF2485">
        <v>0</v>
      </c>
      <c r="BG2485">
        <v>0</v>
      </c>
      <c r="BH2485">
        <v>1</v>
      </c>
      <c r="BI2485">
        <v>2</v>
      </c>
      <c r="BJ2485">
        <v>3.4</v>
      </c>
      <c r="BK2485">
        <v>4</v>
      </c>
      <c r="BL2485">
        <v>54.66</v>
      </c>
      <c r="BM2485">
        <v>8.1999999999999993</v>
      </c>
      <c r="BN2485">
        <v>62.86</v>
      </c>
      <c r="BO2485">
        <v>62.86</v>
      </c>
      <c r="BQ2485" t="s">
        <v>2741</v>
      </c>
      <c r="BR2485" t="s">
        <v>84</v>
      </c>
      <c r="BS2485" s="3">
        <v>45798</v>
      </c>
      <c r="BT2485" s="4">
        <v>0.41666666666666669</v>
      </c>
      <c r="BU2485" t="s">
        <v>2742</v>
      </c>
      <c r="BV2485" t="s">
        <v>86</v>
      </c>
      <c r="BY2485">
        <v>16965</v>
      </c>
      <c r="CA2485" t="s">
        <v>2743</v>
      </c>
      <c r="CC2485" t="s">
        <v>118</v>
      </c>
      <c r="CD2485">
        <v>2090</v>
      </c>
      <c r="CE2485" t="s">
        <v>96</v>
      </c>
      <c r="CF2485" s="3">
        <v>45799</v>
      </c>
      <c r="CI2485">
        <v>1</v>
      </c>
      <c r="CJ2485">
        <v>1</v>
      </c>
      <c r="CK2485">
        <v>22</v>
      </c>
      <c r="CL2485" t="s">
        <v>89</v>
      </c>
    </row>
    <row r="2486" spans="1:90" x14ac:dyDescent="0.3">
      <c r="A2486" t="s">
        <v>72</v>
      </c>
      <c r="B2486" t="s">
        <v>73</v>
      </c>
      <c r="C2486" t="s">
        <v>74</v>
      </c>
      <c r="E2486" t="str">
        <f>"080065473546"</f>
        <v>080065473546</v>
      </c>
      <c r="F2486" s="3">
        <v>45797</v>
      </c>
      <c r="G2486">
        <v>202602</v>
      </c>
      <c r="H2486" t="s">
        <v>75</v>
      </c>
      <c r="I2486" t="s">
        <v>76</v>
      </c>
      <c r="J2486" t="s">
        <v>77</v>
      </c>
      <c r="K2486" t="s">
        <v>78</v>
      </c>
      <c r="L2486" t="s">
        <v>130</v>
      </c>
      <c r="M2486" t="s">
        <v>131</v>
      </c>
      <c r="N2486" t="s">
        <v>343</v>
      </c>
      <c r="O2486" t="s">
        <v>82</v>
      </c>
      <c r="P2486" t="str">
        <f>"4170039693                    "</f>
        <v xml:space="preserve">4170039693                    </v>
      </c>
      <c r="Q2486">
        <v>0</v>
      </c>
      <c r="R2486">
        <v>0</v>
      </c>
      <c r="S2486">
        <v>0</v>
      </c>
      <c r="T2486">
        <v>0</v>
      </c>
      <c r="U2486">
        <v>0</v>
      </c>
      <c r="V2486">
        <v>0</v>
      </c>
      <c r="W2486">
        <v>0</v>
      </c>
      <c r="X2486">
        <v>0</v>
      </c>
      <c r="Y2486">
        <v>0</v>
      </c>
      <c r="Z2486">
        <v>0</v>
      </c>
      <c r="AA2486">
        <v>0</v>
      </c>
      <c r="AB2486">
        <v>0</v>
      </c>
      <c r="AC2486">
        <v>0</v>
      </c>
      <c r="AD2486">
        <v>0</v>
      </c>
      <c r="AE2486">
        <v>0</v>
      </c>
      <c r="AF2486">
        <v>0</v>
      </c>
      <c r="AG2486">
        <v>0</v>
      </c>
      <c r="AH2486">
        <v>0</v>
      </c>
      <c r="AI2486">
        <v>0</v>
      </c>
      <c r="AJ2486">
        <v>0</v>
      </c>
      <c r="AK2486">
        <v>0</v>
      </c>
      <c r="AL2486">
        <v>0</v>
      </c>
      <c r="AM2486">
        <v>0</v>
      </c>
      <c r="AN2486">
        <v>0</v>
      </c>
      <c r="AO2486">
        <v>0</v>
      </c>
      <c r="AP2486">
        <v>0</v>
      </c>
      <c r="AQ2486">
        <v>21.38</v>
      </c>
      <c r="AR2486">
        <v>0</v>
      </c>
      <c r="AS2486">
        <v>0</v>
      </c>
      <c r="AT2486">
        <v>0</v>
      </c>
      <c r="AU2486">
        <v>0</v>
      </c>
      <c r="AV2486">
        <v>0</v>
      </c>
      <c r="AW2486">
        <v>0</v>
      </c>
      <c r="AX2486">
        <v>0</v>
      </c>
      <c r="AY2486">
        <v>0</v>
      </c>
      <c r="AZ2486">
        <v>0</v>
      </c>
      <c r="BA2486">
        <v>0</v>
      </c>
      <c r="BB2486">
        <v>0</v>
      </c>
      <c r="BC2486">
        <v>0</v>
      </c>
      <c r="BD2486">
        <v>0</v>
      </c>
      <c r="BE2486">
        <v>0</v>
      </c>
      <c r="BF2486">
        <v>0</v>
      </c>
      <c r="BG2486">
        <v>0</v>
      </c>
      <c r="BH2486">
        <v>1</v>
      </c>
      <c r="BI2486">
        <v>1</v>
      </c>
      <c r="BJ2486">
        <v>0.2</v>
      </c>
      <c r="BK2486">
        <v>1</v>
      </c>
      <c r="BL2486">
        <v>69.98</v>
      </c>
      <c r="BM2486">
        <v>10.5</v>
      </c>
      <c r="BN2486">
        <v>80.48</v>
      </c>
      <c r="BO2486">
        <v>80.48</v>
      </c>
      <c r="BQ2486" t="s">
        <v>344</v>
      </c>
      <c r="BR2486" t="s">
        <v>84</v>
      </c>
      <c r="BS2486" s="3">
        <v>45798</v>
      </c>
      <c r="BT2486" s="4">
        <v>0.4375</v>
      </c>
      <c r="BU2486" t="s">
        <v>1338</v>
      </c>
      <c r="BV2486" t="s">
        <v>86</v>
      </c>
      <c r="BY2486">
        <v>1200</v>
      </c>
      <c r="CA2486" t="s">
        <v>242</v>
      </c>
      <c r="CC2486" t="s">
        <v>131</v>
      </c>
      <c r="CD2486">
        <v>7441</v>
      </c>
      <c r="CE2486" t="s">
        <v>88</v>
      </c>
      <c r="CF2486" s="3">
        <v>45799</v>
      </c>
      <c r="CI2486">
        <v>1</v>
      </c>
      <c r="CJ2486">
        <v>1</v>
      </c>
      <c r="CK2486">
        <v>21</v>
      </c>
      <c r="CL2486" t="s">
        <v>89</v>
      </c>
    </row>
    <row r="2487" spans="1:90" x14ac:dyDescent="0.3">
      <c r="A2487" t="s">
        <v>72</v>
      </c>
      <c r="B2487" t="s">
        <v>73</v>
      </c>
      <c r="C2487" t="s">
        <v>74</v>
      </c>
      <c r="E2487" t="str">
        <f>"080065473553"</f>
        <v>080065473553</v>
      </c>
      <c r="F2487" s="3">
        <v>45797</v>
      </c>
      <c r="G2487">
        <v>202602</v>
      </c>
      <c r="H2487" t="s">
        <v>75</v>
      </c>
      <c r="I2487" t="s">
        <v>76</v>
      </c>
      <c r="J2487" t="s">
        <v>77</v>
      </c>
      <c r="K2487" t="s">
        <v>78</v>
      </c>
      <c r="L2487" t="s">
        <v>90</v>
      </c>
      <c r="M2487" t="s">
        <v>91</v>
      </c>
      <c r="N2487" t="s">
        <v>385</v>
      </c>
      <c r="O2487" t="s">
        <v>82</v>
      </c>
      <c r="P2487" t="str">
        <f>"4170039644                    "</f>
        <v xml:space="preserve">4170039644                    </v>
      </c>
      <c r="Q2487">
        <v>0</v>
      </c>
      <c r="R2487">
        <v>0</v>
      </c>
      <c r="S2487">
        <v>0</v>
      </c>
      <c r="T2487">
        <v>0</v>
      </c>
      <c r="U2487">
        <v>0</v>
      </c>
      <c r="V2487">
        <v>0</v>
      </c>
      <c r="W2487">
        <v>0</v>
      </c>
      <c r="X2487">
        <v>0</v>
      </c>
      <c r="Y2487">
        <v>0</v>
      </c>
      <c r="Z2487">
        <v>0</v>
      </c>
      <c r="AA2487">
        <v>0</v>
      </c>
      <c r="AB2487">
        <v>0</v>
      </c>
      <c r="AC2487">
        <v>0</v>
      </c>
      <c r="AD2487">
        <v>0</v>
      </c>
      <c r="AE2487">
        <v>0</v>
      </c>
      <c r="AF2487">
        <v>0</v>
      </c>
      <c r="AG2487">
        <v>0</v>
      </c>
      <c r="AH2487">
        <v>0</v>
      </c>
      <c r="AI2487">
        <v>0</v>
      </c>
      <c r="AJ2487">
        <v>0</v>
      </c>
      <c r="AK2487">
        <v>0</v>
      </c>
      <c r="AL2487">
        <v>0</v>
      </c>
      <c r="AM2487">
        <v>0</v>
      </c>
      <c r="AN2487">
        <v>0</v>
      </c>
      <c r="AO2487">
        <v>0</v>
      </c>
      <c r="AP2487">
        <v>0</v>
      </c>
      <c r="AQ2487">
        <v>32.07</v>
      </c>
      <c r="AR2487">
        <v>0</v>
      </c>
      <c r="AS2487">
        <v>0</v>
      </c>
      <c r="AT2487">
        <v>0</v>
      </c>
      <c r="AU2487">
        <v>0</v>
      </c>
      <c r="AV2487">
        <v>0</v>
      </c>
      <c r="AW2487">
        <v>0</v>
      </c>
      <c r="AX2487">
        <v>0</v>
      </c>
      <c r="AY2487">
        <v>0</v>
      </c>
      <c r="AZ2487">
        <v>0</v>
      </c>
      <c r="BA2487">
        <v>0</v>
      </c>
      <c r="BB2487">
        <v>0</v>
      </c>
      <c r="BC2487">
        <v>0</v>
      </c>
      <c r="BD2487">
        <v>0</v>
      </c>
      <c r="BE2487">
        <v>0</v>
      </c>
      <c r="BF2487">
        <v>0</v>
      </c>
      <c r="BG2487">
        <v>0</v>
      </c>
      <c r="BH2487">
        <v>1</v>
      </c>
      <c r="BI2487">
        <v>3</v>
      </c>
      <c r="BJ2487">
        <v>1.4</v>
      </c>
      <c r="BK2487">
        <v>3</v>
      </c>
      <c r="BL2487">
        <v>104.95</v>
      </c>
      <c r="BM2487">
        <v>15.74</v>
      </c>
      <c r="BN2487">
        <v>120.69</v>
      </c>
      <c r="BO2487">
        <v>120.69</v>
      </c>
      <c r="BQ2487" t="s">
        <v>386</v>
      </c>
      <c r="BR2487" t="s">
        <v>84</v>
      </c>
      <c r="BS2487" s="3">
        <v>45798</v>
      </c>
      <c r="BT2487" s="4">
        <v>0.43541666666666667</v>
      </c>
      <c r="BU2487" t="s">
        <v>747</v>
      </c>
      <c r="BV2487" t="s">
        <v>86</v>
      </c>
      <c r="BY2487">
        <v>7000</v>
      </c>
      <c r="CA2487" t="s">
        <v>95</v>
      </c>
      <c r="CC2487" t="s">
        <v>91</v>
      </c>
      <c r="CD2487">
        <v>6056</v>
      </c>
      <c r="CE2487" t="s">
        <v>96</v>
      </c>
      <c r="CF2487" s="3">
        <v>45798</v>
      </c>
      <c r="CI2487">
        <v>1</v>
      </c>
      <c r="CJ2487">
        <v>1</v>
      </c>
      <c r="CK2487">
        <v>21</v>
      </c>
      <c r="CL2487" t="s">
        <v>89</v>
      </c>
    </row>
    <row r="2488" spans="1:90" x14ac:dyDescent="0.3">
      <c r="A2488" t="s">
        <v>72</v>
      </c>
      <c r="B2488" t="s">
        <v>73</v>
      </c>
      <c r="C2488" t="s">
        <v>74</v>
      </c>
      <c r="E2488" t="str">
        <f>"080065473580"</f>
        <v>080065473580</v>
      </c>
      <c r="F2488" s="3">
        <v>45797</v>
      </c>
      <c r="G2488">
        <v>202602</v>
      </c>
      <c r="H2488" t="s">
        <v>75</v>
      </c>
      <c r="I2488" t="s">
        <v>76</v>
      </c>
      <c r="J2488" t="s">
        <v>77</v>
      </c>
      <c r="K2488" t="s">
        <v>78</v>
      </c>
      <c r="L2488" t="s">
        <v>844</v>
      </c>
      <c r="M2488" t="s">
        <v>845</v>
      </c>
      <c r="N2488" t="s">
        <v>1807</v>
      </c>
      <c r="O2488" t="s">
        <v>82</v>
      </c>
      <c r="P2488" t="str">
        <f>"4170039647                    "</f>
        <v xml:space="preserve">4170039647                    </v>
      </c>
      <c r="Q2488">
        <v>0</v>
      </c>
      <c r="R2488">
        <v>0</v>
      </c>
      <c r="S2488">
        <v>0</v>
      </c>
      <c r="T2488">
        <v>0</v>
      </c>
      <c r="U2488">
        <v>0</v>
      </c>
      <c r="V2488">
        <v>0</v>
      </c>
      <c r="W2488">
        <v>0</v>
      </c>
      <c r="X2488">
        <v>0</v>
      </c>
      <c r="Y2488">
        <v>0</v>
      </c>
      <c r="Z2488">
        <v>0</v>
      </c>
      <c r="AA2488">
        <v>0</v>
      </c>
      <c r="AB2488">
        <v>0</v>
      </c>
      <c r="AC2488">
        <v>0</v>
      </c>
      <c r="AD2488">
        <v>0</v>
      </c>
      <c r="AE2488">
        <v>0</v>
      </c>
      <c r="AF2488">
        <v>0</v>
      </c>
      <c r="AG2488">
        <v>0</v>
      </c>
      <c r="AH2488">
        <v>0</v>
      </c>
      <c r="AI2488">
        <v>0</v>
      </c>
      <c r="AJ2488">
        <v>0</v>
      </c>
      <c r="AK2488">
        <v>0</v>
      </c>
      <c r="AL2488">
        <v>0</v>
      </c>
      <c r="AM2488">
        <v>0</v>
      </c>
      <c r="AN2488">
        <v>0</v>
      </c>
      <c r="AO2488">
        <v>0</v>
      </c>
      <c r="AP2488">
        <v>0</v>
      </c>
      <c r="AQ2488">
        <v>21.38</v>
      </c>
      <c r="AR2488">
        <v>0</v>
      </c>
      <c r="AS2488">
        <v>0</v>
      </c>
      <c r="AT2488">
        <v>0</v>
      </c>
      <c r="AU2488">
        <v>0</v>
      </c>
      <c r="AV2488">
        <v>0</v>
      </c>
      <c r="AW2488">
        <v>0</v>
      </c>
      <c r="AX2488">
        <v>0</v>
      </c>
      <c r="AY2488">
        <v>0</v>
      </c>
      <c r="AZ2488">
        <v>0</v>
      </c>
      <c r="BA2488">
        <v>0</v>
      </c>
      <c r="BB2488">
        <v>0</v>
      </c>
      <c r="BC2488">
        <v>0</v>
      </c>
      <c r="BD2488">
        <v>0</v>
      </c>
      <c r="BE2488">
        <v>0</v>
      </c>
      <c r="BF2488">
        <v>0</v>
      </c>
      <c r="BG2488">
        <v>0</v>
      </c>
      <c r="BH2488">
        <v>1</v>
      </c>
      <c r="BI2488">
        <v>1</v>
      </c>
      <c r="BJ2488">
        <v>0.2</v>
      </c>
      <c r="BK2488">
        <v>1</v>
      </c>
      <c r="BL2488">
        <v>69.98</v>
      </c>
      <c r="BM2488">
        <v>10.5</v>
      </c>
      <c r="BN2488">
        <v>80.48</v>
      </c>
      <c r="BO2488">
        <v>80.48</v>
      </c>
      <c r="BQ2488" t="s">
        <v>1808</v>
      </c>
      <c r="BR2488" t="s">
        <v>84</v>
      </c>
      <c r="BS2488" s="3">
        <v>45798</v>
      </c>
      <c r="BT2488" s="4">
        <v>0.63541666666666663</v>
      </c>
      <c r="BU2488" t="s">
        <v>2677</v>
      </c>
      <c r="BV2488" t="s">
        <v>89</v>
      </c>
      <c r="BY2488">
        <v>1200</v>
      </c>
      <c r="CA2488" t="s">
        <v>849</v>
      </c>
      <c r="CC2488" t="s">
        <v>845</v>
      </c>
      <c r="CD2488">
        <v>7600</v>
      </c>
      <c r="CE2488" t="s">
        <v>88</v>
      </c>
      <c r="CF2488" s="3">
        <v>45799</v>
      </c>
      <c r="CI2488">
        <v>1</v>
      </c>
      <c r="CJ2488">
        <v>1</v>
      </c>
      <c r="CK2488">
        <v>21</v>
      </c>
      <c r="CL2488" t="s">
        <v>89</v>
      </c>
    </row>
    <row r="2489" spans="1:90" x14ac:dyDescent="0.3">
      <c r="A2489" t="s">
        <v>72</v>
      </c>
      <c r="B2489" t="s">
        <v>73</v>
      </c>
      <c r="C2489" t="s">
        <v>74</v>
      </c>
      <c r="E2489" t="str">
        <f>"080065473584"</f>
        <v>080065473584</v>
      </c>
      <c r="F2489" s="3">
        <v>45797</v>
      </c>
      <c r="G2489">
        <v>202602</v>
      </c>
      <c r="H2489" t="s">
        <v>75</v>
      </c>
      <c r="I2489" t="s">
        <v>76</v>
      </c>
      <c r="J2489" t="s">
        <v>77</v>
      </c>
      <c r="K2489" t="s">
        <v>78</v>
      </c>
      <c r="L2489" t="s">
        <v>103</v>
      </c>
      <c r="M2489" t="s">
        <v>104</v>
      </c>
      <c r="N2489" t="s">
        <v>686</v>
      </c>
      <c r="O2489" t="s">
        <v>82</v>
      </c>
      <c r="P2489" t="str">
        <f>"4170039715                    "</f>
        <v xml:space="preserve">4170039715                    </v>
      </c>
      <c r="Q2489">
        <v>0</v>
      </c>
      <c r="R2489">
        <v>0</v>
      </c>
      <c r="S2489">
        <v>0</v>
      </c>
      <c r="T2489">
        <v>0</v>
      </c>
      <c r="U2489">
        <v>0</v>
      </c>
      <c r="V2489">
        <v>0</v>
      </c>
      <c r="W2489">
        <v>0</v>
      </c>
      <c r="X2489">
        <v>0</v>
      </c>
      <c r="Y2489">
        <v>0</v>
      </c>
      <c r="Z2489">
        <v>0</v>
      </c>
      <c r="AA2489">
        <v>0</v>
      </c>
      <c r="AB2489">
        <v>0</v>
      </c>
      <c r="AC2489">
        <v>0</v>
      </c>
      <c r="AD2489">
        <v>0</v>
      </c>
      <c r="AE2489">
        <v>0</v>
      </c>
      <c r="AF2489">
        <v>0</v>
      </c>
      <c r="AG2489">
        <v>0</v>
      </c>
      <c r="AH2489">
        <v>0</v>
      </c>
      <c r="AI2489">
        <v>0</v>
      </c>
      <c r="AJ2489">
        <v>0</v>
      </c>
      <c r="AK2489">
        <v>0</v>
      </c>
      <c r="AL2489">
        <v>0</v>
      </c>
      <c r="AM2489">
        <v>0</v>
      </c>
      <c r="AN2489">
        <v>0</v>
      </c>
      <c r="AO2489">
        <v>0</v>
      </c>
      <c r="AP2489">
        <v>0</v>
      </c>
      <c r="AQ2489">
        <v>21.38</v>
      </c>
      <c r="AR2489">
        <v>0</v>
      </c>
      <c r="AS2489">
        <v>0</v>
      </c>
      <c r="AT2489">
        <v>0</v>
      </c>
      <c r="AU2489">
        <v>0</v>
      </c>
      <c r="AV2489">
        <v>0</v>
      </c>
      <c r="AW2489">
        <v>0</v>
      </c>
      <c r="AX2489">
        <v>0</v>
      </c>
      <c r="AY2489">
        <v>0</v>
      </c>
      <c r="AZ2489">
        <v>0</v>
      </c>
      <c r="BA2489">
        <v>0</v>
      </c>
      <c r="BB2489">
        <v>0</v>
      </c>
      <c r="BC2489">
        <v>0</v>
      </c>
      <c r="BD2489">
        <v>0</v>
      </c>
      <c r="BE2489">
        <v>0</v>
      </c>
      <c r="BF2489">
        <v>0</v>
      </c>
      <c r="BG2489">
        <v>0</v>
      </c>
      <c r="BH2489">
        <v>1</v>
      </c>
      <c r="BI2489">
        <v>1</v>
      </c>
      <c r="BJ2489">
        <v>0.6</v>
      </c>
      <c r="BK2489">
        <v>1</v>
      </c>
      <c r="BL2489">
        <v>69.98</v>
      </c>
      <c r="BM2489">
        <v>10.5</v>
      </c>
      <c r="BN2489">
        <v>80.48</v>
      </c>
      <c r="BO2489">
        <v>80.48</v>
      </c>
      <c r="BQ2489" t="s">
        <v>687</v>
      </c>
      <c r="BR2489" t="s">
        <v>84</v>
      </c>
      <c r="BS2489" s="3">
        <v>45798</v>
      </c>
      <c r="BT2489" s="4">
        <v>0.40555555555555556</v>
      </c>
      <c r="BU2489" t="s">
        <v>1210</v>
      </c>
      <c r="BV2489" t="s">
        <v>86</v>
      </c>
      <c r="BY2489">
        <v>3192</v>
      </c>
      <c r="CA2489" t="s">
        <v>1169</v>
      </c>
      <c r="CC2489" t="s">
        <v>104</v>
      </c>
      <c r="CD2489">
        <v>3201</v>
      </c>
      <c r="CE2489" t="s">
        <v>116</v>
      </c>
      <c r="CF2489" s="3">
        <v>45799</v>
      </c>
      <c r="CI2489">
        <v>1</v>
      </c>
      <c r="CJ2489">
        <v>1</v>
      </c>
      <c r="CK2489">
        <v>21</v>
      </c>
      <c r="CL2489" t="s">
        <v>89</v>
      </c>
    </row>
    <row r="2490" spans="1:90" x14ac:dyDescent="0.3">
      <c r="A2490" t="s">
        <v>72</v>
      </c>
      <c r="B2490" t="s">
        <v>73</v>
      </c>
      <c r="C2490" t="s">
        <v>74</v>
      </c>
      <c r="E2490" t="str">
        <f>"080065473599"</f>
        <v>080065473599</v>
      </c>
      <c r="F2490" s="3">
        <v>45797</v>
      </c>
      <c r="G2490">
        <v>202602</v>
      </c>
      <c r="H2490" t="s">
        <v>75</v>
      </c>
      <c r="I2490" t="s">
        <v>76</v>
      </c>
      <c r="J2490" t="s">
        <v>77</v>
      </c>
      <c r="K2490" t="s">
        <v>78</v>
      </c>
      <c r="L2490" t="s">
        <v>117</v>
      </c>
      <c r="M2490" t="s">
        <v>118</v>
      </c>
      <c r="N2490" t="s">
        <v>1189</v>
      </c>
      <c r="O2490" t="s">
        <v>82</v>
      </c>
      <c r="P2490" t="str">
        <f>"4170039700                    "</f>
        <v xml:space="preserve">4170039700                    </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c r="AI2490">
        <v>0</v>
      </c>
      <c r="AJ2490">
        <v>0</v>
      </c>
      <c r="AK2490">
        <v>0</v>
      </c>
      <c r="AL2490">
        <v>0</v>
      </c>
      <c r="AM2490">
        <v>0</v>
      </c>
      <c r="AN2490">
        <v>0</v>
      </c>
      <c r="AO2490">
        <v>0</v>
      </c>
      <c r="AP2490">
        <v>0</v>
      </c>
      <c r="AQ2490">
        <v>16.7</v>
      </c>
      <c r="AR2490">
        <v>0</v>
      </c>
      <c r="AS2490">
        <v>0</v>
      </c>
      <c r="AT2490">
        <v>0</v>
      </c>
      <c r="AU2490">
        <v>0</v>
      </c>
      <c r="AV2490">
        <v>0</v>
      </c>
      <c r="AW2490">
        <v>0</v>
      </c>
      <c r="AX2490">
        <v>0</v>
      </c>
      <c r="AY2490">
        <v>0</v>
      </c>
      <c r="AZ2490">
        <v>0</v>
      </c>
      <c r="BA2490">
        <v>0</v>
      </c>
      <c r="BB2490">
        <v>0</v>
      </c>
      <c r="BC2490">
        <v>0</v>
      </c>
      <c r="BD2490">
        <v>0</v>
      </c>
      <c r="BE2490">
        <v>0</v>
      </c>
      <c r="BF2490">
        <v>0</v>
      </c>
      <c r="BG2490">
        <v>0</v>
      </c>
      <c r="BH2490">
        <v>1</v>
      </c>
      <c r="BI2490">
        <v>1</v>
      </c>
      <c r="BJ2490">
        <v>0.2</v>
      </c>
      <c r="BK2490">
        <v>1</v>
      </c>
      <c r="BL2490">
        <v>54.66</v>
      </c>
      <c r="BM2490">
        <v>8.1999999999999993</v>
      </c>
      <c r="BN2490">
        <v>62.86</v>
      </c>
      <c r="BO2490">
        <v>62.86</v>
      </c>
      <c r="BQ2490" t="s">
        <v>1190</v>
      </c>
      <c r="BR2490" t="s">
        <v>84</v>
      </c>
      <c r="BS2490" s="3">
        <v>45798</v>
      </c>
      <c r="BT2490" s="4">
        <v>0.3527777777777778</v>
      </c>
      <c r="BU2490" t="s">
        <v>2744</v>
      </c>
      <c r="BV2490" t="s">
        <v>86</v>
      </c>
      <c r="BY2490">
        <v>1200</v>
      </c>
      <c r="CA2490" t="s">
        <v>1192</v>
      </c>
      <c r="CC2490" t="s">
        <v>118</v>
      </c>
      <c r="CD2490">
        <v>2169</v>
      </c>
      <c r="CE2490" t="s">
        <v>88</v>
      </c>
      <c r="CF2490" s="3">
        <v>45798</v>
      </c>
      <c r="CI2490">
        <v>1</v>
      </c>
      <c r="CJ2490">
        <v>1</v>
      </c>
      <c r="CK2490">
        <v>22</v>
      </c>
      <c r="CL2490" t="s">
        <v>89</v>
      </c>
    </row>
    <row r="2491" spans="1:90" x14ac:dyDescent="0.3">
      <c r="A2491" t="s">
        <v>72</v>
      </c>
      <c r="B2491" t="s">
        <v>73</v>
      </c>
      <c r="C2491" t="s">
        <v>74</v>
      </c>
      <c r="E2491" t="str">
        <f>"080065473625"</f>
        <v>080065473625</v>
      </c>
      <c r="F2491" s="3">
        <v>45797</v>
      </c>
      <c r="G2491">
        <v>202602</v>
      </c>
      <c r="H2491" t="s">
        <v>75</v>
      </c>
      <c r="I2491" t="s">
        <v>76</v>
      </c>
      <c r="J2491" t="s">
        <v>77</v>
      </c>
      <c r="K2491" t="s">
        <v>78</v>
      </c>
      <c r="L2491" t="s">
        <v>90</v>
      </c>
      <c r="M2491" t="s">
        <v>91</v>
      </c>
      <c r="N2491" t="s">
        <v>92</v>
      </c>
      <c r="O2491" t="s">
        <v>82</v>
      </c>
      <c r="P2491" t="str">
        <f>"4170039594                    "</f>
        <v xml:space="preserve">4170039594                    </v>
      </c>
      <c r="Q2491">
        <v>0</v>
      </c>
      <c r="R2491">
        <v>0</v>
      </c>
      <c r="S2491">
        <v>0</v>
      </c>
      <c r="T2491">
        <v>0</v>
      </c>
      <c r="U2491">
        <v>0</v>
      </c>
      <c r="V2491">
        <v>0</v>
      </c>
      <c r="W2491">
        <v>0</v>
      </c>
      <c r="X2491">
        <v>0</v>
      </c>
      <c r="Y2491">
        <v>0</v>
      </c>
      <c r="Z2491">
        <v>0</v>
      </c>
      <c r="AA2491">
        <v>0</v>
      </c>
      <c r="AB2491">
        <v>0</v>
      </c>
      <c r="AC2491">
        <v>0</v>
      </c>
      <c r="AD2491">
        <v>0</v>
      </c>
      <c r="AE2491">
        <v>0</v>
      </c>
      <c r="AF2491">
        <v>0</v>
      </c>
      <c r="AG2491">
        <v>0</v>
      </c>
      <c r="AH2491">
        <v>0</v>
      </c>
      <c r="AI2491">
        <v>0</v>
      </c>
      <c r="AJ2491">
        <v>0</v>
      </c>
      <c r="AK2491">
        <v>0</v>
      </c>
      <c r="AL2491">
        <v>0</v>
      </c>
      <c r="AM2491">
        <v>0</v>
      </c>
      <c r="AN2491">
        <v>0</v>
      </c>
      <c r="AO2491">
        <v>0</v>
      </c>
      <c r="AP2491">
        <v>0</v>
      </c>
      <c r="AQ2491">
        <v>21.38</v>
      </c>
      <c r="AR2491">
        <v>0</v>
      </c>
      <c r="AS2491">
        <v>0</v>
      </c>
      <c r="AT2491">
        <v>0</v>
      </c>
      <c r="AU2491">
        <v>0</v>
      </c>
      <c r="AV2491">
        <v>0</v>
      </c>
      <c r="AW2491">
        <v>0</v>
      </c>
      <c r="AX2491">
        <v>0</v>
      </c>
      <c r="AY2491">
        <v>0</v>
      </c>
      <c r="AZ2491">
        <v>0</v>
      </c>
      <c r="BA2491">
        <v>0</v>
      </c>
      <c r="BB2491">
        <v>0</v>
      </c>
      <c r="BC2491">
        <v>0</v>
      </c>
      <c r="BD2491">
        <v>0</v>
      </c>
      <c r="BE2491">
        <v>0</v>
      </c>
      <c r="BF2491">
        <v>0</v>
      </c>
      <c r="BG2491">
        <v>0</v>
      </c>
      <c r="BH2491">
        <v>1</v>
      </c>
      <c r="BI2491">
        <v>1</v>
      </c>
      <c r="BJ2491">
        <v>1.5</v>
      </c>
      <c r="BK2491">
        <v>1.5</v>
      </c>
      <c r="BL2491">
        <v>69.98</v>
      </c>
      <c r="BM2491">
        <v>10.5</v>
      </c>
      <c r="BN2491">
        <v>80.48</v>
      </c>
      <c r="BO2491">
        <v>80.48</v>
      </c>
      <c r="BQ2491" t="s">
        <v>93</v>
      </c>
      <c r="BR2491" t="s">
        <v>84</v>
      </c>
      <c r="BS2491" s="3">
        <v>45798</v>
      </c>
      <c r="BT2491" s="4">
        <v>0.38680555555555557</v>
      </c>
      <c r="BU2491" t="s">
        <v>2636</v>
      </c>
      <c r="BV2491" t="s">
        <v>86</v>
      </c>
      <c r="BY2491">
        <v>7540</v>
      </c>
      <c r="CA2491" t="s">
        <v>95</v>
      </c>
      <c r="CC2491" t="s">
        <v>91</v>
      </c>
      <c r="CD2491">
        <v>6001</v>
      </c>
      <c r="CE2491" t="s">
        <v>96</v>
      </c>
      <c r="CF2491" s="3">
        <v>45798</v>
      </c>
      <c r="CI2491">
        <v>1</v>
      </c>
      <c r="CJ2491">
        <v>1</v>
      </c>
      <c r="CK2491">
        <v>21</v>
      </c>
      <c r="CL2491" t="s">
        <v>89</v>
      </c>
    </row>
    <row r="2492" spans="1:90" x14ac:dyDescent="0.3">
      <c r="A2492" t="s">
        <v>72</v>
      </c>
      <c r="B2492" t="s">
        <v>73</v>
      </c>
      <c r="C2492" t="s">
        <v>74</v>
      </c>
      <c r="E2492" t="str">
        <f>"080065473626"</f>
        <v>080065473626</v>
      </c>
      <c r="F2492" s="3">
        <v>45797</v>
      </c>
      <c r="G2492">
        <v>202602</v>
      </c>
      <c r="H2492" t="s">
        <v>75</v>
      </c>
      <c r="I2492" t="s">
        <v>76</v>
      </c>
      <c r="J2492" t="s">
        <v>77</v>
      </c>
      <c r="K2492" t="s">
        <v>78</v>
      </c>
      <c r="L2492" t="s">
        <v>90</v>
      </c>
      <c r="M2492" t="s">
        <v>91</v>
      </c>
      <c r="N2492" t="s">
        <v>371</v>
      </c>
      <c r="O2492" t="s">
        <v>82</v>
      </c>
      <c r="P2492" t="str">
        <f>"4170039711                    "</f>
        <v xml:space="preserve">4170039711                    </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c r="AJ2492">
        <v>0</v>
      </c>
      <c r="AK2492">
        <v>0</v>
      </c>
      <c r="AL2492">
        <v>0</v>
      </c>
      <c r="AM2492">
        <v>0</v>
      </c>
      <c r="AN2492">
        <v>0</v>
      </c>
      <c r="AO2492">
        <v>0</v>
      </c>
      <c r="AP2492">
        <v>0</v>
      </c>
      <c r="AQ2492">
        <v>74.8</v>
      </c>
      <c r="AR2492">
        <v>0</v>
      </c>
      <c r="AS2492">
        <v>0</v>
      </c>
      <c r="AT2492">
        <v>0</v>
      </c>
      <c r="AU2492">
        <v>0</v>
      </c>
      <c r="AV2492">
        <v>0</v>
      </c>
      <c r="AW2492">
        <v>0</v>
      </c>
      <c r="AX2492">
        <v>0</v>
      </c>
      <c r="AY2492">
        <v>0</v>
      </c>
      <c r="AZ2492">
        <v>0</v>
      </c>
      <c r="BA2492">
        <v>0</v>
      </c>
      <c r="BB2492">
        <v>0</v>
      </c>
      <c r="BC2492">
        <v>0</v>
      </c>
      <c r="BD2492">
        <v>0</v>
      </c>
      <c r="BE2492">
        <v>0</v>
      </c>
      <c r="BF2492">
        <v>0</v>
      </c>
      <c r="BG2492">
        <v>0</v>
      </c>
      <c r="BH2492">
        <v>2</v>
      </c>
      <c r="BI2492">
        <v>7</v>
      </c>
      <c r="BJ2492">
        <v>4.7</v>
      </c>
      <c r="BK2492">
        <v>7</v>
      </c>
      <c r="BL2492">
        <v>244.8</v>
      </c>
      <c r="BM2492">
        <v>36.72</v>
      </c>
      <c r="BN2492">
        <v>281.52</v>
      </c>
      <c r="BO2492">
        <v>281.52</v>
      </c>
      <c r="BQ2492" t="s">
        <v>372</v>
      </c>
      <c r="BR2492" t="s">
        <v>84</v>
      </c>
      <c r="BS2492" s="3">
        <v>45798</v>
      </c>
      <c r="BT2492" s="4">
        <v>0.35416666666666669</v>
      </c>
      <c r="BU2492" t="s">
        <v>373</v>
      </c>
      <c r="BV2492" t="s">
        <v>86</v>
      </c>
      <c r="BY2492">
        <v>23320</v>
      </c>
      <c r="CA2492" t="s">
        <v>298</v>
      </c>
      <c r="CC2492" t="s">
        <v>91</v>
      </c>
      <c r="CD2492">
        <v>6001</v>
      </c>
      <c r="CE2492" t="s">
        <v>96</v>
      </c>
      <c r="CF2492" s="3">
        <v>45798</v>
      </c>
      <c r="CI2492">
        <v>1</v>
      </c>
      <c r="CJ2492">
        <v>1</v>
      </c>
      <c r="CK2492">
        <v>21</v>
      </c>
      <c r="CL2492" t="s">
        <v>89</v>
      </c>
    </row>
    <row r="2493" spans="1:90" x14ac:dyDescent="0.3">
      <c r="A2493" t="s">
        <v>72</v>
      </c>
      <c r="B2493" t="s">
        <v>73</v>
      </c>
      <c r="C2493" t="s">
        <v>74</v>
      </c>
      <c r="E2493" t="str">
        <f>"080065473654"</f>
        <v>080065473654</v>
      </c>
      <c r="F2493" s="3">
        <v>45797</v>
      </c>
      <c r="G2493">
        <v>202602</v>
      </c>
      <c r="H2493" t="s">
        <v>75</v>
      </c>
      <c r="I2493" t="s">
        <v>76</v>
      </c>
      <c r="J2493" t="s">
        <v>77</v>
      </c>
      <c r="K2493" t="s">
        <v>78</v>
      </c>
      <c r="L2493" t="s">
        <v>350</v>
      </c>
      <c r="M2493" t="s">
        <v>351</v>
      </c>
      <c r="N2493" t="s">
        <v>459</v>
      </c>
      <c r="O2493" t="s">
        <v>82</v>
      </c>
      <c r="P2493" t="str">
        <f>"4170039681                    "</f>
        <v xml:space="preserve">4170039681                    </v>
      </c>
      <c r="Q2493">
        <v>0</v>
      </c>
      <c r="R2493">
        <v>0</v>
      </c>
      <c r="S2493">
        <v>0</v>
      </c>
      <c r="T2493">
        <v>0</v>
      </c>
      <c r="U2493">
        <v>0</v>
      </c>
      <c r="V2493">
        <v>0</v>
      </c>
      <c r="W2493">
        <v>0</v>
      </c>
      <c r="X2493">
        <v>0</v>
      </c>
      <c r="Y2493">
        <v>0</v>
      </c>
      <c r="Z2493">
        <v>0</v>
      </c>
      <c r="AA2493">
        <v>0</v>
      </c>
      <c r="AB2493">
        <v>0</v>
      </c>
      <c r="AC2493">
        <v>0</v>
      </c>
      <c r="AD2493">
        <v>0</v>
      </c>
      <c r="AE2493">
        <v>0</v>
      </c>
      <c r="AF2493">
        <v>0</v>
      </c>
      <c r="AG2493">
        <v>0</v>
      </c>
      <c r="AH2493">
        <v>0</v>
      </c>
      <c r="AI2493">
        <v>0</v>
      </c>
      <c r="AJ2493">
        <v>0</v>
      </c>
      <c r="AK2493">
        <v>0</v>
      </c>
      <c r="AL2493">
        <v>0</v>
      </c>
      <c r="AM2493">
        <v>0</v>
      </c>
      <c r="AN2493">
        <v>0</v>
      </c>
      <c r="AO2493">
        <v>0</v>
      </c>
      <c r="AP2493">
        <v>0</v>
      </c>
      <c r="AQ2493">
        <v>21.38</v>
      </c>
      <c r="AR2493">
        <v>0</v>
      </c>
      <c r="AS2493">
        <v>0</v>
      </c>
      <c r="AT2493">
        <v>0</v>
      </c>
      <c r="AU2493">
        <v>0</v>
      </c>
      <c r="AV2493">
        <v>0</v>
      </c>
      <c r="AW2493">
        <v>0</v>
      </c>
      <c r="AX2493">
        <v>0</v>
      </c>
      <c r="AY2493">
        <v>0</v>
      </c>
      <c r="AZ2493">
        <v>0</v>
      </c>
      <c r="BA2493">
        <v>0</v>
      </c>
      <c r="BB2493">
        <v>0</v>
      </c>
      <c r="BC2493">
        <v>0</v>
      </c>
      <c r="BD2493">
        <v>0</v>
      </c>
      <c r="BE2493">
        <v>0</v>
      </c>
      <c r="BF2493">
        <v>0</v>
      </c>
      <c r="BG2493">
        <v>0</v>
      </c>
      <c r="BH2493">
        <v>1</v>
      </c>
      <c r="BI2493">
        <v>2</v>
      </c>
      <c r="BJ2493">
        <v>1.5</v>
      </c>
      <c r="BK2493">
        <v>2</v>
      </c>
      <c r="BL2493">
        <v>69.98</v>
      </c>
      <c r="BM2493">
        <v>10.5</v>
      </c>
      <c r="BN2493">
        <v>80.48</v>
      </c>
      <c r="BO2493">
        <v>80.48</v>
      </c>
      <c r="BQ2493" t="s">
        <v>460</v>
      </c>
      <c r="BR2493" t="s">
        <v>84</v>
      </c>
      <c r="BS2493" s="3">
        <v>45798</v>
      </c>
      <c r="BT2493" s="4">
        <v>0.33124999999999999</v>
      </c>
      <c r="BU2493" t="s">
        <v>2692</v>
      </c>
      <c r="BV2493" t="s">
        <v>86</v>
      </c>
      <c r="BY2493">
        <v>7540</v>
      </c>
      <c r="CA2493" t="s">
        <v>802</v>
      </c>
      <c r="CC2493" t="s">
        <v>351</v>
      </c>
      <c r="CD2493">
        <v>4000</v>
      </c>
      <c r="CE2493" t="s">
        <v>96</v>
      </c>
      <c r="CF2493" s="3">
        <v>45798</v>
      </c>
      <c r="CI2493">
        <v>1</v>
      </c>
      <c r="CJ2493">
        <v>1</v>
      </c>
      <c r="CK2493">
        <v>21</v>
      </c>
      <c r="CL2493" t="s">
        <v>89</v>
      </c>
    </row>
    <row r="2494" spans="1:90" x14ac:dyDescent="0.3">
      <c r="A2494" t="s">
        <v>72</v>
      </c>
      <c r="B2494" t="s">
        <v>73</v>
      </c>
      <c r="C2494" t="s">
        <v>74</v>
      </c>
      <c r="E2494" t="str">
        <f>"080065473665"</f>
        <v>080065473665</v>
      </c>
      <c r="F2494" s="3">
        <v>45797</v>
      </c>
      <c r="G2494">
        <v>202602</v>
      </c>
      <c r="H2494" t="s">
        <v>75</v>
      </c>
      <c r="I2494" t="s">
        <v>76</v>
      </c>
      <c r="J2494" t="s">
        <v>77</v>
      </c>
      <c r="K2494" t="s">
        <v>78</v>
      </c>
      <c r="L2494" t="s">
        <v>136</v>
      </c>
      <c r="M2494" t="s">
        <v>137</v>
      </c>
      <c r="N2494" t="s">
        <v>1656</v>
      </c>
      <c r="O2494" t="s">
        <v>82</v>
      </c>
      <c r="P2494" t="str">
        <f>"4170039570                    "</f>
        <v xml:space="preserve">4170039570                    </v>
      </c>
      <c r="Q2494">
        <v>0</v>
      </c>
      <c r="R2494">
        <v>0</v>
      </c>
      <c r="S2494">
        <v>0</v>
      </c>
      <c r="T2494">
        <v>0</v>
      </c>
      <c r="U2494">
        <v>0</v>
      </c>
      <c r="V2494">
        <v>0</v>
      </c>
      <c r="W2494">
        <v>0</v>
      </c>
      <c r="X2494">
        <v>0</v>
      </c>
      <c r="Y2494">
        <v>0</v>
      </c>
      <c r="Z2494">
        <v>0</v>
      </c>
      <c r="AA2494">
        <v>0</v>
      </c>
      <c r="AB2494">
        <v>0</v>
      </c>
      <c r="AC2494">
        <v>0</v>
      </c>
      <c r="AD2494">
        <v>0</v>
      </c>
      <c r="AE2494">
        <v>0</v>
      </c>
      <c r="AF2494">
        <v>0</v>
      </c>
      <c r="AG2494">
        <v>0</v>
      </c>
      <c r="AH2494">
        <v>0</v>
      </c>
      <c r="AI2494">
        <v>0</v>
      </c>
      <c r="AJ2494">
        <v>0</v>
      </c>
      <c r="AK2494">
        <v>0</v>
      </c>
      <c r="AL2494">
        <v>0</v>
      </c>
      <c r="AM2494">
        <v>0</v>
      </c>
      <c r="AN2494">
        <v>0</v>
      </c>
      <c r="AO2494">
        <v>0</v>
      </c>
      <c r="AP2494">
        <v>0</v>
      </c>
      <c r="AQ2494">
        <v>21.38</v>
      </c>
      <c r="AR2494">
        <v>0</v>
      </c>
      <c r="AS2494">
        <v>0</v>
      </c>
      <c r="AT2494">
        <v>0</v>
      </c>
      <c r="AU2494">
        <v>0</v>
      </c>
      <c r="AV2494">
        <v>0</v>
      </c>
      <c r="AW2494">
        <v>0</v>
      </c>
      <c r="AX2494">
        <v>0</v>
      </c>
      <c r="AY2494">
        <v>0</v>
      </c>
      <c r="AZ2494">
        <v>0</v>
      </c>
      <c r="BA2494">
        <v>0</v>
      </c>
      <c r="BB2494">
        <v>0</v>
      </c>
      <c r="BC2494">
        <v>0</v>
      </c>
      <c r="BD2494">
        <v>0</v>
      </c>
      <c r="BE2494">
        <v>0</v>
      </c>
      <c r="BF2494">
        <v>0</v>
      </c>
      <c r="BG2494">
        <v>0</v>
      </c>
      <c r="BH2494">
        <v>1</v>
      </c>
      <c r="BI2494">
        <v>1</v>
      </c>
      <c r="BJ2494">
        <v>0.2</v>
      </c>
      <c r="BK2494">
        <v>1</v>
      </c>
      <c r="BL2494">
        <v>69.98</v>
      </c>
      <c r="BM2494">
        <v>10.5</v>
      </c>
      <c r="BN2494">
        <v>80.48</v>
      </c>
      <c r="BO2494">
        <v>80.48</v>
      </c>
      <c r="BQ2494" t="s">
        <v>1657</v>
      </c>
      <c r="BR2494" t="s">
        <v>84</v>
      </c>
      <c r="BS2494" s="3">
        <v>45798</v>
      </c>
      <c r="BT2494" s="4">
        <v>0.38263888888888886</v>
      </c>
      <c r="BU2494" t="s">
        <v>1658</v>
      </c>
      <c r="BV2494" t="s">
        <v>86</v>
      </c>
      <c r="BY2494">
        <v>1200</v>
      </c>
      <c r="CA2494" t="s">
        <v>141</v>
      </c>
      <c r="CC2494" t="s">
        <v>137</v>
      </c>
      <c r="CD2494" s="5" t="s">
        <v>142</v>
      </c>
      <c r="CE2494" t="s">
        <v>88</v>
      </c>
      <c r="CF2494" s="3">
        <v>45798</v>
      </c>
      <c r="CI2494">
        <v>1</v>
      </c>
      <c r="CJ2494">
        <v>1</v>
      </c>
      <c r="CK2494">
        <v>21</v>
      </c>
      <c r="CL2494" t="s">
        <v>89</v>
      </c>
    </row>
    <row r="2495" spans="1:90" x14ac:dyDescent="0.3">
      <c r="A2495" t="s">
        <v>72</v>
      </c>
      <c r="B2495" t="s">
        <v>73</v>
      </c>
      <c r="C2495" t="s">
        <v>74</v>
      </c>
      <c r="E2495" t="str">
        <f>"080065473682"</f>
        <v>080065473682</v>
      </c>
      <c r="F2495" s="3">
        <v>45797</v>
      </c>
      <c r="G2495">
        <v>202602</v>
      </c>
      <c r="H2495" t="s">
        <v>75</v>
      </c>
      <c r="I2495" t="s">
        <v>76</v>
      </c>
      <c r="J2495" t="s">
        <v>77</v>
      </c>
      <c r="K2495" t="s">
        <v>78</v>
      </c>
      <c r="L2495" t="s">
        <v>136</v>
      </c>
      <c r="M2495" t="s">
        <v>137</v>
      </c>
      <c r="N2495" t="s">
        <v>441</v>
      </c>
      <c r="O2495" t="s">
        <v>82</v>
      </c>
      <c r="P2495" t="str">
        <f>"4170039682                    "</f>
        <v xml:space="preserve">4170039682                    </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c r="AJ2495">
        <v>0</v>
      </c>
      <c r="AK2495">
        <v>0</v>
      </c>
      <c r="AL2495">
        <v>0</v>
      </c>
      <c r="AM2495">
        <v>0</v>
      </c>
      <c r="AN2495">
        <v>0</v>
      </c>
      <c r="AO2495">
        <v>0</v>
      </c>
      <c r="AP2495">
        <v>0</v>
      </c>
      <c r="AQ2495">
        <v>21.38</v>
      </c>
      <c r="AR2495">
        <v>0</v>
      </c>
      <c r="AS2495">
        <v>0</v>
      </c>
      <c r="AT2495">
        <v>0</v>
      </c>
      <c r="AU2495">
        <v>0</v>
      </c>
      <c r="AV2495">
        <v>0</v>
      </c>
      <c r="AW2495">
        <v>0</v>
      </c>
      <c r="AX2495">
        <v>0</v>
      </c>
      <c r="AY2495">
        <v>0</v>
      </c>
      <c r="AZ2495">
        <v>0</v>
      </c>
      <c r="BA2495">
        <v>0</v>
      </c>
      <c r="BB2495">
        <v>0</v>
      </c>
      <c r="BC2495">
        <v>0</v>
      </c>
      <c r="BD2495">
        <v>0</v>
      </c>
      <c r="BE2495">
        <v>0</v>
      </c>
      <c r="BF2495">
        <v>0</v>
      </c>
      <c r="BG2495">
        <v>0</v>
      </c>
      <c r="BH2495">
        <v>1</v>
      </c>
      <c r="BI2495">
        <v>1</v>
      </c>
      <c r="BJ2495">
        <v>1.5</v>
      </c>
      <c r="BK2495">
        <v>1.5</v>
      </c>
      <c r="BL2495">
        <v>69.98</v>
      </c>
      <c r="BM2495">
        <v>10.5</v>
      </c>
      <c r="BN2495">
        <v>80.48</v>
      </c>
      <c r="BO2495">
        <v>80.48</v>
      </c>
      <c r="BQ2495" t="s">
        <v>442</v>
      </c>
      <c r="BR2495" t="s">
        <v>84</v>
      </c>
      <c r="BS2495" s="3">
        <v>45798</v>
      </c>
      <c r="BT2495" s="4">
        <v>0.51875000000000004</v>
      </c>
      <c r="BU2495" t="s">
        <v>514</v>
      </c>
      <c r="BV2495" t="s">
        <v>86</v>
      </c>
      <c r="BY2495">
        <v>7540</v>
      </c>
      <c r="CA2495" t="s">
        <v>2273</v>
      </c>
      <c r="CC2495" t="s">
        <v>137</v>
      </c>
      <c r="CD2495" s="5" t="s">
        <v>444</v>
      </c>
      <c r="CE2495" t="s">
        <v>96</v>
      </c>
      <c r="CF2495" s="3">
        <v>45798</v>
      </c>
      <c r="CI2495">
        <v>1</v>
      </c>
      <c r="CJ2495">
        <v>1</v>
      </c>
      <c r="CK2495">
        <v>21</v>
      </c>
      <c r="CL2495" t="s">
        <v>89</v>
      </c>
    </row>
    <row r="2496" spans="1:90" x14ac:dyDescent="0.3">
      <c r="A2496" t="s">
        <v>72</v>
      </c>
      <c r="B2496" t="s">
        <v>73</v>
      </c>
      <c r="C2496" t="s">
        <v>74</v>
      </c>
      <c r="E2496" t="str">
        <f>"080065473686"</f>
        <v>080065473686</v>
      </c>
      <c r="F2496" s="3">
        <v>45797</v>
      </c>
      <c r="G2496">
        <v>202602</v>
      </c>
      <c r="H2496" t="s">
        <v>75</v>
      </c>
      <c r="I2496" t="s">
        <v>76</v>
      </c>
      <c r="J2496" t="s">
        <v>77</v>
      </c>
      <c r="K2496" t="s">
        <v>78</v>
      </c>
      <c r="L2496" t="s">
        <v>90</v>
      </c>
      <c r="M2496" t="s">
        <v>91</v>
      </c>
      <c r="N2496" t="s">
        <v>469</v>
      </c>
      <c r="O2496" t="s">
        <v>82</v>
      </c>
      <c r="P2496" t="str">
        <f>"4170039604                    "</f>
        <v xml:space="preserve">4170039604                    </v>
      </c>
      <c r="Q2496">
        <v>0</v>
      </c>
      <c r="R2496">
        <v>0</v>
      </c>
      <c r="S2496">
        <v>0</v>
      </c>
      <c r="T2496">
        <v>0</v>
      </c>
      <c r="U2496">
        <v>0</v>
      </c>
      <c r="V2496">
        <v>0</v>
      </c>
      <c r="W2496">
        <v>0</v>
      </c>
      <c r="X2496">
        <v>0</v>
      </c>
      <c r="Y2496">
        <v>0</v>
      </c>
      <c r="Z2496">
        <v>0</v>
      </c>
      <c r="AA2496">
        <v>0</v>
      </c>
      <c r="AB2496">
        <v>0</v>
      </c>
      <c r="AC2496">
        <v>0</v>
      </c>
      <c r="AD2496">
        <v>0</v>
      </c>
      <c r="AE2496">
        <v>0</v>
      </c>
      <c r="AF2496">
        <v>0</v>
      </c>
      <c r="AG2496">
        <v>0</v>
      </c>
      <c r="AH2496">
        <v>0</v>
      </c>
      <c r="AI2496">
        <v>0</v>
      </c>
      <c r="AJ2496">
        <v>0</v>
      </c>
      <c r="AK2496">
        <v>0</v>
      </c>
      <c r="AL2496">
        <v>0</v>
      </c>
      <c r="AM2496">
        <v>0</v>
      </c>
      <c r="AN2496">
        <v>0</v>
      </c>
      <c r="AO2496">
        <v>0</v>
      </c>
      <c r="AP2496">
        <v>0</v>
      </c>
      <c r="AQ2496">
        <v>21.38</v>
      </c>
      <c r="AR2496">
        <v>0</v>
      </c>
      <c r="AS2496">
        <v>0</v>
      </c>
      <c r="AT2496">
        <v>0</v>
      </c>
      <c r="AU2496">
        <v>0</v>
      </c>
      <c r="AV2496">
        <v>0</v>
      </c>
      <c r="AW2496">
        <v>0</v>
      </c>
      <c r="AX2496">
        <v>0</v>
      </c>
      <c r="AY2496">
        <v>0</v>
      </c>
      <c r="AZ2496">
        <v>0</v>
      </c>
      <c r="BA2496">
        <v>0</v>
      </c>
      <c r="BB2496">
        <v>0</v>
      </c>
      <c r="BC2496">
        <v>0</v>
      </c>
      <c r="BD2496">
        <v>0</v>
      </c>
      <c r="BE2496">
        <v>0</v>
      </c>
      <c r="BF2496">
        <v>0</v>
      </c>
      <c r="BG2496">
        <v>0</v>
      </c>
      <c r="BH2496">
        <v>1</v>
      </c>
      <c r="BI2496">
        <v>1</v>
      </c>
      <c r="BJ2496">
        <v>0.2</v>
      </c>
      <c r="BK2496">
        <v>1</v>
      </c>
      <c r="BL2496">
        <v>69.98</v>
      </c>
      <c r="BM2496">
        <v>10.5</v>
      </c>
      <c r="BN2496">
        <v>80.48</v>
      </c>
      <c r="BO2496">
        <v>80.48</v>
      </c>
      <c r="BQ2496" t="s">
        <v>470</v>
      </c>
      <c r="BR2496" t="s">
        <v>84</v>
      </c>
      <c r="BS2496" s="3">
        <v>45798</v>
      </c>
      <c r="BT2496" s="4">
        <v>0.43402777777777779</v>
      </c>
      <c r="BU2496" t="s">
        <v>471</v>
      </c>
      <c r="BV2496" t="s">
        <v>86</v>
      </c>
      <c r="BY2496">
        <v>1200</v>
      </c>
      <c r="CA2496" t="s">
        <v>182</v>
      </c>
      <c r="CC2496" t="s">
        <v>91</v>
      </c>
      <c r="CD2496">
        <v>6001</v>
      </c>
      <c r="CE2496" t="s">
        <v>88</v>
      </c>
      <c r="CF2496" s="3">
        <v>45798</v>
      </c>
      <c r="CI2496">
        <v>1</v>
      </c>
      <c r="CJ2496">
        <v>1</v>
      </c>
      <c r="CK2496">
        <v>21</v>
      </c>
      <c r="CL2496" t="s">
        <v>89</v>
      </c>
    </row>
    <row r="2497" spans="1:90" x14ac:dyDescent="0.3">
      <c r="A2497" t="s">
        <v>72</v>
      </c>
      <c r="B2497" t="s">
        <v>73</v>
      </c>
      <c r="C2497" t="s">
        <v>74</v>
      </c>
      <c r="E2497" t="str">
        <f>"080065473719"</f>
        <v>080065473719</v>
      </c>
      <c r="F2497" s="3">
        <v>45797</v>
      </c>
      <c r="G2497">
        <v>202602</v>
      </c>
      <c r="H2497" t="s">
        <v>75</v>
      </c>
      <c r="I2497" t="s">
        <v>76</v>
      </c>
      <c r="J2497" t="s">
        <v>77</v>
      </c>
      <c r="K2497" t="s">
        <v>78</v>
      </c>
      <c r="L2497" t="s">
        <v>79</v>
      </c>
      <c r="M2497" t="s">
        <v>80</v>
      </c>
      <c r="N2497" t="s">
        <v>880</v>
      </c>
      <c r="O2497" t="s">
        <v>82</v>
      </c>
      <c r="P2497" t="str">
        <f>"4170039591                    "</f>
        <v xml:space="preserve">4170039591                    </v>
      </c>
      <c r="Q2497">
        <v>0</v>
      </c>
      <c r="R2497">
        <v>0</v>
      </c>
      <c r="S2497">
        <v>0</v>
      </c>
      <c r="T2497">
        <v>0</v>
      </c>
      <c r="U2497">
        <v>0</v>
      </c>
      <c r="V2497">
        <v>0</v>
      </c>
      <c r="W2497">
        <v>0</v>
      </c>
      <c r="X2497">
        <v>0</v>
      </c>
      <c r="Y2497">
        <v>0</v>
      </c>
      <c r="Z2497">
        <v>0</v>
      </c>
      <c r="AA2497">
        <v>0</v>
      </c>
      <c r="AB2497">
        <v>0</v>
      </c>
      <c r="AC2497">
        <v>0</v>
      </c>
      <c r="AD2497">
        <v>0</v>
      </c>
      <c r="AE2497">
        <v>0</v>
      </c>
      <c r="AF2497">
        <v>0</v>
      </c>
      <c r="AG2497">
        <v>0</v>
      </c>
      <c r="AH2497">
        <v>0</v>
      </c>
      <c r="AI2497">
        <v>0</v>
      </c>
      <c r="AJ2497">
        <v>0</v>
      </c>
      <c r="AK2497">
        <v>0</v>
      </c>
      <c r="AL2497">
        <v>0</v>
      </c>
      <c r="AM2497">
        <v>0</v>
      </c>
      <c r="AN2497">
        <v>0</v>
      </c>
      <c r="AO2497">
        <v>0</v>
      </c>
      <c r="AP2497">
        <v>0</v>
      </c>
      <c r="AQ2497">
        <v>21.38</v>
      </c>
      <c r="AR2497">
        <v>0</v>
      </c>
      <c r="AS2497">
        <v>0</v>
      </c>
      <c r="AT2497">
        <v>0</v>
      </c>
      <c r="AU2497">
        <v>0</v>
      </c>
      <c r="AV2497">
        <v>0</v>
      </c>
      <c r="AW2497">
        <v>0</v>
      </c>
      <c r="AX2497">
        <v>0</v>
      </c>
      <c r="AY2497">
        <v>0</v>
      </c>
      <c r="AZ2497">
        <v>0</v>
      </c>
      <c r="BA2497">
        <v>0</v>
      </c>
      <c r="BB2497">
        <v>0</v>
      </c>
      <c r="BC2497">
        <v>0</v>
      </c>
      <c r="BD2497">
        <v>0</v>
      </c>
      <c r="BE2497">
        <v>0</v>
      </c>
      <c r="BF2497">
        <v>0</v>
      </c>
      <c r="BG2497">
        <v>0</v>
      </c>
      <c r="BH2497">
        <v>1</v>
      </c>
      <c r="BI2497">
        <v>1</v>
      </c>
      <c r="BJ2497">
        <v>0.2</v>
      </c>
      <c r="BK2497">
        <v>1</v>
      </c>
      <c r="BL2497">
        <v>69.98</v>
      </c>
      <c r="BM2497">
        <v>10.5</v>
      </c>
      <c r="BN2497">
        <v>80.48</v>
      </c>
      <c r="BO2497">
        <v>80.48</v>
      </c>
      <c r="BQ2497" t="s">
        <v>881</v>
      </c>
      <c r="BR2497" t="s">
        <v>84</v>
      </c>
      <c r="BS2497" s="3">
        <v>45798</v>
      </c>
      <c r="BT2497" s="4">
        <v>0.42638888888888887</v>
      </c>
      <c r="BU2497" t="s">
        <v>882</v>
      </c>
      <c r="BV2497" t="s">
        <v>86</v>
      </c>
      <c r="BY2497">
        <v>1200</v>
      </c>
      <c r="CA2497" t="s">
        <v>160</v>
      </c>
      <c r="CC2497" t="s">
        <v>80</v>
      </c>
      <c r="CD2497">
        <v>3620</v>
      </c>
      <c r="CE2497" t="s">
        <v>88</v>
      </c>
      <c r="CF2497" s="3">
        <v>45798</v>
      </c>
      <c r="CI2497">
        <v>1</v>
      </c>
      <c r="CJ2497">
        <v>1</v>
      </c>
      <c r="CK2497">
        <v>21</v>
      </c>
      <c r="CL2497" t="s">
        <v>89</v>
      </c>
    </row>
    <row r="2498" spans="1:90" x14ac:dyDescent="0.3">
      <c r="A2498" t="s">
        <v>72</v>
      </c>
      <c r="B2498" t="s">
        <v>73</v>
      </c>
      <c r="C2498" t="s">
        <v>74</v>
      </c>
      <c r="E2498" t="str">
        <f>"080065473720"</f>
        <v>080065473720</v>
      </c>
      <c r="F2498" s="3">
        <v>45797</v>
      </c>
      <c r="G2498">
        <v>202602</v>
      </c>
      <c r="H2498" t="s">
        <v>75</v>
      </c>
      <c r="I2498" t="s">
        <v>76</v>
      </c>
      <c r="J2498" t="s">
        <v>77</v>
      </c>
      <c r="K2498" t="s">
        <v>78</v>
      </c>
      <c r="L2498" t="s">
        <v>350</v>
      </c>
      <c r="M2498" t="s">
        <v>351</v>
      </c>
      <c r="N2498" t="s">
        <v>459</v>
      </c>
      <c r="O2498" t="s">
        <v>82</v>
      </c>
      <c r="P2498" t="str">
        <f>"4170039692                    "</f>
        <v xml:space="preserve">4170039692                    </v>
      </c>
      <c r="Q2498">
        <v>0</v>
      </c>
      <c r="R2498">
        <v>0</v>
      </c>
      <c r="S2498">
        <v>0</v>
      </c>
      <c r="T2498">
        <v>0</v>
      </c>
      <c r="U2498">
        <v>0</v>
      </c>
      <c r="V2498">
        <v>0</v>
      </c>
      <c r="W2498">
        <v>0</v>
      </c>
      <c r="X2498">
        <v>0</v>
      </c>
      <c r="Y2498">
        <v>0</v>
      </c>
      <c r="Z2498">
        <v>0</v>
      </c>
      <c r="AA2498">
        <v>0</v>
      </c>
      <c r="AB2498">
        <v>0</v>
      </c>
      <c r="AC2498">
        <v>0</v>
      </c>
      <c r="AD2498">
        <v>0</v>
      </c>
      <c r="AE2498">
        <v>0</v>
      </c>
      <c r="AF2498">
        <v>0</v>
      </c>
      <c r="AG2498">
        <v>0</v>
      </c>
      <c r="AH2498">
        <v>0</v>
      </c>
      <c r="AI2498">
        <v>0</v>
      </c>
      <c r="AJ2498">
        <v>0</v>
      </c>
      <c r="AK2498">
        <v>0</v>
      </c>
      <c r="AL2498">
        <v>0</v>
      </c>
      <c r="AM2498">
        <v>0</v>
      </c>
      <c r="AN2498">
        <v>0</v>
      </c>
      <c r="AO2498">
        <v>0</v>
      </c>
      <c r="AP2498">
        <v>0</v>
      </c>
      <c r="AQ2498">
        <v>21.38</v>
      </c>
      <c r="AR2498">
        <v>0</v>
      </c>
      <c r="AS2498">
        <v>0</v>
      </c>
      <c r="AT2498">
        <v>0</v>
      </c>
      <c r="AU2498">
        <v>0</v>
      </c>
      <c r="AV2498">
        <v>0</v>
      </c>
      <c r="AW2498">
        <v>0</v>
      </c>
      <c r="AX2498">
        <v>0</v>
      </c>
      <c r="AY2498">
        <v>0</v>
      </c>
      <c r="AZ2498">
        <v>0</v>
      </c>
      <c r="BA2498">
        <v>0</v>
      </c>
      <c r="BB2498">
        <v>0</v>
      </c>
      <c r="BC2498">
        <v>0</v>
      </c>
      <c r="BD2498">
        <v>0</v>
      </c>
      <c r="BE2498">
        <v>0</v>
      </c>
      <c r="BF2498">
        <v>0</v>
      </c>
      <c r="BG2498">
        <v>0</v>
      </c>
      <c r="BH2498">
        <v>1</v>
      </c>
      <c r="BI2498">
        <v>2</v>
      </c>
      <c r="BJ2498">
        <v>1.5</v>
      </c>
      <c r="BK2498">
        <v>2</v>
      </c>
      <c r="BL2498">
        <v>69.98</v>
      </c>
      <c r="BM2498">
        <v>10.5</v>
      </c>
      <c r="BN2498">
        <v>80.48</v>
      </c>
      <c r="BO2498">
        <v>80.48</v>
      </c>
      <c r="BQ2498" t="s">
        <v>460</v>
      </c>
      <c r="BR2498" t="s">
        <v>84</v>
      </c>
      <c r="BS2498" s="3">
        <v>45798</v>
      </c>
      <c r="BT2498" s="4">
        <v>0.33124999999999999</v>
      </c>
      <c r="BU2498" t="s">
        <v>2692</v>
      </c>
      <c r="BV2498" t="s">
        <v>86</v>
      </c>
      <c r="BY2498">
        <v>7540</v>
      </c>
      <c r="CA2498" t="s">
        <v>802</v>
      </c>
      <c r="CC2498" t="s">
        <v>351</v>
      </c>
      <c r="CD2498">
        <v>4000</v>
      </c>
      <c r="CE2498" t="s">
        <v>96</v>
      </c>
      <c r="CF2498" s="3">
        <v>45798</v>
      </c>
      <c r="CI2498">
        <v>1</v>
      </c>
      <c r="CJ2498">
        <v>1</v>
      </c>
      <c r="CK2498">
        <v>21</v>
      </c>
      <c r="CL2498" t="s">
        <v>89</v>
      </c>
    </row>
    <row r="2499" spans="1:90" x14ac:dyDescent="0.3">
      <c r="A2499" t="s">
        <v>72</v>
      </c>
      <c r="B2499" t="s">
        <v>73</v>
      </c>
      <c r="C2499" t="s">
        <v>74</v>
      </c>
      <c r="E2499" t="str">
        <f>"080065473752"</f>
        <v>080065473752</v>
      </c>
      <c r="F2499" s="3">
        <v>45797</v>
      </c>
      <c r="G2499">
        <v>202602</v>
      </c>
      <c r="H2499" t="s">
        <v>75</v>
      </c>
      <c r="I2499" t="s">
        <v>76</v>
      </c>
      <c r="J2499" t="s">
        <v>77</v>
      </c>
      <c r="K2499" t="s">
        <v>78</v>
      </c>
      <c r="L2499" t="s">
        <v>489</v>
      </c>
      <c r="M2499" t="s">
        <v>490</v>
      </c>
      <c r="N2499" t="s">
        <v>491</v>
      </c>
      <c r="O2499" t="s">
        <v>82</v>
      </c>
      <c r="P2499" t="str">
        <f>"4170039605                    "</f>
        <v xml:space="preserve">4170039605                    </v>
      </c>
      <c r="Q2499">
        <v>0</v>
      </c>
      <c r="R2499">
        <v>0</v>
      </c>
      <c r="S2499">
        <v>0</v>
      </c>
      <c r="T2499">
        <v>0</v>
      </c>
      <c r="U2499">
        <v>0</v>
      </c>
      <c r="V2499">
        <v>0</v>
      </c>
      <c r="W2499">
        <v>0</v>
      </c>
      <c r="X2499">
        <v>0</v>
      </c>
      <c r="Y2499">
        <v>0</v>
      </c>
      <c r="Z2499">
        <v>0</v>
      </c>
      <c r="AA2499">
        <v>0</v>
      </c>
      <c r="AB2499">
        <v>0</v>
      </c>
      <c r="AC2499">
        <v>0</v>
      </c>
      <c r="AD2499">
        <v>0</v>
      </c>
      <c r="AE2499">
        <v>0</v>
      </c>
      <c r="AF2499">
        <v>0</v>
      </c>
      <c r="AG2499">
        <v>0</v>
      </c>
      <c r="AH2499">
        <v>0</v>
      </c>
      <c r="AI2499">
        <v>0</v>
      </c>
      <c r="AJ2499">
        <v>0</v>
      </c>
      <c r="AK2499">
        <v>0</v>
      </c>
      <c r="AL2499">
        <v>0</v>
      </c>
      <c r="AM2499">
        <v>0</v>
      </c>
      <c r="AN2499">
        <v>0</v>
      </c>
      <c r="AO2499">
        <v>0</v>
      </c>
      <c r="AP2499">
        <v>0</v>
      </c>
      <c r="AQ2499">
        <v>41.43</v>
      </c>
      <c r="AR2499">
        <v>0</v>
      </c>
      <c r="AS2499">
        <v>0</v>
      </c>
      <c r="AT2499">
        <v>0</v>
      </c>
      <c r="AU2499">
        <v>0</v>
      </c>
      <c r="AV2499">
        <v>0</v>
      </c>
      <c r="AW2499">
        <v>0</v>
      </c>
      <c r="AX2499">
        <v>0</v>
      </c>
      <c r="AY2499">
        <v>0</v>
      </c>
      <c r="AZ2499">
        <v>0</v>
      </c>
      <c r="BA2499">
        <v>0</v>
      </c>
      <c r="BB2499">
        <v>0</v>
      </c>
      <c r="BC2499">
        <v>0</v>
      </c>
      <c r="BD2499">
        <v>0</v>
      </c>
      <c r="BE2499">
        <v>0</v>
      </c>
      <c r="BF2499">
        <v>0</v>
      </c>
      <c r="BG2499">
        <v>0</v>
      </c>
      <c r="BH2499">
        <v>1</v>
      </c>
      <c r="BI2499">
        <v>1</v>
      </c>
      <c r="BJ2499">
        <v>0.2</v>
      </c>
      <c r="BK2499">
        <v>1</v>
      </c>
      <c r="BL2499">
        <v>135.59</v>
      </c>
      <c r="BM2499">
        <v>20.34</v>
      </c>
      <c r="BN2499">
        <v>155.93</v>
      </c>
      <c r="BO2499">
        <v>155.93</v>
      </c>
      <c r="BQ2499" t="s">
        <v>492</v>
      </c>
      <c r="BR2499" t="s">
        <v>84</v>
      </c>
      <c r="BS2499" s="3">
        <v>45798</v>
      </c>
      <c r="BT2499" s="4">
        <v>0.31527777777777777</v>
      </c>
      <c r="BU2499" t="s">
        <v>2689</v>
      </c>
      <c r="BV2499" t="s">
        <v>86</v>
      </c>
      <c r="BY2499">
        <v>1200</v>
      </c>
      <c r="CA2499" t="s">
        <v>1268</v>
      </c>
      <c r="CC2499" t="s">
        <v>490</v>
      </c>
      <c r="CD2499">
        <v>2740</v>
      </c>
      <c r="CE2499" t="s">
        <v>88</v>
      </c>
      <c r="CF2499" s="3">
        <v>45799</v>
      </c>
      <c r="CI2499">
        <v>1</v>
      </c>
      <c r="CJ2499">
        <v>1</v>
      </c>
      <c r="CK2499">
        <v>23</v>
      </c>
      <c r="CL2499" t="s">
        <v>89</v>
      </c>
    </row>
    <row r="2500" spans="1:90" x14ac:dyDescent="0.3">
      <c r="A2500" t="s">
        <v>72</v>
      </c>
      <c r="B2500" t="s">
        <v>73</v>
      </c>
      <c r="C2500" t="s">
        <v>74</v>
      </c>
      <c r="E2500" t="str">
        <f>"080065473774"</f>
        <v>080065473774</v>
      </c>
      <c r="F2500" s="3">
        <v>45797</v>
      </c>
      <c r="G2500">
        <v>202602</v>
      </c>
      <c r="H2500" t="s">
        <v>75</v>
      </c>
      <c r="I2500" t="s">
        <v>76</v>
      </c>
      <c r="J2500" t="s">
        <v>77</v>
      </c>
      <c r="K2500" t="s">
        <v>78</v>
      </c>
      <c r="L2500" t="s">
        <v>350</v>
      </c>
      <c r="M2500" t="s">
        <v>351</v>
      </c>
      <c r="N2500" t="s">
        <v>459</v>
      </c>
      <c r="O2500" t="s">
        <v>82</v>
      </c>
      <c r="P2500" t="str">
        <f>"4170039702                    "</f>
        <v xml:space="preserve">4170039702                    </v>
      </c>
      <c r="Q2500">
        <v>0</v>
      </c>
      <c r="R2500">
        <v>0</v>
      </c>
      <c r="S2500">
        <v>0</v>
      </c>
      <c r="T2500">
        <v>0</v>
      </c>
      <c r="U2500">
        <v>0</v>
      </c>
      <c r="V2500">
        <v>0</v>
      </c>
      <c r="W2500">
        <v>0</v>
      </c>
      <c r="X2500">
        <v>0</v>
      </c>
      <c r="Y2500">
        <v>0</v>
      </c>
      <c r="Z2500">
        <v>0</v>
      </c>
      <c r="AA2500">
        <v>0</v>
      </c>
      <c r="AB2500">
        <v>0</v>
      </c>
      <c r="AC2500">
        <v>0</v>
      </c>
      <c r="AD2500">
        <v>0</v>
      </c>
      <c r="AE2500">
        <v>0</v>
      </c>
      <c r="AF2500">
        <v>0</v>
      </c>
      <c r="AG2500">
        <v>0</v>
      </c>
      <c r="AH2500">
        <v>0</v>
      </c>
      <c r="AI2500">
        <v>0</v>
      </c>
      <c r="AJ2500">
        <v>0</v>
      </c>
      <c r="AK2500">
        <v>0</v>
      </c>
      <c r="AL2500">
        <v>0</v>
      </c>
      <c r="AM2500">
        <v>0</v>
      </c>
      <c r="AN2500">
        <v>0</v>
      </c>
      <c r="AO2500">
        <v>0</v>
      </c>
      <c r="AP2500">
        <v>0</v>
      </c>
      <c r="AQ2500">
        <v>21.38</v>
      </c>
      <c r="AR2500">
        <v>0</v>
      </c>
      <c r="AS2500">
        <v>0</v>
      </c>
      <c r="AT2500">
        <v>0</v>
      </c>
      <c r="AU2500">
        <v>0</v>
      </c>
      <c r="AV2500">
        <v>0</v>
      </c>
      <c r="AW2500">
        <v>0</v>
      </c>
      <c r="AX2500">
        <v>0</v>
      </c>
      <c r="AY2500">
        <v>0</v>
      </c>
      <c r="AZ2500">
        <v>0</v>
      </c>
      <c r="BA2500">
        <v>0</v>
      </c>
      <c r="BB2500">
        <v>0</v>
      </c>
      <c r="BC2500">
        <v>0</v>
      </c>
      <c r="BD2500">
        <v>0</v>
      </c>
      <c r="BE2500">
        <v>0</v>
      </c>
      <c r="BF2500">
        <v>0</v>
      </c>
      <c r="BG2500">
        <v>0</v>
      </c>
      <c r="BH2500">
        <v>1</v>
      </c>
      <c r="BI2500">
        <v>1</v>
      </c>
      <c r="BJ2500">
        <v>0.2</v>
      </c>
      <c r="BK2500">
        <v>1</v>
      </c>
      <c r="BL2500">
        <v>69.98</v>
      </c>
      <c r="BM2500">
        <v>10.5</v>
      </c>
      <c r="BN2500">
        <v>80.48</v>
      </c>
      <c r="BO2500">
        <v>80.48</v>
      </c>
      <c r="BQ2500" t="s">
        <v>460</v>
      </c>
      <c r="BR2500" t="s">
        <v>84</v>
      </c>
      <c r="BS2500" s="3">
        <v>45798</v>
      </c>
      <c r="BT2500" s="4">
        <v>0.33124999999999999</v>
      </c>
      <c r="BU2500" t="s">
        <v>2692</v>
      </c>
      <c r="BV2500" t="s">
        <v>86</v>
      </c>
      <c r="BY2500">
        <v>1200</v>
      </c>
      <c r="CA2500" t="s">
        <v>802</v>
      </c>
      <c r="CC2500" t="s">
        <v>351</v>
      </c>
      <c r="CD2500">
        <v>4051</v>
      </c>
      <c r="CE2500" t="s">
        <v>88</v>
      </c>
      <c r="CF2500" s="3">
        <v>45798</v>
      </c>
      <c r="CI2500">
        <v>1</v>
      </c>
      <c r="CJ2500">
        <v>1</v>
      </c>
      <c r="CK2500">
        <v>21</v>
      </c>
      <c r="CL2500" t="s">
        <v>89</v>
      </c>
    </row>
    <row r="2501" spans="1:90" x14ac:dyDescent="0.3">
      <c r="A2501" t="s">
        <v>72</v>
      </c>
      <c r="B2501" t="s">
        <v>73</v>
      </c>
      <c r="C2501" t="s">
        <v>74</v>
      </c>
      <c r="E2501" t="str">
        <f>"080065473788"</f>
        <v>080065473788</v>
      </c>
      <c r="F2501" s="3">
        <v>45797</v>
      </c>
      <c r="G2501">
        <v>202602</v>
      </c>
      <c r="H2501" t="s">
        <v>75</v>
      </c>
      <c r="I2501" t="s">
        <v>76</v>
      </c>
      <c r="J2501" t="s">
        <v>77</v>
      </c>
      <c r="K2501" t="s">
        <v>78</v>
      </c>
      <c r="L2501" t="s">
        <v>648</v>
      </c>
      <c r="M2501" t="s">
        <v>649</v>
      </c>
      <c r="N2501" t="s">
        <v>1702</v>
      </c>
      <c r="O2501" t="s">
        <v>82</v>
      </c>
      <c r="P2501" t="str">
        <f>"4170039609                    "</f>
        <v xml:space="preserve">4170039609                    </v>
      </c>
      <c r="Q2501">
        <v>0</v>
      </c>
      <c r="R2501">
        <v>0</v>
      </c>
      <c r="S2501">
        <v>0</v>
      </c>
      <c r="T2501">
        <v>0</v>
      </c>
      <c r="U2501">
        <v>0</v>
      </c>
      <c r="V2501">
        <v>0</v>
      </c>
      <c r="W2501">
        <v>0</v>
      </c>
      <c r="X2501">
        <v>0</v>
      </c>
      <c r="Y2501">
        <v>0</v>
      </c>
      <c r="Z2501">
        <v>0</v>
      </c>
      <c r="AA2501">
        <v>0</v>
      </c>
      <c r="AB2501">
        <v>0</v>
      </c>
      <c r="AC2501">
        <v>0</v>
      </c>
      <c r="AD2501">
        <v>0</v>
      </c>
      <c r="AE2501">
        <v>0</v>
      </c>
      <c r="AF2501">
        <v>0</v>
      </c>
      <c r="AG2501">
        <v>0</v>
      </c>
      <c r="AH2501">
        <v>0</v>
      </c>
      <c r="AI2501">
        <v>0</v>
      </c>
      <c r="AJ2501">
        <v>0</v>
      </c>
      <c r="AK2501">
        <v>0</v>
      </c>
      <c r="AL2501">
        <v>0</v>
      </c>
      <c r="AM2501">
        <v>0</v>
      </c>
      <c r="AN2501">
        <v>0</v>
      </c>
      <c r="AO2501">
        <v>0</v>
      </c>
      <c r="AP2501">
        <v>0</v>
      </c>
      <c r="AQ2501">
        <v>16.7</v>
      </c>
      <c r="AR2501">
        <v>0</v>
      </c>
      <c r="AS2501">
        <v>0</v>
      </c>
      <c r="AT2501">
        <v>0</v>
      </c>
      <c r="AU2501">
        <v>0</v>
      </c>
      <c r="AV2501">
        <v>0</v>
      </c>
      <c r="AW2501">
        <v>0</v>
      </c>
      <c r="AX2501">
        <v>0</v>
      </c>
      <c r="AY2501">
        <v>0</v>
      </c>
      <c r="AZ2501">
        <v>0</v>
      </c>
      <c r="BA2501">
        <v>0</v>
      </c>
      <c r="BB2501">
        <v>0</v>
      </c>
      <c r="BC2501">
        <v>0</v>
      </c>
      <c r="BD2501">
        <v>0</v>
      </c>
      <c r="BE2501">
        <v>0</v>
      </c>
      <c r="BF2501">
        <v>0</v>
      </c>
      <c r="BG2501">
        <v>0</v>
      </c>
      <c r="BH2501">
        <v>1</v>
      </c>
      <c r="BI2501">
        <v>1</v>
      </c>
      <c r="BJ2501">
        <v>0.2</v>
      </c>
      <c r="BK2501">
        <v>1</v>
      </c>
      <c r="BL2501">
        <v>54.66</v>
      </c>
      <c r="BM2501">
        <v>8.1999999999999993</v>
      </c>
      <c r="BN2501">
        <v>62.86</v>
      </c>
      <c r="BO2501">
        <v>62.86</v>
      </c>
      <c r="BQ2501" t="s">
        <v>1703</v>
      </c>
      <c r="BR2501" t="s">
        <v>84</v>
      </c>
      <c r="BS2501" s="3">
        <v>45798</v>
      </c>
      <c r="BT2501" s="4">
        <v>0.41666666666666669</v>
      </c>
      <c r="BU2501" t="s">
        <v>1014</v>
      </c>
      <c r="BV2501" t="s">
        <v>86</v>
      </c>
      <c r="BY2501">
        <v>1200</v>
      </c>
      <c r="CA2501" t="s">
        <v>698</v>
      </c>
      <c r="CC2501" t="s">
        <v>649</v>
      </c>
      <c r="CD2501">
        <v>1559</v>
      </c>
      <c r="CE2501" t="s">
        <v>2329</v>
      </c>
      <c r="CF2501" s="3">
        <v>45798</v>
      </c>
      <c r="CI2501">
        <v>1</v>
      </c>
      <c r="CJ2501">
        <v>1</v>
      </c>
      <c r="CK2501">
        <v>22</v>
      </c>
      <c r="CL2501" t="s">
        <v>89</v>
      </c>
    </row>
    <row r="2502" spans="1:90" x14ac:dyDescent="0.3">
      <c r="A2502" t="s">
        <v>72</v>
      </c>
      <c r="B2502" t="s">
        <v>73</v>
      </c>
      <c r="C2502" t="s">
        <v>74</v>
      </c>
      <c r="E2502" t="str">
        <f>"080065473796"</f>
        <v>080065473796</v>
      </c>
      <c r="F2502" s="3">
        <v>45797</v>
      </c>
      <c r="G2502">
        <v>202602</v>
      </c>
      <c r="H2502" t="s">
        <v>75</v>
      </c>
      <c r="I2502" t="s">
        <v>76</v>
      </c>
      <c r="J2502" t="s">
        <v>77</v>
      </c>
      <c r="K2502" t="s">
        <v>78</v>
      </c>
      <c r="L2502" t="s">
        <v>90</v>
      </c>
      <c r="M2502" t="s">
        <v>91</v>
      </c>
      <c r="N2502" t="s">
        <v>598</v>
      </c>
      <c r="O2502" t="s">
        <v>82</v>
      </c>
      <c r="P2502" t="str">
        <f>"4170039566                    "</f>
        <v xml:space="preserve">4170039566                    </v>
      </c>
      <c r="Q2502">
        <v>0</v>
      </c>
      <c r="R2502">
        <v>0</v>
      </c>
      <c r="S2502">
        <v>0</v>
      </c>
      <c r="T2502">
        <v>0</v>
      </c>
      <c r="U2502">
        <v>0</v>
      </c>
      <c r="V2502">
        <v>0</v>
      </c>
      <c r="W2502">
        <v>0</v>
      </c>
      <c r="X2502">
        <v>0</v>
      </c>
      <c r="Y2502">
        <v>0</v>
      </c>
      <c r="Z2502">
        <v>0</v>
      </c>
      <c r="AA2502">
        <v>0</v>
      </c>
      <c r="AB2502">
        <v>0</v>
      </c>
      <c r="AC2502">
        <v>0</v>
      </c>
      <c r="AD2502">
        <v>0</v>
      </c>
      <c r="AE2502">
        <v>0</v>
      </c>
      <c r="AF2502">
        <v>0</v>
      </c>
      <c r="AG2502">
        <v>0</v>
      </c>
      <c r="AH2502">
        <v>0</v>
      </c>
      <c r="AI2502">
        <v>0</v>
      </c>
      <c r="AJ2502">
        <v>0</v>
      </c>
      <c r="AK2502">
        <v>0</v>
      </c>
      <c r="AL2502">
        <v>0</v>
      </c>
      <c r="AM2502">
        <v>0</v>
      </c>
      <c r="AN2502">
        <v>0</v>
      </c>
      <c r="AO2502">
        <v>0</v>
      </c>
      <c r="AP2502">
        <v>0</v>
      </c>
      <c r="AQ2502">
        <v>138.9</v>
      </c>
      <c r="AR2502">
        <v>0</v>
      </c>
      <c r="AS2502">
        <v>0</v>
      </c>
      <c r="AT2502">
        <v>0</v>
      </c>
      <c r="AU2502">
        <v>0</v>
      </c>
      <c r="AV2502">
        <v>0</v>
      </c>
      <c r="AW2502">
        <v>0</v>
      </c>
      <c r="AX2502">
        <v>0</v>
      </c>
      <c r="AY2502">
        <v>0</v>
      </c>
      <c r="AZ2502">
        <v>0</v>
      </c>
      <c r="BA2502">
        <v>0</v>
      </c>
      <c r="BB2502">
        <v>0</v>
      </c>
      <c r="BC2502">
        <v>0</v>
      </c>
      <c r="BD2502">
        <v>0</v>
      </c>
      <c r="BE2502">
        <v>0</v>
      </c>
      <c r="BF2502">
        <v>0</v>
      </c>
      <c r="BG2502">
        <v>0</v>
      </c>
      <c r="BH2502">
        <v>1</v>
      </c>
      <c r="BI2502">
        <v>13</v>
      </c>
      <c r="BJ2502">
        <v>3.7</v>
      </c>
      <c r="BK2502">
        <v>13</v>
      </c>
      <c r="BL2502">
        <v>454.58</v>
      </c>
      <c r="BM2502">
        <v>68.19</v>
      </c>
      <c r="BN2502">
        <v>522.77</v>
      </c>
      <c r="BO2502">
        <v>522.77</v>
      </c>
      <c r="BQ2502" t="s">
        <v>599</v>
      </c>
      <c r="BR2502" t="s">
        <v>84</v>
      </c>
      <c r="BS2502" s="3">
        <v>45798</v>
      </c>
      <c r="BT2502" s="4">
        <v>0.43402777777777779</v>
      </c>
      <c r="BU2502" t="s">
        <v>1302</v>
      </c>
      <c r="BV2502" t="s">
        <v>86</v>
      </c>
      <c r="BY2502">
        <v>18720</v>
      </c>
      <c r="CA2502" t="s">
        <v>943</v>
      </c>
      <c r="CC2502" t="s">
        <v>91</v>
      </c>
      <c r="CD2502">
        <v>6012</v>
      </c>
      <c r="CE2502" t="s">
        <v>221</v>
      </c>
      <c r="CF2502" s="3">
        <v>45798</v>
      </c>
      <c r="CI2502">
        <v>1</v>
      </c>
      <c r="CJ2502">
        <v>1</v>
      </c>
      <c r="CK2502">
        <v>21</v>
      </c>
      <c r="CL2502" t="s">
        <v>89</v>
      </c>
    </row>
    <row r="2503" spans="1:90" x14ac:dyDescent="0.3">
      <c r="A2503" t="s">
        <v>72</v>
      </c>
      <c r="B2503" t="s">
        <v>73</v>
      </c>
      <c r="C2503" t="s">
        <v>74</v>
      </c>
      <c r="E2503" t="str">
        <f>"080065473802"</f>
        <v>080065473802</v>
      </c>
      <c r="F2503" s="3">
        <v>45797</v>
      </c>
      <c r="G2503">
        <v>202602</v>
      </c>
      <c r="H2503" t="s">
        <v>75</v>
      </c>
      <c r="I2503" t="s">
        <v>76</v>
      </c>
      <c r="J2503" t="s">
        <v>77</v>
      </c>
      <c r="K2503" t="s">
        <v>78</v>
      </c>
      <c r="L2503" t="s">
        <v>463</v>
      </c>
      <c r="M2503" t="s">
        <v>464</v>
      </c>
      <c r="N2503" t="s">
        <v>585</v>
      </c>
      <c r="O2503" t="s">
        <v>82</v>
      </c>
      <c r="P2503" t="str">
        <f>"4170039589                    "</f>
        <v xml:space="preserve">4170039589                    </v>
      </c>
      <c r="Q2503">
        <v>0</v>
      </c>
      <c r="R2503">
        <v>0</v>
      </c>
      <c r="S2503">
        <v>0</v>
      </c>
      <c r="T2503">
        <v>0</v>
      </c>
      <c r="U2503">
        <v>0</v>
      </c>
      <c r="V2503">
        <v>0</v>
      </c>
      <c r="W2503">
        <v>0</v>
      </c>
      <c r="X2503">
        <v>0</v>
      </c>
      <c r="Y2503">
        <v>0</v>
      </c>
      <c r="Z2503">
        <v>0</v>
      </c>
      <c r="AA2503">
        <v>0</v>
      </c>
      <c r="AB2503">
        <v>0</v>
      </c>
      <c r="AC2503">
        <v>0</v>
      </c>
      <c r="AD2503">
        <v>0</v>
      </c>
      <c r="AE2503">
        <v>0</v>
      </c>
      <c r="AF2503">
        <v>0</v>
      </c>
      <c r="AG2503">
        <v>0</v>
      </c>
      <c r="AH2503">
        <v>0</v>
      </c>
      <c r="AI2503">
        <v>0</v>
      </c>
      <c r="AJ2503">
        <v>0</v>
      </c>
      <c r="AK2503">
        <v>0</v>
      </c>
      <c r="AL2503">
        <v>0</v>
      </c>
      <c r="AM2503">
        <v>0</v>
      </c>
      <c r="AN2503">
        <v>0</v>
      </c>
      <c r="AO2503">
        <v>0</v>
      </c>
      <c r="AP2503">
        <v>0</v>
      </c>
      <c r="AQ2503">
        <v>21.38</v>
      </c>
      <c r="AR2503">
        <v>0</v>
      </c>
      <c r="AS2503">
        <v>0</v>
      </c>
      <c r="AT2503">
        <v>0</v>
      </c>
      <c r="AU2503">
        <v>0</v>
      </c>
      <c r="AV2503">
        <v>0</v>
      </c>
      <c r="AW2503">
        <v>0</v>
      </c>
      <c r="AX2503">
        <v>0</v>
      </c>
      <c r="AY2503">
        <v>0</v>
      </c>
      <c r="AZ2503">
        <v>0</v>
      </c>
      <c r="BA2503">
        <v>0</v>
      </c>
      <c r="BB2503">
        <v>0</v>
      </c>
      <c r="BC2503">
        <v>0</v>
      </c>
      <c r="BD2503">
        <v>0</v>
      </c>
      <c r="BE2503">
        <v>0</v>
      </c>
      <c r="BF2503">
        <v>0</v>
      </c>
      <c r="BG2503">
        <v>0</v>
      </c>
      <c r="BH2503">
        <v>1</v>
      </c>
      <c r="BI2503">
        <v>1</v>
      </c>
      <c r="BJ2503">
        <v>0.2</v>
      </c>
      <c r="BK2503">
        <v>1</v>
      </c>
      <c r="BL2503">
        <v>69.98</v>
      </c>
      <c r="BM2503">
        <v>10.5</v>
      </c>
      <c r="BN2503">
        <v>80.48</v>
      </c>
      <c r="BO2503">
        <v>80.48</v>
      </c>
      <c r="BQ2503" t="s">
        <v>586</v>
      </c>
      <c r="BR2503" t="s">
        <v>84</v>
      </c>
      <c r="BS2503" s="3">
        <v>45798</v>
      </c>
      <c r="BT2503" s="4">
        <v>0.49027777777777776</v>
      </c>
      <c r="BU2503" t="s">
        <v>587</v>
      </c>
      <c r="BV2503" t="s">
        <v>89</v>
      </c>
      <c r="BY2503">
        <v>1200</v>
      </c>
      <c r="CA2503" t="s">
        <v>588</v>
      </c>
      <c r="CC2503" t="s">
        <v>464</v>
      </c>
      <c r="CD2503">
        <v>5201</v>
      </c>
      <c r="CE2503" t="s">
        <v>88</v>
      </c>
      <c r="CF2503" s="3">
        <v>45798</v>
      </c>
      <c r="CI2503">
        <v>1</v>
      </c>
      <c r="CJ2503">
        <v>1</v>
      </c>
      <c r="CK2503">
        <v>21</v>
      </c>
      <c r="CL2503" t="s">
        <v>89</v>
      </c>
    </row>
    <row r="2504" spans="1:90" x14ac:dyDescent="0.3">
      <c r="A2504" t="s">
        <v>72</v>
      </c>
      <c r="B2504" t="s">
        <v>73</v>
      </c>
      <c r="C2504" t="s">
        <v>74</v>
      </c>
      <c r="E2504" t="str">
        <f>"080065473823"</f>
        <v>080065473823</v>
      </c>
      <c r="F2504" s="3">
        <v>45797</v>
      </c>
      <c r="G2504">
        <v>202602</v>
      </c>
      <c r="H2504" t="s">
        <v>75</v>
      </c>
      <c r="I2504" t="s">
        <v>76</v>
      </c>
      <c r="J2504" t="s">
        <v>77</v>
      </c>
      <c r="K2504" t="s">
        <v>78</v>
      </c>
      <c r="L2504" t="s">
        <v>97</v>
      </c>
      <c r="M2504" t="s">
        <v>98</v>
      </c>
      <c r="N2504" t="s">
        <v>2745</v>
      </c>
      <c r="O2504" t="s">
        <v>82</v>
      </c>
      <c r="P2504" t="str">
        <f>"4170039643                    "</f>
        <v xml:space="preserve">4170039643                    </v>
      </c>
      <c r="Q2504">
        <v>0</v>
      </c>
      <c r="R2504">
        <v>0</v>
      </c>
      <c r="S2504">
        <v>0</v>
      </c>
      <c r="T2504">
        <v>0</v>
      </c>
      <c r="U2504">
        <v>0</v>
      </c>
      <c r="V2504">
        <v>0</v>
      </c>
      <c r="W2504">
        <v>0</v>
      </c>
      <c r="X2504">
        <v>0</v>
      </c>
      <c r="Y2504">
        <v>0</v>
      </c>
      <c r="Z2504">
        <v>0</v>
      </c>
      <c r="AA2504">
        <v>0</v>
      </c>
      <c r="AB2504">
        <v>0</v>
      </c>
      <c r="AC2504">
        <v>0</v>
      </c>
      <c r="AD2504">
        <v>0</v>
      </c>
      <c r="AE2504">
        <v>0</v>
      </c>
      <c r="AF2504">
        <v>0</v>
      </c>
      <c r="AG2504">
        <v>0</v>
      </c>
      <c r="AH2504">
        <v>0</v>
      </c>
      <c r="AI2504">
        <v>0</v>
      </c>
      <c r="AJ2504">
        <v>0</v>
      </c>
      <c r="AK2504">
        <v>0</v>
      </c>
      <c r="AL2504">
        <v>0</v>
      </c>
      <c r="AM2504">
        <v>0</v>
      </c>
      <c r="AN2504">
        <v>0</v>
      </c>
      <c r="AO2504">
        <v>0</v>
      </c>
      <c r="AP2504">
        <v>0</v>
      </c>
      <c r="AQ2504">
        <v>16.7</v>
      </c>
      <c r="AR2504">
        <v>0</v>
      </c>
      <c r="AS2504">
        <v>0</v>
      </c>
      <c r="AT2504">
        <v>0</v>
      </c>
      <c r="AU2504">
        <v>0</v>
      </c>
      <c r="AV2504">
        <v>0</v>
      </c>
      <c r="AW2504">
        <v>0</v>
      </c>
      <c r="AX2504">
        <v>0</v>
      </c>
      <c r="AY2504">
        <v>0</v>
      </c>
      <c r="AZ2504">
        <v>0</v>
      </c>
      <c r="BA2504">
        <v>0</v>
      </c>
      <c r="BB2504">
        <v>0</v>
      </c>
      <c r="BC2504">
        <v>0</v>
      </c>
      <c r="BD2504">
        <v>0</v>
      </c>
      <c r="BE2504">
        <v>0</v>
      </c>
      <c r="BF2504">
        <v>0</v>
      </c>
      <c r="BG2504">
        <v>0</v>
      </c>
      <c r="BH2504">
        <v>1</v>
      </c>
      <c r="BI2504">
        <v>2</v>
      </c>
      <c r="BJ2504">
        <v>0.9</v>
      </c>
      <c r="BK2504">
        <v>2</v>
      </c>
      <c r="BL2504">
        <v>54.66</v>
      </c>
      <c r="BM2504">
        <v>8.1999999999999993</v>
      </c>
      <c r="BN2504">
        <v>62.86</v>
      </c>
      <c r="BO2504">
        <v>62.86</v>
      </c>
      <c r="BQ2504" t="s">
        <v>2746</v>
      </c>
      <c r="BR2504" t="s">
        <v>84</v>
      </c>
      <c r="BS2504" s="3">
        <v>45798</v>
      </c>
      <c r="BT2504" s="4">
        <v>0.40347222222222223</v>
      </c>
      <c r="BU2504" t="s">
        <v>457</v>
      </c>
      <c r="BV2504" t="s">
        <v>86</v>
      </c>
      <c r="BY2504">
        <v>4256</v>
      </c>
      <c r="CA2504" t="s">
        <v>279</v>
      </c>
      <c r="CC2504" t="s">
        <v>98</v>
      </c>
      <c r="CD2504">
        <v>1459</v>
      </c>
      <c r="CE2504" t="s">
        <v>96</v>
      </c>
      <c r="CF2504" s="3">
        <v>45798</v>
      </c>
      <c r="CI2504">
        <v>1</v>
      </c>
      <c r="CJ2504">
        <v>1</v>
      </c>
      <c r="CK2504">
        <v>22</v>
      </c>
      <c r="CL2504" t="s">
        <v>89</v>
      </c>
    </row>
    <row r="2505" spans="1:90" x14ac:dyDescent="0.3">
      <c r="A2505" t="s">
        <v>72</v>
      </c>
      <c r="B2505" t="s">
        <v>73</v>
      </c>
      <c r="C2505" t="s">
        <v>74</v>
      </c>
      <c r="E2505" t="str">
        <f>"080065473829"</f>
        <v>080065473829</v>
      </c>
      <c r="F2505" s="3">
        <v>45797</v>
      </c>
      <c r="G2505">
        <v>202602</v>
      </c>
      <c r="H2505" t="s">
        <v>75</v>
      </c>
      <c r="I2505" t="s">
        <v>76</v>
      </c>
      <c r="J2505" t="s">
        <v>77</v>
      </c>
      <c r="K2505" t="s">
        <v>78</v>
      </c>
      <c r="L2505" t="s">
        <v>75</v>
      </c>
      <c r="M2505" t="s">
        <v>76</v>
      </c>
      <c r="N2505" t="s">
        <v>390</v>
      </c>
      <c r="O2505" t="s">
        <v>300</v>
      </c>
      <c r="P2505" t="str">
        <f>"4170039687                    "</f>
        <v xml:space="preserve">4170039687                    </v>
      </c>
      <c r="Q2505">
        <v>0</v>
      </c>
      <c r="R2505">
        <v>0</v>
      </c>
      <c r="S2505">
        <v>0</v>
      </c>
      <c r="T2505">
        <v>0</v>
      </c>
      <c r="U2505">
        <v>0</v>
      </c>
      <c r="V2505">
        <v>0</v>
      </c>
      <c r="W2505">
        <v>0</v>
      </c>
      <c r="X2505">
        <v>0</v>
      </c>
      <c r="Y2505">
        <v>0</v>
      </c>
      <c r="Z2505">
        <v>0</v>
      </c>
      <c r="AA2505">
        <v>0</v>
      </c>
      <c r="AB2505">
        <v>0</v>
      </c>
      <c r="AC2505">
        <v>0</v>
      </c>
      <c r="AD2505">
        <v>0</v>
      </c>
      <c r="AE2505">
        <v>0</v>
      </c>
      <c r="AF2505">
        <v>0</v>
      </c>
      <c r="AG2505">
        <v>0</v>
      </c>
      <c r="AH2505">
        <v>0</v>
      </c>
      <c r="AI2505">
        <v>0</v>
      </c>
      <c r="AJ2505">
        <v>0</v>
      </c>
      <c r="AK2505">
        <v>0</v>
      </c>
      <c r="AL2505">
        <v>0</v>
      </c>
      <c r="AM2505">
        <v>0</v>
      </c>
      <c r="AN2505">
        <v>0</v>
      </c>
      <c r="AO2505">
        <v>0</v>
      </c>
      <c r="AP2505">
        <v>0</v>
      </c>
      <c r="AQ2505">
        <v>46.83</v>
      </c>
      <c r="AR2505">
        <v>0</v>
      </c>
      <c r="AS2505">
        <v>0</v>
      </c>
      <c r="AT2505">
        <v>0</v>
      </c>
      <c r="AU2505">
        <v>0</v>
      </c>
      <c r="AV2505">
        <v>0</v>
      </c>
      <c r="AW2505">
        <v>0</v>
      </c>
      <c r="AX2505">
        <v>0</v>
      </c>
      <c r="AY2505">
        <v>0</v>
      </c>
      <c r="AZ2505">
        <v>0</v>
      </c>
      <c r="BA2505">
        <v>0</v>
      </c>
      <c r="BB2505">
        <v>0</v>
      </c>
      <c r="BC2505">
        <v>0</v>
      </c>
      <c r="BD2505">
        <v>0</v>
      </c>
      <c r="BE2505">
        <v>0</v>
      </c>
      <c r="BF2505">
        <v>0</v>
      </c>
      <c r="BG2505">
        <v>0</v>
      </c>
      <c r="BH2505">
        <v>1</v>
      </c>
      <c r="BI2505">
        <v>10</v>
      </c>
      <c r="BJ2505">
        <v>30.9</v>
      </c>
      <c r="BK2505">
        <v>31</v>
      </c>
      <c r="BL2505">
        <v>158.84</v>
      </c>
      <c r="BM2505">
        <v>23.83</v>
      </c>
      <c r="BN2505">
        <v>182.67</v>
      </c>
      <c r="BO2505">
        <v>182.67</v>
      </c>
      <c r="BQ2505" t="s">
        <v>391</v>
      </c>
      <c r="BR2505" t="s">
        <v>84</v>
      </c>
      <c r="BS2505" s="3">
        <v>45798</v>
      </c>
      <c r="BT2505" s="4">
        <v>0.35902777777777778</v>
      </c>
      <c r="BU2505" t="s">
        <v>1660</v>
      </c>
      <c r="BV2505" t="s">
        <v>86</v>
      </c>
      <c r="BY2505">
        <v>154560</v>
      </c>
      <c r="CA2505" t="s">
        <v>115</v>
      </c>
      <c r="CC2505" t="s">
        <v>76</v>
      </c>
      <c r="CD2505">
        <v>1600</v>
      </c>
      <c r="CE2505" t="s">
        <v>96</v>
      </c>
      <c r="CF2505" s="3">
        <v>45798</v>
      </c>
      <c r="CI2505">
        <v>1</v>
      </c>
      <c r="CJ2505">
        <v>1</v>
      </c>
      <c r="CK2505">
        <v>42</v>
      </c>
      <c r="CL2505" t="s">
        <v>89</v>
      </c>
    </row>
    <row r="2506" spans="1:90" x14ac:dyDescent="0.3">
      <c r="A2506" t="s">
        <v>72</v>
      </c>
      <c r="B2506" t="s">
        <v>73</v>
      </c>
      <c r="C2506" t="s">
        <v>74</v>
      </c>
      <c r="E2506" t="str">
        <f>"080065473849"</f>
        <v>080065473849</v>
      </c>
      <c r="F2506" s="3">
        <v>45797</v>
      </c>
      <c r="G2506">
        <v>202602</v>
      </c>
      <c r="H2506" t="s">
        <v>75</v>
      </c>
      <c r="I2506" t="s">
        <v>76</v>
      </c>
      <c r="J2506" t="s">
        <v>77</v>
      </c>
      <c r="K2506" t="s">
        <v>78</v>
      </c>
      <c r="L2506" t="s">
        <v>123</v>
      </c>
      <c r="M2506" t="s">
        <v>123</v>
      </c>
      <c r="N2506" t="s">
        <v>766</v>
      </c>
      <c r="O2506" t="s">
        <v>82</v>
      </c>
      <c r="P2506" t="str">
        <f>"4170039581                    "</f>
        <v xml:space="preserve">4170039581                    </v>
      </c>
      <c r="Q2506">
        <v>0</v>
      </c>
      <c r="R2506">
        <v>0</v>
      </c>
      <c r="S2506">
        <v>0</v>
      </c>
      <c r="T2506">
        <v>0</v>
      </c>
      <c r="U2506">
        <v>0</v>
      </c>
      <c r="V2506">
        <v>0</v>
      </c>
      <c r="W2506">
        <v>0</v>
      </c>
      <c r="X2506">
        <v>0</v>
      </c>
      <c r="Y2506">
        <v>0</v>
      </c>
      <c r="Z2506">
        <v>0</v>
      </c>
      <c r="AA2506">
        <v>0</v>
      </c>
      <c r="AB2506">
        <v>0</v>
      </c>
      <c r="AC2506">
        <v>0</v>
      </c>
      <c r="AD2506">
        <v>0</v>
      </c>
      <c r="AE2506">
        <v>0</v>
      </c>
      <c r="AF2506">
        <v>0</v>
      </c>
      <c r="AG2506">
        <v>0</v>
      </c>
      <c r="AH2506">
        <v>0</v>
      </c>
      <c r="AI2506">
        <v>0</v>
      </c>
      <c r="AJ2506">
        <v>0</v>
      </c>
      <c r="AK2506">
        <v>0</v>
      </c>
      <c r="AL2506">
        <v>0</v>
      </c>
      <c r="AM2506">
        <v>0</v>
      </c>
      <c r="AN2506">
        <v>0</v>
      </c>
      <c r="AO2506">
        <v>0</v>
      </c>
      <c r="AP2506">
        <v>0</v>
      </c>
      <c r="AQ2506">
        <v>134.97</v>
      </c>
      <c r="AR2506">
        <v>0</v>
      </c>
      <c r="AS2506">
        <v>0</v>
      </c>
      <c r="AT2506">
        <v>0</v>
      </c>
      <c r="AU2506">
        <v>0</v>
      </c>
      <c r="AV2506">
        <v>0</v>
      </c>
      <c r="AW2506">
        <v>0</v>
      </c>
      <c r="AX2506">
        <v>0</v>
      </c>
      <c r="AY2506">
        <v>0</v>
      </c>
      <c r="AZ2506">
        <v>0</v>
      </c>
      <c r="BA2506">
        <v>0</v>
      </c>
      <c r="BB2506">
        <v>0</v>
      </c>
      <c r="BC2506">
        <v>0</v>
      </c>
      <c r="BD2506">
        <v>0</v>
      </c>
      <c r="BE2506">
        <v>0</v>
      </c>
      <c r="BF2506">
        <v>0</v>
      </c>
      <c r="BG2506">
        <v>0</v>
      </c>
      <c r="BH2506">
        <v>1</v>
      </c>
      <c r="BI2506">
        <v>7</v>
      </c>
      <c r="BJ2506">
        <v>2.9</v>
      </c>
      <c r="BK2506">
        <v>7</v>
      </c>
      <c r="BL2506">
        <v>441.73</v>
      </c>
      <c r="BM2506">
        <v>66.260000000000005</v>
      </c>
      <c r="BN2506">
        <v>507.99</v>
      </c>
      <c r="BO2506">
        <v>507.99</v>
      </c>
      <c r="BQ2506" t="s">
        <v>767</v>
      </c>
      <c r="BR2506" t="s">
        <v>84</v>
      </c>
      <c r="BS2506" s="3">
        <v>45798</v>
      </c>
      <c r="BT2506" s="4">
        <v>0.50972222222222219</v>
      </c>
      <c r="BU2506" t="s">
        <v>768</v>
      </c>
      <c r="BV2506" t="s">
        <v>86</v>
      </c>
      <c r="BY2506">
        <v>14400</v>
      </c>
      <c r="CA2506" t="s">
        <v>128</v>
      </c>
      <c r="CC2506" t="s">
        <v>123</v>
      </c>
      <c r="CD2506">
        <v>7646</v>
      </c>
      <c r="CE2506" t="s">
        <v>221</v>
      </c>
      <c r="CF2506" s="3">
        <v>45799</v>
      </c>
      <c r="CI2506">
        <v>1</v>
      </c>
      <c r="CJ2506">
        <v>1</v>
      </c>
      <c r="CK2506">
        <v>23</v>
      </c>
      <c r="CL2506" t="s">
        <v>89</v>
      </c>
    </row>
    <row r="2507" spans="1:90" x14ac:dyDescent="0.3">
      <c r="A2507" t="s">
        <v>72</v>
      </c>
      <c r="B2507" t="s">
        <v>73</v>
      </c>
      <c r="C2507" t="s">
        <v>74</v>
      </c>
      <c r="E2507" t="str">
        <f>"080065473857"</f>
        <v>080065473857</v>
      </c>
      <c r="F2507" s="3">
        <v>45797</v>
      </c>
      <c r="G2507">
        <v>202602</v>
      </c>
      <c r="H2507" t="s">
        <v>75</v>
      </c>
      <c r="I2507" t="s">
        <v>76</v>
      </c>
      <c r="J2507" t="s">
        <v>77</v>
      </c>
      <c r="K2507" t="s">
        <v>78</v>
      </c>
      <c r="L2507" t="s">
        <v>130</v>
      </c>
      <c r="M2507" t="s">
        <v>131</v>
      </c>
      <c r="N2507" t="s">
        <v>709</v>
      </c>
      <c r="O2507" t="s">
        <v>82</v>
      </c>
      <c r="P2507" t="str">
        <f>"4170039686                    "</f>
        <v xml:space="preserve">4170039686                    </v>
      </c>
      <c r="Q2507">
        <v>0</v>
      </c>
      <c r="R2507">
        <v>0</v>
      </c>
      <c r="S2507">
        <v>0</v>
      </c>
      <c r="T2507">
        <v>0</v>
      </c>
      <c r="U2507">
        <v>0</v>
      </c>
      <c r="V2507">
        <v>0</v>
      </c>
      <c r="W2507">
        <v>0</v>
      </c>
      <c r="X2507">
        <v>0</v>
      </c>
      <c r="Y2507">
        <v>0</v>
      </c>
      <c r="Z2507">
        <v>0</v>
      </c>
      <c r="AA2507">
        <v>0</v>
      </c>
      <c r="AB2507">
        <v>0</v>
      </c>
      <c r="AC2507">
        <v>0</v>
      </c>
      <c r="AD2507">
        <v>0</v>
      </c>
      <c r="AE2507">
        <v>0</v>
      </c>
      <c r="AF2507">
        <v>0</v>
      </c>
      <c r="AG2507">
        <v>0</v>
      </c>
      <c r="AH2507">
        <v>0</v>
      </c>
      <c r="AI2507">
        <v>0</v>
      </c>
      <c r="AJ2507">
        <v>0</v>
      </c>
      <c r="AK2507">
        <v>0</v>
      </c>
      <c r="AL2507">
        <v>0</v>
      </c>
      <c r="AM2507">
        <v>0</v>
      </c>
      <c r="AN2507">
        <v>0</v>
      </c>
      <c r="AO2507">
        <v>0</v>
      </c>
      <c r="AP2507">
        <v>0</v>
      </c>
      <c r="AQ2507">
        <v>21.38</v>
      </c>
      <c r="AR2507">
        <v>0</v>
      </c>
      <c r="AS2507">
        <v>0</v>
      </c>
      <c r="AT2507">
        <v>0</v>
      </c>
      <c r="AU2507">
        <v>0</v>
      </c>
      <c r="AV2507">
        <v>0</v>
      </c>
      <c r="AW2507">
        <v>0</v>
      </c>
      <c r="AX2507">
        <v>0</v>
      </c>
      <c r="AY2507">
        <v>0</v>
      </c>
      <c r="AZ2507">
        <v>0</v>
      </c>
      <c r="BA2507">
        <v>0</v>
      </c>
      <c r="BB2507">
        <v>0</v>
      </c>
      <c r="BC2507">
        <v>0</v>
      </c>
      <c r="BD2507">
        <v>0</v>
      </c>
      <c r="BE2507">
        <v>0</v>
      </c>
      <c r="BF2507">
        <v>0</v>
      </c>
      <c r="BG2507">
        <v>0</v>
      </c>
      <c r="BH2507">
        <v>1</v>
      </c>
      <c r="BI2507">
        <v>1</v>
      </c>
      <c r="BJ2507">
        <v>1.4</v>
      </c>
      <c r="BK2507">
        <v>1.5</v>
      </c>
      <c r="BL2507">
        <v>69.98</v>
      </c>
      <c r="BM2507">
        <v>10.5</v>
      </c>
      <c r="BN2507">
        <v>80.48</v>
      </c>
      <c r="BO2507">
        <v>80.48</v>
      </c>
      <c r="BQ2507" t="s">
        <v>710</v>
      </c>
      <c r="BR2507" t="s">
        <v>84</v>
      </c>
      <c r="BS2507" s="3">
        <v>45798</v>
      </c>
      <c r="BT2507" s="4">
        <v>0.33680555555555558</v>
      </c>
      <c r="BU2507" t="s">
        <v>1272</v>
      </c>
      <c r="BV2507" t="s">
        <v>86</v>
      </c>
      <c r="BY2507">
        <v>7000</v>
      </c>
      <c r="CA2507" t="s">
        <v>712</v>
      </c>
      <c r="CC2507" t="s">
        <v>131</v>
      </c>
      <c r="CD2507">
        <v>7530</v>
      </c>
      <c r="CE2507" t="s">
        <v>96</v>
      </c>
      <c r="CF2507" s="3">
        <v>45799</v>
      </c>
      <c r="CI2507">
        <v>1</v>
      </c>
      <c r="CJ2507">
        <v>1</v>
      </c>
      <c r="CK2507">
        <v>21</v>
      </c>
      <c r="CL2507" t="s">
        <v>89</v>
      </c>
    </row>
    <row r="2508" spans="1:90" x14ac:dyDescent="0.3">
      <c r="A2508" t="s">
        <v>72</v>
      </c>
      <c r="B2508" t="s">
        <v>73</v>
      </c>
      <c r="C2508" t="s">
        <v>74</v>
      </c>
      <c r="E2508" t="str">
        <f>"080065473881"</f>
        <v>080065473881</v>
      </c>
      <c r="F2508" s="3">
        <v>45797</v>
      </c>
      <c r="G2508">
        <v>202602</v>
      </c>
      <c r="H2508" t="s">
        <v>75</v>
      </c>
      <c r="I2508" t="s">
        <v>76</v>
      </c>
      <c r="J2508" t="s">
        <v>77</v>
      </c>
      <c r="K2508" t="s">
        <v>78</v>
      </c>
      <c r="L2508" t="s">
        <v>97</v>
      </c>
      <c r="M2508" t="s">
        <v>98</v>
      </c>
      <c r="N2508" t="s">
        <v>934</v>
      </c>
      <c r="O2508" t="s">
        <v>300</v>
      </c>
      <c r="P2508" t="str">
        <f>"4170039590                    "</f>
        <v xml:space="preserve">4170039590                    </v>
      </c>
      <c r="Q2508">
        <v>0</v>
      </c>
      <c r="R2508">
        <v>0</v>
      </c>
      <c r="S2508">
        <v>0</v>
      </c>
      <c r="T2508">
        <v>0</v>
      </c>
      <c r="U2508">
        <v>0</v>
      </c>
      <c r="V2508">
        <v>0</v>
      </c>
      <c r="W2508">
        <v>0</v>
      </c>
      <c r="X2508">
        <v>0</v>
      </c>
      <c r="Y2508">
        <v>0</v>
      </c>
      <c r="Z2508">
        <v>0</v>
      </c>
      <c r="AA2508">
        <v>0</v>
      </c>
      <c r="AB2508">
        <v>0</v>
      </c>
      <c r="AC2508">
        <v>0</v>
      </c>
      <c r="AD2508">
        <v>0</v>
      </c>
      <c r="AE2508">
        <v>0</v>
      </c>
      <c r="AF2508">
        <v>0</v>
      </c>
      <c r="AG2508">
        <v>0</v>
      </c>
      <c r="AH2508">
        <v>0</v>
      </c>
      <c r="AI2508">
        <v>0</v>
      </c>
      <c r="AJ2508">
        <v>0</v>
      </c>
      <c r="AK2508">
        <v>0</v>
      </c>
      <c r="AL2508">
        <v>0</v>
      </c>
      <c r="AM2508">
        <v>0</v>
      </c>
      <c r="AN2508">
        <v>0</v>
      </c>
      <c r="AO2508">
        <v>0</v>
      </c>
      <c r="AP2508">
        <v>0</v>
      </c>
      <c r="AQ2508">
        <v>43.1</v>
      </c>
      <c r="AR2508">
        <v>0</v>
      </c>
      <c r="AS2508">
        <v>0</v>
      </c>
      <c r="AT2508">
        <v>0</v>
      </c>
      <c r="AU2508">
        <v>0</v>
      </c>
      <c r="AV2508">
        <v>0</v>
      </c>
      <c r="AW2508">
        <v>0</v>
      </c>
      <c r="AX2508">
        <v>0</v>
      </c>
      <c r="AY2508">
        <v>0</v>
      </c>
      <c r="AZ2508">
        <v>0</v>
      </c>
      <c r="BA2508">
        <v>0</v>
      </c>
      <c r="BB2508">
        <v>0</v>
      </c>
      <c r="BC2508">
        <v>0</v>
      </c>
      <c r="BD2508">
        <v>0</v>
      </c>
      <c r="BE2508">
        <v>0</v>
      </c>
      <c r="BF2508">
        <v>0</v>
      </c>
      <c r="BG2508">
        <v>0</v>
      </c>
      <c r="BH2508">
        <v>1</v>
      </c>
      <c r="BI2508">
        <v>27</v>
      </c>
      <c r="BJ2508">
        <v>9.1</v>
      </c>
      <c r="BK2508">
        <v>27</v>
      </c>
      <c r="BL2508">
        <v>146.63</v>
      </c>
      <c r="BM2508">
        <v>21.99</v>
      </c>
      <c r="BN2508">
        <v>168.62</v>
      </c>
      <c r="BO2508">
        <v>168.62</v>
      </c>
      <c r="BQ2508" t="s">
        <v>935</v>
      </c>
      <c r="BR2508" t="s">
        <v>84</v>
      </c>
      <c r="BS2508" s="3">
        <v>45798</v>
      </c>
      <c r="BT2508" s="4">
        <v>0.41319444444444442</v>
      </c>
      <c r="BU2508" t="s">
        <v>2676</v>
      </c>
      <c r="BV2508" t="s">
        <v>86</v>
      </c>
      <c r="BY2508">
        <v>45632</v>
      </c>
      <c r="CA2508" t="s">
        <v>175</v>
      </c>
      <c r="CC2508" t="s">
        <v>98</v>
      </c>
      <c r="CD2508">
        <v>1459</v>
      </c>
      <c r="CE2508" t="s">
        <v>96</v>
      </c>
      <c r="CF2508" s="3">
        <v>45798</v>
      </c>
      <c r="CI2508">
        <v>1</v>
      </c>
      <c r="CJ2508">
        <v>1</v>
      </c>
      <c r="CK2508">
        <v>42</v>
      </c>
      <c r="CL2508" t="s">
        <v>89</v>
      </c>
    </row>
    <row r="2509" spans="1:90" x14ac:dyDescent="0.3">
      <c r="A2509" t="s">
        <v>72</v>
      </c>
      <c r="B2509" t="s">
        <v>73</v>
      </c>
      <c r="C2509" t="s">
        <v>74</v>
      </c>
      <c r="E2509" t="str">
        <f>"080065473885"</f>
        <v>080065473885</v>
      </c>
      <c r="F2509" s="3">
        <v>45797</v>
      </c>
      <c r="G2509">
        <v>202602</v>
      </c>
      <c r="H2509" t="s">
        <v>75</v>
      </c>
      <c r="I2509" t="s">
        <v>76</v>
      </c>
      <c r="J2509" t="s">
        <v>77</v>
      </c>
      <c r="K2509" t="s">
        <v>78</v>
      </c>
      <c r="L2509" t="s">
        <v>177</v>
      </c>
      <c r="M2509" t="s">
        <v>178</v>
      </c>
      <c r="N2509" t="s">
        <v>212</v>
      </c>
      <c r="O2509" t="s">
        <v>300</v>
      </c>
      <c r="P2509" t="str">
        <f>"4170039607                    "</f>
        <v xml:space="preserve">4170039607                    </v>
      </c>
      <c r="Q2509">
        <v>0</v>
      </c>
      <c r="R2509">
        <v>0</v>
      </c>
      <c r="S2509">
        <v>0</v>
      </c>
      <c r="T2509">
        <v>0</v>
      </c>
      <c r="U2509">
        <v>0</v>
      </c>
      <c r="V2509">
        <v>0</v>
      </c>
      <c r="W2509">
        <v>0</v>
      </c>
      <c r="X2509">
        <v>0</v>
      </c>
      <c r="Y2509">
        <v>0</v>
      </c>
      <c r="Z2509">
        <v>0</v>
      </c>
      <c r="AA2509">
        <v>0</v>
      </c>
      <c r="AB2509">
        <v>0</v>
      </c>
      <c r="AC2509">
        <v>0</v>
      </c>
      <c r="AD2509">
        <v>0</v>
      </c>
      <c r="AE2509">
        <v>0</v>
      </c>
      <c r="AF2509">
        <v>0</v>
      </c>
      <c r="AG2509">
        <v>0</v>
      </c>
      <c r="AH2509">
        <v>0</v>
      </c>
      <c r="AI2509">
        <v>0</v>
      </c>
      <c r="AJ2509">
        <v>0</v>
      </c>
      <c r="AK2509">
        <v>0</v>
      </c>
      <c r="AL2509">
        <v>0</v>
      </c>
      <c r="AM2509">
        <v>0</v>
      </c>
      <c r="AN2509">
        <v>0</v>
      </c>
      <c r="AO2509">
        <v>0</v>
      </c>
      <c r="AP2509">
        <v>0</v>
      </c>
      <c r="AQ2509">
        <v>63.54</v>
      </c>
      <c r="AR2509">
        <v>0</v>
      </c>
      <c r="AS2509">
        <v>0</v>
      </c>
      <c r="AT2509">
        <v>0</v>
      </c>
      <c r="AU2509">
        <v>0</v>
      </c>
      <c r="AV2509">
        <v>0</v>
      </c>
      <c r="AW2509">
        <v>0</v>
      </c>
      <c r="AX2509">
        <v>0</v>
      </c>
      <c r="AY2509">
        <v>0</v>
      </c>
      <c r="AZ2509">
        <v>0</v>
      </c>
      <c r="BA2509">
        <v>0</v>
      </c>
      <c r="BB2509">
        <v>0</v>
      </c>
      <c r="BC2509">
        <v>0</v>
      </c>
      <c r="BD2509">
        <v>0</v>
      </c>
      <c r="BE2509">
        <v>0</v>
      </c>
      <c r="BF2509">
        <v>0</v>
      </c>
      <c r="BG2509">
        <v>0</v>
      </c>
      <c r="BH2509">
        <v>2</v>
      </c>
      <c r="BI2509">
        <v>28</v>
      </c>
      <c r="BJ2509">
        <v>12.4</v>
      </c>
      <c r="BK2509">
        <v>28</v>
      </c>
      <c r="BL2509">
        <v>213.53</v>
      </c>
      <c r="BM2509">
        <v>32.03</v>
      </c>
      <c r="BN2509">
        <v>245.56</v>
      </c>
      <c r="BO2509">
        <v>245.56</v>
      </c>
      <c r="BQ2509" t="s">
        <v>213</v>
      </c>
      <c r="BR2509" t="s">
        <v>84</v>
      </c>
      <c r="BS2509" s="3">
        <v>45799</v>
      </c>
      <c r="BT2509" s="4">
        <v>0.35833333333333334</v>
      </c>
      <c r="BU2509" t="s">
        <v>1568</v>
      </c>
      <c r="BV2509" t="s">
        <v>86</v>
      </c>
      <c r="BY2509">
        <v>31104</v>
      </c>
      <c r="CA2509" t="s">
        <v>182</v>
      </c>
      <c r="CC2509" t="s">
        <v>178</v>
      </c>
      <c r="CD2509">
        <v>6229</v>
      </c>
      <c r="CE2509" t="s">
        <v>576</v>
      </c>
      <c r="CF2509" s="3">
        <v>45799</v>
      </c>
      <c r="CI2509">
        <v>3</v>
      </c>
      <c r="CJ2509">
        <v>2</v>
      </c>
      <c r="CK2509">
        <v>41</v>
      </c>
      <c r="CL2509" t="s">
        <v>89</v>
      </c>
    </row>
    <row r="2510" spans="1:90" x14ac:dyDescent="0.3">
      <c r="A2510" t="s">
        <v>72</v>
      </c>
      <c r="B2510" t="s">
        <v>73</v>
      </c>
      <c r="C2510" t="s">
        <v>74</v>
      </c>
      <c r="E2510" t="str">
        <f>"080065473908"</f>
        <v>080065473908</v>
      </c>
      <c r="F2510" s="3">
        <v>45797</v>
      </c>
      <c r="G2510">
        <v>202602</v>
      </c>
      <c r="H2510" t="s">
        <v>75</v>
      </c>
      <c r="I2510" t="s">
        <v>76</v>
      </c>
      <c r="J2510" t="s">
        <v>77</v>
      </c>
      <c r="K2510" t="s">
        <v>78</v>
      </c>
      <c r="L2510" t="s">
        <v>1203</v>
      </c>
      <c r="M2510" t="s">
        <v>1204</v>
      </c>
      <c r="N2510" t="s">
        <v>1205</v>
      </c>
      <c r="O2510" t="s">
        <v>82</v>
      </c>
      <c r="P2510" t="str">
        <f>"4170039578                    "</f>
        <v xml:space="preserve">4170039578                    </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c r="AI2510">
        <v>0</v>
      </c>
      <c r="AJ2510">
        <v>0</v>
      </c>
      <c r="AK2510">
        <v>0</v>
      </c>
      <c r="AL2510">
        <v>0</v>
      </c>
      <c r="AM2510">
        <v>0</v>
      </c>
      <c r="AN2510">
        <v>0</v>
      </c>
      <c r="AO2510">
        <v>0</v>
      </c>
      <c r="AP2510">
        <v>0</v>
      </c>
      <c r="AQ2510">
        <v>116.27</v>
      </c>
      <c r="AR2510">
        <v>0</v>
      </c>
      <c r="AS2510">
        <v>0</v>
      </c>
      <c r="AT2510">
        <v>0</v>
      </c>
      <c r="AU2510">
        <v>0</v>
      </c>
      <c r="AV2510">
        <v>0</v>
      </c>
      <c r="AW2510">
        <v>0</v>
      </c>
      <c r="AX2510">
        <v>0</v>
      </c>
      <c r="AY2510">
        <v>0</v>
      </c>
      <c r="AZ2510">
        <v>0</v>
      </c>
      <c r="BA2510">
        <v>0</v>
      </c>
      <c r="BB2510">
        <v>0</v>
      </c>
      <c r="BC2510">
        <v>0</v>
      </c>
      <c r="BD2510">
        <v>0</v>
      </c>
      <c r="BE2510">
        <v>0</v>
      </c>
      <c r="BF2510">
        <v>0</v>
      </c>
      <c r="BG2510">
        <v>0</v>
      </c>
      <c r="BH2510">
        <v>1</v>
      </c>
      <c r="BI2510">
        <v>2</v>
      </c>
      <c r="BJ2510">
        <v>5.9</v>
      </c>
      <c r="BK2510">
        <v>6</v>
      </c>
      <c r="BL2510">
        <v>380.51</v>
      </c>
      <c r="BM2510">
        <v>57.08</v>
      </c>
      <c r="BN2510">
        <v>437.59</v>
      </c>
      <c r="BO2510">
        <v>437.59</v>
      </c>
      <c r="BQ2510" t="s">
        <v>2747</v>
      </c>
      <c r="BR2510" t="s">
        <v>84</v>
      </c>
      <c r="BS2510" s="3">
        <v>45798</v>
      </c>
      <c r="BT2510" s="4">
        <v>0.5625</v>
      </c>
      <c r="BU2510" t="s">
        <v>2748</v>
      </c>
      <c r="BV2510" t="s">
        <v>86</v>
      </c>
      <c r="BY2510">
        <v>29376</v>
      </c>
      <c r="CA2510" t="s">
        <v>1208</v>
      </c>
      <c r="CC2510" t="s">
        <v>1204</v>
      </c>
      <c r="CD2510">
        <v>6506</v>
      </c>
      <c r="CE2510" t="s">
        <v>221</v>
      </c>
      <c r="CF2510" s="3">
        <v>45799</v>
      </c>
      <c r="CI2510">
        <v>1</v>
      </c>
      <c r="CJ2510">
        <v>1</v>
      </c>
      <c r="CK2510">
        <v>23</v>
      </c>
      <c r="CL2510" t="s">
        <v>89</v>
      </c>
    </row>
    <row r="2511" spans="1:90" x14ac:dyDescent="0.3">
      <c r="A2511" t="s">
        <v>72</v>
      </c>
      <c r="B2511" t="s">
        <v>73</v>
      </c>
      <c r="C2511" t="s">
        <v>74</v>
      </c>
      <c r="E2511" t="str">
        <f>"080065473920"</f>
        <v>080065473920</v>
      </c>
      <c r="F2511" s="3">
        <v>45797</v>
      </c>
      <c r="G2511">
        <v>202602</v>
      </c>
      <c r="H2511" t="s">
        <v>75</v>
      </c>
      <c r="I2511" t="s">
        <v>76</v>
      </c>
      <c r="J2511" t="s">
        <v>77</v>
      </c>
      <c r="K2511" t="s">
        <v>78</v>
      </c>
      <c r="L2511" t="s">
        <v>567</v>
      </c>
      <c r="M2511" t="s">
        <v>568</v>
      </c>
      <c r="N2511" t="s">
        <v>1996</v>
      </c>
      <c r="O2511" t="s">
        <v>82</v>
      </c>
      <c r="P2511" t="str">
        <f>"4170039703                    "</f>
        <v xml:space="preserve">4170039703                    </v>
      </c>
      <c r="Q2511">
        <v>0</v>
      </c>
      <c r="R2511">
        <v>0</v>
      </c>
      <c r="S2511">
        <v>0</v>
      </c>
      <c r="T2511">
        <v>0</v>
      </c>
      <c r="U2511">
        <v>0</v>
      </c>
      <c r="V2511">
        <v>0</v>
      </c>
      <c r="W2511">
        <v>0</v>
      </c>
      <c r="X2511">
        <v>0</v>
      </c>
      <c r="Y2511">
        <v>0</v>
      </c>
      <c r="Z2511">
        <v>0</v>
      </c>
      <c r="AA2511">
        <v>0</v>
      </c>
      <c r="AB2511">
        <v>0</v>
      </c>
      <c r="AC2511">
        <v>0</v>
      </c>
      <c r="AD2511">
        <v>0</v>
      </c>
      <c r="AE2511">
        <v>0</v>
      </c>
      <c r="AF2511">
        <v>0</v>
      </c>
      <c r="AG2511">
        <v>0</v>
      </c>
      <c r="AH2511">
        <v>0</v>
      </c>
      <c r="AI2511">
        <v>0</v>
      </c>
      <c r="AJ2511">
        <v>0</v>
      </c>
      <c r="AK2511">
        <v>0</v>
      </c>
      <c r="AL2511">
        <v>0</v>
      </c>
      <c r="AM2511">
        <v>0</v>
      </c>
      <c r="AN2511">
        <v>0</v>
      </c>
      <c r="AO2511">
        <v>0</v>
      </c>
      <c r="AP2511">
        <v>0</v>
      </c>
      <c r="AQ2511">
        <v>41.43</v>
      </c>
      <c r="AR2511">
        <v>0</v>
      </c>
      <c r="AS2511">
        <v>0</v>
      </c>
      <c r="AT2511">
        <v>0</v>
      </c>
      <c r="AU2511">
        <v>0</v>
      </c>
      <c r="AV2511">
        <v>0</v>
      </c>
      <c r="AW2511">
        <v>0</v>
      </c>
      <c r="AX2511">
        <v>0</v>
      </c>
      <c r="AY2511">
        <v>0</v>
      </c>
      <c r="AZ2511">
        <v>0</v>
      </c>
      <c r="BA2511">
        <v>0</v>
      </c>
      <c r="BB2511">
        <v>0</v>
      </c>
      <c r="BC2511">
        <v>0</v>
      </c>
      <c r="BD2511">
        <v>0</v>
      </c>
      <c r="BE2511">
        <v>0</v>
      </c>
      <c r="BF2511">
        <v>0</v>
      </c>
      <c r="BG2511">
        <v>0</v>
      </c>
      <c r="BH2511">
        <v>1</v>
      </c>
      <c r="BI2511">
        <v>1</v>
      </c>
      <c r="BJ2511">
        <v>2</v>
      </c>
      <c r="BK2511">
        <v>2</v>
      </c>
      <c r="BL2511">
        <v>135.59</v>
      </c>
      <c r="BM2511">
        <v>20.34</v>
      </c>
      <c r="BN2511">
        <v>155.93</v>
      </c>
      <c r="BO2511">
        <v>155.93</v>
      </c>
      <c r="BQ2511" t="s">
        <v>2749</v>
      </c>
      <c r="BR2511" t="s">
        <v>84</v>
      </c>
      <c r="BS2511" s="3">
        <v>45798</v>
      </c>
      <c r="BT2511" s="4">
        <v>0.43194444444444446</v>
      </c>
      <c r="BU2511" t="s">
        <v>2750</v>
      </c>
      <c r="BV2511" t="s">
        <v>86</v>
      </c>
      <c r="BY2511">
        <v>9900</v>
      </c>
      <c r="CA2511" t="s">
        <v>966</v>
      </c>
      <c r="CC2511" t="s">
        <v>568</v>
      </c>
      <c r="CD2511" s="5" t="s">
        <v>1999</v>
      </c>
      <c r="CE2511" t="s">
        <v>96</v>
      </c>
      <c r="CF2511" s="3">
        <v>45799</v>
      </c>
      <c r="CI2511">
        <v>1</v>
      </c>
      <c r="CJ2511">
        <v>1</v>
      </c>
      <c r="CK2511">
        <v>23</v>
      </c>
      <c r="CL2511" t="s">
        <v>89</v>
      </c>
    </row>
    <row r="2512" spans="1:90" x14ac:dyDescent="0.3">
      <c r="A2512" t="s">
        <v>72</v>
      </c>
      <c r="B2512" t="s">
        <v>73</v>
      </c>
      <c r="C2512" t="s">
        <v>74</v>
      </c>
      <c r="E2512" t="str">
        <f>"080065473930"</f>
        <v>080065473930</v>
      </c>
      <c r="F2512" s="3">
        <v>45797</v>
      </c>
      <c r="G2512">
        <v>202602</v>
      </c>
      <c r="H2512" t="s">
        <v>75</v>
      </c>
      <c r="I2512" t="s">
        <v>76</v>
      </c>
      <c r="J2512" t="s">
        <v>77</v>
      </c>
      <c r="K2512" t="s">
        <v>78</v>
      </c>
      <c r="L2512" t="s">
        <v>186</v>
      </c>
      <c r="M2512" t="s">
        <v>187</v>
      </c>
      <c r="N2512" t="s">
        <v>188</v>
      </c>
      <c r="O2512" t="s">
        <v>82</v>
      </c>
      <c r="P2512" t="str">
        <f>"4170039603                    "</f>
        <v xml:space="preserve">4170039603                    </v>
      </c>
      <c r="Q2512">
        <v>0</v>
      </c>
      <c r="R2512">
        <v>0</v>
      </c>
      <c r="S2512">
        <v>0</v>
      </c>
      <c r="T2512">
        <v>0</v>
      </c>
      <c r="U2512">
        <v>0</v>
      </c>
      <c r="V2512">
        <v>0</v>
      </c>
      <c r="W2512">
        <v>0</v>
      </c>
      <c r="X2512">
        <v>0</v>
      </c>
      <c r="Y2512">
        <v>0</v>
      </c>
      <c r="Z2512">
        <v>0</v>
      </c>
      <c r="AA2512">
        <v>0</v>
      </c>
      <c r="AB2512">
        <v>0</v>
      </c>
      <c r="AC2512">
        <v>0</v>
      </c>
      <c r="AD2512">
        <v>0</v>
      </c>
      <c r="AE2512">
        <v>0</v>
      </c>
      <c r="AF2512">
        <v>0</v>
      </c>
      <c r="AG2512">
        <v>0</v>
      </c>
      <c r="AH2512">
        <v>0</v>
      </c>
      <c r="AI2512">
        <v>0</v>
      </c>
      <c r="AJ2512">
        <v>0</v>
      </c>
      <c r="AK2512">
        <v>0</v>
      </c>
      <c r="AL2512">
        <v>0</v>
      </c>
      <c r="AM2512">
        <v>0</v>
      </c>
      <c r="AN2512">
        <v>0</v>
      </c>
      <c r="AO2512">
        <v>0</v>
      </c>
      <c r="AP2512">
        <v>0</v>
      </c>
      <c r="AQ2512">
        <v>64.12</v>
      </c>
      <c r="AR2512">
        <v>0</v>
      </c>
      <c r="AS2512">
        <v>0</v>
      </c>
      <c r="AT2512">
        <v>0</v>
      </c>
      <c r="AU2512">
        <v>0</v>
      </c>
      <c r="AV2512">
        <v>0</v>
      </c>
      <c r="AW2512">
        <v>0</v>
      </c>
      <c r="AX2512">
        <v>0</v>
      </c>
      <c r="AY2512">
        <v>0</v>
      </c>
      <c r="AZ2512">
        <v>0</v>
      </c>
      <c r="BA2512">
        <v>0</v>
      </c>
      <c r="BB2512">
        <v>0</v>
      </c>
      <c r="BC2512">
        <v>0</v>
      </c>
      <c r="BD2512">
        <v>0</v>
      </c>
      <c r="BE2512">
        <v>0</v>
      </c>
      <c r="BF2512">
        <v>0</v>
      </c>
      <c r="BG2512">
        <v>0</v>
      </c>
      <c r="BH2512">
        <v>1</v>
      </c>
      <c r="BI2512">
        <v>6</v>
      </c>
      <c r="BJ2512">
        <v>1.4</v>
      </c>
      <c r="BK2512">
        <v>6</v>
      </c>
      <c r="BL2512">
        <v>209.84</v>
      </c>
      <c r="BM2512">
        <v>31.48</v>
      </c>
      <c r="BN2512">
        <v>241.32</v>
      </c>
      <c r="BO2512">
        <v>241.32</v>
      </c>
      <c r="BQ2512" t="s">
        <v>189</v>
      </c>
      <c r="BR2512" t="s">
        <v>84</v>
      </c>
      <c r="BS2512" s="3">
        <v>45798</v>
      </c>
      <c r="BT2512" s="4">
        <v>0.43263888888888891</v>
      </c>
      <c r="BU2512" t="s">
        <v>190</v>
      </c>
      <c r="BV2512" t="s">
        <v>86</v>
      </c>
      <c r="BY2512">
        <v>7000</v>
      </c>
      <c r="CA2512" t="s">
        <v>191</v>
      </c>
      <c r="CC2512" t="s">
        <v>187</v>
      </c>
      <c r="CD2512">
        <v>4126</v>
      </c>
      <c r="CE2512" t="s">
        <v>96</v>
      </c>
      <c r="CF2512" s="3">
        <v>45798</v>
      </c>
      <c r="CI2512">
        <v>1</v>
      </c>
      <c r="CJ2512">
        <v>1</v>
      </c>
      <c r="CK2512">
        <v>21</v>
      </c>
      <c r="CL2512" t="s">
        <v>89</v>
      </c>
    </row>
    <row r="2513" spans="1:90" x14ac:dyDescent="0.3">
      <c r="A2513" t="s">
        <v>72</v>
      </c>
      <c r="B2513" t="s">
        <v>73</v>
      </c>
      <c r="C2513" t="s">
        <v>74</v>
      </c>
      <c r="E2513" t="str">
        <f>"080065473947"</f>
        <v>080065473947</v>
      </c>
      <c r="F2513" s="3">
        <v>45797</v>
      </c>
      <c r="G2513">
        <v>202602</v>
      </c>
      <c r="H2513" t="s">
        <v>75</v>
      </c>
      <c r="I2513" t="s">
        <v>76</v>
      </c>
      <c r="J2513" t="s">
        <v>77</v>
      </c>
      <c r="K2513" t="s">
        <v>78</v>
      </c>
      <c r="L2513" t="s">
        <v>117</v>
      </c>
      <c r="M2513" t="s">
        <v>118</v>
      </c>
      <c r="N2513" t="s">
        <v>272</v>
      </c>
      <c r="O2513" t="s">
        <v>82</v>
      </c>
      <c r="P2513" t="str">
        <f>"4170039669                    "</f>
        <v xml:space="preserve">4170039669                    </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c r="AI2513">
        <v>0</v>
      </c>
      <c r="AJ2513">
        <v>0</v>
      </c>
      <c r="AK2513">
        <v>0</v>
      </c>
      <c r="AL2513">
        <v>0</v>
      </c>
      <c r="AM2513">
        <v>0</v>
      </c>
      <c r="AN2513">
        <v>0</v>
      </c>
      <c r="AO2513">
        <v>0</v>
      </c>
      <c r="AP2513">
        <v>0</v>
      </c>
      <c r="AQ2513">
        <v>16.7</v>
      </c>
      <c r="AR2513">
        <v>0</v>
      </c>
      <c r="AS2513">
        <v>0</v>
      </c>
      <c r="AT2513">
        <v>0</v>
      </c>
      <c r="AU2513">
        <v>0</v>
      </c>
      <c r="AV2513">
        <v>0</v>
      </c>
      <c r="AW2513">
        <v>0</v>
      </c>
      <c r="AX2513">
        <v>0</v>
      </c>
      <c r="AY2513">
        <v>0</v>
      </c>
      <c r="AZ2513">
        <v>0</v>
      </c>
      <c r="BA2513">
        <v>0</v>
      </c>
      <c r="BB2513">
        <v>0</v>
      </c>
      <c r="BC2513">
        <v>0</v>
      </c>
      <c r="BD2513">
        <v>0</v>
      </c>
      <c r="BE2513">
        <v>0</v>
      </c>
      <c r="BF2513">
        <v>0</v>
      </c>
      <c r="BG2513">
        <v>0</v>
      </c>
      <c r="BH2513">
        <v>1</v>
      </c>
      <c r="BI2513">
        <v>1</v>
      </c>
      <c r="BJ2513">
        <v>0.6</v>
      </c>
      <c r="BK2513">
        <v>1</v>
      </c>
      <c r="BL2513">
        <v>54.66</v>
      </c>
      <c r="BM2513">
        <v>8.1999999999999993</v>
      </c>
      <c r="BN2513">
        <v>62.86</v>
      </c>
      <c r="BO2513">
        <v>62.86</v>
      </c>
      <c r="BQ2513" t="s">
        <v>273</v>
      </c>
      <c r="BR2513" t="s">
        <v>84</v>
      </c>
      <c r="BS2513" s="3">
        <v>45798</v>
      </c>
      <c r="BT2513" s="4">
        <v>0.30208333333333331</v>
      </c>
      <c r="BU2513" t="s">
        <v>2587</v>
      </c>
      <c r="BV2513" t="s">
        <v>86</v>
      </c>
      <c r="BY2513">
        <v>3192</v>
      </c>
      <c r="CA2513" t="s">
        <v>275</v>
      </c>
      <c r="CC2513" t="s">
        <v>118</v>
      </c>
      <c r="CD2513">
        <v>2013</v>
      </c>
      <c r="CE2513" t="s">
        <v>96</v>
      </c>
      <c r="CF2513" s="3">
        <v>45798</v>
      </c>
      <c r="CI2513">
        <v>1</v>
      </c>
      <c r="CJ2513">
        <v>0</v>
      </c>
      <c r="CK2513">
        <v>22</v>
      </c>
      <c r="CL2513" t="s">
        <v>89</v>
      </c>
    </row>
    <row r="2514" spans="1:90" x14ac:dyDescent="0.3">
      <c r="A2514" t="s">
        <v>72</v>
      </c>
      <c r="B2514" t="s">
        <v>73</v>
      </c>
      <c r="C2514" t="s">
        <v>74</v>
      </c>
      <c r="E2514" t="str">
        <f>"080065473946"</f>
        <v>080065473946</v>
      </c>
      <c r="F2514" s="3">
        <v>45797</v>
      </c>
      <c r="G2514">
        <v>202602</v>
      </c>
      <c r="H2514" t="s">
        <v>75</v>
      </c>
      <c r="I2514" t="s">
        <v>76</v>
      </c>
      <c r="J2514" t="s">
        <v>77</v>
      </c>
      <c r="K2514" t="s">
        <v>78</v>
      </c>
      <c r="L2514" t="s">
        <v>2751</v>
      </c>
      <c r="M2514" t="s">
        <v>2752</v>
      </c>
      <c r="N2514" t="s">
        <v>168</v>
      </c>
      <c r="O2514" t="s">
        <v>82</v>
      </c>
      <c r="P2514" t="str">
        <f>"4170039615                    "</f>
        <v xml:space="preserve">4170039615                    </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c r="AI2514">
        <v>0</v>
      </c>
      <c r="AJ2514">
        <v>0</v>
      </c>
      <c r="AK2514">
        <v>0</v>
      </c>
      <c r="AL2514">
        <v>0</v>
      </c>
      <c r="AM2514">
        <v>0</v>
      </c>
      <c r="AN2514">
        <v>0</v>
      </c>
      <c r="AO2514">
        <v>0</v>
      </c>
      <c r="AP2514">
        <v>0</v>
      </c>
      <c r="AQ2514">
        <v>144.33000000000001</v>
      </c>
      <c r="AR2514">
        <v>0</v>
      </c>
      <c r="AS2514">
        <v>0</v>
      </c>
      <c r="AT2514">
        <v>0</v>
      </c>
      <c r="AU2514">
        <v>0</v>
      </c>
      <c r="AV2514">
        <v>0</v>
      </c>
      <c r="AW2514">
        <v>0</v>
      </c>
      <c r="AX2514">
        <v>0</v>
      </c>
      <c r="AY2514">
        <v>0</v>
      </c>
      <c r="AZ2514">
        <v>0</v>
      </c>
      <c r="BA2514">
        <v>0</v>
      </c>
      <c r="BB2514">
        <v>0</v>
      </c>
      <c r="BC2514">
        <v>0</v>
      </c>
      <c r="BD2514">
        <v>0</v>
      </c>
      <c r="BE2514">
        <v>0</v>
      </c>
      <c r="BF2514">
        <v>0</v>
      </c>
      <c r="BG2514">
        <v>0</v>
      </c>
      <c r="BH2514">
        <v>1</v>
      </c>
      <c r="BI2514">
        <v>7</v>
      </c>
      <c r="BJ2514">
        <v>7.5</v>
      </c>
      <c r="BK2514">
        <v>7.5</v>
      </c>
      <c r="BL2514">
        <v>472.35</v>
      </c>
      <c r="BM2514">
        <v>70.849999999999994</v>
      </c>
      <c r="BN2514">
        <v>543.20000000000005</v>
      </c>
      <c r="BO2514">
        <v>543.20000000000005</v>
      </c>
      <c r="BQ2514" t="s">
        <v>169</v>
      </c>
      <c r="BR2514" t="s">
        <v>84</v>
      </c>
      <c r="BS2514" s="3">
        <v>45799</v>
      </c>
      <c r="BT2514" s="4">
        <v>0.39444444444444443</v>
      </c>
      <c r="BU2514" t="s">
        <v>2753</v>
      </c>
      <c r="BV2514" t="s">
        <v>89</v>
      </c>
      <c r="BY2514">
        <v>37500</v>
      </c>
      <c r="CA2514" t="s">
        <v>2754</v>
      </c>
      <c r="CC2514" t="s">
        <v>2752</v>
      </c>
      <c r="CD2514">
        <v>8446</v>
      </c>
      <c r="CE2514" t="s">
        <v>1296</v>
      </c>
      <c r="CF2514" s="3">
        <v>45799</v>
      </c>
      <c r="CI2514">
        <v>1</v>
      </c>
      <c r="CJ2514">
        <v>2</v>
      </c>
      <c r="CK2514">
        <v>23</v>
      </c>
      <c r="CL2514" t="s">
        <v>89</v>
      </c>
    </row>
    <row r="2515" spans="1:90" x14ac:dyDescent="0.3">
      <c r="A2515" t="s">
        <v>72</v>
      </c>
      <c r="B2515" t="s">
        <v>73</v>
      </c>
      <c r="C2515" t="s">
        <v>74</v>
      </c>
      <c r="E2515" t="str">
        <f>"080065473977"</f>
        <v>080065473977</v>
      </c>
      <c r="F2515" s="3">
        <v>45797</v>
      </c>
      <c r="G2515">
        <v>202602</v>
      </c>
      <c r="H2515" t="s">
        <v>75</v>
      </c>
      <c r="I2515" t="s">
        <v>76</v>
      </c>
      <c r="J2515" t="s">
        <v>77</v>
      </c>
      <c r="K2515" t="s">
        <v>78</v>
      </c>
      <c r="L2515" t="s">
        <v>90</v>
      </c>
      <c r="M2515" t="s">
        <v>91</v>
      </c>
      <c r="N2515" t="s">
        <v>563</v>
      </c>
      <c r="O2515" t="s">
        <v>82</v>
      </c>
      <c r="P2515" t="str">
        <f>"4170039727                    "</f>
        <v xml:space="preserve">4170039727                    </v>
      </c>
      <c r="Q2515">
        <v>0</v>
      </c>
      <c r="R2515">
        <v>0</v>
      </c>
      <c r="S2515">
        <v>0</v>
      </c>
      <c r="T2515">
        <v>0</v>
      </c>
      <c r="U2515">
        <v>0</v>
      </c>
      <c r="V2515">
        <v>0</v>
      </c>
      <c r="W2515">
        <v>0</v>
      </c>
      <c r="X2515">
        <v>0</v>
      </c>
      <c r="Y2515">
        <v>0</v>
      </c>
      <c r="Z2515">
        <v>0</v>
      </c>
      <c r="AA2515">
        <v>0</v>
      </c>
      <c r="AB2515">
        <v>0</v>
      </c>
      <c r="AC2515">
        <v>0</v>
      </c>
      <c r="AD2515">
        <v>0</v>
      </c>
      <c r="AE2515">
        <v>0</v>
      </c>
      <c r="AF2515">
        <v>0</v>
      </c>
      <c r="AG2515">
        <v>0</v>
      </c>
      <c r="AH2515">
        <v>0</v>
      </c>
      <c r="AI2515">
        <v>0</v>
      </c>
      <c r="AJ2515">
        <v>0</v>
      </c>
      <c r="AK2515">
        <v>0</v>
      </c>
      <c r="AL2515">
        <v>0</v>
      </c>
      <c r="AM2515">
        <v>0</v>
      </c>
      <c r="AN2515">
        <v>0</v>
      </c>
      <c r="AO2515">
        <v>0</v>
      </c>
      <c r="AP2515">
        <v>0</v>
      </c>
      <c r="AQ2515">
        <v>42.75</v>
      </c>
      <c r="AR2515">
        <v>0</v>
      </c>
      <c r="AS2515">
        <v>0</v>
      </c>
      <c r="AT2515">
        <v>0</v>
      </c>
      <c r="AU2515">
        <v>0</v>
      </c>
      <c r="AV2515">
        <v>0</v>
      </c>
      <c r="AW2515">
        <v>0</v>
      </c>
      <c r="AX2515">
        <v>0</v>
      </c>
      <c r="AY2515">
        <v>0</v>
      </c>
      <c r="AZ2515">
        <v>0</v>
      </c>
      <c r="BA2515">
        <v>0</v>
      </c>
      <c r="BB2515">
        <v>0</v>
      </c>
      <c r="BC2515">
        <v>0</v>
      </c>
      <c r="BD2515">
        <v>0</v>
      </c>
      <c r="BE2515">
        <v>0</v>
      </c>
      <c r="BF2515">
        <v>0</v>
      </c>
      <c r="BG2515">
        <v>0</v>
      </c>
      <c r="BH2515">
        <v>1</v>
      </c>
      <c r="BI2515">
        <v>4</v>
      </c>
      <c r="BJ2515">
        <v>2.2999999999999998</v>
      </c>
      <c r="BK2515">
        <v>4</v>
      </c>
      <c r="BL2515">
        <v>139.91</v>
      </c>
      <c r="BM2515">
        <v>20.99</v>
      </c>
      <c r="BN2515">
        <v>160.9</v>
      </c>
      <c r="BO2515">
        <v>160.9</v>
      </c>
      <c r="BQ2515" t="s">
        <v>564</v>
      </c>
      <c r="BR2515" t="s">
        <v>84</v>
      </c>
      <c r="BS2515" s="3">
        <v>45798</v>
      </c>
      <c r="BT2515" s="4">
        <v>0.35833333333333334</v>
      </c>
      <c r="BU2515" t="s">
        <v>987</v>
      </c>
      <c r="BV2515" t="s">
        <v>86</v>
      </c>
      <c r="BY2515">
        <v>11628</v>
      </c>
      <c r="CA2515" t="s">
        <v>566</v>
      </c>
      <c r="CC2515" t="s">
        <v>91</v>
      </c>
      <c r="CD2515">
        <v>6001</v>
      </c>
      <c r="CE2515" t="s">
        <v>221</v>
      </c>
      <c r="CF2515" s="3">
        <v>45798</v>
      </c>
      <c r="CI2515">
        <v>1</v>
      </c>
      <c r="CJ2515">
        <v>1</v>
      </c>
      <c r="CK2515">
        <v>21</v>
      </c>
      <c r="CL2515" t="s">
        <v>89</v>
      </c>
    </row>
    <row r="2516" spans="1:90" x14ac:dyDescent="0.3">
      <c r="A2516" t="s">
        <v>72</v>
      </c>
      <c r="B2516" t="s">
        <v>73</v>
      </c>
      <c r="C2516" t="s">
        <v>74</v>
      </c>
      <c r="E2516" t="str">
        <f>"080065473979"</f>
        <v>080065473979</v>
      </c>
      <c r="F2516" s="3">
        <v>45797</v>
      </c>
      <c r="G2516">
        <v>202602</v>
      </c>
      <c r="H2516" t="s">
        <v>75</v>
      </c>
      <c r="I2516" t="s">
        <v>76</v>
      </c>
      <c r="J2516" t="s">
        <v>77</v>
      </c>
      <c r="K2516" t="s">
        <v>78</v>
      </c>
      <c r="L2516" t="s">
        <v>75</v>
      </c>
      <c r="M2516" t="s">
        <v>76</v>
      </c>
      <c r="N2516" t="s">
        <v>390</v>
      </c>
      <c r="O2516" t="s">
        <v>82</v>
      </c>
      <c r="P2516" t="str">
        <f>"4170039713                    "</f>
        <v xml:space="preserve">4170039713                    </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c r="AI2516">
        <v>0</v>
      </c>
      <c r="AJ2516">
        <v>0</v>
      </c>
      <c r="AK2516">
        <v>0</v>
      </c>
      <c r="AL2516">
        <v>0</v>
      </c>
      <c r="AM2516">
        <v>0</v>
      </c>
      <c r="AN2516">
        <v>0</v>
      </c>
      <c r="AO2516">
        <v>0</v>
      </c>
      <c r="AP2516">
        <v>0</v>
      </c>
      <c r="AQ2516">
        <v>16.7</v>
      </c>
      <c r="AR2516">
        <v>0</v>
      </c>
      <c r="AS2516">
        <v>0</v>
      </c>
      <c r="AT2516">
        <v>0</v>
      </c>
      <c r="AU2516">
        <v>0</v>
      </c>
      <c r="AV2516">
        <v>0</v>
      </c>
      <c r="AW2516">
        <v>0</v>
      </c>
      <c r="AX2516">
        <v>0</v>
      </c>
      <c r="AY2516">
        <v>0</v>
      </c>
      <c r="AZ2516">
        <v>0</v>
      </c>
      <c r="BA2516">
        <v>0</v>
      </c>
      <c r="BB2516">
        <v>0</v>
      </c>
      <c r="BC2516">
        <v>0</v>
      </c>
      <c r="BD2516">
        <v>0</v>
      </c>
      <c r="BE2516">
        <v>0</v>
      </c>
      <c r="BF2516">
        <v>0</v>
      </c>
      <c r="BG2516">
        <v>0</v>
      </c>
      <c r="BH2516">
        <v>1</v>
      </c>
      <c r="BI2516">
        <v>1</v>
      </c>
      <c r="BJ2516">
        <v>0.9</v>
      </c>
      <c r="BK2516">
        <v>1</v>
      </c>
      <c r="BL2516">
        <v>54.66</v>
      </c>
      <c r="BM2516">
        <v>8.1999999999999993</v>
      </c>
      <c r="BN2516">
        <v>62.86</v>
      </c>
      <c r="BO2516">
        <v>62.86</v>
      </c>
      <c r="BQ2516" t="s">
        <v>391</v>
      </c>
      <c r="BR2516" t="s">
        <v>84</v>
      </c>
      <c r="BS2516" s="3">
        <v>45798</v>
      </c>
      <c r="BT2516" s="4">
        <v>0.35555555555555557</v>
      </c>
      <c r="BU2516" t="s">
        <v>2642</v>
      </c>
      <c r="BV2516" t="s">
        <v>86</v>
      </c>
      <c r="BY2516">
        <v>4560</v>
      </c>
      <c r="CA2516" t="s">
        <v>115</v>
      </c>
      <c r="CC2516" t="s">
        <v>76</v>
      </c>
      <c r="CD2516">
        <v>1600</v>
      </c>
      <c r="CE2516" t="s">
        <v>96</v>
      </c>
      <c r="CF2516" s="3">
        <v>45798</v>
      </c>
      <c r="CI2516">
        <v>1</v>
      </c>
      <c r="CJ2516">
        <v>1</v>
      </c>
      <c r="CK2516">
        <v>22</v>
      </c>
      <c r="CL2516" t="s">
        <v>89</v>
      </c>
    </row>
    <row r="2517" spans="1:90" x14ac:dyDescent="0.3">
      <c r="A2517" t="s">
        <v>72</v>
      </c>
      <c r="B2517" t="s">
        <v>73</v>
      </c>
      <c r="C2517" t="s">
        <v>74</v>
      </c>
      <c r="E2517" t="str">
        <f>"080065474004"</f>
        <v>080065474004</v>
      </c>
      <c r="F2517" s="3">
        <v>45797</v>
      </c>
      <c r="G2517">
        <v>202602</v>
      </c>
      <c r="H2517" t="s">
        <v>75</v>
      </c>
      <c r="I2517" t="s">
        <v>76</v>
      </c>
      <c r="J2517" t="s">
        <v>77</v>
      </c>
      <c r="K2517" t="s">
        <v>78</v>
      </c>
      <c r="L2517" t="s">
        <v>90</v>
      </c>
      <c r="M2517" t="s">
        <v>91</v>
      </c>
      <c r="N2517" t="s">
        <v>1211</v>
      </c>
      <c r="O2517" t="s">
        <v>82</v>
      </c>
      <c r="P2517" t="str">
        <f>"4170039648                    "</f>
        <v xml:space="preserve">4170039648                    </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c r="AI2517">
        <v>0</v>
      </c>
      <c r="AJ2517">
        <v>0</v>
      </c>
      <c r="AK2517">
        <v>0</v>
      </c>
      <c r="AL2517">
        <v>0</v>
      </c>
      <c r="AM2517">
        <v>0</v>
      </c>
      <c r="AN2517">
        <v>0</v>
      </c>
      <c r="AO2517">
        <v>0</v>
      </c>
      <c r="AP2517">
        <v>0</v>
      </c>
      <c r="AQ2517">
        <v>21.38</v>
      </c>
      <c r="AR2517">
        <v>0</v>
      </c>
      <c r="AS2517">
        <v>0</v>
      </c>
      <c r="AT2517">
        <v>0</v>
      </c>
      <c r="AU2517">
        <v>0</v>
      </c>
      <c r="AV2517">
        <v>0</v>
      </c>
      <c r="AW2517">
        <v>0</v>
      </c>
      <c r="AX2517">
        <v>0</v>
      </c>
      <c r="AY2517">
        <v>0</v>
      </c>
      <c r="AZ2517">
        <v>0</v>
      </c>
      <c r="BA2517">
        <v>0</v>
      </c>
      <c r="BB2517">
        <v>0</v>
      </c>
      <c r="BC2517">
        <v>0</v>
      </c>
      <c r="BD2517">
        <v>0</v>
      </c>
      <c r="BE2517">
        <v>0</v>
      </c>
      <c r="BF2517">
        <v>0</v>
      </c>
      <c r="BG2517">
        <v>0</v>
      </c>
      <c r="BH2517">
        <v>1</v>
      </c>
      <c r="BI2517">
        <v>1</v>
      </c>
      <c r="BJ2517">
        <v>0.2</v>
      </c>
      <c r="BK2517">
        <v>1</v>
      </c>
      <c r="BL2517">
        <v>69.98</v>
      </c>
      <c r="BM2517">
        <v>10.5</v>
      </c>
      <c r="BN2517">
        <v>80.48</v>
      </c>
      <c r="BO2517">
        <v>80.48</v>
      </c>
      <c r="BQ2517" t="s">
        <v>1212</v>
      </c>
      <c r="BR2517" t="s">
        <v>84</v>
      </c>
      <c r="BS2517" s="3">
        <v>45798</v>
      </c>
      <c r="BT2517" s="4">
        <v>0.3923611111111111</v>
      </c>
      <c r="BU2517" t="s">
        <v>2684</v>
      </c>
      <c r="BV2517" t="s">
        <v>86</v>
      </c>
      <c r="BY2517">
        <v>1200</v>
      </c>
      <c r="CA2517" t="s">
        <v>283</v>
      </c>
      <c r="CC2517" t="s">
        <v>91</v>
      </c>
      <c r="CD2517">
        <v>6012</v>
      </c>
      <c r="CE2517" t="s">
        <v>88</v>
      </c>
      <c r="CF2517" s="3">
        <v>45798</v>
      </c>
      <c r="CI2517">
        <v>1</v>
      </c>
      <c r="CJ2517">
        <v>1</v>
      </c>
      <c r="CK2517">
        <v>21</v>
      </c>
      <c r="CL2517" t="s">
        <v>89</v>
      </c>
    </row>
    <row r="2518" spans="1:90" x14ac:dyDescent="0.3">
      <c r="A2518" t="s">
        <v>72</v>
      </c>
      <c r="B2518" t="s">
        <v>73</v>
      </c>
      <c r="C2518" t="s">
        <v>74</v>
      </c>
      <c r="E2518" t="str">
        <f>"080065474007"</f>
        <v>080065474007</v>
      </c>
      <c r="F2518" s="3">
        <v>45797</v>
      </c>
      <c r="G2518">
        <v>202602</v>
      </c>
      <c r="H2518" t="s">
        <v>75</v>
      </c>
      <c r="I2518" t="s">
        <v>76</v>
      </c>
      <c r="J2518" t="s">
        <v>77</v>
      </c>
      <c r="K2518" t="s">
        <v>78</v>
      </c>
      <c r="L2518" t="s">
        <v>624</v>
      </c>
      <c r="M2518" t="s">
        <v>625</v>
      </c>
      <c r="N2518" t="s">
        <v>626</v>
      </c>
      <c r="O2518" t="s">
        <v>82</v>
      </c>
      <c r="P2518" t="str">
        <f>"4170039632                    "</f>
        <v xml:space="preserve">4170039632                    </v>
      </c>
      <c r="Q2518">
        <v>0</v>
      </c>
      <c r="R2518">
        <v>0</v>
      </c>
      <c r="S2518">
        <v>0</v>
      </c>
      <c r="T2518">
        <v>0</v>
      </c>
      <c r="U2518">
        <v>0</v>
      </c>
      <c r="V2518">
        <v>0</v>
      </c>
      <c r="W2518">
        <v>0</v>
      </c>
      <c r="X2518">
        <v>0</v>
      </c>
      <c r="Y2518">
        <v>0</v>
      </c>
      <c r="Z2518">
        <v>0</v>
      </c>
      <c r="AA2518">
        <v>0</v>
      </c>
      <c r="AB2518">
        <v>0</v>
      </c>
      <c r="AC2518">
        <v>0</v>
      </c>
      <c r="AD2518">
        <v>0</v>
      </c>
      <c r="AE2518">
        <v>0</v>
      </c>
      <c r="AF2518">
        <v>0</v>
      </c>
      <c r="AG2518">
        <v>0</v>
      </c>
      <c r="AH2518">
        <v>0</v>
      </c>
      <c r="AI2518">
        <v>0</v>
      </c>
      <c r="AJ2518">
        <v>0</v>
      </c>
      <c r="AK2518">
        <v>0</v>
      </c>
      <c r="AL2518">
        <v>0</v>
      </c>
      <c r="AM2518">
        <v>0</v>
      </c>
      <c r="AN2518">
        <v>0</v>
      </c>
      <c r="AO2518">
        <v>0</v>
      </c>
      <c r="AP2518">
        <v>0</v>
      </c>
      <c r="AQ2518">
        <v>41.43</v>
      </c>
      <c r="AR2518">
        <v>0</v>
      </c>
      <c r="AS2518">
        <v>0</v>
      </c>
      <c r="AT2518">
        <v>0</v>
      </c>
      <c r="AU2518">
        <v>0</v>
      </c>
      <c r="AV2518">
        <v>0</v>
      </c>
      <c r="AW2518">
        <v>0</v>
      </c>
      <c r="AX2518">
        <v>0</v>
      </c>
      <c r="AY2518">
        <v>0</v>
      </c>
      <c r="AZ2518">
        <v>0</v>
      </c>
      <c r="BA2518">
        <v>0</v>
      </c>
      <c r="BB2518">
        <v>0</v>
      </c>
      <c r="BC2518">
        <v>0</v>
      </c>
      <c r="BD2518">
        <v>0</v>
      </c>
      <c r="BE2518">
        <v>0</v>
      </c>
      <c r="BF2518">
        <v>0</v>
      </c>
      <c r="BG2518">
        <v>0</v>
      </c>
      <c r="BH2518">
        <v>1</v>
      </c>
      <c r="BI2518">
        <v>1</v>
      </c>
      <c r="BJ2518">
        <v>0.9</v>
      </c>
      <c r="BK2518">
        <v>1</v>
      </c>
      <c r="BL2518">
        <v>135.59</v>
      </c>
      <c r="BM2518">
        <v>20.34</v>
      </c>
      <c r="BN2518">
        <v>155.93</v>
      </c>
      <c r="BO2518">
        <v>155.93</v>
      </c>
      <c r="BQ2518" t="s">
        <v>627</v>
      </c>
      <c r="BR2518" t="s">
        <v>84</v>
      </c>
      <c r="BS2518" s="3">
        <v>45798</v>
      </c>
      <c r="BT2518" s="4">
        <v>0.35416666666666669</v>
      </c>
      <c r="BU2518" t="s">
        <v>1674</v>
      </c>
      <c r="BV2518" t="s">
        <v>86</v>
      </c>
      <c r="BY2518">
        <v>4560</v>
      </c>
      <c r="CC2518" t="s">
        <v>625</v>
      </c>
      <c r="CD2518">
        <v>1947</v>
      </c>
      <c r="CE2518" t="s">
        <v>96</v>
      </c>
      <c r="CF2518" s="3">
        <v>45798</v>
      </c>
      <c r="CI2518">
        <v>1</v>
      </c>
      <c r="CJ2518">
        <v>1</v>
      </c>
      <c r="CK2518">
        <v>23</v>
      </c>
      <c r="CL2518" t="s">
        <v>89</v>
      </c>
    </row>
    <row r="2519" spans="1:90" x14ac:dyDescent="0.3">
      <c r="A2519" t="s">
        <v>72</v>
      </c>
      <c r="B2519" t="s">
        <v>73</v>
      </c>
      <c r="C2519" t="s">
        <v>74</v>
      </c>
      <c r="E2519" t="str">
        <f>"080065474037"</f>
        <v>080065474037</v>
      </c>
      <c r="F2519" s="3">
        <v>45797</v>
      </c>
      <c r="G2519">
        <v>202602</v>
      </c>
      <c r="H2519" t="s">
        <v>75</v>
      </c>
      <c r="I2519" t="s">
        <v>76</v>
      </c>
      <c r="J2519" t="s">
        <v>77</v>
      </c>
      <c r="K2519" t="s">
        <v>78</v>
      </c>
      <c r="L2519" t="s">
        <v>331</v>
      </c>
      <c r="M2519" t="s">
        <v>332</v>
      </c>
      <c r="N2519" t="s">
        <v>499</v>
      </c>
      <c r="O2519" t="s">
        <v>82</v>
      </c>
      <c r="P2519" t="str">
        <f>"4170039616                    "</f>
        <v xml:space="preserve">4170039616                    </v>
      </c>
      <c r="Q2519">
        <v>0</v>
      </c>
      <c r="R2519">
        <v>0</v>
      </c>
      <c r="S2519">
        <v>0</v>
      </c>
      <c r="T2519">
        <v>0</v>
      </c>
      <c r="U2519">
        <v>0</v>
      </c>
      <c r="V2519">
        <v>0</v>
      </c>
      <c r="W2519">
        <v>0</v>
      </c>
      <c r="X2519">
        <v>0</v>
      </c>
      <c r="Y2519">
        <v>0</v>
      </c>
      <c r="Z2519">
        <v>0</v>
      </c>
      <c r="AA2519">
        <v>0</v>
      </c>
      <c r="AB2519">
        <v>0</v>
      </c>
      <c r="AC2519">
        <v>0</v>
      </c>
      <c r="AD2519">
        <v>0</v>
      </c>
      <c r="AE2519">
        <v>0</v>
      </c>
      <c r="AF2519">
        <v>0</v>
      </c>
      <c r="AG2519">
        <v>0</v>
      </c>
      <c r="AH2519">
        <v>0</v>
      </c>
      <c r="AI2519">
        <v>0</v>
      </c>
      <c r="AJ2519">
        <v>0</v>
      </c>
      <c r="AK2519">
        <v>0</v>
      </c>
      <c r="AL2519">
        <v>0</v>
      </c>
      <c r="AM2519">
        <v>0</v>
      </c>
      <c r="AN2519">
        <v>0</v>
      </c>
      <c r="AO2519">
        <v>0</v>
      </c>
      <c r="AP2519">
        <v>0</v>
      </c>
      <c r="AQ2519">
        <v>16.7</v>
      </c>
      <c r="AR2519">
        <v>0</v>
      </c>
      <c r="AS2519">
        <v>0</v>
      </c>
      <c r="AT2519">
        <v>0</v>
      </c>
      <c r="AU2519">
        <v>0</v>
      </c>
      <c r="AV2519">
        <v>0</v>
      </c>
      <c r="AW2519">
        <v>0</v>
      </c>
      <c r="AX2519">
        <v>0</v>
      </c>
      <c r="AY2519">
        <v>0</v>
      </c>
      <c r="AZ2519">
        <v>0</v>
      </c>
      <c r="BA2519">
        <v>0</v>
      </c>
      <c r="BB2519">
        <v>0</v>
      </c>
      <c r="BC2519">
        <v>0</v>
      </c>
      <c r="BD2519">
        <v>0</v>
      </c>
      <c r="BE2519">
        <v>0</v>
      </c>
      <c r="BF2519">
        <v>0</v>
      </c>
      <c r="BG2519">
        <v>0</v>
      </c>
      <c r="BH2519">
        <v>1</v>
      </c>
      <c r="BI2519">
        <v>1</v>
      </c>
      <c r="BJ2519">
        <v>0.2</v>
      </c>
      <c r="BK2519">
        <v>1</v>
      </c>
      <c r="BL2519">
        <v>54.66</v>
      </c>
      <c r="BM2519">
        <v>8.1999999999999993</v>
      </c>
      <c r="BN2519">
        <v>62.86</v>
      </c>
      <c r="BO2519">
        <v>62.86</v>
      </c>
      <c r="BQ2519" t="s">
        <v>500</v>
      </c>
      <c r="BR2519" t="s">
        <v>84</v>
      </c>
      <c r="BS2519" s="3">
        <v>45798</v>
      </c>
      <c r="BT2519" s="4">
        <v>0.38194444444444442</v>
      </c>
      <c r="BU2519" t="s">
        <v>382</v>
      </c>
      <c r="BV2519" t="s">
        <v>86</v>
      </c>
      <c r="BY2519">
        <v>1200</v>
      </c>
      <c r="CA2519" t="s">
        <v>336</v>
      </c>
      <c r="CC2519" t="s">
        <v>332</v>
      </c>
      <c r="CD2519">
        <v>1451</v>
      </c>
      <c r="CE2519" t="s">
        <v>88</v>
      </c>
      <c r="CF2519" s="3">
        <v>45798</v>
      </c>
      <c r="CI2519">
        <v>1</v>
      </c>
      <c r="CJ2519">
        <v>1</v>
      </c>
      <c r="CK2519">
        <v>22</v>
      </c>
      <c r="CL2519" t="s">
        <v>89</v>
      </c>
    </row>
    <row r="2520" spans="1:90" x14ac:dyDescent="0.3">
      <c r="A2520" t="s">
        <v>72</v>
      </c>
      <c r="B2520" t="s">
        <v>73</v>
      </c>
      <c r="C2520" t="s">
        <v>74</v>
      </c>
      <c r="E2520" t="str">
        <f>"080065474048"</f>
        <v>080065474048</v>
      </c>
      <c r="F2520" s="3">
        <v>45797</v>
      </c>
      <c r="G2520">
        <v>202602</v>
      </c>
      <c r="H2520" t="s">
        <v>75</v>
      </c>
      <c r="I2520" t="s">
        <v>76</v>
      </c>
      <c r="J2520" t="s">
        <v>77</v>
      </c>
      <c r="K2520" t="s">
        <v>78</v>
      </c>
      <c r="L2520" t="s">
        <v>90</v>
      </c>
      <c r="M2520" t="s">
        <v>91</v>
      </c>
      <c r="N2520" t="s">
        <v>563</v>
      </c>
      <c r="O2520" t="s">
        <v>82</v>
      </c>
      <c r="P2520" t="str">
        <f>"4170039626                    "</f>
        <v xml:space="preserve">4170039626                    </v>
      </c>
      <c r="Q2520">
        <v>0</v>
      </c>
      <c r="R2520">
        <v>0</v>
      </c>
      <c r="S2520">
        <v>0</v>
      </c>
      <c r="T2520">
        <v>0</v>
      </c>
      <c r="U2520">
        <v>0</v>
      </c>
      <c r="V2520">
        <v>0</v>
      </c>
      <c r="W2520">
        <v>0</v>
      </c>
      <c r="X2520">
        <v>0</v>
      </c>
      <c r="Y2520">
        <v>0</v>
      </c>
      <c r="Z2520">
        <v>0</v>
      </c>
      <c r="AA2520">
        <v>0</v>
      </c>
      <c r="AB2520">
        <v>0</v>
      </c>
      <c r="AC2520">
        <v>0</v>
      </c>
      <c r="AD2520">
        <v>0</v>
      </c>
      <c r="AE2520">
        <v>0</v>
      </c>
      <c r="AF2520">
        <v>0</v>
      </c>
      <c r="AG2520">
        <v>0</v>
      </c>
      <c r="AH2520">
        <v>0</v>
      </c>
      <c r="AI2520">
        <v>0</v>
      </c>
      <c r="AJ2520">
        <v>0</v>
      </c>
      <c r="AK2520">
        <v>0</v>
      </c>
      <c r="AL2520">
        <v>0</v>
      </c>
      <c r="AM2520">
        <v>0</v>
      </c>
      <c r="AN2520">
        <v>0</v>
      </c>
      <c r="AO2520">
        <v>0</v>
      </c>
      <c r="AP2520">
        <v>0</v>
      </c>
      <c r="AQ2520">
        <v>106.85</v>
      </c>
      <c r="AR2520">
        <v>0</v>
      </c>
      <c r="AS2520">
        <v>0</v>
      </c>
      <c r="AT2520">
        <v>0</v>
      </c>
      <c r="AU2520">
        <v>0</v>
      </c>
      <c r="AV2520">
        <v>0</v>
      </c>
      <c r="AW2520">
        <v>0</v>
      </c>
      <c r="AX2520">
        <v>0</v>
      </c>
      <c r="AY2520">
        <v>0</v>
      </c>
      <c r="AZ2520">
        <v>0</v>
      </c>
      <c r="BA2520">
        <v>0</v>
      </c>
      <c r="BB2520">
        <v>0</v>
      </c>
      <c r="BC2520">
        <v>0</v>
      </c>
      <c r="BD2520">
        <v>0</v>
      </c>
      <c r="BE2520">
        <v>0</v>
      </c>
      <c r="BF2520">
        <v>0</v>
      </c>
      <c r="BG2520">
        <v>0</v>
      </c>
      <c r="BH2520">
        <v>1</v>
      </c>
      <c r="BI2520">
        <v>10</v>
      </c>
      <c r="BJ2520">
        <v>8.9</v>
      </c>
      <c r="BK2520">
        <v>10</v>
      </c>
      <c r="BL2520">
        <v>349.69</v>
      </c>
      <c r="BM2520">
        <v>52.45</v>
      </c>
      <c r="BN2520">
        <v>402.14</v>
      </c>
      <c r="BO2520">
        <v>402.14</v>
      </c>
      <c r="BQ2520" t="s">
        <v>564</v>
      </c>
      <c r="BR2520" t="s">
        <v>84</v>
      </c>
      <c r="BS2520" s="3">
        <v>45798</v>
      </c>
      <c r="BT2520" s="4">
        <v>0.35833333333333334</v>
      </c>
      <c r="BU2520" t="s">
        <v>987</v>
      </c>
      <c r="BV2520" t="s">
        <v>86</v>
      </c>
      <c r="BY2520">
        <v>44640</v>
      </c>
      <c r="CA2520" t="s">
        <v>566</v>
      </c>
      <c r="CC2520" t="s">
        <v>91</v>
      </c>
      <c r="CD2520">
        <v>6001</v>
      </c>
      <c r="CE2520" t="s">
        <v>96</v>
      </c>
      <c r="CF2520" s="3">
        <v>45798</v>
      </c>
      <c r="CI2520">
        <v>1</v>
      </c>
      <c r="CJ2520">
        <v>1</v>
      </c>
      <c r="CK2520">
        <v>21</v>
      </c>
      <c r="CL2520" t="s">
        <v>89</v>
      </c>
    </row>
    <row r="2521" spans="1:90" x14ac:dyDescent="0.3">
      <c r="A2521" t="s">
        <v>72</v>
      </c>
      <c r="B2521" t="s">
        <v>73</v>
      </c>
      <c r="C2521" t="s">
        <v>74</v>
      </c>
      <c r="E2521" t="str">
        <f>"080065474061"</f>
        <v>080065474061</v>
      </c>
      <c r="F2521" s="3">
        <v>45797</v>
      </c>
      <c r="G2521">
        <v>202602</v>
      </c>
      <c r="H2521" t="s">
        <v>75</v>
      </c>
      <c r="I2521" t="s">
        <v>76</v>
      </c>
      <c r="J2521" t="s">
        <v>77</v>
      </c>
      <c r="K2521" t="s">
        <v>78</v>
      </c>
      <c r="L2521" t="s">
        <v>463</v>
      </c>
      <c r="M2521" t="s">
        <v>464</v>
      </c>
      <c r="N2521" t="s">
        <v>585</v>
      </c>
      <c r="O2521" t="s">
        <v>82</v>
      </c>
      <c r="P2521" t="str">
        <f>"4170039579                    "</f>
        <v xml:space="preserve">4170039579                    </v>
      </c>
      <c r="Q2521">
        <v>0</v>
      </c>
      <c r="R2521">
        <v>0</v>
      </c>
      <c r="S2521">
        <v>0</v>
      </c>
      <c r="T2521">
        <v>0</v>
      </c>
      <c r="U2521">
        <v>0</v>
      </c>
      <c r="V2521">
        <v>0</v>
      </c>
      <c r="W2521">
        <v>0</v>
      </c>
      <c r="X2521">
        <v>0</v>
      </c>
      <c r="Y2521">
        <v>0</v>
      </c>
      <c r="Z2521">
        <v>0</v>
      </c>
      <c r="AA2521">
        <v>0</v>
      </c>
      <c r="AB2521">
        <v>0</v>
      </c>
      <c r="AC2521">
        <v>0</v>
      </c>
      <c r="AD2521">
        <v>0</v>
      </c>
      <c r="AE2521">
        <v>0</v>
      </c>
      <c r="AF2521">
        <v>0</v>
      </c>
      <c r="AG2521">
        <v>0</v>
      </c>
      <c r="AH2521">
        <v>0</v>
      </c>
      <c r="AI2521">
        <v>0</v>
      </c>
      <c r="AJ2521">
        <v>0</v>
      </c>
      <c r="AK2521">
        <v>0</v>
      </c>
      <c r="AL2521">
        <v>0</v>
      </c>
      <c r="AM2521">
        <v>0</v>
      </c>
      <c r="AN2521">
        <v>0</v>
      </c>
      <c r="AO2521">
        <v>0</v>
      </c>
      <c r="AP2521">
        <v>0</v>
      </c>
      <c r="AQ2521">
        <v>21.38</v>
      </c>
      <c r="AR2521">
        <v>0</v>
      </c>
      <c r="AS2521">
        <v>0</v>
      </c>
      <c r="AT2521">
        <v>0</v>
      </c>
      <c r="AU2521">
        <v>0</v>
      </c>
      <c r="AV2521">
        <v>0</v>
      </c>
      <c r="AW2521">
        <v>0</v>
      </c>
      <c r="AX2521">
        <v>0</v>
      </c>
      <c r="AY2521">
        <v>0</v>
      </c>
      <c r="AZ2521">
        <v>0</v>
      </c>
      <c r="BA2521">
        <v>0</v>
      </c>
      <c r="BB2521">
        <v>0</v>
      </c>
      <c r="BC2521">
        <v>0</v>
      </c>
      <c r="BD2521">
        <v>0</v>
      </c>
      <c r="BE2521">
        <v>0</v>
      </c>
      <c r="BF2521">
        <v>0</v>
      </c>
      <c r="BG2521">
        <v>0</v>
      </c>
      <c r="BH2521">
        <v>1</v>
      </c>
      <c r="BI2521">
        <v>1</v>
      </c>
      <c r="BJ2521">
        <v>0.2</v>
      </c>
      <c r="BK2521">
        <v>1</v>
      </c>
      <c r="BL2521">
        <v>69.98</v>
      </c>
      <c r="BM2521">
        <v>10.5</v>
      </c>
      <c r="BN2521">
        <v>80.48</v>
      </c>
      <c r="BO2521">
        <v>80.48</v>
      </c>
      <c r="BQ2521" t="s">
        <v>586</v>
      </c>
      <c r="BR2521" t="s">
        <v>84</v>
      </c>
      <c r="BS2521" s="3">
        <v>45798</v>
      </c>
      <c r="BT2521" s="4">
        <v>0.48958333333333331</v>
      </c>
      <c r="BU2521" t="s">
        <v>587</v>
      </c>
      <c r="BV2521" t="s">
        <v>89</v>
      </c>
      <c r="BY2521">
        <v>1200</v>
      </c>
      <c r="CA2521" t="s">
        <v>588</v>
      </c>
      <c r="CC2521" t="s">
        <v>464</v>
      </c>
      <c r="CD2521">
        <v>5200</v>
      </c>
      <c r="CE2521" t="s">
        <v>88</v>
      </c>
      <c r="CF2521" s="3">
        <v>45798</v>
      </c>
      <c r="CI2521">
        <v>1</v>
      </c>
      <c r="CJ2521">
        <v>1</v>
      </c>
      <c r="CK2521">
        <v>21</v>
      </c>
      <c r="CL2521" t="s">
        <v>89</v>
      </c>
    </row>
    <row r="2522" spans="1:90" x14ac:dyDescent="0.3">
      <c r="A2522" t="s">
        <v>72</v>
      </c>
      <c r="B2522" t="s">
        <v>73</v>
      </c>
      <c r="C2522" t="s">
        <v>74</v>
      </c>
      <c r="E2522" t="str">
        <f>"080065474072"</f>
        <v>080065474072</v>
      </c>
      <c r="F2522" s="3">
        <v>45797</v>
      </c>
      <c r="G2522">
        <v>202602</v>
      </c>
      <c r="H2522" t="s">
        <v>75</v>
      </c>
      <c r="I2522" t="s">
        <v>76</v>
      </c>
      <c r="J2522" t="s">
        <v>77</v>
      </c>
      <c r="K2522" t="s">
        <v>78</v>
      </c>
      <c r="L2522" t="s">
        <v>177</v>
      </c>
      <c r="M2522" t="s">
        <v>178</v>
      </c>
      <c r="N2522" t="s">
        <v>393</v>
      </c>
      <c r="O2522" t="s">
        <v>82</v>
      </c>
      <c r="P2522" t="str">
        <f>"4170039613                    "</f>
        <v xml:space="preserve">4170039613                    </v>
      </c>
      <c r="Q2522">
        <v>0</v>
      </c>
      <c r="R2522">
        <v>0</v>
      </c>
      <c r="S2522">
        <v>0</v>
      </c>
      <c r="T2522">
        <v>0</v>
      </c>
      <c r="U2522">
        <v>0</v>
      </c>
      <c r="V2522">
        <v>0</v>
      </c>
      <c r="W2522">
        <v>0</v>
      </c>
      <c r="X2522">
        <v>0</v>
      </c>
      <c r="Y2522">
        <v>0</v>
      </c>
      <c r="Z2522">
        <v>0</v>
      </c>
      <c r="AA2522">
        <v>0</v>
      </c>
      <c r="AB2522">
        <v>0</v>
      </c>
      <c r="AC2522">
        <v>0</v>
      </c>
      <c r="AD2522">
        <v>0</v>
      </c>
      <c r="AE2522">
        <v>0</v>
      </c>
      <c r="AF2522">
        <v>0</v>
      </c>
      <c r="AG2522">
        <v>0</v>
      </c>
      <c r="AH2522">
        <v>0</v>
      </c>
      <c r="AI2522">
        <v>0</v>
      </c>
      <c r="AJ2522">
        <v>0</v>
      </c>
      <c r="AK2522">
        <v>0</v>
      </c>
      <c r="AL2522">
        <v>0</v>
      </c>
      <c r="AM2522">
        <v>0</v>
      </c>
      <c r="AN2522">
        <v>0</v>
      </c>
      <c r="AO2522">
        <v>0</v>
      </c>
      <c r="AP2522">
        <v>0</v>
      </c>
      <c r="AQ2522">
        <v>21.38</v>
      </c>
      <c r="AR2522">
        <v>0</v>
      </c>
      <c r="AS2522">
        <v>0</v>
      </c>
      <c r="AT2522">
        <v>0</v>
      </c>
      <c r="AU2522">
        <v>0</v>
      </c>
      <c r="AV2522">
        <v>0</v>
      </c>
      <c r="AW2522">
        <v>0</v>
      </c>
      <c r="AX2522">
        <v>0</v>
      </c>
      <c r="AY2522">
        <v>0</v>
      </c>
      <c r="AZ2522">
        <v>0</v>
      </c>
      <c r="BA2522">
        <v>0</v>
      </c>
      <c r="BB2522">
        <v>0</v>
      </c>
      <c r="BC2522">
        <v>0</v>
      </c>
      <c r="BD2522">
        <v>0</v>
      </c>
      <c r="BE2522">
        <v>0</v>
      </c>
      <c r="BF2522">
        <v>0</v>
      </c>
      <c r="BG2522">
        <v>0</v>
      </c>
      <c r="BH2522">
        <v>1</v>
      </c>
      <c r="BI2522">
        <v>1</v>
      </c>
      <c r="BJ2522">
        <v>1.9</v>
      </c>
      <c r="BK2522">
        <v>2</v>
      </c>
      <c r="BL2522">
        <v>69.98</v>
      </c>
      <c r="BM2522">
        <v>10.5</v>
      </c>
      <c r="BN2522">
        <v>80.48</v>
      </c>
      <c r="BO2522">
        <v>80.48</v>
      </c>
      <c r="BQ2522" t="s">
        <v>394</v>
      </c>
      <c r="BR2522" t="s">
        <v>84</v>
      </c>
      <c r="BS2522" s="3">
        <v>45798</v>
      </c>
      <c r="BT2522" s="4">
        <v>0.33333333333333331</v>
      </c>
      <c r="BU2522" t="s">
        <v>1728</v>
      </c>
      <c r="BV2522" t="s">
        <v>86</v>
      </c>
      <c r="BY2522">
        <v>9600</v>
      </c>
      <c r="CA2522" t="s">
        <v>182</v>
      </c>
      <c r="CC2522" t="s">
        <v>178</v>
      </c>
      <c r="CD2522">
        <v>6230</v>
      </c>
      <c r="CE2522" t="s">
        <v>96</v>
      </c>
      <c r="CF2522" s="3">
        <v>45798</v>
      </c>
      <c r="CI2522">
        <v>1</v>
      </c>
      <c r="CJ2522">
        <v>1</v>
      </c>
      <c r="CK2522">
        <v>21</v>
      </c>
      <c r="CL2522" t="s">
        <v>89</v>
      </c>
    </row>
    <row r="2523" spans="1:90" x14ac:dyDescent="0.3">
      <c r="A2523" t="s">
        <v>72</v>
      </c>
      <c r="B2523" t="s">
        <v>73</v>
      </c>
      <c r="C2523" t="s">
        <v>74</v>
      </c>
      <c r="E2523" t="str">
        <f>"080065474086"</f>
        <v>080065474086</v>
      </c>
      <c r="F2523" s="3">
        <v>45797</v>
      </c>
      <c r="G2523">
        <v>202602</v>
      </c>
      <c r="H2523" t="s">
        <v>75</v>
      </c>
      <c r="I2523" t="s">
        <v>76</v>
      </c>
      <c r="J2523" t="s">
        <v>77</v>
      </c>
      <c r="K2523" t="s">
        <v>78</v>
      </c>
      <c r="L2523" t="s">
        <v>755</v>
      </c>
      <c r="M2523" t="s">
        <v>756</v>
      </c>
      <c r="N2523" t="s">
        <v>2330</v>
      </c>
      <c r="O2523" t="s">
        <v>82</v>
      </c>
      <c r="P2523" t="str">
        <f>"4170039557                    "</f>
        <v xml:space="preserve">4170039557                    </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c r="AI2523">
        <v>0</v>
      </c>
      <c r="AJ2523">
        <v>0</v>
      </c>
      <c r="AK2523">
        <v>0</v>
      </c>
      <c r="AL2523">
        <v>0</v>
      </c>
      <c r="AM2523">
        <v>0</v>
      </c>
      <c r="AN2523">
        <v>0</v>
      </c>
      <c r="AO2523">
        <v>0</v>
      </c>
      <c r="AP2523">
        <v>0</v>
      </c>
      <c r="AQ2523">
        <v>16.7</v>
      </c>
      <c r="AR2523">
        <v>0</v>
      </c>
      <c r="AS2523">
        <v>0</v>
      </c>
      <c r="AT2523">
        <v>0</v>
      </c>
      <c r="AU2523">
        <v>0</v>
      </c>
      <c r="AV2523">
        <v>0</v>
      </c>
      <c r="AW2523">
        <v>0</v>
      </c>
      <c r="AX2523">
        <v>0</v>
      </c>
      <c r="AY2523">
        <v>0</v>
      </c>
      <c r="AZ2523">
        <v>0</v>
      </c>
      <c r="BA2523">
        <v>0</v>
      </c>
      <c r="BB2523">
        <v>0</v>
      </c>
      <c r="BC2523">
        <v>0</v>
      </c>
      <c r="BD2523">
        <v>0</v>
      </c>
      <c r="BE2523">
        <v>0</v>
      </c>
      <c r="BF2523">
        <v>0</v>
      </c>
      <c r="BG2523">
        <v>0</v>
      </c>
      <c r="BH2523">
        <v>1</v>
      </c>
      <c r="BI2523">
        <v>1</v>
      </c>
      <c r="BJ2523">
        <v>0.2</v>
      </c>
      <c r="BK2523">
        <v>1</v>
      </c>
      <c r="BL2523">
        <v>54.66</v>
      </c>
      <c r="BM2523">
        <v>8.1999999999999993</v>
      </c>
      <c r="BN2523">
        <v>62.86</v>
      </c>
      <c r="BO2523">
        <v>62.86</v>
      </c>
      <c r="BQ2523" t="s">
        <v>2331</v>
      </c>
      <c r="BR2523" t="s">
        <v>84</v>
      </c>
      <c r="BS2523" s="3">
        <v>45798</v>
      </c>
      <c r="BT2523" s="4">
        <v>0.43194444444444446</v>
      </c>
      <c r="BU2523" t="s">
        <v>2332</v>
      </c>
      <c r="BV2523" t="s">
        <v>86</v>
      </c>
      <c r="BY2523">
        <v>1200</v>
      </c>
      <c r="CA2523" t="s">
        <v>246</v>
      </c>
      <c r="CC2523" t="s">
        <v>756</v>
      </c>
      <c r="CD2523">
        <v>1682</v>
      </c>
      <c r="CE2523" t="s">
        <v>88</v>
      </c>
      <c r="CF2523" s="3">
        <v>45798</v>
      </c>
      <c r="CI2523">
        <v>1</v>
      </c>
      <c r="CJ2523">
        <v>1</v>
      </c>
      <c r="CK2523">
        <v>22</v>
      </c>
      <c r="CL2523" t="s">
        <v>89</v>
      </c>
    </row>
    <row r="2524" spans="1:90" x14ac:dyDescent="0.3">
      <c r="A2524" t="s">
        <v>72</v>
      </c>
      <c r="B2524" t="s">
        <v>73</v>
      </c>
      <c r="C2524" t="s">
        <v>74</v>
      </c>
      <c r="E2524" t="str">
        <f>"080065474114"</f>
        <v>080065474114</v>
      </c>
      <c r="F2524" s="3">
        <v>45797</v>
      </c>
      <c r="G2524">
        <v>202602</v>
      </c>
      <c r="H2524" t="s">
        <v>75</v>
      </c>
      <c r="I2524" t="s">
        <v>76</v>
      </c>
      <c r="J2524" t="s">
        <v>77</v>
      </c>
      <c r="K2524" t="s">
        <v>78</v>
      </c>
      <c r="L2524" t="s">
        <v>567</v>
      </c>
      <c r="M2524" t="s">
        <v>568</v>
      </c>
      <c r="N2524" t="s">
        <v>1590</v>
      </c>
      <c r="O2524" t="s">
        <v>82</v>
      </c>
      <c r="P2524" t="str">
        <f>"4170039694                    "</f>
        <v xml:space="preserve">4170039694                    </v>
      </c>
      <c r="Q2524">
        <v>0</v>
      </c>
      <c r="R2524">
        <v>0</v>
      </c>
      <c r="S2524">
        <v>0</v>
      </c>
      <c r="T2524">
        <v>0</v>
      </c>
      <c r="U2524">
        <v>0</v>
      </c>
      <c r="V2524">
        <v>0</v>
      </c>
      <c r="W2524">
        <v>0</v>
      </c>
      <c r="X2524">
        <v>0</v>
      </c>
      <c r="Y2524">
        <v>0</v>
      </c>
      <c r="Z2524">
        <v>0</v>
      </c>
      <c r="AA2524">
        <v>0</v>
      </c>
      <c r="AB2524">
        <v>0</v>
      </c>
      <c r="AC2524">
        <v>0</v>
      </c>
      <c r="AD2524">
        <v>0</v>
      </c>
      <c r="AE2524">
        <v>0</v>
      </c>
      <c r="AF2524">
        <v>0</v>
      </c>
      <c r="AG2524">
        <v>0</v>
      </c>
      <c r="AH2524">
        <v>0</v>
      </c>
      <c r="AI2524">
        <v>0</v>
      </c>
      <c r="AJ2524">
        <v>0</v>
      </c>
      <c r="AK2524">
        <v>0</v>
      </c>
      <c r="AL2524">
        <v>0</v>
      </c>
      <c r="AM2524">
        <v>0</v>
      </c>
      <c r="AN2524">
        <v>0</v>
      </c>
      <c r="AO2524">
        <v>0</v>
      </c>
      <c r="AP2524">
        <v>0</v>
      </c>
      <c r="AQ2524">
        <v>41.43</v>
      </c>
      <c r="AR2524">
        <v>0</v>
      </c>
      <c r="AS2524">
        <v>0</v>
      </c>
      <c r="AT2524">
        <v>0</v>
      </c>
      <c r="AU2524">
        <v>0</v>
      </c>
      <c r="AV2524">
        <v>0</v>
      </c>
      <c r="AW2524">
        <v>0</v>
      </c>
      <c r="AX2524">
        <v>0</v>
      </c>
      <c r="AY2524">
        <v>0</v>
      </c>
      <c r="AZ2524">
        <v>0</v>
      </c>
      <c r="BA2524">
        <v>0</v>
      </c>
      <c r="BB2524">
        <v>0</v>
      </c>
      <c r="BC2524">
        <v>0</v>
      </c>
      <c r="BD2524">
        <v>0</v>
      </c>
      <c r="BE2524">
        <v>0</v>
      </c>
      <c r="BF2524">
        <v>0</v>
      </c>
      <c r="BG2524">
        <v>0</v>
      </c>
      <c r="BH2524">
        <v>1</v>
      </c>
      <c r="BI2524">
        <v>2</v>
      </c>
      <c r="BJ2524">
        <v>1.4</v>
      </c>
      <c r="BK2524">
        <v>2</v>
      </c>
      <c r="BL2524">
        <v>135.59</v>
      </c>
      <c r="BM2524">
        <v>20.34</v>
      </c>
      <c r="BN2524">
        <v>155.93</v>
      </c>
      <c r="BO2524">
        <v>155.93</v>
      </c>
      <c r="BQ2524" t="s">
        <v>1591</v>
      </c>
      <c r="BR2524" t="s">
        <v>84</v>
      </c>
      <c r="BS2524" s="3">
        <v>45798</v>
      </c>
      <c r="BT2524" s="4">
        <v>0.41458333333333336</v>
      </c>
      <c r="BU2524" t="s">
        <v>2004</v>
      </c>
      <c r="BV2524" t="s">
        <v>86</v>
      </c>
      <c r="BY2524">
        <v>7000</v>
      </c>
      <c r="CA2524" t="s">
        <v>572</v>
      </c>
      <c r="CC2524" t="s">
        <v>568</v>
      </c>
      <c r="CD2524" s="5" t="s">
        <v>573</v>
      </c>
      <c r="CE2524" t="s">
        <v>96</v>
      </c>
      <c r="CF2524" s="3">
        <v>45799</v>
      </c>
      <c r="CI2524">
        <v>1</v>
      </c>
      <c r="CJ2524">
        <v>1</v>
      </c>
      <c r="CK2524">
        <v>23</v>
      </c>
      <c r="CL2524" t="s">
        <v>89</v>
      </c>
    </row>
    <row r="2525" spans="1:90" x14ac:dyDescent="0.3">
      <c r="A2525" t="s">
        <v>72</v>
      </c>
      <c r="B2525" t="s">
        <v>73</v>
      </c>
      <c r="C2525" t="s">
        <v>74</v>
      </c>
      <c r="E2525" t="str">
        <f>"080065474126"</f>
        <v>080065474126</v>
      </c>
      <c r="F2525" s="3">
        <v>45797</v>
      </c>
      <c r="G2525">
        <v>202602</v>
      </c>
      <c r="H2525" t="s">
        <v>75</v>
      </c>
      <c r="I2525" t="s">
        <v>76</v>
      </c>
      <c r="J2525" t="s">
        <v>77</v>
      </c>
      <c r="K2525" t="s">
        <v>78</v>
      </c>
      <c r="L2525" t="s">
        <v>90</v>
      </c>
      <c r="M2525" t="s">
        <v>91</v>
      </c>
      <c r="N2525" t="s">
        <v>563</v>
      </c>
      <c r="O2525" t="s">
        <v>82</v>
      </c>
      <c r="P2525" t="str">
        <f>"4170039691                    "</f>
        <v xml:space="preserve">4170039691                    </v>
      </c>
      <c r="Q2525">
        <v>0</v>
      </c>
      <c r="R2525">
        <v>0</v>
      </c>
      <c r="S2525">
        <v>0</v>
      </c>
      <c r="T2525">
        <v>0</v>
      </c>
      <c r="U2525">
        <v>0</v>
      </c>
      <c r="V2525">
        <v>0</v>
      </c>
      <c r="W2525">
        <v>0</v>
      </c>
      <c r="X2525">
        <v>0</v>
      </c>
      <c r="Y2525">
        <v>0</v>
      </c>
      <c r="Z2525">
        <v>0</v>
      </c>
      <c r="AA2525">
        <v>0</v>
      </c>
      <c r="AB2525">
        <v>0</v>
      </c>
      <c r="AC2525">
        <v>0</v>
      </c>
      <c r="AD2525">
        <v>0</v>
      </c>
      <c r="AE2525">
        <v>0</v>
      </c>
      <c r="AF2525">
        <v>0</v>
      </c>
      <c r="AG2525">
        <v>0</v>
      </c>
      <c r="AH2525">
        <v>0</v>
      </c>
      <c r="AI2525">
        <v>0</v>
      </c>
      <c r="AJ2525">
        <v>0</v>
      </c>
      <c r="AK2525">
        <v>0</v>
      </c>
      <c r="AL2525">
        <v>0</v>
      </c>
      <c r="AM2525">
        <v>0</v>
      </c>
      <c r="AN2525">
        <v>0</v>
      </c>
      <c r="AO2525">
        <v>0</v>
      </c>
      <c r="AP2525">
        <v>0</v>
      </c>
      <c r="AQ2525">
        <v>21.38</v>
      </c>
      <c r="AR2525">
        <v>0</v>
      </c>
      <c r="AS2525">
        <v>0</v>
      </c>
      <c r="AT2525">
        <v>0</v>
      </c>
      <c r="AU2525">
        <v>0</v>
      </c>
      <c r="AV2525">
        <v>0</v>
      </c>
      <c r="AW2525">
        <v>0</v>
      </c>
      <c r="AX2525">
        <v>0</v>
      </c>
      <c r="AY2525">
        <v>0</v>
      </c>
      <c r="AZ2525">
        <v>0</v>
      </c>
      <c r="BA2525">
        <v>0</v>
      </c>
      <c r="BB2525">
        <v>0</v>
      </c>
      <c r="BC2525">
        <v>0</v>
      </c>
      <c r="BD2525">
        <v>0</v>
      </c>
      <c r="BE2525">
        <v>0</v>
      </c>
      <c r="BF2525">
        <v>0</v>
      </c>
      <c r="BG2525">
        <v>0</v>
      </c>
      <c r="BH2525">
        <v>1</v>
      </c>
      <c r="BI2525">
        <v>1</v>
      </c>
      <c r="BJ2525">
        <v>0.2</v>
      </c>
      <c r="BK2525">
        <v>1</v>
      </c>
      <c r="BL2525">
        <v>69.98</v>
      </c>
      <c r="BM2525">
        <v>10.5</v>
      </c>
      <c r="BN2525">
        <v>80.48</v>
      </c>
      <c r="BO2525">
        <v>80.48</v>
      </c>
      <c r="BQ2525" t="s">
        <v>564</v>
      </c>
      <c r="BR2525" t="s">
        <v>84</v>
      </c>
      <c r="BS2525" s="3">
        <v>45798</v>
      </c>
      <c r="BT2525" s="4">
        <v>0.35833333333333334</v>
      </c>
      <c r="BU2525" t="s">
        <v>987</v>
      </c>
      <c r="BV2525" t="s">
        <v>86</v>
      </c>
      <c r="BY2525">
        <v>1200</v>
      </c>
      <c r="CA2525" t="s">
        <v>566</v>
      </c>
      <c r="CC2525" t="s">
        <v>91</v>
      </c>
      <c r="CD2525">
        <v>6001</v>
      </c>
      <c r="CE2525" t="s">
        <v>88</v>
      </c>
      <c r="CF2525" s="3">
        <v>45798</v>
      </c>
      <c r="CI2525">
        <v>1</v>
      </c>
      <c r="CJ2525">
        <v>1</v>
      </c>
      <c r="CK2525">
        <v>21</v>
      </c>
      <c r="CL2525" t="s">
        <v>89</v>
      </c>
    </row>
    <row r="2526" spans="1:90" x14ac:dyDescent="0.3">
      <c r="A2526" t="s">
        <v>72</v>
      </c>
      <c r="B2526" t="s">
        <v>73</v>
      </c>
      <c r="C2526" t="s">
        <v>74</v>
      </c>
      <c r="E2526" t="str">
        <f>"080065474157"</f>
        <v>080065474157</v>
      </c>
      <c r="F2526" s="3">
        <v>45797</v>
      </c>
      <c r="G2526">
        <v>202602</v>
      </c>
      <c r="H2526" t="s">
        <v>75</v>
      </c>
      <c r="I2526" t="s">
        <v>76</v>
      </c>
      <c r="J2526" t="s">
        <v>77</v>
      </c>
      <c r="K2526" t="s">
        <v>78</v>
      </c>
      <c r="L2526" t="s">
        <v>463</v>
      </c>
      <c r="M2526" t="s">
        <v>464</v>
      </c>
      <c r="N2526" t="s">
        <v>744</v>
      </c>
      <c r="O2526" t="s">
        <v>82</v>
      </c>
      <c r="P2526" t="str">
        <f>"4170039577                    "</f>
        <v xml:space="preserve">4170039577                    </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0</v>
      </c>
      <c r="AJ2526">
        <v>0</v>
      </c>
      <c r="AK2526">
        <v>0</v>
      </c>
      <c r="AL2526">
        <v>0</v>
      </c>
      <c r="AM2526">
        <v>0</v>
      </c>
      <c r="AN2526">
        <v>0</v>
      </c>
      <c r="AO2526">
        <v>0</v>
      </c>
      <c r="AP2526">
        <v>0</v>
      </c>
      <c r="AQ2526">
        <v>21.38</v>
      </c>
      <c r="AR2526">
        <v>0</v>
      </c>
      <c r="AS2526">
        <v>0</v>
      </c>
      <c r="AT2526">
        <v>0</v>
      </c>
      <c r="AU2526">
        <v>0</v>
      </c>
      <c r="AV2526">
        <v>0</v>
      </c>
      <c r="AW2526">
        <v>0</v>
      </c>
      <c r="AX2526">
        <v>0</v>
      </c>
      <c r="AY2526">
        <v>0</v>
      </c>
      <c r="AZ2526">
        <v>0</v>
      </c>
      <c r="BA2526">
        <v>0</v>
      </c>
      <c r="BB2526">
        <v>0</v>
      </c>
      <c r="BC2526">
        <v>0</v>
      </c>
      <c r="BD2526">
        <v>0</v>
      </c>
      <c r="BE2526">
        <v>0</v>
      </c>
      <c r="BF2526">
        <v>0</v>
      </c>
      <c r="BG2526">
        <v>0</v>
      </c>
      <c r="BH2526">
        <v>1</v>
      </c>
      <c r="BI2526">
        <v>1</v>
      </c>
      <c r="BJ2526">
        <v>1.7</v>
      </c>
      <c r="BK2526">
        <v>2</v>
      </c>
      <c r="BL2526">
        <v>69.98</v>
      </c>
      <c r="BM2526">
        <v>10.5</v>
      </c>
      <c r="BN2526">
        <v>80.48</v>
      </c>
      <c r="BO2526">
        <v>80.48</v>
      </c>
      <c r="BQ2526" t="s">
        <v>745</v>
      </c>
      <c r="BR2526" t="s">
        <v>84</v>
      </c>
      <c r="BS2526" s="3">
        <v>45798</v>
      </c>
      <c r="BT2526" s="4">
        <v>0.48333333333333334</v>
      </c>
      <c r="BU2526" t="s">
        <v>746</v>
      </c>
      <c r="BV2526" t="s">
        <v>89</v>
      </c>
      <c r="BY2526">
        <v>8512</v>
      </c>
      <c r="CA2526" t="s">
        <v>588</v>
      </c>
      <c r="CC2526" t="s">
        <v>464</v>
      </c>
      <c r="CD2526">
        <v>5201</v>
      </c>
      <c r="CE2526" t="s">
        <v>96</v>
      </c>
      <c r="CF2526" s="3">
        <v>45798</v>
      </c>
      <c r="CI2526">
        <v>1</v>
      </c>
      <c r="CJ2526">
        <v>1</v>
      </c>
      <c r="CK2526">
        <v>21</v>
      </c>
      <c r="CL2526" t="s">
        <v>89</v>
      </c>
    </row>
    <row r="2527" spans="1:90" x14ac:dyDescent="0.3">
      <c r="A2527" t="s">
        <v>72</v>
      </c>
      <c r="B2527" t="s">
        <v>73</v>
      </c>
      <c r="C2527" t="s">
        <v>74</v>
      </c>
      <c r="E2527" t="str">
        <f>"080065474169"</f>
        <v>080065474169</v>
      </c>
      <c r="F2527" s="3">
        <v>45797</v>
      </c>
      <c r="G2527">
        <v>202602</v>
      </c>
      <c r="H2527" t="s">
        <v>75</v>
      </c>
      <c r="I2527" t="s">
        <v>76</v>
      </c>
      <c r="J2527" t="s">
        <v>77</v>
      </c>
      <c r="K2527" t="s">
        <v>78</v>
      </c>
      <c r="L2527" t="s">
        <v>97</v>
      </c>
      <c r="M2527" t="s">
        <v>98</v>
      </c>
      <c r="N2527" t="s">
        <v>2755</v>
      </c>
      <c r="O2527" t="s">
        <v>82</v>
      </c>
      <c r="P2527" t="str">
        <f>"4170039634                    "</f>
        <v xml:space="preserve">4170039634                    </v>
      </c>
      <c r="Q2527">
        <v>0</v>
      </c>
      <c r="R2527">
        <v>0</v>
      </c>
      <c r="S2527">
        <v>0</v>
      </c>
      <c r="T2527">
        <v>0</v>
      </c>
      <c r="U2527">
        <v>0</v>
      </c>
      <c r="V2527">
        <v>0</v>
      </c>
      <c r="W2527">
        <v>0</v>
      </c>
      <c r="X2527">
        <v>0</v>
      </c>
      <c r="Y2527">
        <v>0</v>
      </c>
      <c r="Z2527">
        <v>0</v>
      </c>
      <c r="AA2527">
        <v>0</v>
      </c>
      <c r="AB2527">
        <v>0</v>
      </c>
      <c r="AC2527">
        <v>0</v>
      </c>
      <c r="AD2527">
        <v>0</v>
      </c>
      <c r="AE2527">
        <v>0</v>
      </c>
      <c r="AF2527">
        <v>0</v>
      </c>
      <c r="AG2527">
        <v>0</v>
      </c>
      <c r="AH2527">
        <v>0</v>
      </c>
      <c r="AI2527">
        <v>0</v>
      </c>
      <c r="AJ2527">
        <v>0</v>
      </c>
      <c r="AK2527">
        <v>0</v>
      </c>
      <c r="AL2527">
        <v>0</v>
      </c>
      <c r="AM2527">
        <v>0</v>
      </c>
      <c r="AN2527">
        <v>0</v>
      </c>
      <c r="AO2527">
        <v>0</v>
      </c>
      <c r="AP2527">
        <v>0</v>
      </c>
      <c r="AQ2527">
        <v>16.7</v>
      </c>
      <c r="AR2527">
        <v>0</v>
      </c>
      <c r="AS2527">
        <v>0</v>
      </c>
      <c r="AT2527">
        <v>0</v>
      </c>
      <c r="AU2527">
        <v>0</v>
      </c>
      <c r="AV2527">
        <v>0</v>
      </c>
      <c r="AW2527">
        <v>0</v>
      </c>
      <c r="AX2527">
        <v>0</v>
      </c>
      <c r="AY2527">
        <v>0</v>
      </c>
      <c r="AZ2527">
        <v>0</v>
      </c>
      <c r="BA2527">
        <v>0</v>
      </c>
      <c r="BB2527">
        <v>0</v>
      </c>
      <c r="BC2527">
        <v>0</v>
      </c>
      <c r="BD2527">
        <v>0</v>
      </c>
      <c r="BE2527">
        <v>0</v>
      </c>
      <c r="BF2527">
        <v>0</v>
      </c>
      <c r="BG2527">
        <v>0</v>
      </c>
      <c r="BH2527">
        <v>1</v>
      </c>
      <c r="BI2527">
        <v>1</v>
      </c>
      <c r="BJ2527">
        <v>0.2</v>
      </c>
      <c r="BK2527">
        <v>1</v>
      </c>
      <c r="BL2527">
        <v>54.66</v>
      </c>
      <c r="BM2527">
        <v>8.1999999999999993</v>
      </c>
      <c r="BN2527">
        <v>62.86</v>
      </c>
      <c r="BO2527">
        <v>62.86</v>
      </c>
      <c r="BQ2527" t="s">
        <v>2756</v>
      </c>
      <c r="BR2527" t="s">
        <v>84</v>
      </c>
      <c r="BS2527" s="3">
        <v>45798</v>
      </c>
      <c r="BT2527" s="4">
        <v>0.39166666666666666</v>
      </c>
      <c r="BU2527" t="s">
        <v>2757</v>
      </c>
      <c r="BV2527" t="s">
        <v>86</v>
      </c>
      <c r="BY2527">
        <v>1200</v>
      </c>
      <c r="CA2527" t="s">
        <v>1320</v>
      </c>
      <c r="CC2527" t="s">
        <v>98</v>
      </c>
      <c r="CD2527">
        <v>1459</v>
      </c>
      <c r="CE2527" t="s">
        <v>88</v>
      </c>
      <c r="CF2527" s="3">
        <v>45798</v>
      </c>
      <c r="CI2527">
        <v>1</v>
      </c>
      <c r="CJ2527">
        <v>1</v>
      </c>
      <c r="CK2527">
        <v>22</v>
      </c>
      <c r="CL2527" t="s">
        <v>89</v>
      </c>
    </row>
    <row r="2528" spans="1:90" x14ac:dyDescent="0.3">
      <c r="A2528" t="s">
        <v>72</v>
      </c>
      <c r="B2528" t="s">
        <v>73</v>
      </c>
      <c r="C2528" t="s">
        <v>74</v>
      </c>
      <c r="E2528" t="str">
        <f>"080065474223"</f>
        <v>080065474223</v>
      </c>
      <c r="F2528" s="3">
        <v>45797</v>
      </c>
      <c r="G2528">
        <v>202602</v>
      </c>
      <c r="H2528" t="s">
        <v>75</v>
      </c>
      <c r="I2528" t="s">
        <v>76</v>
      </c>
      <c r="J2528" t="s">
        <v>77</v>
      </c>
      <c r="K2528" t="s">
        <v>78</v>
      </c>
      <c r="L2528" t="s">
        <v>136</v>
      </c>
      <c r="M2528" t="s">
        <v>137</v>
      </c>
      <c r="N2528" t="s">
        <v>776</v>
      </c>
      <c r="O2528" t="s">
        <v>82</v>
      </c>
      <c r="P2528" t="str">
        <f>"4170039582                    "</f>
        <v xml:space="preserve">4170039582                    </v>
      </c>
      <c r="Q2528">
        <v>0</v>
      </c>
      <c r="R2528">
        <v>0</v>
      </c>
      <c r="S2528">
        <v>0</v>
      </c>
      <c r="T2528">
        <v>0</v>
      </c>
      <c r="U2528">
        <v>0</v>
      </c>
      <c r="V2528">
        <v>0</v>
      </c>
      <c r="W2528">
        <v>0</v>
      </c>
      <c r="X2528">
        <v>0</v>
      </c>
      <c r="Y2528">
        <v>0</v>
      </c>
      <c r="Z2528">
        <v>0</v>
      </c>
      <c r="AA2528">
        <v>0</v>
      </c>
      <c r="AB2528">
        <v>0</v>
      </c>
      <c r="AC2528">
        <v>0</v>
      </c>
      <c r="AD2528">
        <v>0</v>
      </c>
      <c r="AE2528">
        <v>0</v>
      </c>
      <c r="AF2528">
        <v>0</v>
      </c>
      <c r="AG2528">
        <v>0</v>
      </c>
      <c r="AH2528">
        <v>0</v>
      </c>
      <c r="AI2528">
        <v>0</v>
      </c>
      <c r="AJ2528">
        <v>0</v>
      </c>
      <c r="AK2528">
        <v>0</v>
      </c>
      <c r="AL2528">
        <v>0</v>
      </c>
      <c r="AM2528">
        <v>0</v>
      </c>
      <c r="AN2528">
        <v>0</v>
      </c>
      <c r="AO2528">
        <v>0</v>
      </c>
      <c r="AP2528">
        <v>0</v>
      </c>
      <c r="AQ2528">
        <v>21.38</v>
      </c>
      <c r="AR2528">
        <v>0</v>
      </c>
      <c r="AS2528">
        <v>0</v>
      </c>
      <c r="AT2528">
        <v>0</v>
      </c>
      <c r="AU2528">
        <v>0</v>
      </c>
      <c r="AV2528">
        <v>0</v>
      </c>
      <c r="AW2528">
        <v>0</v>
      </c>
      <c r="AX2528">
        <v>0</v>
      </c>
      <c r="AY2528">
        <v>0</v>
      </c>
      <c r="AZ2528">
        <v>0</v>
      </c>
      <c r="BA2528">
        <v>0</v>
      </c>
      <c r="BB2528">
        <v>0</v>
      </c>
      <c r="BC2528">
        <v>0</v>
      </c>
      <c r="BD2528">
        <v>0</v>
      </c>
      <c r="BE2528">
        <v>0</v>
      </c>
      <c r="BF2528">
        <v>0</v>
      </c>
      <c r="BG2528">
        <v>0</v>
      </c>
      <c r="BH2528">
        <v>1</v>
      </c>
      <c r="BI2528">
        <v>1</v>
      </c>
      <c r="BJ2528">
        <v>0.9</v>
      </c>
      <c r="BK2528">
        <v>1</v>
      </c>
      <c r="BL2528">
        <v>69.98</v>
      </c>
      <c r="BM2528">
        <v>10.5</v>
      </c>
      <c r="BN2528">
        <v>80.48</v>
      </c>
      <c r="BO2528">
        <v>80.48</v>
      </c>
      <c r="BQ2528" t="s">
        <v>777</v>
      </c>
      <c r="BR2528" t="s">
        <v>84</v>
      </c>
      <c r="BS2528" s="3">
        <v>45798</v>
      </c>
      <c r="BT2528" s="4">
        <v>0.33124999999999999</v>
      </c>
      <c r="BU2528" t="s">
        <v>778</v>
      </c>
      <c r="BV2528" t="s">
        <v>86</v>
      </c>
      <c r="BY2528">
        <v>4275</v>
      </c>
      <c r="CA2528" t="s">
        <v>907</v>
      </c>
      <c r="CC2528" t="s">
        <v>137</v>
      </c>
      <c r="CD2528" s="5" t="s">
        <v>738</v>
      </c>
      <c r="CE2528" t="s">
        <v>96</v>
      </c>
      <c r="CF2528" s="3">
        <v>45798</v>
      </c>
      <c r="CI2528">
        <v>1</v>
      </c>
      <c r="CJ2528">
        <v>1</v>
      </c>
      <c r="CK2528">
        <v>21</v>
      </c>
      <c r="CL2528" t="s">
        <v>89</v>
      </c>
    </row>
    <row r="2529" spans="1:90" x14ac:dyDescent="0.3">
      <c r="A2529" t="s">
        <v>72</v>
      </c>
      <c r="B2529" t="s">
        <v>73</v>
      </c>
      <c r="C2529" t="s">
        <v>74</v>
      </c>
      <c r="E2529" t="str">
        <f>"080065474254"</f>
        <v>080065474254</v>
      </c>
      <c r="F2529" s="3">
        <v>45797</v>
      </c>
      <c r="G2529">
        <v>202602</v>
      </c>
      <c r="H2529" t="s">
        <v>75</v>
      </c>
      <c r="I2529" t="s">
        <v>76</v>
      </c>
      <c r="J2529" t="s">
        <v>77</v>
      </c>
      <c r="K2529" t="s">
        <v>78</v>
      </c>
      <c r="L2529" t="s">
        <v>103</v>
      </c>
      <c r="M2529" t="s">
        <v>104</v>
      </c>
      <c r="N2529" t="s">
        <v>105</v>
      </c>
      <c r="O2529" t="s">
        <v>82</v>
      </c>
      <c r="P2529" t="str">
        <f>"4170039564                    "</f>
        <v xml:space="preserve">4170039564                    </v>
      </c>
      <c r="Q2529">
        <v>0</v>
      </c>
      <c r="R2529">
        <v>0</v>
      </c>
      <c r="S2529">
        <v>0</v>
      </c>
      <c r="T2529">
        <v>0</v>
      </c>
      <c r="U2529">
        <v>0</v>
      </c>
      <c r="V2529">
        <v>0</v>
      </c>
      <c r="W2529">
        <v>0</v>
      </c>
      <c r="X2529">
        <v>0</v>
      </c>
      <c r="Y2529">
        <v>0</v>
      </c>
      <c r="Z2529">
        <v>0</v>
      </c>
      <c r="AA2529">
        <v>0</v>
      </c>
      <c r="AB2529">
        <v>0</v>
      </c>
      <c r="AC2529">
        <v>0</v>
      </c>
      <c r="AD2529">
        <v>0</v>
      </c>
      <c r="AE2529">
        <v>0</v>
      </c>
      <c r="AF2529">
        <v>0</v>
      </c>
      <c r="AG2529">
        <v>0</v>
      </c>
      <c r="AH2529">
        <v>0</v>
      </c>
      <c r="AI2529">
        <v>0</v>
      </c>
      <c r="AJ2529">
        <v>0</v>
      </c>
      <c r="AK2529">
        <v>0</v>
      </c>
      <c r="AL2529">
        <v>0</v>
      </c>
      <c r="AM2529">
        <v>0</v>
      </c>
      <c r="AN2529">
        <v>0</v>
      </c>
      <c r="AO2529">
        <v>0</v>
      </c>
      <c r="AP2529">
        <v>0</v>
      </c>
      <c r="AQ2529">
        <v>21.38</v>
      </c>
      <c r="AR2529">
        <v>0</v>
      </c>
      <c r="AS2529">
        <v>0</v>
      </c>
      <c r="AT2529">
        <v>0</v>
      </c>
      <c r="AU2529">
        <v>0</v>
      </c>
      <c r="AV2529">
        <v>0</v>
      </c>
      <c r="AW2529">
        <v>0</v>
      </c>
      <c r="AX2529">
        <v>0</v>
      </c>
      <c r="AY2529">
        <v>0</v>
      </c>
      <c r="AZ2529">
        <v>0</v>
      </c>
      <c r="BA2529">
        <v>0</v>
      </c>
      <c r="BB2529">
        <v>0</v>
      </c>
      <c r="BC2529">
        <v>0</v>
      </c>
      <c r="BD2529">
        <v>0</v>
      </c>
      <c r="BE2529">
        <v>0</v>
      </c>
      <c r="BF2529">
        <v>0</v>
      </c>
      <c r="BG2529">
        <v>0</v>
      </c>
      <c r="BH2529">
        <v>1</v>
      </c>
      <c r="BI2529">
        <v>2</v>
      </c>
      <c r="BJ2529">
        <v>1.7</v>
      </c>
      <c r="BK2529">
        <v>2</v>
      </c>
      <c r="BL2529">
        <v>69.98</v>
      </c>
      <c r="BM2529">
        <v>10.5</v>
      </c>
      <c r="BN2529">
        <v>80.48</v>
      </c>
      <c r="BO2529">
        <v>80.48</v>
      </c>
      <c r="BQ2529" t="s">
        <v>106</v>
      </c>
      <c r="BR2529" t="s">
        <v>84</v>
      </c>
      <c r="BS2529" s="3">
        <v>45798</v>
      </c>
      <c r="BT2529" s="4">
        <v>0.41666666666666669</v>
      </c>
      <c r="BU2529" t="s">
        <v>107</v>
      </c>
      <c r="BV2529" t="s">
        <v>86</v>
      </c>
      <c r="BY2529">
        <v>8512</v>
      </c>
      <c r="CA2529" t="s">
        <v>108</v>
      </c>
      <c r="CC2529" t="s">
        <v>104</v>
      </c>
      <c r="CD2529">
        <v>3201</v>
      </c>
      <c r="CE2529" t="s">
        <v>116</v>
      </c>
      <c r="CF2529" s="3">
        <v>45799</v>
      </c>
      <c r="CI2529">
        <v>1</v>
      </c>
      <c r="CJ2529">
        <v>1</v>
      </c>
      <c r="CK2529">
        <v>21</v>
      </c>
      <c r="CL2529" t="s">
        <v>89</v>
      </c>
    </row>
    <row r="2530" spans="1:90" x14ac:dyDescent="0.3">
      <c r="A2530" t="s">
        <v>72</v>
      </c>
      <c r="B2530" t="s">
        <v>73</v>
      </c>
      <c r="C2530" t="s">
        <v>74</v>
      </c>
      <c r="E2530" t="str">
        <f>"080065473047"</f>
        <v>080065473047</v>
      </c>
      <c r="F2530" s="3">
        <v>45797</v>
      </c>
      <c r="G2530">
        <v>202602</v>
      </c>
      <c r="H2530" t="s">
        <v>75</v>
      </c>
      <c r="I2530" t="s">
        <v>76</v>
      </c>
      <c r="J2530" t="s">
        <v>77</v>
      </c>
      <c r="K2530" t="s">
        <v>78</v>
      </c>
      <c r="L2530" t="s">
        <v>90</v>
      </c>
      <c r="M2530" t="s">
        <v>91</v>
      </c>
      <c r="N2530" t="s">
        <v>563</v>
      </c>
      <c r="O2530" t="s">
        <v>82</v>
      </c>
      <c r="P2530" t="str">
        <f>"4170039628                    "</f>
        <v xml:space="preserve">4170039628                    </v>
      </c>
      <c r="Q2530">
        <v>0</v>
      </c>
      <c r="R2530">
        <v>0</v>
      </c>
      <c r="S2530">
        <v>0</v>
      </c>
      <c r="T2530">
        <v>0</v>
      </c>
      <c r="U2530">
        <v>0</v>
      </c>
      <c r="V2530">
        <v>0</v>
      </c>
      <c r="W2530">
        <v>0</v>
      </c>
      <c r="X2530">
        <v>0</v>
      </c>
      <c r="Y2530">
        <v>0</v>
      </c>
      <c r="Z2530">
        <v>0</v>
      </c>
      <c r="AA2530">
        <v>0</v>
      </c>
      <c r="AB2530">
        <v>0</v>
      </c>
      <c r="AC2530">
        <v>0</v>
      </c>
      <c r="AD2530">
        <v>0</v>
      </c>
      <c r="AE2530">
        <v>0</v>
      </c>
      <c r="AF2530">
        <v>0</v>
      </c>
      <c r="AG2530">
        <v>0</v>
      </c>
      <c r="AH2530">
        <v>0</v>
      </c>
      <c r="AI2530">
        <v>0</v>
      </c>
      <c r="AJ2530">
        <v>0</v>
      </c>
      <c r="AK2530">
        <v>0</v>
      </c>
      <c r="AL2530">
        <v>0</v>
      </c>
      <c r="AM2530">
        <v>0</v>
      </c>
      <c r="AN2530">
        <v>0</v>
      </c>
      <c r="AO2530">
        <v>0</v>
      </c>
      <c r="AP2530">
        <v>0</v>
      </c>
      <c r="AQ2530">
        <v>0</v>
      </c>
      <c r="AR2530">
        <v>0</v>
      </c>
      <c r="AS2530">
        <v>0</v>
      </c>
      <c r="AT2530">
        <v>0</v>
      </c>
      <c r="AU2530">
        <v>0</v>
      </c>
      <c r="AV2530">
        <v>0</v>
      </c>
      <c r="AW2530">
        <v>0</v>
      </c>
      <c r="AX2530">
        <v>0</v>
      </c>
      <c r="AY2530">
        <v>0</v>
      </c>
      <c r="AZ2530">
        <v>0</v>
      </c>
      <c r="BA2530">
        <v>0</v>
      </c>
      <c r="BB2530">
        <v>0</v>
      </c>
      <c r="BC2530">
        <v>0</v>
      </c>
      <c r="BD2530">
        <v>0</v>
      </c>
      <c r="BE2530">
        <v>0</v>
      </c>
      <c r="BF2530">
        <v>0</v>
      </c>
      <c r="BG2530">
        <v>0</v>
      </c>
      <c r="BH2530">
        <v>1</v>
      </c>
      <c r="BI2530">
        <v>1</v>
      </c>
      <c r="BJ2530">
        <v>0</v>
      </c>
      <c r="BK2530">
        <v>1</v>
      </c>
      <c r="BL2530">
        <v>0</v>
      </c>
      <c r="BM2530">
        <v>0</v>
      </c>
      <c r="BN2530">
        <v>0</v>
      </c>
      <c r="BO2530">
        <v>0</v>
      </c>
      <c r="BQ2530" t="s">
        <v>564</v>
      </c>
      <c r="BR2530" t="s">
        <v>84</v>
      </c>
      <c r="BS2530" s="3">
        <v>45797</v>
      </c>
      <c r="BT2530" s="4">
        <v>0.67500000000000004</v>
      </c>
      <c r="BU2530" t="s">
        <v>1663</v>
      </c>
      <c r="BV2530" t="s">
        <v>86</v>
      </c>
      <c r="BY2530">
        <v>1200</v>
      </c>
      <c r="BZ2530" t="s">
        <v>127</v>
      </c>
      <c r="CA2530" t="s">
        <v>2758</v>
      </c>
      <c r="CC2530" t="s">
        <v>91</v>
      </c>
      <c r="CD2530">
        <v>6001</v>
      </c>
      <c r="CE2530" t="s">
        <v>129</v>
      </c>
      <c r="CF2530" s="3">
        <v>45800</v>
      </c>
      <c r="CI2530">
        <v>1</v>
      </c>
      <c r="CJ2530">
        <v>0</v>
      </c>
      <c r="CK2530">
        <v>-1</v>
      </c>
      <c r="CL2530" t="s">
        <v>89</v>
      </c>
    </row>
    <row r="2531" spans="1:90" x14ac:dyDescent="0.3">
      <c r="A2531" t="s">
        <v>72</v>
      </c>
      <c r="B2531" t="s">
        <v>73</v>
      </c>
      <c r="C2531" t="s">
        <v>74</v>
      </c>
      <c r="E2531" t="str">
        <f>"080065468037"</f>
        <v>080065468037</v>
      </c>
      <c r="F2531" s="3">
        <v>45797</v>
      </c>
      <c r="G2531">
        <v>202602</v>
      </c>
      <c r="H2531" t="s">
        <v>75</v>
      </c>
      <c r="I2531" t="s">
        <v>76</v>
      </c>
      <c r="J2531" t="s">
        <v>77</v>
      </c>
      <c r="K2531" t="s">
        <v>78</v>
      </c>
      <c r="L2531" t="s">
        <v>2759</v>
      </c>
      <c r="M2531" t="s">
        <v>2760</v>
      </c>
      <c r="N2531" t="s">
        <v>2761</v>
      </c>
      <c r="O2531" t="s">
        <v>300</v>
      </c>
      <c r="P2531" t="str">
        <f>"4170039641                    "</f>
        <v xml:space="preserve">4170039641                    </v>
      </c>
      <c r="Q2531">
        <v>0</v>
      </c>
      <c r="R2531">
        <v>0</v>
      </c>
      <c r="S2531">
        <v>0</v>
      </c>
      <c r="T2531">
        <v>0</v>
      </c>
      <c r="U2531">
        <v>0</v>
      </c>
      <c r="V2531">
        <v>0</v>
      </c>
      <c r="W2531">
        <v>0</v>
      </c>
      <c r="X2531">
        <v>0</v>
      </c>
      <c r="Y2531">
        <v>0</v>
      </c>
      <c r="Z2531">
        <v>0</v>
      </c>
      <c r="AA2531">
        <v>0</v>
      </c>
      <c r="AB2531">
        <v>0</v>
      </c>
      <c r="AC2531">
        <v>0</v>
      </c>
      <c r="AD2531">
        <v>0</v>
      </c>
      <c r="AE2531">
        <v>0</v>
      </c>
      <c r="AF2531">
        <v>0</v>
      </c>
      <c r="AG2531">
        <v>0</v>
      </c>
      <c r="AH2531">
        <v>0</v>
      </c>
      <c r="AI2531">
        <v>0</v>
      </c>
      <c r="AJ2531">
        <v>0</v>
      </c>
      <c r="AK2531">
        <v>0</v>
      </c>
      <c r="AL2531">
        <v>0</v>
      </c>
      <c r="AM2531">
        <v>0</v>
      </c>
      <c r="AN2531">
        <v>0</v>
      </c>
      <c r="AO2531">
        <v>0</v>
      </c>
      <c r="AP2531">
        <v>0</v>
      </c>
      <c r="AQ2531">
        <v>1619.21</v>
      </c>
      <c r="AR2531">
        <v>0</v>
      </c>
      <c r="AS2531">
        <v>0</v>
      </c>
      <c r="AT2531">
        <v>0</v>
      </c>
      <c r="AU2531">
        <v>0</v>
      </c>
      <c r="AV2531">
        <v>0</v>
      </c>
      <c r="AW2531">
        <v>0</v>
      </c>
      <c r="AX2531">
        <v>0</v>
      </c>
      <c r="AY2531">
        <v>0</v>
      </c>
      <c r="AZ2531">
        <v>0</v>
      </c>
      <c r="BA2531">
        <v>0</v>
      </c>
      <c r="BB2531">
        <v>0</v>
      </c>
      <c r="BC2531">
        <v>0</v>
      </c>
      <c r="BD2531">
        <v>0</v>
      </c>
      <c r="BE2531">
        <v>0</v>
      </c>
      <c r="BF2531">
        <v>0</v>
      </c>
      <c r="BG2531">
        <v>0</v>
      </c>
      <c r="BH2531">
        <v>2</v>
      </c>
      <c r="BI2531">
        <v>214</v>
      </c>
      <c r="BJ2531">
        <v>538.9</v>
      </c>
      <c r="BK2531">
        <v>539</v>
      </c>
      <c r="BL2531">
        <v>5304.81</v>
      </c>
      <c r="BM2531">
        <v>795.72</v>
      </c>
      <c r="BN2531">
        <v>6100.53</v>
      </c>
      <c r="BO2531">
        <v>6100.53</v>
      </c>
      <c r="BQ2531" t="s">
        <v>2762</v>
      </c>
      <c r="BR2531" t="s">
        <v>84</v>
      </c>
      <c r="BS2531" s="3">
        <v>45799</v>
      </c>
      <c r="BT2531" s="4">
        <v>0.47083333333333333</v>
      </c>
      <c r="BU2531" t="s">
        <v>2763</v>
      </c>
      <c r="BV2531" t="s">
        <v>89</v>
      </c>
      <c r="BW2531" t="s">
        <v>1905</v>
      </c>
      <c r="BX2531" t="s">
        <v>1365</v>
      </c>
      <c r="BY2531">
        <v>2694295</v>
      </c>
      <c r="CC2531" t="s">
        <v>2760</v>
      </c>
      <c r="CD2531">
        <v>4170</v>
      </c>
      <c r="CE2531" t="s">
        <v>546</v>
      </c>
      <c r="CF2531" s="3">
        <v>45800</v>
      </c>
      <c r="CI2531">
        <v>1</v>
      </c>
      <c r="CJ2531">
        <v>2</v>
      </c>
      <c r="CK2531">
        <v>43</v>
      </c>
      <c r="CL2531" t="s">
        <v>89</v>
      </c>
    </row>
    <row r="2532" spans="1:90" x14ac:dyDescent="0.3">
      <c r="A2532" t="s">
        <v>72</v>
      </c>
      <c r="B2532" t="s">
        <v>73</v>
      </c>
      <c r="C2532" t="s">
        <v>74</v>
      </c>
      <c r="E2532" t="str">
        <f>"R080065438262"</f>
        <v>R080065438262</v>
      </c>
      <c r="F2532" s="3">
        <v>45798</v>
      </c>
      <c r="G2532">
        <v>202602</v>
      </c>
      <c r="H2532" t="s">
        <v>2485</v>
      </c>
      <c r="I2532" t="s">
        <v>2486</v>
      </c>
      <c r="J2532" t="s">
        <v>2764</v>
      </c>
      <c r="K2532" t="s">
        <v>78</v>
      </c>
      <c r="L2532" t="s">
        <v>2485</v>
      </c>
      <c r="M2532" t="s">
        <v>2486</v>
      </c>
      <c r="N2532" t="s">
        <v>2509</v>
      </c>
      <c r="O2532" t="s">
        <v>300</v>
      </c>
      <c r="P2532" t="str">
        <f>"4170038919                    "</f>
        <v xml:space="preserve">4170038919                    </v>
      </c>
      <c r="Q2532">
        <v>0</v>
      </c>
      <c r="R2532">
        <v>0</v>
      </c>
      <c r="S2532">
        <v>0</v>
      </c>
      <c r="T2532">
        <v>0</v>
      </c>
      <c r="U2532">
        <v>0</v>
      </c>
      <c r="V2532">
        <v>0</v>
      </c>
      <c r="W2532">
        <v>0</v>
      </c>
      <c r="X2532">
        <v>0</v>
      </c>
      <c r="Y2532">
        <v>0</v>
      </c>
      <c r="Z2532">
        <v>0</v>
      </c>
      <c r="AA2532">
        <v>0</v>
      </c>
      <c r="AB2532">
        <v>0</v>
      </c>
      <c r="AC2532">
        <v>0</v>
      </c>
      <c r="AD2532">
        <v>0</v>
      </c>
      <c r="AE2532">
        <v>0</v>
      </c>
      <c r="AF2532">
        <v>0</v>
      </c>
      <c r="AG2532">
        <v>0</v>
      </c>
      <c r="AH2532">
        <v>0</v>
      </c>
      <c r="AI2532">
        <v>0</v>
      </c>
      <c r="AJ2532">
        <v>0</v>
      </c>
      <c r="AK2532">
        <v>0</v>
      </c>
      <c r="AL2532">
        <v>0</v>
      </c>
      <c r="AM2532">
        <v>0</v>
      </c>
      <c r="AN2532">
        <v>0</v>
      </c>
      <c r="AO2532">
        <v>0</v>
      </c>
      <c r="AP2532">
        <v>0</v>
      </c>
      <c r="AQ2532">
        <v>58.32</v>
      </c>
      <c r="AR2532">
        <v>0</v>
      </c>
      <c r="AS2532">
        <v>0</v>
      </c>
      <c r="AT2532">
        <v>0</v>
      </c>
      <c r="AU2532">
        <v>0</v>
      </c>
      <c r="AV2532">
        <v>0</v>
      </c>
      <c r="AW2532">
        <v>0</v>
      </c>
      <c r="AX2532">
        <v>0</v>
      </c>
      <c r="AY2532">
        <v>0</v>
      </c>
      <c r="AZ2532">
        <v>0</v>
      </c>
      <c r="BA2532">
        <v>0</v>
      </c>
      <c r="BB2532">
        <v>0</v>
      </c>
      <c r="BC2532">
        <v>0</v>
      </c>
      <c r="BD2532">
        <v>0</v>
      </c>
      <c r="BE2532">
        <v>0</v>
      </c>
      <c r="BF2532">
        <v>0</v>
      </c>
      <c r="BG2532">
        <v>0</v>
      </c>
      <c r="BH2532">
        <v>1</v>
      </c>
      <c r="BI2532">
        <v>3</v>
      </c>
      <c r="BJ2532">
        <v>4.5</v>
      </c>
      <c r="BK2532">
        <v>5</v>
      </c>
      <c r="BL2532">
        <v>196.44</v>
      </c>
      <c r="BM2532">
        <v>29.47</v>
      </c>
      <c r="BN2532">
        <v>225.91</v>
      </c>
      <c r="BO2532">
        <v>225.91</v>
      </c>
      <c r="BQ2532" t="s">
        <v>2510</v>
      </c>
      <c r="BR2532" t="s">
        <v>2510</v>
      </c>
      <c r="BS2532" s="3">
        <v>45798</v>
      </c>
      <c r="BT2532" s="4">
        <v>0.42916666666666664</v>
      </c>
      <c r="BU2532" t="s">
        <v>2765</v>
      </c>
      <c r="BV2532" t="s">
        <v>86</v>
      </c>
      <c r="BY2532">
        <v>22344</v>
      </c>
      <c r="BZ2532" t="s">
        <v>2515</v>
      </c>
      <c r="CA2532" t="s">
        <v>2490</v>
      </c>
      <c r="CC2532" t="s">
        <v>2486</v>
      </c>
      <c r="CD2532">
        <v>3900</v>
      </c>
      <c r="CE2532" t="s">
        <v>221</v>
      </c>
      <c r="CF2532" s="3">
        <v>45798</v>
      </c>
      <c r="CI2532">
        <v>1</v>
      </c>
      <c r="CJ2532">
        <v>0</v>
      </c>
      <c r="CK2532">
        <v>43</v>
      </c>
      <c r="CL2532" t="s">
        <v>89</v>
      </c>
    </row>
    <row r="2533" spans="1:90" x14ac:dyDescent="0.3">
      <c r="A2533" t="s">
        <v>72</v>
      </c>
      <c r="B2533" t="s">
        <v>73</v>
      </c>
      <c r="C2533" t="s">
        <v>74</v>
      </c>
      <c r="E2533" t="str">
        <f>"080065486866"</f>
        <v>080065486866</v>
      </c>
      <c r="F2533" s="3">
        <v>45798</v>
      </c>
      <c r="G2533">
        <v>202602</v>
      </c>
      <c r="H2533" t="s">
        <v>75</v>
      </c>
      <c r="I2533" t="s">
        <v>76</v>
      </c>
      <c r="J2533" t="s">
        <v>77</v>
      </c>
      <c r="K2533" t="s">
        <v>78</v>
      </c>
      <c r="L2533" t="s">
        <v>117</v>
      </c>
      <c r="M2533" t="s">
        <v>118</v>
      </c>
      <c r="N2533" t="s">
        <v>1533</v>
      </c>
      <c r="O2533" t="s">
        <v>82</v>
      </c>
      <c r="P2533" t="str">
        <f>"4170039614                    "</f>
        <v xml:space="preserve">4170039614                    </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c r="AI2533">
        <v>0</v>
      </c>
      <c r="AJ2533">
        <v>0</v>
      </c>
      <c r="AK2533">
        <v>0</v>
      </c>
      <c r="AL2533">
        <v>0</v>
      </c>
      <c r="AM2533">
        <v>0</v>
      </c>
      <c r="AN2533">
        <v>0</v>
      </c>
      <c r="AO2533">
        <v>0</v>
      </c>
      <c r="AP2533">
        <v>0</v>
      </c>
      <c r="AQ2533">
        <v>16.7</v>
      </c>
      <c r="AR2533">
        <v>0</v>
      </c>
      <c r="AS2533">
        <v>0</v>
      </c>
      <c r="AT2533">
        <v>0</v>
      </c>
      <c r="AU2533">
        <v>0</v>
      </c>
      <c r="AV2533">
        <v>0</v>
      </c>
      <c r="AW2533">
        <v>0</v>
      </c>
      <c r="AX2533">
        <v>0</v>
      </c>
      <c r="AY2533">
        <v>0</v>
      </c>
      <c r="AZ2533">
        <v>0</v>
      </c>
      <c r="BA2533">
        <v>0</v>
      </c>
      <c r="BB2533">
        <v>0</v>
      </c>
      <c r="BC2533">
        <v>0</v>
      </c>
      <c r="BD2533">
        <v>0</v>
      </c>
      <c r="BE2533">
        <v>0</v>
      </c>
      <c r="BF2533">
        <v>0</v>
      </c>
      <c r="BG2533">
        <v>0</v>
      </c>
      <c r="BH2533">
        <v>1</v>
      </c>
      <c r="BI2533">
        <v>1</v>
      </c>
      <c r="BJ2533">
        <v>0.2</v>
      </c>
      <c r="BK2533">
        <v>1</v>
      </c>
      <c r="BL2533">
        <v>54.66</v>
      </c>
      <c r="BM2533">
        <v>8.1999999999999993</v>
      </c>
      <c r="BN2533">
        <v>62.86</v>
      </c>
      <c r="BO2533">
        <v>62.86</v>
      </c>
      <c r="BQ2533" t="s">
        <v>1534</v>
      </c>
      <c r="BR2533" t="s">
        <v>84</v>
      </c>
      <c r="BS2533" s="3">
        <v>45799</v>
      </c>
      <c r="BT2533" s="4">
        <v>0.40208333333333335</v>
      </c>
      <c r="BU2533" t="s">
        <v>1535</v>
      </c>
      <c r="BV2533" t="s">
        <v>86</v>
      </c>
      <c r="BY2533">
        <v>1200</v>
      </c>
      <c r="CA2533" t="s">
        <v>275</v>
      </c>
      <c r="CC2533" t="s">
        <v>118</v>
      </c>
      <c r="CD2533">
        <v>2091</v>
      </c>
      <c r="CE2533" t="s">
        <v>88</v>
      </c>
      <c r="CF2533" s="3">
        <v>45799</v>
      </c>
      <c r="CI2533">
        <v>1</v>
      </c>
      <c r="CJ2533">
        <v>1</v>
      </c>
      <c r="CK2533">
        <v>22</v>
      </c>
      <c r="CL2533" t="s">
        <v>89</v>
      </c>
    </row>
    <row r="2534" spans="1:90" x14ac:dyDescent="0.3">
      <c r="A2534" t="s">
        <v>72</v>
      </c>
      <c r="B2534" t="s">
        <v>73</v>
      </c>
      <c r="C2534" t="s">
        <v>74</v>
      </c>
      <c r="E2534" t="str">
        <f>"080065486951"</f>
        <v>080065486951</v>
      </c>
      <c r="F2534" s="3">
        <v>45798</v>
      </c>
      <c r="G2534">
        <v>202602</v>
      </c>
      <c r="H2534" t="s">
        <v>75</v>
      </c>
      <c r="I2534" t="s">
        <v>76</v>
      </c>
      <c r="J2534" t="s">
        <v>77</v>
      </c>
      <c r="K2534" t="s">
        <v>78</v>
      </c>
      <c r="L2534" t="s">
        <v>117</v>
      </c>
      <c r="M2534" t="s">
        <v>118</v>
      </c>
      <c r="N2534" t="s">
        <v>1533</v>
      </c>
      <c r="O2534" t="s">
        <v>82</v>
      </c>
      <c r="P2534" t="str">
        <f>"4170039872                    "</f>
        <v xml:space="preserve">4170039872                    </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c r="AI2534">
        <v>0</v>
      </c>
      <c r="AJ2534">
        <v>0</v>
      </c>
      <c r="AK2534">
        <v>0</v>
      </c>
      <c r="AL2534">
        <v>0</v>
      </c>
      <c r="AM2534">
        <v>0</v>
      </c>
      <c r="AN2534">
        <v>0</v>
      </c>
      <c r="AO2534">
        <v>0</v>
      </c>
      <c r="AP2534">
        <v>0</v>
      </c>
      <c r="AQ2534">
        <v>16.7</v>
      </c>
      <c r="AR2534">
        <v>0</v>
      </c>
      <c r="AS2534">
        <v>0</v>
      </c>
      <c r="AT2534">
        <v>0</v>
      </c>
      <c r="AU2534">
        <v>0</v>
      </c>
      <c r="AV2534">
        <v>0</v>
      </c>
      <c r="AW2534">
        <v>0</v>
      </c>
      <c r="AX2534">
        <v>0</v>
      </c>
      <c r="AY2534">
        <v>0</v>
      </c>
      <c r="AZ2534">
        <v>0</v>
      </c>
      <c r="BA2534">
        <v>0</v>
      </c>
      <c r="BB2534">
        <v>0</v>
      </c>
      <c r="BC2534">
        <v>0</v>
      </c>
      <c r="BD2534">
        <v>0</v>
      </c>
      <c r="BE2534">
        <v>0</v>
      </c>
      <c r="BF2534">
        <v>0</v>
      </c>
      <c r="BG2534">
        <v>0</v>
      </c>
      <c r="BH2534">
        <v>1</v>
      </c>
      <c r="BI2534">
        <v>1</v>
      </c>
      <c r="BJ2534">
        <v>0.2</v>
      </c>
      <c r="BK2534">
        <v>1</v>
      </c>
      <c r="BL2534">
        <v>54.66</v>
      </c>
      <c r="BM2534">
        <v>8.1999999999999993</v>
      </c>
      <c r="BN2534">
        <v>62.86</v>
      </c>
      <c r="BO2534">
        <v>62.86</v>
      </c>
      <c r="BQ2534" t="s">
        <v>1534</v>
      </c>
      <c r="BR2534" t="s">
        <v>84</v>
      </c>
      <c r="BS2534" s="3">
        <v>45799</v>
      </c>
      <c r="BT2534" s="4">
        <v>0.40208333333333335</v>
      </c>
      <c r="BU2534" t="s">
        <v>1535</v>
      </c>
      <c r="BV2534" t="s">
        <v>86</v>
      </c>
      <c r="BY2534">
        <v>1200</v>
      </c>
      <c r="CA2534" t="s">
        <v>275</v>
      </c>
      <c r="CC2534" t="s">
        <v>118</v>
      </c>
      <c r="CD2534">
        <v>2091</v>
      </c>
      <c r="CE2534" t="s">
        <v>88</v>
      </c>
      <c r="CF2534" s="3">
        <v>45799</v>
      </c>
      <c r="CI2534">
        <v>1</v>
      </c>
      <c r="CJ2534">
        <v>1</v>
      </c>
      <c r="CK2534">
        <v>22</v>
      </c>
      <c r="CL2534" t="s">
        <v>89</v>
      </c>
    </row>
    <row r="2535" spans="1:90" x14ac:dyDescent="0.3">
      <c r="A2535" t="s">
        <v>72</v>
      </c>
      <c r="B2535" t="s">
        <v>73</v>
      </c>
      <c r="C2535" t="s">
        <v>74</v>
      </c>
      <c r="E2535" t="str">
        <f>"080065487104"</f>
        <v>080065487104</v>
      </c>
      <c r="F2535" s="3">
        <v>45798</v>
      </c>
      <c r="G2535">
        <v>202602</v>
      </c>
      <c r="H2535" t="s">
        <v>75</v>
      </c>
      <c r="I2535" t="s">
        <v>76</v>
      </c>
      <c r="J2535" t="s">
        <v>77</v>
      </c>
      <c r="K2535" t="s">
        <v>78</v>
      </c>
      <c r="L2535" t="s">
        <v>136</v>
      </c>
      <c r="M2535" t="s">
        <v>137</v>
      </c>
      <c r="N2535" t="s">
        <v>925</v>
      </c>
      <c r="O2535" t="s">
        <v>300</v>
      </c>
      <c r="P2535" t="str">
        <f>"4170039559                    "</f>
        <v xml:space="preserve">4170039559                    </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c r="AI2535">
        <v>0</v>
      </c>
      <c r="AJ2535">
        <v>0</v>
      </c>
      <c r="AK2535">
        <v>0</v>
      </c>
      <c r="AL2535">
        <v>0</v>
      </c>
      <c r="AM2535">
        <v>0</v>
      </c>
      <c r="AN2535">
        <v>0</v>
      </c>
      <c r="AO2535">
        <v>0</v>
      </c>
      <c r="AP2535">
        <v>0</v>
      </c>
      <c r="AQ2535">
        <v>46.47</v>
      </c>
      <c r="AR2535">
        <v>0</v>
      </c>
      <c r="AS2535">
        <v>0</v>
      </c>
      <c r="AT2535">
        <v>0</v>
      </c>
      <c r="AU2535">
        <v>0</v>
      </c>
      <c r="AV2535">
        <v>0</v>
      </c>
      <c r="AW2535">
        <v>0</v>
      </c>
      <c r="AX2535">
        <v>0</v>
      </c>
      <c r="AY2535">
        <v>0</v>
      </c>
      <c r="AZ2535">
        <v>0</v>
      </c>
      <c r="BA2535">
        <v>0</v>
      </c>
      <c r="BB2535">
        <v>0</v>
      </c>
      <c r="BC2535">
        <v>0</v>
      </c>
      <c r="BD2535">
        <v>0</v>
      </c>
      <c r="BE2535">
        <v>0</v>
      </c>
      <c r="BF2535">
        <v>0</v>
      </c>
      <c r="BG2535">
        <v>0</v>
      </c>
      <c r="BH2535">
        <v>2</v>
      </c>
      <c r="BI2535">
        <v>18</v>
      </c>
      <c r="BJ2535">
        <v>7</v>
      </c>
      <c r="BK2535">
        <v>18</v>
      </c>
      <c r="BL2535">
        <v>157.66</v>
      </c>
      <c r="BM2535">
        <v>23.65</v>
      </c>
      <c r="BN2535">
        <v>181.31</v>
      </c>
      <c r="BO2535">
        <v>181.31</v>
      </c>
      <c r="BQ2535" t="s">
        <v>926</v>
      </c>
      <c r="BR2535" t="s">
        <v>84</v>
      </c>
      <c r="BS2535" s="3">
        <v>45799</v>
      </c>
      <c r="BT2535" s="4">
        <v>0.45555555555555555</v>
      </c>
      <c r="BU2535" t="s">
        <v>302</v>
      </c>
      <c r="BV2535" t="s">
        <v>86</v>
      </c>
      <c r="BY2535">
        <v>34800</v>
      </c>
      <c r="CA2535" t="s">
        <v>141</v>
      </c>
      <c r="CC2535" t="s">
        <v>137</v>
      </c>
      <c r="CD2535" s="5" t="s">
        <v>142</v>
      </c>
      <c r="CE2535" t="s">
        <v>221</v>
      </c>
      <c r="CF2535" s="3">
        <v>45799</v>
      </c>
      <c r="CI2535">
        <v>1</v>
      </c>
      <c r="CJ2535">
        <v>1</v>
      </c>
      <c r="CK2535">
        <v>41</v>
      </c>
      <c r="CL2535" t="s">
        <v>89</v>
      </c>
    </row>
    <row r="2536" spans="1:90" x14ac:dyDescent="0.3">
      <c r="A2536" t="s">
        <v>72</v>
      </c>
      <c r="B2536" t="s">
        <v>73</v>
      </c>
      <c r="C2536" t="s">
        <v>74</v>
      </c>
      <c r="E2536" t="str">
        <f>"080065487181"</f>
        <v>080065487181</v>
      </c>
      <c r="F2536" s="3">
        <v>45798</v>
      </c>
      <c r="G2536">
        <v>202602</v>
      </c>
      <c r="H2536" t="s">
        <v>75</v>
      </c>
      <c r="I2536" t="s">
        <v>76</v>
      </c>
      <c r="J2536" t="s">
        <v>77</v>
      </c>
      <c r="K2536" t="s">
        <v>78</v>
      </c>
      <c r="L2536" t="s">
        <v>374</v>
      </c>
      <c r="M2536" t="s">
        <v>375</v>
      </c>
      <c r="N2536" t="s">
        <v>376</v>
      </c>
      <c r="O2536" t="s">
        <v>82</v>
      </c>
      <c r="P2536" t="str">
        <f>"4170039633                    "</f>
        <v xml:space="preserve">4170039633                    </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c r="AI2536">
        <v>0</v>
      </c>
      <c r="AJ2536">
        <v>0</v>
      </c>
      <c r="AK2536">
        <v>0</v>
      </c>
      <c r="AL2536">
        <v>0</v>
      </c>
      <c r="AM2536">
        <v>0</v>
      </c>
      <c r="AN2536">
        <v>0</v>
      </c>
      <c r="AO2536">
        <v>0</v>
      </c>
      <c r="AP2536">
        <v>0</v>
      </c>
      <c r="AQ2536">
        <v>41.43</v>
      </c>
      <c r="AR2536">
        <v>0</v>
      </c>
      <c r="AS2536">
        <v>0</v>
      </c>
      <c r="AT2536">
        <v>0</v>
      </c>
      <c r="AU2536">
        <v>0</v>
      </c>
      <c r="AV2536">
        <v>0</v>
      </c>
      <c r="AW2536">
        <v>0</v>
      </c>
      <c r="AX2536">
        <v>0</v>
      </c>
      <c r="AY2536">
        <v>0</v>
      </c>
      <c r="AZ2536">
        <v>0</v>
      </c>
      <c r="BA2536">
        <v>0</v>
      </c>
      <c r="BB2536">
        <v>0</v>
      </c>
      <c r="BC2536">
        <v>0</v>
      </c>
      <c r="BD2536">
        <v>0</v>
      </c>
      <c r="BE2536">
        <v>0</v>
      </c>
      <c r="BF2536">
        <v>0</v>
      </c>
      <c r="BG2536">
        <v>0</v>
      </c>
      <c r="BH2536">
        <v>1</v>
      </c>
      <c r="BI2536">
        <v>1</v>
      </c>
      <c r="BJ2536">
        <v>1.9</v>
      </c>
      <c r="BK2536">
        <v>2</v>
      </c>
      <c r="BL2536">
        <v>135.59</v>
      </c>
      <c r="BM2536">
        <v>20.34</v>
      </c>
      <c r="BN2536">
        <v>155.93</v>
      </c>
      <c r="BO2536">
        <v>155.93</v>
      </c>
      <c r="BQ2536" t="s">
        <v>377</v>
      </c>
      <c r="BR2536" t="s">
        <v>84</v>
      </c>
      <c r="BS2536" s="3">
        <v>45799</v>
      </c>
      <c r="BT2536" s="4">
        <v>0.40555555555555556</v>
      </c>
      <c r="BU2536" t="s">
        <v>378</v>
      </c>
      <c r="BV2536" t="s">
        <v>86</v>
      </c>
      <c r="BY2536">
        <v>9600</v>
      </c>
      <c r="CA2536" t="s">
        <v>379</v>
      </c>
      <c r="CC2536" t="s">
        <v>375</v>
      </c>
      <c r="CD2536">
        <v>7130</v>
      </c>
      <c r="CE2536" t="s">
        <v>96</v>
      </c>
      <c r="CF2536" s="3">
        <v>45800</v>
      </c>
      <c r="CI2536">
        <v>1</v>
      </c>
      <c r="CJ2536">
        <v>1</v>
      </c>
      <c r="CK2536">
        <v>23</v>
      </c>
      <c r="CL2536" t="s">
        <v>89</v>
      </c>
    </row>
    <row r="2537" spans="1:90" x14ac:dyDescent="0.3">
      <c r="A2537" t="s">
        <v>72</v>
      </c>
      <c r="B2537" t="s">
        <v>73</v>
      </c>
      <c r="C2537" t="s">
        <v>74</v>
      </c>
      <c r="E2537" t="str">
        <f>"080065487286"</f>
        <v>080065487286</v>
      </c>
      <c r="F2537" s="3">
        <v>45798</v>
      </c>
      <c r="G2537">
        <v>202602</v>
      </c>
      <c r="H2537" t="s">
        <v>75</v>
      </c>
      <c r="I2537" t="s">
        <v>76</v>
      </c>
      <c r="J2537" t="s">
        <v>77</v>
      </c>
      <c r="K2537" t="s">
        <v>78</v>
      </c>
      <c r="L2537" t="s">
        <v>103</v>
      </c>
      <c r="M2537" t="s">
        <v>104</v>
      </c>
      <c r="N2537" t="s">
        <v>1372</v>
      </c>
      <c r="O2537" t="s">
        <v>82</v>
      </c>
      <c r="P2537" t="str">
        <f>"4170039869                    "</f>
        <v xml:space="preserve">4170039869                    </v>
      </c>
      <c r="Q2537">
        <v>0</v>
      </c>
      <c r="R2537">
        <v>0</v>
      </c>
      <c r="S2537">
        <v>0</v>
      </c>
      <c r="T2537">
        <v>0</v>
      </c>
      <c r="U2537">
        <v>0</v>
      </c>
      <c r="V2537">
        <v>0</v>
      </c>
      <c r="W2537">
        <v>0</v>
      </c>
      <c r="X2537">
        <v>0</v>
      </c>
      <c r="Y2537">
        <v>0</v>
      </c>
      <c r="Z2537">
        <v>0</v>
      </c>
      <c r="AA2537">
        <v>0</v>
      </c>
      <c r="AB2537">
        <v>0</v>
      </c>
      <c r="AC2537">
        <v>0</v>
      </c>
      <c r="AD2537">
        <v>0</v>
      </c>
      <c r="AE2537">
        <v>0</v>
      </c>
      <c r="AF2537">
        <v>0</v>
      </c>
      <c r="AG2537">
        <v>0</v>
      </c>
      <c r="AH2537">
        <v>0</v>
      </c>
      <c r="AI2537">
        <v>0</v>
      </c>
      <c r="AJ2537">
        <v>0</v>
      </c>
      <c r="AK2537">
        <v>0</v>
      </c>
      <c r="AL2537">
        <v>0</v>
      </c>
      <c r="AM2537">
        <v>0</v>
      </c>
      <c r="AN2537">
        <v>0</v>
      </c>
      <c r="AO2537">
        <v>0</v>
      </c>
      <c r="AP2537">
        <v>0</v>
      </c>
      <c r="AQ2537">
        <v>21.38</v>
      </c>
      <c r="AR2537">
        <v>0</v>
      </c>
      <c r="AS2537">
        <v>0</v>
      </c>
      <c r="AT2537">
        <v>0</v>
      </c>
      <c r="AU2537">
        <v>0</v>
      </c>
      <c r="AV2537">
        <v>0</v>
      </c>
      <c r="AW2537">
        <v>0</v>
      </c>
      <c r="AX2537">
        <v>0</v>
      </c>
      <c r="AY2537">
        <v>0</v>
      </c>
      <c r="AZ2537">
        <v>0</v>
      </c>
      <c r="BA2537">
        <v>0</v>
      </c>
      <c r="BB2537">
        <v>0</v>
      </c>
      <c r="BC2537">
        <v>0</v>
      </c>
      <c r="BD2537">
        <v>0</v>
      </c>
      <c r="BE2537">
        <v>0</v>
      </c>
      <c r="BF2537">
        <v>0</v>
      </c>
      <c r="BG2537">
        <v>0</v>
      </c>
      <c r="BH2537">
        <v>1</v>
      </c>
      <c r="BI2537">
        <v>2</v>
      </c>
      <c r="BJ2537">
        <v>1.9</v>
      </c>
      <c r="BK2537">
        <v>2</v>
      </c>
      <c r="BL2537">
        <v>69.98</v>
      </c>
      <c r="BM2537">
        <v>10.5</v>
      </c>
      <c r="BN2537">
        <v>80.48</v>
      </c>
      <c r="BO2537">
        <v>80.48</v>
      </c>
      <c r="BQ2537" t="s">
        <v>1373</v>
      </c>
      <c r="BR2537" t="s">
        <v>84</v>
      </c>
      <c r="BS2537" s="3">
        <v>45799</v>
      </c>
      <c r="BT2537" s="4">
        <v>0.49166666666666664</v>
      </c>
      <c r="BU2537" t="s">
        <v>1374</v>
      </c>
      <c r="BV2537" t="s">
        <v>86</v>
      </c>
      <c r="BY2537">
        <v>9600</v>
      </c>
      <c r="CA2537" t="s">
        <v>1375</v>
      </c>
      <c r="CC2537" t="s">
        <v>104</v>
      </c>
      <c r="CD2537">
        <v>3201</v>
      </c>
      <c r="CE2537" t="s">
        <v>96</v>
      </c>
      <c r="CF2537" s="3">
        <v>45800</v>
      </c>
      <c r="CI2537">
        <v>1</v>
      </c>
      <c r="CJ2537">
        <v>1</v>
      </c>
      <c r="CK2537">
        <v>21</v>
      </c>
      <c r="CL2537" t="s">
        <v>89</v>
      </c>
    </row>
    <row r="2538" spans="1:90" x14ac:dyDescent="0.3">
      <c r="A2538" t="s">
        <v>72</v>
      </c>
      <c r="B2538" t="s">
        <v>73</v>
      </c>
      <c r="C2538" t="s">
        <v>74</v>
      </c>
      <c r="E2538" t="str">
        <f>"080065487371"</f>
        <v>080065487371</v>
      </c>
      <c r="F2538" s="3">
        <v>45798</v>
      </c>
      <c r="G2538">
        <v>202602</v>
      </c>
      <c r="H2538" t="s">
        <v>75</v>
      </c>
      <c r="I2538" t="s">
        <v>76</v>
      </c>
      <c r="J2538" t="s">
        <v>77</v>
      </c>
      <c r="K2538" t="s">
        <v>78</v>
      </c>
      <c r="L2538" t="s">
        <v>350</v>
      </c>
      <c r="M2538" t="s">
        <v>351</v>
      </c>
      <c r="N2538" t="s">
        <v>769</v>
      </c>
      <c r="O2538" t="s">
        <v>82</v>
      </c>
      <c r="P2538" t="str">
        <f>"4170039876                    "</f>
        <v xml:space="preserve">4170039876                    </v>
      </c>
      <c r="Q2538">
        <v>0</v>
      </c>
      <c r="R2538">
        <v>0</v>
      </c>
      <c r="S2538">
        <v>0</v>
      </c>
      <c r="T2538">
        <v>0</v>
      </c>
      <c r="U2538">
        <v>0</v>
      </c>
      <c r="V2538">
        <v>0</v>
      </c>
      <c r="W2538">
        <v>0</v>
      </c>
      <c r="X2538">
        <v>0</v>
      </c>
      <c r="Y2538">
        <v>0</v>
      </c>
      <c r="Z2538">
        <v>0</v>
      </c>
      <c r="AA2538">
        <v>0</v>
      </c>
      <c r="AB2538">
        <v>0</v>
      </c>
      <c r="AC2538">
        <v>0</v>
      </c>
      <c r="AD2538">
        <v>0</v>
      </c>
      <c r="AE2538">
        <v>0</v>
      </c>
      <c r="AF2538">
        <v>0</v>
      </c>
      <c r="AG2538">
        <v>0</v>
      </c>
      <c r="AH2538">
        <v>0</v>
      </c>
      <c r="AI2538">
        <v>0</v>
      </c>
      <c r="AJ2538">
        <v>0</v>
      </c>
      <c r="AK2538">
        <v>0</v>
      </c>
      <c r="AL2538">
        <v>0</v>
      </c>
      <c r="AM2538">
        <v>0</v>
      </c>
      <c r="AN2538">
        <v>0</v>
      </c>
      <c r="AO2538">
        <v>0</v>
      </c>
      <c r="AP2538">
        <v>0</v>
      </c>
      <c r="AQ2538">
        <v>85.48</v>
      </c>
      <c r="AR2538">
        <v>0</v>
      </c>
      <c r="AS2538">
        <v>0</v>
      </c>
      <c r="AT2538">
        <v>0</v>
      </c>
      <c r="AU2538">
        <v>0</v>
      </c>
      <c r="AV2538">
        <v>0</v>
      </c>
      <c r="AW2538">
        <v>0</v>
      </c>
      <c r="AX2538">
        <v>0</v>
      </c>
      <c r="AY2538">
        <v>0</v>
      </c>
      <c r="AZ2538">
        <v>0</v>
      </c>
      <c r="BA2538">
        <v>0</v>
      </c>
      <c r="BB2538">
        <v>0</v>
      </c>
      <c r="BC2538">
        <v>0</v>
      </c>
      <c r="BD2538">
        <v>0</v>
      </c>
      <c r="BE2538">
        <v>0</v>
      </c>
      <c r="BF2538">
        <v>0</v>
      </c>
      <c r="BG2538">
        <v>0</v>
      </c>
      <c r="BH2538">
        <v>1</v>
      </c>
      <c r="BI2538">
        <v>3</v>
      </c>
      <c r="BJ2538">
        <v>7.6</v>
      </c>
      <c r="BK2538">
        <v>8</v>
      </c>
      <c r="BL2538">
        <v>279.76</v>
      </c>
      <c r="BM2538">
        <v>41.96</v>
      </c>
      <c r="BN2538">
        <v>321.72000000000003</v>
      </c>
      <c r="BO2538">
        <v>321.72000000000003</v>
      </c>
      <c r="BQ2538" t="s">
        <v>770</v>
      </c>
      <c r="BR2538" t="s">
        <v>84</v>
      </c>
      <c r="BS2538" s="3">
        <v>45799</v>
      </c>
      <c r="BT2538" s="4">
        <v>0.38750000000000001</v>
      </c>
      <c r="BU2538" t="s">
        <v>2766</v>
      </c>
      <c r="BV2538" t="s">
        <v>86</v>
      </c>
      <c r="BY2538">
        <v>37800</v>
      </c>
      <c r="CA2538" t="s">
        <v>1410</v>
      </c>
      <c r="CC2538" t="s">
        <v>351</v>
      </c>
      <c r="CD2538">
        <v>4001</v>
      </c>
      <c r="CE2538" t="s">
        <v>2767</v>
      </c>
      <c r="CF2538" s="3">
        <v>45799</v>
      </c>
      <c r="CI2538">
        <v>1</v>
      </c>
      <c r="CJ2538">
        <v>1</v>
      </c>
      <c r="CK2538">
        <v>21</v>
      </c>
      <c r="CL2538" t="s">
        <v>89</v>
      </c>
    </row>
    <row r="2539" spans="1:90" x14ac:dyDescent="0.3">
      <c r="A2539" t="s">
        <v>72</v>
      </c>
      <c r="B2539" t="s">
        <v>73</v>
      </c>
      <c r="C2539" t="s">
        <v>74</v>
      </c>
      <c r="E2539" t="str">
        <f>"080065487555"</f>
        <v>080065487555</v>
      </c>
      <c r="F2539" s="3">
        <v>45798</v>
      </c>
      <c r="G2539">
        <v>202602</v>
      </c>
      <c r="H2539" t="s">
        <v>75</v>
      </c>
      <c r="I2539" t="s">
        <v>76</v>
      </c>
      <c r="J2539" t="s">
        <v>77</v>
      </c>
      <c r="K2539" t="s">
        <v>78</v>
      </c>
      <c r="L2539" t="s">
        <v>90</v>
      </c>
      <c r="M2539" t="s">
        <v>91</v>
      </c>
      <c r="N2539" t="s">
        <v>748</v>
      </c>
      <c r="O2539" t="s">
        <v>300</v>
      </c>
      <c r="P2539" t="str">
        <f>"4170039874                    "</f>
        <v xml:space="preserve">4170039874                    </v>
      </c>
      <c r="Q2539">
        <v>0</v>
      </c>
      <c r="R2539">
        <v>0</v>
      </c>
      <c r="S2539">
        <v>0</v>
      </c>
      <c r="T2539">
        <v>0</v>
      </c>
      <c r="U2539">
        <v>0</v>
      </c>
      <c r="V2539">
        <v>0</v>
      </c>
      <c r="W2539">
        <v>0</v>
      </c>
      <c r="X2539">
        <v>0</v>
      </c>
      <c r="Y2539">
        <v>0</v>
      </c>
      <c r="Z2539">
        <v>0</v>
      </c>
      <c r="AA2539">
        <v>0</v>
      </c>
      <c r="AB2539">
        <v>0</v>
      </c>
      <c r="AC2539">
        <v>0</v>
      </c>
      <c r="AD2539">
        <v>0</v>
      </c>
      <c r="AE2539">
        <v>0</v>
      </c>
      <c r="AF2539">
        <v>0</v>
      </c>
      <c r="AG2539">
        <v>0</v>
      </c>
      <c r="AH2539">
        <v>0</v>
      </c>
      <c r="AI2539">
        <v>0</v>
      </c>
      <c r="AJ2539">
        <v>0</v>
      </c>
      <c r="AK2539">
        <v>0</v>
      </c>
      <c r="AL2539">
        <v>0</v>
      </c>
      <c r="AM2539">
        <v>0</v>
      </c>
      <c r="AN2539">
        <v>0</v>
      </c>
      <c r="AO2539">
        <v>0</v>
      </c>
      <c r="AP2539">
        <v>0</v>
      </c>
      <c r="AQ2539">
        <v>46.47</v>
      </c>
      <c r="AR2539">
        <v>0</v>
      </c>
      <c r="AS2539">
        <v>0</v>
      </c>
      <c r="AT2539">
        <v>0</v>
      </c>
      <c r="AU2539">
        <v>0</v>
      </c>
      <c r="AV2539">
        <v>0</v>
      </c>
      <c r="AW2539">
        <v>0</v>
      </c>
      <c r="AX2539">
        <v>0</v>
      </c>
      <c r="AY2539">
        <v>0</v>
      </c>
      <c r="AZ2539">
        <v>0</v>
      </c>
      <c r="BA2539">
        <v>0</v>
      </c>
      <c r="BB2539">
        <v>0</v>
      </c>
      <c r="BC2539">
        <v>0</v>
      </c>
      <c r="BD2539">
        <v>0</v>
      </c>
      <c r="BE2539">
        <v>0</v>
      </c>
      <c r="BF2539">
        <v>0</v>
      </c>
      <c r="BG2539">
        <v>0</v>
      </c>
      <c r="BH2539">
        <v>1</v>
      </c>
      <c r="BI2539">
        <v>1</v>
      </c>
      <c r="BJ2539">
        <v>17.7</v>
      </c>
      <c r="BK2539">
        <v>18</v>
      </c>
      <c r="BL2539">
        <v>157.66</v>
      </c>
      <c r="BM2539">
        <v>23.65</v>
      </c>
      <c r="BN2539">
        <v>181.31</v>
      </c>
      <c r="BO2539">
        <v>181.31</v>
      </c>
      <c r="BQ2539" t="s">
        <v>749</v>
      </c>
      <c r="BR2539" t="s">
        <v>84</v>
      </c>
      <c r="BS2539" s="3">
        <v>45800</v>
      </c>
      <c r="BT2539" s="4">
        <v>0.5</v>
      </c>
      <c r="BU2539" t="s">
        <v>1199</v>
      </c>
      <c r="BV2539" t="s">
        <v>86</v>
      </c>
      <c r="BY2539">
        <v>88320</v>
      </c>
      <c r="BZ2539" t="s">
        <v>303</v>
      </c>
      <c r="CA2539" t="s">
        <v>1200</v>
      </c>
      <c r="CC2539" t="s">
        <v>91</v>
      </c>
      <c r="CD2539">
        <v>6045</v>
      </c>
      <c r="CE2539" t="s">
        <v>96</v>
      </c>
      <c r="CF2539" s="3">
        <v>45800</v>
      </c>
      <c r="CI2539">
        <v>3</v>
      </c>
      <c r="CJ2539">
        <v>2</v>
      </c>
      <c r="CK2539">
        <v>41</v>
      </c>
      <c r="CL2539" t="s">
        <v>89</v>
      </c>
    </row>
    <row r="2540" spans="1:90" x14ac:dyDescent="0.3">
      <c r="A2540" t="s">
        <v>72</v>
      </c>
      <c r="B2540" t="s">
        <v>73</v>
      </c>
      <c r="C2540" t="s">
        <v>74</v>
      </c>
      <c r="E2540" t="str">
        <f>"080065487648"</f>
        <v>080065487648</v>
      </c>
      <c r="F2540" s="3">
        <v>45798</v>
      </c>
      <c r="G2540">
        <v>202602</v>
      </c>
      <c r="H2540" t="s">
        <v>75</v>
      </c>
      <c r="I2540" t="s">
        <v>76</v>
      </c>
      <c r="J2540" t="s">
        <v>77</v>
      </c>
      <c r="K2540" t="s">
        <v>78</v>
      </c>
      <c r="L2540" t="s">
        <v>130</v>
      </c>
      <c r="M2540" t="s">
        <v>131</v>
      </c>
      <c r="N2540" t="s">
        <v>751</v>
      </c>
      <c r="O2540" t="s">
        <v>300</v>
      </c>
      <c r="P2540" t="str">
        <f>"4170039877                    "</f>
        <v xml:space="preserve">4170039877                    </v>
      </c>
      <c r="Q2540">
        <v>0</v>
      </c>
      <c r="R2540">
        <v>0</v>
      </c>
      <c r="S2540">
        <v>0</v>
      </c>
      <c r="T2540">
        <v>0</v>
      </c>
      <c r="U2540">
        <v>0</v>
      </c>
      <c r="V2540">
        <v>0</v>
      </c>
      <c r="W2540">
        <v>0</v>
      </c>
      <c r="X2540">
        <v>0</v>
      </c>
      <c r="Y2540">
        <v>0</v>
      </c>
      <c r="Z2540">
        <v>0</v>
      </c>
      <c r="AA2540">
        <v>0</v>
      </c>
      <c r="AB2540">
        <v>0</v>
      </c>
      <c r="AC2540">
        <v>0</v>
      </c>
      <c r="AD2540">
        <v>0</v>
      </c>
      <c r="AE2540">
        <v>0</v>
      </c>
      <c r="AF2540">
        <v>0</v>
      </c>
      <c r="AG2540">
        <v>0</v>
      </c>
      <c r="AH2540">
        <v>0</v>
      </c>
      <c r="AI2540">
        <v>0</v>
      </c>
      <c r="AJ2540">
        <v>0</v>
      </c>
      <c r="AK2540">
        <v>0</v>
      </c>
      <c r="AL2540">
        <v>0</v>
      </c>
      <c r="AM2540">
        <v>0</v>
      </c>
      <c r="AN2540">
        <v>0</v>
      </c>
      <c r="AO2540">
        <v>0</v>
      </c>
      <c r="AP2540">
        <v>0</v>
      </c>
      <c r="AQ2540">
        <v>46.47</v>
      </c>
      <c r="AR2540">
        <v>0</v>
      </c>
      <c r="AS2540">
        <v>0</v>
      </c>
      <c r="AT2540">
        <v>0</v>
      </c>
      <c r="AU2540">
        <v>0</v>
      </c>
      <c r="AV2540">
        <v>0</v>
      </c>
      <c r="AW2540">
        <v>0</v>
      </c>
      <c r="AX2540">
        <v>0</v>
      </c>
      <c r="AY2540">
        <v>0</v>
      </c>
      <c r="AZ2540">
        <v>0</v>
      </c>
      <c r="BA2540">
        <v>0</v>
      </c>
      <c r="BB2540">
        <v>0</v>
      </c>
      <c r="BC2540">
        <v>0</v>
      </c>
      <c r="BD2540">
        <v>0</v>
      </c>
      <c r="BE2540">
        <v>0</v>
      </c>
      <c r="BF2540">
        <v>0</v>
      </c>
      <c r="BG2540">
        <v>0</v>
      </c>
      <c r="BH2540">
        <v>1</v>
      </c>
      <c r="BI2540">
        <v>4</v>
      </c>
      <c r="BJ2540">
        <v>17.7</v>
      </c>
      <c r="BK2540">
        <v>18</v>
      </c>
      <c r="BL2540">
        <v>157.66</v>
      </c>
      <c r="BM2540">
        <v>23.65</v>
      </c>
      <c r="BN2540">
        <v>181.31</v>
      </c>
      <c r="BO2540">
        <v>181.31</v>
      </c>
      <c r="BQ2540" t="s">
        <v>752</v>
      </c>
      <c r="BR2540" t="s">
        <v>84</v>
      </c>
      <c r="BS2540" s="3">
        <v>45800</v>
      </c>
      <c r="BT2540" s="4">
        <v>0.57430555555555551</v>
      </c>
      <c r="BU2540" t="s">
        <v>2768</v>
      </c>
      <c r="BV2540" t="s">
        <v>86</v>
      </c>
      <c r="BY2540">
        <v>88320</v>
      </c>
      <c r="BZ2540" t="s">
        <v>303</v>
      </c>
      <c r="CA2540" t="s">
        <v>754</v>
      </c>
      <c r="CC2540" t="s">
        <v>131</v>
      </c>
      <c r="CD2540">
        <v>7535</v>
      </c>
      <c r="CE2540" t="s">
        <v>96</v>
      </c>
      <c r="CF2540" s="3">
        <v>45803</v>
      </c>
      <c r="CI2540">
        <v>3</v>
      </c>
      <c r="CJ2540">
        <v>2</v>
      </c>
      <c r="CK2540">
        <v>41</v>
      </c>
      <c r="CL2540" t="s">
        <v>89</v>
      </c>
    </row>
    <row r="2541" spans="1:90" x14ac:dyDescent="0.3">
      <c r="A2541" t="s">
        <v>72</v>
      </c>
      <c r="B2541" t="s">
        <v>73</v>
      </c>
      <c r="C2541" t="s">
        <v>74</v>
      </c>
      <c r="E2541" t="str">
        <f>"080065487709"</f>
        <v>080065487709</v>
      </c>
      <c r="F2541" s="3">
        <v>45798</v>
      </c>
      <c r="G2541">
        <v>202602</v>
      </c>
      <c r="H2541" t="s">
        <v>75</v>
      </c>
      <c r="I2541" t="s">
        <v>76</v>
      </c>
      <c r="J2541" t="s">
        <v>77</v>
      </c>
      <c r="K2541" t="s">
        <v>78</v>
      </c>
      <c r="L2541" t="s">
        <v>97</v>
      </c>
      <c r="M2541" t="s">
        <v>98</v>
      </c>
      <c r="N2541" t="s">
        <v>2325</v>
      </c>
      <c r="O2541" t="s">
        <v>82</v>
      </c>
      <c r="P2541" t="str">
        <f>"4170039938                    "</f>
        <v xml:space="preserve">4170039938                    </v>
      </c>
      <c r="Q2541">
        <v>0</v>
      </c>
      <c r="R2541">
        <v>0</v>
      </c>
      <c r="S2541">
        <v>0</v>
      </c>
      <c r="T2541">
        <v>0</v>
      </c>
      <c r="U2541">
        <v>0</v>
      </c>
      <c r="V2541">
        <v>0</v>
      </c>
      <c r="W2541">
        <v>0</v>
      </c>
      <c r="X2541">
        <v>0</v>
      </c>
      <c r="Y2541">
        <v>0</v>
      </c>
      <c r="Z2541">
        <v>0</v>
      </c>
      <c r="AA2541">
        <v>0</v>
      </c>
      <c r="AB2541">
        <v>0</v>
      </c>
      <c r="AC2541">
        <v>0</v>
      </c>
      <c r="AD2541">
        <v>0</v>
      </c>
      <c r="AE2541">
        <v>0</v>
      </c>
      <c r="AF2541">
        <v>0</v>
      </c>
      <c r="AG2541">
        <v>0</v>
      </c>
      <c r="AH2541">
        <v>0</v>
      </c>
      <c r="AI2541">
        <v>0</v>
      </c>
      <c r="AJ2541">
        <v>0</v>
      </c>
      <c r="AK2541">
        <v>0</v>
      </c>
      <c r="AL2541">
        <v>0</v>
      </c>
      <c r="AM2541">
        <v>0</v>
      </c>
      <c r="AN2541">
        <v>0</v>
      </c>
      <c r="AO2541">
        <v>0</v>
      </c>
      <c r="AP2541">
        <v>0</v>
      </c>
      <c r="AQ2541">
        <v>16.7</v>
      </c>
      <c r="AR2541">
        <v>0</v>
      </c>
      <c r="AS2541">
        <v>0</v>
      </c>
      <c r="AT2541">
        <v>0</v>
      </c>
      <c r="AU2541">
        <v>0</v>
      </c>
      <c r="AV2541">
        <v>0</v>
      </c>
      <c r="AW2541">
        <v>0</v>
      </c>
      <c r="AX2541">
        <v>0</v>
      </c>
      <c r="AY2541">
        <v>0</v>
      </c>
      <c r="AZ2541">
        <v>0</v>
      </c>
      <c r="BA2541">
        <v>0</v>
      </c>
      <c r="BB2541">
        <v>0</v>
      </c>
      <c r="BC2541">
        <v>0</v>
      </c>
      <c r="BD2541">
        <v>0</v>
      </c>
      <c r="BE2541">
        <v>0</v>
      </c>
      <c r="BF2541">
        <v>0</v>
      </c>
      <c r="BG2541">
        <v>0</v>
      </c>
      <c r="BH2541">
        <v>1</v>
      </c>
      <c r="BI2541">
        <v>1</v>
      </c>
      <c r="BJ2541">
        <v>0.2</v>
      </c>
      <c r="BK2541">
        <v>1</v>
      </c>
      <c r="BL2541">
        <v>54.66</v>
      </c>
      <c r="BM2541">
        <v>8.1999999999999993</v>
      </c>
      <c r="BN2541">
        <v>62.86</v>
      </c>
      <c r="BO2541">
        <v>62.86</v>
      </c>
      <c r="BQ2541" t="s">
        <v>2326</v>
      </c>
      <c r="BR2541" t="s">
        <v>84</v>
      </c>
      <c r="BS2541" s="3">
        <v>45799</v>
      </c>
      <c r="BT2541" s="4">
        <v>0.37291666666666667</v>
      </c>
      <c r="BU2541" t="s">
        <v>2327</v>
      </c>
      <c r="BV2541" t="s">
        <v>86</v>
      </c>
      <c r="BY2541">
        <v>1200</v>
      </c>
      <c r="BZ2541" t="s">
        <v>127</v>
      </c>
      <c r="CA2541" t="s">
        <v>279</v>
      </c>
      <c r="CC2541" t="s">
        <v>98</v>
      </c>
      <c r="CD2541">
        <v>1460</v>
      </c>
      <c r="CE2541" t="s">
        <v>88</v>
      </c>
      <c r="CF2541" s="3">
        <v>45799</v>
      </c>
      <c r="CI2541">
        <v>1</v>
      </c>
      <c r="CJ2541">
        <v>1</v>
      </c>
      <c r="CK2541">
        <v>22</v>
      </c>
      <c r="CL2541" t="s">
        <v>89</v>
      </c>
    </row>
    <row r="2542" spans="1:90" x14ac:dyDescent="0.3">
      <c r="A2542" t="s">
        <v>72</v>
      </c>
      <c r="B2542" t="s">
        <v>73</v>
      </c>
      <c r="C2542" t="s">
        <v>74</v>
      </c>
      <c r="E2542" t="str">
        <f>"080065487979"</f>
        <v>080065487979</v>
      </c>
      <c r="F2542" s="3">
        <v>45798</v>
      </c>
      <c r="G2542">
        <v>202602</v>
      </c>
      <c r="H2542" t="s">
        <v>75</v>
      </c>
      <c r="I2542" t="s">
        <v>76</v>
      </c>
      <c r="J2542" t="s">
        <v>77</v>
      </c>
      <c r="K2542" t="s">
        <v>78</v>
      </c>
      <c r="L2542" t="s">
        <v>350</v>
      </c>
      <c r="M2542" t="s">
        <v>351</v>
      </c>
      <c r="N2542" t="s">
        <v>678</v>
      </c>
      <c r="O2542" t="s">
        <v>82</v>
      </c>
      <c r="P2542" t="str">
        <f>"4170039809                    "</f>
        <v xml:space="preserve">4170039809                    </v>
      </c>
      <c r="Q2542">
        <v>0</v>
      </c>
      <c r="R2542">
        <v>0</v>
      </c>
      <c r="S2542">
        <v>0</v>
      </c>
      <c r="T2542">
        <v>0</v>
      </c>
      <c r="U2542">
        <v>0</v>
      </c>
      <c r="V2542">
        <v>0</v>
      </c>
      <c r="W2542">
        <v>0</v>
      </c>
      <c r="X2542">
        <v>0</v>
      </c>
      <c r="Y2542">
        <v>0</v>
      </c>
      <c r="Z2542">
        <v>0</v>
      </c>
      <c r="AA2542">
        <v>0</v>
      </c>
      <c r="AB2542">
        <v>0</v>
      </c>
      <c r="AC2542">
        <v>0</v>
      </c>
      <c r="AD2542">
        <v>0</v>
      </c>
      <c r="AE2542">
        <v>0</v>
      </c>
      <c r="AF2542">
        <v>0</v>
      </c>
      <c r="AG2542">
        <v>0</v>
      </c>
      <c r="AH2542">
        <v>0</v>
      </c>
      <c r="AI2542">
        <v>0</v>
      </c>
      <c r="AJ2542">
        <v>0</v>
      </c>
      <c r="AK2542">
        <v>0</v>
      </c>
      <c r="AL2542">
        <v>0</v>
      </c>
      <c r="AM2542">
        <v>0</v>
      </c>
      <c r="AN2542">
        <v>0</v>
      </c>
      <c r="AO2542">
        <v>0</v>
      </c>
      <c r="AP2542">
        <v>0</v>
      </c>
      <c r="AQ2542">
        <v>21.38</v>
      </c>
      <c r="AR2542">
        <v>0</v>
      </c>
      <c r="AS2542">
        <v>0</v>
      </c>
      <c r="AT2542">
        <v>0</v>
      </c>
      <c r="AU2542">
        <v>0</v>
      </c>
      <c r="AV2542">
        <v>0</v>
      </c>
      <c r="AW2542">
        <v>0</v>
      </c>
      <c r="AX2542">
        <v>0</v>
      </c>
      <c r="AY2542">
        <v>0</v>
      </c>
      <c r="AZ2542">
        <v>0</v>
      </c>
      <c r="BA2542">
        <v>0</v>
      </c>
      <c r="BB2542">
        <v>0</v>
      </c>
      <c r="BC2542">
        <v>0</v>
      </c>
      <c r="BD2542">
        <v>0</v>
      </c>
      <c r="BE2542">
        <v>0</v>
      </c>
      <c r="BF2542">
        <v>0</v>
      </c>
      <c r="BG2542">
        <v>0</v>
      </c>
      <c r="BH2542">
        <v>1</v>
      </c>
      <c r="BI2542">
        <v>1</v>
      </c>
      <c r="BJ2542">
        <v>0.2</v>
      </c>
      <c r="BK2542">
        <v>1</v>
      </c>
      <c r="BL2542">
        <v>69.98</v>
      </c>
      <c r="BM2542">
        <v>10.5</v>
      </c>
      <c r="BN2542">
        <v>80.48</v>
      </c>
      <c r="BO2542">
        <v>80.48</v>
      </c>
      <c r="BQ2542" t="s">
        <v>679</v>
      </c>
      <c r="BR2542" t="s">
        <v>84</v>
      </c>
      <c r="BS2542" s="3">
        <v>45799</v>
      </c>
      <c r="BT2542" s="4">
        <v>0.41805555555555557</v>
      </c>
      <c r="BU2542" t="s">
        <v>1828</v>
      </c>
      <c r="BV2542" t="s">
        <v>86</v>
      </c>
      <c r="BY2542">
        <v>1200</v>
      </c>
      <c r="BZ2542" t="s">
        <v>127</v>
      </c>
      <c r="CA2542" t="s">
        <v>326</v>
      </c>
      <c r="CC2542" t="s">
        <v>351</v>
      </c>
      <c r="CD2542">
        <v>4052</v>
      </c>
      <c r="CE2542" t="s">
        <v>88</v>
      </c>
      <c r="CF2542" s="3">
        <v>45800</v>
      </c>
      <c r="CI2542">
        <v>1</v>
      </c>
      <c r="CJ2542">
        <v>1</v>
      </c>
      <c r="CK2542">
        <v>21</v>
      </c>
      <c r="CL2542" t="s">
        <v>89</v>
      </c>
    </row>
    <row r="2543" spans="1:90" x14ac:dyDescent="0.3">
      <c r="A2543" t="s">
        <v>72</v>
      </c>
      <c r="B2543" t="s">
        <v>73</v>
      </c>
      <c r="C2543" t="s">
        <v>74</v>
      </c>
      <c r="E2543" t="str">
        <f>"080065488060"</f>
        <v>080065488060</v>
      </c>
      <c r="F2543" s="3">
        <v>45798</v>
      </c>
      <c r="G2543">
        <v>202602</v>
      </c>
      <c r="H2543" t="s">
        <v>75</v>
      </c>
      <c r="I2543" t="s">
        <v>76</v>
      </c>
      <c r="J2543" t="s">
        <v>77</v>
      </c>
      <c r="K2543" t="s">
        <v>78</v>
      </c>
      <c r="L2543" t="s">
        <v>177</v>
      </c>
      <c r="M2543" t="s">
        <v>178</v>
      </c>
      <c r="N2543" t="s">
        <v>1232</v>
      </c>
      <c r="O2543" t="s">
        <v>82</v>
      </c>
      <c r="P2543" t="str">
        <f>"4170039960                    "</f>
        <v xml:space="preserve">4170039960                    </v>
      </c>
      <c r="Q2543">
        <v>0</v>
      </c>
      <c r="R2543">
        <v>0</v>
      </c>
      <c r="S2543">
        <v>0</v>
      </c>
      <c r="T2543">
        <v>0</v>
      </c>
      <c r="U2543">
        <v>0</v>
      </c>
      <c r="V2543">
        <v>0</v>
      </c>
      <c r="W2543">
        <v>0</v>
      </c>
      <c r="X2543">
        <v>0</v>
      </c>
      <c r="Y2543">
        <v>0</v>
      </c>
      <c r="Z2543">
        <v>0</v>
      </c>
      <c r="AA2543">
        <v>0</v>
      </c>
      <c r="AB2543">
        <v>0</v>
      </c>
      <c r="AC2543">
        <v>0</v>
      </c>
      <c r="AD2543">
        <v>0</v>
      </c>
      <c r="AE2543">
        <v>0</v>
      </c>
      <c r="AF2543">
        <v>0</v>
      </c>
      <c r="AG2543">
        <v>0</v>
      </c>
      <c r="AH2543">
        <v>0</v>
      </c>
      <c r="AI2543">
        <v>0</v>
      </c>
      <c r="AJ2543">
        <v>0</v>
      </c>
      <c r="AK2543">
        <v>0</v>
      </c>
      <c r="AL2543">
        <v>0</v>
      </c>
      <c r="AM2543">
        <v>0</v>
      </c>
      <c r="AN2543">
        <v>0</v>
      </c>
      <c r="AO2543">
        <v>0</v>
      </c>
      <c r="AP2543">
        <v>0</v>
      </c>
      <c r="AQ2543">
        <v>37.409999999999997</v>
      </c>
      <c r="AR2543">
        <v>0</v>
      </c>
      <c r="AS2543">
        <v>0</v>
      </c>
      <c r="AT2543">
        <v>0</v>
      </c>
      <c r="AU2543">
        <v>0</v>
      </c>
      <c r="AV2543">
        <v>0</v>
      </c>
      <c r="AW2543">
        <v>0</v>
      </c>
      <c r="AX2543">
        <v>0</v>
      </c>
      <c r="AY2543">
        <v>0</v>
      </c>
      <c r="AZ2543">
        <v>0</v>
      </c>
      <c r="BA2543">
        <v>0</v>
      </c>
      <c r="BB2543">
        <v>0</v>
      </c>
      <c r="BC2543">
        <v>0</v>
      </c>
      <c r="BD2543">
        <v>0</v>
      </c>
      <c r="BE2543">
        <v>0</v>
      </c>
      <c r="BF2543">
        <v>0</v>
      </c>
      <c r="BG2543">
        <v>0</v>
      </c>
      <c r="BH2543">
        <v>1</v>
      </c>
      <c r="BI2543">
        <v>1</v>
      </c>
      <c r="BJ2543">
        <v>3.1</v>
      </c>
      <c r="BK2543">
        <v>3.5</v>
      </c>
      <c r="BL2543">
        <v>122.43</v>
      </c>
      <c r="BM2543">
        <v>18.36</v>
      </c>
      <c r="BN2543">
        <v>140.79</v>
      </c>
      <c r="BO2543">
        <v>140.79</v>
      </c>
      <c r="BQ2543" t="s">
        <v>1233</v>
      </c>
      <c r="BR2543" t="s">
        <v>84</v>
      </c>
      <c r="BS2543" s="3">
        <v>45799</v>
      </c>
      <c r="BT2543" s="4">
        <v>0.33888888888888891</v>
      </c>
      <c r="BU2543" t="s">
        <v>2448</v>
      </c>
      <c r="BV2543" t="s">
        <v>86</v>
      </c>
      <c r="BY2543">
        <v>15360</v>
      </c>
      <c r="BZ2543" t="s">
        <v>127</v>
      </c>
      <c r="CA2543" t="s">
        <v>182</v>
      </c>
      <c r="CC2543" t="s">
        <v>178</v>
      </c>
      <c r="CD2543">
        <v>6229</v>
      </c>
      <c r="CE2543" t="s">
        <v>96</v>
      </c>
      <c r="CF2543" s="3">
        <v>45799</v>
      </c>
      <c r="CI2543">
        <v>1</v>
      </c>
      <c r="CJ2543">
        <v>1</v>
      </c>
      <c r="CK2543">
        <v>21</v>
      </c>
      <c r="CL2543" t="s">
        <v>89</v>
      </c>
    </row>
    <row r="2544" spans="1:90" x14ac:dyDescent="0.3">
      <c r="A2544" t="s">
        <v>72</v>
      </c>
      <c r="B2544" t="s">
        <v>73</v>
      </c>
      <c r="C2544" t="s">
        <v>74</v>
      </c>
      <c r="E2544" t="str">
        <f>"080065488067"</f>
        <v>080065488067</v>
      </c>
      <c r="F2544" s="3">
        <v>45798</v>
      </c>
      <c r="G2544">
        <v>202602</v>
      </c>
      <c r="H2544" t="s">
        <v>75</v>
      </c>
      <c r="I2544" t="s">
        <v>76</v>
      </c>
      <c r="J2544" t="s">
        <v>77</v>
      </c>
      <c r="K2544" t="s">
        <v>78</v>
      </c>
      <c r="L2544" t="s">
        <v>75</v>
      </c>
      <c r="M2544" t="s">
        <v>76</v>
      </c>
      <c r="N2544" t="s">
        <v>2769</v>
      </c>
      <c r="O2544" t="s">
        <v>82</v>
      </c>
      <c r="P2544" t="str">
        <f>"4170039679                    "</f>
        <v xml:space="preserve">4170039679                    </v>
      </c>
      <c r="Q2544">
        <v>0</v>
      </c>
      <c r="R2544">
        <v>0</v>
      </c>
      <c r="S2544">
        <v>0</v>
      </c>
      <c r="T2544">
        <v>0</v>
      </c>
      <c r="U2544">
        <v>0</v>
      </c>
      <c r="V2544">
        <v>0</v>
      </c>
      <c r="W2544">
        <v>0</v>
      </c>
      <c r="X2544">
        <v>0</v>
      </c>
      <c r="Y2544">
        <v>0</v>
      </c>
      <c r="Z2544">
        <v>0</v>
      </c>
      <c r="AA2544">
        <v>0</v>
      </c>
      <c r="AB2544">
        <v>0</v>
      </c>
      <c r="AC2544">
        <v>0</v>
      </c>
      <c r="AD2544">
        <v>0</v>
      </c>
      <c r="AE2544">
        <v>0</v>
      </c>
      <c r="AF2544">
        <v>0</v>
      </c>
      <c r="AG2544">
        <v>0</v>
      </c>
      <c r="AH2544">
        <v>0</v>
      </c>
      <c r="AI2544">
        <v>0</v>
      </c>
      <c r="AJ2544">
        <v>0</v>
      </c>
      <c r="AK2544">
        <v>0</v>
      </c>
      <c r="AL2544">
        <v>0</v>
      </c>
      <c r="AM2544">
        <v>0</v>
      </c>
      <c r="AN2544">
        <v>0</v>
      </c>
      <c r="AO2544">
        <v>0</v>
      </c>
      <c r="AP2544">
        <v>0</v>
      </c>
      <c r="AQ2544">
        <v>16.7</v>
      </c>
      <c r="AR2544">
        <v>0</v>
      </c>
      <c r="AS2544">
        <v>0</v>
      </c>
      <c r="AT2544">
        <v>0</v>
      </c>
      <c r="AU2544">
        <v>0</v>
      </c>
      <c r="AV2544">
        <v>0</v>
      </c>
      <c r="AW2544">
        <v>0</v>
      </c>
      <c r="AX2544">
        <v>0</v>
      </c>
      <c r="AY2544">
        <v>0</v>
      </c>
      <c r="AZ2544">
        <v>0</v>
      </c>
      <c r="BA2544">
        <v>0</v>
      </c>
      <c r="BB2544">
        <v>0</v>
      </c>
      <c r="BC2544">
        <v>0</v>
      </c>
      <c r="BD2544">
        <v>0</v>
      </c>
      <c r="BE2544">
        <v>0</v>
      </c>
      <c r="BF2544">
        <v>0</v>
      </c>
      <c r="BG2544">
        <v>0</v>
      </c>
      <c r="BH2544">
        <v>1</v>
      </c>
      <c r="BI2544">
        <v>1</v>
      </c>
      <c r="BJ2544">
        <v>0.2</v>
      </c>
      <c r="BK2544">
        <v>1</v>
      </c>
      <c r="BL2544">
        <v>54.66</v>
      </c>
      <c r="BM2544">
        <v>8.1999999999999993</v>
      </c>
      <c r="BN2544">
        <v>62.86</v>
      </c>
      <c r="BO2544">
        <v>62.86</v>
      </c>
      <c r="BQ2544" t="s">
        <v>2770</v>
      </c>
      <c r="BR2544" t="s">
        <v>84</v>
      </c>
      <c r="BS2544" s="3">
        <v>45799</v>
      </c>
      <c r="BT2544" s="4">
        <v>0.49027777777777776</v>
      </c>
      <c r="BU2544" t="s">
        <v>2771</v>
      </c>
      <c r="BV2544" t="s">
        <v>89</v>
      </c>
      <c r="BW2544" t="s">
        <v>148</v>
      </c>
      <c r="BX2544" t="s">
        <v>1798</v>
      </c>
      <c r="BY2544">
        <v>1200</v>
      </c>
      <c r="BZ2544" t="s">
        <v>127</v>
      </c>
      <c r="CA2544" t="s">
        <v>2655</v>
      </c>
      <c r="CC2544" t="s">
        <v>76</v>
      </c>
      <c r="CD2544">
        <v>1614</v>
      </c>
      <c r="CE2544" t="s">
        <v>88</v>
      </c>
      <c r="CF2544" s="3">
        <v>45799</v>
      </c>
      <c r="CI2544">
        <v>1</v>
      </c>
      <c r="CJ2544">
        <v>1</v>
      </c>
      <c r="CK2544">
        <v>22</v>
      </c>
      <c r="CL2544" t="s">
        <v>89</v>
      </c>
    </row>
    <row r="2545" spans="1:90" x14ac:dyDescent="0.3">
      <c r="A2545" t="s">
        <v>72</v>
      </c>
      <c r="B2545" t="s">
        <v>73</v>
      </c>
      <c r="C2545" t="s">
        <v>74</v>
      </c>
      <c r="E2545" t="str">
        <f>"080065488097"</f>
        <v>080065488097</v>
      </c>
      <c r="F2545" s="3">
        <v>45798</v>
      </c>
      <c r="G2545">
        <v>202602</v>
      </c>
      <c r="H2545" t="s">
        <v>75</v>
      </c>
      <c r="I2545" t="s">
        <v>76</v>
      </c>
      <c r="J2545" t="s">
        <v>77</v>
      </c>
      <c r="K2545" t="s">
        <v>78</v>
      </c>
      <c r="L2545" t="s">
        <v>123</v>
      </c>
      <c r="M2545" t="s">
        <v>123</v>
      </c>
      <c r="N2545" t="s">
        <v>1700</v>
      </c>
      <c r="O2545" t="s">
        <v>82</v>
      </c>
      <c r="P2545" t="str">
        <f>"4170039554                    "</f>
        <v xml:space="preserve">4170039554                    </v>
      </c>
      <c r="Q2545">
        <v>0</v>
      </c>
      <c r="R2545">
        <v>0</v>
      </c>
      <c r="S2545">
        <v>0</v>
      </c>
      <c r="T2545">
        <v>0</v>
      </c>
      <c r="U2545">
        <v>0</v>
      </c>
      <c r="V2545">
        <v>0</v>
      </c>
      <c r="W2545">
        <v>0</v>
      </c>
      <c r="X2545">
        <v>0</v>
      </c>
      <c r="Y2545">
        <v>0</v>
      </c>
      <c r="Z2545">
        <v>0</v>
      </c>
      <c r="AA2545">
        <v>0</v>
      </c>
      <c r="AB2545">
        <v>0</v>
      </c>
      <c r="AC2545">
        <v>0</v>
      </c>
      <c r="AD2545">
        <v>0</v>
      </c>
      <c r="AE2545">
        <v>0</v>
      </c>
      <c r="AF2545">
        <v>0</v>
      </c>
      <c r="AG2545">
        <v>0</v>
      </c>
      <c r="AH2545">
        <v>0</v>
      </c>
      <c r="AI2545">
        <v>0</v>
      </c>
      <c r="AJ2545">
        <v>0</v>
      </c>
      <c r="AK2545">
        <v>0</v>
      </c>
      <c r="AL2545">
        <v>0</v>
      </c>
      <c r="AM2545">
        <v>0</v>
      </c>
      <c r="AN2545">
        <v>0</v>
      </c>
      <c r="AO2545">
        <v>0</v>
      </c>
      <c r="AP2545">
        <v>0</v>
      </c>
      <c r="AQ2545">
        <v>41.43</v>
      </c>
      <c r="AR2545">
        <v>0</v>
      </c>
      <c r="AS2545">
        <v>0</v>
      </c>
      <c r="AT2545">
        <v>0</v>
      </c>
      <c r="AU2545">
        <v>0</v>
      </c>
      <c r="AV2545">
        <v>0</v>
      </c>
      <c r="AW2545">
        <v>0</v>
      </c>
      <c r="AX2545">
        <v>0</v>
      </c>
      <c r="AY2545">
        <v>0</v>
      </c>
      <c r="AZ2545">
        <v>0</v>
      </c>
      <c r="BA2545">
        <v>0</v>
      </c>
      <c r="BB2545">
        <v>0</v>
      </c>
      <c r="BC2545">
        <v>0</v>
      </c>
      <c r="BD2545">
        <v>0</v>
      </c>
      <c r="BE2545">
        <v>0</v>
      </c>
      <c r="BF2545">
        <v>0</v>
      </c>
      <c r="BG2545">
        <v>0</v>
      </c>
      <c r="BH2545">
        <v>1</v>
      </c>
      <c r="BI2545">
        <v>1</v>
      </c>
      <c r="BJ2545">
        <v>0.2</v>
      </c>
      <c r="BK2545">
        <v>1</v>
      </c>
      <c r="BL2545">
        <v>135.59</v>
      </c>
      <c r="BM2545">
        <v>20.34</v>
      </c>
      <c r="BN2545">
        <v>155.93</v>
      </c>
      <c r="BO2545">
        <v>155.93</v>
      </c>
      <c r="BQ2545" t="s">
        <v>1701</v>
      </c>
      <c r="BR2545" t="s">
        <v>84</v>
      </c>
      <c r="BS2545" s="3">
        <v>45799</v>
      </c>
      <c r="BT2545" s="4">
        <v>0.5083333333333333</v>
      </c>
      <c r="BU2545" t="s">
        <v>329</v>
      </c>
      <c r="BV2545" t="s">
        <v>86</v>
      </c>
      <c r="BY2545">
        <v>1200</v>
      </c>
      <c r="BZ2545" t="s">
        <v>127</v>
      </c>
      <c r="CA2545" t="s">
        <v>128</v>
      </c>
      <c r="CC2545" t="s">
        <v>123</v>
      </c>
      <c r="CD2545">
        <v>7646</v>
      </c>
      <c r="CE2545" t="s">
        <v>88</v>
      </c>
      <c r="CF2545" s="3">
        <v>45800</v>
      </c>
      <c r="CI2545">
        <v>1</v>
      </c>
      <c r="CJ2545">
        <v>1</v>
      </c>
      <c r="CK2545">
        <v>23</v>
      </c>
      <c r="CL2545" t="s">
        <v>89</v>
      </c>
    </row>
    <row r="2546" spans="1:90" x14ac:dyDescent="0.3">
      <c r="A2546" t="s">
        <v>72</v>
      </c>
      <c r="B2546" t="s">
        <v>73</v>
      </c>
      <c r="C2546" t="s">
        <v>74</v>
      </c>
      <c r="E2546" t="str">
        <f>"080065488107"</f>
        <v>080065488107</v>
      </c>
      <c r="F2546" s="3">
        <v>45798</v>
      </c>
      <c r="G2546">
        <v>202602</v>
      </c>
      <c r="H2546" t="s">
        <v>75</v>
      </c>
      <c r="I2546" t="s">
        <v>76</v>
      </c>
      <c r="J2546" t="s">
        <v>77</v>
      </c>
      <c r="K2546" t="s">
        <v>78</v>
      </c>
      <c r="L2546" t="s">
        <v>136</v>
      </c>
      <c r="M2546" t="s">
        <v>137</v>
      </c>
      <c r="N2546" t="s">
        <v>735</v>
      </c>
      <c r="O2546" t="s">
        <v>82</v>
      </c>
      <c r="P2546" t="str">
        <f>"4170039961                    "</f>
        <v xml:space="preserve">4170039961                    </v>
      </c>
      <c r="Q2546">
        <v>0</v>
      </c>
      <c r="R2546">
        <v>0</v>
      </c>
      <c r="S2546">
        <v>0</v>
      </c>
      <c r="T2546">
        <v>0</v>
      </c>
      <c r="U2546">
        <v>0</v>
      </c>
      <c r="V2546">
        <v>0</v>
      </c>
      <c r="W2546">
        <v>0</v>
      </c>
      <c r="X2546">
        <v>0</v>
      </c>
      <c r="Y2546">
        <v>0</v>
      </c>
      <c r="Z2546">
        <v>0</v>
      </c>
      <c r="AA2546">
        <v>0</v>
      </c>
      <c r="AB2546">
        <v>0</v>
      </c>
      <c r="AC2546">
        <v>0</v>
      </c>
      <c r="AD2546">
        <v>0</v>
      </c>
      <c r="AE2546">
        <v>0</v>
      </c>
      <c r="AF2546">
        <v>0</v>
      </c>
      <c r="AG2546">
        <v>0</v>
      </c>
      <c r="AH2546">
        <v>0</v>
      </c>
      <c r="AI2546">
        <v>0</v>
      </c>
      <c r="AJ2546">
        <v>0</v>
      </c>
      <c r="AK2546">
        <v>0</v>
      </c>
      <c r="AL2546">
        <v>0</v>
      </c>
      <c r="AM2546">
        <v>0</v>
      </c>
      <c r="AN2546">
        <v>0</v>
      </c>
      <c r="AO2546">
        <v>0</v>
      </c>
      <c r="AP2546">
        <v>0</v>
      </c>
      <c r="AQ2546">
        <v>21.38</v>
      </c>
      <c r="AR2546">
        <v>0</v>
      </c>
      <c r="AS2546">
        <v>0</v>
      </c>
      <c r="AT2546">
        <v>0</v>
      </c>
      <c r="AU2546">
        <v>0</v>
      </c>
      <c r="AV2546">
        <v>0</v>
      </c>
      <c r="AW2546">
        <v>0</v>
      </c>
      <c r="AX2546">
        <v>0</v>
      </c>
      <c r="AY2546">
        <v>0</v>
      </c>
      <c r="AZ2546">
        <v>0</v>
      </c>
      <c r="BA2546">
        <v>0</v>
      </c>
      <c r="BB2546">
        <v>0</v>
      </c>
      <c r="BC2546">
        <v>0</v>
      </c>
      <c r="BD2546">
        <v>0</v>
      </c>
      <c r="BE2546">
        <v>0</v>
      </c>
      <c r="BF2546">
        <v>0</v>
      </c>
      <c r="BG2546">
        <v>0</v>
      </c>
      <c r="BH2546">
        <v>1</v>
      </c>
      <c r="BI2546">
        <v>1</v>
      </c>
      <c r="BJ2546">
        <v>1.3</v>
      </c>
      <c r="BK2546">
        <v>1.5</v>
      </c>
      <c r="BL2546">
        <v>69.98</v>
      </c>
      <c r="BM2546">
        <v>10.5</v>
      </c>
      <c r="BN2546">
        <v>80.48</v>
      </c>
      <c r="BO2546">
        <v>80.48</v>
      </c>
      <c r="BQ2546" t="s">
        <v>736</v>
      </c>
      <c r="BR2546" t="s">
        <v>84</v>
      </c>
      <c r="BS2546" s="3">
        <v>45799</v>
      </c>
      <c r="BT2546" s="4">
        <v>0.37916666666666665</v>
      </c>
      <c r="BU2546" t="s">
        <v>739</v>
      </c>
      <c r="BV2546" t="s">
        <v>86</v>
      </c>
      <c r="BY2546">
        <v>6384</v>
      </c>
      <c r="BZ2546" t="s">
        <v>127</v>
      </c>
      <c r="CA2546" t="s">
        <v>258</v>
      </c>
      <c r="CC2546" t="s">
        <v>137</v>
      </c>
      <c r="CD2546" s="5" t="s">
        <v>738</v>
      </c>
      <c r="CE2546" t="s">
        <v>116</v>
      </c>
      <c r="CF2546" s="3">
        <v>45805</v>
      </c>
      <c r="CI2546">
        <v>1</v>
      </c>
      <c r="CJ2546">
        <v>1</v>
      </c>
      <c r="CK2546">
        <v>21</v>
      </c>
      <c r="CL2546" t="s">
        <v>89</v>
      </c>
    </row>
    <row r="2547" spans="1:90" x14ac:dyDescent="0.3">
      <c r="A2547" t="s">
        <v>72</v>
      </c>
      <c r="B2547" t="s">
        <v>73</v>
      </c>
      <c r="C2547" t="s">
        <v>74</v>
      </c>
      <c r="E2547" t="str">
        <f>"080065488141"</f>
        <v>080065488141</v>
      </c>
      <c r="F2547" s="3">
        <v>45798</v>
      </c>
      <c r="G2547">
        <v>202602</v>
      </c>
      <c r="H2547" t="s">
        <v>75</v>
      </c>
      <c r="I2547" t="s">
        <v>76</v>
      </c>
      <c r="J2547" t="s">
        <v>77</v>
      </c>
      <c r="K2547" t="s">
        <v>78</v>
      </c>
      <c r="L2547" t="s">
        <v>75</v>
      </c>
      <c r="M2547" t="s">
        <v>76</v>
      </c>
      <c r="N2547" t="s">
        <v>346</v>
      </c>
      <c r="O2547" t="s">
        <v>82</v>
      </c>
      <c r="P2547" t="str">
        <f>"4170039788                    "</f>
        <v xml:space="preserve">4170039788                    </v>
      </c>
      <c r="Q2547">
        <v>0</v>
      </c>
      <c r="R2547">
        <v>0</v>
      </c>
      <c r="S2547">
        <v>0</v>
      </c>
      <c r="T2547">
        <v>0</v>
      </c>
      <c r="U2547">
        <v>0</v>
      </c>
      <c r="V2547">
        <v>0</v>
      </c>
      <c r="W2547">
        <v>0</v>
      </c>
      <c r="X2547">
        <v>0</v>
      </c>
      <c r="Y2547">
        <v>0</v>
      </c>
      <c r="Z2547">
        <v>0</v>
      </c>
      <c r="AA2547">
        <v>0</v>
      </c>
      <c r="AB2547">
        <v>0</v>
      </c>
      <c r="AC2547">
        <v>0</v>
      </c>
      <c r="AD2547">
        <v>0</v>
      </c>
      <c r="AE2547">
        <v>0</v>
      </c>
      <c r="AF2547">
        <v>0</v>
      </c>
      <c r="AG2547">
        <v>0</v>
      </c>
      <c r="AH2547">
        <v>0</v>
      </c>
      <c r="AI2547">
        <v>0</v>
      </c>
      <c r="AJ2547">
        <v>0</v>
      </c>
      <c r="AK2547">
        <v>0</v>
      </c>
      <c r="AL2547">
        <v>0</v>
      </c>
      <c r="AM2547">
        <v>0</v>
      </c>
      <c r="AN2547">
        <v>0</v>
      </c>
      <c r="AO2547">
        <v>0</v>
      </c>
      <c r="AP2547">
        <v>0</v>
      </c>
      <c r="AQ2547">
        <v>16.7</v>
      </c>
      <c r="AR2547">
        <v>0</v>
      </c>
      <c r="AS2547">
        <v>0</v>
      </c>
      <c r="AT2547">
        <v>0</v>
      </c>
      <c r="AU2547">
        <v>0</v>
      </c>
      <c r="AV2547">
        <v>0</v>
      </c>
      <c r="AW2547">
        <v>0</v>
      </c>
      <c r="AX2547">
        <v>0</v>
      </c>
      <c r="AY2547">
        <v>0</v>
      </c>
      <c r="AZ2547">
        <v>0</v>
      </c>
      <c r="BA2547">
        <v>0</v>
      </c>
      <c r="BB2547">
        <v>0</v>
      </c>
      <c r="BC2547">
        <v>0</v>
      </c>
      <c r="BD2547">
        <v>0</v>
      </c>
      <c r="BE2547">
        <v>0</v>
      </c>
      <c r="BF2547">
        <v>0</v>
      </c>
      <c r="BG2547">
        <v>0</v>
      </c>
      <c r="BH2547">
        <v>1</v>
      </c>
      <c r="BI2547">
        <v>1</v>
      </c>
      <c r="BJ2547">
        <v>0.2</v>
      </c>
      <c r="BK2547">
        <v>1</v>
      </c>
      <c r="BL2547">
        <v>54.66</v>
      </c>
      <c r="BM2547">
        <v>8.1999999999999993</v>
      </c>
      <c r="BN2547">
        <v>62.86</v>
      </c>
      <c r="BO2547">
        <v>62.86</v>
      </c>
      <c r="BQ2547" t="s">
        <v>347</v>
      </c>
      <c r="BR2547" t="s">
        <v>84</v>
      </c>
      <c r="BS2547" s="3">
        <v>45799</v>
      </c>
      <c r="BT2547" s="4">
        <v>0.36388888888888887</v>
      </c>
      <c r="BU2547" t="s">
        <v>2772</v>
      </c>
      <c r="BV2547" t="s">
        <v>86</v>
      </c>
      <c r="BY2547">
        <v>1200</v>
      </c>
      <c r="BZ2547" t="s">
        <v>127</v>
      </c>
      <c r="CA2547" t="s">
        <v>706</v>
      </c>
      <c r="CC2547" t="s">
        <v>76</v>
      </c>
      <c r="CD2547">
        <v>1619</v>
      </c>
      <c r="CE2547" t="s">
        <v>88</v>
      </c>
      <c r="CF2547" s="3">
        <v>45799</v>
      </c>
      <c r="CI2547">
        <v>1</v>
      </c>
      <c r="CJ2547">
        <v>1</v>
      </c>
      <c r="CK2547">
        <v>22</v>
      </c>
      <c r="CL2547" t="s">
        <v>89</v>
      </c>
    </row>
    <row r="2548" spans="1:90" x14ac:dyDescent="0.3">
      <c r="A2548" t="s">
        <v>72</v>
      </c>
      <c r="B2548" t="s">
        <v>73</v>
      </c>
      <c r="C2548" t="s">
        <v>74</v>
      </c>
      <c r="E2548" t="str">
        <f>"080065488162"</f>
        <v>080065488162</v>
      </c>
      <c r="F2548" s="3">
        <v>45798</v>
      </c>
      <c r="G2548">
        <v>202602</v>
      </c>
      <c r="H2548" t="s">
        <v>75</v>
      </c>
      <c r="I2548" t="s">
        <v>76</v>
      </c>
      <c r="J2548" t="s">
        <v>77</v>
      </c>
      <c r="K2548" t="s">
        <v>78</v>
      </c>
      <c r="L2548" t="s">
        <v>366</v>
      </c>
      <c r="M2548" t="s">
        <v>367</v>
      </c>
      <c r="N2548" t="s">
        <v>522</v>
      </c>
      <c r="O2548" t="s">
        <v>82</v>
      </c>
      <c r="P2548" t="str">
        <f>"4170039709                    "</f>
        <v xml:space="preserve">4170039709                    </v>
      </c>
      <c r="Q2548">
        <v>0</v>
      </c>
      <c r="R2548">
        <v>0</v>
      </c>
      <c r="S2548">
        <v>0</v>
      </c>
      <c r="T2548">
        <v>0</v>
      </c>
      <c r="U2548">
        <v>0</v>
      </c>
      <c r="V2548">
        <v>0</v>
      </c>
      <c r="W2548">
        <v>0</v>
      </c>
      <c r="X2548">
        <v>0</v>
      </c>
      <c r="Y2548">
        <v>0</v>
      </c>
      <c r="Z2548">
        <v>0</v>
      </c>
      <c r="AA2548">
        <v>0</v>
      </c>
      <c r="AB2548">
        <v>0</v>
      </c>
      <c r="AC2548">
        <v>0</v>
      </c>
      <c r="AD2548">
        <v>0</v>
      </c>
      <c r="AE2548">
        <v>0</v>
      </c>
      <c r="AF2548">
        <v>0</v>
      </c>
      <c r="AG2548">
        <v>0</v>
      </c>
      <c r="AH2548">
        <v>0</v>
      </c>
      <c r="AI2548">
        <v>0</v>
      </c>
      <c r="AJ2548">
        <v>0</v>
      </c>
      <c r="AK2548">
        <v>0</v>
      </c>
      <c r="AL2548">
        <v>0</v>
      </c>
      <c r="AM2548">
        <v>0</v>
      </c>
      <c r="AN2548">
        <v>0</v>
      </c>
      <c r="AO2548">
        <v>0</v>
      </c>
      <c r="AP2548">
        <v>0</v>
      </c>
      <c r="AQ2548">
        <v>30.07</v>
      </c>
      <c r="AR2548">
        <v>0</v>
      </c>
      <c r="AS2548">
        <v>0</v>
      </c>
      <c r="AT2548">
        <v>0</v>
      </c>
      <c r="AU2548">
        <v>0</v>
      </c>
      <c r="AV2548">
        <v>0</v>
      </c>
      <c r="AW2548">
        <v>0</v>
      </c>
      <c r="AX2548">
        <v>0</v>
      </c>
      <c r="AY2548">
        <v>0</v>
      </c>
      <c r="AZ2548">
        <v>0</v>
      </c>
      <c r="BA2548">
        <v>0</v>
      </c>
      <c r="BB2548">
        <v>0</v>
      </c>
      <c r="BC2548">
        <v>0</v>
      </c>
      <c r="BD2548">
        <v>0</v>
      </c>
      <c r="BE2548">
        <v>0</v>
      </c>
      <c r="BF2548">
        <v>0</v>
      </c>
      <c r="BG2548">
        <v>0</v>
      </c>
      <c r="BH2548">
        <v>1</v>
      </c>
      <c r="BI2548">
        <v>1</v>
      </c>
      <c r="BJ2548">
        <v>0.9</v>
      </c>
      <c r="BK2548">
        <v>1</v>
      </c>
      <c r="BL2548">
        <v>98.42</v>
      </c>
      <c r="BM2548">
        <v>14.76</v>
      </c>
      <c r="BN2548">
        <v>113.18</v>
      </c>
      <c r="BO2548">
        <v>113.18</v>
      </c>
      <c r="BQ2548" t="s">
        <v>523</v>
      </c>
      <c r="BR2548" t="s">
        <v>84</v>
      </c>
      <c r="BS2548" s="3">
        <v>45799</v>
      </c>
      <c r="BT2548" s="4">
        <v>0.43055555555555558</v>
      </c>
      <c r="BU2548" t="s">
        <v>2392</v>
      </c>
      <c r="BV2548" t="s">
        <v>86</v>
      </c>
      <c r="BY2548">
        <v>4275</v>
      </c>
      <c r="BZ2548" t="s">
        <v>127</v>
      </c>
      <c r="CA2548" t="s">
        <v>971</v>
      </c>
      <c r="CC2548" t="s">
        <v>367</v>
      </c>
      <c r="CD2548">
        <v>1441</v>
      </c>
      <c r="CE2548" t="s">
        <v>116</v>
      </c>
      <c r="CF2548" s="3">
        <v>45800</v>
      </c>
      <c r="CI2548">
        <v>1</v>
      </c>
      <c r="CJ2548">
        <v>1</v>
      </c>
      <c r="CK2548">
        <v>24</v>
      </c>
      <c r="CL2548" t="s">
        <v>89</v>
      </c>
    </row>
    <row r="2549" spans="1:90" x14ac:dyDescent="0.3">
      <c r="A2549" t="s">
        <v>72</v>
      </c>
      <c r="B2549" t="s">
        <v>73</v>
      </c>
      <c r="C2549" t="s">
        <v>74</v>
      </c>
      <c r="E2549" t="str">
        <f>"080065488183"</f>
        <v>080065488183</v>
      </c>
      <c r="F2549" s="3">
        <v>45798</v>
      </c>
      <c r="G2549">
        <v>202602</v>
      </c>
      <c r="H2549" t="s">
        <v>75</v>
      </c>
      <c r="I2549" t="s">
        <v>76</v>
      </c>
      <c r="J2549" t="s">
        <v>77</v>
      </c>
      <c r="K2549" t="s">
        <v>78</v>
      </c>
      <c r="L2549" t="s">
        <v>90</v>
      </c>
      <c r="M2549" t="s">
        <v>91</v>
      </c>
      <c r="N2549" t="s">
        <v>92</v>
      </c>
      <c r="O2549" t="s">
        <v>82</v>
      </c>
      <c r="P2549" t="str">
        <f>"4170039839                    "</f>
        <v xml:space="preserve">4170039839                    </v>
      </c>
      <c r="Q2549">
        <v>0</v>
      </c>
      <c r="R2549">
        <v>0</v>
      </c>
      <c r="S2549">
        <v>0</v>
      </c>
      <c r="T2549">
        <v>0</v>
      </c>
      <c r="U2549">
        <v>0</v>
      </c>
      <c r="V2549">
        <v>0</v>
      </c>
      <c r="W2549">
        <v>0</v>
      </c>
      <c r="X2549">
        <v>0</v>
      </c>
      <c r="Y2549">
        <v>0</v>
      </c>
      <c r="Z2549">
        <v>0</v>
      </c>
      <c r="AA2549">
        <v>0</v>
      </c>
      <c r="AB2549">
        <v>0</v>
      </c>
      <c r="AC2549">
        <v>0</v>
      </c>
      <c r="AD2549">
        <v>0</v>
      </c>
      <c r="AE2549">
        <v>0</v>
      </c>
      <c r="AF2549">
        <v>0</v>
      </c>
      <c r="AG2549">
        <v>0</v>
      </c>
      <c r="AH2549">
        <v>0</v>
      </c>
      <c r="AI2549">
        <v>0</v>
      </c>
      <c r="AJ2549">
        <v>0</v>
      </c>
      <c r="AK2549">
        <v>0</v>
      </c>
      <c r="AL2549">
        <v>0</v>
      </c>
      <c r="AM2549">
        <v>0</v>
      </c>
      <c r="AN2549">
        <v>0</v>
      </c>
      <c r="AO2549">
        <v>0</v>
      </c>
      <c r="AP2549">
        <v>0</v>
      </c>
      <c r="AQ2549">
        <v>21.38</v>
      </c>
      <c r="AR2549">
        <v>0</v>
      </c>
      <c r="AS2549">
        <v>0</v>
      </c>
      <c r="AT2549">
        <v>0</v>
      </c>
      <c r="AU2549">
        <v>0</v>
      </c>
      <c r="AV2549">
        <v>0</v>
      </c>
      <c r="AW2549">
        <v>0</v>
      </c>
      <c r="AX2549">
        <v>0</v>
      </c>
      <c r="AY2549">
        <v>0</v>
      </c>
      <c r="AZ2549">
        <v>0</v>
      </c>
      <c r="BA2549">
        <v>0</v>
      </c>
      <c r="BB2549">
        <v>0</v>
      </c>
      <c r="BC2549">
        <v>0</v>
      </c>
      <c r="BD2549">
        <v>0</v>
      </c>
      <c r="BE2549">
        <v>0</v>
      </c>
      <c r="BF2549">
        <v>0</v>
      </c>
      <c r="BG2549">
        <v>0</v>
      </c>
      <c r="BH2549">
        <v>1</v>
      </c>
      <c r="BI2549">
        <v>1</v>
      </c>
      <c r="BJ2549">
        <v>0.2</v>
      </c>
      <c r="BK2549">
        <v>1</v>
      </c>
      <c r="BL2549">
        <v>69.98</v>
      </c>
      <c r="BM2549">
        <v>10.5</v>
      </c>
      <c r="BN2549">
        <v>80.48</v>
      </c>
      <c r="BO2549">
        <v>80.48</v>
      </c>
      <c r="BQ2549" t="s">
        <v>93</v>
      </c>
      <c r="BR2549" t="s">
        <v>84</v>
      </c>
      <c r="BS2549" s="3">
        <v>45799</v>
      </c>
      <c r="BT2549" s="4">
        <v>0.38680555555555557</v>
      </c>
      <c r="BU2549" t="s">
        <v>94</v>
      </c>
      <c r="BV2549" t="s">
        <v>86</v>
      </c>
      <c r="BY2549">
        <v>1200</v>
      </c>
      <c r="CA2549" t="s">
        <v>95</v>
      </c>
      <c r="CC2549" t="s">
        <v>91</v>
      </c>
      <c r="CD2549">
        <v>6001</v>
      </c>
      <c r="CE2549" t="s">
        <v>88</v>
      </c>
      <c r="CF2549" s="3">
        <v>45799</v>
      </c>
      <c r="CI2549">
        <v>1</v>
      </c>
      <c r="CJ2549">
        <v>1</v>
      </c>
      <c r="CK2549">
        <v>21</v>
      </c>
      <c r="CL2549" t="s">
        <v>89</v>
      </c>
    </row>
    <row r="2550" spans="1:90" x14ac:dyDescent="0.3">
      <c r="A2550" t="s">
        <v>72</v>
      </c>
      <c r="B2550" t="s">
        <v>73</v>
      </c>
      <c r="C2550" t="s">
        <v>74</v>
      </c>
      <c r="E2550" t="str">
        <f>"080065488215"</f>
        <v>080065488215</v>
      </c>
      <c r="F2550" s="3">
        <v>45798</v>
      </c>
      <c r="G2550">
        <v>202602</v>
      </c>
      <c r="H2550" t="s">
        <v>75</v>
      </c>
      <c r="I2550" t="s">
        <v>76</v>
      </c>
      <c r="J2550" t="s">
        <v>77</v>
      </c>
      <c r="K2550" t="s">
        <v>78</v>
      </c>
      <c r="L2550" t="s">
        <v>90</v>
      </c>
      <c r="M2550" t="s">
        <v>91</v>
      </c>
      <c r="N2550" t="s">
        <v>92</v>
      </c>
      <c r="O2550" t="s">
        <v>82</v>
      </c>
      <c r="P2550" t="str">
        <f>"4170039889                    "</f>
        <v xml:space="preserve">4170039889                    </v>
      </c>
      <c r="Q2550">
        <v>0</v>
      </c>
      <c r="R2550">
        <v>0</v>
      </c>
      <c r="S2550">
        <v>0</v>
      </c>
      <c r="T2550">
        <v>0</v>
      </c>
      <c r="U2550">
        <v>0</v>
      </c>
      <c r="V2550">
        <v>0</v>
      </c>
      <c r="W2550">
        <v>0</v>
      </c>
      <c r="X2550">
        <v>0</v>
      </c>
      <c r="Y2550">
        <v>0</v>
      </c>
      <c r="Z2550">
        <v>0</v>
      </c>
      <c r="AA2550">
        <v>0</v>
      </c>
      <c r="AB2550">
        <v>0</v>
      </c>
      <c r="AC2550">
        <v>0</v>
      </c>
      <c r="AD2550">
        <v>0</v>
      </c>
      <c r="AE2550">
        <v>0</v>
      </c>
      <c r="AF2550">
        <v>0</v>
      </c>
      <c r="AG2550">
        <v>0</v>
      </c>
      <c r="AH2550">
        <v>0</v>
      </c>
      <c r="AI2550">
        <v>0</v>
      </c>
      <c r="AJ2550">
        <v>0</v>
      </c>
      <c r="AK2550">
        <v>0</v>
      </c>
      <c r="AL2550">
        <v>0</v>
      </c>
      <c r="AM2550">
        <v>0</v>
      </c>
      <c r="AN2550">
        <v>0</v>
      </c>
      <c r="AO2550">
        <v>0</v>
      </c>
      <c r="AP2550">
        <v>0</v>
      </c>
      <c r="AQ2550">
        <v>69.459999999999994</v>
      </c>
      <c r="AR2550">
        <v>0</v>
      </c>
      <c r="AS2550">
        <v>0</v>
      </c>
      <c r="AT2550">
        <v>0</v>
      </c>
      <c r="AU2550">
        <v>0</v>
      </c>
      <c r="AV2550">
        <v>0</v>
      </c>
      <c r="AW2550">
        <v>0</v>
      </c>
      <c r="AX2550">
        <v>0</v>
      </c>
      <c r="AY2550">
        <v>0</v>
      </c>
      <c r="AZ2550">
        <v>0</v>
      </c>
      <c r="BA2550">
        <v>0</v>
      </c>
      <c r="BB2550">
        <v>0</v>
      </c>
      <c r="BC2550">
        <v>0</v>
      </c>
      <c r="BD2550">
        <v>0</v>
      </c>
      <c r="BE2550">
        <v>0</v>
      </c>
      <c r="BF2550">
        <v>0</v>
      </c>
      <c r="BG2550">
        <v>0</v>
      </c>
      <c r="BH2550">
        <v>1</v>
      </c>
      <c r="BI2550">
        <v>3</v>
      </c>
      <c r="BJ2550">
        <v>6.2</v>
      </c>
      <c r="BK2550">
        <v>6.5</v>
      </c>
      <c r="BL2550">
        <v>227.32</v>
      </c>
      <c r="BM2550">
        <v>34.1</v>
      </c>
      <c r="BN2550">
        <v>261.42</v>
      </c>
      <c r="BO2550">
        <v>261.42</v>
      </c>
      <c r="BQ2550" t="s">
        <v>93</v>
      </c>
      <c r="BR2550" t="s">
        <v>84</v>
      </c>
      <c r="BS2550" s="3">
        <v>45799</v>
      </c>
      <c r="BT2550" s="4">
        <v>0.38680555555555557</v>
      </c>
      <c r="BU2550" t="s">
        <v>94</v>
      </c>
      <c r="BV2550" t="s">
        <v>86</v>
      </c>
      <c r="BY2550">
        <v>31008</v>
      </c>
      <c r="CA2550" t="s">
        <v>95</v>
      </c>
      <c r="CC2550" t="s">
        <v>91</v>
      </c>
      <c r="CD2550">
        <v>6001</v>
      </c>
      <c r="CE2550" t="s">
        <v>221</v>
      </c>
      <c r="CF2550" s="3">
        <v>45799</v>
      </c>
      <c r="CI2550">
        <v>1</v>
      </c>
      <c r="CJ2550">
        <v>1</v>
      </c>
      <c r="CK2550">
        <v>21</v>
      </c>
      <c r="CL2550" t="s">
        <v>89</v>
      </c>
    </row>
    <row r="2551" spans="1:90" x14ac:dyDescent="0.3">
      <c r="A2551" t="s">
        <v>72</v>
      </c>
      <c r="B2551" t="s">
        <v>73</v>
      </c>
      <c r="C2551" t="s">
        <v>74</v>
      </c>
      <c r="E2551" t="str">
        <f>"080065488286"</f>
        <v>080065488286</v>
      </c>
      <c r="F2551" s="3">
        <v>45798</v>
      </c>
      <c r="G2551">
        <v>202602</v>
      </c>
      <c r="H2551" t="s">
        <v>75</v>
      </c>
      <c r="I2551" t="s">
        <v>76</v>
      </c>
      <c r="J2551" t="s">
        <v>77</v>
      </c>
      <c r="K2551" t="s">
        <v>78</v>
      </c>
      <c r="L2551" t="s">
        <v>350</v>
      </c>
      <c r="M2551" t="s">
        <v>351</v>
      </c>
      <c r="N2551" t="s">
        <v>459</v>
      </c>
      <c r="O2551" t="s">
        <v>82</v>
      </c>
      <c r="P2551" t="str">
        <f>"4170039857                    "</f>
        <v xml:space="preserve">4170039857                    </v>
      </c>
      <c r="Q2551">
        <v>0</v>
      </c>
      <c r="R2551">
        <v>0</v>
      </c>
      <c r="S2551">
        <v>0</v>
      </c>
      <c r="T2551">
        <v>0</v>
      </c>
      <c r="U2551">
        <v>0</v>
      </c>
      <c r="V2551">
        <v>0</v>
      </c>
      <c r="W2551">
        <v>0</v>
      </c>
      <c r="X2551">
        <v>0</v>
      </c>
      <c r="Y2551">
        <v>0</v>
      </c>
      <c r="Z2551">
        <v>0</v>
      </c>
      <c r="AA2551">
        <v>0</v>
      </c>
      <c r="AB2551">
        <v>0</v>
      </c>
      <c r="AC2551">
        <v>0</v>
      </c>
      <c r="AD2551">
        <v>0</v>
      </c>
      <c r="AE2551">
        <v>0</v>
      </c>
      <c r="AF2551">
        <v>0</v>
      </c>
      <c r="AG2551">
        <v>0</v>
      </c>
      <c r="AH2551">
        <v>0</v>
      </c>
      <c r="AI2551">
        <v>0</v>
      </c>
      <c r="AJ2551">
        <v>0</v>
      </c>
      <c r="AK2551">
        <v>0</v>
      </c>
      <c r="AL2551">
        <v>0</v>
      </c>
      <c r="AM2551">
        <v>0</v>
      </c>
      <c r="AN2551">
        <v>0</v>
      </c>
      <c r="AO2551">
        <v>0</v>
      </c>
      <c r="AP2551">
        <v>0</v>
      </c>
      <c r="AQ2551">
        <v>37.409999999999997</v>
      </c>
      <c r="AR2551">
        <v>0</v>
      </c>
      <c r="AS2551">
        <v>0</v>
      </c>
      <c r="AT2551">
        <v>0</v>
      </c>
      <c r="AU2551">
        <v>0</v>
      </c>
      <c r="AV2551">
        <v>0</v>
      </c>
      <c r="AW2551">
        <v>0</v>
      </c>
      <c r="AX2551">
        <v>0</v>
      </c>
      <c r="AY2551">
        <v>0</v>
      </c>
      <c r="AZ2551">
        <v>0</v>
      </c>
      <c r="BA2551">
        <v>0</v>
      </c>
      <c r="BB2551">
        <v>0</v>
      </c>
      <c r="BC2551">
        <v>0</v>
      </c>
      <c r="BD2551">
        <v>0</v>
      </c>
      <c r="BE2551">
        <v>0</v>
      </c>
      <c r="BF2551">
        <v>0</v>
      </c>
      <c r="BG2551">
        <v>0</v>
      </c>
      <c r="BH2551">
        <v>1</v>
      </c>
      <c r="BI2551">
        <v>2</v>
      </c>
      <c r="BJ2551">
        <v>3.4</v>
      </c>
      <c r="BK2551">
        <v>3.5</v>
      </c>
      <c r="BL2551">
        <v>122.43</v>
      </c>
      <c r="BM2551">
        <v>18.36</v>
      </c>
      <c r="BN2551">
        <v>140.79</v>
      </c>
      <c r="BO2551">
        <v>140.79</v>
      </c>
      <c r="BQ2551" t="s">
        <v>460</v>
      </c>
      <c r="BR2551" t="s">
        <v>84</v>
      </c>
      <c r="BS2551" s="3">
        <v>45799</v>
      </c>
      <c r="BT2551" s="4">
        <v>0.34236111111111112</v>
      </c>
      <c r="BU2551" t="s">
        <v>461</v>
      </c>
      <c r="BV2551" t="s">
        <v>86</v>
      </c>
      <c r="BY2551">
        <v>17136</v>
      </c>
      <c r="CA2551" t="s">
        <v>462</v>
      </c>
      <c r="CC2551" t="s">
        <v>351</v>
      </c>
      <c r="CD2551">
        <v>4051</v>
      </c>
      <c r="CE2551" t="s">
        <v>221</v>
      </c>
      <c r="CF2551" s="3">
        <v>45799</v>
      </c>
      <c r="CI2551">
        <v>1</v>
      </c>
      <c r="CJ2551">
        <v>1</v>
      </c>
      <c r="CK2551">
        <v>21</v>
      </c>
      <c r="CL2551" t="s">
        <v>89</v>
      </c>
    </row>
    <row r="2552" spans="1:90" x14ac:dyDescent="0.3">
      <c r="A2552" t="s">
        <v>72</v>
      </c>
      <c r="B2552" t="s">
        <v>73</v>
      </c>
      <c r="C2552" t="s">
        <v>74</v>
      </c>
      <c r="E2552" t="str">
        <f>"080065488591"</f>
        <v>080065488591</v>
      </c>
      <c r="F2552" s="3">
        <v>45798</v>
      </c>
      <c r="G2552">
        <v>202602</v>
      </c>
      <c r="H2552" t="s">
        <v>75</v>
      </c>
      <c r="I2552" t="s">
        <v>76</v>
      </c>
      <c r="J2552" t="s">
        <v>77</v>
      </c>
      <c r="K2552" t="s">
        <v>78</v>
      </c>
      <c r="L2552" t="s">
        <v>1132</v>
      </c>
      <c r="M2552" t="s">
        <v>1133</v>
      </c>
      <c r="N2552" t="s">
        <v>1134</v>
      </c>
      <c r="O2552" t="s">
        <v>82</v>
      </c>
      <c r="P2552" t="str">
        <f>"4170039851                    "</f>
        <v xml:space="preserve">4170039851                    </v>
      </c>
      <c r="Q2552">
        <v>0</v>
      </c>
      <c r="R2552">
        <v>0</v>
      </c>
      <c r="S2552">
        <v>0</v>
      </c>
      <c r="T2552">
        <v>0</v>
      </c>
      <c r="U2552">
        <v>0</v>
      </c>
      <c r="V2552">
        <v>0</v>
      </c>
      <c r="W2552">
        <v>0</v>
      </c>
      <c r="X2552">
        <v>0</v>
      </c>
      <c r="Y2552">
        <v>0</v>
      </c>
      <c r="Z2552">
        <v>0</v>
      </c>
      <c r="AA2552">
        <v>0</v>
      </c>
      <c r="AB2552">
        <v>0</v>
      </c>
      <c r="AC2552">
        <v>0</v>
      </c>
      <c r="AD2552">
        <v>0</v>
      </c>
      <c r="AE2552">
        <v>0</v>
      </c>
      <c r="AF2552">
        <v>0</v>
      </c>
      <c r="AG2552">
        <v>0</v>
      </c>
      <c r="AH2552">
        <v>0</v>
      </c>
      <c r="AI2552">
        <v>0</v>
      </c>
      <c r="AJ2552">
        <v>0</v>
      </c>
      <c r="AK2552">
        <v>0</v>
      </c>
      <c r="AL2552">
        <v>0</v>
      </c>
      <c r="AM2552">
        <v>0</v>
      </c>
      <c r="AN2552">
        <v>0</v>
      </c>
      <c r="AO2552">
        <v>0</v>
      </c>
      <c r="AP2552">
        <v>0</v>
      </c>
      <c r="AQ2552">
        <v>41.43</v>
      </c>
      <c r="AR2552">
        <v>0</v>
      </c>
      <c r="AS2552">
        <v>0</v>
      </c>
      <c r="AT2552">
        <v>0</v>
      </c>
      <c r="AU2552">
        <v>0</v>
      </c>
      <c r="AV2552">
        <v>0</v>
      </c>
      <c r="AW2552">
        <v>0</v>
      </c>
      <c r="AX2552">
        <v>0</v>
      </c>
      <c r="AY2552">
        <v>0</v>
      </c>
      <c r="AZ2552">
        <v>0</v>
      </c>
      <c r="BA2552">
        <v>0</v>
      </c>
      <c r="BB2552">
        <v>0</v>
      </c>
      <c r="BC2552">
        <v>0</v>
      </c>
      <c r="BD2552">
        <v>0</v>
      </c>
      <c r="BE2552">
        <v>0</v>
      </c>
      <c r="BF2552">
        <v>0</v>
      </c>
      <c r="BG2552">
        <v>0</v>
      </c>
      <c r="BH2552">
        <v>1</v>
      </c>
      <c r="BI2552">
        <v>1</v>
      </c>
      <c r="BJ2552">
        <v>0.2</v>
      </c>
      <c r="BK2552">
        <v>1</v>
      </c>
      <c r="BL2552">
        <v>135.59</v>
      </c>
      <c r="BM2552">
        <v>20.34</v>
      </c>
      <c r="BN2552">
        <v>155.93</v>
      </c>
      <c r="BO2552">
        <v>155.93</v>
      </c>
      <c r="BQ2552" t="s">
        <v>1135</v>
      </c>
      <c r="BR2552" t="s">
        <v>84</v>
      </c>
      <c r="BS2552" s="3">
        <v>45799</v>
      </c>
      <c r="BT2552" s="4">
        <v>0.5131944444444444</v>
      </c>
      <c r="BU2552" t="s">
        <v>2773</v>
      </c>
      <c r="BV2552" t="s">
        <v>86</v>
      </c>
      <c r="BY2552">
        <v>1200</v>
      </c>
      <c r="CA2552" t="s">
        <v>2774</v>
      </c>
      <c r="CC2552" t="s">
        <v>1133</v>
      </c>
      <c r="CD2552" s="5" t="s">
        <v>1138</v>
      </c>
      <c r="CE2552" t="s">
        <v>88</v>
      </c>
      <c r="CF2552" s="3">
        <v>45800</v>
      </c>
      <c r="CI2552">
        <v>1</v>
      </c>
      <c r="CJ2552">
        <v>1</v>
      </c>
      <c r="CK2552">
        <v>23</v>
      </c>
      <c r="CL2552" t="s">
        <v>89</v>
      </c>
    </row>
    <row r="2553" spans="1:90" x14ac:dyDescent="0.3">
      <c r="A2553" t="s">
        <v>72</v>
      </c>
      <c r="B2553" t="s">
        <v>73</v>
      </c>
      <c r="C2553" t="s">
        <v>74</v>
      </c>
      <c r="E2553" t="str">
        <f>"080065488615"</f>
        <v>080065488615</v>
      </c>
      <c r="F2553" s="3">
        <v>45798</v>
      </c>
      <c r="G2553">
        <v>202602</v>
      </c>
      <c r="H2553" t="s">
        <v>75</v>
      </c>
      <c r="I2553" t="s">
        <v>76</v>
      </c>
      <c r="J2553" t="s">
        <v>77</v>
      </c>
      <c r="K2553" t="s">
        <v>78</v>
      </c>
      <c r="L2553" t="s">
        <v>130</v>
      </c>
      <c r="M2553" t="s">
        <v>131</v>
      </c>
      <c r="N2553" t="s">
        <v>2775</v>
      </c>
      <c r="O2553" t="s">
        <v>82</v>
      </c>
      <c r="P2553" t="str">
        <f>"4170039866                    "</f>
        <v xml:space="preserve">4170039866                    </v>
      </c>
      <c r="Q2553">
        <v>0</v>
      </c>
      <c r="R2553">
        <v>0</v>
      </c>
      <c r="S2553">
        <v>0</v>
      </c>
      <c r="T2553">
        <v>0</v>
      </c>
      <c r="U2553">
        <v>0</v>
      </c>
      <c r="V2553">
        <v>0</v>
      </c>
      <c r="W2553">
        <v>0</v>
      </c>
      <c r="X2553">
        <v>0</v>
      </c>
      <c r="Y2553">
        <v>0</v>
      </c>
      <c r="Z2553">
        <v>0</v>
      </c>
      <c r="AA2553">
        <v>0</v>
      </c>
      <c r="AB2553">
        <v>0</v>
      </c>
      <c r="AC2553">
        <v>0</v>
      </c>
      <c r="AD2553">
        <v>0</v>
      </c>
      <c r="AE2553">
        <v>0</v>
      </c>
      <c r="AF2553">
        <v>0</v>
      </c>
      <c r="AG2553">
        <v>0</v>
      </c>
      <c r="AH2553">
        <v>0</v>
      </c>
      <c r="AI2553">
        <v>0</v>
      </c>
      <c r="AJ2553">
        <v>0</v>
      </c>
      <c r="AK2553">
        <v>0</v>
      </c>
      <c r="AL2553">
        <v>0</v>
      </c>
      <c r="AM2553">
        <v>0</v>
      </c>
      <c r="AN2553">
        <v>0</v>
      </c>
      <c r="AO2553">
        <v>0</v>
      </c>
      <c r="AP2553">
        <v>0</v>
      </c>
      <c r="AQ2553">
        <v>37.409999999999997</v>
      </c>
      <c r="AR2553">
        <v>0</v>
      </c>
      <c r="AS2553">
        <v>0</v>
      </c>
      <c r="AT2553">
        <v>0</v>
      </c>
      <c r="AU2553">
        <v>0</v>
      </c>
      <c r="AV2553">
        <v>0</v>
      </c>
      <c r="AW2553">
        <v>0</v>
      </c>
      <c r="AX2553">
        <v>0</v>
      </c>
      <c r="AY2553">
        <v>0</v>
      </c>
      <c r="AZ2553">
        <v>0</v>
      </c>
      <c r="BA2553">
        <v>0</v>
      </c>
      <c r="BB2553">
        <v>0</v>
      </c>
      <c r="BC2553">
        <v>0</v>
      </c>
      <c r="BD2553">
        <v>0</v>
      </c>
      <c r="BE2553">
        <v>0</v>
      </c>
      <c r="BF2553">
        <v>0</v>
      </c>
      <c r="BG2553">
        <v>0</v>
      </c>
      <c r="BH2553">
        <v>1</v>
      </c>
      <c r="BI2553">
        <v>1</v>
      </c>
      <c r="BJ2553">
        <v>3.4</v>
      </c>
      <c r="BK2553">
        <v>3.5</v>
      </c>
      <c r="BL2553">
        <v>122.43</v>
      </c>
      <c r="BM2553">
        <v>18.36</v>
      </c>
      <c r="BN2553">
        <v>140.79</v>
      </c>
      <c r="BO2553">
        <v>140.79</v>
      </c>
      <c r="BQ2553" t="s">
        <v>2776</v>
      </c>
      <c r="BR2553" t="s">
        <v>84</v>
      </c>
      <c r="BS2553" s="3">
        <v>45799</v>
      </c>
      <c r="BT2553" s="4">
        <v>0.43194444444444446</v>
      </c>
      <c r="BU2553" t="s">
        <v>2777</v>
      </c>
      <c r="BV2553" t="s">
        <v>86</v>
      </c>
      <c r="BY2553">
        <v>16965</v>
      </c>
      <c r="CA2553" t="s">
        <v>488</v>
      </c>
      <c r="CC2553" t="s">
        <v>131</v>
      </c>
      <c r="CD2553">
        <v>7500</v>
      </c>
      <c r="CE2553" t="s">
        <v>96</v>
      </c>
      <c r="CF2553" s="3">
        <v>45800</v>
      </c>
      <c r="CI2553">
        <v>1</v>
      </c>
      <c r="CJ2553">
        <v>1</v>
      </c>
      <c r="CK2553">
        <v>21</v>
      </c>
      <c r="CL2553" t="s">
        <v>89</v>
      </c>
    </row>
    <row r="2554" spans="1:90" x14ac:dyDescent="0.3">
      <c r="A2554" t="s">
        <v>72</v>
      </c>
      <c r="B2554" t="s">
        <v>73</v>
      </c>
      <c r="C2554" t="s">
        <v>74</v>
      </c>
      <c r="E2554" t="str">
        <f>"080065488620"</f>
        <v>080065488620</v>
      </c>
      <c r="F2554" s="3">
        <v>45798</v>
      </c>
      <c r="G2554">
        <v>202602</v>
      </c>
      <c r="H2554" t="s">
        <v>75</v>
      </c>
      <c r="I2554" t="s">
        <v>76</v>
      </c>
      <c r="J2554" t="s">
        <v>77</v>
      </c>
      <c r="K2554" t="s">
        <v>78</v>
      </c>
      <c r="L2554" t="s">
        <v>1214</v>
      </c>
      <c r="M2554" t="s">
        <v>1215</v>
      </c>
      <c r="N2554" t="s">
        <v>1216</v>
      </c>
      <c r="O2554" t="s">
        <v>82</v>
      </c>
      <c r="P2554" t="str">
        <f>"4170039848                    "</f>
        <v xml:space="preserve">4170039848                    </v>
      </c>
      <c r="Q2554">
        <v>0</v>
      </c>
      <c r="R2554">
        <v>0</v>
      </c>
      <c r="S2554">
        <v>0</v>
      </c>
      <c r="T2554">
        <v>0</v>
      </c>
      <c r="U2554">
        <v>0</v>
      </c>
      <c r="V2554">
        <v>0</v>
      </c>
      <c r="W2554">
        <v>0</v>
      </c>
      <c r="X2554">
        <v>0</v>
      </c>
      <c r="Y2554">
        <v>0</v>
      </c>
      <c r="Z2554">
        <v>0</v>
      </c>
      <c r="AA2554">
        <v>0</v>
      </c>
      <c r="AB2554">
        <v>0</v>
      </c>
      <c r="AC2554">
        <v>0</v>
      </c>
      <c r="AD2554">
        <v>0</v>
      </c>
      <c r="AE2554">
        <v>0</v>
      </c>
      <c r="AF2554">
        <v>0</v>
      </c>
      <c r="AG2554">
        <v>0</v>
      </c>
      <c r="AH2554">
        <v>0</v>
      </c>
      <c r="AI2554">
        <v>0</v>
      </c>
      <c r="AJ2554">
        <v>0</v>
      </c>
      <c r="AK2554">
        <v>0</v>
      </c>
      <c r="AL2554">
        <v>0</v>
      </c>
      <c r="AM2554">
        <v>0</v>
      </c>
      <c r="AN2554">
        <v>0</v>
      </c>
      <c r="AO2554">
        <v>0</v>
      </c>
      <c r="AP2554">
        <v>0</v>
      </c>
      <c r="AQ2554">
        <v>21.38</v>
      </c>
      <c r="AR2554">
        <v>0</v>
      </c>
      <c r="AS2554">
        <v>0</v>
      </c>
      <c r="AT2554">
        <v>0</v>
      </c>
      <c r="AU2554">
        <v>0</v>
      </c>
      <c r="AV2554">
        <v>0</v>
      </c>
      <c r="AW2554">
        <v>0</v>
      </c>
      <c r="AX2554">
        <v>0</v>
      </c>
      <c r="AY2554">
        <v>0</v>
      </c>
      <c r="AZ2554">
        <v>0</v>
      </c>
      <c r="BA2554">
        <v>0</v>
      </c>
      <c r="BB2554">
        <v>0</v>
      </c>
      <c r="BC2554">
        <v>0</v>
      </c>
      <c r="BD2554">
        <v>0</v>
      </c>
      <c r="BE2554">
        <v>0</v>
      </c>
      <c r="BF2554">
        <v>0</v>
      </c>
      <c r="BG2554">
        <v>0</v>
      </c>
      <c r="BH2554">
        <v>1</v>
      </c>
      <c r="BI2554">
        <v>1</v>
      </c>
      <c r="BJ2554">
        <v>0.2</v>
      </c>
      <c r="BK2554">
        <v>1</v>
      </c>
      <c r="BL2554">
        <v>69.98</v>
      </c>
      <c r="BM2554">
        <v>10.5</v>
      </c>
      <c r="BN2554">
        <v>80.48</v>
      </c>
      <c r="BO2554">
        <v>80.48</v>
      </c>
      <c r="BQ2554" t="s">
        <v>1217</v>
      </c>
      <c r="BR2554" t="s">
        <v>84</v>
      </c>
      <c r="BS2554" s="3">
        <v>45799</v>
      </c>
      <c r="BT2554" s="4">
        <v>0.375</v>
      </c>
      <c r="BU2554" t="s">
        <v>2581</v>
      </c>
      <c r="BV2554" t="s">
        <v>86</v>
      </c>
      <c r="BY2554">
        <v>1200</v>
      </c>
      <c r="CA2554" t="s">
        <v>1219</v>
      </c>
      <c r="CC2554" t="s">
        <v>1215</v>
      </c>
      <c r="CD2554">
        <v>4302</v>
      </c>
      <c r="CE2554" t="s">
        <v>88</v>
      </c>
      <c r="CF2554" s="3">
        <v>45800</v>
      </c>
      <c r="CI2554">
        <v>1</v>
      </c>
      <c r="CJ2554">
        <v>1</v>
      </c>
      <c r="CK2554">
        <v>21</v>
      </c>
      <c r="CL2554" t="s">
        <v>89</v>
      </c>
    </row>
    <row r="2555" spans="1:90" x14ac:dyDescent="0.3">
      <c r="A2555" t="s">
        <v>72</v>
      </c>
      <c r="B2555" t="s">
        <v>73</v>
      </c>
      <c r="C2555" t="s">
        <v>74</v>
      </c>
      <c r="E2555" t="str">
        <f>"080065488648"</f>
        <v>080065488648</v>
      </c>
      <c r="F2555" s="3">
        <v>45798</v>
      </c>
      <c r="G2555">
        <v>202602</v>
      </c>
      <c r="H2555" t="s">
        <v>75</v>
      </c>
      <c r="I2555" t="s">
        <v>76</v>
      </c>
      <c r="J2555" t="s">
        <v>77</v>
      </c>
      <c r="K2555" t="s">
        <v>78</v>
      </c>
      <c r="L2555" t="s">
        <v>409</v>
      </c>
      <c r="M2555" t="s">
        <v>410</v>
      </c>
      <c r="N2555" t="s">
        <v>1022</v>
      </c>
      <c r="O2555" t="s">
        <v>82</v>
      </c>
      <c r="P2555" t="str">
        <f>"4170039710                    "</f>
        <v xml:space="preserve">4170039710                    </v>
      </c>
      <c r="Q2555">
        <v>0</v>
      </c>
      <c r="R2555">
        <v>0</v>
      </c>
      <c r="S2555">
        <v>0</v>
      </c>
      <c r="T2555">
        <v>0</v>
      </c>
      <c r="U2555">
        <v>0</v>
      </c>
      <c r="V2555">
        <v>0</v>
      </c>
      <c r="W2555">
        <v>0</v>
      </c>
      <c r="X2555">
        <v>0</v>
      </c>
      <c r="Y2555">
        <v>0</v>
      </c>
      <c r="Z2555">
        <v>0</v>
      </c>
      <c r="AA2555">
        <v>0</v>
      </c>
      <c r="AB2555">
        <v>0</v>
      </c>
      <c r="AC2555">
        <v>0</v>
      </c>
      <c r="AD2555">
        <v>0</v>
      </c>
      <c r="AE2555">
        <v>0</v>
      </c>
      <c r="AF2555">
        <v>0</v>
      </c>
      <c r="AG2555">
        <v>0</v>
      </c>
      <c r="AH2555">
        <v>0</v>
      </c>
      <c r="AI2555">
        <v>0</v>
      </c>
      <c r="AJ2555">
        <v>0</v>
      </c>
      <c r="AK2555">
        <v>0</v>
      </c>
      <c r="AL2555">
        <v>0</v>
      </c>
      <c r="AM2555">
        <v>0</v>
      </c>
      <c r="AN2555">
        <v>0</v>
      </c>
      <c r="AO2555">
        <v>0</v>
      </c>
      <c r="AP2555">
        <v>0</v>
      </c>
      <c r="AQ2555">
        <v>41.43</v>
      </c>
      <c r="AR2555">
        <v>0</v>
      </c>
      <c r="AS2555">
        <v>0</v>
      </c>
      <c r="AT2555">
        <v>0</v>
      </c>
      <c r="AU2555">
        <v>0</v>
      </c>
      <c r="AV2555">
        <v>0</v>
      </c>
      <c r="AW2555">
        <v>0</v>
      </c>
      <c r="AX2555">
        <v>0</v>
      </c>
      <c r="AY2555">
        <v>0</v>
      </c>
      <c r="AZ2555">
        <v>0</v>
      </c>
      <c r="BA2555">
        <v>0</v>
      </c>
      <c r="BB2555">
        <v>0</v>
      </c>
      <c r="BC2555">
        <v>0</v>
      </c>
      <c r="BD2555">
        <v>0</v>
      </c>
      <c r="BE2555">
        <v>0</v>
      </c>
      <c r="BF2555">
        <v>0</v>
      </c>
      <c r="BG2555">
        <v>0</v>
      </c>
      <c r="BH2555">
        <v>1</v>
      </c>
      <c r="BI2555">
        <v>2</v>
      </c>
      <c r="BJ2555">
        <v>1.9</v>
      </c>
      <c r="BK2555">
        <v>2</v>
      </c>
      <c r="BL2555">
        <v>135.59</v>
      </c>
      <c r="BM2555">
        <v>20.34</v>
      </c>
      <c r="BN2555">
        <v>155.93</v>
      </c>
      <c r="BO2555">
        <v>155.93</v>
      </c>
      <c r="BQ2555" t="s">
        <v>1023</v>
      </c>
      <c r="BR2555" t="s">
        <v>84</v>
      </c>
      <c r="BS2555" s="3">
        <v>45799</v>
      </c>
      <c r="BT2555" s="4">
        <v>0.49930555555555556</v>
      </c>
      <c r="BU2555" t="s">
        <v>1087</v>
      </c>
      <c r="BV2555" t="s">
        <v>86</v>
      </c>
      <c r="BY2555">
        <v>9600</v>
      </c>
      <c r="CA2555" t="s">
        <v>1088</v>
      </c>
      <c r="CC2555" t="s">
        <v>410</v>
      </c>
      <c r="CD2555">
        <v>6849</v>
      </c>
      <c r="CE2555" t="s">
        <v>96</v>
      </c>
      <c r="CF2555" s="3">
        <v>45800</v>
      </c>
      <c r="CI2555">
        <v>2</v>
      </c>
      <c r="CJ2555">
        <v>1</v>
      </c>
      <c r="CK2555">
        <v>23</v>
      </c>
      <c r="CL2555" t="s">
        <v>89</v>
      </c>
    </row>
    <row r="2556" spans="1:90" x14ac:dyDescent="0.3">
      <c r="A2556" t="s">
        <v>72</v>
      </c>
      <c r="B2556" t="s">
        <v>73</v>
      </c>
      <c r="C2556" t="s">
        <v>74</v>
      </c>
      <c r="E2556" t="str">
        <f>"080065488658"</f>
        <v>080065488658</v>
      </c>
      <c r="F2556" s="3">
        <v>45798</v>
      </c>
      <c r="G2556">
        <v>202602</v>
      </c>
      <c r="H2556" t="s">
        <v>75</v>
      </c>
      <c r="I2556" t="s">
        <v>76</v>
      </c>
      <c r="J2556" t="s">
        <v>77</v>
      </c>
      <c r="K2556" t="s">
        <v>78</v>
      </c>
      <c r="L2556" t="s">
        <v>90</v>
      </c>
      <c r="M2556" t="s">
        <v>91</v>
      </c>
      <c r="N2556" t="s">
        <v>1761</v>
      </c>
      <c r="O2556" t="s">
        <v>82</v>
      </c>
      <c r="P2556" t="str">
        <f>"4170039717                    "</f>
        <v xml:space="preserve">4170039717                    </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0</v>
      </c>
      <c r="AJ2556">
        <v>0</v>
      </c>
      <c r="AK2556">
        <v>0</v>
      </c>
      <c r="AL2556">
        <v>0</v>
      </c>
      <c r="AM2556">
        <v>0</v>
      </c>
      <c r="AN2556">
        <v>0</v>
      </c>
      <c r="AO2556">
        <v>0</v>
      </c>
      <c r="AP2556">
        <v>0</v>
      </c>
      <c r="AQ2556">
        <v>21.38</v>
      </c>
      <c r="AR2556">
        <v>0</v>
      </c>
      <c r="AS2556">
        <v>0</v>
      </c>
      <c r="AT2556">
        <v>0</v>
      </c>
      <c r="AU2556">
        <v>0</v>
      </c>
      <c r="AV2556">
        <v>0</v>
      </c>
      <c r="AW2556">
        <v>0</v>
      </c>
      <c r="AX2556">
        <v>0</v>
      </c>
      <c r="AY2556">
        <v>0</v>
      </c>
      <c r="AZ2556">
        <v>0</v>
      </c>
      <c r="BA2556">
        <v>0</v>
      </c>
      <c r="BB2556">
        <v>0</v>
      </c>
      <c r="BC2556">
        <v>0</v>
      </c>
      <c r="BD2556">
        <v>0</v>
      </c>
      <c r="BE2556">
        <v>0</v>
      </c>
      <c r="BF2556">
        <v>0</v>
      </c>
      <c r="BG2556">
        <v>0</v>
      </c>
      <c r="BH2556">
        <v>1</v>
      </c>
      <c r="BI2556">
        <v>1</v>
      </c>
      <c r="BJ2556">
        <v>0.2</v>
      </c>
      <c r="BK2556">
        <v>1</v>
      </c>
      <c r="BL2556">
        <v>69.98</v>
      </c>
      <c r="BM2556">
        <v>10.5</v>
      </c>
      <c r="BN2556">
        <v>80.48</v>
      </c>
      <c r="BO2556">
        <v>80.48</v>
      </c>
      <c r="BQ2556" t="s">
        <v>1762</v>
      </c>
      <c r="BR2556" t="s">
        <v>84</v>
      </c>
      <c r="BS2556" s="3">
        <v>45799</v>
      </c>
      <c r="BT2556" s="4">
        <v>0.40347222222222223</v>
      </c>
      <c r="BU2556" t="s">
        <v>2778</v>
      </c>
      <c r="BV2556" t="s">
        <v>86</v>
      </c>
      <c r="BY2556">
        <v>1200</v>
      </c>
      <c r="CA2556" t="s">
        <v>95</v>
      </c>
      <c r="CC2556" t="s">
        <v>91</v>
      </c>
      <c r="CD2556">
        <v>6001</v>
      </c>
      <c r="CE2556" t="s">
        <v>88</v>
      </c>
      <c r="CF2556" s="3">
        <v>45799</v>
      </c>
      <c r="CI2556">
        <v>1</v>
      </c>
      <c r="CJ2556">
        <v>1</v>
      </c>
      <c r="CK2556">
        <v>21</v>
      </c>
      <c r="CL2556" t="s">
        <v>89</v>
      </c>
    </row>
    <row r="2557" spans="1:90" x14ac:dyDescent="0.3">
      <c r="A2557" t="s">
        <v>72</v>
      </c>
      <c r="B2557" t="s">
        <v>73</v>
      </c>
      <c r="C2557" t="s">
        <v>74</v>
      </c>
      <c r="E2557" t="str">
        <f>"080065488682"</f>
        <v>080065488682</v>
      </c>
      <c r="F2557" s="3">
        <v>45798</v>
      </c>
      <c r="G2557">
        <v>202602</v>
      </c>
      <c r="H2557" t="s">
        <v>75</v>
      </c>
      <c r="I2557" t="s">
        <v>76</v>
      </c>
      <c r="J2557" t="s">
        <v>77</v>
      </c>
      <c r="K2557" t="s">
        <v>78</v>
      </c>
      <c r="L2557" t="s">
        <v>97</v>
      </c>
      <c r="M2557" t="s">
        <v>98</v>
      </c>
      <c r="N2557" t="s">
        <v>2242</v>
      </c>
      <c r="O2557" t="s">
        <v>82</v>
      </c>
      <c r="P2557" t="str">
        <f>"4170039689                    "</f>
        <v xml:space="preserve">4170039689                    </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0</v>
      </c>
      <c r="AJ2557">
        <v>0</v>
      </c>
      <c r="AK2557">
        <v>0</v>
      </c>
      <c r="AL2557">
        <v>0</v>
      </c>
      <c r="AM2557">
        <v>0</v>
      </c>
      <c r="AN2557">
        <v>0</v>
      </c>
      <c r="AO2557">
        <v>0</v>
      </c>
      <c r="AP2557">
        <v>0</v>
      </c>
      <c r="AQ2557">
        <v>16.7</v>
      </c>
      <c r="AR2557">
        <v>0</v>
      </c>
      <c r="AS2557">
        <v>0</v>
      </c>
      <c r="AT2557">
        <v>0</v>
      </c>
      <c r="AU2557">
        <v>0</v>
      </c>
      <c r="AV2557">
        <v>0</v>
      </c>
      <c r="AW2557">
        <v>0</v>
      </c>
      <c r="AX2557">
        <v>0</v>
      </c>
      <c r="AY2557">
        <v>0</v>
      </c>
      <c r="AZ2557">
        <v>0</v>
      </c>
      <c r="BA2557">
        <v>0</v>
      </c>
      <c r="BB2557">
        <v>0</v>
      </c>
      <c r="BC2557">
        <v>0</v>
      </c>
      <c r="BD2557">
        <v>0</v>
      </c>
      <c r="BE2557">
        <v>0</v>
      </c>
      <c r="BF2557">
        <v>0</v>
      </c>
      <c r="BG2557">
        <v>0</v>
      </c>
      <c r="BH2557">
        <v>1</v>
      </c>
      <c r="BI2557">
        <v>1</v>
      </c>
      <c r="BJ2557">
        <v>0.2</v>
      </c>
      <c r="BK2557">
        <v>1</v>
      </c>
      <c r="BL2557">
        <v>54.66</v>
      </c>
      <c r="BM2557">
        <v>8.1999999999999993</v>
      </c>
      <c r="BN2557">
        <v>62.86</v>
      </c>
      <c r="BO2557">
        <v>62.86</v>
      </c>
      <c r="BQ2557" t="s">
        <v>2243</v>
      </c>
      <c r="BR2557" t="s">
        <v>84</v>
      </c>
      <c r="BS2557" s="3">
        <v>45799</v>
      </c>
      <c r="BT2557" s="4">
        <v>0.42569444444444443</v>
      </c>
      <c r="BU2557" t="s">
        <v>2656</v>
      </c>
      <c r="BV2557" t="s">
        <v>86</v>
      </c>
      <c r="BY2557">
        <v>1200</v>
      </c>
      <c r="CA2557" t="s">
        <v>279</v>
      </c>
      <c r="CC2557" t="s">
        <v>98</v>
      </c>
      <c r="CD2557">
        <v>1459</v>
      </c>
      <c r="CE2557" t="s">
        <v>88</v>
      </c>
      <c r="CF2557" s="3">
        <v>45799</v>
      </c>
      <c r="CI2557">
        <v>1</v>
      </c>
      <c r="CJ2557">
        <v>1</v>
      </c>
      <c r="CK2557">
        <v>22</v>
      </c>
      <c r="CL2557" t="s">
        <v>89</v>
      </c>
    </row>
    <row r="2558" spans="1:90" x14ac:dyDescent="0.3">
      <c r="A2558" t="s">
        <v>72</v>
      </c>
      <c r="B2558" t="s">
        <v>73</v>
      </c>
      <c r="C2558" t="s">
        <v>74</v>
      </c>
      <c r="E2558" t="str">
        <f>"080065488685"</f>
        <v>080065488685</v>
      </c>
      <c r="F2558" s="3">
        <v>45798</v>
      </c>
      <c r="G2558">
        <v>202602</v>
      </c>
      <c r="H2558" t="s">
        <v>75</v>
      </c>
      <c r="I2558" t="s">
        <v>76</v>
      </c>
      <c r="J2558" t="s">
        <v>77</v>
      </c>
      <c r="K2558" t="s">
        <v>78</v>
      </c>
      <c r="L2558" t="s">
        <v>75</v>
      </c>
      <c r="M2558" t="s">
        <v>76</v>
      </c>
      <c r="N2558" t="s">
        <v>2696</v>
      </c>
      <c r="O2558" t="s">
        <v>82</v>
      </c>
      <c r="P2558" t="str">
        <f>"4170039511                    "</f>
        <v xml:space="preserve">4170039511                    </v>
      </c>
      <c r="Q2558">
        <v>0</v>
      </c>
      <c r="R2558">
        <v>0</v>
      </c>
      <c r="S2558">
        <v>0</v>
      </c>
      <c r="T2558">
        <v>0</v>
      </c>
      <c r="U2558">
        <v>0</v>
      </c>
      <c r="V2558">
        <v>0</v>
      </c>
      <c r="W2558">
        <v>0</v>
      </c>
      <c r="X2558">
        <v>0</v>
      </c>
      <c r="Y2558">
        <v>0</v>
      </c>
      <c r="Z2558">
        <v>0</v>
      </c>
      <c r="AA2558">
        <v>0</v>
      </c>
      <c r="AB2558">
        <v>0</v>
      </c>
      <c r="AC2558">
        <v>0</v>
      </c>
      <c r="AD2558">
        <v>0</v>
      </c>
      <c r="AE2558">
        <v>0</v>
      </c>
      <c r="AF2558">
        <v>0</v>
      </c>
      <c r="AG2558">
        <v>0</v>
      </c>
      <c r="AH2558">
        <v>0</v>
      </c>
      <c r="AI2558">
        <v>0</v>
      </c>
      <c r="AJ2558">
        <v>0</v>
      </c>
      <c r="AK2558">
        <v>0</v>
      </c>
      <c r="AL2558">
        <v>0</v>
      </c>
      <c r="AM2558">
        <v>0</v>
      </c>
      <c r="AN2558">
        <v>0</v>
      </c>
      <c r="AO2558">
        <v>0</v>
      </c>
      <c r="AP2558">
        <v>0</v>
      </c>
      <c r="AQ2558">
        <v>16.7</v>
      </c>
      <c r="AR2558">
        <v>0</v>
      </c>
      <c r="AS2558">
        <v>0</v>
      </c>
      <c r="AT2558">
        <v>0</v>
      </c>
      <c r="AU2558">
        <v>0</v>
      </c>
      <c r="AV2558">
        <v>0</v>
      </c>
      <c r="AW2558">
        <v>0</v>
      </c>
      <c r="AX2558">
        <v>0</v>
      </c>
      <c r="AY2558">
        <v>0</v>
      </c>
      <c r="AZ2558">
        <v>0</v>
      </c>
      <c r="BA2558">
        <v>0</v>
      </c>
      <c r="BB2558">
        <v>0</v>
      </c>
      <c r="BC2558">
        <v>0</v>
      </c>
      <c r="BD2558">
        <v>0</v>
      </c>
      <c r="BE2558">
        <v>0</v>
      </c>
      <c r="BF2558">
        <v>0</v>
      </c>
      <c r="BG2558">
        <v>0</v>
      </c>
      <c r="BH2558">
        <v>1</v>
      </c>
      <c r="BI2558">
        <v>5</v>
      </c>
      <c r="BJ2558">
        <v>4.3</v>
      </c>
      <c r="BK2558">
        <v>5</v>
      </c>
      <c r="BL2558">
        <v>54.66</v>
      </c>
      <c r="BM2558">
        <v>8.1999999999999993</v>
      </c>
      <c r="BN2558">
        <v>62.86</v>
      </c>
      <c r="BO2558">
        <v>62.86</v>
      </c>
      <c r="BQ2558" t="s">
        <v>2697</v>
      </c>
      <c r="BR2558" t="s">
        <v>84</v>
      </c>
      <c r="BS2558" s="3">
        <v>45799</v>
      </c>
      <c r="BT2558" s="4">
        <v>0.38472222222222224</v>
      </c>
      <c r="BU2558" t="s">
        <v>994</v>
      </c>
      <c r="BV2558" t="s">
        <v>86</v>
      </c>
      <c r="BY2558">
        <v>21489</v>
      </c>
      <c r="CA2558" t="s">
        <v>484</v>
      </c>
      <c r="CC2558" t="s">
        <v>76</v>
      </c>
      <c r="CD2558">
        <v>1601</v>
      </c>
      <c r="CE2558" t="s">
        <v>96</v>
      </c>
      <c r="CF2558" s="3">
        <v>45799</v>
      </c>
      <c r="CI2558">
        <v>1</v>
      </c>
      <c r="CJ2558">
        <v>1</v>
      </c>
      <c r="CK2558">
        <v>22</v>
      </c>
      <c r="CL2558" t="s">
        <v>89</v>
      </c>
    </row>
    <row r="2559" spans="1:90" x14ac:dyDescent="0.3">
      <c r="A2559" t="s">
        <v>72</v>
      </c>
      <c r="B2559" t="s">
        <v>73</v>
      </c>
      <c r="C2559" t="s">
        <v>74</v>
      </c>
      <c r="E2559" t="str">
        <f>"080065488702"</f>
        <v>080065488702</v>
      </c>
      <c r="F2559" s="3">
        <v>45798</v>
      </c>
      <c r="G2559">
        <v>202602</v>
      </c>
      <c r="H2559" t="s">
        <v>75</v>
      </c>
      <c r="I2559" t="s">
        <v>76</v>
      </c>
      <c r="J2559" t="s">
        <v>77</v>
      </c>
      <c r="K2559" t="s">
        <v>78</v>
      </c>
      <c r="L2559" t="s">
        <v>232</v>
      </c>
      <c r="M2559" t="s">
        <v>233</v>
      </c>
      <c r="N2559" t="s">
        <v>1108</v>
      </c>
      <c r="O2559" t="s">
        <v>82</v>
      </c>
      <c r="P2559" t="str">
        <f>"4170039718                    "</f>
        <v xml:space="preserve">4170039718                    </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0</v>
      </c>
      <c r="AJ2559">
        <v>0</v>
      </c>
      <c r="AK2559">
        <v>0</v>
      </c>
      <c r="AL2559">
        <v>0</v>
      </c>
      <c r="AM2559">
        <v>0</v>
      </c>
      <c r="AN2559">
        <v>0</v>
      </c>
      <c r="AO2559">
        <v>0</v>
      </c>
      <c r="AP2559">
        <v>0</v>
      </c>
      <c r="AQ2559">
        <v>21.38</v>
      </c>
      <c r="AR2559">
        <v>0</v>
      </c>
      <c r="AS2559">
        <v>0</v>
      </c>
      <c r="AT2559">
        <v>0</v>
      </c>
      <c r="AU2559">
        <v>0</v>
      </c>
      <c r="AV2559">
        <v>0</v>
      </c>
      <c r="AW2559">
        <v>0</v>
      </c>
      <c r="AX2559">
        <v>0</v>
      </c>
      <c r="AY2559">
        <v>0</v>
      </c>
      <c r="AZ2559">
        <v>0</v>
      </c>
      <c r="BA2559">
        <v>0</v>
      </c>
      <c r="BB2559">
        <v>0</v>
      </c>
      <c r="BC2559">
        <v>0</v>
      </c>
      <c r="BD2559">
        <v>0</v>
      </c>
      <c r="BE2559">
        <v>0</v>
      </c>
      <c r="BF2559">
        <v>0</v>
      </c>
      <c r="BG2559">
        <v>0</v>
      </c>
      <c r="BH2559">
        <v>1</v>
      </c>
      <c r="BI2559">
        <v>1</v>
      </c>
      <c r="BJ2559">
        <v>0.2</v>
      </c>
      <c r="BK2559">
        <v>1</v>
      </c>
      <c r="BL2559">
        <v>69.98</v>
      </c>
      <c r="BM2559">
        <v>10.5</v>
      </c>
      <c r="BN2559">
        <v>80.48</v>
      </c>
      <c r="BO2559">
        <v>80.48</v>
      </c>
      <c r="BQ2559" t="s">
        <v>1109</v>
      </c>
      <c r="BR2559" t="s">
        <v>84</v>
      </c>
      <c r="BS2559" s="3">
        <v>45799</v>
      </c>
      <c r="BT2559" s="4">
        <v>0.41736111111111113</v>
      </c>
      <c r="BU2559" t="s">
        <v>1068</v>
      </c>
      <c r="BV2559" t="s">
        <v>86</v>
      </c>
      <c r="BY2559">
        <v>1200</v>
      </c>
      <c r="CA2559" t="s">
        <v>237</v>
      </c>
      <c r="CC2559" t="s">
        <v>233</v>
      </c>
      <c r="CD2559" s="5" t="s">
        <v>238</v>
      </c>
      <c r="CE2559" t="s">
        <v>88</v>
      </c>
      <c r="CF2559" s="3">
        <v>45799</v>
      </c>
      <c r="CI2559">
        <v>1</v>
      </c>
      <c r="CJ2559">
        <v>1</v>
      </c>
      <c r="CK2559">
        <v>21</v>
      </c>
      <c r="CL2559" t="s">
        <v>89</v>
      </c>
    </row>
    <row r="2560" spans="1:90" x14ac:dyDescent="0.3">
      <c r="A2560" t="s">
        <v>72</v>
      </c>
      <c r="B2560" t="s">
        <v>73</v>
      </c>
      <c r="C2560" t="s">
        <v>74</v>
      </c>
      <c r="E2560" t="str">
        <f>"080065488721"</f>
        <v>080065488721</v>
      </c>
      <c r="F2560" s="3">
        <v>45798</v>
      </c>
      <c r="G2560">
        <v>202602</v>
      </c>
      <c r="H2560" t="s">
        <v>75</v>
      </c>
      <c r="I2560" t="s">
        <v>76</v>
      </c>
      <c r="J2560" t="s">
        <v>77</v>
      </c>
      <c r="K2560" t="s">
        <v>78</v>
      </c>
      <c r="L2560" t="s">
        <v>79</v>
      </c>
      <c r="M2560" t="s">
        <v>80</v>
      </c>
      <c r="N2560" t="s">
        <v>357</v>
      </c>
      <c r="O2560" t="s">
        <v>82</v>
      </c>
      <c r="P2560" t="str">
        <f>"4170039748                    "</f>
        <v xml:space="preserve">4170039748                    </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0</v>
      </c>
      <c r="AJ2560">
        <v>0</v>
      </c>
      <c r="AK2560">
        <v>0</v>
      </c>
      <c r="AL2560">
        <v>0</v>
      </c>
      <c r="AM2560">
        <v>0</v>
      </c>
      <c r="AN2560">
        <v>0</v>
      </c>
      <c r="AO2560">
        <v>0</v>
      </c>
      <c r="AP2560">
        <v>0</v>
      </c>
      <c r="AQ2560">
        <v>21.38</v>
      </c>
      <c r="AR2560">
        <v>0</v>
      </c>
      <c r="AS2560">
        <v>0</v>
      </c>
      <c r="AT2560">
        <v>0</v>
      </c>
      <c r="AU2560">
        <v>0</v>
      </c>
      <c r="AV2560">
        <v>0</v>
      </c>
      <c r="AW2560">
        <v>0</v>
      </c>
      <c r="AX2560">
        <v>0</v>
      </c>
      <c r="AY2560">
        <v>0</v>
      </c>
      <c r="AZ2560">
        <v>0</v>
      </c>
      <c r="BA2560">
        <v>0</v>
      </c>
      <c r="BB2560">
        <v>0</v>
      </c>
      <c r="BC2560">
        <v>0</v>
      </c>
      <c r="BD2560">
        <v>0</v>
      </c>
      <c r="BE2560">
        <v>0</v>
      </c>
      <c r="BF2560">
        <v>0</v>
      </c>
      <c r="BG2560">
        <v>0</v>
      </c>
      <c r="BH2560">
        <v>1</v>
      </c>
      <c r="BI2560">
        <v>1</v>
      </c>
      <c r="BJ2560">
        <v>1.7</v>
      </c>
      <c r="BK2560">
        <v>2</v>
      </c>
      <c r="BL2560">
        <v>69.98</v>
      </c>
      <c r="BM2560">
        <v>10.5</v>
      </c>
      <c r="BN2560">
        <v>80.48</v>
      </c>
      <c r="BO2560">
        <v>80.48</v>
      </c>
      <c r="BQ2560" t="s">
        <v>358</v>
      </c>
      <c r="BR2560" t="s">
        <v>84</v>
      </c>
      <c r="BS2560" s="3">
        <v>45799</v>
      </c>
      <c r="BT2560" s="4">
        <v>0.48125000000000001</v>
      </c>
      <c r="BU2560" t="s">
        <v>1821</v>
      </c>
      <c r="BV2560" t="s">
        <v>89</v>
      </c>
      <c r="BW2560" t="s">
        <v>296</v>
      </c>
      <c r="BX2560" t="s">
        <v>325</v>
      </c>
      <c r="BY2560">
        <v>8550</v>
      </c>
      <c r="CA2560" t="s">
        <v>87</v>
      </c>
      <c r="CC2560" t="s">
        <v>80</v>
      </c>
      <c r="CD2560">
        <v>3608</v>
      </c>
      <c r="CE2560" t="s">
        <v>116</v>
      </c>
      <c r="CF2560" s="3">
        <v>45799</v>
      </c>
      <c r="CI2560">
        <v>1</v>
      </c>
      <c r="CJ2560">
        <v>1</v>
      </c>
      <c r="CK2560">
        <v>21</v>
      </c>
      <c r="CL2560" t="s">
        <v>89</v>
      </c>
    </row>
    <row r="2561" spans="1:90" x14ac:dyDescent="0.3">
      <c r="A2561" t="s">
        <v>72</v>
      </c>
      <c r="B2561" t="s">
        <v>73</v>
      </c>
      <c r="C2561" t="s">
        <v>74</v>
      </c>
      <c r="E2561" t="str">
        <f>"080065488770"</f>
        <v>080065488770</v>
      </c>
      <c r="F2561" s="3">
        <v>45798</v>
      </c>
      <c r="G2561">
        <v>202602</v>
      </c>
      <c r="H2561" t="s">
        <v>75</v>
      </c>
      <c r="I2561" t="s">
        <v>76</v>
      </c>
      <c r="J2561" t="s">
        <v>77</v>
      </c>
      <c r="K2561" t="s">
        <v>78</v>
      </c>
      <c r="L2561" t="s">
        <v>97</v>
      </c>
      <c r="M2561" t="s">
        <v>98</v>
      </c>
      <c r="N2561" t="s">
        <v>2056</v>
      </c>
      <c r="O2561" t="s">
        <v>82</v>
      </c>
      <c r="P2561" t="str">
        <f>"4170039795                    "</f>
        <v xml:space="preserve">4170039795                    </v>
      </c>
      <c r="Q2561">
        <v>0</v>
      </c>
      <c r="R2561">
        <v>0</v>
      </c>
      <c r="S2561">
        <v>0</v>
      </c>
      <c r="T2561">
        <v>0</v>
      </c>
      <c r="U2561">
        <v>0</v>
      </c>
      <c r="V2561">
        <v>0</v>
      </c>
      <c r="W2561">
        <v>0</v>
      </c>
      <c r="X2561">
        <v>0</v>
      </c>
      <c r="Y2561">
        <v>0</v>
      </c>
      <c r="Z2561">
        <v>0</v>
      </c>
      <c r="AA2561">
        <v>0</v>
      </c>
      <c r="AB2561">
        <v>0</v>
      </c>
      <c r="AC2561">
        <v>0</v>
      </c>
      <c r="AD2561">
        <v>0</v>
      </c>
      <c r="AE2561">
        <v>0</v>
      </c>
      <c r="AF2561">
        <v>0</v>
      </c>
      <c r="AG2561">
        <v>0</v>
      </c>
      <c r="AH2561">
        <v>0</v>
      </c>
      <c r="AI2561">
        <v>0</v>
      </c>
      <c r="AJ2561">
        <v>0</v>
      </c>
      <c r="AK2561">
        <v>0</v>
      </c>
      <c r="AL2561">
        <v>0</v>
      </c>
      <c r="AM2561">
        <v>0</v>
      </c>
      <c r="AN2561">
        <v>0</v>
      </c>
      <c r="AO2561">
        <v>0</v>
      </c>
      <c r="AP2561">
        <v>0</v>
      </c>
      <c r="AQ2561">
        <v>16.7</v>
      </c>
      <c r="AR2561">
        <v>0</v>
      </c>
      <c r="AS2561">
        <v>0</v>
      </c>
      <c r="AT2561">
        <v>0</v>
      </c>
      <c r="AU2561">
        <v>0</v>
      </c>
      <c r="AV2561">
        <v>0</v>
      </c>
      <c r="AW2561">
        <v>0</v>
      </c>
      <c r="AX2561">
        <v>0</v>
      </c>
      <c r="AY2561">
        <v>0</v>
      </c>
      <c r="AZ2561">
        <v>0</v>
      </c>
      <c r="BA2561">
        <v>0</v>
      </c>
      <c r="BB2561">
        <v>0</v>
      </c>
      <c r="BC2561">
        <v>0</v>
      </c>
      <c r="BD2561">
        <v>0</v>
      </c>
      <c r="BE2561">
        <v>0</v>
      </c>
      <c r="BF2561">
        <v>0</v>
      </c>
      <c r="BG2561">
        <v>0</v>
      </c>
      <c r="BH2561">
        <v>1</v>
      </c>
      <c r="BI2561">
        <v>1</v>
      </c>
      <c r="BJ2561">
        <v>0.2</v>
      </c>
      <c r="BK2561">
        <v>1</v>
      </c>
      <c r="BL2561">
        <v>54.66</v>
      </c>
      <c r="BM2561">
        <v>8.1999999999999993</v>
      </c>
      <c r="BN2561">
        <v>62.86</v>
      </c>
      <c r="BO2561">
        <v>62.86</v>
      </c>
      <c r="BQ2561" t="s">
        <v>2057</v>
      </c>
      <c r="BR2561" t="s">
        <v>84</v>
      </c>
      <c r="BS2561" s="3">
        <v>45799</v>
      </c>
      <c r="BT2561" s="4">
        <v>0.38333333333333336</v>
      </c>
      <c r="BU2561" t="s">
        <v>2058</v>
      </c>
      <c r="BV2561" t="s">
        <v>86</v>
      </c>
      <c r="BY2561">
        <v>1200</v>
      </c>
      <c r="CA2561" t="s">
        <v>279</v>
      </c>
      <c r="CC2561" t="s">
        <v>98</v>
      </c>
      <c r="CD2561">
        <v>1460</v>
      </c>
      <c r="CE2561" t="s">
        <v>88</v>
      </c>
      <c r="CF2561" s="3">
        <v>45799</v>
      </c>
      <c r="CI2561">
        <v>1</v>
      </c>
      <c r="CJ2561">
        <v>1</v>
      </c>
      <c r="CK2561">
        <v>22</v>
      </c>
      <c r="CL2561" t="s">
        <v>89</v>
      </c>
    </row>
    <row r="2562" spans="1:90" x14ac:dyDescent="0.3">
      <c r="A2562" t="s">
        <v>72</v>
      </c>
      <c r="B2562" t="s">
        <v>73</v>
      </c>
      <c r="C2562" t="s">
        <v>74</v>
      </c>
      <c r="E2562" t="str">
        <f>"080065488784"</f>
        <v>080065488784</v>
      </c>
      <c r="F2562" s="3">
        <v>45798</v>
      </c>
      <c r="G2562">
        <v>202602</v>
      </c>
      <c r="H2562" t="s">
        <v>75</v>
      </c>
      <c r="I2562" t="s">
        <v>76</v>
      </c>
      <c r="J2562" t="s">
        <v>77</v>
      </c>
      <c r="K2562" t="s">
        <v>78</v>
      </c>
      <c r="L2562" t="s">
        <v>97</v>
      </c>
      <c r="M2562" t="s">
        <v>98</v>
      </c>
      <c r="N2562" t="s">
        <v>99</v>
      </c>
      <c r="O2562" t="s">
        <v>82</v>
      </c>
      <c r="P2562" t="str">
        <f>"4170039814                    "</f>
        <v xml:space="preserve">4170039814                    </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c r="AI2562">
        <v>0</v>
      </c>
      <c r="AJ2562">
        <v>0</v>
      </c>
      <c r="AK2562">
        <v>0</v>
      </c>
      <c r="AL2562">
        <v>0</v>
      </c>
      <c r="AM2562">
        <v>0</v>
      </c>
      <c r="AN2562">
        <v>0</v>
      </c>
      <c r="AO2562">
        <v>0</v>
      </c>
      <c r="AP2562">
        <v>0</v>
      </c>
      <c r="AQ2562">
        <v>16.7</v>
      </c>
      <c r="AR2562">
        <v>0</v>
      </c>
      <c r="AS2562">
        <v>0</v>
      </c>
      <c r="AT2562">
        <v>0</v>
      </c>
      <c r="AU2562">
        <v>0</v>
      </c>
      <c r="AV2562">
        <v>0</v>
      </c>
      <c r="AW2562">
        <v>0</v>
      </c>
      <c r="AX2562">
        <v>0</v>
      </c>
      <c r="AY2562">
        <v>0</v>
      </c>
      <c r="AZ2562">
        <v>0</v>
      </c>
      <c r="BA2562">
        <v>0</v>
      </c>
      <c r="BB2562">
        <v>0</v>
      </c>
      <c r="BC2562">
        <v>0</v>
      </c>
      <c r="BD2562">
        <v>0</v>
      </c>
      <c r="BE2562">
        <v>0</v>
      </c>
      <c r="BF2562">
        <v>0</v>
      </c>
      <c r="BG2562">
        <v>0</v>
      </c>
      <c r="BH2562">
        <v>1</v>
      </c>
      <c r="BI2562">
        <v>1</v>
      </c>
      <c r="BJ2562">
        <v>0.6</v>
      </c>
      <c r="BK2562">
        <v>1</v>
      </c>
      <c r="BL2562">
        <v>54.66</v>
      </c>
      <c r="BM2562">
        <v>8.1999999999999993</v>
      </c>
      <c r="BN2562">
        <v>62.86</v>
      </c>
      <c r="BO2562">
        <v>62.86</v>
      </c>
      <c r="BQ2562" t="s">
        <v>100</v>
      </c>
      <c r="BR2562" t="s">
        <v>84</v>
      </c>
      <c r="BS2562" s="3">
        <v>45799</v>
      </c>
      <c r="BT2562" s="4">
        <v>0.33263888888888887</v>
      </c>
      <c r="BU2562" t="s">
        <v>493</v>
      </c>
      <c r="BV2562" t="s">
        <v>86</v>
      </c>
      <c r="BY2562">
        <v>3192</v>
      </c>
      <c r="CA2562" t="s">
        <v>279</v>
      </c>
      <c r="CC2562" t="s">
        <v>98</v>
      </c>
      <c r="CD2562">
        <v>1459</v>
      </c>
      <c r="CE2562" t="s">
        <v>116</v>
      </c>
      <c r="CF2562" s="3">
        <v>45799</v>
      </c>
      <c r="CI2562">
        <v>1</v>
      </c>
      <c r="CJ2562">
        <v>1</v>
      </c>
      <c r="CK2562">
        <v>22</v>
      </c>
      <c r="CL2562" t="s">
        <v>89</v>
      </c>
    </row>
    <row r="2563" spans="1:90" x14ac:dyDescent="0.3">
      <c r="A2563" t="s">
        <v>72</v>
      </c>
      <c r="B2563" t="s">
        <v>73</v>
      </c>
      <c r="C2563" t="s">
        <v>74</v>
      </c>
      <c r="E2563" t="str">
        <f>"080065488861"</f>
        <v>080065488861</v>
      </c>
      <c r="F2563" s="3">
        <v>45798</v>
      </c>
      <c r="G2563">
        <v>202602</v>
      </c>
      <c r="H2563" t="s">
        <v>75</v>
      </c>
      <c r="I2563" t="s">
        <v>76</v>
      </c>
      <c r="J2563" t="s">
        <v>77</v>
      </c>
      <c r="K2563" t="s">
        <v>78</v>
      </c>
      <c r="L2563" t="s">
        <v>672</v>
      </c>
      <c r="M2563" t="s">
        <v>673</v>
      </c>
      <c r="N2563" t="s">
        <v>674</v>
      </c>
      <c r="O2563" t="s">
        <v>82</v>
      </c>
      <c r="P2563" t="str">
        <f>"4170039842                    "</f>
        <v xml:space="preserve">4170039842                    </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c r="AI2563">
        <v>0</v>
      </c>
      <c r="AJ2563">
        <v>0</v>
      </c>
      <c r="AK2563">
        <v>0</v>
      </c>
      <c r="AL2563">
        <v>0</v>
      </c>
      <c r="AM2563">
        <v>0</v>
      </c>
      <c r="AN2563">
        <v>0</v>
      </c>
      <c r="AO2563">
        <v>0</v>
      </c>
      <c r="AP2563">
        <v>0</v>
      </c>
      <c r="AQ2563">
        <v>41.43</v>
      </c>
      <c r="AR2563">
        <v>0</v>
      </c>
      <c r="AS2563">
        <v>0</v>
      </c>
      <c r="AT2563">
        <v>0</v>
      </c>
      <c r="AU2563">
        <v>0</v>
      </c>
      <c r="AV2563">
        <v>0</v>
      </c>
      <c r="AW2563">
        <v>0</v>
      </c>
      <c r="AX2563">
        <v>0</v>
      </c>
      <c r="AY2563">
        <v>0</v>
      </c>
      <c r="AZ2563">
        <v>0</v>
      </c>
      <c r="BA2563">
        <v>0</v>
      </c>
      <c r="BB2563">
        <v>0</v>
      </c>
      <c r="BC2563">
        <v>0</v>
      </c>
      <c r="BD2563">
        <v>0</v>
      </c>
      <c r="BE2563">
        <v>0</v>
      </c>
      <c r="BF2563">
        <v>0</v>
      </c>
      <c r="BG2563">
        <v>0</v>
      </c>
      <c r="BH2563">
        <v>1</v>
      </c>
      <c r="BI2563">
        <v>1</v>
      </c>
      <c r="BJ2563">
        <v>0.2</v>
      </c>
      <c r="BK2563">
        <v>1</v>
      </c>
      <c r="BL2563">
        <v>135.59</v>
      </c>
      <c r="BM2563">
        <v>20.34</v>
      </c>
      <c r="BN2563">
        <v>155.93</v>
      </c>
      <c r="BO2563">
        <v>155.93</v>
      </c>
      <c r="BQ2563" t="s">
        <v>675</v>
      </c>
      <c r="BR2563" t="s">
        <v>84</v>
      </c>
      <c r="BS2563" s="3">
        <v>45799</v>
      </c>
      <c r="BT2563" s="4">
        <v>0.39513888888888887</v>
      </c>
      <c r="BU2563" t="s">
        <v>1512</v>
      </c>
      <c r="BV2563" t="s">
        <v>86</v>
      </c>
      <c r="BY2563">
        <v>1200</v>
      </c>
      <c r="CA2563" t="s">
        <v>677</v>
      </c>
      <c r="CC2563" t="s">
        <v>673</v>
      </c>
      <c r="CD2563">
        <v>2531</v>
      </c>
      <c r="CE2563" t="s">
        <v>88</v>
      </c>
      <c r="CF2563" s="3">
        <v>45800</v>
      </c>
      <c r="CI2563">
        <v>1</v>
      </c>
      <c r="CJ2563">
        <v>1</v>
      </c>
      <c r="CK2563">
        <v>23</v>
      </c>
      <c r="CL2563" t="s">
        <v>89</v>
      </c>
    </row>
    <row r="2564" spans="1:90" x14ac:dyDescent="0.3">
      <c r="A2564" t="s">
        <v>72</v>
      </c>
      <c r="B2564" t="s">
        <v>73</v>
      </c>
      <c r="C2564" t="s">
        <v>74</v>
      </c>
      <c r="E2564" t="str">
        <f>"080065488898"</f>
        <v>080065488898</v>
      </c>
      <c r="F2564" s="3">
        <v>45798</v>
      </c>
      <c r="G2564">
        <v>202602</v>
      </c>
      <c r="H2564" t="s">
        <v>75</v>
      </c>
      <c r="I2564" t="s">
        <v>76</v>
      </c>
      <c r="J2564" t="s">
        <v>77</v>
      </c>
      <c r="K2564" t="s">
        <v>78</v>
      </c>
      <c r="L2564" t="s">
        <v>97</v>
      </c>
      <c r="M2564" t="s">
        <v>98</v>
      </c>
      <c r="N2564" t="s">
        <v>2779</v>
      </c>
      <c r="O2564" t="s">
        <v>82</v>
      </c>
      <c r="P2564" t="str">
        <f>"4170039556                    "</f>
        <v xml:space="preserve">4170039556                    </v>
      </c>
      <c r="Q2564">
        <v>0</v>
      </c>
      <c r="R2564">
        <v>0</v>
      </c>
      <c r="S2564">
        <v>0</v>
      </c>
      <c r="T2564">
        <v>0</v>
      </c>
      <c r="U2564">
        <v>0</v>
      </c>
      <c r="V2564">
        <v>0</v>
      </c>
      <c r="W2564">
        <v>0</v>
      </c>
      <c r="X2564">
        <v>0</v>
      </c>
      <c r="Y2564">
        <v>0</v>
      </c>
      <c r="Z2564">
        <v>0</v>
      </c>
      <c r="AA2564">
        <v>0</v>
      </c>
      <c r="AB2564">
        <v>0</v>
      </c>
      <c r="AC2564">
        <v>0</v>
      </c>
      <c r="AD2564">
        <v>0</v>
      </c>
      <c r="AE2564">
        <v>0</v>
      </c>
      <c r="AF2564">
        <v>0</v>
      </c>
      <c r="AG2564">
        <v>0</v>
      </c>
      <c r="AH2564">
        <v>0</v>
      </c>
      <c r="AI2564">
        <v>0</v>
      </c>
      <c r="AJ2564">
        <v>0</v>
      </c>
      <c r="AK2564">
        <v>0</v>
      </c>
      <c r="AL2564">
        <v>0</v>
      </c>
      <c r="AM2564">
        <v>0</v>
      </c>
      <c r="AN2564">
        <v>0</v>
      </c>
      <c r="AO2564">
        <v>0</v>
      </c>
      <c r="AP2564">
        <v>0</v>
      </c>
      <c r="AQ2564">
        <v>16.7</v>
      </c>
      <c r="AR2564">
        <v>0</v>
      </c>
      <c r="AS2564">
        <v>0</v>
      </c>
      <c r="AT2564">
        <v>0</v>
      </c>
      <c r="AU2564">
        <v>0</v>
      </c>
      <c r="AV2564">
        <v>0</v>
      </c>
      <c r="AW2564">
        <v>0</v>
      </c>
      <c r="AX2564">
        <v>0</v>
      </c>
      <c r="AY2564">
        <v>0</v>
      </c>
      <c r="AZ2564">
        <v>0</v>
      </c>
      <c r="BA2564">
        <v>0</v>
      </c>
      <c r="BB2564">
        <v>0</v>
      </c>
      <c r="BC2564">
        <v>0</v>
      </c>
      <c r="BD2564">
        <v>0</v>
      </c>
      <c r="BE2564">
        <v>0</v>
      </c>
      <c r="BF2564">
        <v>0</v>
      </c>
      <c r="BG2564">
        <v>0</v>
      </c>
      <c r="BH2564">
        <v>1</v>
      </c>
      <c r="BI2564">
        <v>3</v>
      </c>
      <c r="BJ2564">
        <v>3.8</v>
      </c>
      <c r="BK2564">
        <v>4</v>
      </c>
      <c r="BL2564">
        <v>54.66</v>
      </c>
      <c r="BM2564">
        <v>8.1999999999999993</v>
      </c>
      <c r="BN2564">
        <v>62.86</v>
      </c>
      <c r="BO2564">
        <v>62.86</v>
      </c>
      <c r="BQ2564" t="s">
        <v>2780</v>
      </c>
      <c r="BR2564" t="s">
        <v>84</v>
      </c>
      <c r="BS2564" s="3">
        <v>45799</v>
      </c>
      <c r="BT2564" s="4">
        <v>0.375</v>
      </c>
      <c r="BU2564" t="s">
        <v>2781</v>
      </c>
      <c r="BV2564" t="s">
        <v>86</v>
      </c>
      <c r="BY2564">
        <v>19152</v>
      </c>
      <c r="CA2564" t="s">
        <v>175</v>
      </c>
      <c r="CC2564" t="s">
        <v>98</v>
      </c>
      <c r="CD2564">
        <v>1459</v>
      </c>
      <c r="CE2564" t="s">
        <v>221</v>
      </c>
      <c r="CF2564" s="3">
        <v>45799</v>
      </c>
      <c r="CI2564">
        <v>1</v>
      </c>
      <c r="CJ2564">
        <v>1</v>
      </c>
      <c r="CK2564">
        <v>22</v>
      </c>
      <c r="CL2564" t="s">
        <v>89</v>
      </c>
    </row>
    <row r="2565" spans="1:90" x14ac:dyDescent="0.3">
      <c r="A2565" t="s">
        <v>72</v>
      </c>
      <c r="B2565" t="s">
        <v>73</v>
      </c>
      <c r="C2565" t="s">
        <v>74</v>
      </c>
      <c r="E2565" t="str">
        <f>"080065488913"</f>
        <v>080065488913</v>
      </c>
      <c r="F2565" s="3">
        <v>45798</v>
      </c>
      <c r="G2565">
        <v>202602</v>
      </c>
      <c r="H2565" t="s">
        <v>75</v>
      </c>
      <c r="I2565" t="s">
        <v>76</v>
      </c>
      <c r="J2565" t="s">
        <v>77</v>
      </c>
      <c r="K2565" t="s">
        <v>78</v>
      </c>
      <c r="L2565" t="s">
        <v>130</v>
      </c>
      <c r="M2565" t="s">
        <v>131</v>
      </c>
      <c r="N2565" t="s">
        <v>1066</v>
      </c>
      <c r="O2565" t="s">
        <v>82</v>
      </c>
      <c r="P2565" t="str">
        <f>"4170039870                    "</f>
        <v xml:space="preserve">4170039870                    </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0</v>
      </c>
      <c r="AJ2565">
        <v>0</v>
      </c>
      <c r="AK2565">
        <v>0</v>
      </c>
      <c r="AL2565">
        <v>0</v>
      </c>
      <c r="AM2565">
        <v>0</v>
      </c>
      <c r="AN2565">
        <v>0</v>
      </c>
      <c r="AO2565">
        <v>0</v>
      </c>
      <c r="AP2565">
        <v>0</v>
      </c>
      <c r="AQ2565">
        <v>21.38</v>
      </c>
      <c r="AR2565">
        <v>0</v>
      </c>
      <c r="AS2565">
        <v>0</v>
      </c>
      <c r="AT2565">
        <v>0</v>
      </c>
      <c r="AU2565">
        <v>0</v>
      </c>
      <c r="AV2565">
        <v>0</v>
      </c>
      <c r="AW2565">
        <v>0</v>
      </c>
      <c r="AX2565">
        <v>0</v>
      </c>
      <c r="AY2565">
        <v>0</v>
      </c>
      <c r="AZ2565">
        <v>0</v>
      </c>
      <c r="BA2565">
        <v>0</v>
      </c>
      <c r="BB2565">
        <v>0</v>
      </c>
      <c r="BC2565">
        <v>0</v>
      </c>
      <c r="BD2565">
        <v>0</v>
      </c>
      <c r="BE2565">
        <v>0</v>
      </c>
      <c r="BF2565">
        <v>0</v>
      </c>
      <c r="BG2565">
        <v>0</v>
      </c>
      <c r="BH2565">
        <v>1</v>
      </c>
      <c r="BI2565">
        <v>1</v>
      </c>
      <c r="BJ2565">
        <v>0.2</v>
      </c>
      <c r="BK2565">
        <v>1</v>
      </c>
      <c r="BL2565">
        <v>69.98</v>
      </c>
      <c r="BM2565">
        <v>10.5</v>
      </c>
      <c r="BN2565">
        <v>80.48</v>
      </c>
      <c r="BO2565">
        <v>80.48</v>
      </c>
      <c r="BQ2565" t="s">
        <v>1067</v>
      </c>
      <c r="BR2565" t="s">
        <v>84</v>
      </c>
      <c r="BS2565" s="3">
        <v>45799</v>
      </c>
      <c r="BT2565" s="4">
        <v>0.39930555555555558</v>
      </c>
      <c r="BU2565" t="s">
        <v>1202</v>
      </c>
      <c r="BV2565" t="s">
        <v>86</v>
      </c>
      <c r="BY2565">
        <v>1200</v>
      </c>
      <c r="CA2565" t="s">
        <v>712</v>
      </c>
      <c r="CC2565" t="s">
        <v>131</v>
      </c>
      <c r="CD2565">
        <v>7561</v>
      </c>
      <c r="CE2565" t="s">
        <v>88</v>
      </c>
      <c r="CF2565" s="3">
        <v>45800</v>
      </c>
      <c r="CI2565">
        <v>1</v>
      </c>
      <c r="CJ2565">
        <v>1</v>
      </c>
      <c r="CK2565">
        <v>21</v>
      </c>
      <c r="CL2565" t="s">
        <v>89</v>
      </c>
    </row>
    <row r="2566" spans="1:90" x14ac:dyDescent="0.3">
      <c r="A2566" t="s">
        <v>72</v>
      </c>
      <c r="B2566" t="s">
        <v>73</v>
      </c>
      <c r="C2566" t="s">
        <v>74</v>
      </c>
      <c r="E2566" t="str">
        <f>"080065488988"</f>
        <v>080065488988</v>
      </c>
      <c r="F2566" s="3">
        <v>45798</v>
      </c>
      <c r="G2566">
        <v>202602</v>
      </c>
      <c r="H2566" t="s">
        <v>75</v>
      </c>
      <c r="I2566" t="s">
        <v>76</v>
      </c>
      <c r="J2566" t="s">
        <v>77</v>
      </c>
      <c r="K2566" t="s">
        <v>78</v>
      </c>
      <c r="L2566" t="s">
        <v>445</v>
      </c>
      <c r="M2566" t="s">
        <v>446</v>
      </c>
      <c r="N2566" t="s">
        <v>2782</v>
      </c>
      <c r="O2566" t="s">
        <v>82</v>
      </c>
      <c r="P2566" t="str">
        <f>"4170039864                    "</f>
        <v xml:space="preserve">4170039864                    </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0</v>
      </c>
      <c r="AJ2566">
        <v>0</v>
      </c>
      <c r="AK2566">
        <v>0</v>
      </c>
      <c r="AL2566">
        <v>0</v>
      </c>
      <c r="AM2566">
        <v>0</v>
      </c>
      <c r="AN2566">
        <v>0</v>
      </c>
      <c r="AO2566">
        <v>0</v>
      </c>
      <c r="AP2566">
        <v>0</v>
      </c>
      <c r="AQ2566">
        <v>41.43</v>
      </c>
      <c r="AR2566">
        <v>0</v>
      </c>
      <c r="AS2566">
        <v>0</v>
      </c>
      <c r="AT2566">
        <v>0</v>
      </c>
      <c r="AU2566">
        <v>0</v>
      </c>
      <c r="AV2566">
        <v>0</v>
      </c>
      <c r="AW2566">
        <v>0</v>
      </c>
      <c r="AX2566">
        <v>0</v>
      </c>
      <c r="AY2566">
        <v>0</v>
      </c>
      <c r="AZ2566">
        <v>0</v>
      </c>
      <c r="BA2566">
        <v>0</v>
      </c>
      <c r="BB2566">
        <v>0</v>
      </c>
      <c r="BC2566">
        <v>0</v>
      </c>
      <c r="BD2566">
        <v>0</v>
      </c>
      <c r="BE2566">
        <v>0</v>
      </c>
      <c r="BF2566">
        <v>0</v>
      </c>
      <c r="BG2566">
        <v>0</v>
      </c>
      <c r="BH2566">
        <v>1</v>
      </c>
      <c r="BI2566">
        <v>1</v>
      </c>
      <c r="BJ2566">
        <v>0.2</v>
      </c>
      <c r="BK2566">
        <v>1</v>
      </c>
      <c r="BL2566">
        <v>135.59</v>
      </c>
      <c r="BM2566">
        <v>20.34</v>
      </c>
      <c r="BN2566">
        <v>155.93</v>
      </c>
      <c r="BO2566">
        <v>155.93</v>
      </c>
      <c r="BQ2566" t="s">
        <v>2783</v>
      </c>
      <c r="BR2566" t="s">
        <v>84</v>
      </c>
      <c r="BS2566" s="3">
        <v>45799</v>
      </c>
      <c r="BT2566" s="4">
        <v>0.41180555555555554</v>
      </c>
      <c r="BU2566" t="s">
        <v>2784</v>
      </c>
      <c r="BV2566" t="s">
        <v>86</v>
      </c>
      <c r="BY2566">
        <v>1200</v>
      </c>
      <c r="CA2566" t="s">
        <v>2785</v>
      </c>
      <c r="CC2566" t="s">
        <v>446</v>
      </c>
      <c r="CD2566">
        <v>4399</v>
      </c>
      <c r="CE2566" t="s">
        <v>88</v>
      </c>
      <c r="CF2566" s="3">
        <v>45800</v>
      </c>
      <c r="CI2566">
        <v>1</v>
      </c>
      <c r="CJ2566">
        <v>1</v>
      </c>
      <c r="CK2566">
        <v>23</v>
      </c>
      <c r="CL2566" t="s">
        <v>89</v>
      </c>
    </row>
    <row r="2567" spans="1:90" x14ac:dyDescent="0.3">
      <c r="A2567" t="s">
        <v>72</v>
      </c>
      <c r="B2567" t="s">
        <v>73</v>
      </c>
      <c r="C2567" t="s">
        <v>74</v>
      </c>
      <c r="E2567" t="str">
        <f>"080065489062"</f>
        <v>080065489062</v>
      </c>
      <c r="F2567" s="3">
        <v>45798</v>
      </c>
      <c r="G2567">
        <v>202602</v>
      </c>
      <c r="H2567" t="s">
        <v>75</v>
      </c>
      <c r="I2567" t="s">
        <v>76</v>
      </c>
      <c r="J2567" t="s">
        <v>77</v>
      </c>
      <c r="K2567" t="s">
        <v>78</v>
      </c>
      <c r="L2567" t="s">
        <v>103</v>
      </c>
      <c r="M2567" t="s">
        <v>104</v>
      </c>
      <c r="N2567" t="s">
        <v>1623</v>
      </c>
      <c r="O2567" t="s">
        <v>82</v>
      </c>
      <c r="P2567" t="str">
        <f>"4170039833                    "</f>
        <v xml:space="preserve">4170039833                    </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0</v>
      </c>
      <c r="AJ2567">
        <v>0</v>
      </c>
      <c r="AK2567">
        <v>0</v>
      </c>
      <c r="AL2567">
        <v>0</v>
      </c>
      <c r="AM2567">
        <v>0</v>
      </c>
      <c r="AN2567">
        <v>0</v>
      </c>
      <c r="AO2567">
        <v>0</v>
      </c>
      <c r="AP2567">
        <v>0</v>
      </c>
      <c r="AQ2567">
        <v>21.38</v>
      </c>
      <c r="AR2567">
        <v>0</v>
      </c>
      <c r="AS2567">
        <v>0</v>
      </c>
      <c r="AT2567">
        <v>0</v>
      </c>
      <c r="AU2567">
        <v>0</v>
      </c>
      <c r="AV2567">
        <v>0</v>
      </c>
      <c r="AW2567">
        <v>0</v>
      </c>
      <c r="AX2567">
        <v>0</v>
      </c>
      <c r="AY2567">
        <v>0</v>
      </c>
      <c r="AZ2567">
        <v>0</v>
      </c>
      <c r="BA2567">
        <v>0</v>
      </c>
      <c r="BB2567">
        <v>0</v>
      </c>
      <c r="BC2567">
        <v>0</v>
      </c>
      <c r="BD2567">
        <v>0</v>
      </c>
      <c r="BE2567">
        <v>0</v>
      </c>
      <c r="BF2567">
        <v>0</v>
      </c>
      <c r="BG2567">
        <v>0</v>
      </c>
      <c r="BH2567">
        <v>1</v>
      </c>
      <c r="BI2567">
        <v>1</v>
      </c>
      <c r="BJ2567">
        <v>0.2</v>
      </c>
      <c r="BK2567">
        <v>1</v>
      </c>
      <c r="BL2567">
        <v>69.98</v>
      </c>
      <c r="BM2567">
        <v>10.5</v>
      </c>
      <c r="BN2567">
        <v>80.48</v>
      </c>
      <c r="BO2567">
        <v>80.48</v>
      </c>
      <c r="BQ2567" t="s">
        <v>1624</v>
      </c>
      <c r="BR2567" t="s">
        <v>84</v>
      </c>
      <c r="BS2567" s="3">
        <v>45799</v>
      </c>
      <c r="BT2567" s="4">
        <v>0.45624999999999999</v>
      </c>
      <c r="BU2567" t="s">
        <v>2786</v>
      </c>
      <c r="BV2567" t="s">
        <v>86</v>
      </c>
      <c r="BY2567">
        <v>1200</v>
      </c>
      <c r="CA2567" t="s">
        <v>1375</v>
      </c>
      <c r="CC2567" t="s">
        <v>104</v>
      </c>
      <c r="CD2567">
        <v>3201</v>
      </c>
      <c r="CE2567" t="s">
        <v>88</v>
      </c>
      <c r="CF2567" s="3">
        <v>45800</v>
      </c>
      <c r="CI2567">
        <v>1</v>
      </c>
      <c r="CJ2567">
        <v>1</v>
      </c>
      <c r="CK2567">
        <v>21</v>
      </c>
      <c r="CL2567" t="s">
        <v>89</v>
      </c>
    </row>
    <row r="2568" spans="1:90" x14ac:dyDescent="0.3">
      <c r="A2568" t="s">
        <v>72</v>
      </c>
      <c r="B2568" t="s">
        <v>73</v>
      </c>
      <c r="C2568" t="s">
        <v>74</v>
      </c>
      <c r="E2568" t="str">
        <f>"080065489102"</f>
        <v>080065489102</v>
      </c>
      <c r="F2568" s="3">
        <v>45798</v>
      </c>
      <c r="G2568">
        <v>202602</v>
      </c>
      <c r="H2568" t="s">
        <v>75</v>
      </c>
      <c r="I2568" t="s">
        <v>76</v>
      </c>
      <c r="J2568" t="s">
        <v>77</v>
      </c>
      <c r="K2568" t="s">
        <v>78</v>
      </c>
      <c r="L2568" t="s">
        <v>130</v>
      </c>
      <c r="M2568" t="s">
        <v>131</v>
      </c>
      <c r="N2568" t="s">
        <v>1066</v>
      </c>
      <c r="O2568" t="s">
        <v>82</v>
      </c>
      <c r="P2568" t="str">
        <f>"4170039880                    "</f>
        <v xml:space="preserve">4170039880                    </v>
      </c>
      <c r="Q2568">
        <v>0</v>
      </c>
      <c r="R2568">
        <v>0</v>
      </c>
      <c r="S2568">
        <v>0</v>
      </c>
      <c r="T2568">
        <v>0</v>
      </c>
      <c r="U2568">
        <v>0</v>
      </c>
      <c r="V2568">
        <v>0</v>
      </c>
      <c r="W2568">
        <v>0</v>
      </c>
      <c r="X2568">
        <v>0</v>
      </c>
      <c r="Y2568">
        <v>0</v>
      </c>
      <c r="Z2568">
        <v>0</v>
      </c>
      <c r="AA2568">
        <v>0</v>
      </c>
      <c r="AB2568">
        <v>0</v>
      </c>
      <c r="AC2568">
        <v>0</v>
      </c>
      <c r="AD2568">
        <v>0</v>
      </c>
      <c r="AE2568">
        <v>0</v>
      </c>
      <c r="AF2568">
        <v>0</v>
      </c>
      <c r="AG2568">
        <v>0</v>
      </c>
      <c r="AH2568">
        <v>0</v>
      </c>
      <c r="AI2568">
        <v>0</v>
      </c>
      <c r="AJ2568">
        <v>0</v>
      </c>
      <c r="AK2568">
        <v>0</v>
      </c>
      <c r="AL2568">
        <v>0</v>
      </c>
      <c r="AM2568">
        <v>0</v>
      </c>
      <c r="AN2568">
        <v>0</v>
      </c>
      <c r="AO2568">
        <v>0</v>
      </c>
      <c r="AP2568">
        <v>0</v>
      </c>
      <c r="AQ2568">
        <v>21.38</v>
      </c>
      <c r="AR2568">
        <v>0</v>
      </c>
      <c r="AS2568">
        <v>0</v>
      </c>
      <c r="AT2568">
        <v>0</v>
      </c>
      <c r="AU2568">
        <v>0</v>
      </c>
      <c r="AV2568">
        <v>0</v>
      </c>
      <c r="AW2568">
        <v>0</v>
      </c>
      <c r="AX2568">
        <v>0</v>
      </c>
      <c r="AY2568">
        <v>0</v>
      </c>
      <c r="AZ2568">
        <v>0</v>
      </c>
      <c r="BA2568">
        <v>0</v>
      </c>
      <c r="BB2568">
        <v>0</v>
      </c>
      <c r="BC2568">
        <v>0</v>
      </c>
      <c r="BD2568">
        <v>0</v>
      </c>
      <c r="BE2568">
        <v>0</v>
      </c>
      <c r="BF2568">
        <v>0</v>
      </c>
      <c r="BG2568">
        <v>0</v>
      </c>
      <c r="BH2568">
        <v>1</v>
      </c>
      <c r="BI2568">
        <v>1</v>
      </c>
      <c r="BJ2568">
        <v>0.2</v>
      </c>
      <c r="BK2568">
        <v>1</v>
      </c>
      <c r="BL2568">
        <v>69.98</v>
      </c>
      <c r="BM2568">
        <v>10.5</v>
      </c>
      <c r="BN2568">
        <v>80.48</v>
      </c>
      <c r="BO2568">
        <v>80.48</v>
      </c>
      <c r="BQ2568" t="s">
        <v>1067</v>
      </c>
      <c r="BR2568" t="s">
        <v>84</v>
      </c>
      <c r="BS2568" s="3">
        <v>45799</v>
      </c>
      <c r="BT2568" s="4">
        <v>0.39930555555555558</v>
      </c>
      <c r="BU2568" t="s">
        <v>1202</v>
      </c>
      <c r="BV2568" t="s">
        <v>86</v>
      </c>
      <c r="BY2568">
        <v>1200</v>
      </c>
      <c r="CA2568" t="s">
        <v>712</v>
      </c>
      <c r="CC2568" t="s">
        <v>131</v>
      </c>
      <c r="CD2568">
        <v>7561</v>
      </c>
      <c r="CE2568" t="s">
        <v>88</v>
      </c>
      <c r="CF2568" s="3">
        <v>45800</v>
      </c>
      <c r="CI2568">
        <v>1</v>
      </c>
      <c r="CJ2568">
        <v>1</v>
      </c>
      <c r="CK2568">
        <v>21</v>
      </c>
      <c r="CL2568" t="s">
        <v>89</v>
      </c>
    </row>
    <row r="2569" spans="1:90" x14ac:dyDescent="0.3">
      <c r="A2569" t="s">
        <v>72</v>
      </c>
      <c r="B2569" t="s">
        <v>73</v>
      </c>
      <c r="C2569" t="s">
        <v>74</v>
      </c>
      <c r="E2569" t="str">
        <f>"080065489137"</f>
        <v>080065489137</v>
      </c>
      <c r="F2569" s="3">
        <v>45798</v>
      </c>
      <c r="G2569">
        <v>202602</v>
      </c>
      <c r="H2569" t="s">
        <v>75</v>
      </c>
      <c r="I2569" t="s">
        <v>76</v>
      </c>
      <c r="J2569" t="s">
        <v>77</v>
      </c>
      <c r="K2569" t="s">
        <v>78</v>
      </c>
      <c r="L2569" t="s">
        <v>844</v>
      </c>
      <c r="M2569" t="s">
        <v>845</v>
      </c>
      <c r="N2569" t="s">
        <v>846</v>
      </c>
      <c r="O2569" t="s">
        <v>82</v>
      </c>
      <c r="P2569" t="str">
        <f>"4170039768                    "</f>
        <v xml:space="preserve">4170039768                    </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0</v>
      </c>
      <c r="AJ2569">
        <v>0</v>
      </c>
      <c r="AK2569">
        <v>0</v>
      </c>
      <c r="AL2569">
        <v>0</v>
      </c>
      <c r="AM2569">
        <v>0</v>
      </c>
      <c r="AN2569">
        <v>0</v>
      </c>
      <c r="AO2569">
        <v>0</v>
      </c>
      <c r="AP2569">
        <v>0</v>
      </c>
      <c r="AQ2569">
        <v>21.38</v>
      </c>
      <c r="AR2569">
        <v>0</v>
      </c>
      <c r="AS2569">
        <v>0</v>
      </c>
      <c r="AT2569">
        <v>0</v>
      </c>
      <c r="AU2569">
        <v>0</v>
      </c>
      <c r="AV2569">
        <v>0</v>
      </c>
      <c r="AW2569">
        <v>0</v>
      </c>
      <c r="AX2569">
        <v>0</v>
      </c>
      <c r="AY2569">
        <v>0</v>
      </c>
      <c r="AZ2569">
        <v>0</v>
      </c>
      <c r="BA2569">
        <v>0</v>
      </c>
      <c r="BB2569">
        <v>0</v>
      </c>
      <c r="BC2569">
        <v>0</v>
      </c>
      <c r="BD2569">
        <v>0</v>
      </c>
      <c r="BE2569">
        <v>0</v>
      </c>
      <c r="BF2569">
        <v>0</v>
      </c>
      <c r="BG2569">
        <v>0</v>
      </c>
      <c r="BH2569">
        <v>1</v>
      </c>
      <c r="BI2569">
        <v>1</v>
      </c>
      <c r="BJ2569">
        <v>0.2</v>
      </c>
      <c r="BK2569">
        <v>1</v>
      </c>
      <c r="BL2569">
        <v>69.98</v>
      </c>
      <c r="BM2569">
        <v>10.5</v>
      </c>
      <c r="BN2569">
        <v>80.48</v>
      </c>
      <c r="BO2569">
        <v>80.48</v>
      </c>
      <c r="BQ2569" t="s">
        <v>847</v>
      </c>
      <c r="BR2569" t="s">
        <v>84</v>
      </c>
      <c r="BS2569" s="3">
        <v>45799</v>
      </c>
      <c r="BT2569" s="4">
        <v>0.35486111111111113</v>
      </c>
      <c r="BU2569" t="s">
        <v>848</v>
      </c>
      <c r="BV2569" t="s">
        <v>86</v>
      </c>
      <c r="BY2569">
        <v>1200</v>
      </c>
      <c r="CA2569" t="s">
        <v>849</v>
      </c>
      <c r="CC2569" t="s">
        <v>845</v>
      </c>
      <c r="CD2569">
        <v>7600</v>
      </c>
      <c r="CE2569" t="s">
        <v>88</v>
      </c>
      <c r="CF2569" s="3">
        <v>45800</v>
      </c>
      <c r="CI2569">
        <v>1</v>
      </c>
      <c r="CJ2569">
        <v>1</v>
      </c>
      <c r="CK2569">
        <v>21</v>
      </c>
      <c r="CL2569" t="s">
        <v>89</v>
      </c>
    </row>
    <row r="2570" spans="1:90" x14ac:dyDescent="0.3">
      <c r="A2570" t="s">
        <v>72</v>
      </c>
      <c r="B2570" t="s">
        <v>73</v>
      </c>
      <c r="C2570" t="s">
        <v>74</v>
      </c>
      <c r="E2570" t="str">
        <f>"080065489407"</f>
        <v>080065489407</v>
      </c>
      <c r="F2570" s="3">
        <v>45798</v>
      </c>
      <c r="G2570">
        <v>202602</v>
      </c>
      <c r="H2570" t="s">
        <v>75</v>
      </c>
      <c r="I2570" t="s">
        <v>76</v>
      </c>
      <c r="J2570" t="s">
        <v>77</v>
      </c>
      <c r="K2570" t="s">
        <v>78</v>
      </c>
      <c r="L2570" t="s">
        <v>130</v>
      </c>
      <c r="M2570" t="s">
        <v>131</v>
      </c>
      <c r="N2570" t="s">
        <v>327</v>
      </c>
      <c r="O2570" t="s">
        <v>82</v>
      </c>
      <c r="P2570" t="str">
        <f>"4170039844                    "</f>
        <v xml:space="preserve">4170039844                    </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0</v>
      </c>
      <c r="AJ2570">
        <v>0</v>
      </c>
      <c r="AK2570">
        <v>0</v>
      </c>
      <c r="AL2570">
        <v>0</v>
      </c>
      <c r="AM2570">
        <v>0</v>
      </c>
      <c r="AN2570">
        <v>0</v>
      </c>
      <c r="AO2570">
        <v>0</v>
      </c>
      <c r="AP2570">
        <v>0</v>
      </c>
      <c r="AQ2570">
        <v>21.38</v>
      </c>
      <c r="AR2570">
        <v>0</v>
      </c>
      <c r="AS2570">
        <v>0</v>
      </c>
      <c r="AT2570">
        <v>0</v>
      </c>
      <c r="AU2570">
        <v>0</v>
      </c>
      <c r="AV2570">
        <v>0</v>
      </c>
      <c r="AW2570">
        <v>0</v>
      </c>
      <c r="AX2570">
        <v>0</v>
      </c>
      <c r="AY2570">
        <v>0</v>
      </c>
      <c r="AZ2570">
        <v>0</v>
      </c>
      <c r="BA2570">
        <v>0</v>
      </c>
      <c r="BB2570">
        <v>0</v>
      </c>
      <c r="BC2570">
        <v>0</v>
      </c>
      <c r="BD2570">
        <v>0</v>
      </c>
      <c r="BE2570">
        <v>0</v>
      </c>
      <c r="BF2570">
        <v>0</v>
      </c>
      <c r="BG2570">
        <v>0</v>
      </c>
      <c r="BH2570">
        <v>1</v>
      </c>
      <c r="BI2570">
        <v>1</v>
      </c>
      <c r="BJ2570">
        <v>0.2</v>
      </c>
      <c r="BK2570">
        <v>1</v>
      </c>
      <c r="BL2570">
        <v>69.98</v>
      </c>
      <c r="BM2570">
        <v>10.5</v>
      </c>
      <c r="BN2570">
        <v>80.48</v>
      </c>
      <c r="BO2570">
        <v>80.48</v>
      </c>
      <c r="BQ2570" t="s">
        <v>328</v>
      </c>
      <c r="BR2570" t="s">
        <v>84</v>
      </c>
      <c r="BS2570" s="3">
        <v>45799</v>
      </c>
      <c r="BT2570" s="4">
        <v>0.36319444444444443</v>
      </c>
      <c r="BU2570" t="s">
        <v>2465</v>
      </c>
      <c r="BV2570" t="s">
        <v>86</v>
      </c>
      <c r="BY2570">
        <v>1200</v>
      </c>
      <c r="CA2570" t="s">
        <v>330</v>
      </c>
      <c r="CC2570" t="s">
        <v>131</v>
      </c>
      <c r="CD2570">
        <v>7480</v>
      </c>
      <c r="CE2570" t="s">
        <v>176</v>
      </c>
      <c r="CF2570" s="3">
        <v>45800</v>
      </c>
      <c r="CI2570">
        <v>1</v>
      </c>
      <c r="CJ2570">
        <v>1</v>
      </c>
      <c r="CK2570">
        <v>21</v>
      </c>
      <c r="CL2570" t="s">
        <v>89</v>
      </c>
    </row>
    <row r="2571" spans="1:90" x14ac:dyDescent="0.3">
      <c r="A2571" t="s">
        <v>72</v>
      </c>
      <c r="B2571" t="s">
        <v>73</v>
      </c>
      <c r="C2571" t="s">
        <v>74</v>
      </c>
      <c r="E2571" t="str">
        <f>"080065489448"</f>
        <v>080065489448</v>
      </c>
      <c r="F2571" s="3">
        <v>45798</v>
      </c>
      <c r="G2571">
        <v>202602</v>
      </c>
      <c r="H2571" t="s">
        <v>75</v>
      </c>
      <c r="I2571" t="s">
        <v>76</v>
      </c>
      <c r="J2571" t="s">
        <v>77</v>
      </c>
      <c r="K2571" t="s">
        <v>78</v>
      </c>
      <c r="L2571" t="s">
        <v>463</v>
      </c>
      <c r="M2571" t="s">
        <v>464</v>
      </c>
      <c r="N2571" t="s">
        <v>585</v>
      </c>
      <c r="O2571" t="s">
        <v>82</v>
      </c>
      <c r="P2571" t="str">
        <f>"4170039774                    "</f>
        <v xml:space="preserve">4170039774                    </v>
      </c>
      <c r="Q2571">
        <v>0</v>
      </c>
      <c r="R2571">
        <v>0</v>
      </c>
      <c r="S2571">
        <v>0</v>
      </c>
      <c r="T2571">
        <v>0</v>
      </c>
      <c r="U2571">
        <v>0</v>
      </c>
      <c r="V2571">
        <v>0</v>
      </c>
      <c r="W2571">
        <v>0</v>
      </c>
      <c r="X2571">
        <v>0</v>
      </c>
      <c r="Y2571">
        <v>0</v>
      </c>
      <c r="Z2571">
        <v>0</v>
      </c>
      <c r="AA2571">
        <v>0</v>
      </c>
      <c r="AB2571">
        <v>0</v>
      </c>
      <c r="AC2571">
        <v>0</v>
      </c>
      <c r="AD2571">
        <v>0</v>
      </c>
      <c r="AE2571">
        <v>0</v>
      </c>
      <c r="AF2571">
        <v>0</v>
      </c>
      <c r="AG2571">
        <v>0</v>
      </c>
      <c r="AH2571">
        <v>0</v>
      </c>
      <c r="AI2571">
        <v>0</v>
      </c>
      <c r="AJ2571">
        <v>0</v>
      </c>
      <c r="AK2571">
        <v>0</v>
      </c>
      <c r="AL2571">
        <v>0</v>
      </c>
      <c r="AM2571">
        <v>0</v>
      </c>
      <c r="AN2571">
        <v>0</v>
      </c>
      <c r="AO2571">
        <v>0</v>
      </c>
      <c r="AP2571">
        <v>0</v>
      </c>
      <c r="AQ2571">
        <v>21.38</v>
      </c>
      <c r="AR2571">
        <v>0</v>
      </c>
      <c r="AS2571">
        <v>0</v>
      </c>
      <c r="AT2571">
        <v>0</v>
      </c>
      <c r="AU2571">
        <v>0</v>
      </c>
      <c r="AV2571">
        <v>0</v>
      </c>
      <c r="AW2571">
        <v>0</v>
      </c>
      <c r="AX2571">
        <v>0</v>
      </c>
      <c r="AY2571">
        <v>0</v>
      </c>
      <c r="AZ2571">
        <v>0</v>
      </c>
      <c r="BA2571">
        <v>0</v>
      </c>
      <c r="BB2571">
        <v>0</v>
      </c>
      <c r="BC2571">
        <v>0</v>
      </c>
      <c r="BD2571">
        <v>0</v>
      </c>
      <c r="BE2571">
        <v>0</v>
      </c>
      <c r="BF2571">
        <v>0</v>
      </c>
      <c r="BG2571">
        <v>0</v>
      </c>
      <c r="BH2571">
        <v>1</v>
      </c>
      <c r="BI2571">
        <v>1</v>
      </c>
      <c r="BJ2571">
        <v>0.2</v>
      </c>
      <c r="BK2571">
        <v>1</v>
      </c>
      <c r="BL2571">
        <v>69.98</v>
      </c>
      <c r="BM2571">
        <v>10.5</v>
      </c>
      <c r="BN2571">
        <v>80.48</v>
      </c>
      <c r="BO2571">
        <v>80.48</v>
      </c>
      <c r="BQ2571" t="s">
        <v>586</v>
      </c>
      <c r="BR2571" t="s">
        <v>84</v>
      </c>
      <c r="BS2571" s="3">
        <v>45799</v>
      </c>
      <c r="BT2571" s="4">
        <v>0.4861111111111111</v>
      </c>
      <c r="BU2571" t="s">
        <v>2787</v>
      </c>
      <c r="BV2571" t="s">
        <v>89</v>
      </c>
      <c r="BY2571">
        <v>1200</v>
      </c>
      <c r="CA2571" t="s">
        <v>588</v>
      </c>
      <c r="CC2571" t="s">
        <v>464</v>
      </c>
      <c r="CD2571">
        <v>5200</v>
      </c>
      <c r="CE2571" t="s">
        <v>88</v>
      </c>
      <c r="CF2571" s="3">
        <v>45799</v>
      </c>
      <c r="CI2571">
        <v>1</v>
      </c>
      <c r="CJ2571">
        <v>1</v>
      </c>
      <c r="CK2571">
        <v>21</v>
      </c>
      <c r="CL2571" t="s">
        <v>89</v>
      </c>
    </row>
    <row r="2572" spans="1:90" x14ac:dyDescent="0.3">
      <c r="A2572" t="s">
        <v>72</v>
      </c>
      <c r="B2572" t="s">
        <v>73</v>
      </c>
      <c r="C2572" t="s">
        <v>74</v>
      </c>
      <c r="E2572" t="str">
        <f>"080065489474"</f>
        <v>080065489474</v>
      </c>
      <c r="F2572" s="3">
        <v>45798</v>
      </c>
      <c r="G2572">
        <v>202602</v>
      </c>
      <c r="H2572" t="s">
        <v>75</v>
      </c>
      <c r="I2572" t="s">
        <v>76</v>
      </c>
      <c r="J2572" t="s">
        <v>77</v>
      </c>
      <c r="K2572" t="s">
        <v>78</v>
      </c>
      <c r="L2572" t="s">
        <v>136</v>
      </c>
      <c r="M2572" t="s">
        <v>137</v>
      </c>
      <c r="N2572" t="s">
        <v>2788</v>
      </c>
      <c r="O2572" t="s">
        <v>82</v>
      </c>
      <c r="P2572" t="str">
        <f>"4170039734                    "</f>
        <v xml:space="preserve">4170039734                    </v>
      </c>
      <c r="Q2572">
        <v>0</v>
      </c>
      <c r="R2572">
        <v>0</v>
      </c>
      <c r="S2572">
        <v>0</v>
      </c>
      <c r="T2572">
        <v>0</v>
      </c>
      <c r="U2572">
        <v>0</v>
      </c>
      <c r="V2572">
        <v>0</v>
      </c>
      <c r="W2572">
        <v>0</v>
      </c>
      <c r="X2572">
        <v>0</v>
      </c>
      <c r="Y2572">
        <v>0</v>
      </c>
      <c r="Z2572">
        <v>0</v>
      </c>
      <c r="AA2572">
        <v>0</v>
      </c>
      <c r="AB2572">
        <v>0</v>
      </c>
      <c r="AC2572">
        <v>0</v>
      </c>
      <c r="AD2572">
        <v>0</v>
      </c>
      <c r="AE2572">
        <v>0</v>
      </c>
      <c r="AF2572">
        <v>0</v>
      </c>
      <c r="AG2572">
        <v>0</v>
      </c>
      <c r="AH2572">
        <v>0</v>
      </c>
      <c r="AI2572">
        <v>0</v>
      </c>
      <c r="AJ2572">
        <v>0</v>
      </c>
      <c r="AK2572">
        <v>0</v>
      </c>
      <c r="AL2572">
        <v>0</v>
      </c>
      <c r="AM2572">
        <v>0</v>
      </c>
      <c r="AN2572">
        <v>0</v>
      </c>
      <c r="AO2572">
        <v>0</v>
      </c>
      <c r="AP2572">
        <v>0</v>
      </c>
      <c r="AQ2572">
        <v>21.38</v>
      </c>
      <c r="AR2572">
        <v>0</v>
      </c>
      <c r="AS2572">
        <v>0</v>
      </c>
      <c r="AT2572">
        <v>0</v>
      </c>
      <c r="AU2572">
        <v>0</v>
      </c>
      <c r="AV2572">
        <v>0</v>
      </c>
      <c r="AW2572">
        <v>0</v>
      </c>
      <c r="AX2572">
        <v>0</v>
      </c>
      <c r="AY2572">
        <v>0</v>
      </c>
      <c r="AZ2572">
        <v>0</v>
      </c>
      <c r="BA2572">
        <v>0</v>
      </c>
      <c r="BB2572">
        <v>0</v>
      </c>
      <c r="BC2572">
        <v>0</v>
      </c>
      <c r="BD2572">
        <v>0</v>
      </c>
      <c r="BE2572">
        <v>0</v>
      </c>
      <c r="BF2572">
        <v>0</v>
      </c>
      <c r="BG2572">
        <v>0</v>
      </c>
      <c r="BH2572">
        <v>1</v>
      </c>
      <c r="BI2572">
        <v>1</v>
      </c>
      <c r="BJ2572">
        <v>0.2</v>
      </c>
      <c r="BK2572">
        <v>1</v>
      </c>
      <c r="BL2572">
        <v>69.98</v>
      </c>
      <c r="BM2572">
        <v>10.5</v>
      </c>
      <c r="BN2572">
        <v>80.48</v>
      </c>
      <c r="BO2572">
        <v>80.48</v>
      </c>
      <c r="BQ2572" t="s">
        <v>2789</v>
      </c>
      <c r="BR2572" t="s">
        <v>84</v>
      </c>
      <c r="BS2572" s="3">
        <v>45799</v>
      </c>
      <c r="BT2572" s="4">
        <v>0.3888888888888889</v>
      </c>
      <c r="BU2572" t="s">
        <v>2790</v>
      </c>
      <c r="BV2572" t="s">
        <v>86</v>
      </c>
      <c r="BY2572">
        <v>1200</v>
      </c>
      <c r="CA2572" t="s">
        <v>141</v>
      </c>
      <c r="CC2572" t="s">
        <v>137</v>
      </c>
      <c r="CD2572" s="5" t="s">
        <v>142</v>
      </c>
      <c r="CE2572" t="s">
        <v>88</v>
      </c>
      <c r="CF2572" s="3">
        <v>45799</v>
      </c>
      <c r="CI2572">
        <v>1</v>
      </c>
      <c r="CJ2572">
        <v>1</v>
      </c>
      <c r="CK2572">
        <v>21</v>
      </c>
      <c r="CL2572" t="s">
        <v>89</v>
      </c>
    </row>
    <row r="2573" spans="1:90" x14ac:dyDescent="0.3">
      <c r="A2573" t="s">
        <v>72</v>
      </c>
      <c r="B2573" t="s">
        <v>73</v>
      </c>
      <c r="C2573" t="s">
        <v>74</v>
      </c>
      <c r="E2573" t="str">
        <f>"080065489481"</f>
        <v>080065489481</v>
      </c>
      <c r="F2573" s="3">
        <v>45798</v>
      </c>
      <c r="G2573">
        <v>202602</v>
      </c>
      <c r="H2573" t="s">
        <v>75</v>
      </c>
      <c r="I2573" t="s">
        <v>76</v>
      </c>
      <c r="J2573" t="s">
        <v>77</v>
      </c>
      <c r="K2573" t="s">
        <v>78</v>
      </c>
      <c r="L2573" t="s">
        <v>117</v>
      </c>
      <c r="M2573" t="s">
        <v>118</v>
      </c>
      <c r="N2573" t="s">
        <v>1228</v>
      </c>
      <c r="O2573" t="s">
        <v>82</v>
      </c>
      <c r="P2573" t="str">
        <f>"4170039745                    "</f>
        <v xml:space="preserve">4170039745                    </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c r="AI2573">
        <v>0</v>
      </c>
      <c r="AJ2573">
        <v>0</v>
      </c>
      <c r="AK2573">
        <v>0</v>
      </c>
      <c r="AL2573">
        <v>0</v>
      </c>
      <c r="AM2573">
        <v>0</v>
      </c>
      <c r="AN2573">
        <v>0</v>
      </c>
      <c r="AO2573">
        <v>0</v>
      </c>
      <c r="AP2573">
        <v>0</v>
      </c>
      <c r="AQ2573">
        <v>16.7</v>
      </c>
      <c r="AR2573">
        <v>0</v>
      </c>
      <c r="AS2573">
        <v>0</v>
      </c>
      <c r="AT2573">
        <v>0</v>
      </c>
      <c r="AU2573">
        <v>0</v>
      </c>
      <c r="AV2573">
        <v>0</v>
      </c>
      <c r="AW2573">
        <v>0</v>
      </c>
      <c r="AX2573">
        <v>0</v>
      </c>
      <c r="AY2573">
        <v>0</v>
      </c>
      <c r="AZ2573">
        <v>0</v>
      </c>
      <c r="BA2573">
        <v>0</v>
      </c>
      <c r="BB2573">
        <v>0</v>
      </c>
      <c r="BC2573">
        <v>0</v>
      </c>
      <c r="BD2573">
        <v>0</v>
      </c>
      <c r="BE2573">
        <v>0</v>
      </c>
      <c r="BF2573">
        <v>0</v>
      </c>
      <c r="BG2573">
        <v>0</v>
      </c>
      <c r="BH2573">
        <v>1</v>
      </c>
      <c r="BI2573">
        <v>1</v>
      </c>
      <c r="BJ2573">
        <v>0.2</v>
      </c>
      <c r="BK2573">
        <v>1</v>
      </c>
      <c r="BL2573">
        <v>54.66</v>
      </c>
      <c r="BM2573">
        <v>8.1999999999999993</v>
      </c>
      <c r="BN2573">
        <v>62.86</v>
      </c>
      <c r="BO2573">
        <v>62.86</v>
      </c>
      <c r="BQ2573" t="s">
        <v>1229</v>
      </c>
      <c r="BR2573" t="s">
        <v>84</v>
      </c>
      <c r="BS2573" s="3">
        <v>45799</v>
      </c>
      <c r="BT2573" s="4">
        <v>0.33819444444444446</v>
      </c>
      <c r="BU2573" t="s">
        <v>1230</v>
      </c>
      <c r="BV2573" t="s">
        <v>86</v>
      </c>
      <c r="BY2573">
        <v>1200</v>
      </c>
      <c r="CA2573" t="s">
        <v>275</v>
      </c>
      <c r="CC2573" t="s">
        <v>118</v>
      </c>
      <c r="CD2573">
        <v>2190</v>
      </c>
      <c r="CE2573" t="s">
        <v>88</v>
      </c>
      <c r="CF2573" s="3">
        <v>45799</v>
      </c>
      <c r="CI2573">
        <v>1</v>
      </c>
      <c r="CJ2573">
        <v>1</v>
      </c>
      <c r="CK2573">
        <v>22</v>
      </c>
      <c r="CL2573" t="s">
        <v>89</v>
      </c>
    </row>
    <row r="2574" spans="1:90" x14ac:dyDescent="0.3">
      <c r="A2574" t="s">
        <v>72</v>
      </c>
      <c r="B2574" t="s">
        <v>73</v>
      </c>
      <c r="C2574" t="s">
        <v>74</v>
      </c>
      <c r="E2574" t="str">
        <f>"080065489500"</f>
        <v>080065489500</v>
      </c>
      <c r="F2574" s="3">
        <v>45798</v>
      </c>
      <c r="G2574">
        <v>202602</v>
      </c>
      <c r="H2574" t="s">
        <v>75</v>
      </c>
      <c r="I2574" t="s">
        <v>76</v>
      </c>
      <c r="J2574" t="s">
        <v>77</v>
      </c>
      <c r="K2574" t="s">
        <v>78</v>
      </c>
      <c r="L2574" t="s">
        <v>97</v>
      </c>
      <c r="M2574" t="s">
        <v>98</v>
      </c>
      <c r="N2574" t="s">
        <v>99</v>
      </c>
      <c r="O2574" t="s">
        <v>82</v>
      </c>
      <c r="P2574" t="str">
        <f>"4170039871                    "</f>
        <v xml:space="preserve">4170039871                    </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c r="AI2574">
        <v>0</v>
      </c>
      <c r="AJ2574">
        <v>0</v>
      </c>
      <c r="AK2574">
        <v>0</v>
      </c>
      <c r="AL2574">
        <v>0</v>
      </c>
      <c r="AM2574">
        <v>0</v>
      </c>
      <c r="AN2574">
        <v>0</v>
      </c>
      <c r="AO2574">
        <v>0</v>
      </c>
      <c r="AP2574">
        <v>0</v>
      </c>
      <c r="AQ2574">
        <v>16.7</v>
      </c>
      <c r="AR2574">
        <v>0</v>
      </c>
      <c r="AS2574">
        <v>0</v>
      </c>
      <c r="AT2574">
        <v>0</v>
      </c>
      <c r="AU2574">
        <v>0</v>
      </c>
      <c r="AV2574">
        <v>0</v>
      </c>
      <c r="AW2574">
        <v>0</v>
      </c>
      <c r="AX2574">
        <v>0</v>
      </c>
      <c r="AY2574">
        <v>0</v>
      </c>
      <c r="AZ2574">
        <v>0</v>
      </c>
      <c r="BA2574">
        <v>0</v>
      </c>
      <c r="BB2574">
        <v>0</v>
      </c>
      <c r="BC2574">
        <v>0</v>
      </c>
      <c r="BD2574">
        <v>0</v>
      </c>
      <c r="BE2574">
        <v>0</v>
      </c>
      <c r="BF2574">
        <v>0</v>
      </c>
      <c r="BG2574">
        <v>0</v>
      </c>
      <c r="BH2574">
        <v>1</v>
      </c>
      <c r="BI2574">
        <v>1</v>
      </c>
      <c r="BJ2574">
        <v>0.2</v>
      </c>
      <c r="BK2574">
        <v>1</v>
      </c>
      <c r="BL2574">
        <v>54.66</v>
      </c>
      <c r="BM2574">
        <v>8.1999999999999993</v>
      </c>
      <c r="BN2574">
        <v>62.86</v>
      </c>
      <c r="BO2574">
        <v>62.86</v>
      </c>
      <c r="BQ2574" t="s">
        <v>100</v>
      </c>
      <c r="BR2574" t="s">
        <v>84</v>
      </c>
      <c r="BS2574" s="3">
        <v>45799</v>
      </c>
      <c r="BT2574" s="4">
        <v>0.33124999999999999</v>
      </c>
      <c r="BU2574" t="s">
        <v>493</v>
      </c>
      <c r="BV2574" t="s">
        <v>86</v>
      </c>
      <c r="BY2574">
        <v>1200</v>
      </c>
      <c r="CA2574" t="s">
        <v>279</v>
      </c>
      <c r="CC2574" t="s">
        <v>98</v>
      </c>
      <c r="CD2574">
        <v>1459</v>
      </c>
      <c r="CE2574" t="s">
        <v>88</v>
      </c>
      <c r="CF2574" s="3">
        <v>45799</v>
      </c>
      <c r="CI2574">
        <v>1</v>
      </c>
      <c r="CJ2574">
        <v>1</v>
      </c>
      <c r="CK2574">
        <v>22</v>
      </c>
      <c r="CL2574" t="s">
        <v>89</v>
      </c>
    </row>
    <row r="2575" spans="1:90" x14ac:dyDescent="0.3">
      <c r="A2575" t="s">
        <v>72</v>
      </c>
      <c r="B2575" t="s">
        <v>73</v>
      </c>
      <c r="C2575" t="s">
        <v>74</v>
      </c>
      <c r="E2575" t="str">
        <f>"080065489509"</f>
        <v>080065489509</v>
      </c>
      <c r="F2575" s="3">
        <v>45798</v>
      </c>
      <c r="G2575">
        <v>202602</v>
      </c>
      <c r="H2575" t="s">
        <v>75</v>
      </c>
      <c r="I2575" t="s">
        <v>76</v>
      </c>
      <c r="J2575" t="s">
        <v>77</v>
      </c>
      <c r="K2575" t="s">
        <v>78</v>
      </c>
      <c r="L2575" t="s">
        <v>90</v>
      </c>
      <c r="M2575" t="s">
        <v>91</v>
      </c>
      <c r="N2575" t="s">
        <v>543</v>
      </c>
      <c r="O2575" t="s">
        <v>82</v>
      </c>
      <c r="P2575" t="str">
        <f>"4170039845                    "</f>
        <v xml:space="preserve">4170039845                    </v>
      </c>
      <c r="Q2575">
        <v>0</v>
      </c>
      <c r="R2575">
        <v>0</v>
      </c>
      <c r="S2575">
        <v>0</v>
      </c>
      <c r="T2575">
        <v>0</v>
      </c>
      <c r="U2575">
        <v>0</v>
      </c>
      <c r="V2575">
        <v>0</v>
      </c>
      <c r="W2575">
        <v>0</v>
      </c>
      <c r="X2575">
        <v>0</v>
      </c>
      <c r="Y2575">
        <v>0</v>
      </c>
      <c r="Z2575">
        <v>0</v>
      </c>
      <c r="AA2575">
        <v>0</v>
      </c>
      <c r="AB2575">
        <v>0</v>
      </c>
      <c r="AC2575">
        <v>0</v>
      </c>
      <c r="AD2575">
        <v>0</v>
      </c>
      <c r="AE2575">
        <v>0</v>
      </c>
      <c r="AF2575">
        <v>0</v>
      </c>
      <c r="AG2575">
        <v>0</v>
      </c>
      <c r="AH2575">
        <v>0</v>
      </c>
      <c r="AI2575">
        <v>0</v>
      </c>
      <c r="AJ2575">
        <v>0</v>
      </c>
      <c r="AK2575">
        <v>0</v>
      </c>
      <c r="AL2575">
        <v>0</v>
      </c>
      <c r="AM2575">
        <v>0</v>
      </c>
      <c r="AN2575">
        <v>0</v>
      </c>
      <c r="AO2575">
        <v>0</v>
      </c>
      <c r="AP2575">
        <v>0</v>
      </c>
      <c r="AQ2575">
        <v>21.38</v>
      </c>
      <c r="AR2575">
        <v>0</v>
      </c>
      <c r="AS2575">
        <v>0</v>
      </c>
      <c r="AT2575">
        <v>0</v>
      </c>
      <c r="AU2575">
        <v>0</v>
      </c>
      <c r="AV2575">
        <v>0</v>
      </c>
      <c r="AW2575">
        <v>0</v>
      </c>
      <c r="AX2575">
        <v>0</v>
      </c>
      <c r="AY2575">
        <v>0</v>
      </c>
      <c r="AZ2575">
        <v>0</v>
      </c>
      <c r="BA2575">
        <v>0</v>
      </c>
      <c r="BB2575">
        <v>0</v>
      </c>
      <c r="BC2575">
        <v>0</v>
      </c>
      <c r="BD2575">
        <v>0</v>
      </c>
      <c r="BE2575">
        <v>0</v>
      </c>
      <c r="BF2575">
        <v>0</v>
      </c>
      <c r="BG2575">
        <v>0</v>
      </c>
      <c r="BH2575">
        <v>1</v>
      </c>
      <c r="BI2575">
        <v>1</v>
      </c>
      <c r="BJ2575">
        <v>0.2</v>
      </c>
      <c r="BK2575">
        <v>1</v>
      </c>
      <c r="BL2575">
        <v>69.98</v>
      </c>
      <c r="BM2575">
        <v>10.5</v>
      </c>
      <c r="BN2575">
        <v>80.48</v>
      </c>
      <c r="BO2575">
        <v>80.48</v>
      </c>
      <c r="BQ2575" t="s">
        <v>544</v>
      </c>
      <c r="BR2575" t="s">
        <v>84</v>
      </c>
      <c r="BS2575" s="3">
        <v>45799</v>
      </c>
      <c r="BT2575" s="4">
        <v>0.40347222222222223</v>
      </c>
      <c r="BU2575" t="s">
        <v>2791</v>
      </c>
      <c r="BV2575" t="s">
        <v>86</v>
      </c>
      <c r="BY2575">
        <v>1200</v>
      </c>
      <c r="CC2575" t="s">
        <v>91</v>
      </c>
      <c r="CD2575">
        <v>6001</v>
      </c>
      <c r="CE2575" t="s">
        <v>88</v>
      </c>
      <c r="CF2575" s="3">
        <v>45799</v>
      </c>
      <c r="CI2575">
        <v>1</v>
      </c>
      <c r="CJ2575">
        <v>1</v>
      </c>
      <c r="CK2575">
        <v>21</v>
      </c>
      <c r="CL2575" t="s">
        <v>89</v>
      </c>
    </row>
    <row r="2576" spans="1:90" x14ac:dyDescent="0.3">
      <c r="A2576" t="s">
        <v>72</v>
      </c>
      <c r="B2576" t="s">
        <v>73</v>
      </c>
      <c r="C2576" t="s">
        <v>74</v>
      </c>
      <c r="E2576" t="str">
        <f>"080065489525"</f>
        <v>080065489525</v>
      </c>
      <c r="F2576" s="3">
        <v>45798</v>
      </c>
      <c r="G2576">
        <v>202602</v>
      </c>
      <c r="H2576" t="s">
        <v>75</v>
      </c>
      <c r="I2576" t="s">
        <v>76</v>
      </c>
      <c r="J2576" t="s">
        <v>77</v>
      </c>
      <c r="K2576" t="s">
        <v>78</v>
      </c>
      <c r="L2576" t="s">
        <v>130</v>
      </c>
      <c r="M2576" t="s">
        <v>131</v>
      </c>
      <c r="N2576" t="s">
        <v>1066</v>
      </c>
      <c r="O2576" t="s">
        <v>82</v>
      </c>
      <c r="P2576" t="str">
        <f>"4170039737                    "</f>
        <v xml:space="preserve">4170039737                    </v>
      </c>
      <c r="Q2576">
        <v>0</v>
      </c>
      <c r="R2576">
        <v>0</v>
      </c>
      <c r="S2576">
        <v>0</v>
      </c>
      <c r="T2576">
        <v>0</v>
      </c>
      <c r="U2576">
        <v>0</v>
      </c>
      <c r="V2576">
        <v>0</v>
      </c>
      <c r="W2576">
        <v>0</v>
      </c>
      <c r="X2576">
        <v>0</v>
      </c>
      <c r="Y2576">
        <v>0</v>
      </c>
      <c r="Z2576">
        <v>0</v>
      </c>
      <c r="AA2576">
        <v>0</v>
      </c>
      <c r="AB2576">
        <v>0</v>
      </c>
      <c r="AC2576">
        <v>0</v>
      </c>
      <c r="AD2576">
        <v>0</v>
      </c>
      <c r="AE2576">
        <v>0</v>
      </c>
      <c r="AF2576">
        <v>0</v>
      </c>
      <c r="AG2576">
        <v>0</v>
      </c>
      <c r="AH2576">
        <v>0</v>
      </c>
      <c r="AI2576">
        <v>0</v>
      </c>
      <c r="AJ2576">
        <v>0</v>
      </c>
      <c r="AK2576">
        <v>0</v>
      </c>
      <c r="AL2576">
        <v>0</v>
      </c>
      <c r="AM2576">
        <v>0</v>
      </c>
      <c r="AN2576">
        <v>0</v>
      </c>
      <c r="AO2576">
        <v>0</v>
      </c>
      <c r="AP2576">
        <v>0</v>
      </c>
      <c r="AQ2576">
        <v>21.38</v>
      </c>
      <c r="AR2576">
        <v>0</v>
      </c>
      <c r="AS2576">
        <v>0</v>
      </c>
      <c r="AT2576">
        <v>0</v>
      </c>
      <c r="AU2576">
        <v>0</v>
      </c>
      <c r="AV2576">
        <v>0</v>
      </c>
      <c r="AW2576">
        <v>0</v>
      </c>
      <c r="AX2576">
        <v>0</v>
      </c>
      <c r="AY2576">
        <v>0</v>
      </c>
      <c r="AZ2576">
        <v>0</v>
      </c>
      <c r="BA2576">
        <v>0</v>
      </c>
      <c r="BB2576">
        <v>0</v>
      </c>
      <c r="BC2576">
        <v>0</v>
      </c>
      <c r="BD2576">
        <v>0</v>
      </c>
      <c r="BE2576">
        <v>0</v>
      </c>
      <c r="BF2576">
        <v>0</v>
      </c>
      <c r="BG2576">
        <v>0</v>
      </c>
      <c r="BH2576">
        <v>1</v>
      </c>
      <c r="BI2576">
        <v>1</v>
      </c>
      <c r="BJ2576">
        <v>0.2</v>
      </c>
      <c r="BK2576">
        <v>1</v>
      </c>
      <c r="BL2576">
        <v>69.98</v>
      </c>
      <c r="BM2576">
        <v>10.5</v>
      </c>
      <c r="BN2576">
        <v>80.48</v>
      </c>
      <c r="BO2576">
        <v>80.48</v>
      </c>
      <c r="BQ2576" t="s">
        <v>1067</v>
      </c>
      <c r="BR2576" t="s">
        <v>84</v>
      </c>
      <c r="BS2576" s="3">
        <v>45800</v>
      </c>
      <c r="BT2576" s="4">
        <v>0.39583333333333331</v>
      </c>
      <c r="BU2576" t="s">
        <v>2792</v>
      </c>
      <c r="BV2576" t="s">
        <v>89</v>
      </c>
      <c r="BW2576" t="s">
        <v>340</v>
      </c>
      <c r="BX2576" t="s">
        <v>618</v>
      </c>
      <c r="BY2576">
        <v>1200</v>
      </c>
      <c r="CA2576" t="s">
        <v>712</v>
      </c>
      <c r="CC2576" t="s">
        <v>131</v>
      </c>
      <c r="CD2576">
        <v>7561</v>
      </c>
      <c r="CE2576" t="s">
        <v>2396</v>
      </c>
      <c r="CF2576" s="3">
        <v>45803</v>
      </c>
      <c r="CI2576">
        <v>1</v>
      </c>
      <c r="CJ2576">
        <v>2</v>
      </c>
      <c r="CK2576">
        <v>21</v>
      </c>
      <c r="CL2576" t="s">
        <v>89</v>
      </c>
    </row>
    <row r="2577" spans="1:90" x14ac:dyDescent="0.3">
      <c r="A2577" t="s">
        <v>72</v>
      </c>
      <c r="B2577" t="s">
        <v>73</v>
      </c>
      <c r="C2577" t="s">
        <v>74</v>
      </c>
      <c r="E2577" t="str">
        <f>"080065489529"</f>
        <v>080065489529</v>
      </c>
      <c r="F2577" s="3">
        <v>45798</v>
      </c>
      <c r="G2577">
        <v>202602</v>
      </c>
      <c r="H2577" t="s">
        <v>75</v>
      </c>
      <c r="I2577" t="s">
        <v>76</v>
      </c>
      <c r="J2577" t="s">
        <v>77</v>
      </c>
      <c r="K2577" t="s">
        <v>78</v>
      </c>
      <c r="L2577" t="s">
        <v>79</v>
      </c>
      <c r="M2577" t="s">
        <v>80</v>
      </c>
      <c r="N2577" t="s">
        <v>452</v>
      </c>
      <c r="O2577" t="s">
        <v>82</v>
      </c>
      <c r="P2577" t="str">
        <f>"4170039803                    "</f>
        <v xml:space="preserve">4170039803                    </v>
      </c>
      <c r="Q2577">
        <v>0</v>
      </c>
      <c r="R2577">
        <v>0</v>
      </c>
      <c r="S2577">
        <v>0</v>
      </c>
      <c r="T2577">
        <v>0</v>
      </c>
      <c r="U2577">
        <v>0</v>
      </c>
      <c r="V2577">
        <v>0</v>
      </c>
      <c r="W2577">
        <v>0</v>
      </c>
      <c r="X2577">
        <v>0</v>
      </c>
      <c r="Y2577">
        <v>0</v>
      </c>
      <c r="Z2577">
        <v>0</v>
      </c>
      <c r="AA2577">
        <v>0</v>
      </c>
      <c r="AB2577">
        <v>0</v>
      </c>
      <c r="AC2577">
        <v>0</v>
      </c>
      <c r="AD2577">
        <v>0</v>
      </c>
      <c r="AE2577">
        <v>0</v>
      </c>
      <c r="AF2577">
        <v>0</v>
      </c>
      <c r="AG2577">
        <v>0</v>
      </c>
      <c r="AH2577">
        <v>0</v>
      </c>
      <c r="AI2577">
        <v>0</v>
      </c>
      <c r="AJ2577">
        <v>0</v>
      </c>
      <c r="AK2577">
        <v>0</v>
      </c>
      <c r="AL2577">
        <v>0</v>
      </c>
      <c r="AM2577">
        <v>0</v>
      </c>
      <c r="AN2577">
        <v>0</v>
      </c>
      <c r="AO2577">
        <v>0</v>
      </c>
      <c r="AP2577">
        <v>0</v>
      </c>
      <c r="AQ2577">
        <v>21.38</v>
      </c>
      <c r="AR2577">
        <v>0</v>
      </c>
      <c r="AS2577">
        <v>0</v>
      </c>
      <c r="AT2577">
        <v>0</v>
      </c>
      <c r="AU2577">
        <v>0</v>
      </c>
      <c r="AV2577">
        <v>0</v>
      </c>
      <c r="AW2577">
        <v>0</v>
      </c>
      <c r="AX2577">
        <v>0</v>
      </c>
      <c r="AY2577">
        <v>0</v>
      </c>
      <c r="AZ2577">
        <v>0</v>
      </c>
      <c r="BA2577">
        <v>0</v>
      </c>
      <c r="BB2577">
        <v>0</v>
      </c>
      <c r="BC2577">
        <v>0</v>
      </c>
      <c r="BD2577">
        <v>0</v>
      </c>
      <c r="BE2577">
        <v>0</v>
      </c>
      <c r="BF2577">
        <v>0</v>
      </c>
      <c r="BG2577">
        <v>0</v>
      </c>
      <c r="BH2577">
        <v>1</v>
      </c>
      <c r="BI2577">
        <v>1</v>
      </c>
      <c r="BJ2577">
        <v>0.2</v>
      </c>
      <c r="BK2577">
        <v>1</v>
      </c>
      <c r="BL2577">
        <v>69.98</v>
      </c>
      <c r="BM2577">
        <v>10.5</v>
      </c>
      <c r="BN2577">
        <v>80.48</v>
      </c>
      <c r="BO2577">
        <v>80.48</v>
      </c>
      <c r="BQ2577" t="s">
        <v>453</v>
      </c>
      <c r="BR2577" t="s">
        <v>84</v>
      </c>
      <c r="BS2577" s="3">
        <v>45799</v>
      </c>
      <c r="BT2577" s="4">
        <v>0.3888888888888889</v>
      </c>
      <c r="BU2577" t="s">
        <v>1071</v>
      </c>
      <c r="BV2577" t="s">
        <v>86</v>
      </c>
      <c r="BY2577">
        <v>1200</v>
      </c>
      <c r="CA2577" t="s">
        <v>160</v>
      </c>
      <c r="CC2577" t="s">
        <v>80</v>
      </c>
      <c r="CD2577">
        <v>3610</v>
      </c>
      <c r="CE2577" t="s">
        <v>88</v>
      </c>
      <c r="CF2577" s="3">
        <v>45800</v>
      </c>
      <c r="CI2577">
        <v>1</v>
      </c>
      <c r="CJ2577">
        <v>1</v>
      </c>
      <c r="CK2577">
        <v>21</v>
      </c>
      <c r="CL2577" t="s">
        <v>89</v>
      </c>
    </row>
    <row r="2578" spans="1:90" x14ac:dyDescent="0.3">
      <c r="A2578" t="s">
        <v>72</v>
      </c>
      <c r="B2578" t="s">
        <v>73</v>
      </c>
      <c r="C2578" t="s">
        <v>74</v>
      </c>
      <c r="E2578" t="str">
        <f>"080065489550"</f>
        <v>080065489550</v>
      </c>
      <c r="F2578" s="3">
        <v>45798</v>
      </c>
      <c r="G2578">
        <v>202602</v>
      </c>
      <c r="H2578" t="s">
        <v>75</v>
      </c>
      <c r="I2578" t="s">
        <v>76</v>
      </c>
      <c r="J2578" t="s">
        <v>77</v>
      </c>
      <c r="K2578" t="s">
        <v>78</v>
      </c>
      <c r="L2578" t="s">
        <v>123</v>
      </c>
      <c r="M2578" t="s">
        <v>123</v>
      </c>
      <c r="N2578" t="s">
        <v>1700</v>
      </c>
      <c r="O2578" t="s">
        <v>82</v>
      </c>
      <c r="P2578" t="str">
        <f>"4170039908                    "</f>
        <v xml:space="preserve">4170039908                    </v>
      </c>
      <c r="Q2578">
        <v>0</v>
      </c>
      <c r="R2578">
        <v>0</v>
      </c>
      <c r="S2578">
        <v>0</v>
      </c>
      <c r="T2578">
        <v>0</v>
      </c>
      <c r="U2578">
        <v>0</v>
      </c>
      <c r="V2578">
        <v>0</v>
      </c>
      <c r="W2578">
        <v>0</v>
      </c>
      <c r="X2578">
        <v>0</v>
      </c>
      <c r="Y2578">
        <v>0</v>
      </c>
      <c r="Z2578">
        <v>0</v>
      </c>
      <c r="AA2578">
        <v>0</v>
      </c>
      <c r="AB2578">
        <v>0</v>
      </c>
      <c r="AC2578">
        <v>0</v>
      </c>
      <c r="AD2578">
        <v>0</v>
      </c>
      <c r="AE2578">
        <v>0</v>
      </c>
      <c r="AF2578">
        <v>0</v>
      </c>
      <c r="AG2578">
        <v>0</v>
      </c>
      <c r="AH2578">
        <v>0</v>
      </c>
      <c r="AI2578">
        <v>0</v>
      </c>
      <c r="AJ2578">
        <v>0</v>
      </c>
      <c r="AK2578">
        <v>0</v>
      </c>
      <c r="AL2578">
        <v>0</v>
      </c>
      <c r="AM2578">
        <v>0</v>
      </c>
      <c r="AN2578">
        <v>0</v>
      </c>
      <c r="AO2578">
        <v>0</v>
      </c>
      <c r="AP2578">
        <v>0</v>
      </c>
      <c r="AQ2578">
        <v>41.43</v>
      </c>
      <c r="AR2578">
        <v>0</v>
      </c>
      <c r="AS2578">
        <v>0</v>
      </c>
      <c r="AT2578">
        <v>0</v>
      </c>
      <c r="AU2578">
        <v>0</v>
      </c>
      <c r="AV2578">
        <v>0</v>
      </c>
      <c r="AW2578">
        <v>0</v>
      </c>
      <c r="AX2578">
        <v>0</v>
      </c>
      <c r="AY2578">
        <v>0</v>
      </c>
      <c r="AZ2578">
        <v>0</v>
      </c>
      <c r="BA2578">
        <v>0</v>
      </c>
      <c r="BB2578">
        <v>0</v>
      </c>
      <c r="BC2578">
        <v>0</v>
      </c>
      <c r="BD2578">
        <v>0</v>
      </c>
      <c r="BE2578">
        <v>0</v>
      </c>
      <c r="BF2578">
        <v>0</v>
      </c>
      <c r="BG2578">
        <v>0</v>
      </c>
      <c r="BH2578">
        <v>1</v>
      </c>
      <c r="BI2578">
        <v>1</v>
      </c>
      <c r="BJ2578">
        <v>0.2</v>
      </c>
      <c r="BK2578">
        <v>1</v>
      </c>
      <c r="BL2578">
        <v>135.59</v>
      </c>
      <c r="BM2578">
        <v>20.34</v>
      </c>
      <c r="BN2578">
        <v>155.93</v>
      </c>
      <c r="BO2578">
        <v>155.93</v>
      </c>
      <c r="BQ2578" t="s">
        <v>1701</v>
      </c>
      <c r="BR2578" t="s">
        <v>84</v>
      </c>
      <c r="BS2578" s="3">
        <v>45799</v>
      </c>
      <c r="BT2578" s="4">
        <v>0.5083333333333333</v>
      </c>
      <c r="BU2578" t="s">
        <v>329</v>
      </c>
      <c r="BV2578" t="s">
        <v>86</v>
      </c>
      <c r="BY2578">
        <v>1200</v>
      </c>
      <c r="CA2578" t="s">
        <v>128</v>
      </c>
      <c r="CC2578" t="s">
        <v>123</v>
      </c>
      <c r="CD2578">
        <v>7646</v>
      </c>
      <c r="CE2578" t="s">
        <v>88</v>
      </c>
      <c r="CF2578" s="3">
        <v>45800</v>
      </c>
      <c r="CI2578">
        <v>1</v>
      </c>
      <c r="CJ2578">
        <v>1</v>
      </c>
      <c r="CK2578">
        <v>23</v>
      </c>
      <c r="CL2578" t="s">
        <v>89</v>
      </c>
    </row>
    <row r="2579" spans="1:90" x14ac:dyDescent="0.3">
      <c r="A2579" t="s">
        <v>72</v>
      </c>
      <c r="B2579" t="s">
        <v>73</v>
      </c>
      <c r="C2579" t="s">
        <v>74</v>
      </c>
      <c r="E2579" t="str">
        <f>"080065489552"</f>
        <v>080065489552</v>
      </c>
      <c r="F2579" s="3">
        <v>45798</v>
      </c>
      <c r="G2579">
        <v>202602</v>
      </c>
      <c r="H2579" t="s">
        <v>75</v>
      </c>
      <c r="I2579" t="s">
        <v>76</v>
      </c>
      <c r="J2579" t="s">
        <v>77</v>
      </c>
      <c r="K2579" t="s">
        <v>78</v>
      </c>
      <c r="L2579" t="s">
        <v>130</v>
      </c>
      <c r="M2579" t="s">
        <v>131</v>
      </c>
      <c r="N2579" t="s">
        <v>1066</v>
      </c>
      <c r="O2579" t="s">
        <v>82</v>
      </c>
      <c r="P2579" t="str">
        <f>"4170039736                    "</f>
        <v xml:space="preserve">4170039736                    </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c r="AI2579">
        <v>0</v>
      </c>
      <c r="AJ2579">
        <v>0</v>
      </c>
      <c r="AK2579">
        <v>0</v>
      </c>
      <c r="AL2579">
        <v>0</v>
      </c>
      <c r="AM2579">
        <v>0</v>
      </c>
      <c r="AN2579">
        <v>0</v>
      </c>
      <c r="AO2579">
        <v>0</v>
      </c>
      <c r="AP2579">
        <v>0</v>
      </c>
      <c r="AQ2579">
        <v>21.38</v>
      </c>
      <c r="AR2579">
        <v>0</v>
      </c>
      <c r="AS2579">
        <v>0</v>
      </c>
      <c r="AT2579">
        <v>0</v>
      </c>
      <c r="AU2579">
        <v>0</v>
      </c>
      <c r="AV2579">
        <v>0</v>
      </c>
      <c r="AW2579">
        <v>0</v>
      </c>
      <c r="AX2579">
        <v>0</v>
      </c>
      <c r="AY2579">
        <v>0</v>
      </c>
      <c r="AZ2579">
        <v>0</v>
      </c>
      <c r="BA2579">
        <v>0</v>
      </c>
      <c r="BB2579">
        <v>0</v>
      </c>
      <c r="BC2579">
        <v>0</v>
      </c>
      <c r="BD2579">
        <v>0</v>
      </c>
      <c r="BE2579">
        <v>0</v>
      </c>
      <c r="BF2579">
        <v>0</v>
      </c>
      <c r="BG2579">
        <v>0</v>
      </c>
      <c r="BH2579">
        <v>1</v>
      </c>
      <c r="BI2579">
        <v>1</v>
      </c>
      <c r="BJ2579">
        <v>0.2</v>
      </c>
      <c r="BK2579">
        <v>1</v>
      </c>
      <c r="BL2579">
        <v>69.98</v>
      </c>
      <c r="BM2579">
        <v>10.5</v>
      </c>
      <c r="BN2579">
        <v>80.48</v>
      </c>
      <c r="BO2579">
        <v>80.48</v>
      </c>
      <c r="BQ2579" t="s">
        <v>1067</v>
      </c>
      <c r="BR2579" t="s">
        <v>84</v>
      </c>
      <c r="BS2579" s="3">
        <v>45799</v>
      </c>
      <c r="BT2579" s="4">
        <v>0.39930555555555558</v>
      </c>
      <c r="BU2579" t="s">
        <v>1202</v>
      </c>
      <c r="BV2579" t="s">
        <v>86</v>
      </c>
      <c r="BY2579">
        <v>1200</v>
      </c>
      <c r="CA2579" t="s">
        <v>712</v>
      </c>
      <c r="CC2579" t="s">
        <v>131</v>
      </c>
      <c r="CD2579">
        <v>7561</v>
      </c>
      <c r="CE2579" t="s">
        <v>88</v>
      </c>
      <c r="CF2579" s="3">
        <v>45800</v>
      </c>
      <c r="CI2579">
        <v>1</v>
      </c>
      <c r="CJ2579">
        <v>1</v>
      </c>
      <c r="CK2579">
        <v>21</v>
      </c>
      <c r="CL2579" t="s">
        <v>89</v>
      </c>
    </row>
    <row r="2580" spans="1:90" x14ac:dyDescent="0.3">
      <c r="A2580" t="s">
        <v>72</v>
      </c>
      <c r="B2580" t="s">
        <v>73</v>
      </c>
      <c r="C2580" t="s">
        <v>74</v>
      </c>
      <c r="E2580" t="str">
        <f>"080065489580"</f>
        <v>080065489580</v>
      </c>
      <c r="F2580" s="3">
        <v>45798</v>
      </c>
      <c r="G2580">
        <v>202602</v>
      </c>
      <c r="H2580" t="s">
        <v>75</v>
      </c>
      <c r="I2580" t="s">
        <v>76</v>
      </c>
      <c r="J2580" t="s">
        <v>77</v>
      </c>
      <c r="K2580" t="s">
        <v>78</v>
      </c>
      <c r="L2580" t="s">
        <v>130</v>
      </c>
      <c r="M2580" t="s">
        <v>131</v>
      </c>
      <c r="N2580" t="s">
        <v>343</v>
      </c>
      <c r="O2580" t="s">
        <v>82</v>
      </c>
      <c r="P2580" t="str">
        <f>"4170039772                    "</f>
        <v xml:space="preserve">4170039772                    </v>
      </c>
      <c r="Q2580">
        <v>0</v>
      </c>
      <c r="R2580">
        <v>0</v>
      </c>
      <c r="S2580">
        <v>0</v>
      </c>
      <c r="T2580">
        <v>0</v>
      </c>
      <c r="U2580">
        <v>0</v>
      </c>
      <c r="V2580">
        <v>0</v>
      </c>
      <c r="W2580">
        <v>0</v>
      </c>
      <c r="X2580">
        <v>0</v>
      </c>
      <c r="Y2580">
        <v>0</v>
      </c>
      <c r="Z2580">
        <v>0</v>
      </c>
      <c r="AA2580">
        <v>0</v>
      </c>
      <c r="AB2580">
        <v>0</v>
      </c>
      <c r="AC2580">
        <v>0</v>
      </c>
      <c r="AD2580">
        <v>0</v>
      </c>
      <c r="AE2580">
        <v>0</v>
      </c>
      <c r="AF2580">
        <v>0</v>
      </c>
      <c r="AG2580">
        <v>0</v>
      </c>
      <c r="AH2580">
        <v>0</v>
      </c>
      <c r="AI2580">
        <v>0</v>
      </c>
      <c r="AJ2580">
        <v>0</v>
      </c>
      <c r="AK2580">
        <v>0</v>
      </c>
      <c r="AL2580">
        <v>0</v>
      </c>
      <c r="AM2580">
        <v>0</v>
      </c>
      <c r="AN2580">
        <v>0</v>
      </c>
      <c r="AO2580">
        <v>0</v>
      </c>
      <c r="AP2580">
        <v>0</v>
      </c>
      <c r="AQ2580">
        <v>21.38</v>
      </c>
      <c r="AR2580">
        <v>0</v>
      </c>
      <c r="AS2580">
        <v>0</v>
      </c>
      <c r="AT2580">
        <v>0</v>
      </c>
      <c r="AU2580">
        <v>0</v>
      </c>
      <c r="AV2580">
        <v>0</v>
      </c>
      <c r="AW2580">
        <v>0</v>
      </c>
      <c r="AX2580">
        <v>0</v>
      </c>
      <c r="AY2580">
        <v>0</v>
      </c>
      <c r="AZ2580">
        <v>0</v>
      </c>
      <c r="BA2580">
        <v>0</v>
      </c>
      <c r="BB2580">
        <v>0</v>
      </c>
      <c r="BC2580">
        <v>0</v>
      </c>
      <c r="BD2580">
        <v>0</v>
      </c>
      <c r="BE2580">
        <v>0</v>
      </c>
      <c r="BF2580">
        <v>0</v>
      </c>
      <c r="BG2580">
        <v>0</v>
      </c>
      <c r="BH2580">
        <v>1</v>
      </c>
      <c r="BI2580">
        <v>1</v>
      </c>
      <c r="BJ2580">
        <v>0.2</v>
      </c>
      <c r="BK2580">
        <v>1</v>
      </c>
      <c r="BL2580">
        <v>69.98</v>
      </c>
      <c r="BM2580">
        <v>10.5</v>
      </c>
      <c r="BN2580">
        <v>80.48</v>
      </c>
      <c r="BO2580">
        <v>80.48</v>
      </c>
      <c r="BQ2580" t="s">
        <v>344</v>
      </c>
      <c r="BR2580" t="s">
        <v>84</v>
      </c>
      <c r="BS2580" s="3">
        <v>45799</v>
      </c>
      <c r="BT2580" s="4">
        <v>0.40069444444444446</v>
      </c>
      <c r="BU2580" t="s">
        <v>345</v>
      </c>
      <c r="BV2580" t="s">
        <v>86</v>
      </c>
      <c r="BY2580">
        <v>1200</v>
      </c>
      <c r="CA2580" t="s">
        <v>242</v>
      </c>
      <c r="CC2580" t="s">
        <v>131</v>
      </c>
      <c r="CD2580">
        <v>7441</v>
      </c>
      <c r="CE2580" t="s">
        <v>88</v>
      </c>
      <c r="CF2580" s="3">
        <v>45800</v>
      </c>
      <c r="CI2580">
        <v>1</v>
      </c>
      <c r="CJ2580">
        <v>1</v>
      </c>
      <c r="CK2580">
        <v>21</v>
      </c>
      <c r="CL2580" t="s">
        <v>89</v>
      </c>
    </row>
    <row r="2581" spans="1:90" x14ac:dyDescent="0.3">
      <c r="A2581" t="s">
        <v>72</v>
      </c>
      <c r="B2581" t="s">
        <v>73</v>
      </c>
      <c r="C2581" t="s">
        <v>74</v>
      </c>
      <c r="E2581" t="str">
        <f>"080065489581"</f>
        <v>080065489581</v>
      </c>
      <c r="F2581" s="3">
        <v>45798</v>
      </c>
      <c r="G2581">
        <v>202602</v>
      </c>
      <c r="H2581" t="s">
        <v>75</v>
      </c>
      <c r="I2581" t="s">
        <v>76</v>
      </c>
      <c r="J2581" t="s">
        <v>77</v>
      </c>
      <c r="K2581" t="s">
        <v>78</v>
      </c>
      <c r="L2581" t="s">
        <v>177</v>
      </c>
      <c r="M2581" t="s">
        <v>178</v>
      </c>
      <c r="N2581" t="s">
        <v>179</v>
      </c>
      <c r="O2581" t="s">
        <v>82</v>
      </c>
      <c r="P2581" t="str">
        <f>"4170039862                    "</f>
        <v xml:space="preserve">4170039862                    </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c r="AI2581">
        <v>0</v>
      </c>
      <c r="AJ2581">
        <v>0</v>
      </c>
      <c r="AK2581">
        <v>0</v>
      </c>
      <c r="AL2581">
        <v>0</v>
      </c>
      <c r="AM2581">
        <v>0</v>
      </c>
      <c r="AN2581">
        <v>0</v>
      </c>
      <c r="AO2581">
        <v>0</v>
      </c>
      <c r="AP2581">
        <v>0</v>
      </c>
      <c r="AQ2581">
        <v>21.38</v>
      </c>
      <c r="AR2581">
        <v>0</v>
      </c>
      <c r="AS2581">
        <v>0</v>
      </c>
      <c r="AT2581">
        <v>0</v>
      </c>
      <c r="AU2581">
        <v>0</v>
      </c>
      <c r="AV2581">
        <v>0</v>
      </c>
      <c r="AW2581">
        <v>0</v>
      </c>
      <c r="AX2581">
        <v>0</v>
      </c>
      <c r="AY2581">
        <v>0</v>
      </c>
      <c r="AZ2581">
        <v>0</v>
      </c>
      <c r="BA2581">
        <v>0</v>
      </c>
      <c r="BB2581">
        <v>0</v>
      </c>
      <c r="BC2581">
        <v>0</v>
      </c>
      <c r="BD2581">
        <v>0</v>
      </c>
      <c r="BE2581">
        <v>0</v>
      </c>
      <c r="BF2581">
        <v>0</v>
      </c>
      <c r="BG2581">
        <v>0</v>
      </c>
      <c r="BH2581">
        <v>1</v>
      </c>
      <c r="BI2581">
        <v>1</v>
      </c>
      <c r="BJ2581">
        <v>0.2</v>
      </c>
      <c r="BK2581">
        <v>1</v>
      </c>
      <c r="BL2581">
        <v>69.98</v>
      </c>
      <c r="BM2581">
        <v>10.5</v>
      </c>
      <c r="BN2581">
        <v>80.48</v>
      </c>
      <c r="BO2581">
        <v>80.48</v>
      </c>
      <c r="BQ2581" t="s">
        <v>180</v>
      </c>
      <c r="BR2581" t="s">
        <v>84</v>
      </c>
      <c r="BS2581" s="3">
        <v>45799</v>
      </c>
      <c r="BT2581" s="4">
        <v>0.35069444444444442</v>
      </c>
      <c r="BU2581" t="s">
        <v>181</v>
      </c>
      <c r="BV2581" t="s">
        <v>86</v>
      </c>
      <c r="BY2581">
        <v>1200</v>
      </c>
      <c r="CA2581" t="s">
        <v>182</v>
      </c>
      <c r="CC2581" t="s">
        <v>178</v>
      </c>
      <c r="CD2581">
        <v>6021</v>
      </c>
      <c r="CE2581" t="s">
        <v>88</v>
      </c>
      <c r="CF2581" s="3">
        <v>45799</v>
      </c>
      <c r="CI2581">
        <v>1</v>
      </c>
      <c r="CJ2581">
        <v>1</v>
      </c>
      <c r="CK2581">
        <v>21</v>
      </c>
      <c r="CL2581" t="s">
        <v>89</v>
      </c>
    </row>
    <row r="2582" spans="1:90" x14ac:dyDescent="0.3">
      <c r="A2582" t="s">
        <v>72</v>
      </c>
      <c r="B2582" t="s">
        <v>73</v>
      </c>
      <c r="C2582" t="s">
        <v>74</v>
      </c>
      <c r="E2582" t="str">
        <f>"080065489635"</f>
        <v>080065489635</v>
      </c>
      <c r="F2582" s="3">
        <v>45798</v>
      </c>
      <c r="G2582">
        <v>202602</v>
      </c>
      <c r="H2582" t="s">
        <v>75</v>
      </c>
      <c r="I2582" t="s">
        <v>76</v>
      </c>
      <c r="J2582" t="s">
        <v>77</v>
      </c>
      <c r="K2582" t="s">
        <v>78</v>
      </c>
      <c r="L2582" t="s">
        <v>117</v>
      </c>
      <c r="M2582" t="s">
        <v>118</v>
      </c>
      <c r="N2582" t="s">
        <v>1189</v>
      </c>
      <c r="O2582" t="s">
        <v>82</v>
      </c>
      <c r="P2582" t="str">
        <f>"4170039852                    "</f>
        <v xml:space="preserve">4170039852                    </v>
      </c>
      <c r="Q2582">
        <v>0</v>
      </c>
      <c r="R2582">
        <v>0</v>
      </c>
      <c r="S2582">
        <v>0</v>
      </c>
      <c r="T2582">
        <v>0</v>
      </c>
      <c r="U2582">
        <v>0</v>
      </c>
      <c r="V2582">
        <v>0</v>
      </c>
      <c r="W2582">
        <v>0</v>
      </c>
      <c r="X2582">
        <v>0</v>
      </c>
      <c r="Y2582">
        <v>0</v>
      </c>
      <c r="Z2582">
        <v>0</v>
      </c>
      <c r="AA2582">
        <v>0</v>
      </c>
      <c r="AB2582">
        <v>0</v>
      </c>
      <c r="AC2582">
        <v>0</v>
      </c>
      <c r="AD2582">
        <v>0</v>
      </c>
      <c r="AE2582">
        <v>0</v>
      </c>
      <c r="AF2582">
        <v>0</v>
      </c>
      <c r="AG2582">
        <v>0</v>
      </c>
      <c r="AH2582">
        <v>0</v>
      </c>
      <c r="AI2582">
        <v>0</v>
      </c>
      <c r="AJ2582">
        <v>0</v>
      </c>
      <c r="AK2582">
        <v>0</v>
      </c>
      <c r="AL2582">
        <v>0</v>
      </c>
      <c r="AM2582">
        <v>0</v>
      </c>
      <c r="AN2582">
        <v>0</v>
      </c>
      <c r="AO2582">
        <v>0</v>
      </c>
      <c r="AP2582">
        <v>0</v>
      </c>
      <c r="AQ2582">
        <v>16.7</v>
      </c>
      <c r="AR2582">
        <v>0</v>
      </c>
      <c r="AS2582">
        <v>0</v>
      </c>
      <c r="AT2582">
        <v>0</v>
      </c>
      <c r="AU2582">
        <v>0</v>
      </c>
      <c r="AV2582">
        <v>0</v>
      </c>
      <c r="AW2582">
        <v>0</v>
      </c>
      <c r="AX2582">
        <v>0</v>
      </c>
      <c r="AY2582">
        <v>0</v>
      </c>
      <c r="AZ2582">
        <v>0</v>
      </c>
      <c r="BA2582">
        <v>0</v>
      </c>
      <c r="BB2582">
        <v>0</v>
      </c>
      <c r="BC2582">
        <v>0</v>
      </c>
      <c r="BD2582">
        <v>0</v>
      </c>
      <c r="BE2582">
        <v>0</v>
      </c>
      <c r="BF2582">
        <v>0</v>
      </c>
      <c r="BG2582">
        <v>0</v>
      </c>
      <c r="BH2582">
        <v>1</v>
      </c>
      <c r="BI2582">
        <v>1</v>
      </c>
      <c r="BJ2582">
        <v>0.2</v>
      </c>
      <c r="BK2582">
        <v>1</v>
      </c>
      <c r="BL2582">
        <v>54.66</v>
      </c>
      <c r="BM2582">
        <v>8.1999999999999993</v>
      </c>
      <c r="BN2582">
        <v>62.86</v>
      </c>
      <c r="BO2582">
        <v>62.86</v>
      </c>
      <c r="BQ2582" t="s">
        <v>1190</v>
      </c>
      <c r="BR2582" t="s">
        <v>84</v>
      </c>
      <c r="BS2582" s="3">
        <v>45799</v>
      </c>
      <c r="BT2582" s="4">
        <v>0.42916666666666664</v>
      </c>
      <c r="BU2582" t="s">
        <v>2793</v>
      </c>
      <c r="BV2582" t="s">
        <v>86</v>
      </c>
      <c r="BY2582">
        <v>1200</v>
      </c>
      <c r="CA2582" t="s">
        <v>1192</v>
      </c>
      <c r="CC2582" t="s">
        <v>118</v>
      </c>
      <c r="CD2582">
        <v>2169</v>
      </c>
      <c r="CE2582" t="s">
        <v>88</v>
      </c>
      <c r="CF2582" s="3">
        <v>45800</v>
      </c>
      <c r="CI2582">
        <v>1</v>
      </c>
      <c r="CJ2582">
        <v>1</v>
      </c>
      <c r="CK2582">
        <v>22</v>
      </c>
      <c r="CL2582" t="s">
        <v>89</v>
      </c>
    </row>
    <row r="2583" spans="1:90" x14ac:dyDescent="0.3">
      <c r="A2583" t="s">
        <v>72</v>
      </c>
      <c r="B2583" t="s">
        <v>73</v>
      </c>
      <c r="C2583" t="s">
        <v>74</v>
      </c>
      <c r="E2583" t="str">
        <f>"080065489636"</f>
        <v>080065489636</v>
      </c>
      <c r="F2583" s="3">
        <v>45798</v>
      </c>
      <c r="G2583">
        <v>202602</v>
      </c>
      <c r="H2583" t="s">
        <v>75</v>
      </c>
      <c r="I2583" t="s">
        <v>76</v>
      </c>
      <c r="J2583" t="s">
        <v>77</v>
      </c>
      <c r="K2583" t="s">
        <v>78</v>
      </c>
      <c r="L2583" t="s">
        <v>75</v>
      </c>
      <c r="M2583" t="s">
        <v>76</v>
      </c>
      <c r="N2583" t="s">
        <v>601</v>
      </c>
      <c r="O2583" t="s">
        <v>82</v>
      </c>
      <c r="P2583" t="str">
        <f>"4170039849                    "</f>
        <v xml:space="preserve">4170039849                    </v>
      </c>
      <c r="Q2583">
        <v>0</v>
      </c>
      <c r="R2583">
        <v>0</v>
      </c>
      <c r="S2583">
        <v>0</v>
      </c>
      <c r="T2583">
        <v>0</v>
      </c>
      <c r="U2583">
        <v>0</v>
      </c>
      <c r="V2583">
        <v>0</v>
      </c>
      <c r="W2583">
        <v>0</v>
      </c>
      <c r="X2583">
        <v>0</v>
      </c>
      <c r="Y2583">
        <v>0</v>
      </c>
      <c r="Z2583">
        <v>0</v>
      </c>
      <c r="AA2583">
        <v>0</v>
      </c>
      <c r="AB2583">
        <v>0</v>
      </c>
      <c r="AC2583">
        <v>0</v>
      </c>
      <c r="AD2583">
        <v>0</v>
      </c>
      <c r="AE2583">
        <v>0</v>
      </c>
      <c r="AF2583">
        <v>0</v>
      </c>
      <c r="AG2583">
        <v>0</v>
      </c>
      <c r="AH2583">
        <v>0</v>
      </c>
      <c r="AI2583">
        <v>0</v>
      </c>
      <c r="AJ2583">
        <v>0</v>
      </c>
      <c r="AK2583">
        <v>0</v>
      </c>
      <c r="AL2583">
        <v>0</v>
      </c>
      <c r="AM2583">
        <v>0</v>
      </c>
      <c r="AN2583">
        <v>0</v>
      </c>
      <c r="AO2583">
        <v>0</v>
      </c>
      <c r="AP2583">
        <v>0</v>
      </c>
      <c r="AQ2583">
        <v>16.7</v>
      </c>
      <c r="AR2583">
        <v>0</v>
      </c>
      <c r="AS2583">
        <v>0</v>
      </c>
      <c r="AT2583">
        <v>0</v>
      </c>
      <c r="AU2583">
        <v>0</v>
      </c>
      <c r="AV2583">
        <v>0</v>
      </c>
      <c r="AW2583">
        <v>0</v>
      </c>
      <c r="AX2583">
        <v>0</v>
      </c>
      <c r="AY2583">
        <v>0</v>
      </c>
      <c r="AZ2583">
        <v>0</v>
      </c>
      <c r="BA2583">
        <v>0</v>
      </c>
      <c r="BB2583">
        <v>0</v>
      </c>
      <c r="BC2583">
        <v>0</v>
      </c>
      <c r="BD2583">
        <v>0</v>
      </c>
      <c r="BE2583">
        <v>0</v>
      </c>
      <c r="BF2583">
        <v>0</v>
      </c>
      <c r="BG2583">
        <v>0</v>
      </c>
      <c r="BH2583">
        <v>1</v>
      </c>
      <c r="BI2583">
        <v>1</v>
      </c>
      <c r="BJ2583">
        <v>0.2</v>
      </c>
      <c r="BK2583">
        <v>1</v>
      </c>
      <c r="BL2583">
        <v>54.66</v>
      </c>
      <c r="BM2583">
        <v>8.1999999999999993</v>
      </c>
      <c r="BN2583">
        <v>62.86</v>
      </c>
      <c r="BO2583">
        <v>62.86</v>
      </c>
      <c r="BQ2583" t="s">
        <v>603</v>
      </c>
      <c r="BR2583" t="s">
        <v>84</v>
      </c>
      <c r="BS2583" s="3">
        <v>45799</v>
      </c>
      <c r="BT2583" s="4">
        <v>0.33333333333333331</v>
      </c>
      <c r="BU2583" t="s">
        <v>604</v>
      </c>
      <c r="BV2583" t="s">
        <v>86</v>
      </c>
      <c r="BY2583">
        <v>1200</v>
      </c>
      <c r="CA2583" t="s">
        <v>605</v>
      </c>
      <c r="CC2583" t="s">
        <v>76</v>
      </c>
      <c r="CD2583">
        <v>1645</v>
      </c>
      <c r="CE2583" t="s">
        <v>88</v>
      </c>
      <c r="CF2583" s="3">
        <v>45800</v>
      </c>
      <c r="CI2583">
        <v>1</v>
      </c>
      <c r="CJ2583">
        <v>1</v>
      </c>
      <c r="CK2583">
        <v>22</v>
      </c>
      <c r="CL2583" t="s">
        <v>89</v>
      </c>
    </row>
    <row r="2584" spans="1:90" x14ac:dyDescent="0.3">
      <c r="A2584" t="s">
        <v>72</v>
      </c>
      <c r="B2584" t="s">
        <v>73</v>
      </c>
      <c r="C2584" t="s">
        <v>74</v>
      </c>
      <c r="E2584" t="str">
        <f>"080065489674"</f>
        <v>080065489674</v>
      </c>
      <c r="F2584" s="3">
        <v>45798</v>
      </c>
      <c r="G2584">
        <v>202602</v>
      </c>
      <c r="H2584" t="s">
        <v>75</v>
      </c>
      <c r="I2584" t="s">
        <v>76</v>
      </c>
      <c r="J2584" t="s">
        <v>77</v>
      </c>
      <c r="K2584" t="s">
        <v>78</v>
      </c>
      <c r="L2584" t="s">
        <v>1214</v>
      </c>
      <c r="M2584" t="s">
        <v>1215</v>
      </c>
      <c r="N2584" t="s">
        <v>1216</v>
      </c>
      <c r="O2584" t="s">
        <v>82</v>
      </c>
      <c r="P2584" t="str">
        <f>"4170039847                    "</f>
        <v xml:space="preserve">4170039847                    </v>
      </c>
      <c r="Q2584">
        <v>0</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c r="AJ2584">
        <v>0</v>
      </c>
      <c r="AK2584">
        <v>0</v>
      </c>
      <c r="AL2584">
        <v>0</v>
      </c>
      <c r="AM2584">
        <v>0</v>
      </c>
      <c r="AN2584">
        <v>0</v>
      </c>
      <c r="AO2584">
        <v>0</v>
      </c>
      <c r="AP2584">
        <v>0</v>
      </c>
      <c r="AQ2584">
        <v>21.38</v>
      </c>
      <c r="AR2584">
        <v>0</v>
      </c>
      <c r="AS2584">
        <v>0</v>
      </c>
      <c r="AT2584">
        <v>0</v>
      </c>
      <c r="AU2584">
        <v>0</v>
      </c>
      <c r="AV2584">
        <v>0</v>
      </c>
      <c r="AW2584">
        <v>0</v>
      </c>
      <c r="AX2584">
        <v>0</v>
      </c>
      <c r="AY2584">
        <v>0</v>
      </c>
      <c r="AZ2584">
        <v>0</v>
      </c>
      <c r="BA2584">
        <v>0</v>
      </c>
      <c r="BB2584">
        <v>0</v>
      </c>
      <c r="BC2584">
        <v>0</v>
      </c>
      <c r="BD2584">
        <v>0</v>
      </c>
      <c r="BE2584">
        <v>0</v>
      </c>
      <c r="BF2584">
        <v>0</v>
      </c>
      <c r="BG2584">
        <v>0</v>
      </c>
      <c r="BH2584">
        <v>1</v>
      </c>
      <c r="BI2584">
        <v>1</v>
      </c>
      <c r="BJ2584">
        <v>0.2</v>
      </c>
      <c r="BK2584">
        <v>1</v>
      </c>
      <c r="BL2584">
        <v>69.98</v>
      </c>
      <c r="BM2584">
        <v>10.5</v>
      </c>
      <c r="BN2584">
        <v>80.48</v>
      </c>
      <c r="BO2584">
        <v>80.48</v>
      </c>
      <c r="BQ2584" t="s">
        <v>1217</v>
      </c>
      <c r="BR2584" t="s">
        <v>84</v>
      </c>
      <c r="BS2584" s="3">
        <v>45799</v>
      </c>
      <c r="BT2584" s="4">
        <v>0.375</v>
      </c>
      <c r="BU2584" t="s">
        <v>2581</v>
      </c>
      <c r="BV2584" t="s">
        <v>86</v>
      </c>
      <c r="BY2584">
        <v>1200</v>
      </c>
      <c r="CA2584" t="s">
        <v>1219</v>
      </c>
      <c r="CC2584" t="s">
        <v>1215</v>
      </c>
      <c r="CD2584">
        <v>4302</v>
      </c>
      <c r="CE2584" t="s">
        <v>88</v>
      </c>
      <c r="CF2584" s="3">
        <v>45800</v>
      </c>
      <c r="CI2584">
        <v>1</v>
      </c>
      <c r="CJ2584">
        <v>1</v>
      </c>
      <c r="CK2584">
        <v>21</v>
      </c>
      <c r="CL2584" t="s">
        <v>89</v>
      </c>
    </row>
    <row r="2585" spans="1:90" x14ac:dyDescent="0.3">
      <c r="A2585" t="s">
        <v>72</v>
      </c>
      <c r="B2585" t="s">
        <v>73</v>
      </c>
      <c r="C2585" t="s">
        <v>74</v>
      </c>
      <c r="E2585" t="str">
        <f>"080065489688"</f>
        <v>080065489688</v>
      </c>
      <c r="F2585" s="3">
        <v>45798</v>
      </c>
      <c r="G2585">
        <v>202602</v>
      </c>
      <c r="H2585" t="s">
        <v>75</v>
      </c>
      <c r="I2585" t="s">
        <v>76</v>
      </c>
      <c r="J2585" t="s">
        <v>77</v>
      </c>
      <c r="K2585" t="s">
        <v>78</v>
      </c>
      <c r="L2585" t="s">
        <v>103</v>
      </c>
      <c r="M2585" t="s">
        <v>104</v>
      </c>
      <c r="N2585" t="s">
        <v>105</v>
      </c>
      <c r="O2585" t="s">
        <v>82</v>
      </c>
      <c r="P2585" t="str">
        <f>"4170039744                    "</f>
        <v xml:space="preserve">4170039744                    </v>
      </c>
      <c r="Q2585">
        <v>0</v>
      </c>
      <c r="R2585">
        <v>0</v>
      </c>
      <c r="S2585">
        <v>0</v>
      </c>
      <c r="T2585">
        <v>0</v>
      </c>
      <c r="U2585">
        <v>0</v>
      </c>
      <c r="V2585">
        <v>0</v>
      </c>
      <c r="W2585">
        <v>0</v>
      </c>
      <c r="X2585">
        <v>0</v>
      </c>
      <c r="Y2585">
        <v>0</v>
      </c>
      <c r="Z2585">
        <v>0</v>
      </c>
      <c r="AA2585">
        <v>0</v>
      </c>
      <c r="AB2585">
        <v>0</v>
      </c>
      <c r="AC2585">
        <v>0</v>
      </c>
      <c r="AD2585">
        <v>0</v>
      </c>
      <c r="AE2585">
        <v>0</v>
      </c>
      <c r="AF2585">
        <v>0</v>
      </c>
      <c r="AG2585">
        <v>0</v>
      </c>
      <c r="AH2585">
        <v>0</v>
      </c>
      <c r="AI2585">
        <v>0</v>
      </c>
      <c r="AJ2585">
        <v>0</v>
      </c>
      <c r="AK2585">
        <v>0</v>
      </c>
      <c r="AL2585">
        <v>0</v>
      </c>
      <c r="AM2585">
        <v>0</v>
      </c>
      <c r="AN2585">
        <v>0</v>
      </c>
      <c r="AO2585">
        <v>0</v>
      </c>
      <c r="AP2585">
        <v>0</v>
      </c>
      <c r="AQ2585">
        <v>21.38</v>
      </c>
      <c r="AR2585">
        <v>0</v>
      </c>
      <c r="AS2585">
        <v>0</v>
      </c>
      <c r="AT2585">
        <v>0</v>
      </c>
      <c r="AU2585">
        <v>0</v>
      </c>
      <c r="AV2585">
        <v>0</v>
      </c>
      <c r="AW2585">
        <v>0</v>
      </c>
      <c r="AX2585">
        <v>0</v>
      </c>
      <c r="AY2585">
        <v>0</v>
      </c>
      <c r="AZ2585">
        <v>0</v>
      </c>
      <c r="BA2585">
        <v>0</v>
      </c>
      <c r="BB2585">
        <v>0</v>
      </c>
      <c r="BC2585">
        <v>0</v>
      </c>
      <c r="BD2585">
        <v>0</v>
      </c>
      <c r="BE2585">
        <v>0</v>
      </c>
      <c r="BF2585">
        <v>0</v>
      </c>
      <c r="BG2585">
        <v>0</v>
      </c>
      <c r="BH2585">
        <v>1</v>
      </c>
      <c r="BI2585">
        <v>2</v>
      </c>
      <c r="BJ2585">
        <v>0.6</v>
      </c>
      <c r="BK2585">
        <v>2</v>
      </c>
      <c r="BL2585">
        <v>69.98</v>
      </c>
      <c r="BM2585">
        <v>10.5</v>
      </c>
      <c r="BN2585">
        <v>80.48</v>
      </c>
      <c r="BO2585">
        <v>80.48</v>
      </c>
      <c r="BQ2585" t="s">
        <v>106</v>
      </c>
      <c r="BR2585" t="s">
        <v>84</v>
      </c>
      <c r="BS2585" s="3">
        <v>45800</v>
      </c>
      <c r="BT2585" s="4">
        <v>0.43611111111111112</v>
      </c>
      <c r="BU2585" t="s">
        <v>107</v>
      </c>
      <c r="BV2585" t="s">
        <v>89</v>
      </c>
      <c r="BY2585">
        <v>3192</v>
      </c>
      <c r="CA2585" t="s">
        <v>108</v>
      </c>
      <c r="CC2585" t="s">
        <v>104</v>
      </c>
      <c r="CD2585">
        <v>3201</v>
      </c>
      <c r="CE2585" t="s">
        <v>116</v>
      </c>
      <c r="CF2585" s="3">
        <v>45800</v>
      </c>
      <c r="CI2585">
        <v>1</v>
      </c>
      <c r="CJ2585">
        <v>2</v>
      </c>
      <c r="CK2585">
        <v>21</v>
      </c>
      <c r="CL2585" t="s">
        <v>89</v>
      </c>
    </row>
    <row r="2586" spans="1:90" x14ac:dyDescent="0.3">
      <c r="A2586" t="s">
        <v>72</v>
      </c>
      <c r="B2586" t="s">
        <v>73</v>
      </c>
      <c r="C2586" t="s">
        <v>74</v>
      </c>
      <c r="E2586" t="str">
        <f>"080065489705"</f>
        <v>080065489705</v>
      </c>
      <c r="F2586" s="3">
        <v>45798</v>
      </c>
      <c r="G2586">
        <v>202602</v>
      </c>
      <c r="H2586" t="s">
        <v>75</v>
      </c>
      <c r="I2586" t="s">
        <v>76</v>
      </c>
      <c r="J2586" t="s">
        <v>77</v>
      </c>
      <c r="K2586" t="s">
        <v>78</v>
      </c>
      <c r="L2586" t="s">
        <v>136</v>
      </c>
      <c r="M2586" t="s">
        <v>137</v>
      </c>
      <c r="N2586" t="s">
        <v>735</v>
      </c>
      <c r="O2586" t="s">
        <v>82</v>
      </c>
      <c r="P2586" t="str">
        <f>"4170039812                    "</f>
        <v xml:space="preserve">4170039812                    </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0</v>
      </c>
      <c r="AJ2586">
        <v>0</v>
      </c>
      <c r="AK2586">
        <v>0</v>
      </c>
      <c r="AL2586">
        <v>0</v>
      </c>
      <c r="AM2586">
        <v>0</v>
      </c>
      <c r="AN2586">
        <v>0</v>
      </c>
      <c r="AO2586">
        <v>0</v>
      </c>
      <c r="AP2586">
        <v>0</v>
      </c>
      <c r="AQ2586">
        <v>21.38</v>
      </c>
      <c r="AR2586">
        <v>0</v>
      </c>
      <c r="AS2586">
        <v>0</v>
      </c>
      <c r="AT2586">
        <v>0</v>
      </c>
      <c r="AU2586">
        <v>0</v>
      </c>
      <c r="AV2586">
        <v>0</v>
      </c>
      <c r="AW2586">
        <v>0</v>
      </c>
      <c r="AX2586">
        <v>0</v>
      </c>
      <c r="AY2586">
        <v>0</v>
      </c>
      <c r="AZ2586">
        <v>0</v>
      </c>
      <c r="BA2586">
        <v>0</v>
      </c>
      <c r="BB2586">
        <v>0</v>
      </c>
      <c r="BC2586">
        <v>0</v>
      </c>
      <c r="BD2586">
        <v>0</v>
      </c>
      <c r="BE2586">
        <v>0</v>
      </c>
      <c r="BF2586">
        <v>0</v>
      </c>
      <c r="BG2586">
        <v>0</v>
      </c>
      <c r="BH2586">
        <v>1</v>
      </c>
      <c r="BI2586">
        <v>1</v>
      </c>
      <c r="BJ2586">
        <v>0.2</v>
      </c>
      <c r="BK2586">
        <v>1</v>
      </c>
      <c r="BL2586">
        <v>69.98</v>
      </c>
      <c r="BM2586">
        <v>10.5</v>
      </c>
      <c r="BN2586">
        <v>80.48</v>
      </c>
      <c r="BO2586">
        <v>80.48</v>
      </c>
      <c r="BQ2586" t="s">
        <v>736</v>
      </c>
      <c r="BR2586" t="s">
        <v>84</v>
      </c>
      <c r="BS2586" s="3">
        <v>45799</v>
      </c>
      <c r="BT2586" s="4">
        <v>0.37986111111111109</v>
      </c>
      <c r="BU2586" t="s">
        <v>739</v>
      </c>
      <c r="BV2586" t="s">
        <v>86</v>
      </c>
      <c r="BY2586">
        <v>1200</v>
      </c>
      <c r="CA2586" t="s">
        <v>258</v>
      </c>
      <c r="CC2586" t="s">
        <v>137</v>
      </c>
      <c r="CD2586" s="5" t="s">
        <v>738</v>
      </c>
      <c r="CE2586" t="s">
        <v>88</v>
      </c>
      <c r="CF2586" s="3">
        <v>45805</v>
      </c>
      <c r="CI2586">
        <v>1</v>
      </c>
      <c r="CJ2586">
        <v>1</v>
      </c>
      <c r="CK2586">
        <v>21</v>
      </c>
      <c r="CL2586" t="s">
        <v>89</v>
      </c>
    </row>
    <row r="2587" spans="1:90" x14ac:dyDescent="0.3">
      <c r="A2587" t="s">
        <v>72</v>
      </c>
      <c r="B2587" t="s">
        <v>73</v>
      </c>
      <c r="C2587" t="s">
        <v>74</v>
      </c>
      <c r="E2587" t="str">
        <f>"080065489725"</f>
        <v>080065489725</v>
      </c>
      <c r="F2587" s="3">
        <v>45798</v>
      </c>
      <c r="G2587">
        <v>202602</v>
      </c>
      <c r="H2587" t="s">
        <v>75</v>
      </c>
      <c r="I2587" t="s">
        <v>76</v>
      </c>
      <c r="J2587" t="s">
        <v>77</v>
      </c>
      <c r="K2587" t="s">
        <v>78</v>
      </c>
      <c r="L2587" t="s">
        <v>130</v>
      </c>
      <c r="M2587" t="s">
        <v>131</v>
      </c>
      <c r="N2587" t="s">
        <v>665</v>
      </c>
      <c r="O2587" t="s">
        <v>82</v>
      </c>
      <c r="P2587" t="str">
        <f>"4170039735                    "</f>
        <v xml:space="preserve">4170039735                    </v>
      </c>
      <c r="Q2587">
        <v>0</v>
      </c>
      <c r="R2587">
        <v>0</v>
      </c>
      <c r="S2587">
        <v>0</v>
      </c>
      <c r="T2587">
        <v>0</v>
      </c>
      <c r="U2587">
        <v>0</v>
      </c>
      <c r="V2587">
        <v>0</v>
      </c>
      <c r="W2587">
        <v>0</v>
      </c>
      <c r="X2587">
        <v>0</v>
      </c>
      <c r="Y2587">
        <v>0</v>
      </c>
      <c r="Z2587">
        <v>0</v>
      </c>
      <c r="AA2587">
        <v>0</v>
      </c>
      <c r="AB2587">
        <v>0</v>
      </c>
      <c r="AC2587">
        <v>0</v>
      </c>
      <c r="AD2587">
        <v>0</v>
      </c>
      <c r="AE2587">
        <v>0</v>
      </c>
      <c r="AF2587">
        <v>0</v>
      </c>
      <c r="AG2587">
        <v>0</v>
      </c>
      <c r="AH2587">
        <v>0</v>
      </c>
      <c r="AI2587">
        <v>0</v>
      </c>
      <c r="AJ2587">
        <v>0</v>
      </c>
      <c r="AK2587">
        <v>0</v>
      </c>
      <c r="AL2587">
        <v>0</v>
      </c>
      <c r="AM2587">
        <v>0</v>
      </c>
      <c r="AN2587">
        <v>0</v>
      </c>
      <c r="AO2587">
        <v>0</v>
      </c>
      <c r="AP2587">
        <v>0</v>
      </c>
      <c r="AQ2587">
        <v>21.38</v>
      </c>
      <c r="AR2587">
        <v>0</v>
      </c>
      <c r="AS2587">
        <v>0</v>
      </c>
      <c r="AT2587">
        <v>0</v>
      </c>
      <c r="AU2587">
        <v>0</v>
      </c>
      <c r="AV2587">
        <v>0</v>
      </c>
      <c r="AW2587">
        <v>0</v>
      </c>
      <c r="AX2587">
        <v>0</v>
      </c>
      <c r="AY2587">
        <v>0</v>
      </c>
      <c r="AZ2587">
        <v>0</v>
      </c>
      <c r="BA2587">
        <v>0</v>
      </c>
      <c r="BB2587">
        <v>0</v>
      </c>
      <c r="BC2587">
        <v>0</v>
      </c>
      <c r="BD2587">
        <v>0</v>
      </c>
      <c r="BE2587">
        <v>0</v>
      </c>
      <c r="BF2587">
        <v>0</v>
      </c>
      <c r="BG2587">
        <v>0</v>
      </c>
      <c r="BH2587">
        <v>1</v>
      </c>
      <c r="BI2587">
        <v>1</v>
      </c>
      <c r="BJ2587">
        <v>0.2</v>
      </c>
      <c r="BK2587">
        <v>1</v>
      </c>
      <c r="BL2587">
        <v>69.98</v>
      </c>
      <c r="BM2587">
        <v>10.5</v>
      </c>
      <c r="BN2587">
        <v>80.48</v>
      </c>
      <c r="BO2587">
        <v>80.48</v>
      </c>
      <c r="BQ2587" t="s">
        <v>666</v>
      </c>
      <c r="BR2587" t="s">
        <v>84</v>
      </c>
      <c r="BS2587" s="3">
        <v>45799</v>
      </c>
      <c r="BT2587" s="4">
        <v>0.41597222222222224</v>
      </c>
      <c r="BU2587" t="s">
        <v>2794</v>
      </c>
      <c r="BV2587" t="s">
        <v>86</v>
      </c>
      <c r="BY2587">
        <v>1200</v>
      </c>
      <c r="CA2587" t="s">
        <v>389</v>
      </c>
      <c r="CC2587" t="s">
        <v>131</v>
      </c>
      <c r="CD2587">
        <v>7535</v>
      </c>
      <c r="CE2587" t="s">
        <v>88</v>
      </c>
      <c r="CF2587" s="3">
        <v>45800</v>
      </c>
      <c r="CI2587">
        <v>1</v>
      </c>
      <c r="CJ2587">
        <v>1</v>
      </c>
      <c r="CK2587">
        <v>21</v>
      </c>
      <c r="CL2587" t="s">
        <v>89</v>
      </c>
    </row>
    <row r="2588" spans="1:90" x14ac:dyDescent="0.3">
      <c r="A2588" t="s">
        <v>72</v>
      </c>
      <c r="B2588" t="s">
        <v>73</v>
      </c>
      <c r="C2588" t="s">
        <v>74</v>
      </c>
      <c r="E2588" t="str">
        <f>"080065489726"</f>
        <v>080065489726</v>
      </c>
      <c r="F2588" s="3">
        <v>45798</v>
      </c>
      <c r="G2588">
        <v>202602</v>
      </c>
      <c r="H2588" t="s">
        <v>75</v>
      </c>
      <c r="I2588" t="s">
        <v>76</v>
      </c>
      <c r="J2588" t="s">
        <v>77</v>
      </c>
      <c r="K2588" t="s">
        <v>78</v>
      </c>
      <c r="L2588" t="s">
        <v>130</v>
      </c>
      <c r="M2588" t="s">
        <v>131</v>
      </c>
      <c r="N2588" t="s">
        <v>2308</v>
      </c>
      <c r="O2588" t="s">
        <v>82</v>
      </c>
      <c r="P2588" t="str">
        <f>"4170039860                    "</f>
        <v xml:space="preserve">4170039860                    </v>
      </c>
      <c r="Q2588">
        <v>0</v>
      </c>
      <c r="R2588">
        <v>0</v>
      </c>
      <c r="S2588">
        <v>0</v>
      </c>
      <c r="T2588">
        <v>0</v>
      </c>
      <c r="U2588">
        <v>0</v>
      </c>
      <c r="V2588">
        <v>0</v>
      </c>
      <c r="W2588">
        <v>0</v>
      </c>
      <c r="X2588">
        <v>0</v>
      </c>
      <c r="Y2588">
        <v>0</v>
      </c>
      <c r="Z2588">
        <v>0</v>
      </c>
      <c r="AA2588">
        <v>0</v>
      </c>
      <c r="AB2588">
        <v>0</v>
      </c>
      <c r="AC2588">
        <v>0</v>
      </c>
      <c r="AD2588">
        <v>0</v>
      </c>
      <c r="AE2588">
        <v>0</v>
      </c>
      <c r="AF2588">
        <v>0</v>
      </c>
      <c r="AG2588">
        <v>0</v>
      </c>
      <c r="AH2588">
        <v>0</v>
      </c>
      <c r="AI2588">
        <v>0</v>
      </c>
      <c r="AJ2588">
        <v>0</v>
      </c>
      <c r="AK2588">
        <v>0</v>
      </c>
      <c r="AL2588">
        <v>0</v>
      </c>
      <c r="AM2588">
        <v>0</v>
      </c>
      <c r="AN2588">
        <v>0</v>
      </c>
      <c r="AO2588">
        <v>0</v>
      </c>
      <c r="AP2588">
        <v>0</v>
      </c>
      <c r="AQ2588">
        <v>32.07</v>
      </c>
      <c r="AR2588">
        <v>0</v>
      </c>
      <c r="AS2588">
        <v>0</v>
      </c>
      <c r="AT2588">
        <v>0</v>
      </c>
      <c r="AU2588">
        <v>0</v>
      </c>
      <c r="AV2588">
        <v>0</v>
      </c>
      <c r="AW2588">
        <v>0</v>
      </c>
      <c r="AX2588">
        <v>0</v>
      </c>
      <c r="AY2588">
        <v>0</v>
      </c>
      <c r="AZ2588">
        <v>0</v>
      </c>
      <c r="BA2588">
        <v>0</v>
      </c>
      <c r="BB2588">
        <v>0</v>
      </c>
      <c r="BC2588">
        <v>0</v>
      </c>
      <c r="BD2588">
        <v>0</v>
      </c>
      <c r="BE2588">
        <v>0</v>
      </c>
      <c r="BF2588">
        <v>0</v>
      </c>
      <c r="BG2588">
        <v>0</v>
      </c>
      <c r="BH2588">
        <v>1</v>
      </c>
      <c r="BI2588">
        <v>3</v>
      </c>
      <c r="BJ2588">
        <v>2.2999999999999998</v>
      </c>
      <c r="BK2588">
        <v>3</v>
      </c>
      <c r="BL2588">
        <v>104.95</v>
      </c>
      <c r="BM2588">
        <v>15.74</v>
      </c>
      <c r="BN2588">
        <v>120.69</v>
      </c>
      <c r="BO2588">
        <v>120.69</v>
      </c>
      <c r="BQ2588" t="s">
        <v>2309</v>
      </c>
      <c r="BR2588" t="s">
        <v>84</v>
      </c>
      <c r="BS2588" s="3">
        <v>45799</v>
      </c>
      <c r="BT2588" s="4">
        <v>0.40694444444444444</v>
      </c>
      <c r="BU2588" t="s">
        <v>1782</v>
      </c>
      <c r="BV2588" t="s">
        <v>86</v>
      </c>
      <c r="BY2588">
        <v>11440</v>
      </c>
      <c r="CA2588" t="s">
        <v>389</v>
      </c>
      <c r="CC2588" t="s">
        <v>131</v>
      </c>
      <c r="CD2588">
        <v>7535</v>
      </c>
      <c r="CE2588" t="s">
        <v>221</v>
      </c>
      <c r="CF2588" s="3">
        <v>45800</v>
      </c>
      <c r="CI2588">
        <v>1</v>
      </c>
      <c r="CJ2588">
        <v>1</v>
      </c>
      <c r="CK2588">
        <v>21</v>
      </c>
      <c r="CL2588" t="s">
        <v>89</v>
      </c>
    </row>
    <row r="2589" spans="1:90" x14ac:dyDescent="0.3">
      <c r="A2589" t="s">
        <v>72</v>
      </c>
      <c r="B2589" t="s">
        <v>73</v>
      </c>
      <c r="C2589" t="s">
        <v>74</v>
      </c>
      <c r="E2589" t="str">
        <f>"080065489745"</f>
        <v>080065489745</v>
      </c>
      <c r="F2589" s="3">
        <v>45798</v>
      </c>
      <c r="G2589">
        <v>202602</v>
      </c>
      <c r="H2589" t="s">
        <v>75</v>
      </c>
      <c r="I2589" t="s">
        <v>76</v>
      </c>
      <c r="J2589" t="s">
        <v>77</v>
      </c>
      <c r="K2589" t="s">
        <v>78</v>
      </c>
      <c r="L2589" t="s">
        <v>75</v>
      </c>
      <c r="M2589" t="s">
        <v>76</v>
      </c>
      <c r="N2589" t="s">
        <v>346</v>
      </c>
      <c r="O2589" t="s">
        <v>82</v>
      </c>
      <c r="P2589" t="str">
        <f>"4170039807                    "</f>
        <v xml:space="preserve">4170039807                    </v>
      </c>
      <c r="Q2589">
        <v>0</v>
      </c>
      <c r="R2589">
        <v>0</v>
      </c>
      <c r="S2589">
        <v>0</v>
      </c>
      <c r="T2589">
        <v>0</v>
      </c>
      <c r="U2589">
        <v>0</v>
      </c>
      <c r="V2589">
        <v>0</v>
      </c>
      <c r="W2589">
        <v>0</v>
      </c>
      <c r="X2589">
        <v>0</v>
      </c>
      <c r="Y2589">
        <v>0</v>
      </c>
      <c r="Z2589">
        <v>0</v>
      </c>
      <c r="AA2589">
        <v>0</v>
      </c>
      <c r="AB2589">
        <v>0</v>
      </c>
      <c r="AC2589">
        <v>0</v>
      </c>
      <c r="AD2589">
        <v>0</v>
      </c>
      <c r="AE2589">
        <v>0</v>
      </c>
      <c r="AF2589">
        <v>0</v>
      </c>
      <c r="AG2589">
        <v>0</v>
      </c>
      <c r="AH2589">
        <v>0</v>
      </c>
      <c r="AI2589">
        <v>0</v>
      </c>
      <c r="AJ2589">
        <v>0</v>
      </c>
      <c r="AK2589">
        <v>0</v>
      </c>
      <c r="AL2589">
        <v>0</v>
      </c>
      <c r="AM2589">
        <v>0</v>
      </c>
      <c r="AN2589">
        <v>0</v>
      </c>
      <c r="AO2589">
        <v>0</v>
      </c>
      <c r="AP2589">
        <v>0</v>
      </c>
      <c r="AQ2589">
        <v>16.7</v>
      </c>
      <c r="AR2589">
        <v>0</v>
      </c>
      <c r="AS2589">
        <v>0</v>
      </c>
      <c r="AT2589">
        <v>0</v>
      </c>
      <c r="AU2589">
        <v>0</v>
      </c>
      <c r="AV2589">
        <v>0</v>
      </c>
      <c r="AW2589">
        <v>0</v>
      </c>
      <c r="AX2589">
        <v>0</v>
      </c>
      <c r="AY2589">
        <v>0</v>
      </c>
      <c r="AZ2589">
        <v>0</v>
      </c>
      <c r="BA2589">
        <v>0</v>
      </c>
      <c r="BB2589">
        <v>0</v>
      </c>
      <c r="BC2589">
        <v>0</v>
      </c>
      <c r="BD2589">
        <v>0</v>
      </c>
      <c r="BE2589">
        <v>0</v>
      </c>
      <c r="BF2589">
        <v>0</v>
      </c>
      <c r="BG2589">
        <v>0</v>
      </c>
      <c r="BH2589">
        <v>1</v>
      </c>
      <c r="BI2589">
        <v>1</v>
      </c>
      <c r="BJ2589">
        <v>0.2</v>
      </c>
      <c r="BK2589">
        <v>1</v>
      </c>
      <c r="BL2589">
        <v>54.66</v>
      </c>
      <c r="BM2589">
        <v>8.1999999999999993</v>
      </c>
      <c r="BN2589">
        <v>62.86</v>
      </c>
      <c r="BO2589">
        <v>62.86</v>
      </c>
      <c r="BQ2589" t="s">
        <v>347</v>
      </c>
      <c r="BR2589" t="s">
        <v>84</v>
      </c>
      <c r="BS2589" s="3">
        <v>45799</v>
      </c>
      <c r="BT2589" s="4">
        <v>0.37152777777777779</v>
      </c>
      <c r="BU2589" t="s">
        <v>407</v>
      </c>
      <c r="BV2589" t="s">
        <v>86</v>
      </c>
      <c r="BY2589">
        <v>1200</v>
      </c>
      <c r="CA2589" t="s">
        <v>349</v>
      </c>
      <c r="CC2589" t="s">
        <v>76</v>
      </c>
      <c r="CD2589">
        <v>1619</v>
      </c>
      <c r="CE2589" t="s">
        <v>88</v>
      </c>
      <c r="CF2589" s="3">
        <v>45799</v>
      </c>
      <c r="CI2589">
        <v>1</v>
      </c>
      <c r="CJ2589">
        <v>1</v>
      </c>
      <c r="CK2589">
        <v>22</v>
      </c>
      <c r="CL2589" t="s">
        <v>89</v>
      </c>
    </row>
    <row r="2590" spans="1:90" x14ac:dyDescent="0.3">
      <c r="A2590" t="s">
        <v>72</v>
      </c>
      <c r="B2590" t="s">
        <v>73</v>
      </c>
      <c r="C2590" t="s">
        <v>74</v>
      </c>
      <c r="E2590" t="str">
        <f>"080065489846"</f>
        <v>080065489846</v>
      </c>
      <c r="F2590" s="3">
        <v>45798</v>
      </c>
      <c r="G2590">
        <v>202602</v>
      </c>
      <c r="H2590" t="s">
        <v>75</v>
      </c>
      <c r="I2590" t="s">
        <v>76</v>
      </c>
      <c r="J2590" t="s">
        <v>77</v>
      </c>
      <c r="K2590" t="s">
        <v>78</v>
      </c>
      <c r="L2590" t="s">
        <v>79</v>
      </c>
      <c r="M2590" t="s">
        <v>80</v>
      </c>
      <c r="N2590" t="s">
        <v>797</v>
      </c>
      <c r="O2590" t="s">
        <v>82</v>
      </c>
      <c r="P2590" t="str">
        <f>"4170039808                    "</f>
        <v xml:space="preserve">4170039808                    </v>
      </c>
      <c r="Q2590">
        <v>0</v>
      </c>
      <c r="R2590">
        <v>0</v>
      </c>
      <c r="S2590">
        <v>0</v>
      </c>
      <c r="T2590">
        <v>0</v>
      </c>
      <c r="U2590">
        <v>0</v>
      </c>
      <c r="V2590">
        <v>0</v>
      </c>
      <c r="W2590">
        <v>0</v>
      </c>
      <c r="X2590">
        <v>0</v>
      </c>
      <c r="Y2590">
        <v>0</v>
      </c>
      <c r="Z2590">
        <v>0</v>
      </c>
      <c r="AA2590">
        <v>0</v>
      </c>
      <c r="AB2590">
        <v>0</v>
      </c>
      <c r="AC2590">
        <v>0</v>
      </c>
      <c r="AD2590">
        <v>0</v>
      </c>
      <c r="AE2590">
        <v>0</v>
      </c>
      <c r="AF2590">
        <v>0</v>
      </c>
      <c r="AG2590">
        <v>0</v>
      </c>
      <c r="AH2590">
        <v>0</v>
      </c>
      <c r="AI2590">
        <v>0</v>
      </c>
      <c r="AJ2590">
        <v>0</v>
      </c>
      <c r="AK2590">
        <v>0</v>
      </c>
      <c r="AL2590">
        <v>0</v>
      </c>
      <c r="AM2590">
        <v>0</v>
      </c>
      <c r="AN2590">
        <v>0</v>
      </c>
      <c r="AO2590">
        <v>0</v>
      </c>
      <c r="AP2590">
        <v>0</v>
      </c>
      <c r="AQ2590">
        <v>21.38</v>
      </c>
      <c r="AR2590">
        <v>0</v>
      </c>
      <c r="AS2590">
        <v>0</v>
      </c>
      <c r="AT2590">
        <v>0</v>
      </c>
      <c r="AU2590">
        <v>0</v>
      </c>
      <c r="AV2590">
        <v>0</v>
      </c>
      <c r="AW2590">
        <v>0</v>
      </c>
      <c r="AX2590">
        <v>0</v>
      </c>
      <c r="AY2590">
        <v>0</v>
      </c>
      <c r="AZ2590">
        <v>0</v>
      </c>
      <c r="BA2590">
        <v>0</v>
      </c>
      <c r="BB2590">
        <v>0</v>
      </c>
      <c r="BC2590">
        <v>0</v>
      </c>
      <c r="BD2590">
        <v>0</v>
      </c>
      <c r="BE2590">
        <v>0</v>
      </c>
      <c r="BF2590">
        <v>0</v>
      </c>
      <c r="BG2590">
        <v>0</v>
      </c>
      <c r="BH2590">
        <v>1</v>
      </c>
      <c r="BI2590">
        <v>1</v>
      </c>
      <c r="BJ2590">
        <v>0.2</v>
      </c>
      <c r="BK2590">
        <v>1</v>
      </c>
      <c r="BL2590">
        <v>69.98</v>
      </c>
      <c r="BM2590">
        <v>10.5</v>
      </c>
      <c r="BN2590">
        <v>80.48</v>
      </c>
      <c r="BO2590">
        <v>80.48</v>
      </c>
      <c r="BQ2590" t="s">
        <v>798</v>
      </c>
      <c r="BR2590" t="s">
        <v>84</v>
      </c>
      <c r="BS2590" s="3">
        <v>45799</v>
      </c>
      <c r="BT2590" s="4">
        <v>0.49652777777777779</v>
      </c>
      <c r="BU2590" t="s">
        <v>85</v>
      </c>
      <c r="BV2590" t="s">
        <v>86</v>
      </c>
      <c r="BY2590">
        <v>1200</v>
      </c>
      <c r="CA2590" t="s">
        <v>87</v>
      </c>
      <c r="CC2590" t="s">
        <v>80</v>
      </c>
      <c r="CD2590">
        <v>3610</v>
      </c>
      <c r="CE2590" t="s">
        <v>88</v>
      </c>
      <c r="CF2590" s="3">
        <v>45799</v>
      </c>
      <c r="CI2590">
        <v>1</v>
      </c>
      <c r="CJ2590">
        <v>1</v>
      </c>
      <c r="CK2590">
        <v>21</v>
      </c>
      <c r="CL2590" t="s">
        <v>89</v>
      </c>
    </row>
    <row r="2591" spans="1:90" x14ac:dyDescent="0.3">
      <c r="A2591" t="s">
        <v>72</v>
      </c>
      <c r="B2591" t="s">
        <v>73</v>
      </c>
      <c r="C2591" t="s">
        <v>74</v>
      </c>
      <c r="E2591" t="str">
        <f>"080065489876"</f>
        <v>080065489876</v>
      </c>
      <c r="F2591" s="3">
        <v>45798</v>
      </c>
      <c r="G2591">
        <v>202602</v>
      </c>
      <c r="H2591" t="s">
        <v>75</v>
      </c>
      <c r="I2591" t="s">
        <v>76</v>
      </c>
      <c r="J2591" t="s">
        <v>77</v>
      </c>
      <c r="K2591" t="s">
        <v>78</v>
      </c>
      <c r="L2591" t="s">
        <v>123</v>
      </c>
      <c r="M2591" t="s">
        <v>123</v>
      </c>
      <c r="N2591" t="s">
        <v>1700</v>
      </c>
      <c r="O2591" t="s">
        <v>82</v>
      </c>
      <c r="P2591" t="str">
        <f>"4170039765                    "</f>
        <v xml:space="preserve">4170039765                    </v>
      </c>
      <c r="Q2591">
        <v>0</v>
      </c>
      <c r="R2591">
        <v>0</v>
      </c>
      <c r="S2591">
        <v>0</v>
      </c>
      <c r="T2591">
        <v>0</v>
      </c>
      <c r="U2591">
        <v>0</v>
      </c>
      <c r="V2591">
        <v>0</v>
      </c>
      <c r="W2591">
        <v>0</v>
      </c>
      <c r="X2591">
        <v>0</v>
      </c>
      <c r="Y2591">
        <v>0</v>
      </c>
      <c r="Z2591">
        <v>0</v>
      </c>
      <c r="AA2591">
        <v>0</v>
      </c>
      <c r="AB2591">
        <v>0</v>
      </c>
      <c r="AC2591">
        <v>0</v>
      </c>
      <c r="AD2591">
        <v>0</v>
      </c>
      <c r="AE2591">
        <v>0</v>
      </c>
      <c r="AF2591">
        <v>0</v>
      </c>
      <c r="AG2591">
        <v>0</v>
      </c>
      <c r="AH2591">
        <v>0</v>
      </c>
      <c r="AI2591">
        <v>0</v>
      </c>
      <c r="AJ2591">
        <v>0</v>
      </c>
      <c r="AK2591">
        <v>0</v>
      </c>
      <c r="AL2591">
        <v>0</v>
      </c>
      <c r="AM2591">
        <v>0</v>
      </c>
      <c r="AN2591">
        <v>0</v>
      </c>
      <c r="AO2591">
        <v>0</v>
      </c>
      <c r="AP2591">
        <v>0</v>
      </c>
      <c r="AQ2591">
        <v>41.43</v>
      </c>
      <c r="AR2591">
        <v>0</v>
      </c>
      <c r="AS2591">
        <v>0</v>
      </c>
      <c r="AT2591">
        <v>0</v>
      </c>
      <c r="AU2591">
        <v>0</v>
      </c>
      <c r="AV2591">
        <v>0</v>
      </c>
      <c r="AW2591">
        <v>0</v>
      </c>
      <c r="AX2591">
        <v>0</v>
      </c>
      <c r="AY2591">
        <v>0</v>
      </c>
      <c r="AZ2591">
        <v>0</v>
      </c>
      <c r="BA2591">
        <v>0</v>
      </c>
      <c r="BB2591">
        <v>0</v>
      </c>
      <c r="BC2591">
        <v>0</v>
      </c>
      <c r="BD2591">
        <v>0</v>
      </c>
      <c r="BE2591">
        <v>0</v>
      </c>
      <c r="BF2591">
        <v>0</v>
      </c>
      <c r="BG2591">
        <v>0</v>
      </c>
      <c r="BH2591">
        <v>1</v>
      </c>
      <c r="BI2591">
        <v>1</v>
      </c>
      <c r="BJ2591">
        <v>0.2</v>
      </c>
      <c r="BK2591">
        <v>1</v>
      </c>
      <c r="BL2591">
        <v>135.59</v>
      </c>
      <c r="BM2591">
        <v>20.34</v>
      </c>
      <c r="BN2591">
        <v>155.93</v>
      </c>
      <c r="BO2591">
        <v>155.93</v>
      </c>
      <c r="BQ2591" t="s">
        <v>1701</v>
      </c>
      <c r="BR2591" t="s">
        <v>84</v>
      </c>
      <c r="BS2591" s="3">
        <v>45799</v>
      </c>
      <c r="BT2591" s="4">
        <v>0.5083333333333333</v>
      </c>
      <c r="BU2591" t="s">
        <v>329</v>
      </c>
      <c r="BV2591" t="s">
        <v>86</v>
      </c>
      <c r="BY2591">
        <v>1200</v>
      </c>
      <c r="CA2591" t="s">
        <v>128</v>
      </c>
      <c r="CC2591" t="s">
        <v>123</v>
      </c>
      <c r="CD2591">
        <v>7646</v>
      </c>
      <c r="CE2591" t="s">
        <v>88</v>
      </c>
      <c r="CF2591" s="3">
        <v>45800</v>
      </c>
      <c r="CI2591">
        <v>1</v>
      </c>
      <c r="CJ2591">
        <v>1</v>
      </c>
      <c r="CK2591">
        <v>23</v>
      </c>
      <c r="CL2591" t="s">
        <v>89</v>
      </c>
    </row>
    <row r="2592" spans="1:90" x14ac:dyDescent="0.3">
      <c r="A2592" t="s">
        <v>72</v>
      </c>
      <c r="B2592" t="s">
        <v>73</v>
      </c>
      <c r="C2592" t="s">
        <v>74</v>
      </c>
      <c r="E2592" t="str">
        <f>"080065489909"</f>
        <v>080065489909</v>
      </c>
      <c r="F2592" s="3">
        <v>45798</v>
      </c>
      <c r="G2592">
        <v>202602</v>
      </c>
      <c r="H2592" t="s">
        <v>75</v>
      </c>
      <c r="I2592" t="s">
        <v>76</v>
      </c>
      <c r="J2592" t="s">
        <v>77</v>
      </c>
      <c r="K2592" t="s">
        <v>78</v>
      </c>
      <c r="L2592" t="s">
        <v>266</v>
      </c>
      <c r="M2592" t="s">
        <v>267</v>
      </c>
      <c r="N2592" t="s">
        <v>663</v>
      </c>
      <c r="O2592" t="s">
        <v>82</v>
      </c>
      <c r="P2592" t="str">
        <f>"4170039800                    "</f>
        <v xml:space="preserve">4170039800                    </v>
      </c>
      <c r="Q2592">
        <v>0</v>
      </c>
      <c r="R2592">
        <v>0</v>
      </c>
      <c r="S2592">
        <v>0</v>
      </c>
      <c r="T2592">
        <v>0</v>
      </c>
      <c r="U2592">
        <v>0</v>
      </c>
      <c r="V2592">
        <v>0</v>
      </c>
      <c r="W2592">
        <v>0</v>
      </c>
      <c r="X2592">
        <v>0</v>
      </c>
      <c r="Y2592">
        <v>0</v>
      </c>
      <c r="Z2592">
        <v>0</v>
      </c>
      <c r="AA2592">
        <v>0</v>
      </c>
      <c r="AB2592">
        <v>0</v>
      </c>
      <c r="AC2592">
        <v>0</v>
      </c>
      <c r="AD2592">
        <v>0</v>
      </c>
      <c r="AE2592">
        <v>0</v>
      </c>
      <c r="AF2592">
        <v>0</v>
      </c>
      <c r="AG2592">
        <v>0</v>
      </c>
      <c r="AH2592">
        <v>0</v>
      </c>
      <c r="AI2592">
        <v>0</v>
      </c>
      <c r="AJ2592">
        <v>0</v>
      </c>
      <c r="AK2592">
        <v>0</v>
      </c>
      <c r="AL2592">
        <v>0</v>
      </c>
      <c r="AM2592">
        <v>0</v>
      </c>
      <c r="AN2592">
        <v>0</v>
      </c>
      <c r="AO2592">
        <v>0</v>
      </c>
      <c r="AP2592">
        <v>0</v>
      </c>
      <c r="AQ2592">
        <v>21.38</v>
      </c>
      <c r="AR2592">
        <v>0</v>
      </c>
      <c r="AS2592">
        <v>0</v>
      </c>
      <c r="AT2592">
        <v>0</v>
      </c>
      <c r="AU2592">
        <v>0</v>
      </c>
      <c r="AV2592">
        <v>0</v>
      </c>
      <c r="AW2592">
        <v>0</v>
      </c>
      <c r="AX2592">
        <v>0</v>
      </c>
      <c r="AY2592">
        <v>0</v>
      </c>
      <c r="AZ2592">
        <v>0</v>
      </c>
      <c r="BA2592">
        <v>0</v>
      </c>
      <c r="BB2592">
        <v>0</v>
      </c>
      <c r="BC2592">
        <v>0</v>
      </c>
      <c r="BD2592">
        <v>0</v>
      </c>
      <c r="BE2592">
        <v>0</v>
      </c>
      <c r="BF2592">
        <v>0</v>
      </c>
      <c r="BG2592">
        <v>0</v>
      </c>
      <c r="BH2592">
        <v>1</v>
      </c>
      <c r="BI2592">
        <v>1</v>
      </c>
      <c r="BJ2592">
        <v>0.2</v>
      </c>
      <c r="BK2592">
        <v>1</v>
      </c>
      <c r="BL2592">
        <v>69.98</v>
      </c>
      <c r="BM2592">
        <v>10.5</v>
      </c>
      <c r="BN2592">
        <v>80.48</v>
      </c>
      <c r="BO2592">
        <v>80.48</v>
      </c>
      <c r="BQ2592" t="s">
        <v>664</v>
      </c>
      <c r="BR2592" t="s">
        <v>84</v>
      </c>
      <c r="BS2592" s="3">
        <v>45799</v>
      </c>
      <c r="BT2592" s="4">
        <v>0.43472222222222223</v>
      </c>
      <c r="BU2592" t="s">
        <v>2795</v>
      </c>
      <c r="BV2592" t="s">
        <v>86</v>
      </c>
      <c r="BY2592">
        <v>1200</v>
      </c>
      <c r="CA2592" t="s">
        <v>271</v>
      </c>
      <c r="CC2592" t="s">
        <v>267</v>
      </c>
      <c r="CD2592">
        <v>6220</v>
      </c>
      <c r="CE2592" t="s">
        <v>88</v>
      </c>
      <c r="CF2592" s="3">
        <v>45799</v>
      </c>
      <c r="CI2592">
        <v>1</v>
      </c>
      <c r="CJ2592">
        <v>1</v>
      </c>
      <c r="CK2592">
        <v>21</v>
      </c>
      <c r="CL2592" t="s">
        <v>89</v>
      </c>
    </row>
    <row r="2593" spans="1:90" x14ac:dyDescent="0.3">
      <c r="A2593" t="s">
        <v>72</v>
      </c>
      <c r="B2593" t="s">
        <v>73</v>
      </c>
      <c r="C2593" t="s">
        <v>74</v>
      </c>
      <c r="E2593" t="str">
        <f>"080065489926"</f>
        <v>080065489926</v>
      </c>
      <c r="F2593" s="3">
        <v>45798</v>
      </c>
      <c r="G2593">
        <v>202602</v>
      </c>
      <c r="H2593" t="s">
        <v>75</v>
      </c>
      <c r="I2593" t="s">
        <v>76</v>
      </c>
      <c r="J2593" t="s">
        <v>77</v>
      </c>
      <c r="K2593" t="s">
        <v>78</v>
      </c>
      <c r="L2593" t="s">
        <v>103</v>
      </c>
      <c r="M2593" t="s">
        <v>104</v>
      </c>
      <c r="N2593" t="s">
        <v>105</v>
      </c>
      <c r="O2593" t="s">
        <v>82</v>
      </c>
      <c r="P2593" t="str">
        <f>"4170039834                    "</f>
        <v xml:space="preserve">4170039834                    </v>
      </c>
      <c r="Q2593">
        <v>0</v>
      </c>
      <c r="R2593">
        <v>0</v>
      </c>
      <c r="S2593">
        <v>0</v>
      </c>
      <c r="T2593">
        <v>0</v>
      </c>
      <c r="U2593">
        <v>0</v>
      </c>
      <c r="V2593">
        <v>0</v>
      </c>
      <c r="W2593">
        <v>0</v>
      </c>
      <c r="X2593">
        <v>0</v>
      </c>
      <c r="Y2593">
        <v>0</v>
      </c>
      <c r="Z2593">
        <v>0</v>
      </c>
      <c r="AA2593">
        <v>0</v>
      </c>
      <c r="AB2593">
        <v>0</v>
      </c>
      <c r="AC2593">
        <v>0</v>
      </c>
      <c r="AD2593">
        <v>0</v>
      </c>
      <c r="AE2593">
        <v>0</v>
      </c>
      <c r="AF2593">
        <v>0</v>
      </c>
      <c r="AG2593">
        <v>0</v>
      </c>
      <c r="AH2593">
        <v>0</v>
      </c>
      <c r="AI2593">
        <v>0</v>
      </c>
      <c r="AJ2593">
        <v>0</v>
      </c>
      <c r="AK2593">
        <v>0</v>
      </c>
      <c r="AL2593">
        <v>0</v>
      </c>
      <c r="AM2593">
        <v>0</v>
      </c>
      <c r="AN2593">
        <v>0</v>
      </c>
      <c r="AO2593">
        <v>0</v>
      </c>
      <c r="AP2593">
        <v>0</v>
      </c>
      <c r="AQ2593">
        <v>21.38</v>
      </c>
      <c r="AR2593">
        <v>0</v>
      </c>
      <c r="AS2593">
        <v>0</v>
      </c>
      <c r="AT2593">
        <v>0</v>
      </c>
      <c r="AU2593">
        <v>0</v>
      </c>
      <c r="AV2593">
        <v>0</v>
      </c>
      <c r="AW2593">
        <v>0</v>
      </c>
      <c r="AX2593">
        <v>0</v>
      </c>
      <c r="AY2593">
        <v>0</v>
      </c>
      <c r="AZ2593">
        <v>0</v>
      </c>
      <c r="BA2593">
        <v>0</v>
      </c>
      <c r="BB2593">
        <v>0</v>
      </c>
      <c r="BC2593">
        <v>0</v>
      </c>
      <c r="BD2593">
        <v>0</v>
      </c>
      <c r="BE2593">
        <v>0</v>
      </c>
      <c r="BF2593">
        <v>0</v>
      </c>
      <c r="BG2593">
        <v>0</v>
      </c>
      <c r="BH2593">
        <v>1</v>
      </c>
      <c r="BI2593">
        <v>1</v>
      </c>
      <c r="BJ2593">
        <v>0.2</v>
      </c>
      <c r="BK2593">
        <v>1</v>
      </c>
      <c r="BL2593">
        <v>69.98</v>
      </c>
      <c r="BM2593">
        <v>10.5</v>
      </c>
      <c r="BN2593">
        <v>80.48</v>
      </c>
      <c r="BO2593">
        <v>80.48</v>
      </c>
      <c r="BQ2593" t="s">
        <v>106</v>
      </c>
      <c r="BR2593" t="s">
        <v>84</v>
      </c>
      <c r="BS2593" s="3">
        <v>45799</v>
      </c>
      <c r="BT2593" s="4">
        <v>0.46111111111111114</v>
      </c>
      <c r="BU2593" t="s">
        <v>107</v>
      </c>
      <c r="BV2593" t="s">
        <v>86</v>
      </c>
      <c r="BY2593">
        <v>1200</v>
      </c>
      <c r="CA2593" t="s">
        <v>108</v>
      </c>
      <c r="CC2593" t="s">
        <v>104</v>
      </c>
      <c r="CD2593">
        <v>3201</v>
      </c>
      <c r="CE2593" t="s">
        <v>88</v>
      </c>
      <c r="CF2593" s="3">
        <v>45799</v>
      </c>
      <c r="CI2593">
        <v>1</v>
      </c>
      <c r="CJ2593">
        <v>1</v>
      </c>
      <c r="CK2593">
        <v>21</v>
      </c>
      <c r="CL2593" t="s">
        <v>89</v>
      </c>
    </row>
    <row r="2594" spans="1:90" x14ac:dyDescent="0.3">
      <c r="A2594" t="s">
        <v>72</v>
      </c>
      <c r="B2594" t="s">
        <v>73</v>
      </c>
      <c r="C2594" t="s">
        <v>74</v>
      </c>
      <c r="E2594" t="str">
        <f>"080065489950"</f>
        <v>080065489950</v>
      </c>
      <c r="F2594" s="3">
        <v>45798</v>
      </c>
      <c r="G2594">
        <v>202602</v>
      </c>
      <c r="H2594" t="s">
        <v>75</v>
      </c>
      <c r="I2594" t="s">
        <v>76</v>
      </c>
      <c r="J2594" t="s">
        <v>77</v>
      </c>
      <c r="K2594" t="s">
        <v>78</v>
      </c>
      <c r="L2594" t="s">
        <v>90</v>
      </c>
      <c r="M2594" t="s">
        <v>91</v>
      </c>
      <c r="N2594" t="s">
        <v>2796</v>
      </c>
      <c r="O2594" t="s">
        <v>82</v>
      </c>
      <c r="P2594" t="str">
        <f>"4170039767                    "</f>
        <v xml:space="preserve">4170039767                    </v>
      </c>
      <c r="Q2594">
        <v>0</v>
      </c>
      <c r="R2594">
        <v>0</v>
      </c>
      <c r="S2594">
        <v>0</v>
      </c>
      <c r="T2594">
        <v>0</v>
      </c>
      <c r="U2594">
        <v>0</v>
      </c>
      <c r="V2594">
        <v>0</v>
      </c>
      <c r="W2594">
        <v>0</v>
      </c>
      <c r="X2594">
        <v>0</v>
      </c>
      <c r="Y2594">
        <v>0</v>
      </c>
      <c r="Z2594">
        <v>0</v>
      </c>
      <c r="AA2594">
        <v>0</v>
      </c>
      <c r="AB2594">
        <v>0</v>
      </c>
      <c r="AC2594">
        <v>0</v>
      </c>
      <c r="AD2594">
        <v>0</v>
      </c>
      <c r="AE2594">
        <v>0</v>
      </c>
      <c r="AF2594">
        <v>0</v>
      </c>
      <c r="AG2594">
        <v>0</v>
      </c>
      <c r="AH2594">
        <v>0</v>
      </c>
      <c r="AI2594">
        <v>0</v>
      </c>
      <c r="AJ2594">
        <v>0</v>
      </c>
      <c r="AK2594">
        <v>0</v>
      </c>
      <c r="AL2594">
        <v>0</v>
      </c>
      <c r="AM2594">
        <v>0</v>
      </c>
      <c r="AN2594">
        <v>0</v>
      </c>
      <c r="AO2594">
        <v>0</v>
      </c>
      <c r="AP2594">
        <v>0</v>
      </c>
      <c r="AQ2594">
        <v>21.38</v>
      </c>
      <c r="AR2594">
        <v>0</v>
      </c>
      <c r="AS2594">
        <v>0</v>
      </c>
      <c r="AT2594">
        <v>0</v>
      </c>
      <c r="AU2594">
        <v>0</v>
      </c>
      <c r="AV2594">
        <v>0</v>
      </c>
      <c r="AW2594">
        <v>0</v>
      </c>
      <c r="AX2594">
        <v>0</v>
      </c>
      <c r="AY2594">
        <v>0</v>
      </c>
      <c r="AZ2594">
        <v>0</v>
      </c>
      <c r="BA2594">
        <v>0</v>
      </c>
      <c r="BB2594">
        <v>0</v>
      </c>
      <c r="BC2594">
        <v>0</v>
      </c>
      <c r="BD2594">
        <v>0</v>
      </c>
      <c r="BE2594">
        <v>0</v>
      </c>
      <c r="BF2594">
        <v>0</v>
      </c>
      <c r="BG2594">
        <v>0</v>
      </c>
      <c r="BH2594">
        <v>1</v>
      </c>
      <c r="BI2594">
        <v>1</v>
      </c>
      <c r="BJ2594">
        <v>0.2</v>
      </c>
      <c r="BK2594">
        <v>1</v>
      </c>
      <c r="BL2594">
        <v>69.98</v>
      </c>
      <c r="BM2594">
        <v>10.5</v>
      </c>
      <c r="BN2594">
        <v>80.48</v>
      </c>
      <c r="BO2594">
        <v>80.48</v>
      </c>
      <c r="BQ2594" t="s">
        <v>2797</v>
      </c>
      <c r="BR2594" t="s">
        <v>84</v>
      </c>
      <c r="BS2594" s="3">
        <v>45799</v>
      </c>
      <c r="BT2594" s="4">
        <v>0.43333333333333335</v>
      </c>
      <c r="BU2594" t="s">
        <v>2798</v>
      </c>
      <c r="BV2594" t="s">
        <v>86</v>
      </c>
      <c r="BY2594">
        <v>1200</v>
      </c>
      <c r="CC2594" t="s">
        <v>91</v>
      </c>
      <c r="CD2594">
        <v>6000</v>
      </c>
      <c r="CE2594" t="s">
        <v>88</v>
      </c>
      <c r="CF2594" s="3">
        <v>45799</v>
      </c>
      <c r="CI2594">
        <v>1</v>
      </c>
      <c r="CJ2594">
        <v>1</v>
      </c>
      <c r="CK2594">
        <v>21</v>
      </c>
      <c r="CL2594" t="s">
        <v>89</v>
      </c>
    </row>
    <row r="2595" spans="1:90" x14ac:dyDescent="0.3">
      <c r="A2595" t="s">
        <v>72</v>
      </c>
      <c r="B2595" t="s">
        <v>73</v>
      </c>
      <c r="C2595" t="s">
        <v>74</v>
      </c>
      <c r="E2595" t="str">
        <f>"080065490112"</f>
        <v>080065490112</v>
      </c>
      <c r="F2595" s="3">
        <v>45798</v>
      </c>
      <c r="G2595">
        <v>202602</v>
      </c>
      <c r="H2595" t="s">
        <v>75</v>
      </c>
      <c r="I2595" t="s">
        <v>76</v>
      </c>
      <c r="J2595" t="s">
        <v>77</v>
      </c>
      <c r="K2595" t="s">
        <v>78</v>
      </c>
      <c r="L2595" t="s">
        <v>103</v>
      </c>
      <c r="M2595" t="s">
        <v>104</v>
      </c>
      <c r="N2595" t="s">
        <v>633</v>
      </c>
      <c r="O2595" t="s">
        <v>82</v>
      </c>
      <c r="P2595" t="str">
        <f>"4170039829                    "</f>
        <v xml:space="preserve">4170039829                    </v>
      </c>
      <c r="Q2595">
        <v>0</v>
      </c>
      <c r="R2595">
        <v>0</v>
      </c>
      <c r="S2595">
        <v>0</v>
      </c>
      <c r="T2595">
        <v>0</v>
      </c>
      <c r="U2595">
        <v>0</v>
      </c>
      <c r="V2595">
        <v>0</v>
      </c>
      <c r="W2595">
        <v>0</v>
      </c>
      <c r="X2595">
        <v>0</v>
      </c>
      <c r="Y2595">
        <v>0</v>
      </c>
      <c r="Z2595">
        <v>0</v>
      </c>
      <c r="AA2595">
        <v>0</v>
      </c>
      <c r="AB2595">
        <v>0</v>
      </c>
      <c r="AC2595">
        <v>0</v>
      </c>
      <c r="AD2595">
        <v>0</v>
      </c>
      <c r="AE2595">
        <v>0</v>
      </c>
      <c r="AF2595">
        <v>0</v>
      </c>
      <c r="AG2595">
        <v>0</v>
      </c>
      <c r="AH2595">
        <v>0</v>
      </c>
      <c r="AI2595">
        <v>0</v>
      </c>
      <c r="AJ2595">
        <v>0</v>
      </c>
      <c r="AK2595">
        <v>0</v>
      </c>
      <c r="AL2595">
        <v>0</v>
      </c>
      <c r="AM2595">
        <v>0</v>
      </c>
      <c r="AN2595">
        <v>0</v>
      </c>
      <c r="AO2595">
        <v>0</v>
      </c>
      <c r="AP2595">
        <v>0</v>
      </c>
      <c r="AQ2595">
        <v>21.38</v>
      </c>
      <c r="AR2595">
        <v>0</v>
      </c>
      <c r="AS2595">
        <v>0</v>
      </c>
      <c r="AT2595">
        <v>0</v>
      </c>
      <c r="AU2595">
        <v>0</v>
      </c>
      <c r="AV2595">
        <v>0</v>
      </c>
      <c r="AW2595">
        <v>0</v>
      </c>
      <c r="AX2595">
        <v>0</v>
      </c>
      <c r="AY2595">
        <v>0</v>
      </c>
      <c r="AZ2595">
        <v>0</v>
      </c>
      <c r="BA2595">
        <v>0</v>
      </c>
      <c r="BB2595">
        <v>0</v>
      </c>
      <c r="BC2595">
        <v>0</v>
      </c>
      <c r="BD2595">
        <v>0</v>
      </c>
      <c r="BE2595">
        <v>0</v>
      </c>
      <c r="BF2595">
        <v>0</v>
      </c>
      <c r="BG2595">
        <v>0</v>
      </c>
      <c r="BH2595">
        <v>1</v>
      </c>
      <c r="BI2595">
        <v>1</v>
      </c>
      <c r="BJ2595">
        <v>0.2</v>
      </c>
      <c r="BK2595">
        <v>1</v>
      </c>
      <c r="BL2595">
        <v>69.98</v>
      </c>
      <c r="BM2595">
        <v>10.5</v>
      </c>
      <c r="BN2595">
        <v>80.48</v>
      </c>
      <c r="BO2595">
        <v>80.48</v>
      </c>
      <c r="BQ2595" t="s">
        <v>634</v>
      </c>
      <c r="BR2595" t="s">
        <v>84</v>
      </c>
      <c r="BS2595" s="3">
        <v>45799</v>
      </c>
      <c r="BT2595" s="4">
        <v>0.56319444444444444</v>
      </c>
      <c r="BU2595" t="s">
        <v>635</v>
      </c>
      <c r="BV2595" t="s">
        <v>86</v>
      </c>
      <c r="BY2595">
        <v>1200</v>
      </c>
      <c r="CA2595" t="s">
        <v>440</v>
      </c>
      <c r="CC2595" t="s">
        <v>104</v>
      </c>
      <c r="CD2595">
        <v>3212</v>
      </c>
      <c r="CE2595" t="s">
        <v>88</v>
      </c>
      <c r="CF2595" s="3">
        <v>45800</v>
      </c>
      <c r="CI2595">
        <v>2</v>
      </c>
      <c r="CJ2595">
        <v>1</v>
      </c>
      <c r="CK2595">
        <v>21</v>
      </c>
      <c r="CL2595" t="s">
        <v>89</v>
      </c>
    </row>
    <row r="2596" spans="1:90" x14ac:dyDescent="0.3">
      <c r="A2596" t="s">
        <v>72</v>
      </c>
      <c r="B2596" t="s">
        <v>73</v>
      </c>
      <c r="C2596" t="s">
        <v>74</v>
      </c>
      <c r="E2596" t="str">
        <f>"080065490135"</f>
        <v>080065490135</v>
      </c>
      <c r="F2596" s="3">
        <v>45798</v>
      </c>
      <c r="G2596">
        <v>202602</v>
      </c>
      <c r="H2596" t="s">
        <v>75</v>
      </c>
      <c r="I2596" t="s">
        <v>76</v>
      </c>
      <c r="J2596" t="s">
        <v>77</v>
      </c>
      <c r="K2596" t="s">
        <v>78</v>
      </c>
      <c r="L2596" t="s">
        <v>90</v>
      </c>
      <c r="M2596" t="s">
        <v>91</v>
      </c>
      <c r="N2596" t="s">
        <v>92</v>
      </c>
      <c r="O2596" t="s">
        <v>82</v>
      </c>
      <c r="P2596" t="str">
        <f>"4170039779                    "</f>
        <v xml:space="preserve">4170039779                    </v>
      </c>
      <c r="Q2596">
        <v>0</v>
      </c>
      <c r="R2596">
        <v>0</v>
      </c>
      <c r="S2596">
        <v>0</v>
      </c>
      <c r="T2596">
        <v>0</v>
      </c>
      <c r="U2596">
        <v>0</v>
      </c>
      <c r="V2596">
        <v>0</v>
      </c>
      <c r="W2596">
        <v>0</v>
      </c>
      <c r="X2596">
        <v>0</v>
      </c>
      <c r="Y2596">
        <v>0</v>
      </c>
      <c r="Z2596">
        <v>0</v>
      </c>
      <c r="AA2596">
        <v>0</v>
      </c>
      <c r="AB2596">
        <v>0</v>
      </c>
      <c r="AC2596">
        <v>0</v>
      </c>
      <c r="AD2596">
        <v>0</v>
      </c>
      <c r="AE2596">
        <v>0</v>
      </c>
      <c r="AF2596">
        <v>0</v>
      </c>
      <c r="AG2596">
        <v>0</v>
      </c>
      <c r="AH2596">
        <v>0</v>
      </c>
      <c r="AI2596">
        <v>0</v>
      </c>
      <c r="AJ2596">
        <v>0</v>
      </c>
      <c r="AK2596">
        <v>0</v>
      </c>
      <c r="AL2596">
        <v>0</v>
      </c>
      <c r="AM2596">
        <v>0</v>
      </c>
      <c r="AN2596">
        <v>0</v>
      </c>
      <c r="AO2596">
        <v>0</v>
      </c>
      <c r="AP2596">
        <v>0</v>
      </c>
      <c r="AQ2596">
        <v>21.38</v>
      </c>
      <c r="AR2596">
        <v>0</v>
      </c>
      <c r="AS2596">
        <v>0</v>
      </c>
      <c r="AT2596">
        <v>0</v>
      </c>
      <c r="AU2596">
        <v>0</v>
      </c>
      <c r="AV2596">
        <v>0</v>
      </c>
      <c r="AW2596">
        <v>0</v>
      </c>
      <c r="AX2596">
        <v>0</v>
      </c>
      <c r="AY2596">
        <v>0</v>
      </c>
      <c r="AZ2596">
        <v>0</v>
      </c>
      <c r="BA2596">
        <v>0</v>
      </c>
      <c r="BB2596">
        <v>0</v>
      </c>
      <c r="BC2596">
        <v>0</v>
      </c>
      <c r="BD2596">
        <v>0</v>
      </c>
      <c r="BE2596">
        <v>0</v>
      </c>
      <c r="BF2596">
        <v>0</v>
      </c>
      <c r="BG2596">
        <v>0</v>
      </c>
      <c r="BH2596">
        <v>1</v>
      </c>
      <c r="BI2596">
        <v>1</v>
      </c>
      <c r="BJ2596">
        <v>0.2</v>
      </c>
      <c r="BK2596">
        <v>1</v>
      </c>
      <c r="BL2596">
        <v>69.98</v>
      </c>
      <c r="BM2596">
        <v>10.5</v>
      </c>
      <c r="BN2596">
        <v>80.48</v>
      </c>
      <c r="BO2596">
        <v>80.48</v>
      </c>
      <c r="BQ2596" t="s">
        <v>93</v>
      </c>
      <c r="BR2596" t="s">
        <v>84</v>
      </c>
      <c r="BS2596" s="3">
        <v>45799</v>
      </c>
      <c r="BT2596" s="4">
        <v>0.38680555555555557</v>
      </c>
      <c r="BU2596" t="s">
        <v>94</v>
      </c>
      <c r="BV2596" t="s">
        <v>86</v>
      </c>
      <c r="BY2596">
        <v>1200</v>
      </c>
      <c r="CA2596" t="s">
        <v>95</v>
      </c>
      <c r="CC2596" t="s">
        <v>91</v>
      </c>
      <c r="CD2596">
        <v>6001</v>
      </c>
      <c r="CE2596" t="s">
        <v>88</v>
      </c>
      <c r="CF2596" s="3">
        <v>45799</v>
      </c>
      <c r="CI2596">
        <v>1</v>
      </c>
      <c r="CJ2596">
        <v>1</v>
      </c>
      <c r="CK2596">
        <v>21</v>
      </c>
      <c r="CL2596" t="s">
        <v>89</v>
      </c>
    </row>
    <row r="2597" spans="1:90" x14ac:dyDescent="0.3">
      <c r="A2597" t="s">
        <v>72</v>
      </c>
      <c r="B2597" t="s">
        <v>73</v>
      </c>
      <c r="C2597" t="s">
        <v>74</v>
      </c>
      <c r="E2597" t="str">
        <f>"080065490163"</f>
        <v>080065490163</v>
      </c>
      <c r="F2597" s="3">
        <v>45798</v>
      </c>
      <c r="G2597">
        <v>202602</v>
      </c>
      <c r="H2597" t="s">
        <v>75</v>
      </c>
      <c r="I2597" t="s">
        <v>76</v>
      </c>
      <c r="J2597" t="s">
        <v>77</v>
      </c>
      <c r="K2597" t="s">
        <v>78</v>
      </c>
      <c r="L2597" t="s">
        <v>75</v>
      </c>
      <c r="M2597" t="s">
        <v>76</v>
      </c>
      <c r="N2597" t="s">
        <v>601</v>
      </c>
      <c r="O2597" t="s">
        <v>82</v>
      </c>
      <c r="P2597" t="str">
        <f>"4170039775                    "</f>
        <v xml:space="preserve">4170039775                    </v>
      </c>
      <c r="Q2597">
        <v>0</v>
      </c>
      <c r="R2597">
        <v>0</v>
      </c>
      <c r="S2597">
        <v>0</v>
      </c>
      <c r="T2597">
        <v>0</v>
      </c>
      <c r="U2597">
        <v>0</v>
      </c>
      <c r="V2597">
        <v>0</v>
      </c>
      <c r="W2597">
        <v>0</v>
      </c>
      <c r="X2597">
        <v>0</v>
      </c>
      <c r="Y2597">
        <v>0</v>
      </c>
      <c r="Z2597">
        <v>0</v>
      </c>
      <c r="AA2597">
        <v>0</v>
      </c>
      <c r="AB2597">
        <v>0</v>
      </c>
      <c r="AC2597">
        <v>0</v>
      </c>
      <c r="AD2597">
        <v>0</v>
      </c>
      <c r="AE2597">
        <v>0</v>
      </c>
      <c r="AF2597">
        <v>0</v>
      </c>
      <c r="AG2597">
        <v>0</v>
      </c>
      <c r="AH2597">
        <v>0</v>
      </c>
      <c r="AI2597">
        <v>0</v>
      </c>
      <c r="AJ2597">
        <v>0</v>
      </c>
      <c r="AK2597">
        <v>0</v>
      </c>
      <c r="AL2597">
        <v>0</v>
      </c>
      <c r="AM2597">
        <v>0</v>
      </c>
      <c r="AN2597">
        <v>0</v>
      </c>
      <c r="AO2597">
        <v>0</v>
      </c>
      <c r="AP2597">
        <v>0</v>
      </c>
      <c r="AQ2597">
        <v>16.7</v>
      </c>
      <c r="AR2597">
        <v>0</v>
      </c>
      <c r="AS2597">
        <v>0</v>
      </c>
      <c r="AT2597">
        <v>0</v>
      </c>
      <c r="AU2597">
        <v>0</v>
      </c>
      <c r="AV2597">
        <v>0</v>
      </c>
      <c r="AW2597">
        <v>0</v>
      </c>
      <c r="AX2597">
        <v>0</v>
      </c>
      <c r="AY2597">
        <v>0</v>
      </c>
      <c r="AZ2597">
        <v>0</v>
      </c>
      <c r="BA2597">
        <v>0</v>
      </c>
      <c r="BB2597">
        <v>0</v>
      </c>
      <c r="BC2597">
        <v>0</v>
      </c>
      <c r="BD2597">
        <v>0</v>
      </c>
      <c r="BE2597">
        <v>0</v>
      </c>
      <c r="BF2597">
        <v>0</v>
      </c>
      <c r="BG2597">
        <v>0</v>
      </c>
      <c r="BH2597">
        <v>1</v>
      </c>
      <c r="BI2597">
        <v>1</v>
      </c>
      <c r="BJ2597">
        <v>0.2</v>
      </c>
      <c r="BK2597">
        <v>1</v>
      </c>
      <c r="BL2597">
        <v>54.66</v>
      </c>
      <c r="BM2597">
        <v>8.1999999999999993</v>
      </c>
      <c r="BN2597">
        <v>62.86</v>
      </c>
      <c r="BO2597">
        <v>62.86</v>
      </c>
      <c r="BQ2597" t="s">
        <v>603</v>
      </c>
      <c r="BR2597" t="s">
        <v>84</v>
      </c>
      <c r="BS2597" s="3">
        <v>45799</v>
      </c>
      <c r="BT2597" s="4">
        <v>0.33402777777777776</v>
      </c>
      <c r="BU2597" t="s">
        <v>604</v>
      </c>
      <c r="BV2597" t="s">
        <v>86</v>
      </c>
      <c r="BY2597">
        <v>1200</v>
      </c>
      <c r="CA2597" t="s">
        <v>605</v>
      </c>
      <c r="CC2597" t="s">
        <v>76</v>
      </c>
      <c r="CD2597">
        <v>1645</v>
      </c>
      <c r="CE2597" t="s">
        <v>88</v>
      </c>
      <c r="CF2597" s="3">
        <v>45800</v>
      </c>
      <c r="CI2597">
        <v>1</v>
      </c>
      <c r="CJ2597">
        <v>1</v>
      </c>
      <c r="CK2597">
        <v>22</v>
      </c>
      <c r="CL2597" t="s">
        <v>89</v>
      </c>
    </row>
    <row r="2598" spans="1:90" x14ac:dyDescent="0.3">
      <c r="A2598" t="s">
        <v>72</v>
      </c>
      <c r="B2598" t="s">
        <v>73</v>
      </c>
      <c r="C2598" t="s">
        <v>74</v>
      </c>
      <c r="E2598" t="str">
        <f>"080065490198"</f>
        <v>080065490198</v>
      </c>
      <c r="F2598" s="3">
        <v>45798</v>
      </c>
      <c r="G2598">
        <v>202602</v>
      </c>
      <c r="H2598" t="s">
        <v>75</v>
      </c>
      <c r="I2598" t="s">
        <v>76</v>
      </c>
      <c r="J2598" t="s">
        <v>77</v>
      </c>
      <c r="K2598" t="s">
        <v>78</v>
      </c>
      <c r="L2598" t="s">
        <v>136</v>
      </c>
      <c r="M2598" t="s">
        <v>137</v>
      </c>
      <c r="N2598" t="s">
        <v>1656</v>
      </c>
      <c r="O2598" t="s">
        <v>82</v>
      </c>
      <c r="P2598" t="str">
        <f>"4170039766                    "</f>
        <v xml:space="preserve">4170039766                    </v>
      </c>
      <c r="Q2598">
        <v>0</v>
      </c>
      <c r="R2598">
        <v>0</v>
      </c>
      <c r="S2598">
        <v>0</v>
      </c>
      <c r="T2598">
        <v>0</v>
      </c>
      <c r="U2598">
        <v>0</v>
      </c>
      <c r="V2598">
        <v>0</v>
      </c>
      <c r="W2598">
        <v>0</v>
      </c>
      <c r="X2598">
        <v>0</v>
      </c>
      <c r="Y2598">
        <v>0</v>
      </c>
      <c r="Z2598">
        <v>0</v>
      </c>
      <c r="AA2598">
        <v>0</v>
      </c>
      <c r="AB2598">
        <v>0</v>
      </c>
      <c r="AC2598">
        <v>0</v>
      </c>
      <c r="AD2598">
        <v>0</v>
      </c>
      <c r="AE2598">
        <v>0</v>
      </c>
      <c r="AF2598">
        <v>0</v>
      </c>
      <c r="AG2598">
        <v>0</v>
      </c>
      <c r="AH2598">
        <v>0</v>
      </c>
      <c r="AI2598">
        <v>0</v>
      </c>
      <c r="AJ2598">
        <v>0</v>
      </c>
      <c r="AK2598">
        <v>0</v>
      </c>
      <c r="AL2598">
        <v>0</v>
      </c>
      <c r="AM2598">
        <v>0</v>
      </c>
      <c r="AN2598">
        <v>0</v>
      </c>
      <c r="AO2598">
        <v>0</v>
      </c>
      <c r="AP2598">
        <v>0</v>
      </c>
      <c r="AQ2598">
        <v>21.38</v>
      </c>
      <c r="AR2598">
        <v>0</v>
      </c>
      <c r="AS2598">
        <v>0</v>
      </c>
      <c r="AT2598">
        <v>0</v>
      </c>
      <c r="AU2598">
        <v>0</v>
      </c>
      <c r="AV2598">
        <v>0</v>
      </c>
      <c r="AW2598">
        <v>0</v>
      </c>
      <c r="AX2598">
        <v>0</v>
      </c>
      <c r="AY2598">
        <v>0</v>
      </c>
      <c r="AZ2598">
        <v>0</v>
      </c>
      <c r="BA2598">
        <v>0</v>
      </c>
      <c r="BB2598">
        <v>0</v>
      </c>
      <c r="BC2598">
        <v>0</v>
      </c>
      <c r="BD2598">
        <v>0</v>
      </c>
      <c r="BE2598">
        <v>0</v>
      </c>
      <c r="BF2598">
        <v>0</v>
      </c>
      <c r="BG2598">
        <v>0</v>
      </c>
      <c r="BH2598">
        <v>1</v>
      </c>
      <c r="BI2598">
        <v>1</v>
      </c>
      <c r="BJ2598">
        <v>0.2</v>
      </c>
      <c r="BK2598">
        <v>1</v>
      </c>
      <c r="BL2598">
        <v>69.98</v>
      </c>
      <c r="BM2598">
        <v>10.5</v>
      </c>
      <c r="BN2598">
        <v>80.48</v>
      </c>
      <c r="BO2598">
        <v>80.48</v>
      </c>
      <c r="BQ2598" t="s">
        <v>1657</v>
      </c>
      <c r="BR2598" t="s">
        <v>84</v>
      </c>
      <c r="BS2598" s="3">
        <v>45799</v>
      </c>
      <c r="BT2598" s="4">
        <v>0.36249999999999999</v>
      </c>
      <c r="BU2598" t="s">
        <v>1658</v>
      </c>
      <c r="BV2598" t="s">
        <v>86</v>
      </c>
      <c r="BY2598">
        <v>1200</v>
      </c>
      <c r="CA2598" t="s">
        <v>141</v>
      </c>
      <c r="CC2598" t="s">
        <v>137</v>
      </c>
      <c r="CD2598" s="5" t="s">
        <v>142</v>
      </c>
      <c r="CE2598" t="s">
        <v>88</v>
      </c>
      <c r="CF2598" s="3">
        <v>45799</v>
      </c>
      <c r="CI2598">
        <v>1</v>
      </c>
      <c r="CJ2598">
        <v>1</v>
      </c>
      <c r="CK2598">
        <v>21</v>
      </c>
      <c r="CL2598" t="s">
        <v>89</v>
      </c>
    </row>
    <row r="2599" spans="1:90" x14ac:dyDescent="0.3">
      <c r="A2599" t="s">
        <v>72</v>
      </c>
      <c r="B2599" t="s">
        <v>73</v>
      </c>
      <c r="C2599" t="s">
        <v>74</v>
      </c>
      <c r="E2599" t="str">
        <f>"080065490217"</f>
        <v>080065490217</v>
      </c>
      <c r="F2599" s="3">
        <v>45798</v>
      </c>
      <c r="G2599">
        <v>202602</v>
      </c>
      <c r="H2599" t="s">
        <v>75</v>
      </c>
      <c r="I2599" t="s">
        <v>76</v>
      </c>
      <c r="J2599" t="s">
        <v>77</v>
      </c>
      <c r="K2599" t="s">
        <v>78</v>
      </c>
      <c r="L2599" t="s">
        <v>350</v>
      </c>
      <c r="M2599" t="s">
        <v>351</v>
      </c>
      <c r="N2599" t="s">
        <v>678</v>
      </c>
      <c r="O2599" t="s">
        <v>82</v>
      </c>
      <c r="P2599" t="str">
        <f>"4170039856                    "</f>
        <v xml:space="preserve">4170039856                    </v>
      </c>
      <c r="Q2599">
        <v>0</v>
      </c>
      <c r="R2599">
        <v>0</v>
      </c>
      <c r="S2599">
        <v>0</v>
      </c>
      <c r="T2599">
        <v>0</v>
      </c>
      <c r="U2599">
        <v>0</v>
      </c>
      <c r="V2599">
        <v>0</v>
      </c>
      <c r="W2599">
        <v>0</v>
      </c>
      <c r="X2599">
        <v>0</v>
      </c>
      <c r="Y2599">
        <v>0</v>
      </c>
      <c r="Z2599">
        <v>0</v>
      </c>
      <c r="AA2599">
        <v>0</v>
      </c>
      <c r="AB2599">
        <v>0</v>
      </c>
      <c r="AC2599">
        <v>0</v>
      </c>
      <c r="AD2599">
        <v>0</v>
      </c>
      <c r="AE2599">
        <v>0</v>
      </c>
      <c r="AF2599">
        <v>0</v>
      </c>
      <c r="AG2599">
        <v>0</v>
      </c>
      <c r="AH2599">
        <v>0</v>
      </c>
      <c r="AI2599">
        <v>0</v>
      </c>
      <c r="AJ2599">
        <v>0</v>
      </c>
      <c r="AK2599">
        <v>0</v>
      </c>
      <c r="AL2599">
        <v>0</v>
      </c>
      <c r="AM2599">
        <v>0</v>
      </c>
      <c r="AN2599">
        <v>0</v>
      </c>
      <c r="AO2599">
        <v>0</v>
      </c>
      <c r="AP2599">
        <v>0</v>
      </c>
      <c r="AQ2599">
        <v>21.38</v>
      </c>
      <c r="AR2599">
        <v>0</v>
      </c>
      <c r="AS2599">
        <v>0</v>
      </c>
      <c r="AT2599">
        <v>0</v>
      </c>
      <c r="AU2599">
        <v>0</v>
      </c>
      <c r="AV2599">
        <v>0</v>
      </c>
      <c r="AW2599">
        <v>0</v>
      </c>
      <c r="AX2599">
        <v>0</v>
      </c>
      <c r="AY2599">
        <v>0</v>
      </c>
      <c r="AZ2599">
        <v>0</v>
      </c>
      <c r="BA2599">
        <v>0</v>
      </c>
      <c r="BB2599">
        <v>0</v>
      </c>
      <c r="BC2599">
        <v>0</v>
      </c>
      <c r="BD2599">
        <v>0</v>
      </c>
      <c r="BE2599">
        <v>0</v>
      </c>
      <c r="BF2599">
        <v>0</v>
      </c>
      <c r="BG2599">
        <v>0</v>
      </c>
      <c r="BH2599">
        <v>1</v>
      </c>
      <c r="BI2599">
        <v>1</v>
      </c>
      <c r="BJ2599">
        <v>0.2</v>
      </c>
      <c r="BK2599">
        <v>1</v>
      </c>
      <c r="BL2599">
        <v>69.98</v>
      </c>
      <c r="BM2599">
        <v>10.5</v>
      </c>
      <c r="BN2599">
        <v>80.48</v>
      </c>
      <c r="BO2599">
        <v>80.48</v>
      </c>
      <c r="BQ2599" t="s">
        <v>679</v>
      </c>
      <c r="BR2599" t="s">
        <v>84</v>
      </c>
      <c r="BS2599" s="3">
        <v>45799</v>
      </c>
      <c r="BT2599" s="4">
        <v>0.41805555555555557</v>
      </c>
      <c r="BU2599" t="s">
        <v>1828</v>
      </c>
      <c r="BV2599" t="s">
        <v>86</v>
      </c>
      <c r="BY2599">
        <v>1200</v>
      </c>
      <c r="CA2599" t="s">
        <v>326</v>
      </c>
      <c r="CC2599" t="s">
        <v>351</v>
      </c>
      <c r="CD2599">
        <v>4052</v>
      </c>
      <c r="CE2599" t="s">
        <v>88</v>
      </c>
      <c r="CF2599" s="3">
        <v>45800</v>
      </c>
      <c r="CI2599">
        <v>1</v>
      </c>
      <c r="CJ2599">
        <v>1</v>
      </c>
      <c r="CK2599">
        <v>21</v>
      </c>
      <c r="CL2599" t="s">
        <v>89</v>
      </c>
    </row>
    <row r="2600" spans="1:90" x14ac:dyDescent="0.3">
      <c r="A2600" t="s">
        <v>72</v>
      </c>
      <c r="B2600" t="s">
        <v>73</v>
      </c>
      <c r="C2600" t="s">
        <v>74</v>
      </c>
      <c r="E2600" t="str">
        <f>"080065490254"</f>
        <v>080065490254</v>
      </c>
      <c r="F2600" s="3">
        <v>45798</v>
      </c>
      <c r="G2600">
        <v>202602</v>
      </c>
      <c r="H2600" t="s">
        <v>75</v>
      </c>
      <c r="I2600" t="s">
        <v>76</v>
      </c>
      <c r="J2600" t="s">
        <v>77</v>
      </c>
      <c r="K2600" t="s">
        <v>78</v>
      </c>
      <c r="L2600" t="s">
        <v>90</v>
      </c>
      <c r="M2600" t="s">
        <v>91</v>
      </c>
      <c r="N2600" t="s">
        <v>837</v>
      </c>
      <c r="O2600" t="s">
        <v>82</v>
      </c>
      <c r="P2600" t="str">
        <f>"4170039907                    "</f>
        <v xml:space="preserve">4170039907                    </v>
      </c>
      <c r="Q2600">
        <v>0</v>
      </c>
      <c r="R2600">
        <v>0</v>
      </c>
      <c r="S2600">
        <v>0</v>
      </c>
      <c r="T2600">
        <v>0</v>
      </c>
      <c r="U2600">
        <v>0</v>
      </c>
      <c r="V2600">
        <v>0</v>
      </c>
      <c r="W2600">
        <v>0</v>
      </c>
      <c r="X2600">
        <v>0</v>
      </c>
      <c r="Y2600">
        <v>0</v>
      </c>
      <c r="Z2600">
        <v>0</v>
      </c>
      <c r="AA2600">
        <v>0</v>
      </c>
      <c r="AB2600">
        <v>0</v>
      </c>
      <c r="AC2600">
        <v>0</v>
      </c>
      <c r="AD2600">
        <v>0</v>
      </c>
      <c r="AE2600">
        <v>0</v>
      </c>
      <c r="AF2600">
        <v>0</v>
      </c>
      <c r="AG2600">
        <v>0</v>
      </c>
      <c r="AH2600">
        <v>0</v>
      </c>
      <c r="AI2600">
        <v>0</v>
      </c>
      <c r="AJ2600">
        <v>0</v>
      </c>
      <c r="AK2600">
        <v>0</v>
      </c>
      <c r="AL2600">
        <v>0</v>
      </c>
      <c r="AM2600">
        <v>0</v>
      </c>
      <c r="AN2600">
        <v>0</v>
      </c>
      <c r="AO2600">
        <v>0</v>
      </c>
      <c r="AP2600">
        <v>0</v>
      </c>
      <c r="AQ2600">
        <v>21.38</v>
      </c>
      <c r="AR2600">
        <v>0</v>
      </c>
      <c r="AS2600">
        <v>0</v>
      </c>
      <c r="AT2600">
        <v>0</v>
      </c>
      <c r="AU2600">
        <v>0</v>
      </c>
      <c r="AV2600">
        <v>0</v>
      </c>
      <c r="AW2600">
        <v>0</v>
      </c>
      <c r="AX2600">
        <v>0</v>
      </c>
      <c r="AY2600">
        <v>0</v>
      </c>
      <c r="AZ2600">
        <v>0</v>
      </c>
      <c r="BA2600">
        <v>0</v>
      </c>
      <c r="BB2600">
        <v>0</v>
      </c>
      <c r="BC2600">
        <v>0</v>
      </c>
      <c r="BD2600">
        <v>0</v>
      </c>
      <c r="BE2600">
        <v>0</v>
      </c>
      <c r="BF2600">
        <v>0</v>
      </c>
      <c r="BG2600">
        <v>0</v>
      </c>
      <c r="BH2600">
        <v>1</v>
      </c>
      <c r="BI2600">
        <v>1</v>
      </c>
      <c r="BJ2600">
        <v>0.2</v>
      </c>
      <c r="BK2600">
        <v>1</v>
      </c>
      <c r="BL2600">
        <v>69.98</v>
      </c>
      <c r="BM2600">
        <v>10.5</v>
      </c>
      <c r="BN2600">
        <v>80.48</v>
      </c>
      <c r="BO2600">
        <v>80.48</v>
      </c>
      <c r="BQ2600" t="s">
        <v>838</v>
      </c>
      <c r="BR2600" t="s">
        <v>84</v>
      </c>
      <c r="BS2600" s="3">
        <v>45799</v>
      </c>
      <c r="BT2600" s="4">
        <v>0.31944444444444442</v>
      </c>
      <c r="BU2600" t="s">
        <v>1806</v>
      </c>
      <c r="BV2600" t="s">
        <v>86</v>
      </c>
      <c r="BY2600">
        <v>1200</v>
      </c>
      <c r="CA2600" t="s">
        <v>298</v>
      </c>
      <c r="CC2600" t="s">
        <v>91</v>
      </c>
      <c r="CD2600">
        <v>6001</v>
      </c>
      <c r="CE2600" t="s">
        <v>88</v>
      </c>
      <c r="CF2600" s="3">
        <v>45799</v>
      </c>
      <c r="CI2600">
        <v>1</v>
      </c>
      <c r="CJ2600">
        <v>1</v>
      </c>
      <c r="CK2600">
        <v>21</v>
      </c>
      <c r="CL2600" t="s">
        <v>89</v>
      </c>
    </row>
    <row r="2601" spans="1:90" x14ac:dyDescent="0.3">
      <c r="A2601" t="s">
        <v>72</v>
      </c>
      <c r="B2601" t="s">
        <v>73</v>
      </c>
      <c r="C2601" t="s">
        <v>74</v>
      </c>
      <c r="E2601" t="str">
        <f>"080065490266"</f>
        <v>080065490266</v>
      </c>
      <c r="F2601" s="3">
        <v>45798</v>
      </c>
      <c r="G2601">
        <v>202602</v>
      </c>
      <c r="H2601" t="s">
        <v>75</v>
      </c>
      <c r="I2601" t="s">
        <v>76</v>
      </c>
      <c r="J2601" t="s">
        <v>77</v>
      </c>
      <c r="K2601" t="s">
        <v>78</v>
      </c>
      <c r="L2601" t="s">
        <v>136</v>
      </c>
      <c r="M2601" t="s">
        <v>137</v>
      </c>
      <c r="N2601" t="s">
        <v>886</v>
      </c>
      <c r="O2601" t="s">
        <v>82</v>
      </c>
      <c r="P2601" t="str">
        <f>"4170039942                    "</f>
        <v xml:space="preserve">4170039942                    </v>
      </c>
      <c r="Q2601">
        <v>0</v>
      </c>
      <c r="R2601">
        <v>0</v>
      </c>
      <c r="S2601">
        <v>0</v>
      </c>
      <c r="T2601">
        <v>0</v>
      </c>
      <c r="U2601">
        <v>0</v>
      </c>
      <c r="V2601">
        <v>0</v>
      </c>
      <c r="W2601">
        <v>0</v>
      </c>
      <c r="X2601">
        <v>0</v>
      </c>
      <c r="Y2601">
        <v>0</v>
      </c>
      <c r="Z2601">
        <v>0</v>
      </c>
      <c r="AA2601">
        <v>0</v>
      </c>
      <c r="AB2601">
        <v>0</v>
      </c>
      <c r="AC2601">
        <v>0</v>
      </c>
      <c r="AD2601">
        <v>0</v>
      </c>
      <c r="AE2601">
        <v>0</v>
      </c>
      <c r="AF2601">
        <v>0</v>
      </c>
      <c r="AG2601">
        <v>0</v>
      </c>
      <c r="AH2601">
        <v>0</v>
      </c>
      <c r="AI2601">
        <v>0</v>
      </c>
      <c r="AJ2601">
        <v>0</v>
      </c>
      <c r="AK2601">
        <v>0</v>
      </c>
      <c r="AL2601">
        <v>0</v>
      </c>
      <c r="AM2601">
        <v>0</v>
      </c>
      <c r="AN2601">
        <v>0</v>
      </c>
      <c r="AO2601">
        <v>0</v>
      </c>
      <c r="AP2601">
        <v>0</v>
      </c>
      <c r="AQ2601">
        <v>21.38</v>
      </c>
      <c r="AR2601">
        <v>0</v>
      </c>
      <c r="AS2601">
        <v>0</v>
      </c>
      <c r="AT2601">
        <v>0</v>
      </c>
      <c r="AU2601">
        <v>0</v>
      </c>
      <c r="AV2601">
        <v>0</v>
      </c>
      <c r="AW2601">
        <v>0</v>
      </c>
      <c r="AX2601">
        <v>0</v>
      </c>
      <c r="AY2601">
        <v>0</v>
      </c>
      <c r="AZ2601">
        <v>0</v>
      </c>
      <c r="BA2601">
        <v>0</v>
      </c>
      <c r="BB2601">
        <v>0</v>
      </c>
      <c r="BC2601">
        <v>0</v>
      </c>
      <c r="BD2601">
        <v>0</v>
      </c>
      <c r="BE2601">
        <v>0</v>
      </c>
      <c r="BF2601">
        <v>0</v>
      </c>
      <c r="BG2601">
        <v>0</v>
      </c>
      <c r="BH2601">
        <v>1</v>
      </c>
      <c r="BI2601">
        <v>1</v>
      </c>
      <c r="BJ2601">
        <v>0.2</v>
      </c>
      <c r="BK2601">
        <v>1</v>
      </c>
      <c r="BL2601">
        <v>69.98</v>
      </c>
      <c r="BM2601">
        <v>10.5</v>
      </c>
      <c r="BN2601">
        <v>80.48</v>
      </c>
      <c r="BO2601">
        <v>80.48</v>
      </c>
      <c r="BQ2601" t="s">
        <v>887</v>
      </c>
      <c r="BR2601" t="s">
        <v>84</v>
      </c>
      <c r="BS2601" s="3">
        <v>45799</v>
      </c>
      <c r="BT2601" s="4">
        <v>0.41736111111111113</v>
      </c>
      <c r="BU2601" t="s">
        <v>2799</v>
      </c>
      <c r="BV2601" t="s">
        <v>86</v>
      </c>
      <c r="BY2601">
        <v>1200</v>
      </c>
      <c r="CA2601" t="s">
        <v>2800</v>
      </c>
      <c r="CC2601" t="s">
        <v>137</v>
      </c>
      <c r="CD2601" s="5" t="s">
        <v>738</v>
      </c>
      <c r="CE2601" t="s">
        <v>88</v>
      </c>
      <c r="CF2601" s="3">
        <v>45799</v>
      </c>
      <c r="CI2601">
        <v>1</v>
      </c>
      <c r="CJ2601">
        <v>1</v>
      </c>
      <c r="CK2601">
        <v>21</v>
      </c>
      <c r="CL2601" t="s">
        <v>89</v>
      </c>
    </row>
    <row r="2602" spans="1:90" x14ac:dyDescent="0.3">
      <c r="A2602" t="s">
        <v>72</v>
      </c>
      <c r="B2602" t="s">
        <v>73</v>
      </c>
      <c r="C2602" t="s">
        <v>74</v>
      </c>
      <c r="E2602" t="str">
        <f>"080065490280"</f>
        <v>080065490280</v>
      </c>
      <c r="F2602" s="3">
        <v>45798</v>
      </c>
      <c r="G2602">
        <v>202602</v>
      </c>
      <c r="H2602" t="s">
        <v>75</v>
      </c>
      <c r="I2602" t="s">
        <v>76</v>
      </c>
      <c r="J2602" t="s">
        <v>77</v>
      </c>
      <c r="K2602" t="s">
        <v>78</v>
      </c>
      <c r="L2602" t="s">
        <v>97</v>
      </c>
      <c r="M2602" t="s">
        <v>98</v>
      </c>
      <c r="N2602" t="s">
        <v>284</v>
      </c>
      <c r="O2602" t="s">
        <v>82</v>
      </c>
      <c r="P2602" t="str">
        <f>"4170039895                    "</f>
        <v xml:space="preserve">4170039895                    </v>
      </c>
      <c r="Q2602">
        <v>0</v>
      </c>
      <c r="R2602">
        <v>0</v>
      </c>
      <c r="S2602">
        <v>0</v>
      </c>
      <c r="T2602">
        <v>0</v>
      </c>
      <c r="U2602">
        <v>0</v>
      </c>
      <c r="V2602">
        <v>0</v>
      </c>
      <c r="W2602">
        <v>0</v>
      </c>
      <c r="X2602">
        <v>0</v>
      </c>
      <c r="Y2602">
        <v>0</v>
      </c>
      <c r="Z2602">
        <v>0</v>
      </c>
      <c r="AA2602">
        <v>0</v>
      </c>
      <c r="AB2602">
        <v>0</v>
      </c>
      <c r="AC2602">
        <v>0</v>
      </c>
      <c r="AD2602">
        <v>0</v>
      </c>
      <c r="AE2602">
        <v>0</v>
      </c>
      <c r="AF2602">
        <v>0</v>
      </c>
      <c r="AG2602">
        <v>0</v>
      </c>
      <c r="AH2602">
        <v>0</v>
      </c>
      <c r="AI2602">
        <v>0</v>
      </c>
      <c r="AJ2602">
        <v>0</v>
      </c>
      <c r="AK2602">
        <v>0</v>
      </c>
      <c r="AL2602">
        <v>0</v>
      </c>
      <c r="AM2602">
        <v>0</v>
      </c>
      <c r="AN2602">
        <v>0</v>
      </c>
      <c r="AO2602">
        <v>0</v>
      </c>
      <c r="AP2602">
        <v>0</v>
      </c>
      <c r="AQ2602">
        <v>16.7</v>
      </c>
      <c r="AR2602">
        <v>0</v>
      </c>
      <c r="AS2602">
        <v>0</v>
      </c>
      <c r="AT2602">
        <v>0</v>
      </c>
      <c r="AU2602">
        <v>0</v>
      </c>
      <c r="AV2602">
        <v>0</v>
      </c>
      <c r="AW2602">
        <v>0</v>
      </c>
      <c r="AX2602">
        <v>0</v>
      </c>
      <c r="AY2602">
        <v>0</v>
      </c>
      <c r="AZ2602">
        <v>0</v>
      </c>
      <c r="BA2602">
        <v>0</v>
      </c>
      <c r="BB2602">
        <v>0</v>
      </c>
      <c r="BC2602">
        <v>0</v>
      </c>
      <c r="BD2602">
        <v>0</v>
      </c>
      <c r="BE2602">
        <v>0</v>
      </c>
      <c r="BF2602">
        <v>0</v>
      </c>
      <c r="BG2602">
        <v>0</v>
      </c>
      <c r="BH2602">
        <v>1</v>
      </c>
      <c r="BI2602">
        <v>1</v>
      </c>
      <c r="BJ2602">
        <v>0.2</v>
      </c>
      <c r="BK2602">
        <v>1</v>
      </c>
      <c r="BL2602">
        <v>54.66</v>
      </c>
      <c r="BM2602">
        <v>8.1999999999999993</v>
      </c>
      <c r="BN2602">
        <v>62.86</v>
      </c>
      <c r="BO2602">
        <v>62.86</v>
      </c>
      <c r="BQ2602" t="s">
        <v>285</v>
      </c>
      <c r="BR2602" t="s">
        <v>84</v>
      </c>
      <c r="BS2602" s="3">
        <v>45799</v>
      </c>
      <c r="BT2602" s="4">
        <v>0.41180555555555554</v>
      </c>
      <c r="BU2602" t="s">
        <v>286</v>
      </c>
      <c r="BV2602" t="s">
        <v>86</v>
      </c>
      <c r="BY2602">
        <v>1200</v>
      </c>
      <c r="CA2602" t="s">
        <v>279</v>
      </c>
      <c r="CC2602" t="s">
        <v>98</v>
      </c>
      <c r="CD2602">
        <v>1459</v>
      </c>
      <c r="CE2602" t="s">
        <v>88</v>
      </c>
      <c r="CF2602" s="3">
        <v>45799</v>
      </c>
      <c r="CI2602">
        <v>1</v>
      </c>
      <c r="CJ2602">
        <v>1</v>
      </c>
      <c r="CK2602">
        <v>22</v>
      </c>
      <c r="CL2602" t="s">
        <v>89</v>
      </c>
    </row>
    <row r="2603" spans="1:90" x14ac:dyDescent="0.3">
      <c r="A2603" t="s">
        <v>72</v>
      </c>
      <c r="B2603" t="s">
        <v>73</v>
      </c>
      <c r="C2603" t="s">
        <v>74</v>
      </c>
      <c r="E2603" t="str">
        <f>"080065490293"</f>
        <v>080065490293</v>
      </c>
      <c r="F2603" s="3">
        <v>45798</v>
      </c>
      <c r="G2603">
        <v>202602</v>
      </c>
      <c r="H2603" t="s">
        <v>75</v>
      </c>
      <c r="I2603" t="s">
        <v>76</v>
      </c>
      <c r="J2603" t="s">
        <v>77</v>
      </c>
      <c r="K2603" t="s">
        <v>78</v>
      </c>
      <c r="L2603" t="s">
        <v>123</v>
      </c>
      <c r="M2603" t="s">
        <v>123</v>
      </c>
      <c r="N2603" t="s">
        <v>317</v>
      </c>
      <c r="O2603" t="s">
        <v>82</v>
      </c>
      <c r="P2603" t="str">
        <f>"4170039840                    "</f>
        <v xml:space="preserve">4170039840                    </v>
      </c>
      <c r="Q2603">
        <v>0</v>
      </c>
      <c r="R2603">
        <v>0</v>
      </c>
      <c r="S2603">
        <v>0</v>
      </c>
      <c r="T2603">
        <v>0</v>
      </c>
      <c r="U2603">
        <v>0</v>
      </c>
      <c r="V2603">
        <v>0</v>
      </c>
      <c r="W2603">
        <v>0</v>
      </c>
      <c r="X2603">
        <v>0</v>
      </c>
      <c r="Y2603">
        <v>0</v>
      </c>
      <c r="Z2603">
        <v>0</v>
      </c>
      <c r="AA2603">
        <v>0</v>
      </c>
      <c r="AB2603">
        <v>0</v>
      </c>
      <c r="AC2603">
        <v>0</v>
      </c>
      <c r="AD2603">
        <v>0</v>
      </c>
      <c r="AE2603">
        <v>0</v>
      </c>
      <c r="AF2603">
        <v>0</v>
      </c>
      <c r="AG2603">
        <v>0</v>
      </c>
      <c r="AH2603">
        <v>0</v>
      </c>
      <c r="AI2603">
        <v>0</v>
      </c>
      <c r="AJ2603">
        <v>0</v>
      </c>
      <c r="AK2603">
        <v>0</v>
      </c>
      <c r="AL2603">
        <v>0</v>
      </c>
      <c r="AM2603">
        <v>0</v>
      </c>
      <c r="AN2603">
        <v>0</v>
      </c>
      <c r="AO2603">
        <v>0</v>
      </c>
      <c r="AP2603">
        <v>0</v>
      </c>
      <c r="AQ2603">
        <v>41.43</v>
      </c>
      <c r="AR2603">
        <v>0</v>
      </c>
      <c r="AS2603">
        <v>0</v>
      </c>
      <c r="AT2603">
        <v>0</v>
      </c>
      <c r="AU2603">
        <v>0</v>
      </c>
      <c r="AV2603">
        <v>0</v>
      </c>
      <c r="AW2603">
        <v>0</v>
      </c>
      <c r="AX2603">
        <v>0</v>
      </c>
      <c r="AY2603">
        <v>0</v>
      </c>
      <c r="AZ2603">
        <v>0</v>
      </c>
      <c r="BA2603">
        <v>0</v>
      </c>
      <c r="BB2603">
        <v>0</v>
      </c>
      <c r="BC2603">
        <v>0</v>
      </c>
      <c r="BD2603">
        <v>0</v>
      </c>
      <c r="BE2603">
        <v>0</v>
      </c>
      <c r="BF2603">
        <v>0</v>
      </c>
      <c r="BG2603">
        <v>0</v>
      </c>
      <c r="BH2603">
        <v>1</v>
      </c>
      <c r="BI2603">
        <v>1</v>
      </c>
      <c r="BJ2603">
        <v>0.2</v>
      </c>
      <c r="BK2603">
        <v>1</v>
      </c>
      <c r="BL2603">
        <v>135.59</v>
      </c>
      <c r="BM2603">
        <v>20.34</v>
      </c>
      <c r="BN2603">
        <v>155.93</v>
      </c>
      <c r="BO2603">
        <v>155.93</v>
      </c>
      <c r="BQ2603" t="s">
        <v>318</v>
      </c>
      <c r="BR2603" t="s">
        <v>84</v>
      </c>
      <c r="BS2603" s="3">
        <v>45799</v>
      </c>
      <c r="BT2603" s="4">
        <v>0.5083333333333333</v>
      </c>
      <c r="BU2603" t="s">
        <v>329</v>
      </c>
      <c r="BV2603" t="s">
        <v>86</v>
      </c>
      <c r="BY2603">
        <v>1200</v>
      </c>
      <c r="CA2603" t="s">
        <v>128</v>
      </c>
      <c r="CC2603" t="s">
        <v>123</v>
      </c>
      <c r="CD2603">
        <v>7646</v>
      </c>
      <c r="CE2603" t="s">
        <v>88</v>
      </c>
      <c r="CF2603" s="3">
        <v>45800</v>
      </c>
      <c r="CI2603">
        <v>1</v>
      </c>
      <c r="CJ2603">
        <v>1</v>
      </c>
      <c r="CK2603">
        <v>23</v>
      </c>
      <c r="CL2603" t="s">
        <v>89</v>
      </c>
    </row>
    <row r="2604" spans="1:90" x14ac:dyDescent="0.3">
      <c r="A2604" t="s">
        <v>72</v>
      </c>
      <c r="B2604" t="s">
        <v>73</v>
      </c>
      <c r="C2604" t="s">
        <v>74</v>
      </c>
      <c r="E2604" t="str">
        <f>"080065490305"</f>
        <v>080065490305</v>
      </c>
      <c r="F2604" s="3">
        <v>45798</v>
      </c>
      <c r="G2604">
        <v>202602</v>
      </c>
      <c r="H2604" t="s">
        <v>75</v>
      </c>
      <c r="I2604" t="s">
        <v>76</v>
      </c>
      <c r="J2604" t="s">
        <v>77</v>
      </c>
      <c r="K2604" t="s">
        <v>78</v>
      </c>
      <c r="L2604" t="s">
        <v>136</v>
      </c>
      <c r="M2604" t="s">
        <v>137</v>
      </c>
      <c r="N2604" t="s">
        <v>192</v>
      </c>
      <c r="O2604" t="s">
        <v>82</v>
      </c>
      <c r="P2604" t="str">
        <f>"4170039886                    "</f>
        <v xml:space="preserve">4170039886                    </v>
      </c>
      <c r="Q2604">
        <v>0</v>
      </c>
      <c r="R2604">
        <v>0</v>
      </c>
      <c r="S2604">
        <v>0</v>
      </c>
      <c r="T2604">
        <v>0</v>
      </c>
      <c r="U2604">
        <v>0</v>
      </c>
      <c r="V2604">
        <v>0</v>
      </c>
      <c r="W2604">
        <v>0</v>
      </c>
      <c r="X2604">
        <v>0</v>
      </c>
      <c r="Y2604">
        <v>0</v>
      </c>
      <c r="Z2604">
        <v>0</v>
      </c>
      <c r="AA2604">
        <v>0</v>
      </c>
      <c r="AB2604">
        <v>0</v>
      </c>
      <c r="AC2604">
        <v>0</v>
      </c>
      <c r="AD2604">
        <v>0</v>
      </c>
      <c r="AE2604">
        <v>0</v>
      </c>
      <c r="AF2604">
        <v>0</v>
      </c>
      <c r="AG2604">
        <v>0</v>
      </c>
      <c r="AH2604">
        <v>0</v>
      </c>
      <c r="AI2604">
        <v>0</v>
      </c>
      <c r="AJ2604">
        <v>0</v>
      </c>
      <c r="AK2604">
        <v>0</v>
      </c>
      <c r="AL2604">
        <v>0</v>
      </c>
      <c r="AM2604">
        <v>0</v>
      </c>
      <c r="AN2604">
        <v>0</v>
      </c>
      <c r="AO2604">
        <v>0</v>
      </c>
      <c r="AP2604">
        <v>0</v>
      </c>
      <c r="AQ2604">
        <v>21.38</v>
      </c>
      <c r="AR2604">
        <v>0</v>
      </c>
      <c r="AS2604">
        <v>0</v>
      </c>
      <c r="AT2604">
        <v>0</v>
      </c>
      <c r="AU2604">
        <v>0</v>
      </c>
      <c r="AV2604">
        <v>0</v>
      </c>
      <c r="AW2604">
        <v>0</v>
      </c>
      <c r="AX2604">
        <v>0</v>
      </c>
      <c r="AY2604">
        <v>0</v>
      </c>
      <c r="AZ2604">
        <v>0</v>
      </c>
      <c r="BA2604">
        <v>0</v>
      </c>
      <c r="BB2604">
        <v>0</v>
      </c>
      <c r="BC2604">
        <v>0</v>
      </c>
      <c r="BD2604">
        <v>0</v>
      </c>
      <c r="BE2604">
        <v>0</v>
      </c>
      <c r="BF2604">
        <v>0</v>
      </c>
      <c r="BG2604">
        <v>0</v>
      </c>
      <c r="BH2604">
        <v>1</v>
      </c>
      <c r="BI2604">
        <v>1</v>
      </c>
      <c r="BJ2604">
        <v>0.2</v>
      </c>
      <c r="BK2604">
        <v>1</v>
      </c>
      <c r="BL2604">
        <v>69.98</v>
      </c>
      <c r="BM2604">
        <v>10.5</v>
      </c>
      <c r="BN2604">
        <v>80.48</v>
      </c>
      <c r="BO2604">
        <v>80.48</v>
      </c>
      <c r="BQ2604" t="s">
        <v>193</v>
      </c>
      <c r="BR2604" t="s">
        <v>84</v>
      </c>
      <c r="BS2604" s="3">
        <v>45799</v>
      </c>
      <c r="BT2604" s="4">
        <v>0.40763888888888888</v>
      </c>
      <c r="BU2604" t="s">
        <v>1008</v>
      </c>
      <c r="BV2604" t="s">
        <v>86</v>
      </c>
      <c r="BY2604">
        <v>1200</v>
      </c>
      <c r="CA2604" t="s">
        <v>1606</v>
      </c>
      <c r="CC2604" t="s">
        <v>137</v>
      </c>
      <c r="CD2604" s="5" t="s">
        <v>196</v>
      </c>
      <c r="CE2604" t="s">
        <v>88</v>
      </c>
      <c r="CF2604" s="3">
        <v>45799</v>
      </c>
      <c r="CI2604">
        <v>1</v>
      </c>
      <c r="CJ2604">
        <v>1</v>
      </c>
      <c r="CK2604">
        <v>21</v>
      </c>
      <c r="CL2604" t="s">
        <v>89</v>
      </c>
    </row>
    <row r="2605" spans="1:90" x14ac:dyDescent="0.3">
      <c r="A2605" t="s">
        <v>72</v>
      </c>
      <c r="B2605" t="s">
        <v>73</v>
      </c>
      <c r="C2605" t="s">
        <v>74</v>
      </c>
      <c r="E2605" t="str">
        <f>"080065490318"</f>
        <v>080065490318</v>
      </c>
      <c r="F2605" s="3">
        <v>45798</v>
      </c>
      <c r="G2605">
        <v>202602</v>
      </c>
      <c r="H2605" t="s">
        <v>75</v>
      </c>
      <c r="I2605" t="s">
        <v>76</v>
      </c>
      <c r="J2605" t="s">
        <v>77</v>
      </c>
      <c r="K2605" t="s">
        <v>78</v>
      </c>
      <c r="L2605" t="s">
        <v>320</v>
      </c>
      <c r="M2605" t="s">
        <v>321</v>
      </c>
      <c r="N2605" t="s">
        <v>499</v>
      </c>
      <c r="O2605" t="s">
        <v>82</v>
      </c>
      <c r="P2605" t="str">
        <f>"4170039841                    "</f>
        <v xml:space="preserve">4170039841                    </v>
      </c>
      <c r="Q2605">
        <v>0</v>
      </c>
      <c r="R2605">
        <v>0</v>
      </c>
      <c r="S2605">
        <v>0</v>
      </c>
      <c r="T2605">
        <v>0</v>
      </c>
      <c r="U2605">
        <v>0</v>
      </c>
      <c r="V2605">
        <v>0</v>
      </c>
      <c r="W2605">
        <v>0</v>
      </c>
      <c r="X2605">
        <v>0</v>
      </c>
      <c r="Y2605">
        <v>0</v>
      </c>
      <c r="Z2605">
        <v>0</v>
      </c>
      <c r="AA2605">
        <v>0</v>
      </c>
      <c r="AB2605">
        <v>0</v>
      </c>
      <c r="AC2605">
        <v>0</v>
      </c>
      <c r="AD2605">
        <v>0</v>
      </c>
      <c r="AE2605">
        <v>0</v>
      </c>
      <c r="AF2605">
        <v>0</v>
      </c>
      <c r="AG2605">
        <v>0</v>
      </c>
      <c r="AH2605">
        <v>0</v>
      </c>
      <c r="AI2605">
        <v>0</v>
      </c>
      <c r="AJ2605">
        <v>0</v>
      </c>
      <c r="AK2605">
        <v>0</v>
      </c>
      <c r="AL2605">
        <v>0</v>
      </c>
      <c r="AM2605">
        <v>0</v>
      </c>
      <c r="AN2605">
        <v>0</v>
      </c>
      <c r="AO2605">
        <v>0</v>
      </c>
      <c r="AP2605">
        <v>0</v>
      </c>
      <c r="AQ2605">
        <v>21.38</v>
      </c>
      <c r="AR2605">
        <v>0</v>
      </c>
      <c r="AS2605">
        <v>0</v>
      </c>
      <c r="AT2605">
        <v>0</v>
      </c>
      <c r="AU2605">
        <v>0</v>
      </c>
      <c r="AV2605">
        <v>0</v>
      </c>
      <c r="AW2605">
        <v>0</v>
      </c>
      <c r="AX2605">
        <v>0</v>
      </c>
      <c r="AY2605">
        <v>0</v>
      </c>
      <c r="AZ2605">
        <v>0</v>
      </c>
      <c r="BA2605">
        <v>0</v>
      </c>
      <c r="BB2605">
        <v>0</v>
      </c>
      <c r="BC2605">
        <v>0</v>
      </c>
      <c r="BD2605">
        <v>0</v>
      </c>
      <c r="BE2605">
        <v>0</v>
      </c>
      <c r="BF2605">
        <v>0</v>
      </c>
      <c r="BG2605">
        <v>0</v>
      </c>
      <c r="BH2605">
        <v>1</v>
      </c>
      <c r="BI2605">
        <v>1</v>
      </c>
      <c r="BJ2605">
        <v>0.2</v>
      </c>
      <c r="BK2605">
        <v>1</v>
      </c>
      <c r="BL2605">
        <v>69.98</v>
      </c>
      <c r="BM2605">
        <v>10.5</v>
      </c>
      <c r="BN2605">
        <v>80.48</v>
      </c>
      <c r="BO2605">
        <v>80.48</v>
      </c>
      <c r="BQ2605" t="s">
        <v>500</v>
      </c>
      <c r="BR2605" t="s">
        <v>84</v>
      </c>
      <c r="BS2605" s="3">
        <v>45799</v>
      </c>
      <c r="BT2605" s="4">
        <v>0.50902777777777775</v>
      </c>
      <c r="BU2605" t="s">
        <v>623</v>
      </c>
      <c r="BV2605" t="s">
        <v>89</v>
      </c>
      <c r="BW2605" t="s">
        <v>434</v>
      </c>
      <c r="BX2605" t="s">
        <v>435</v>
      </c>
      <c r="BY2605">
        <v>1200</v>
      </c>
      <c r="CA2605" t="s">
        <v>326</v>
      </c>
      <c r="CC2605" t="s">
        <v>321</v>
      </c>
      <c r="CD2605">
        <v>4133</v>
      </c>
      <c r="CE2605" t="s">
        <v>88</v>
      </c>
      <c r="CF2605" s="3">
        <v>45800</v>
      </c>
      <c r="CI2605">
        <v>1</v>
      </c>
      <c r="CJ2605">
        <v>1</v>
      </c>
      <c r="CK2605">
        <v>21</v>
      </c>
      <c r="CL2605" t="s">
        <v>89</v>
      </c>
    </row>
    <row r="2606" spans="1:90" x14ac:dyDescent="0.3">
      <c r="A2606" t="s">
        <v>72</v>
      </c>
      <c r="B2606" t="s">
        <v>73</v>
      </c>
      <c r="C2606" t="s">
        <v>74</v>
      </c>
      <c r="E2606" t="str">
        <f>"080065490329"</f>
        <v>080065490329</v>
      </c>
      <c r="F2606" s="3">
        <v>45798</v>
      </c>
      <c r="G2606">
        <v>202602</v>
      </c>
      <c r="H2606" t="s">
        <v>75</v>
      </c>
      <c r="I2606" t="s">
        <v>76</v>
      </c>
      <c r="J2606" t="s">
        <v>77</v>
      </c>
      <c r="K2606" t="s">
        <v>78</v>
      </c>
      <c r="L2606" t="s">
        <v>117</v>
      </c>
      <c r="M2606" t="s">
        <v>118</v>
      </c>
      <c r="N2606" t="s">
        <v>1052</v>
      </c>
      <c r="O2606" t="s">
        <v>82</v>
      </c>
      <c r="P2606" t="str">
        <f>"4170039837                    "</f>
        <v xml:space="preserve">4170039837                    </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c r="AI2606">
        <v>0</v>
      </c>
      <c r="AJ2606">
        <v>0</v>
      </c>
      <c r="AK2606">
        <v>0</v>
      </c>
      <c r="AL2606">
        <v>0</v>
      </c>
      <c r="AM2606">
        <v>0</v>
      </c>
      <c r="AN2606">
        <v>0</v>
      </c>
      <c r="AO2606">
        <v>0</v>
      </c>
      <c r="AP2606">
        <v>0</v>
      </c>
      <c r="AQ2606">
        <v>16.7</v>
      </c>
      <c r="AR2606">
        <v>0</v>
      </c>
      <c r="AS2606">
        <v>0</v>
      </c>
      <c r="AT2606">
        <v>0</v>
      </c>
      <c r="AU2606">
        <v>0</v>
      </c>
      <c r="AV2606">
        <v>0</v>
      </c>
      <c r="AW2606">
        <v>0</v>
      </c>
      <c r="AX2606">
        <v>0</v>
      </c>
      <c r="AY2606">
        <v>0</v>
      </c>
      <c r="AZ2606">
        <v>0</v>
      </c>
      <c r="BA2606">
        <v>0</v>
      </c>
      <c r="BB2606">
        <v>0</v>
      </c>
      <c r="BC2606">
        <v>0</v>
      </c>
      <c r="BD2606">
        <v>0</v>
      </c>
      <c r="BE2606">
        <v>0</v>
      </c>
      <c r="BF2606">
        <v>0</v>
      </c>
      <c r="BG2606">
        <v>0</v>
      </c>
      <c r="BH2606">
        <v>1</v>
      </c>
      <c r="BI2606">
        <v>1</v>
      </c>
      <c r="BJ2606">
        <v>0.2</v>
      </c>
      <c r="BK2606">
        <v>1</v>
      </c>
      <c r="BL2606">
        <v>54.66</v>
      </c>
      <c r="BM2606">
        <v>8.1999999999999993</v>
      </c>
      <c r="BN2606">
        <v>62.86</v>
      </c>
      <c r="BO2606">
        <v>62.86</v>
      </c>
      <c r="BQ2606" t="s">
        <v>1053</v>
      </c>
      <c r="BR2606" t="s">
        <v>84</v>
      </c>
      <c r="BS2606" s="3">
        <v>45799</v>
      </c>
      <c r="BT2606" s="4">
        <v>0.40208333333333335</v>
      </c>
      <c r="BU2606" t="s">
        <v>1934</v>
      </c>
      <c r="BV2606" t="s">
        <v>86</v>
      </c>
      <c r="BY2606">
        <v>1200</v>
      </c>
      <c r="CA2606" t="s">
        <v>275</v>
      </c>
      <c r="CC2606" t="s">
        <v>118</v>
      </c>
      <c r="CD2606">
        <v>2001</v>
      </c>
      <c r="CE2606" t="s">
        <v>88</v>
      </c>
      <c r="CF2606" s="3">
        <v>45799</v>
      </c>
      <c r="CI2606">
        <v>1</v>
      </c>
      <c r="CJ2606">
        <v>1</v>
      </c>
      <c r="CK2606">
        <v>22</v>
      </c>
      <c r="CL2606" t="s">
        <v>89</v>
      </c>
    </row>
    <row r="2607" spans="1:90" x14ac:dyDescent="0.3">
      <c r="A2607" t="s">
        <v>72</v>
      </c>
      <c r="B2607" t="s">
        <v>73</v>
      </c>
      <c r="C2607" t="s">
        <v>74</v>
      </c>
      <c r="E2607" t="str">
        <f>"080065490350"</f>
        <v>080065490350</v>
      </c>
      <c r="F2607" s="3">
        <v>45798</v>
      </c>
      <c r="G2607">
        <v>202602</v>
      </c>
      <c r="H2607" t="s">
        <v>75</v>
      </c>
      <c r="I2607" t="s">
        <v>76</v>
      </c>
      <c r="J2607" t="s">
        <v>77</v>
      </c>
      <c r="K2607" t="s">
        <v>78</v>
      </c>
      <c r="L2607" t="s">
        <v>130</v>
      </c>
      <c r="M2607" t="s">
        <v>131</v>
      </c>
      <c r="N2607" t="s">
        <v>327</v>
      </c>
      <c r="O2607" t="s">
        <v>82</v>
      </c>
      <c r="P2607" t="str">
        <f>"4170039773                    "</f>
        <v xml:space="preserve">4170039773                    </v>
      </c>
      <c r="Q2607">
        <v>0</v>
      </c>
      <c r="R2607">
        <v>0</v>
      </c>
      <c r="S2607">
        <v>0</v>
      </c>
      <c r="T2607">
        <v>0</v>
      </c>
      <c r="U2607">
        <v>0</v>
      </c>
      <c r="V2607">
        <v>0</v>
      </c>
      <c r="W2607">
        <v>0</v>
      </c>
      <c r="X2607">
        <v>0</v>
      </c>
      <c r="Y2607">
        <v>0</v>
      </c>
      <c r="Z2607">
        <v>0</v>
      </c>
      <c r="AA2607">
        <v>0</v>
      </c>
      <c r="AB2607">
        <v>0</v>
      </c>
      <c r="AC2607">
        <v>0</v>
      </c>
      <c r="AD2607">
        <v>0</v>
      </c>
      <c r="AE2607">
        <v>0</v>
      </c>
      <c r="AF2607">
        <v>0</v>
      </c>
      <c r="AG2607">
        <v>0</v>
      </c>
      <c r="AH2607">
        <v>0</v>
      </c>
      <c r="AI2607">
        <v>0</v>
      </c>
      <c r="AJ2607">
        <v>0</v>
      </c>
      <c r="AK2607">
        <v>0</v>
      </c>
      <c r="AL2607">
        <v>0</v>
      </c>
      <c r="AM2607">
        <v>0</v>
      </c>
      <c r="AN2607">
        <v>0</v>
      </c>
      <c r="AO2607">
        <v>0</v>
      </c>
      <c r="AP2607">
        <v>0</v>
      </c>
      <c r="AQ2607">
        <v>21.38</v>
      </c>
      <c r="AR2607">
        <v>0</v>
      </c>
      <c r="AS2607">
        <v>0</v>
      </c>
      <c r="AT2607">
        <v>0</v>
      </c>
      <c r="AU2607">
        <v>0</v>
      </c>
      <c r="AV2607">
        <v>0</v>
      </c>
      <c r="AW2607">
        <v>0</v>
      </c>
      <c r="AX2607">
        <v>0</v>
      </c>
      <c r="AY2607">
        <v>0</v>
      </c>
      <c r="AZ2607">
        <v>0</v>
      </c>
      <c r="BA2607">
        <v>0</v>
      </c>
      <c r="BB2607">
        <v>0</v>
      </c>
      <c r="BC2607">
        <v>0</v>
      </c>
      <c r="BD2607">
        <v>0</v>
      </c>
      <c r="BE2607">
        <v>0</v>
      </c>
      <c r="BF2607">
        <v>0</v>
      </c>
      <c r="BG2607">
        <v>0</v>
      </c>
      <c r="BH2607">
        <v>1</v>
      </c>
      <c r="BI2607">
        <v>2</v>
      </c>
      <c r="BJ2607">
        <v>0.6</v>
      </c>
      <c r="BK2607">
        <v>2</v>
      </c>
      <c r="BL2607">
        <v>69.98</v>
      </c>
      <c r="BM2607">
        <v>10.5</v>
      </c>
      <c r="BN2607">
        <v>80.48</v>
      </c>
      <c r="BO2607">
        <v>80.48</v>
      </c>
      <c r="BQ2607" t="s">
        <v>328</v>
      </c>
      <c r="BR2607" t="s">
        <v>84</v>
      </c>
      <c r="BS2607" s="3">
        <v>45799</v>
      </c>
      <c r="BT2607" s="4">
        <v>0.36319444444444443</v>
      </c>
      <c r="BU2607" t="s">
        <v>2465</v>
      </c>
      <c r="BV2607" t="s">
        <v>86</v>
      </c>
      <c r="BY2607">
        <v>3192</v>
      </c>
      <c r="CA2607" t="s">
        <v>330</v>
      </c>
      <c r="CC2607" t="s">
        <v>131</v>
      </c>
      <c r="CD2607">
        <v>7480</v>
      </c>
      <c r="CE2607" t="s">
        <v>116</v>
      </c>
      <c r="CF2607" s="3">
        <v>45800</v>
      </c>
      <c r="CI2607">
        <v>1</v>
      </c>
      <c r="CJ2607">
        <v>1</v>
      </c>
      <c r="CK2607">
        <v>21</v>
      </c>
      <c r="CL2607" t="s">
        <v>89</v>
      </c>
    </row>
    <row r="2608" spans="1:90" x14ac:dyDescent="0.3">
      <c r="A2608" t="s">
        <v>72</v>
      </c>
      <c r="B2608" t="s">
        <v>73</v>
      </c>
      <c r="C2608" t="s">
        <v>74</v>
      </c>
      <c r="E2608" t="str">
        <f>"080065490382"</f>
        <v>080065490382</v>
      </c>
      <c r="F2608" s="3">
        <v>45798</v>
      </c>
      <c r="G2608">
        <v>202602</v>
      </c>
      <c r="H2608" t="s">
        <v>75</v>
      </c>
      <c r="I2608" t="s">
        <v>76</v>
      </c>
      <c r="J2608" t="s">
        <v>77</v>
      </c>
      <c r="K2608" t="s">
        <v>78</v>
      </c>
      <c r="L2608" t="s">
        <v>648</v>
      </c>
      <c r="M2608" t="s">
        <v>649</v>
      </c>
      <c r="N2608" t="s">
        <v>650</v>
      </c>
      <c r="O2608" t="s">
        <v>82</v>
      </c>
      <c r="P2608" t="str">
        <f>"4170039897                    "</f>
        <v xml:space="preserve">4170039897                    </v>
      </c>
      <c r="Q2608">
        <v>0</v>
      </c>
      <c r="R2608">
        <v>0</v>
      </c>
      <c r="S2608">
        <v>0</v>
      </c>
      <c r="T2608">
        <v>0</v>
      </c>
      <c r="U2608">
        <v>0</v>
      </c>
      <c r="V2608">
        <v>0</v>
      </c>
      <c r="W2608">
        <v>0</v>
      </c>
      <c r="X2608">
        <v>0</v>
      </c>
      <c r="Y2608">
        <v>0</v>
      </c>
      <c r="Z2608">
        <v>0</v>
      </c>
      <c r="AA2608">
        <v>0</v>
      </c>
      <c r="AB2608">
        <v>0</v>
      </c>
      <c r="AC2608">
        <v>0</v>
      </c>
      <c r="AD2608">
        <v>0</v>
      </c>
      <c r="AE2608">
        <v>0</v>
      </c>
      <c r="AF2608">
        <v>0</v>
      </c>
      <c r="AG2608">
        <v>0</v>
      </c>
      <c r="AH2608">
        <v>0</v>
      </c>
      <c r="AI2608">
        <v>0</v>
      </c>
      <c r="AJ2608">
        <v>0</v>
      </c>
      <c r="AK2608">
        <v>0</v>
      </c>
      <c r="AL2608">
        <v>0</v>
      </c>
      <c r="AM2608">
        <v>0</v>
      </c>
      <c r="AN2608">
        <v>0</v>
      </c>
      <c r="AO2608">
        <v>0</v>
      </c>
      <c r="AP2608">
        <v>0</v>
      </c>
      <c r="AQ2608">
        <v>16.7</v>
      </c>
      <c r="AR2608">
        <v>0</v>
      </c>
      <c r="AS2608">
        <v>0</v>
      </c>
      <c r="AT2608">
        <v>0</v>
      </c>
      <c r="AU2608">
        <v>0</v>
      </c>
      <c r="AV2608">
        <v>0</v>
      </c>
      <c r="AW2608">
        <v>0</v>
      </c>
      <c r="AX2608">
        <v>0</v>
      </c>
      <c r="AY2608">
        <v>0</v>
      </c>
      <c r="AZ2608">
        <v>0</v>
      </c>
      <c r="BA2608">
        <v>0</v>
      </c>
      <c r="BB2608">
        <v>0</v>
      </c>
      <c r="BC2608">
        <v>0</v>
      </c>
      <c r="BD2608">
        <v>0</v>
      </c>
      <c r="BE2608">
        <v>0</v>
      </c>
      <c r="BF2608">
        <v>0</v>
      </c>
      <c r="BG2608">
        <v>0</v>
      </c>
      <c r="BH2608">
        <v>1</v>
      </c>
      <c r="BI2608">
        <v>2</v>
      </c>
      <c r="BJ2608">
        <v>3.4</v>
      </c>
      <c r="BK2608">
        <v>4</v>
      </c>
      <c r="BL2608">
        <v>54.66</v>
      </c>
      <c r="BM2608">
        <v>8.1999999999999993</v>
      </c>
      <c r="BN2608">
        <v>62.86</v>
      </c>
      <c r="BO2608">
        <v>62.86</v>
      </c>
      <c r="BQ2608" t="s">
        <v>651</v>
      </c>
      <c r="BR2608" t="s">
        <v>84</v>
      </c>
      <c r="BS2608" s="3">
        <v>45799</v>
      </c>
      <c r="BT2608" s="4">
        <v>0.31944444444444442</v>
      </c>
      <c r="BU2608" t="s">
        <v>2801</v>
      </c>
      <c r="BV2608" t="s">
        <v>86</v>
      </c>
      <c r="BY2608">
        <v>16965</v>
      </c>
      <c r="CA2608" t="s">
        <v>2407</v>
      </c>
      <c r="CC2608" t="s">
        <v>649</v>
      </c>
      <c r="CD2608">
        <v>1559</v>
      </c>
      <c r="CE2608" t="s">
        <v>96</v>
      </c>
      <c r="CF2608" s="3">
        <v>45799</v>
      </c>
      <c r="CI2608">
        <v>1</v>
      </c>
      <c r="CJ2608">
        <v>1</v>
      </c>
      <c r="CK2608">
        <v>22</v>
      </c>
      <c r="CL2608" t="s">
        <v>89</v>
      </c>
    </row>
    <row r="2609" spans="1:90" x14ac:dyDescent="0.3">
      <c r="A2609" t="s">
        <v>72</v>
      </c>
      <c r="B2609" t="s">
        <v>73</v>
      </c>
      <c r="C2609" t="s">
        <v>74</v>
      </c>
      <c r="E2609" t="str">
        <f>"080065490391"</f>
        <v>080065490391</v>
      </c>
      <c r="F2609" s="3">
        <v>45798</v>
      </c>
      <c r="G2609">
        <v>202602</v>
      </c>
      <c r="H2609" t="s">
        <v>75</v>
      </c>
      <c r="I2609" t="s">
        <v>76</v>
      </c>
      <c r="J2609" t="s">
        <v>77</v>
      </c>
      <c r="K2609" t="s">
        <v>78</v>
      </c>
      <c r="L2609" t="s">
        <v>75</v>
      </c>
      <c r="M2609" t="s">
        <v>76</v>
      </c>
      <c r="N2609" t="s">
        <v>850</v>
      </c>
      <c r="O2609" t="s">
        <v>82</v>
      </c>
      <c r="P2609" t="str">
        <f>"4170039784                    "</f>
        <v xml:space="preserve">4170039784                    </v>
      </c>
      <c r="Q2609">
        <v>0</v>
      </c>
      <c r="R2609">
        <v>0</v>
      </c>
      <c r="S2609">
        <v>0</v>
      </c>
      <c r="T2609">
        <v>0</v>
      </c>
      <c r="U2609">
        <v>0</v>
      </c>
      <c r="V2609">
        <v>0</v>
      </c>
      <c r="W2609">
        <v>0</v>
      </c>
      <c r="X2609">
        <v>0</v>
      </c>
      <c r="Y2609">
        <v>0</v>
      </c>
      <c r="Z2609">
        <v>0</v>
      </c>
      <c r="AA2609">
        <v>0</v>
      </c>
      <c r="AB2609">
        <v>0</v>
      </c>
      <c r="AC2609">
        <v>0</v>
      </c>
      <c r="AD2609">
        <v>0</v>
      </c>
      <c r="AE2609">
        <v>0</v>
      </c>
      <c r="AF2609">
        <v>0</v>
      </c>
      <c r="AG2609">
        <v>0</v>
      </c>
      <c r="AH2609">
        <v>0</v>
      </c>
      <c r="AI2609">
        <v>0</v>
      </c>
      <c r="AJ2609">
        <v>0</v>
      </c>
      <c r="AK2609">
        <v>0</v>
      </c>
      <c r="AL2609">
        <v>0</v>
      </c>
      <c r="AM2609">
        <v>0</v>
      </c>
      <c r="AN2609">
        <v>0</v>
      </c>
      <c r="AO2609">
        <v>0</v>
      </c>
      <c r="AP2609">
        <v>0</v>
      </c>
      <c r="AQ2609">
        <v>16.7</v>
      </c>
      <c r="AR2609">
        <v>0</v>
      </c>
      <c r="AS2609">
        <v>0</v>
      </c>
      <c r="AT2609">
        <v>0</v>
      </c>
      <c r="AU2609">
        <v>0</v>
      </c>
      <c r="AV2609">
        <v>0</v>
      </c>
      <c r="AW2609">
        <v>0</v>
      </c>
      <c r="AX2609">
        <v>0</v>
      </c>
      <c r="AY2609">
        <v>0</v>
      </c>
      <c r="AZ2609">
        <v>0</v>
      </c>
      <c r="BA2609">
        <v>0</v>
      </c>
      <c r="BB2609">
        <v>0</v>
      </c>
      <c r="BC2609">
        <v>0</v>
      </c>
      <c r="BD2609">
        <v>0</v>
      </c>
      <c r="BE2609">
        <v>0</v>
      </c>
      <c r="BF2609">
        <v>0</v>
      </c>
      <c r="BG2609">
        <v>0</v>
      </c>
      <c r="BH2609">
        <v>1</v>
      </c>
      <c r="BI2609">
        <v>1</v>
      </c>
      <c r="BJ2609">
        <v>0.2</v>
      </c>
      <c r="BK2609">
        <v>1</v>
      </c>
      <c r="BL2609">
        <v>54.66</v>
      </c>
      <c r="BM2609">
        <v>8.1999999999999993</v>
      </c>
      <c r="BN2609">
        <v>62.86</v>
      </c>
      <c r="BO2609">
        <v>62.86</v>
      </c>
      <c r="BQ2609" t="s">
        <v>851</v>
      </c>
      <c r="BR2609" t="s">
        <v>84</v>
      </c>
      <c r="BS2609" s="3">
        <v>45799</v>
      </c>
      <c r="BT2609" s="4">
        <v>0.38194444444444442</v>
      </c>
      <c r="BU2609" t="s">
        <v>2802</v>
      </c>
      <c r="BV2609" t="s">
        <v>86</v>
      </c>
      <c r="BY2609">
        <v>1200</v>
      </c>
      <c r="CA2609" t="s">
        <v>853</v>
      </c>
      <c r="CC2609" t="s">
        <v>76</v>
      </c>
      <c r="CD2609">
        <v>1666</v>
      </c>
      <c r="CE2609" t="s">
        <v>88</v>
      </c>
      <c r="CF2609" s="3">
        <v>45800</v>
      </c>
      <c r="CI2609">
        <v>1</v>
      </c>
      <c r="CJ2609">
        <v>1</v>
      </c>
      <c r="CK2609">
        <v>22</v>
      </c>
      <c r="CL2609" t="s">
        <v>89</v>
      </c>
    </row>
    <row r="2610" spans="1:90" x14ac:dyDescent="0.3">
      <c r="A2610" t="s">
        <v>72</v>
      </c>
      <c r="B2610" t="s">
        <v>73</v>
      </c>
      <c r="C2610" t="s">
        <v>74</v>
      </c>
      <c r="E2610" t="str">
        <f>"080065490397"</f>
        <v>080065490397</v>
      </c>
      <c r="F2610" s="3">
        <v>45798</v>
      </c>
      <c r="G2610">
        <v>202602</v>
      </c>
      <c r="H2610" t="s">
        <v>75</v>
      </c>
      <c r="I2610" t="s">
        <v>76</v>
      </c>
      <c r="J2610" t="s">
        <v>77</v>
      </c>
      <c r="K2610" t="s">
        <v>78</v>
      </c>
      <c r="L2610" t="s">
        <v>502</v>
      </c>
      <c r="M2610" t="s">
        <v>503</v>
      </c>
      <c r="N2610" t="s">
        <v>2803</v>
      </c>
      <c r="O2610" t="s">
        <v>82</v>
      </c>
      <c r="P2610" t="str">
        <f>"4170039816                    "</f>
        <v xml:space="preserve">4170039816                    </v>
      </c>
      <c r="Q2610">
        <v>0</v>
      </c>
      <c r="R2610">
        <v>0</v>
      </c>
      <c r="S2610">
        <v>0</v>
      </c>
      <c r="T2610">
        <v>0</v>
      </c>
      <c r="U2610">
        <v>0</v>
      </c>
      <c r="V2610">
        <v>0</v>
      </c>
      <c r="W2610">
        <v>0</v>
      </c>
      <c r="X2610">
        <v>0</v>
      </c>
      <c r="Y2610">
        <v>0</v>
      </c>
      <c r="Z2610">
        <v>0</v>
      </c>
      <c r="AA2610">
        <v>0</v>
      </c>
      <c r="AB2610">
        <v>0</v>
      </c>
      <c r="AC2610">
        <v>0</v>
      </c>
      <c r="AD2610">
        <v>0</v>
      </c>
      <c r="AE2610">
        <v>0</v>
      </c>
      <c r="AF2610">
        <v>0</v>
      </c>
      <c r="AG2610">
        <v>0</v>
      </c>
      <c r="AH2610">
        <v>0</v>
      </c>
      <c r="AI2610">
        <v>0</v>
      </c>
      <c r="AJ2610">
        <v>0</v>
      </c>
      <c r="AK2610">
        <v>0</v>
      </c>
      <c r="AL2610">
        <v>0</v>
      </c>
      <c r="AM2610">
        <v>0</v>
      </c>
      <c r="AN2610">
        <v>0</v>
      </c>
      <c r="AO2610">
        <v>0</v>
      </c>
      <c r="AP2610">
        <v>0</v>
      </c>
      <c r="AQ2610">
        <v>41.43</v>
      </c>
      <c r="AR2610">
        <v>0</v>
      </c>
      <c r="AS2610">
        <v>0</v>
      </c>
      <c r="AT2610">
        <v>0</v>
      </c>
      <c r="AU2610">
        <v>0</v>
      </c>
      <c r="AV2610">
        <v>0</v>
      </c>
      <c r="AW2610">
        <v>0</v>
      </c>
      <c r="AX2610">
        <v>0</v>
      </c>
      <c r="AY2610">
        <v>0</v>
      </c>
      <c r="AZ2610">
        <v>0</v>
      </c>
      <c r="BA2610">
        <v>0</v>
      </c>
      <c r="BB2610">
        <v>0</v>
      </c>
      <c r="BC2610">
        <v>0</v>
      </c>
      <c r="BD2610">
        <v>0</v>
      </c>
      <c r="BE2610">
        <v>0</v>
      </c>
      <c r="BF2610">
        <v>0</v>
      </c>
      <c r="BG2610">
        <v>0</v>
      </c>
      <c r="BH2610">
        <v>1</v>
      </c>
      <c r="BI2610">
        <v>2</v>
      </c>
      <c r="BJ2610">
        <v>1.7</v>
      </c>
      <c r="BK2610">
        <v>2</v>
      </c>
      <c r="BL2610">
        <v>135.59</v>
      </c>
      <c r="BM2610">
        <v>20.34</v>
      </c>
      <c r="BN2610">
        <v>155.93</v>
      </c>
      <c r="BO2610">
        <v>155.93</v>
      </c>
      <c r="BQ2610" t="s">
        <v>2804</v>
      </c>
      <c r="BR2610" t="s">
        <v>84</v>
      </c>
      <c r="BS2610" s="3">
        <v>45800</v>
      </c>
      <c r="BT2610" s="4">
        <v>0.68472222222222223</v>
      </c>
      <c r="BU2610" t="s">
        <v>1572</v>
      </c>
      <c r="BV2610" t="s">
        <v>86</v>
      </c>
      <c r="BY2610">
        <v>8512</v>
      </c>
      <c r="CA2610" t="s">
        <v>507</v>
      </c>
      <c r="CC2610" t="s">
        <v>503</v>
      </c>
      <c r="CD2610">
        <v>3370</v>
      </c>
      <c r="CE2610" t="s">
        <v>116</v>
      </c>
      <c r="CF2610" s="3">
        <v>45803</v>
      </c>
      <c r="CI2610">
        <v>2</v>
      </c>
      <c r="CJ2610">
        <v>2</v>
      </c>
      <c r="CK2610">
        <v>23</v>
      </c>
      <c r="CL2610" t="s">
        <v>89</v>
      </c>
    </row>
    <row r="2611" spans="1:90" x14ac:dyDescent="0.3">
      <c r="A2611" t="s">
        <v>72</v>
      </c>
      <c r="B2611" t="s">
        <v>73</v>
      </c>
      <c r="C2611" t="s">
        <v>74</v>
      </c>
      <c r="E2611" t="str">
        <f>"080065490411"</f>
        <v>080065490411</v>
      </c>
      <c r="F2611" s="3">
        <v>45798</v>
      </c>
      <c r="G2611">
        <v>202602</v>
      </c>
      <c r="H2611" t="s">
        <v>75</v>
      </c>
      <c r="I2611" t="s">
        <v>76</v>
      </c>
      <c r="J2611" t="s">
        <v>77</v>
      </c>
      <c r="K2611" t="s">
        <v>78</v>
      </c>
      <c r="L2611" t="s">
        <v>90</v>
      </c>
      <c r="M2611" t="s">
        <v>91</v>
      </c>
      <c r="N2611" t="s">
        <v>2805</v>
      </c>
      <c r="O2611" t="s">
        <v>82</v>
      </c>
      <c r="P2611" t="str">
        <f>"4170039804                    "</f>
        <v xml:space="preserve">4170039804                    </v>
      </c>
      <c r="Q2611">
        <v>0</v>
      </c>
      <c r="R2611">
        <v>0</v>
      </c>
      <c r="S2611">
        <v>0</v>
      </c>
      <c r="T2611">
        <v>0</v>
      </c>
      <c r="U2611">
        <v>0</v>
      </c>
      <c r="V2611">
        <v>0</v>
      </c>
      <c r="W2611">
        <v>0</v>
      </c>
      <c r="X2611">
        <v>0</v>
      </c>
      <c r="Y2611">
        <v>0</v>
      </c>
      <c r="Z2611">
        <v>0</v>
      </c>
      <c r="AA2611">
        <v>0</v>
      </c>
      <c r="AB2611">
        <v>0</v>
      </c>
      <c r="AC2611">
        <v>0</v>
      </c>
      <c r="AD2611">
        <v>0</v>
      </c>
      <c r="AE2611">
        <v>0</v>
      </c>
      <c r="AF2611">
        <v>0</v>
      </c>
      <c r="AG2611">
        <v>0</v>
      </c>
      <c r="AH2611">
        <v>0</v>
      </c>
      <c r="AI2611">
        <v>0</v>
      </c>
      <c r="AJ2611">
        <v>0</v>
      </c>
      <c r="AK2611">
        <v>0</v>
      </c>
      <c r="AL2611">
        <v>0</v>
      </c>
      <c r="AM2611">
        <v>0</v>
      </c>
      <c r="AN2611">
        <v>0</v>
      </c>
      <c r="AO2611">
        <v>0</v>
      </c>
      <c r="AP2611">
        <v>0</v>
      </c>
      <c r="AQ2611">
        <v>21.38</v>
      </c>
      <c r="AR2611">
        <v>0</v>
      </c>
      <c r="AS2611">
        <v>0</v>
      </c>
      <c r="AT2611">
        <v>0</v>
      </c>
      <c r="AU2611">
        <v>0</v>
      </c>
      <c r="AV2611">
        <v>0</v>
      </c>
      <c r="AW2611">
        <v>0</v>
      </c>
      <c r="AX2611">
        <v>0</v>
      </c>
      <c r="AY2611">
        <v>0</v>
      </c>
      <c r="AZ2611">
        <v>0</v>
      </c>
      <c r="BA2611">
        <v>0</v>
      </c>
      <c r="BB2611">
        <v>0</v>
      </c>
      <c r="BC2611">
        <v>0</v>
      </c>
      <c r="BD2611">
        <v>0</v>
      </c>
      <c r="BE2611">
        <v>0</v>
      </c>
      <c r="BF2611">
        <v>0</v>
      </c>
      <c r="BG2611">
        <v>0</v>
      </c>
      <c r="BH2611">
        <v>1</v>
      </c>
      <c r="BI2611">
        <v>1</v>
      </c>
      <c r="BJ2611">
        <v>0.2</v>
      </c>
      <c r="BK2611">
        <v>1</v>
      </c>
      <c r="BL2611">
        <v>69.98</v>
      </c>
      <c r="BM2611">
        <v>10.5</v>
      </c>
      <c r="BN2611">
        <v>80.48</v>
      </c>
      <c r="BO2611">
        <v>80.48</v>
      </c>
      <c r="BQ2611" t="s">
        <v>2806</v>
      </c>
      <c r="BR2611" t="s">
        <v>84</v>
      </c>
      <c r="BS2611" s="3">
        <v>45799</v>
      </c>
      <c r="BT2611" s="4">
        <v>0.35833333333333334</v>
      </c>
      <c r="BU2611" t="s">
        <v>2807</v>
      </c>
      <c r="BV2611" t="s">
        <v>86</v>
      </c>
      <c r="BY2611">
        <v>1200</v>
      </c>
      <c r="CA2611" t="s">
        <v>566</v>
      </c>
      <c r="CC2611" t="s">
        <v>91</v>
      </c>
      <c r="CD2611">
        <v>6070</v>
      </c>
      <c r="CE2611" t="s">
        <v>88</v>
      </c>
      <c r="CF2611" s="3">
        <v>45799</v>
      </c>
      <c r="CI2611">
        <v>1</v>
      </c>
      <c r="CJ2611">
        <v>1</v>
      </c>
      <c r="CK2611">
        <v>21</v>
      </c>
      <c r="CL2611" t="s">
        <v>89</v>
      </c>
    </row>
    <row r="2612" spans="1:90" x14ac:dyDescent="0.3">
      <c r="A2612" t="s">
        <v>72</v>
      </c>
      <c r="B2612" t="s">
        <v>73</v>
      </c>
      <c r="C2612" t="s">
        <v>74</v>
      </c>
      <c r="E2612" t="str">
        <f>"080065490426"</f>
        <v>080065490426</v>
      </c>
      <c r="F2612" s="3">
        <v>45798</v>
      </c>
      <c r="G2612">
        <v>202602</v>
      </c>
      <c r="H2612" t="s">
        <v>75</v>
      </c>
      <c r="I2612" t="s">
        <v>76</v>
      </c>
      <c r="J2612" t="s">
        <v>77</v>
      </c>
      <c r="K2612" t="s">
        <v>78</v>
      </c>
      <c r="L2612" t="s">
        <v>90</v>
      </c>
      <c r="M2612" t="s">
        <v>91</v>
      </c>
      <c r="N2612" t="s">
        <v>1546</v>
      </c>
      <c r="O2612" t="s">
        <v>82</v>
      </c>
      <c r="P2612" t="str">
        <f>"4170039757                    "</f>
        <v xml:space="preserve">4170039757                    </v>
      </c>
      <c r="Q2612">
        <v>0</v>
      </c>
      <c r="R2612">
        <v>0</v>
      </c>
      <c r="S2612">
        <v>0</v>
      </c>
      <c r="T2612">
        <v>0</v>
      </c>
      <c r="U2612">
        <v>0</v>
      </c>
      <c r="V2612">
        <v>0</v>
      </c>
      <c r="W2612">
        <v>0</v>
      </c>
      <c r="X2612">
        <v>0</v>
      </c>
      <c r="Y2612">
        <v>0</v>
      </c>
      <c r="Z2612">
        <v>0</v>
      </c>
      <c r="AA2612">
        <v>0</v>
      </c>
      <c r="AB2612">
        <v>0</v>
      </c>
      <c r="AC2612">
        <v>0</v>
      </c>
      <c r="AD2612">
        <v>0</v>
      </c>
      <c r="AE2612">
        <v>0</v>
      </c>
      <c r="AF2612">
        <v>0</v>
      </c>
      <c r="AG2612">
        <v>0</v>
      </c>
      <c r="AH2612">
        <v>0</v>
      </c>
      <c r="AI2612">
        <v>0</v>
      </c>
      <c r="AJ2612">
        <v>0</v>
      </c>
      <c r="AK2612">
        <v>0</v>
      </c>
      <c r="AL2612">
        <v>0</v>
      </c>
      <c r="AM2612">
        <v>0</v>
      </c>
      <c r="AN2612">
        <v>0</v>
      </c>
      <c r="AO2612">
        <v>0</v>
      </c>
      <c r="AP2612">
        <v>0</v>
      </c>
      <c r="AQ2612">
        <v>64.12</v>
      </c>
      <c r="AR2612">
        <v>0</v>
      </c>
      <c r="AS2612">
        <v>0</v>
      </c>
      <c r="AT2612">
        <v>0</v>
      </c>
      <c r="AU2612">
        <v>0</v>
      </c>
      <c r="AV2612">
        <v>0</v>
      </c>
      <c r="AW2612">
        <v>0</v>
      </c>
      <c r="AX2612">
        <v>0</v>
      </c>
      <c r="AY2612">
        <v>0</v>
      </c>
      <c r="AZ2612">
        <v>0</v>
      </c>
      <c r="BA2612">
        <v>0</v>
      </c>
      <c r="BB2612">
        <v>0</v>
      </c>
      <c r="BC2612">
        <v>0</v>
      </c>
      <c r="BD2612">
        <v>0</v>
      </c>
      <c r="BE2612">
        <v>0</v>
      </c>
      <c r="BF2612">
        <v>0</v>
      </c>
      <c r="BG2612">
        <v>0</v>
      </c>
      <c r="BH2612">
        <v>1</v>
      </c>
      <c r="BI2612">
        <v>6</v>
      </c>
      <c r="BJ2612">
        <v>2.1</v>
      </c>
      <c r="BK2612">
        <v>6</v>
      </c>
      <c r="BL2612">
        <v>209.84</v>
      </c>
      <c r="BM2612">
        <v>31.48</v>
      </c>
      <c r="BN2612">
        <v>241.32</v>
      </c>
      <c r="BO2612">
        <v>241.32</v>
      </c>
      <c r="BQ2612" t="s">
        <v>1547</v>
      </c>
      <c r="BR2612" t="s">
        <v>84</v>
      </c>
      <c r="BS2612" s="3">
        <v>45799</v>
      </c>
      <c r="BT2612" s="4">
        <v>0.40625</v>
      </c>
      <c r="BU2612" t="s">
        <v>1617</v>
      </c>
      <c r="BV2612" t="s">
        <v>86</v>
      </c>
      <c r="BY2612">
        <v>10640</v>
      </c>
      <c r="CA2612" t="s">
        <v>1618</v>
      </c>
      <c r="CC2612" t="s">
        <v>91</v>
      </c>
      <c r="CD2612">
        <v>6020</v>
      </c>
      <c r="CE2612" t="s">
        <v>116</v>
      </c>
      <c r="CF2612" s="3">
        <v>45799</v>
      </c>
      <c r="CI2612">
        <v>1</v>
      </c>
      <c r="CJ2612">
        <v>1</v>
      </c>
      <c r="CK2612">
        <v>21</v>
      </c>
      <c r="CL2612" t="s">
        <v>89</v>
      </c>
    </row>
    <row r="2613" spans="1:90" x14ac:dyDescent="0.3">
      <c r="A2613" t="s">
        <v>72</v>
      </c>
      <c r="B2613" t="s">
        <v>73</v>
      </c>
      <c r="C2613" t="s">
        <v>74</v>
      </c>
      <c r="E2613" t="str">
        <f>"080065490428"</f>
        <v>080065490428</v>
      </c>
      <c r="F2613" s="3">
        <v>45798</v>
      </c>
      <c r="G2613">
        <v>202602</v>
      </c>
      <c r="H2613" t="s">
        <v>75</v>
      </c>
      <c r="I2613" t="s">
        <v>76</v>
      </c>
      <c r="J2613" t="s">
        <v>77</v>
      </c>
      <c r="K2613" t="s">
        <v>78</v>
      </c>
      <c r="L2613" t="s">
        <v>130</v>
      </c>
      <c r="M2613" t="s">
        <v>131</v>
      </c>
      <c r="N2613" t="s">
        <v>343</v>
      </c>
      <c r="O2613" t="s">
        <v>82</v>
      </c>
      <c r="P2613" t="str">
        <f>"4170039903                    "</f>
        <v xml:space="preserve">4170039903                    </v>
      </c>
      <c r="Q2613">
        <v>0</v>
      </c>
      <c r="R2613">
        <v>0</v>
      </c>
      <c r="S2613">
        <v>0</v>
      </c>
      <c r="T2613">
        <v>0</v>
      </c>
      <c r="U2613">
        <v>0</v>
      </c>
      <c r="V2613">
        <v>0</v>
      </c>
      <c r="W2613">
        <v>0</v>
      </c>
      <c r="X2613">
        <v>0</v>
      </c>
      <c r="Y2613">
        <v>0</v>
      </c>
      <c r="Z2613">
        <v>0</v>
      </c>
      <c r="AA2613">
        <v>0</v>
      </c>
      <c r="AB2613">
        <v>0</v>
      </c>
      <c r="AC2613">
        <v>0</v>
      </c>
      <c r="AD2613">
        <v>0</v>
      </c>
      <c r="AE2613">
        <v>0</v>
      </c>
      <c r="AF2613">
        <v>0</v>
      </c>
      <c r="AG2613">
        <v>0</v>
      </c>
      <c r="AH2613">
        <v>0</v>
      </c>
      <c r="AI2613">
        <v>0</v>
      </c>
      <c r="AJ2613">
        <v>0</v>
      </c>
      <c r="AK2613">
        <v>0</v>
      </c>
      <c r="AL2613">
        <v>0</v>
      </c>
      <c r="AM2613">
        <v>0</v>
      </c>
      <c r="AN2613">
        <v>0</v>
      </c>
      <c r="AO2613">
        <v>0</v>
      </c>
      <c r="AP2613">
        <v>0</v>
      </c>
      <c r="AQ2613">
        <v>21.38</v>
      </c>
      <c r="AR2613">
        <v>0</v>
      </c>
      <c r="AS2613">
        <v>0</v>
      </c>
      <c r="AT2613">
        <v>0</v>
      </c>
      <c r="AU2613">
        <v>0</v>
      </c>
      <c r="AV2613">
        <v>0</v>
      </c>
      <c r="AW2613">
        <v>0</v>
      </c>
      <c r="AX2613">
        <v>0</v>
      </c>
      <c r="AY2613">
        <v>0</v>
      </c>
      <c r="AZ2613">
        <v>0</v>
      </c>
      <c r="BA2613">
        <v>0</v>
      </c>
      <c r="BB2613">
        <v>0</v>
      </c>
      <c r="BC2613">
        <v>0</v>
      </c>
      <c r="BD2613">
        <v>0</v>
      </c>
      <c r="BE2613">
        <v>0</v>
      </c>
      <c r="BF2613">
        <v>0</v>
      </c>
      <c r="BG2613">
        <v>0</v>
      </c>
      <c r="BH2613">
        <v>1</v>
      </c>
      <c r="BI2613">
        <v>1</v>
      </c>
      <c r="BJ2613">
        <v>0.2</v>
      </c>
      <c r="BK2613">
        <v>1</v>
      </c>
      <c r="BL2613">
        <v>69.98</v>
      </c>
      <c r="BM2613">
        <v>10.5</v>
      </c>
      <c r="BN2613">
        <v>80.48</v>
      </c>
      <c r="BO2613">
        <v>80.48</v>
      </c>
      <c r="BQ2613" t="s">
        <v>344</v>
      </c>
      <c r="BR2613" t="s">
        <v>84</v>
      </c>
      <c r="BS2613" s="3">
        <v>45799</v>
      </c>
      <c r="BT2613" s="4">
        <v>0.40069444444444446</v>
      </c>
      <c r="BU2613" t="s">
        <v>345</v>
      </c>
      <c r="BV2613" t="s">
        <v>86</v>
      </c>
      <c r="BY2613">
        <v>1200</v>
      </c>
      <c r="CA2613" t="s">
        <v>242</v>
      </c>
      <c r="CC2613" t="s">
        <v>131</v>
      </c>
      <c r="CD2613">
        <v>7441</v>
      </c>
      <c r="CE2613" t="s">
        <v>88</v>
      </c>
      <c r="CF2613" s="3">
        <v>45800</v>
      </c>
      <c r="CI2613">
        <v>1</v>
      </c>
      <c r="CJ2613">
        <v>1</v>
      </c>
      <c r="CK2613">
        <v>21</v>
      </c>
      <c r="CL2613" t="s">
        <v>89</v>
      </c>
    </row>
    <row r="2614" spans="1:90" x14ac:dyDescent="0.3">
      <c r="A2614" t="s">
        <v>72</v>
      </c>
      <c r="B2614" t="s">
        <v>73</v>
      </c>
      <c r="C2614" t="s">
        <v>74</v>
      </c>
      <c r="E2614" t="str">
        <f>"080065490449"</f>
        <v>080065490449</v>
      </c>
      <c r="F2614" s="3">
        <v>45798</v>
      </c>
      <c r="G2614">
        <v>202602</v>
      </c>
      <c r="H2614" t="s">
        <v>75</v>
      </c>
      <c r="I2614" t="s">
        <v>76</v>
      </c>
      <c r="J2614" t="s">
        <v>77</v>
      </c>
      <c r="K2614" t="s">
        <v>78</v>
      </c>
      <c r="L2614" t="s">
        <v>489</v>
      </c>
      <c r="M2614" t="s">
        <v>490</v>
      </c>
      <c r="N2614" t="s">
        <v>491</v>
      </c>
      <c r="O2614" t="s">
        <v>82</v>
      </c>
      <c r="P2614" t="str">
        <f>"4170039868                    "</f>
        <v xml:space="preserve">4170039868                    </v>
      </c>
      <c r="Q2614">
        <v>0</v>
      </c>
      <c r="R2614">
        <v>0</v>
      </c>
      <c r="S2614">
        <v>0</v>
      </c>
      <c r="T2614">
        <v>0</v>
      </c>
      <c r="U2614">
        <v>0</v>
      </c>
      <c r="V2614">
        <v>0</v>
      </c>
      <c r="W2614">
        <v>0</v>
      </c>
      <c r="X2614">
        <v>0</v>
      </c>
      <c r="Y2614">
        <v>0</v>
      </c>
      <c r="Z2614">
        <v>0</v>
      </c>
      <c r="AA2614">
        <v>0</v>
      </c>
      <c r="AB2614">
        <v>0</v>
      </c>
      <c r="AC2614">
        <v>0</v>
      </c>
      <c r="AD2614">
        <v>0</v>
      </c>
      <c r="AE2614">
        <v>0</v>
      </c>
      <c r="AF2614">
        <v>0</v>
      </c>
      <c r="AG2614">
        <v>0</v>
      </c>
      <c r="AH2614">
        <v>0</v>
      </c>
      <c r="AI2614">
        <v>0</v>
      </c>
      <c r="AJ2614">
        <v>0</v>
      </c>
      <c r="AK2614">
        <v>0</v>
      </c>
      <c r="AL2614">
        <v>0</v>
      </c>
      <c r="AM2614">
        <v>0</v>
      </c>
      <c r="AN2614">
        <v>0</v>
      </c>
      <c r="AO2614">
        <v>0</v>
      </c>
      <c r="AP2614">
        <v>0</v>
      </c>
      <c r="AQ2614">
        <v>41.43</v>
      </c>
      <c r="AR2614">
        <v>0</v>
      </c>
      <c r="AS2614">
        <v>0</v>
      </c>
      <c r="AT2614">
        <v>0</v>
      </c>
      <c r="AU2614">
        <v>0</v>
      </c>
      <c r="AV2614">
        <v>0</v>
      </c>
      <c r="AW2614">
        <v>0</v>
      </c>
      <c r="AX2614">
        <v>0</v>
      </c>
      <c r="AY2614">
        <v>0</v>
      </c>
      <c r="AZ2614">
        <v>0</v>
      </c>
      <c r="BA2614">
        <v>0</v>
      </c>
      <c r="BB2614">
        <v>0</v>
      </c>
      <c r="BC2614">
        <v>0</v>
      </c>
      <c r="BD2614">
        <v>0</v>
      </c>
      <c r="BE2614">
        <v>0</v>
      </c>
      <c r="BF2614">
        <v>0</v>
      </c>
      <c r="BG2614">
        <v>0</v>
      </c>
      <c r="BH2614">
        <v>1</v>
      </c>
      <c r="BI2614">
        <v>1</v>
      </c>
      <c r="BJ2614">
        <v>0.9</v>
      </c>
      <c r="BK2614">
        <v>1</v>
      </c>
      <c r="BL2614">
        <v>135.59</v>
      </c>
      <c r="BM2614">
        <v>20.34</v>
      </c>
      <c r="BN2614">
        <v>155.93</v>
      </c>
      <c r="BO2614">
        <v>155.93</v>
      </c>
      <c r="BQ2614" t="s">
        <v>492</v>
      </c>
      <c r="BR2614" t="s">
        <v>84</v>
      </c>
      <c r="BS2614" s="3">
        <v>45799</v>
      </c>
      <c r="BT2614" s="4">
        <v>0.54027777777777775</v>
      </c>
      <c r="BU2614" t="s">
        <v>2530</v>
      </c>
      <c r="BV2614" t="s">
        <v>86</v>
      </c>
      <c r="BY2614">
        <v>4275</v>
      </c>
      <c r="CA2614" t="s">
        <v>913</v>
      </c>
      <c r="CC2614" t="s">
        <v>490</v>
      </c>
      <c r="CD2614">
        <v>2740</v>
      </c>
      <c r="CE2614" t="s">
        <v>96</v>
      </c>
      <c r="CF2614" s="3">
        <v>45800</v>
      </c>
      <c r="CI2614">
        <v>1</v>
      </c>
      <c r="CJ2614">
        <v>1</v>
      </c>
      <c r="CK2614">
        <v>23</v>
      </c>
      <c r="CL2614" t="s">
        <v>89</v>
      </c>
    </row>
    <row r="2615" spans="1:90" x14ac:dyDescent="0.3">
      <c r="A2615" t="s">
        <v>72</v>
      </c>
      <c r="B2615" t="s">
        <v>73</v>
      </c>
      <c r="C2615" t="s">
        <v>74</v>
      </c>
      <c r="E2615" t="str">
        <f>"080065490458"</f>
        <v>080065490458</v>
      </c>
      <c r="F2615" s="3">
        <v>45798</v>
      </c>
      <c r="G2615">
        <v>202602</v>
      </c>
      <c r="H2615" t="s">
        <v>75</v>
      </c>
      <c r="I2615" t="s">
        <v>76</v>
      </c>
      <c r="J2615" t="s">
        <v>77</v>
      </c>
      <c r="K2615" t="s">
        <v>78</v>
      </c>
      <c r="L2615" t="s">
        <v>103</v>
      </c>
      <c r="M2615" t="s">
        <v>104</v>
      </c>
      <c r="N2615" t="s">
        <v>2808</v>
      </c>
      <c r="O2615" t="s">
        <v>82</v>
      </c>
      <c r="P2615" t="str">
        <f>"4170039739                    "</f>
        <v xml:space="preserve">4170039739                    </v>
      </c>
      <c r="Q2615">
        <v>0</v>
      </c>
      <c r="R2615">
        <v>0</v>
      </c>
      <c r="S2615">
        <v>0</v>
      </c>
      <c r="T2615">
        <v>0</v>
      </c>
      <c r="U2615">
        <v>0</v>
      </c>
      <c r="V2615">
        <v>0</v>
      </c>
      <c r="W2615">
        <v>0</v>
      </c>
      <c r="X2615">
        <v>0</v>
      </c>
      <c r="Y2615">
        <v>0</v>
      </c>
      <c r="Z2615">
        <v>0</v>
      </c>
      <c r="AA2615">
        <v>0</v>
      </c>
      <c r="AB2615">
        <v>0</v>
      </c>
      <c r="AC2615">
        <v>0</v>
      </c>
      <c r="AD2615">
        <v>0</v>
      </c>
      <c r="AE2615">
        <v>0</v>
      </c>
      <c r="AF2615">
        <v>0</v>
      </c>
      <c r="AG2615">
        <v>0</v>
      </c>
      <c r="AH2615">
        <v>0</v>
      </c>
      <c r="AI2615">
        <v>0</v>
      </c>
      <c r="AJ2615">
        <v>0</v>
      </c>
      <c r="AK2615">
        <v>0</v>
      </c>
      <c r="AL2615">
        <v>0</v>
      </c>
      <c r="AM2615">
        <v>0</v>
      </c>
      <c r="AN2615">
        <v>0</v>
      </c>
      <c r="AO2615">
        <v>0</v>
      </c>
      <c r="AP2615">
        <v>0</v>
      </c>
      <c r="AQ2615">
        <v>48.09</v>
      </c>
      <c r="AR2615">
        <v>0</v>
      </c>
      <c r="AS2615">
        <v>0</v>
      </c>
      <c r="AT2615">
        <v>0</v>
      </c>
      <c r="AU2615">
        <v>0</v>
      </c>
      <c r="AV2615">
        <v>0</v>
      </c>
      <c r="AW2615">
        <v>0</v>
      </c>
      <c r="AX2615">
        <v>0</v>
      </c>
      <c r="AY2615">
        <v>0</v>
      </c>
      <c r="AZ2615">
        <v>0</v>
      </c>
      <c r="BA2615">
        <v>0</v>
      </c>
      <c r="BB2615">
        <v>0</v>
      </c>
      <c r="BC2615">
        <v>0</v>
      </c>
      <c r="BD2615">
        <v>0</v>
      </c>
      <c r="BE2615">
        <v>0</v>
      </c>
      <c r="BF2615">
        <v>0</v>
      </c>
      <c r="BG2615">
        <v>0</v>
      </c>
      <c r="BH2615">
        <v>1</v>
      </c>
      <c r="BI2615">
        <v>3</v>
      </c>
      <c r="BJ2615">
        <v>4.0999999999999996</v>
      </c>
      <c r="BK2615">
        <v>4.5</v>
      </c>
      <c r="BL2615">
        <v>157.38999999999999</v>
      </c>
      <c r="BM2615">
        <v>23.61</v>
      </c>
      <c r="BN2615">
        <v>181</v>
      </c>
      <c r="BO2615">
        <v>181</v>
      </c>
      <c r="BQ2615" t="s">
        <v>2809</v>
      </c>
      <c r="BR2615" t="s">
        <v>84</v>
      </c>
      <c r="BS2615" s="3">
        <v>45799</v>
      </c>
      <c r="BT2615" s="4">
        <v>0.39583333333333331</v>
      </c>
      <c r="BU2615" t="s">
        <v>2810</v>
      </c>
      <c r="BV2615" t="s">
        <v>86</v>
      </c>
      <c r="BY2615">
        <v>20358</v>
      </c>
      <c r="CA2615" t="s">
        <v>945</v>
      </c>
      <c r="CC2615" t="s">
        <v>104</v>
      </c>
      <c r="CD2615">
        <v>3200</v>
      </c>
      <c r="CE2615" t="s">
        <v>96</v>
      </c>
      <c r="CF2615" s="3">
        <v>45799</v>
      </c>
      <c r="CI2615">
        <v>1</v>
      </c>
      <c r="CJ2615">
        <v>1</v>
      </c>
      <c r="CK2615">
        <v>21</v>
      </c>
      <c r="CL2615" t="s">
        <v>89</v>
      </c>
    </row>
    <row r="2616" spans="1:90" x14ac:dyDescent="0.3">
      <c r="A2616" t="s">
        <v>72</v>
      </c>
      <c r="B2616" t="s">
        <v>73</v>
      </c>
      <c r="C2616" t="s">
        <v>74</v>
      </c>
      <c r="E2616" t="str">
        <f>"080065490466"</f>
        <v>080065490466</v>
      </c>
      <c r="F2616" s="3">
        <v>45798</v>
      </c>
      <c r="G2616">
        <v>202602</v>
      </c>
      <c r="H2616" t="s">
        <v>75</v>
      </c>
      <c r="I2616" t="s">
        <v>76</v>
      </c>
      <c r="J2616" t="s">
        <v>77</v>
      </c>
      <c r="K2616" t="s">
        <v>78</v>
      </c>
      <c r="L2616" t="s">
        <v>75</v>
      </c>
      <c r="M2616" t="s">
        <v>76</v>
      </c>
      <c r="N2616" t="s">
        <v>803</v>
      </c>
      <c r="O2616" t="s">
        <v>82</v>
      </c>
      <c r="P2616" t="str">
        <f>"4170039911                    "</f>
        <v xml:space="preserve">4170039911                    </v>
      </c>
      <c r="Q2616">
        <v>0</v>
      </c>
      <c r="R2616">
        <v>0</v>
      </c>
      <c r="S2616">
        <v>0</v>
      </c>
      <c r="T2616">
        <v>0</v>
      </c>
      <c r="U2616">
        <v>0</v>
      </c>
      <c r="V2616">
        <v>0</v>
      </c>
      <c r="W2616">
        <v>0</v>
      </c>
      <c r="X2616">
        <v>0</v>
      </c>
      <c r="Y2616">
        <v>0</v>
      </c>
      <c r="Z2616">
        <v>0</v>
      </c>
      <c r="AA2616">
        <v>0</v>
      </c>
      <c r="AB2616">
        <v>0</v>
      </c>
      <c r="AC2616">
        <v>0</v>
      </c>
      <c r="AD2616">
        <v>0</v>
      </c>
      <c r="AE2616">
        <v>0</v>
      </c>
      <c r="AF2616">
        <v>0</v>
      </c>
      <c r="AG2616">
        <v>0</v>
      </c>
      <c r="AH2616">
        <v>0</v>
      </c>
      <c r="AI2616">
        <v>0</v>
      </c>
      <c r="AJ2616">
        <v>0</v>
      </c>
      <c r="AK2616">
        <v>0</v>
      </c>
      <c r="AL2616">
        <v>0</v>
      </c>
      <c r="AM2616">
        <v>0</v>
      </c>
      <c r="AN2616">
        <v>0</v>
      </c>
      <c r="AO2616">
        <v>0</v>
      </c>
      <c r="AP2616">
        <v>0</v>
      </c>
      <c r="AQ2616">
        <v>16.7</v>
      </c>
      <c r="AR2616">
        <v>0</v>
      </c>
      <c r="AS2616">
        <v>0</v>
      </c>
      <c r="AT2616">
        <v>0</v>
      </c>
      <c r="AU2616">
        <v>0</v>
      </c>
      <c r="AV2616">
        <v>0</v>
      </c>
      <c r="AW2616">
        <v>0</v>
      </c>
      <c r="AX2616">
        <v>0</v>
      </c>
      <c r="AY2616">
        <v>0</v>
      </c>
      <c r="AZ2616">
        <v>0</v>
      </c>
      <c r="BA2616">
        <v>0</v>
      </c>
      <c r="BB2616">
        <v>0</v>
      </c>
      <c r="BC2616">
        <v>0</v>
      </c>
      <c r="BD2616">
        <v>0</v>
      </c>
      <c r="BE2616">
        <v>0</v>
      </c>
      <c r="BF2616">
        <v>0</v>
      </c>
      <c r="BG2616">
        <v>0</v>
      </c>
      <c r="BH2616">
        <v>1</v>
      </c>
      <c r="BI2616">
        <v>3</v>
      </c>
      <c r="BJ2616">
        <v>2</v>
      </c>
      <c r="BK2616">
        <v>3</v>
      </c>
      <c r="BL2616">
        <v>54.66</v>
      </c>
      <c r="BM2616">
        <v>8.1999999999999993</v>
      </c>
      <c r="BN2616">
        <v>62.86</v>
      </c>
      <c r="BO2616">
        <v>62.86</v>
      </c>
      <c r="BQ2616" t="s">
        <v>804</v>
      </c>
      <c r="BR2616" t="s">
        <v>84</v>
      </c>
      <c r="BS2616" s="3">
        <v>45799</v>
      </c>
      <c r="BT2616" s="4">
        <v>0.42083333333333334</v>
      </c>
      <c r="BU2616" t="s">
        <v>2168</v>
      </c>
      <c r="BV2616" t="s">
        <v>86</v>
      </c>
      <c r="BY2616">
        <v>9918</v>
      </c>
      <c r="CA2616" t="s">
        <v>484</v>
      </c>
      <c r="CC2616" t="s">
        <v>76</v>
      </c>
      <c r="CD2616">
        <v>1619</v>
      </c>
      <c r="CE2616" t="s">
        <v>96</v>
      </c>
      <c r="CF2616" s="3">
        <v>45799</v>
      </c>
      <c r="CI2616">
        <v>1</v>
      </c>
      <c r="CJ2616">
        <v>1</v>
      </c>
      <c r="CK2616">
        <v>22</v>
      </c>
      <c r="CL2616" t="s">
        <v>89</v>
      </c>
    </row>
    <row r="2617" spans="1:90" x14ac:dyDescent="0.3">
      <c r="A2617" t="s">
        <v>72</v>
      </c>
      <c r="B2617" t="s">
        <v>73</v>
      </c>
      <c r="C2617" t="s">
        <v>74</v>
      </c>
      <c r="E2617" t="str">
        <f>"080065490493"</f>
        <v>080065490493</v>
      </c>
      <c r="F2617" s="3">
        <v>45798</v>
      </c>
      <c r="G2617">
        <v>202602</v>
      </c>
      <c r="H2617" t="s">
        <v>75</v>
      </c>
      <c r="I2617" t="s">
        <v>76</v>
      </c>
      <c r="J2617" t="s">
        <v>77</v>
      </c>
      <c r="K2617" t="s">
        <v>78</v>
      </c>
      <c r="L2617" t="s">
        <v>130</v>
      </c>
      <c r="M2617" t="s">
        <v>131</v>
      </c>
      <c r="N2617" t="s">
        <v>2811</v>
      </c>
      <c r="O2617" t="s">
        <v>82</v>
      </c>
      <c r="P2617" t="str">
        <f>"4170039887                    "</f>
        <v xml:space="preserve">4170039887                    </v>
      </c>
      <c r="Q2617">
        <v>0</v>
      </c>
      <c r="R2617">
        <v>0</v>
      </c>
      <c r="S2617">
        <v>0</v>
      </c>
      <c r="T2617">
        <v>0</v>
      </c>
      <c r="U2617">
        <v>0</v>
      </c>
      <c r="V2617">
        <v>0</v>
      </c>
      <c r="W2617">
        <v>0</v>
      </c>
      <c r="X2617">
        <v>0</v>
      </c>
      <c r="Y2617">
        <v>0</v>
      </c>
      <c r="Z2617">
        <v>0</v>
      </c>
      <c r="AA2617">
        <v>0</v>
      </c>
      <c r="AB2617">
        <v>0</v>
      </c>
      <c r="AC2617">
        <v>0</v>
      </c>
      <c r="AD2617">
        <v>0</v>
      </c>
      <c r="AE2617">
        <v>0</v>
      </c>
      <c r="AF2617">
        <v>0</v>
      </c>
      <c r="AG2617">
        <v>0</v>
      </c>
      <c r="AH2617">
        <v>0</v>
      </c>
      <c r="AI2617">
        <v>0</v>
      </c>
      <c r="AJ2617">
        <v>0</v>
      </c>
      <c r="AK2617">
        <v>0</v>
      </c>
      <c r="AL2617">
        <v>0</v>
      </c>
      <c r="AM2617">
        <v>0</v>
      </c>
      <c r="AN2617">
        <v>0</v>
      </c>
      <c r="AO2617">
        <v>0</v>
      </c>
      <c r="AP2617">
        <v>0</v>
      </c>
      <c r="AQ2617">
        <v>32.07</v>
      </c>
      <c r="AR2617">
        <v>0</v>
      </c>
      <c r="AS2617">
        <v>0</v>
      </c>
      <c r="AT2617">
        <v>0</v>
      </c>
      <c r="AU2617">
        <v>0</v>
      </c>
      <c r="AV2617">
        <v>0</v>
      </c>
      <c r="AW2617">
        <v>0</v>
      </c>
      <c r="AX2617">
        <v>0</v>
      </c>
      <c r="AY2617">
        <v>0</v>
      </c>
      <c r="AZ2617">
        <v>0</v>
      </c>
      <c r="BA2617">
        <v>0</v>
      </c>
      <c r="BB2617">
        <v>0</v>
      </c>
      <c r="BC2617">
        <v>0</v>
      </c>
      <c r="BD2617">
        <v>0</v>
      </c>
      <c r="BE2617">
        <v>0</v>
      </c>
      <c r="BF2617">
        <v>0</v>
      </c>
      <c r="BG2617">
        <v>0</v>
      </c>
      <c r="BH2617">
        <v>1</v>
      </c>
      <c r="BI2617">
        <v>2</v>
      </c>
      <c r="BJ2617">
        <v>2.9</v>
      </c>
      <c r="BK2617">
        <v>3</v>
      </c>
      <c r="BL2617">
        <v>104.95</v>
      </c>
      <c r="BM2617">
        <v>15.74</v>
      </c>
      <c r="BN2617">
        <v>120.69</v>
      </c>
      <c r="BO2617">
        <v>120.69</v>
      </c>
      <c r="BQ2617" t="s">
        <v>2812</v>
      </c>
      <c r="BR2617" t="s">
        <v>84</v>
      </c>
      <c r="BS2617" s="3">
        <v>45799</v>
      </c>
      <c r="BT2617" s="4">
        <v>0.36805555555555558</v>
      </c>
      <c r="BU2617" t="s">
        <v>2813</v>
      </c>
      <c r="BV2617" t="s">
        <v>86</v>
      </c>
      <c r="BY2617">
        <v>14336</v>
      </c>
      <c r="CA2617" t="s">
        <v>784</v>
      </c>
      <c r="CC2617" t="s">
        <v>131</v>
      </c>
      <c r="CD2617">
        <v>8000</v>
      </c>
      <c r="CE2617" t="s">
        <v>221</v>
      </c>
      <c r="CF2617" s="3">
        <v>45800</v>
      </c>
      <c r="CI2617">
        <v>1</v>
      </c>
      <c r="CJ2617">
        <v>1</v>
      </c>
      <c r="CK2617">
        <v>21</v>
      </c>
      <c r="CL2617" t="s">
        <v>89</v>
      </c>
    </row>
    <row r="2618" spans="1:90" x14ac:dyDescent="0.3">
      <c r="A2618" t="s">
        <v>72</v>
      </c>
      <c r="B2618" t="s">
        <v>73</v>
      </c>
      <c r="C2618" t="s">
        <v>74</v>
      </c>
      <c r="E2618" t="str">
        <f>"080065490873"</f>
        <v>080065490873</v>
      </c>
      <c r="F2618" s="3">
        <v>45798</v>
      </c>
      <c r="G2618">
        <v>202602</v>
      </c>
      <c r="H2618" t="s">
        <v>75</v>
      </c>
      <c r="I2618" t="s">
        <v>76</v>
      </c>
      <c r="J2618" t="s">
        <v>77</v>
      </c>
      <c r="K2618" t="s">
        <v>78</v>
      </c>
      <c r="L2618" t="s">
        <v>79</v>
      </c>
      <c r="M2618" t="s">
        <v>80</v>
      </c>
      <c r="N2618" t="s">
        <v>862</v>
      </c>
      <c r="O2618" t="s">
        <v>82</v>
      </c>
      <c r="P2618" t="str">
        <f>"4170039810                    "</f>
        <v xml:space="preserve">4170039810                    </v>
      </c>
      <c r="Q2618">
        <v>0</v>
      </c>
      <c r="R2618">
        <v>0</v>
      </c>
      <c r="S2618">
        <v>0</v>
      </c>
      <c r="T2618">
        <v>0</v>
      </c>
      <c r="U2618">
        <v>0</v>
      </c>
      <c r="V2618">
        <v>0</v>
      </c>
      <c r="W2618">
        <v>0</v>
      </c>
      <c r="X2618">
        <v>0</v>
      </c>
      <c r="Y2618">
        <v>0</v>
      </c>
      <c r="Z2618">
        <v>0</v>
      </c>
      <c r="AA2618">
        <v>0</v>
      </c>
      <c r="AB2618">
        <v>0</v>
      </c>
      <c r="AC2618">
        <v>0</v>
      </c>
      <c r="AD2618">
        <v>0</v>
      </c>
      <c r="AE2618">
        <v>0</v>
      </c>
      <c r="AF2618">
        <v>0</v>
      </c>
      <c r="AG2618">
        <v>0</v>
      </c>
      <c r="AH2618">
        <v>0</v>
      </c>
      <c r="AI2618">
        <v>0</v>
      </c>
      <c r="AJ2618">
        <v>0</v>
      </c>
      <c r="AK2618">
        <v>0</v>
      </c>
      <c r="AL2618">
        <v>0</v>
      </c>
      <c r="AM2618">
        <v>0</v>
      </c>
      <c r="AN2618">
        <v>0</v>
      </c>
      <c r="AO2618">
        <v>0</v>
      </c>
      <c r="AP2618">
        <v>0</v>
      </c>
      <c r="AQ2618">
        <v>21.38</v>
      </c>
      <c r="AR2618">
        <v>0</v>
      </c>
      <c r="AS2618">
        <v>0</v>
      </c>
      <c r="AT2618">
        <v>0</v>
      </c>
      <c r="AU2618">
        <v>0</v>
      </c>
      <c r="AV2618">
        <v>0</v>
      </c>
      <c r="AW2618">
        <v>0</v>
      </c>
      <c r="AX2618">
        <v>0</v>
      </c>
      <c r="AY2618">
        <v>0</v>
      </c>
      <c r="AZ2618">
        <v>0</v>
      </c>
      <c r="BA2618">
        <v>0</v>
      </c>
      <c r="BB2618">
        <v>0</v>
      </c>
      <c r="BC2618">
        <v>0</v>
      </c>
      <c r="BD2618">
        <v>0</v>
      </c>
      <c r="BE2618">
        <v>0</v>
      </c>
      <c r="BF2618">
        <v>0</v>
      </c>
      <c r="BG2618">
        <v>0</v>
      </c>
      <c r="BH2618">
        <v>1</v>
      </c>
      <c r="BI2618">
        <v>1</v>
      </c>
      <c r="BJ2618">
        <v>0.2</v>
      </c>
      <c r="BK2618">
        <v>1</v>
      </c>
      <c r="BL2618">
        <v>69.98</v>
      </c>
      <c r="BM2618">
        <v>10.5</v>
      </c>
      <c r="BN2618">
        <v>80.48</v>
      </c>
      <c r="BO2618">
        <v>80.48</v>
      </c>
      <c r="BQ2618" t="s">
        <v>863</v>
      </c>
      <c r="BR2618" t="s">
        <v>84</v>
      </c>
      <c r="BS2618" s="3">
        <v>45799</v>
      </c>
      <c r="BT2618" s="4">
        <v>0.38541666666666669</v>
      </c>
      <c r="BU2618" t="s">
        <v>864</v>
      </c>
      <c r="BV2618" t="s">
        <v>86</v>
      </c>
      <c r="BY2618">
        <v>1200</v>
      </c>
      <c r="CA2618" t="s">
        <v>160</v>
      </c>
      <c r="CC2618" t="s">
        <v>80</v>
      </c>
      <c r="CD2618">
        <v>3610</v>
      </c>
      <c r="CE2618" t="s">
        <v>88</v>
      </c>
      <c r="CF2618" s="3">
        <v>45800</v>
      </c>
      <c r="CI2618">
        <v>1</v>
      </c>
      <c r="CJ2618">
        <v>1</v>
      </c>
      <c r="CK2618">
        <v>21</v>
      </c>
      <c r="CL2618" t="s">
        <v>89</v>
      </c>
    </row>
    <row r="2619" spans="1:90" x14ac:dyDescent="0.3">
      <c r="A2619" t="s">
        <v>72</v>
      </c>
      <c r="B2619" t="s">
        <v>73</v>
      </c>
      <c r="C2619" t="s">
        <v>74</v>
      </c>
      <c r="E2619" t="str">
        <f>"080065490897"</f>
        <v>080065490897</v>
      </c>
      <c r="F2619" s="3">
        <v>45798</v>
      </c>
      <c r="G2619">
        <v>202602</v>
      </c>
      <c r="H2619" t="s">
        <v>75</v>
      </c>
      <c r="I2619" t="s">
        <v>76</v>
      </c>
      <c r="J2619" t="s">
        <v>77</v>
      </c>
      <c r="K2619" t="s">
        <v>78</v>
      </c>
      <c r="L2619" t="s">
        <v>130</v>
      </c>
      <c r="M2619" t="s">
        <v>131</v>
      </c>
      <c r="N2619" t="s">
        <v>1181</v>
      </c>
      <c r="O2619" t="s">
        <v>82</v>
      </c>
      <c r="P2619" t="str">
        <f>"4170039782                    "</f>
        <v xml:space="preserve">4170039782                    </v>
      </c>
      <c r="Q2619">
        <v>0</v>
      </c>
      <c r="R2619">
        <v>0</v>
      </c>
      <c r="S2619">
        <v>0</v>
      </c>
      <c r="T2619">
        <v>0</v>
      </c>
      <c r="U2619">
        <v>0</v>
      </c>
      <c r="V2619">
        <v>0</v>
      </c>
      <c r="W2619">
        <v>0</v>
      </c>
      <c r="X2619">
        <v>0</v>
      </c>
      <c r="Y2619">
        <v>0</v>
      </c>
      <c r="Z2619">
        <v>0</v>
      </c>
      <c r="AA2619">
        <v>0</v>
      </c>
      <c r="AB2619">
        <v>0</v>
      </c>
      <c r="AC2619">
        <v>0</v>
      </c>
      <c r="AD2619">
        <v>0</v>
      </c>
      <c r="AE2619">
        <v>0</v>
      </c>
      <c r="AF2619">
        <v>0</v>
      </c>
      <c r="AG2619">
        <v>0</v>
      </c>
      <c r="AH2619">
        <v>0</v>
      </c>
      <c r="AI2619">
        <v>0</v>
      </c>
      <c r="AJ2619">
        <v>0</v>
      </c>
      <c r="AK2619">
        <v>0</v>
      </c>
      <c r="AL2619">
        <v>0</v>
      </c>
      <c r="AM2619">
        <v>0</v>
      </c>
      <c r="AN2619">
        <v>0</v>
      </c>
      <c r="AO2619">
        <v>0</v>
      </c>
      <c r="AP2619">
        <v>0</v>
      </c>
      <c r="AQ2619">
        <v>21.38</v>
      </c>
      <c r="AR2619">
        <v>0</v>
      </c>
      <c r="AS2619">
        <v>0</v>
      </c>
      <c r="AT2619">
        <v>0</v>
      </c>
      <c r="AU2619">
        <v>0</v>
      </c>
      <c r="AV2619">
        <v>0</v>
      </c>
      <c r="AW2619">
        <v>0</v>
      </c>
      <c r="AX2619">
        <v>0</v>
      </c>
      <c r="AY2619">
        <v>0</v>
      </c>
      <c r="AZ2619">
        <v>0</v>
      </c>
      <c r="BA2619">
        <v>0</v>
      </c>
      <c r="BB2619">
        <v>0</v>
      </c>
      <c r="BC2619">
        <v>0</v>
      </c>
      <c r="BD2619">
        <v>0</v>
      </c>
      <c r="BE2619">
        <v>0</v>
      </c>
      <c r="BF2619">
        <v>0</v>
      </c>
      <c r="BG2619">
        <v>0</v>
      </c>
      <c r="BH2619">
        <v>1</v>
      </c>
      <c r="BI2619">
        <v>1</v>
      </c>
      <c r="BJ2619">
        <v>0.2</v>
      </c>
      <c r="BK2619">
        <v>1</v>
      </c>
      <c r="BL2619">
        <v>69.98</v>
      </c>
      <c r="BM2619">
        <v>10.5</v>
      </c>
      <c r="BN2619">
        <v>80.48</v>
      </c>
      <c r="BO2619">
        <v>80.48</v>
      </c>
      <c r="BQ2619" t="s">
        <v>1182</v>
      </c>
      <c r="BR2619" t="s">
        <v>84</v>
      </c>
      <c r="BS2619" s="3">
        <v>45799</v>
      </c>
      <c r="BT2619" s="4">
        <v>0.34861111111111109</v>
      </c>
      <c r="BU2619" t="s">
        <v>1183</v>
      </c>
      <c r="BV2619" t="s">
        <v>86</v>
      </c>
      <c r="BY2619">
        <v>1200</v>
      </c>
      <c r="CA2619" t="s">
        <v>712</v>
      </c>
      <c r="CC2619" t="s">
        <v>131</v>
      </c>
      <c r="CD2619">
        <v>7530</v>
      </c>
      <c r="CE2619" t="s">
        <v>88</v>
      </c>
      <c r="CF2619" s="3">
        <v>45800</v>
      </c>
      <c r="CI2619">
        <v>1</v>
      </c>
      <c r="CJ2619">
        <v>1</v>
      </c>
      <c r="CK2619">
        <v>21</v>
      </c>
      <c r="CL2619" t="s">
        <v>89</v>
      </c>
    </row>
    <row r="2620" spans="1:90" x14ac:dyDescent="0.3">
      <c r="A2620" t="s">
        <v>72</v>
      </c>
      <c r="B2620" t="s">
        <v>73</v>
      </c>
      <c r="C2620" t="s">
        <v>74</v>
      </c>
      <c r="E2620" t="str">
        <f>"080065490910"</f>
        <v>080065490910</v>
      </c>
      <c r="F2620" s="3">
        <v>45798</v>
      </c>
      <c r="G2620">
        <v>202602</v>
      </c>
      <c r="H2620" t="s">
        <v>75</v>
      </c>
      <c r="I2620" t="s">
        <v>76</v>
      </c>
      <c r="J2620" t="s">
        <v>77</v>
      </c>
      <c r="K2620" t="s">
        <v>78</v>
      </c>
      <c r="L2620" t="s">
        <v>130</v>
      </c>
      <c r="M2620" t="s">
        <v>131</v>
      </c>
      <c r="N2620" t="s">
        <v>1280</v>
      </c>
      <c r="O2620" t="s">
        <v>82</v>
      </c>
      <c r="P2620" t="str">
        <f>"4170039879                    "</f>
        <v xml:space="preserve">4170039879                    </v>
      </c>
      <c r="Q2620">
        <v>0</v>
      </c>
      <c r="R2620">
        <v>0</v>
      </c>
      <c r="S2620">
        <v>0</v>
      </c>
      <c r="T2620">
        <v>0</v>
      </c>
      <c r="U2620">
        <v>0</v>
      </c>
      <c r="V2620">
        <v>0</v>
      </c>
      <c r="W2620">
        <v>0</v>
      </c>
      <c r="X2620">
        <v>0</v>
      </c>
      <c r="Y2620">
        <v>0</v>
      </c>
      <c r="Z2620">
        <v>0</v>
      </c>
      <c r="AA2620">
        <v>0</v>
      </c>
      <c r="AB2620">
        <v>0</v>
      </c>
      <c r="AC2620">
        <v>0</v>
      </c>
      <c r="AD2620">
        <v>0</v>
      </c>
      <c r="AE2620">
        <v>0</v>
      </c>
      <c r="AF2620">
        <v>0</v>
      </c>
      <c r="AG2620">
        <v>0</v>
      </c>
      <c r="AH2620">
        <v>0</v>
      </c>
      <c r="AI2620">
        <v>0</v>
      </c>
      <c r="AJ2620">
        <v>0</v>
      </c>
      <c r="AK2620">
        <v>0</v>
      </c>
      <c r="AL2620">
        <v>0</v>
      </c>
      <c r="AM2620">
        <v>0</v>
      </c>
      <c r="AN2620">
        <v>0</v>
      </c>
      <c r="AO2620">
        <v>0</v>
      </c>
      <c r="AP2620">
        <v>0</v>
      </c>
      <c r="AQ2620">
        <v>37.409999999999997</v>
      </c>
      <c r="AR2620">
        <v>0</v>
      </c>
      <c r="AS2620">
        <v>0</v>
      </c>
      <c r="AT2620">
        <v>0</v>
      </c>
      <c r="AU2620">
        <v>0</v>
      </c>
      <c r="AV2620">
        <v>0</v>
      </c>
      <c r="AW2620">
        <v>0</v>
      </c>
      <c r="AX2620">
        <v>0</v>
      </c>
      <c r="AY2620">
        <v>0</v>
      </c>
      <c r="AZ2620">
        <v>0</v>
      </c>
      <c r="BA2620">
        <v>0</v>
      </c>
      <c r="BB2620">
        <v>0</v>
      </c>
      <c r="BC2620">
        <v>0</v>
      </c>
      <c r="BD2620">
        <v>0</v>
      </c>
      <c r="BE2620">
        <v>0</v>
      </c>
      <c r="BF2620">
        <v>0</v>
      </c>
      <c r="BG2620">
        <v>0</v>
      </c>
      <c r="BH2620">
        <v>1</v>
      </c>
      <c r="BI2620">
        <v>2</v>
      </c>
      <c r="BJ2620">
        <v>3.3</v>
      </c>
      <c r="BK2620">
        <v>3.5</v>
      </c>
      <c r="BL2620">
        <v>122.43</v>
      </c>
      <c r="BM2620">
        <v>18.36</v>
      </c>
      <c r="BN2620">
        <v>140.79</v>
      </c>
      <c r="BO2620">
        <v>140.79</v>
      </c>
      <c r="BQ2620" t="s">
        <v>1281</v>
      </c>
      <c r="BR2620" t="s">
        <v>84</v>
      </c>
      <c r="BS2620" s="3">
        <v>45799</v>
      </c>
      <c r="BT2620" s="4">
        <v>0.42152777777777778</v>
      </c>
      <c r="BU2620" t="s">
        <v>2814</v>
      </c>
      <c r="BV2620" t="s">
        <v>86</v>
      </c>
      <c r="BY2620">
        <v>16632</v>
      </c>
      <c r="CA2620" t="s">
        <v>135</v>
      </c>
      <c r="CC2620" t="s">
        <v>131</v>
      </c>
      <c r="CD2620">
        <v>7490</v>
      </c>
      <c r="CE2620" t="s">
        <v>221</v>
      </c>
      <c r="CF2620" s="3">
        <v>45800</v>
      </c>
      <c r="CI2620">
        <v>1</v>
      </c>
      <c r="CJ2620">
        <v>1</v>
      </c>
      <c r="CK2620">
        <v>21</v>
      </c>
      <c r="CL2620" t="s">
        <v>89</v>
      </c>
    </row>
    <row r="2621" spans="1:90" x14ac:dyDescent="0.3">
      <c r="A2621" t="s">
        <v>72</v>
      </c>
      <c r="B2621" t="s">
        <v>73</v>
      </c>
      <c r="C2621" t="s">
        <v>74</v>
      </c>
      <c r="E2621" t="str">
        <f>"080065490912"</f>
        <v>080065490912</v>
      </c>
      <c r="F2621" s="3">
        <v>45798</v>
      </c>
      <c r="G2621">
        <v>202602</v>
      </c>
      <c r="H2621" t="s">
        <v>75</v>
      </c>
      <c r="I2621" t="s">
        <v>76</v>
      </c>
      <c r="J2621" t="s">
        <v>77</v>
      </c>
      <c r="K2621" t="s">
        <v>78</v>
      </c>
      <c r="L2621" t="s">
        <v>463</v>
      </c>
      <c r="M2621" t="s">
        <v>464</v>
      </c>
      <c r="N2621" t="s">
        <v>744</v>
      </c>
      <c r="O2621" t="s">
        <v>82</v>
      </c>
      <c r="P2621" t="str">
        <f>"4170039753                    "</f>
        <v xml:space="preserve">4170039753                    </v>
      </c>
      <c r="Q2621">
        <v>0</v>
      </c>
      <c r="R2621">
        <v>0</v>
      </c>
      <c r="S2621">
        <v>0</v>
      </c>
      <c r="T2621">
        <v>0</v>
      </c>
      <c r="U2621">
        <v>0</v>
      </c>
      <c r="V2621">
        <v>0</v>
      </c>
      <c r="W2621">
        <v>0</v>
      </c>
      <c r="X2621">
        <v>0</v>
      </c>
      <c r="Y2621">
        <v>0</v>
      </c>
      <c r="Z2621">
        <v>0</v>
      </c>
      <c r="AA2621">
        <v>0</v>
      </c>
      <c r="AB2621">
        <v>0</v>
      </c>
      <c r="AC2621">
        <v>0</v>
      </c>
      <c r="AD2621">
        <v>0</v>
      </c>
      <c r="AE2621">
        <v>0</v>
      </c>
      <c r="AF2621">
        <v>0</v>
      </c>
      <c r="AG2621">
        <v>0</v>
      </c>
      <c r="AH2621">
        <v>0</v>
      </c>
      <c r="AI2621">
        <v>0</v>
      </c>
      <c r="AJ2621">
        <v>0</v>
      </c>
      <c r="AK2621">
        <v>0</v>
      </c>
      <c r="AL2621">
        <v>0</v>
      </c>
      <c r="AM2621">
        <v>0</v>
      </c>
      <c r="AN2621">
        <v>0</v>
      </c>
      <c r="AO2621">
        <v>0</v>
      </c>
      <c r="AP2621">
        <v>0</v>
      </c>
      <c r="AQ2621">
        <v>21.38</v>
      </c>
      <c r="AR2621">
        <v>0</v>
      </c>
      <c r="AS2621">
        <v>0</v>
      </c>
      <c r="AT2621">
        <v>0</v>
      </c>
      <c r="AU2621">
        <v>0</v>
      </c>
      <c r="AV2621">
        <v>0</v>
      </c>
      <c r="AW2621">
        <v>0</v>
      </c>
      <c r="AX2621">
        <v>0</v>
      </c>
      <c r="AY2621">
        <v>0</v>
      </c>
      <c r="AZ2621">
        <v>0</v>
      </c>
      <c r="BA2621">
        <v>0</v>
      </c>
      <c r="BB2621">
        <v>0</v>
      </c>
      <c r="BC2621">
        <v>0</v>
      </c>
      <c r="BD2621">
        <v>0</v>
      </c>
      <c r="BE2621">
        <v>0</v>
      </c>
      <c r="BF2621">
        <v>0</v>
      </c>
      <c r="BG2621">
        <v>0</v>
      </c>
      <c r="BH2621">
        <v>1</v>
      </c>
      <c r="BI2621">
        <v>1</v>
      </c>
      <c r="BJ2621">
        <v>0.2</v>
      </c>
      <c r="BK2621">
        <v>1</v>
      </c>
      <c r="BL2621">
        <v>69.98</v>
      </c>
      <c r="BM2621">
        <v>10.5</v>
      </c>
      <c r="BN2621">
        <v>80.48</v>
      </c>
      <c r="BO2621">
        <v>80.48</v>
      </c>
      <c r="BQ2621" t="s">
        <v>745</v>
      </c>
      <c r="BR2621" t="s">
        <v>84</v>
      </c>
      <c r="BS2621" s="3">
        <v>45799</v>
      </c>
      <c r="BT2621" s="4">
        <v>0.51041666666666663</v>
      </c>
      <c r="BU2621" t="s">
        <v>746</v>
      </c>
      <c r="BV2621" t="s">
        <v>89</v>
      </c>
      <c r="BY2621">
        <v>1200</v>
      </c>
      <c r="CA2621" t="s">
        <v>588</v>
      </c>
      <c r="CC2621" t="s">
        <v>464</v>
      </c>
      <c r="CD2621">
        <v>5201</v>
      </c>
      <c r="CE2621" t="s">
        <v>88</v>
      </c>
      <c r="CF2621" s="3">
        <v>45799</v>
      </c>
      <c r="CI2621">
        <v>1</v>
      </c>
      <c r="CJ2621">
        <v>1</v>
      </c>
      <c r="CK2621">
        <v>21</v>
      </c>
      <c r="CL2621" t="s">
        <v>89</v>
      </c>
    </row>
    <row r="2622" spans="1:90" x14ac:dyDescent="0.3">
      <c r="A2622" t="s">
        <v>72</v>
      </c>
      <c r="B2622" t="s">
        <v>73</v>
      </c>
      <c r="C2622" t="s">
        <v>74</v>
      </c>
      <c r="E2622" t="str">
        <f>"080065490949"</f>
        <v>080065490949</v>
      </c>
      <c r="F2622" s="3">
        <v>45798</v>
      </c>
      <c r="G2622">
        <v>202602</v>
      </c>
      <c r="H2622" t="s">
        <v>75</v>
      </c>
      <c r="I2622" t="s">
        <v>76</v>
      </c>
      <c r="J2622" t="s">
        <v>77</v>
      </c>
      <c r="K2622" t="s">
        <v>78</v>
      </c>
      <c r="L2622" t="s">
        <v>117</v>
      </c>
      <c r="M2622" t="s">
        <v>118</v>
      </c>
      <c r="N2622" t="s">
        <v>1533</v>
      </c>
      <c r="O2622" t="s">
        <v>602</v>
      </c>
      <c r="P2622" t="str">
        <f>"4170039919                    "</f>
        <v xml:space="preserve">4170039919                    </v>
      </c>
      <c r="Q2622">
        <v>0</v>
      </c>
      <c r="R2622">
        <v>0</v>
      </c>
      <c r="S2622">
        <v>0</v>
      </c>
      <c r="T2622">
        <v>0</v>
      </c>
      <c r="U2622">
        <v>0</v>
      </c>
      <c r="V2622">
        <v>0</v>
      </c>
      <c r="W2622">
        <v>0</v>
      </c>
      <c r="X2622">
        <v>0</v>
      </c>
      <c r="Y2622">
        <v>0</v>
      </c>
      <c r="Z2622">
        <v>0</v>
      </c>
      <c r="AA2622">
        <v>0</v>
      </c>
      <c r="AB2622">
        <v>0</v>
      </c>
      <c r="AC2622">
        <v>0</v>
      </c>
      <c r="AD2622">
        <v>0</v>
      </c>
      <c r="AE2622">
        <v>0</v>
      </c>
      <c r="AF2622">
        <v>0</v>
      </c>
      <c r="AG2622">
        <v>0</v>
      </c>
      <c r="AH2622">
        <v>0</v>
      </c>
      <c r="AI2622">
        <v>0</v>
      </c>
      <c r="AJ2622">
        <v>0</v>
      </c>
      <c r="AK2622">
        <v>0</v>
      </c>
      <c r="AL2622">
        <v>0</v>
      </c>
      <c r="AM2622">
        <v>0</v>
      </c>
      <c r="AN2622">
        <v>0</v>
      </c>
      <c r="AO2622">
        <v>0</v>
      </c>
      <c r="AP2622">
        <v>0</v>
      </c>
      <c r="AQ2622">
        <v>22.33</v>
      </c>
      <c r="AR2622">
        <v>0</v>
      </c>
      <c r="AS2622">
        <v>0</v>
      </c>
      <c r="AT2622">
        <v>0</v>
      </c>
      <c r="AU2622">
        <v>0</v>
      </c>
      <c r="AV2622">
        <v>0</v>
      </c>
      <c r="AW2622">
        <v>0</v>
      </c>
      <c r="AX2622">
        <v>0</v>
      </c>
      <c r="AY2622">
        <v>0</v>
      </c>
      <c r="AZ2622">
        <v>0</v>
      </c>
      <c r="BA2622">
        <v>0</v>
      </c>
      <c r="BB2622">
        <v>0</v>
      </c>
      <c r="BC2622">
        <v>0</v>
      </c>
      <c r="BD2622">
        <v>0</v>
      </c>
      <c r="BE2622">
        <v>0</v>
      </c>
      <c r="BF2622">
        <v>0</v>
      </c>
      <c r="BG2622">
        <v>0</v>
      </c>
      <c r="BH2622">
        <v>1</v>
      </c>
      <c r="BI2622">
        <v>8</v>
      </c>
      <c r="BJ2622">
        <v>10.9</v>
      </c>
      <c r="BK2622">
        <v>11</v>
      </c>
      <c r="BL2622">
        <v>73.08</v>
      </c>
      <c r="BM2622">
        <v>10.96</v>
      </c>
      <c r="BN2622">
        <v>84.04</v>
      </c>
      <c r="BO2622">
        <v>84.04</v>
      </c>
      <c r="BQ2622" t="s">
        <v>1534</v>
      </c>
      <c r="BR2622" t="s">
        <v>84</v>
      </c>
      <c r="BS2622" s="3">
        <v>45799</v>
      </c>
      <c r="BT2622" s="4">
        <v>0.40208333333333335</v>
      </c>
      <c r="BU2622" t="s">
        <v>1535</v>
      </c>
      <c r="BV2622" t="s">
        <v>86</v>
      </c>
      <c r="BY2622">
        <v>54720</v>
      </c>
      <c r="CA2622" t="s">
        <v>275</v>
      </c>
      <c r="CC2622" t="s">
        <v>118</v>
      </c>
      <c r="CD2622">
        <v>2091</v>
      </c>
      <c r="CE2622" t="s">
        <v>176</v>
      </c>
      <c r="CF2622" s="3">
        <v>45799</v>
      </c>
      <c r="CI2622">
        <v>1</v>
      </c>
      <c r="CJ2622">
        <v>1</v>
      </c>
      <c r="CK2622">
        <v>32</v>
      </c>
      <c r="CL2622" t="s">
        <v>89</v>
      </c>
    </row>
    <row r="2623" spans="1:90" x14ac:dyDescent="0.3">
      <c r="A2623" t="s">
        <v>72</v>
      </c>
      <c r="B2623" t="s">
        <v>73</v>
      </c>
      <c r="C2623" t="s">
        <v>74</v>
      </c>
      <c r="E2623" t="str">
        <f>"080065490969"</f>
        <v>080065490969</v>
      </c>
      <c r="F2623" s="3">
        <v>45798</v>
      </c>
      <c r="G2623">
        <v>202602</v>
      </c>
      <c r="H2623" t="s">
        <v>75</v>
      </c>
      <c r="I2623" t="s">
        <v>76</v>
      </c>
      <c r="J2623" t="s">
        <v>77</v>
      </c>
      <c r="K2623" t="s">
        <v>78</v>
      </c>
      <c r="L2623" t="s">
        <v>90</v>
      </c>
      <c r="M2623" t="s">
        <v>91</v>
      </c>
      <c r="N2623" t="s">
        <v>543</v>
      </c>
      <c r="O2623" t="s">
        <v>82</v>
      </c>
      <c r="P2623" t="str">
        <f>"4170039794                    "</f>
        <v xml:space="preserve">4170039794                    </v>
      </c>
      <c r="Q2623">
        <v>0</v>
      </c>
      <c r="R2623">
        <v>0</v>
      </c>
      <c r="S2623">
        <v>0</v>
      </c>
      <c r="T2623">
        <v>0</v>
      </c>
      <c r="U2623">
        <v>0</v>
      </c>
      <c r="V2623">
        <v>0</v>
      </c>
      <c r="W2623">
        <v>0</v>
      </c>
      <c r="X2623">
        <v>0</v>
      </c>
      <c r="Y2623">
        <v>0</v>
      </c>
      <c r="Z2623">
        <v>0</v>
      </c>
      <c r="AA2623">
        <v>0</v>
      </c>
      <c r="AB2623">
        <v>0</v>
      </c>
      <c r="AC2623">
        <v>0</v>
      </c>
      <c r="AD2623">
        <v>0</v>
      </c>
      <c r="AE2623">
        <v>0</v>
      </c>
      <c r="AF2623">
        <v>0</v>
      </c>
      <c r="AG2623">
        <v>0</v>
      </c>
      <c r="AH2623">
        <v>0</v>
      </c>
      <c r="AI2623">
        <v>0</v>
      </c>
      <c r="AJ2623">
        <v>0</v>
      </c>
      <c r="AK2623">
        <v>0</v>
      </c>
      <c r="AL2623">
        <v>0</v>
      </c>
      <c r="AM2623">
        <v>0</v>
      </c>
      <c r="AN2623">
        <v>0</v>
      </c>
      <c r="AO2623">
        <v>0</v>
      </c>
      <c r="AP2623">
        <v>0</v>
      </c>
      <c r="AQ2623">
        <v>21.38</v>
      </c>
      <c r="AR2623">
        <v>0</v>
      </c>
      <c r="AS2623">
        <v>0</v>
      </c>
      <c r="AT2623">
        <v>0</v>
      </c>
      <c r="AU2623">
        <v>0</v>
      </c>
      <c r="AV2623">
        <v>0</v>
      </c>
      <c r="AW2623">
        <v>0</v>
      </c>
      <c r="AX2623">
        <v>0</v>
      </c>
      <c r="AY2623">
        <v>0</v>
      </c>
      <c r="AZ2623">
        <v>0</v>
      </c>
      <c r="BA2623">
        <v>0</v>
      </c>
      <c r="BB2623">
        <v>0</v>
      </c>
      <c r="BC2623">
        <v>0</v>
      </c>
      <c r="BD2623">
        <v>0</v>
      </c>
      <c r="BE2623">
        <v>0</v>
      </c>
      <c r="BF2623">
        <v>0</v>
      </c>
      <c r="BG2623">
        <v>0</v>
      </c>
      <c r="BH2623">
        <v>1</v>
      </c>
      <c r="BI2623">
        <v>1</v>
      </c>
      <c r="BJ2623">
        <v>0.6</v>
      </c>
      <c r="BK2623">
        <v>1</v>
      </c>
      <c r="BL2623">
        <v>69.98</v>
      </c>
      <c r="BM2623">
        <v>10.5</v>
      </c>
      <c r="BN2623">
        <v>80.48</v>
      </c>
      <c r="BO2623">
        <v>80.48</v>
      </c>
      <c r="BQ2623" t="s">
        <v>544</v>
      </c>
      <c r="BR2623" t="s">
        <v>84</v>
      </c>
      <c r="BS2623" s="3">
        <v>45799</v>
      </c>
      <c r="BT2623" s="4">
        <v>0.40555555555555556</v>
      </c>
      <c r="BU2623" t="s">
        <v>1764</v>
      </c>
      <c r="BV2623" t="s">
        <v>86</v>
      </c>
      <c r="BY2623">
        <v>3192</v>
      </c>
      <c r="CA2623" t="s">
        <v>283</v>
      </c>
      <c r="CC2623" t="s">
        <v>91</v>
      </c>
      <c r="CD2623">
        <v>6001</v>
      </c>
      <c r="CE2623" t="s">
        <v>176</v>
      </c>
      <c r="CF2623" s="3">
        <v>45799</v>
      </c>
      <c r="CI2623">
        <v>1</v>
      </c>
      <c r="CJ2623">
        <v>1</v>
      </c>
      <c r="CK2623">
        <v>21</v>
      </c>
      <c r="CL2623" t="s">
        <v>89</v>
      </c>
    </row>
    <row r="2624" spans="1:90" x14ac:dyDescent="0.3">
      <c r="A2624" t="s">
        <v>72</v>
      </c>
      <c r="B2624" t="s">
        <v>73</v>
      </c>
      <c r="C2624" t="s">
        <v>74</v>
      </c>
      <c r="E2624" t="str">
        <f>"080065490988"</f>
        <v>080065490988</v>
      </c>
      <c r="F2624" s="3">
        <v>45798</v>
      </c>
      <c r="G2624">
        <v>202602</v>
      </c>
      <c r="H2624" t="s">
        <v>75</v>
      </c>
      <c r="I2624" t="s">
        <v>76</v>
      </c>
      <c r="J2624" t="s">
        <v>77</v>
      </c>
      <c r="K2624" t="s">
        <v>78</v>
      </c>
      <c r="L2624" t="s">
        <v>151</v>
      </c>
      <c r="M2624" t="s">
        <v>152</v>
      </c>
      <c r="N2624" t="s">
        <v>2815</v>
      </c>
      <c r="O2624" t="s">
        <v>82</v>
      </c>
      <c r="P2624" t="str">
        <f>"4170039783                    "</f>
        <v xml:space="preserve">4170039783                    </v>
      </c>
      <c r="Q2624">
        <v>0</v>
      </c>
      <c r="R2624">
        <v>0</v>
      </c>
      <c r="S2624">
        <v>0</v>
      </c>
      <c r="T2624">
        <v>0</v>
      </c>
      <c r="U2624">
        <v>0</v>
      </c>
      <c r="V2624">
        <v>0</v>
      </c>
      <c r="W2624">
        <v>0</v>
      </c>
      <c r="X2624">
        <v>0</v>
      </c>
      <c r="Y2624">
        <v>0</v>
      </c>
      <c r="Z2624">
        <v>0</v>
      </c>
      <c r="AA2624">
        <v>0</v>
      </c>
      <c r="AB2624">
        <v>0</v>
      </c>
      <c r="AC2624">
        <v>0</v>
      </c>
      <c r="AD2624">
        <v>0</v>
      </c>
      <c r="AE2624">
        <v>0</v>
      </c>
      <c r="AF2624">
        <v>0</v>
      </c>
      <c r="AG2624">
        <v>0</v>
      </c>
      <c r="AH2624">
        <v>0</v>
      </c>
      <c r="AI2624">
        <v>0</v>
      </c>
      <c r="AJ2624">
        <v>0</v>
      </c>
      <c r="AK2624">
        <v>0</v>
      </c>
      <c r="AL2624">
        <v>0</v>
      </c>
      <c r="AM2624">
        <v>0</v>
      </c>
      <c r="AN2624">
        <v>0</v>
      </c>
      <c r="AO2624">
        <v>0</v>
      </c>
      <c r="AP2624">
        <v>0</v>
      </c>
      <c r="AQ2624">
        <v>41.43</v>
      </c>
      <c r="AR2624">
        <v>0</v>
      </c>
      <c r="AS2624">
        <v>0</v>
      </c>
      <c r="AT2624">
        <v>0</v>
      </c>
      <c r="AU2624">
        <v>0</v>
      </c>
      <c r="AV2624">
        <v>0</v>
      </c>
      <c r="AW2624">
        <v>0</v>
      </c>
      <c r="AX2624">
        <v>0</v>
      </c>
      <c r="AY2624">
        <v>0</v>
      </c>
      <c r="AZ2624">
        <v>0</v>
      </c>
      <c r="BA2624">
        <v>0</v>
      </c>
      <c r="BB2624">
        <v>0</v>
      </c>
      <c r="BC2624">
        <v>0</v>
      </c>
      <c r="BD2624">
        <v>0</v>
      </c>
      <c r="BE2624">
        <v>0</v>
      </c>
      <c r="BF2624">
        <v>0</v>
      </c>
      <c r="BG2624">
        <v>0</v>
      </c>
      <c r="BH2624">
        <v>1</v>
      </c>
      <c r="BI2624">
        <v>1</v>
      </c>
      <c r="BJ2624">
        <v>0.6</v>
      </c>
      <c r="BK2624">
        <v>1</v>
      </c>
      <c r="BL2624">
        <v>135.59</v>
      </c>
      <c r="BM2624">
        <v>20.34</v>
      </c>
      <c r="BN2624">
        <v>155.93</v>
      </c>
      <c r="BO2624">
        <v>155.93</v>
      </c>
      <c r="BQ2624" t="s">
        <v>2816</v>
      </c>
      <c r="BR2624" t="s">
        <v>84</v>
      </c>
      <c r="BS2624" s="3">
        <v>45799</v>
      </c>
      <c r="BT2624" s="4">
        <v>0.38333333333333336</v>
      </c>
      <c r="BU2624" t="s">
        <v>2817</v>
      </c>
      <c r="BV2624" t="s">
        <v>86</v>
      </c>
      <c r="BY2624">
        <v>3192</v>
      </c>
      <c r="CA2624" t="s">
        <v>743</v>
      </c>
      <c r="CC2624" t="s">
        <v>152</v>
      </c>
      <c r="CD2624">
        <v>1939</v>
      </c>
      <c r="CE2624" t="s">
        <v>176</v>
      </c>
      <c r="CF2624" s="3">
        <v>45799</v>
      </c>
      <c r="CI2624">
        <v>1</v>
      </c>
      <c r="CJ2624">
        <v>1</v>
      </c>
      <c r="CK2624">
        <v>23</v>
      </c>
      <c r="CL2624" t="s">
        <v>89</v>
      </c>
    </row>
    <row r="2625" spans="1:90" x14ac:dyDescent="0.3">
      <c r="A2625" t="s">
        <v>72</v>
      </c>
      <c r="B2625" t="s">
        <v>73</v>
      </c>
      <c r="C2625" t="s">
        <v>74</v>
      </c>
      <c r="E2625" t="str">
        <f>"080065491005"</f>
        <v>080065491005</v>
      </c>
      <c r="F2625" s="3">
        <v>45798</v>
      </c>
      <c r="G2625">
        <v>202602</v>
      </c>
      <c r="H2625" t="s">
        <v>75</v>
      </c>
      <c r="I2625" t="s">
        <v>76</v>
      </c>
      <c r="J2625" t="s">
        <v>77</v>
      </c>
      <c r="K2625" t="s">
        <v>78</v>
      </c>
      <c r="L2625" t="s">
        <v>871</v>
      </c>
      <c r="M2625" t="s">
        <v>872</v>
      </c>
      <c r="N2625" t="s">
        <v>1340</v>
      </c>
      <c r="O2625" t="s">
        <v>82</v>
      </c>
      <c r="P2625" t="str">
        <f>"4170039900                    "</f>
        <v xml:space="preserve">4170039900                    </v>
      </c>
      <c r="Q2625">
        <v>0</v>
      </c>
      <c r="R2625">
        <v>0</v>
      </c>
      <c r="S2625">
        <v>0</v>
      </c>
      <c r="T2625">
        <v>0</v>
      </c>
      <c r="U2625">
        <v>0</v>
      </c>
      <c r="V2625">
        <v>0</v>
      </c>
      <c r="W2625">
        <v>0</v>
      </c>
      <c r="X2625">
        <v>0</v>
      </c>
      <c r="Y2625">
        <v>0</v>
      </c>
      <c r="Z2625">
        <v>0</v>
      </c>
      <c r="AA2625">
        <v>0</v>
      </c>
      <c r="AB2625">
        <v>0</v>
      </c>
      <c r="AC2625">
        <v>0</v>
      </c>
      <c r="AD2625">
        <v>0</v>
      </c>
      <c r="AE2625">
        <v>0</v>
      </c>
      <c r="AF2625">
        <v>0</v>
      </c>
      <c r="AG2625">
        <v>0</v>
      </c>
      <c r="AH2625">
        <v>0</v>
      </c>
      <c r="AI2625">
        <v>0</v>
      </c>
      <c r="AJ2625">
        <v>0</v>
      </c>
      <c r="AK2625">
        <v>0</v>
      </c>
      <c r="AL2625">
        <v>0</v>
      </c>
      <c r="AM2625">
        <v>0</v>
      </c>
      <c r="AN2625">
        <v>0</v>
      </c>
      <c r="AO2625">
        <v>0</v>
      </c>
      <c r="AP2625">
        <v>0</v>
      </c>
      <c r="AQ2625">
        <v>41.43</v>
      </c>
      <c r="AR2625">
        <v>0</v>
      </c>
      <c r="AS2625">
        <v>0</v>
      </c>
      <c r="AT2625">
        <v>0</v>
      </c>
      <c r="AU2625">
        <v>0</v>
      </c>
      <c r="AV2625">
        <v>0</v>
      </c>
      <c r="AW2625">
        <v>0</v>
      </c>
      <c r="AX2625">
        <v>0</v>
      </c>
      <c r="AY2625">
        <v>0</v>
      </c>
      <c r="AZ2625">
        <v>0</v>
      </c>
      <c r="BA2625">
        <v>0</v>
      </c>
      <c r="BB2625">
        <v>0</v>
      </c>
      <c r="BC2625">
        <v>0</v>
      </c>
      <c r="BD2625">
        <v>0</v>
      </c>
      <c r="BE2625">
        <v>0</v>
      </c>
      <c r="BF2625">
        <v>0</v>
      </c>
      <c r="BG2625">
        <v>0</v>
      </c>
      <c r="BH2625">
        <v>1</v>
      </c>
      <c r="BI2625">
        <v>1</v>
      </c>
      <c r="BJ2625">
        <v>0.6</v>
      </c>
      <c r="BK2625">
        <v>1</v>
      </c>
      <c r="BL2625">
        <v>135.59</v>
      </c>
      <c r="BM2625">
        <v>20.34</v>
      </c>
      <c r="BN2625">
        <v>155.93</v>
      </c>
      <c r="BO2625">
        <v>155.93</v>
      </c>
      <c r="BQ2625" t="s">
        <v>1341</v>
      </c>
      <c r="BR2625" t="s">
        <v>84</v>
      </c>
      <c r="BS2625" s="3">
        <v>45799</v>
      </c>
      <c r="BT2625" s="4">
        <v>0.43333333333333335</v>
      </c>
      <c r="BU2625" t="s">
        <v>1342</v>
      </c>
      <c r="BV2625" t="s">
        <v>86</v>
      </c>
      <c r="BY2625">
        <v>3192</v>
      </c>
      <c r="CA2625" t="s">
        <v>1343</v>
      </c>
      <c r="CC2625" t="s">
        <v>872</v>
      </c>
      <c r="CD2625">
        <v>2302</v>
      </c>
      <c r="CE2625" t="s">
        <v>176</v>
      </c>
      <c r="CF2625" s="3">
        <v>45799</v>
      </c>
      <c r="CI2625">
        <v>1</v>
      </c>
      <c r="CJ2625">
        <v>1</v>
      </c>
      <c r="CK2625">
        <v>23</v>
      </c>
      <c r="CL2625" t="s">
        <v>89</v>
      </c>
    </row>
    <row r="2626" spans="1:90" x14ac:dyDescent="0.3">
      <c r="A2626" t="s">
        <v>72</v>
      </c>
      <c r="B2626" t="s">
        <v>73</v>
      </c>
      <c r="C2626" t="s">
        <v>74</v>
      </c>
      <c r="E2626" t="str">
        <f>"080065491023"</f>
        <v>080065491023</v>
      </c>
      <c r="F2626" s="3">
        <v>45798</v>
      </c>
      <c r="G2626">
        <v>202602</v>
      </c>
      <c r="H2626" t="s">
        <v>75</v>
      </c>
      <c r="I2626" t="s">
        <v>76</v>
      </c>
      <c r="J2626" t="s">
        <v>77</v>
      </c>
      <c r="K2626" t="s">
        <v>78</v>
      </c>
      <c r="L2626" t="s">
        <v>75</v>
      </c>
      <c r="M2626" t="s">
        <v>76</v>
      </c>
      <c r="N2626" t="s">
        <v>346</v>
      </c>
      <c r="O2626" t="s">
        <v>82</v>
      </c>
      <c r="P2626" t="str">
        <f>"4170039791                    "</f>
        <v xml:space="preserve">4170039791                    </v>
      </c>
      <c r="Q2626">
        <v>0</v>
      </c>
      <c r="R2626">
        <v>0</v>
      </c>
      <c r="S2626">
        <v>0</v>
      </c>
      <c r="T2626">
        <v>0</v>
      </c>
      <c r="U2626">
        <v>0</v>
      </c>
      <c r="V2626">
        <v>0</v>
      </c>
      <c r="W2626">
        <v>0</v>
      </c>
      <c r="X2626">
        <v>0</v>
      </c>
      <c r="Y2626">
        <v>0</v>
      </c>
      <c r="Z2626">
        <v>0</v>
      </c>
      <c r="AA2626">
        <v>0</v>
      </c>
      <c r="AB2626">
        <v>0</v>
      </c>
      <c r="AC2626">
        <v>0</v>
      </c>
      <c r="AD2626">
        <v>0</v>
      </c>
      <c r="AE2626">
        <v>0</v>
      </c>
      <c r="AF2626">
        <v>0</v>
      </c>
      <c r="AG2626">
        <v>0</v>
      </c>
      <c r="AH2626">
        <v>0</v>
      </c>
      <c r="AI2626">
        <v>0</v>
      </c>
      <c r="AJ2626">
        <v>0</v>
      </c>
      <c r="AK2626">
        <v>0</v>
      </c>
      <c r="AL2626">
        <v>0</v>
      </c>
      <c r="AM2626">
        <v>0</v>
      </c>
      <c r="AN2626">
        <v>0</v>
      </c>
      <c r="AO2626">
        <v>0</v>
      </c>
      <c r="AP2626">
        <v>0</v>
      </c>
      <c r="AQ2626">
        <v>16.7</v>
      </c>
      <c r="AR2626">
        <v>0</v>
      </c>
      <c r="AS2626">
        <v>0</v>
      </c>
      <c r="AT2626">
        <v>0</v>
      </c>
      <c r="AU2626">
        <v>0</v>
      </c>
      <c r="AV2626">
        <v>0</v>
      </c>
      <c r="AW2626">
        <v>0</v>
      </c>
      <c r="AX2626">
        <v>0</v>
      </c>
      <c r="AY2626">
        <v>0</v>
      </c>
      <c r="AZ2626">
        <v>0</v>
      </c>
      <c r="BA2626">
        <v>0</v>
      </c>
      <c r="BB2626">
        <v>0</v>
      </c>
      <c r="BC2626">
        <v>0</v>
      </c>
      <c r="BD2626">
        <v>0</v>
      </c>
      <c r="BE2626">
        <v>0</v>
      </c>
      <c r="BF2626">
        <v>0</v>
      </c>
      <c r="BG2626">
        <v>0</v>
      </c>
      <c r="BH2626">
        <v>1</v>
      </c>
      <c r="BI2626">
        <v>1</v>
      </c>
      <c r="BJ2626">
        <v>1.7</v>
      </c>
      <c r="BK2626">
        <v>2</v>
      </c>
      <c r="BL2626">
        <v>54.66</v>
      </c>
      <c r="BM2626">
        <v>8.1999999999999993</v>
      </c>
      <c r="BN2626">
        <v>62.86</v>
      </c>
      <c r="BO2626">
        <v>62.86</v>
      </c>
      <c r="BQ2626" t="s">
        <v>347</v>
      </c>
      <c r="BR2626" t="s">
        <v>84</v>
      </c>
      <c r="BS2626" s="3">
        <v>45799</v>
      </c>
      <c r="BT2626" s="4">
        <v>0.36249999999999999</v>
      </c>
      <c r="BU2626" t="s">
        <v>2772</v>
      </c>
      <c r="BV2626" t="s">
        <v>86</v>
      </c>
      <c r="BY2626">
        <v>8550</v>
      </c>
      <c r="CA2626" t="s">
        <v>706</v>
      </c>
      <c r="CC2626" t="s">
        <v>76</v>
      </c>
      <c r="CD2626">
        <v>1619</v>
      </c>
      <c r="CE2626" t="s">
        <v>176</v>
      </c>
      <c r="CF2626" s="3">
        <v>45799</v>
      </c>
      <c r="CI2626">
        <v>1</v>
      </c>
      <c r="CJ2626">
        <v>1</v>
      </c>
      <c r="CK2626">
        <v>22</v>
      </c>
      <c r="CL2626" t="s">
        <v>89</v>
      </c>
    </row>
    <row r="2627" spans="1:90" x14ac:dyDescent="0.3">
      <c r="A2627" t="s">
        <v>72</v>
      </c>
      <c r="B2627" t="s">
        <v>73</v>
      </c>
      <c r="C2627" t="s">
        <v>74</v>
      </c>
      <c r="E2627" t="str">
        <f>"080065491377"</f>
        <v>080065491377</v>
      </c>
      <c r="F2627" s="3">
        <v>45798</v>
      </c>
      <c r="G2627">
        <v>202602</v>
      </c>
      <c r="H2627" t="s">
        <v>75</v>
      </c>
      <c r="I2627" t="s">
        <v>76</v>
      </c>
      <c r="J2627" t="s">
        <v>77</v>
      </c>
      <c r="K2627" t="s">
        <v>78</v>
      </c>
      <c r="L2627" t="s">
        <v>350</v>
      </c>
      <c r="M2627" t="s">
        <v>351</v>
      </c>
      <c r="N2627" t="s">
        <v>678</v>
      </c>
      <c r="O2627" t="s">
        <v>82</v>
      </c>
      <c r="P2627" t="str">
        <f>"4170039805                    "</f>
        <v xml:space="preserve">4170039805                    </v>
      </c>
      <c r="Q2627">
        <v>0</v>
      </c>
      <c r="R2627">
        <v>0</v>
      </c>
      <c r="S2627">
        <v>0</v>
      </c>
      <c r="T2627">
        <v>0</v>
      </c>
      <c r="U2627">
        <v>0</v>
      </c>
      <c r="V2627">
        <v>0</v>
      </c>
      <c r="W2627">
        <v>0</v>
      </c>
      <c r="X2627">
        <v>0</v>
      </c>
      <c r="Y2627">
        <v>0</v>
      </c>
      <c r="Z2627">
        <v>0</v>
      </c>
      <c r="AA2627">
        <v>0</v>
      </c>
      <c r="AB2627">
        <v>0</v>
      </c>
      <c r="AC2627">
        <v>0</v>
      </c>
      <c r="AD2627">
        <v>0</v>
      </c>
      <c r="AE2627">
        <v>0</v>
      </c>
      <c r="AF2627">
        <v>0</v>
      </c>
      <c r="AG2627">
        <v>0</v>
      </c>
      <c r="AH2627">
        <v>0</v>
      </c>
      <c r="AI2627">
        <v>0</v>
      </c>
      <c r="AJ2627">
        <v>0</v>
      </c>
      <c r="AK2627">
        <v>0</v>
      </c>
      <c r="AL2627">
        <v>0</v>
      </c>
      <c r="AM2627">
        <v>0</v>
      </c>
      <c r="AN2627">
        <v>0</v>
      </c>
      <c r="AO2627">
        <v>0</v>
      </c>
      <c r="AP2627">
        <v>0</v>
      </c>
      <c r="AQ2627">
        <v>21.38</v>
      </c>
      <c r="AR2627">
        <v>0</v>
      </c>
      <c r="AS2627">
        <v>0</v>
      </c>
      <c r="AT2627">
        <v>0</v>
      </c>
      <c r="AU2627">
        <v>0</v>
      </c>
      <c r="AV2627">
        <v>0</v>
      </c>
      <c r="AW2627">
        <v>0</v>
      </c>
      <c r="AX2627">
        <v>0</v>
      </c>
      <c r="AY2627">
        <v>0</v>
      </c>
      <c r="AZ2627">
        <v>0</v>
      </c>
      <c r="BA2627">
        <v>0</v>
      </c>
      <c r="BB2627">
        <v>0</v>
      </c>
      <c r="BC2627">
        <v>0</v>
      </c>
      <c r="BD2627">
        <v>0</v>
      </c>
      <c r="BE2627">
        <v>0</v>
      </c>
      <c r="BF2627">
        <v>0</v>
      </c>
      <c r="BG2627">
        <v>0</v>
      </c>
      <c r="BH2627">
        <v>1</v>
      </c>
      <c r="BI2627">
        <v>2</v>
      </c>
      <c r="BJ2627">
        <v>2</v>
      </c>
      <c r="BK2627">
        <v>2</v>
      </c>
      <c r="BL2627">
        <v>69.98</v>
      </c>
      <c r="BM2627">
        <v>10.5</v>
      </c>
      <c r="BN2627">
        <v>80.48</v>
      </c>
      <c r="BO2627">
        <v>80.48</v>
      </c>
      <c r="BQ2627" t="s">
        <v>679</v>
      </c>
      <c r="BR2627" t="s">
        <v>84</v>
      </c>
      <c r="BS2627" s="3">
        <v>45799</v>
      </c>
      <c r="BT2627" s="4">
        <v>0.41805555555555557</v>
      </c>
      <c r="BU2627" t="s">
        <v>1828</v>
      </c>
      <c r="BV2627" t="s">
        <v>86</v>
      </c>
      <c r="BY2627">
        <v>9800</v>
      </c>
      <c r="CA2627" t="s">
        <v>326</v>
      </c>
      <c r="CC2627" t="s">
        <v>351</v>
      </c>
      <c r="CD2627">
        <v>4052</v>
      </c>
      <c r="CE2627" t="s">
        <v>221</v>
      </c>
      <c r="CF2627" s="3">
        <v>45800</v>
      </c>
      <c r="CI2627">
        <v>1</v>
      </c>
      <c r="CJ2627">
        <v>1</v>
      </c>
      <c r="CK2627">
        <v>21</v>
      </c>
      <c r="CL2627" t="s">
        <v>89</v>
      </c>
    </row>
    <row r="2628" spans="1:90" x14ac:dyDescent="0.3">
      <c r="A2628" t="s">
        <v>72</v>
      </c>
      <c r="B2628" t="s">
        <v>73</v>
      </c>
      <c r="C2628" t="s">
        <v>74</v>
      </c>
      <c r="E2628" t="str">
        <f>"080065491478"</f>
        <v>080065491478</v>
      </c>
      <c r="F2628" s="3">
        <v>45798</v>
      </c>
      <c r="G2628">
        <v>202602</v>
      </c>
      <c r="H2628" t="s">
        <v>75</v>
      </c>
      <c r="I2628" t="s">
        <v>76</v>
      </c>
      <c r="J2628" t="s">
        <v>77</v>
      </c>
      <c r="K2628" t="s">
        <v>78</v>
      </c>
      <c r="L2628" t="s">
        <v>90</v>
      </c>
      <c r="M2628" t="s">
        <v>91</v>
      </c>
      <c r="N2628" t="s">
        <v>543</v>
      </c>
      <c r="O2628" t="s">
        <v>82</v>
      </c>
      <c r="P2628" t="str">
        <f>"4170039797                    "</f>
        <v xml:space="preserve">4170039797                    </v>
      </c>
      <c r="Q2628">
        <v>0</v>
      </c>
      <c r="R2628">
        <v>0</v>
      </c>
      <c r="S2628">
        <v>0</v>
      </c>
      <c r="T2628">
        <v>0</v>
      </c>
      <c r="U2628">
        <v>0</v>
      </c>
      <c r="V2628">
        <v>0</v>
      </c>
      <c r="W2628">
        <v>0</v>
      </c>
      <c r="X2628">
        <v>0</v>
      </c>
      <c r="Y2628">
        <v>0</v>
      </c>
      <c r="Z2628">
        <v>0</v>
      </c>
      <c r="AA2628">
        <v>0</v>
      </c>
      <c r="AB2628">
        <v>0</v>
      </c>
      <c r="AC2628">
        <v>0</v>
      </c>
      <c r="AD2628">
        <v>0</v>
      </c>
      <c r="AE2628">
        <v>0</v>
      </c>
      <c r="AF2628">
        <v>0</v>
      </c>
      <c r="AG2628">
        <v>0</v>
      </c>
      <c r="AH2628">
        <v>0</v>
      </c>
      <c r="AI2628">
        <v>0</v>
      </c>
      <c r="AJ2628">
        <v>0</v>
      </c>
      <c r="AK2628">
        <v>0</v>
      </c>
      <c r="AL2628">
        <v>0</v>
      </c>
      <c r="AM2628">
        <v>0</v>
      </c>
      <c r="AN2628">
        <v>0</v>
      </c>
      <c r="AO2628">
        <v>0</v>
      </c>
      <c r="AP2628">
        <v>0</v>
      </c>
      <c r="AQ2628">
        <v>21.38</v>
      </c>
      <c r="AR2628">
        <v>0</v>
      </c>
      <c r="AS2628">
        <v>0</v>
      </c>
      <c r="AT2628">
        <v>0</v>
      </c>
      <c r="AU2628">
        <v>0</v>
      </c>
      <c r="AV2628">
        <v>0</v>
      </c>
      <c r="AW2628">
        <v>0</v>
      </c>
      <c r="AX2628">
        <v>0</v>
      </c>
      <c r="AY2628">
        <v>0</v>
      </c>
      <c r="AZ2628">
        <v>0</v>
      </c>
      <c r="BA2628">
        <v>0</v>
      </c>
      <c r="BB2628">
        <v>0</v>
      </c>
      <c r="BC2628">
        <v>0</v>
      </c>
      <c r="BD2628">
        <v>0</v>
      </c>
      <c r="BE2628">
        <v>0</v>
      </c>
      <c r="BF2628">
        <v>0</v>
      </c>
      <c r="BG2628">
        <v>0</v>
      </c>
      <c r="BH2628">
        <v>1</v>
      </c>
      <c r="BI2628">
        <v>1</v>
      </c>
      <c r="BJ2628">
        <v>0.2</v>
      </c>
      <c r="BK2628">
        <v>1</v>
      </c>
      <c r="BL2628">
        <v>69.98</v>
      </c>
      <c r="BM2628">
        <v>10.5</v>
      </c>
      <c r="BN2628">
        <v>80.48</v>
      </c>
      <c r="BO2628">
        <v>80.48</v>
      </c>
      <c r="BQ2628" t="s">
        <v>544</v>
      </c>
      <c r="BR2628" t="s">
        <v>84</v>
      </c>
      <c r="BS2628" s="3">
        <v>45799</v>
      </c>
      <c r="BT2628" s="4">
        <v>0.40694444444444444</v>
      </c>
      <c r="BU2628" t="s">
        <v>1764</v>
      </c>
      <c r="BV2628" t="s">
        <v>86</v>
      </c>
      <c r="BY2628">
        <v>1200</v>
      </c>
      <c r="CA2628" t="s">
        <v>283</v>
      </c>
      <c r="CC2628" t="s">
        <v>91</v>
      </c>
      <c r="CD2628">
        <v>6001</v>
      </c>
      <c r="CE2628" t="s">
        <v>88</v>
      </c>
      <c r="CF2628" s="3">
        <v>45799</v>
      </c>
      <c r="CI2628">
        <v>1</v>
      </c>
      <c r="CJ2628">
        <v>1</v>
      </c>
      <c r="CK2628">
        <v>21</v>
      </c>
      <c r="CL2628" t="s">
        <v>89</v>
      </c>
    </row>
    <row r="2629" spans="1:90" x14ac:dyDescent="0.3">
      <c r="A2629" t="s">
        <v>72</v>
      </c>
      <c r="B2629" t="s">
        <v>73</v>
      </c>
      <c r="C2629" t="s">
        <v>74</v>
      </c>
      <c r="E2629" t="str">
        <f>"080065491490"</f>
        <v>080065491490</v>
      </c>
      <c r="F2629" s="3">
        <v>45798</v>
      </c>
      <c r="G2629">
        <v>202602</v>
      </c>
      <c r="H2629" t="s">
        <v>75</v>
      </c>
      <c r="I2629" t="s">
        <v>76</v>
      </c>
      <c r="J2629" t="s">
        <v>77</v>
      </c>
      <c r="K2629" t="s">
        <v>78</v>
      </c>
      <c r="L2629" t="s">
        <v>117</v>
      </c>
      <c r="M2629" t="s">
        <v>118</v>
      </c>
      <c r="N2629" t="s">
        <v>1019</v>
      </c>
      <c r="O2629" t="s">
        <v>82</v>
      </c>
      <c r="P2629" t="str">
        <f>"4170039746                    "</f>
        <v xml:space="preserve">4170039746                    </v>
      </c>
      <c r="Q2629">
        <v>0</v>
      </c>
      <c r="R2629">
        <v>0</v>
      </c>
      <c r="S2629">
        <v>0</v>
      </c>
      <c r="T2629">
        <v>0</v>
      </c>
      <c r="U2629">
        <v>0</v>
      </c>
      <c r="V2629">
        <v>0</v>
      </c>
      <c r="W2629">
        <v>0</v>
      </c>
      <c r="X2629">
        <v>0</v>
      </c>
      <c r="Y2629">
        <v>0</v>
      </c>
      <c r="Z2629">
        <v>0</v>
      </c>
      <c r="AA2629">
        <v>0</v>
      </c>
      <c r="AB2629">
        <v>0</v>
      </c>
      <c r="AC2629">
        <v>0</v>
      </c>
      <c r="AD2629">
        <v>0</v>
      </c>
      <c r="AE2629">
        <v>0</v>
      </c>
      <c r="AF2629">
        <v>0</v>
      </c>
      <c r="AG2629">
        <v>0</v>
      </c>
      <c r="AH2629">
        <v>0</v>
      </c>
      <c r="AI2629">
        <v>0</v>
      </c>
      <c r="AJ2629">
        <v>0</v>
      </c>
      <c r="AK2629">
        <v>0</v>
      </c>
      <c r="AL2629">
        <v>0</v>
      </c>
      <c r="AM2629">
        <v>0</v>
      </c>
      <c r="AN2629">
        <v>0</v>
      </c>
      <c r="AO2629">
        <v>0</v>
      </c>
      <c r="AP2629">
        <v>0</v>
      </c>
      <c r="AQ2629">
        <v>16.7</v>
      </c>
      <c r="AR2629">
        <v>0</v>
      </c>
      <c r="AS2629">
        <v>0</v>
      </c>
      <c r="AT2629">
        <v>0</v>
      </c>
      <c r="AU2629">
        <v>0</v>
      </c>
      <c r="AV2629">
        <v>0</v>
      </c>
      <c r="AW2629">
        <v>0</v>
      </c>
      <c r="AX2629">
        <v>0</v>
      </c>
      <c r="AY2629">
        <v>0</v>
      </c>
      <c r="AZ2629">
        <v>0</v>
      </c>
      <c r="BA2629">
        <v>0</v>
      </c>
      <c r="BB2629">
        <v>0</v>
      </c>
      <c r="BC2629">
        <v>0</v>
      </c>
      <c r="BD2629">
        <v>0</v>
      </c>
      <c r="BE2629">
        <v>0</v>
      </c>
      <c r="BF2629">
        <v>0</v>
      </c>
      <c r="BG2629">
        <v>0</v>
      </c>
      <c r="BH2629">
        <v>1</v>
      </c>
      <c r="BI2629">
        <v>6</v>
      </c>
      <c r="BJ2629">
        <v>1.7</v>
      </c>
      <c r="BK2629">
        <v>6</v>
      </c>
      <c r="BL2629">
        <v>54.66</v>
      </c>
      <c r="BM2629">
        <v>8.1999999999999993</v>
      </c>
      <c r="BN2629">
        <v>62.86</v>
      </c>
      <c r="BO2629">
        <v>62.86</v>
      </c>
      <c r="BQ2629" t="s">
        <v>1020</v>
      </c>
      <c r="BR2629" t="s">
        <v>84</v>
      </c>
      <c r="BS2629" s="3">
        <v>45799</v>
      </c>
      <c r="BT2629" s="4">
        <v>0.35416666666666669</v>
      </c>
      <c r="BU2629" t="s">
        <v>1021</v>
      </c>
      <c r="BV2629" t="s">
        <v>86</v>
      </c>
      <c r="BY2629">
        <v>8512</v>
      </c>
      <c r="CA2629" t="s">
        <v>275</v>
      </c>
      <c r="CC2629" t="s">
        <v>118</v>
      </c>
      <c r="CD2629">
        <v>2013</v>
      </c>
      <c r="CE2629" t="s">
        <v>116</v>
      </c>
      <c r="CF2629" s="3">
        <v>45799</v>
      </c>
      <c r="CI2629">
        <v>1</v>
      </c>
      <c r="CJ2629">
        <v>1</v>
      </c>
      <c r="CK2629">
        <v>22</v>
      </c>
      <c r="CL2629" t="s">
        <v>89</v>
      </c>
    </row>
    <row r="2630" spans="1:90" x14ac:dyDescent="0.3">
      <c r="A2630" t="s">
        <v>72</v>
      </c>
      <c r="B2630" t="s">
        <v>73</v>
      </c>
      <c r="C2630" t="s">
        <v>74</v>
      </c>
      <c r="E2630" t="str">
        <f>"080065491512"</f>
        <v>080065491512</v>
      </c>
      <c r="F2630" s="3">
        <v>45798</v>
      </c>
      <c r="G2630">
        <v>202602</v>
      </c>
      <c r="H2630" t="s">
        <v>75</v>
      </c>
      <c r="I2630" t="s">
        <v>76</v>
      </c>
      <c r="J2630" t="s">
        <v>77</v>
      </c>
      <c r="K2630" t="s">
        <v>78</v>
      </c>
      <c r="L2630" t="s">
        <v>79</v>
      </c>
      <c r="M2630" t="s">
        <v>80</v>
      </c>
      <c r="N2630" t="s">
        <v>452</v>
      </c>
      <c r="O2630" t="s">
        <v>82</v>
      </c>
      <c r="P2630" t="str">
        <f>"4170039726                    "</f>
        <v xml:space="preserve">4170039726                    </v>
      </c>
      <c r="Q2630">
        <v>0</v>
      </c>
      <c r="R2630">
        <v>0</v>
      </c>
      <c r="S2630">
        <v>0</v>
      </c>
      <c r="T2630">
        <v>0</v>
      </c>
      <c r="U2630">
        <v>0</v>
      </c>
      <c r="V2630">
        <v>0</v>
      </c>
      <c r="W2630">
        <v>0</v>
      </c>
      <c r="X2630">
        <v>0</v>
      </c>
      <c r="Y2630">
        <v>0</v>
      </c>
      <c r="Z2630">
        <v>0</v>
      </c>
      <c r="AA2630">
        <v>0</v>
      </c>
      <c r="AB2630">
        <v>0</v>
      </c>
      <c r="AC2630">
        <v>0</v>
      </c>
      <c r="AD2630">
        <v>0</v>
      </c>
      <c r="AE2630">
        <v>0</v>
      </c>
      <c r="AF2630">
        <v>0</v>
      </c>
      <c r="AG2630">
        <v>0</v>
      </c>
      <c r="AH2630">
        <v>0</v>
      </c>
      <c r="AI2630">
        <v>0</v>
      </c>
      <c r="AJ2630">
        <v>0</v>
      </c>
      <c r="AK2630">
        <v>0</v>
      </c>
      <c r="AL2630">
        <v>0</v>
      </c>
      <c r="AM2630">
        <v>0</v>
      </c>
      <c r="AN2630">
        <v>0</v>
      </c>
      <c r="AO2630">
        <v>0</v>
      </c>
      <c r="AP2630">
        <v>0</v>
      </c>
      <c r="AQ2630">
        <v>21.38</v>
      </c>
      <c r="AR2630">
        <v>0</v>
      </c>
      <c r="AS2630">
        <v>0</v>
      </c>
      <c r="AT2630">
        <v>0</v>
      </c>
      <c r="AU2630">
        <v>0</v>
      </c>
      <c r="AV2630">
        <v>0</v>
      </c>
      <c r="AW2630">
        <v>0</v>
      </c>
      <c r="AX2630">
        <v>0</v>
      </c>
      <c r="AY2630">
        <v>0</v>
      </c>
      <c r="AZ2630">
        <v>0</v>
      </c>
      <c r="BA2630">
        <v>0</v>
      </c>
      <c r="BB2630">
        <v>0</v>
      </c>
      <c r="BC2630">
        <v>0</v>
      </c>
      <c r="BD2630">
        <v>0</v>
      </c>
      <c r="BE2630">
        <v>0</v>
      </c>
      <c r="BF2630">
        <v>0</v>
      </c>
      <c r="BG2630">
        <v>0</v>
      </c>
      <c r="BH2630">
        <v>1</v>
      </c>
      <c r="BI2630">
        <v>1</v>
      </c>
      <c r="BJ2630">
        <v>0.2</v>
      </c>
      <c r="BK2630">
        <v>1</v>
      </c>
      <c r="BL2630">
        <v>69.98</v>
      </c>
      <c r="BM2630">
        <v>10.5</v>
      </c>
      <c r="BN2630">
        <v>80.48</v>
      </c>
      <c r="BO2630">
        <v>80.48</v>
      </c>
      <c r="BQ2630" t="s">
        <v>453</v>
      </c>
      <c r="BR2630" t="s">
        <v>84</v>
      </c>
      <c r="BS2630" s="3">
        <v>45799</v>
      </c>
      <c r="BT2630" s="4">
        <v>0.3888888888888889</v>
      </c>
      <c r="BU2630" t="s">
        <v>1071</v>
      </c>
      <c r="BV2630" t="s">
        <v>86</v>
      </c>
      <c r="BY2630">
        <v>1200</v>
      </c>
      <c r="CA2630" t="s">
        <v>160</v>
      </c>
      <c r="CC2630" t="s">
        <v>80</v>
      </c>
      <c r="CD2630">
        <v>3610</v>
      </c>
      <c r="CE2630" t="s">
        <v>88</v>
      </c>
      <c r="CF2630" s="3">
        <v>45800</v>
      </c>
      <c r="CI2630">
        <v>1</v>
      </c>
      <c r="CJ2630">
        <v>1</v>
      </c>
      <c r="CK2630">
        <v>21</v>
      </c>
      <c r="CL2630" t="s">
        <v>89</v>
      </c>
    </row>
    <row r="2631" spans="1:90" x14ac:dyDescent="0.3">
      <c r="A2631" t="s">
        <v>72</v>
      </c>
      <c r="B2631" t="s">
        <v>73</v>
      </c>
      <c r="C2631" t="s">
        <v>74</v>
      </c>
      <c r="E2631" t="str">
        <f>"080065491530"</f>
        <v>080065491530</v>
      </c>
      <c r="F2631" s="3">
        <v>45798</v>
      </c>
      <c r="G2631">
        <v>202602</v>
      </c>
      <c r="H2631" t="s">
        <v>75</v>
      </c>
      <c r="I2631" t="s">
        <v>76</v>
      </c>
      <c r="J2631" t="s">
        <v>77</v>
      </c>
      <c r="K2631" t="s">
        <v>78</v>
      </c>
      <c r="L2631" t="s">
        <v>75</v>
      </c>
      <c r="M2631" t="s">
        <v>76</v>
      </c>
      <c r="N2631" t="s">
        <v>390</v>
      </c>
      <c r="O2631" t="s">
        <v>82</v>
      </c>
      <c r="P2631" t="str">
        <f>"4170039850                    "</f>
        <v xml:space="preserve">4170039850                    </v>
      </c>
      <c r="Q2631">
        <v>0</v>
      </c>
      <c r="R2631">
        <v>0</v>
      </c>
      <c r="S2631">
        <v>0</v>
      </c>
      <c r="T2631">
        <v>0</v>
      </c>
      <c r="U2631">
        <v>0</v>
      </c>
      <c r="V2631">
        <v>0</v>
      </c>
      <c r="W2631">
        <v>0</v>
      </c>
      <c r="X2631">
        <v>0</v>
      </c>
      <c r="Y2631">
        <v>0</v>
      </c>
      <c r="Z2631">
        <v>0</v>
      </c>
      <c r="AA2631">
        <v>0</v>
      </c>
      <c r="AB2631">
        <v>0</v>
      </c>
      <c r="AC2631">
        <v>0</v>
      </c>
      <c r="AD2631">
        <v>0</v>
      </c>
      <c r="AE2631">
        <v>0</v>
      </c>
      <c r="AF2631">
        <v>0</v>
      </c>
      <c r="AG2631">
        <v>0</v>
      </c>
      <c r="AH2631">
        <v>0</v>
      </c>
      <c r="AI2631">
        <v>0</v>
      </c>
      <c r="AJ2631">
        <v>0</v>
      </c>
      <c r="AK2631">
        <v>0</v>
      </c>
      <c r="AL2631">
        <v>0</v>
      </c>
      <c r="AM2631">
        <v>0</v>
      </c>
      <c r="AN2631">
        <v>0</v>
      </c>
      <c r="AO2631">
        <v>0</v>
      </c>
      <c r="AP2631">
        <v>0</v>
      </c>
      <c r="AQ2631">
        <v>16.7</v>
      </c>
      <c r="AR2631">
        <v>0</v>
      </c>
      <c r="AS2631">
        <v>0</v>
      </c>
      <c r="AT2631">
        <v>0</v>
      </c>
      <c r="AU2631">
        <v>0</v>
      </c>
      <c r="AV2631">
        <v>0</v>
      </c>
      <c r="AW2631">
        <v>0</v>
      </c>
      <c r="AX2631">
        <v>0</v>
      </c>
      <c r="AY2631">
        <v>0</v>
      </c>
      <c r="AZ2631">
        <v>0</v>
      </c>
      <c r="BA2631">
        <v>0</v>
      </c>
      <c r="BB2631">
        <v>0</v>
      </c>
      <c r="BC2631">
        <v>0</v>
      </c>
      <c r="BD2631">
        <v>0</v>
      </c>
      <c r="BE2631">
        <v>0</v>
      </c>
      <c r="BF2631">
        <v>0</v>
      </c>
      <c r="BG2631">
        <v>0</v>
      </c>
      <c r="BH2631">
        <v>1</v>
      </c>
      <c r="BI2631">
        <v>1</v>
      </c>
      <c r="BJ2631">
        <v>0.2</v>
      </c>
      <c r="BK2631">
        <v>1</v>
      </c>
      <c r="BL2631">
        <v>54.66</v>
      </c>
      <c r="BM2631">
        <v>8.1999999999999993</v>
      </c>
      <c r="BN2631">
        <v>62.86</v>
      </c>
      <c r="BO2631">
        <v>62.86</v>
      </c>
      <c r="BQ2631" t="s">
        <v>391</v>
      </c>
      <c r="BR2631" t="s">
        <v>84</v>
      </c>
      <c r="BS2631" s="3">
        <v>45799</v>
      </c>
      <c r="BT2631" s="4">
        <v>0.34722222222222221</v>
      </c>
      <c r="BU2631" t="s">
        <v>2078</v>
      </c>
      <c r="BV2631" t="s">
        <v>86</v>
      </c>
      <c r="BY2631">
        <v>1200</v>
      </c>
      <c r="CA2631" t="s">
        <v>115</v>
      </c>
      <c r="CC2631" t="s">
        <v>76</v>
      </c>
      <c r="CD2631">
        <v>1600</v>
      </c>
      <c r="CE2631" t="s">
        <v>88</v>
      </c>
      <c r="CF2631" s="3">
        <v>45799</v>
      </c>
      <c r="CI2631">
        <v>1</v>
      </c>
      <c r="CJ2631">
        <v>1</v>
      </c>
      <c r="CK2631">
        <v>22</v>
      </c>
      <c r="CL2631" t="s">
        <v>89</v>
      </c>
    </row>
    <row r="2632" spans="1:90" x14ac:dyDescent="0.3">
      <c r="A2632" t="s">
        <v>72</v>
      </c>
      <c r="B2632" t="s">
        <v>73</v>
      </c>
      <c r="C2632" t="s">
        <v>74</v>
      </c>
      <c r="E2632" t="str">
        <f>"080065491527"</f>
        <v>080065491527</v>
      </c>
      <c r="F2632" s="3">
        <v>45798</v>
      </c>
      <c r="G2632">
        <v>202602</v>
      </c>
      <c r="H2632" t="s">
        <v>75</v>
      </c>
      <c r="I2632" t="s">
        <v>76</v>
      </c>
      <c r="J2632" t="s">
        <v>77</v>
      </c>
      <c r="K2632" t="s">
        <v>78</v>
      </c>
      <c r="L2632" t="s">
        <v>136</v>
      </c>
      <c r="M2632" t="s">
        <v>137</v>
      </c>
      <c r="N2632" t="s">
        <v>161</v>
      </c>
      <c r="O2632" t="s">
        <v>300</v>
      </c>
      <c r="P2632" t="str">
        <f>"4170039786                    "</f>
        <v xml:space="preserve">4170039786                    </v>
      </c>
      <c r="Q2632">
        <v>0</v>
      </c>
      <c r="R2632">
        <v>0</v>
      </c>
      <c r="S2632">
        <v>0</v>
      </c>
      <c r="T2632">
        <v>0</v>
      </c>
      <c r="U2632">
        <v>0</v>
      </c>
      <c r="V2632">
        <v>0</v>
      </c>
      <c r="W2632">
        <v>0</v>
      </c>
      <c r="X2632">
        <v>0</v>
      </c>
      <c r="Y2632">
        <v>0</v>
      </c>
      <c r="Z2632">
        <v>0</v>
      </c>
      <c r="AA2632">
        <v>0</v>
      </c>
      <c r="AB2632">
        <v>0</v>
      </c>
      <c r="AC2632">
        <v>0</v>
      </c>
      <c r="AD2632">
        <v>0</v>
      </c>
      <c r="AE2632">
        <v>0</v>
      </c>
      <c r="AF2632">
        <v>0</v>
      </c>
      <c r="AG2632">
        <v>0</v>
      </c>
      <c r="AH2632">
        <v>0</v>
      </c>
      <c r="AI2632">
        <v>0</v>
      </c>
      <c r="AJ2632">
        <v>0</v>
      </c>
      <c r="AK2632">
        <v>0</v>
      </c>
      <c r="AL2632">
        <v>0</v>
      </c>
      <c r="AM2632">
        <v>0</v>
      </c>
      <c r="AN2632">
        <v>0</v>
      </c>
      <c r="AO2632">
        <v>0</v>
      </c>
      <c r="AP2632">
        <v>0</v>
      </c>
      <c r="AQ2632">
        <v>41.35</v>
      </c>
      <c r="AR2632">
        <v>0</v>
      </c>
      <c r="AS2632">
        <v>0</v>
      </c>
      <c r="AT2632">
        <v>0</v>
      </c>
      <c r="AU2632">
        <v>0</v>
      </c>
      <c r="AV2632">
        <v>0</v>
      </c>
      <c r="AW2632">
        <v>0</v>
      </c>
      <c r="AX2632">
        <v>0</v>
      </c>
      <c r="AY2632">
        <v>0</v>
      </c>
      <c r="AZ2632">
        <v>0</v>
      </c>
      <c r="BA2632">
        <v>0</v>
      </c>
      <c r="BB2632">
        <v>0</v>
      </c>
      <c r="BC2632">
        <v>0</v>
      </c>
      <c r="BD2632">
        <v>0</v>
      </c>
      <c r="BE2632">
        <v>0</v>
      </c>
      <c r="BF2632">
        <v>0</v>
      </c>
      <c r="BG2632">
        <v>0</v>
      </c>
      <c r="BH2632">
        <v>1</v>
      </c>
      <c r="BI2632">
        <v>5</v>
      </c>
      <c r="BJ2632">
        <v>1.7</v>
      </c>
      <c r="BK2632">
        <v>5</v>
      </c>
      <c r="BL2632">
        <v>140.9</v>
      </c>
      <c r="BM2632">
        <v>21.14</v>
      </c>
      <c r="BN2632">
        <v>162.04</v>
      </c>
      <c r="BO2632">
        <v>162.04</v>
      </c>
      <c r="BQ2632" t="s">
        <v>162</v>
      </c>
      <c r="BR2632" t="s">
        <v>84</v>
      </c>
      <c r="BS2632" s="3">
        <v>45800</v>
      </c>
      <c r="BT2632" s="4">
        <v>0.37847222222222221</v>
      </c>
      <c r="BU2632" t="s">
        <v>1337</v>
      </c>
      <c r="BV2632" t="s">
        <v>89</v>
      </c>
      <c r="BW2632" t="s">
        <v>148</v>
      </c>
      <c r="BX2632" t="s">
        <v>2818</v>
      </c>
      <c r="BY2632">
        <v>8512</v>
      </c>
      <c r="CA2632" t="s">
        <v>199</v>
      </c>
      <c r="CC2632" t="s">
        <v>137</v>
      </c>
      <c r="CD2632" s="5" t="s">
        <v>165</v>
      </c>
      <c r="CE2632" t="s">
        <v>116</v>
      </c>
      <c r="CF2632" s="3">
        <v>45801</v>
      </c>
      <c r="CI2632">
        <v>1</v>
      </c>
      <c r="CJ2632">
        <v>2</v>
      </c>
      <c r="CK2632">
        <v>41</v>
      </c>
      <c r="CL2632" t="s">
        <v>89</v>
      </c>
    </row>
    <row r="2633" spans="1:90" x14ac:dyDescent="0.3">
      <c r="A2633" t="s">
        <v>72</v>
      </c>
      <c r="B2633" t="s">
        <v>73</v>
      </c>
      <c r="C2633" t="s">
        <v>74</v>
      </c>
      <c r="E2633" t="str">
        <f>"080065491567"</f>
        <v>080065491567</v>
      </c>
      <c r="F2633" s="3">
        <v>45798</v>
      </c>
      <c r="G2633">
        <v>202602</v>
      </c>
      <c r="H2633" t="s">
        <v>75</v>
      </c>
      <c r="I2633" t="s">
        <v>76</v>
      </c>
      <c r="J2633" t="s">
        <v>77</v>
      </c>
      <c r="K2633" t="s">
        <v>78</v>
      </c>
      <c r="L2633" t="s">
        <v>130</v>
      </c>
      <c r="M2633" t="s">
        <v>131</v>
      </c>
      <c r="N2633" t="s">
        <v>709</v>
      </c>
      <c r="O2633" t="s">
        <v>82</v>
      </c>
      <c r="P2633" t="str">
        <f>"4170039836                    "</f>
        <v xml:space="preserve">4170039836                    </v>
      </c>
      <c r="Q2633">
        <v>0</v>
      </c>
      <c r="R2633">
        <v>0</v>
      </c>
      <c r="S2633">
        <v>0</v>
      </c>
      <c r="T2633">
        <v>0</v>
      </c>
      <c r="U2633">
        <v>0</v>
      </c>
      <c r="V2633">
        <v>0</v>
      </c>
      <c r="W2633">
        <v>0</v>
      </c>
      <c r="X2633">
        <v>0</v>
      </c>
      <c r="Y2633">
        <v>0</v>
      </c>
      <c r="Z2633">
        <v>0</v>
      </c>
      <c r="AA2633">
        <v>0</v>
      </c>
      <c r="AB2633">
        <v>0</v>
      </c>
      <c r="AC2633">
        <v>0</v>
      </c>
      <c r="AD2633">
        <v>0</v>
      </c>
      <c r="AE2633">
        <v>0</v>
      </c>
      <c r="AF2633">
        <v>0</v>
      </c>
      <c r="AG2633">
        <v>0</v>
      </c>
      <c r="AH2633">
        <v>0</v>
      </c>
      <c r="AI2633">
        <v>0</v>
      </c>
      <c r="AJ2633">
        <v>0</v>
      </c>
      <c r="AK2633">
        <v>0</v>
      </c>
      <c r="AL2633">
        <v>0</v>
      </c>
      <c r="AM2633">
        <v>0</v>
      </c>
      <c r="AN2633">
        <v>0</v>
      </c>
      <c r="AO2633">
        <v>0</v>
      </c>
      <c r="AP2633">
        <v>0</v>
      </c>
      <c r="AQ2633">
        <v>21.38</v>
      </c>
      <c r="AR2633">
        <v>0</v>
      </c>
      <c r="AS2633">
        <v>0</v>
      </c>
      <c r="AT2633">
        <v>0</v>
      </c>
      <c r="AU2633">
        <v>0</v>
      </c>
      <c r="AV2633">
        <v>0</v>
      </c>
      <c r="AW2633">
        <v>0</v>
      </c>
      <c r="AX2633">
        <v>0</v>
      </c>
      <c r="AY2633">
        <v>0</v>
      </c>
      <c r="AZ2633">
        <v>0</v>
      </c>
      <c r="BA2633">
        <v>0</v>
      </c>
      <c r="BB2633">
        <v>0</v>
      </c>
      <c r="BC2633">
        <v>0</v>
      </c>
      <c r="BD2633">
        <v>0</v>
      </c>
      <c r="BE2633">
        <v>0</v>
      </c>
      <c r="BF2633">
        <v>0</v>
      </c>
      <c r="BG2633">
        <v>0</v>
      </c>
      <c r="BH2633">
        <v>1</v>
      </c>
      <c r="BI2633">
        <v>1</v>
      </c>
      <c r="BJ2633">
        <v>0.2</v>
      </c>
      <c r="BK2633">
        <v>1</v>
      </c>
      <c r="BL2633">
        <v>69.98</v>
      </c>
      <c r="BM2633">
        <v>10.5</v>
      </c>
      <c r="BN2633">
        <v>80.48</v>
      </c>
      <c r="BO2633">
        <v>80.48</v>
      </c>
      <c r="BQ2633" t="s">
        <v>710</v>
      </c>
      <c r="BR2633" t="s">
        <v>84</v>
      </c>
      <c r="BS2633" s="3">
        <v>45799</v>
      </c>
      <c r="BT2633" s="4">
        <v>0.34236111111111112</v>
      </c>
      <c r="BU2633" t="s">
        <v>711</v>
      </c>
      <c r="BV2633" t="s">
        <v>86</v>
      </c>
      <c r="BY2633">
        <v>1200</v>
      </c>
      <c r="CA2633" t="s">
        <v>712</v>
      </c>
      <c r="CC2633" t="s">
        <v>131</v>
      </c>
      <c r="CD2633">
        <v>7530</v>
      </c>
      <c r="CE2633" t="s">
        <v>88</v>
      </c>
      <c r="CF2633" s="3">
        <v>45800</v>
      </c>
      <c r="CI2633">
        <v>1</v>
      </c>
      <c r="CJ2633">
        <v>1</v>
      </c>
      <c r="CK2633">
        <v>21</v>
      </c>
      <c r="CL2633" t="s">
        <v>89</v>
      </c>
    </row>
    <row r="2634" spans="1:90" x14ac:dyDescent="0.3">
      <c r="A2634" t="s">
        <v>72</v>
      </c>
      <c r="B2634" t="s">
        <v>73</v>
      </c>
      <c r="C2634" t="s">
        <v>74</v>
      </c>
      <c r="E2634" t="str">
        <f>"080065491591"</f>
        <v>080065491591</v>
      </c>
      <c r="F2634" s="3">
        <v>45798</v>
      </c>
      <c r="G2634">
        <v>202602</v>
      </c>
      <c r="H2634" t="s">
        <v>75</v>
      </c>
      <c r="I2634" t="s">
        <v>76</v>
      </c>
      <c r="J2634" t="s">
        <v>77</v>
      </c>
      <c r="K2634" t="s">
        <v>78</v>
      </c>
      <c r="L2634" t="s">
        <v>103</v>
      </c>
      <c r="M2634" t="s">
        <v>104</v>
      </c>
      <c r="N2634" t="s">
        <v>228</v>
      </c>
      <c r="O2634" t="s">
        <v>82</v>
      </c>
      <c r="P2634" t="str">
        <f>"4170039896                    "</f>
        <v xml:space="preserve">4170039896                    </v>
      </c>
      <c r="Q2634">
        <v>0</v>
      </c>
      <c r="R2634">
        <v>0</v>
      </c>
      <c r="S2634">
        <v>0</v>
      </c>
      <c r="T2634">
        <v>0</v>
      </c>
      <c r="U2634">
        <v>0</v>
      </c>
      <c r="V2634">
        <v>0</v>
      </c>
      <c r="W2634">
        <v>0</v>
      </c>
      <c r="X2634">
        <v>0</v>
      </c>
      <c r="Y2634">
        <v>0</v>
      </c>
      <c r="Z2634">
        <v>0</v>
      </c>
      <c r="AA2634">
        <v>0</v>
      </c>
      <c r="AB2634">
        <v>0</v>
      </c>
      <c r="AC2634">
        <v>0</v>
      </c>
      <c r="AD2634">
        <v>0</v>
      </c>
      <c r="AE2634">
        <v>0</v>
      </c>
      <c r="AF2634">
        <v>0</v>
      </c>
      <c r="AG2634">
        <v>0</v>
      </c>
      <c r="AH2634">
        <v>0</v>
      </c>
      <c r="AI2634">
        <v>0</v>
      </c>
      <c r="AJ2634">
        <v>0</v>
      </c>
      <c r="AK2634">
        <v>0</v>
      </c>
      <c r="AL2634">
        <v>0</v>
      </c>
      <c r="AM2634">
        <v>0</v>
      </c>
      <c r="AN2634">
        <v>0</v>
      </c>
      <c r="AO2634">
        <v>0</v>
      </c>
      <c r="AP2634">
        <v>0</v>
      </c>
      <c r="AQ2634">
        <v>21.38</v>
      </c>
      <c r="AR2634">
        <v>0</v>
      </c>
      <c r="AS2634">
        <v>0</v>
      </c>
      <c r="AT2634">
        <v>0</v>
      </c>
      <c r="AU2634">
        <v>0</v>
      </c>
      <c r="AV2634">
        <v>0</v>
      </c>
      <c r="AW2634">
        <v>16.739999999999998</v>
      </c>
      <c r="AX2634">
        <v>0</v>
      </c>
      <c r="AY2634">
        <v>0</v>
      </c>
      <c r="AZ2634">
        <v>0</v>
      </c>
      <c r="BA2634">
        <v>0</v>
      </c>
      <c r="BB2634">
        <v>0</v>
      </c>
      <c r="BC2634">
        <v>0</v>
      </c>
      <c r="BD2634">
        <v>0</v>
      </c>
      <c r="BE2634">
        <v>0</v>
      </c>
      <c r="BF2634">
        <v>0</v>
      </c>
      <c r="BG2634">
        <v>0</v>
      </c>
      <c r="BH2634">
        <v>1</v>
      </c>
      <c r="BI2634">
        <v>2</v>
      </c>
      <c r="BJ2634">
        <v>1.7</v>
      </c>
      <c r="BK2634">
        <v>2</v>
      </c>
      <c r="BL2634">
        <v>86.72</v>
      </c>
      <c r="BM2634">
        <v>13.01</v>
      </c>
      <c r="BN2634">
        <v>99.73</v>
      </c>
      <c r="BO2634">
        <v>99.73</v>
      </c>
      <c r="BQ2634" t="s">
        <v>229</v>
      </c>
      <c r="BR2634" t="s">
        <v>84</v>
      </c>
      <c r="BS2634" s="3">
        <v>45799</v>
      </c>
      <c r="BT2634" s="4">
        <v>0.56458333333333333</v>
      </c>
      <c r="BU2634" t="s">
        <v>2819</v>
      </c>
      <c r="BV2634" t="s">
        <v>86</v>
      </c>
      <c r="BY2634">
        <v>8512</v>
      </c>
      <c r="BZ2634" t="s">
        <v>30</v>
      </c>
      <c r="CA2634" t="s">
        <v>945</v>
      </c>
      <c r="CC2634" t="s">
        <v>104</v>
      </c>
      <c r="CD2634">
        <v>3699</v>
      </c>
      <c r="CE2634" t="s">
        <v>116</v>
      </c>
      <c r="CF2634" s="3">
        <v>45799</v>
      </c>
      <c r="CI2634">
        <v>1</v>
      </c>
      <c r="CJ2634">
        <v>1</v>
      </c>
      <c r="CK2634">
        <v>21</v>
      </c>
      <c r="CL2634" t="s">
        <v>89</v>
      </c>
    </row>
    <row r="2635" spans="1:90" x14ac:dyDescent="0.3">
      <c r="A2635" t="s">
        <v>72</v>
      </c>
      <c r="B2635" t="s">
        <v>73</v>
      </c>
      <c r="C2635" t="s">
        <v>74</v>
      </c>
      <c r="E2635" t="str">
        <f>"080065491619"</f>
        <v>080065491619</v>
      </c>
      <c r="F2635" s="3">
        <v>45798</v>
      </c>
      <c r="G2635">
        <v>202602</v>
      </c>
      <c r="H2635" t="s">
        <v>75</v>
      </c>
      <c r="I2635" t="s">
        <v>76</v>
      </c>
      <c r="J2635" t="s">
        <v>77</v>
      </c>
      <c r="K2635" t="s">
        <v>78</v>
      </c>
      <c r="L2635" t="s">
        <v>79</v>
      </c>
      <c r="M2635" t="s">
        <v>80</v>
      </c>
      <c r="N2635" t="s">
        <v>452</v>
      </c>
      <c r="O2635" t="s">
        <v>82</v>
      </c>
      <c r="P2635" t="str">
        <f>"4170039884                    "</f>
        <v xml:space="preserve">4170039884                    </v>
      </c>
      <c r="Q2635">
        <v>0</v>
      </c>
      <c r="R2635">
        <v>0</v>
      </c>
      <c r="S2635">
        <v>0</v>
      </c>
      <c r="T2635">
        <v>0</v>
      </c>
      <c r="U2635">
        <v>0</v>
      </c>
      <c r="V2635">
        <v>0</v>
      </c>
      <c r="W2635">
        <v>0</v>
      </c>
      <c r="X2635">
        <v>0</v>
      </c>
      <c r="Y2635">
        <v>0</v>
      </c>
      <c r="Z2635">
        <v>0</v>
      </c>
      <c r="AA2635">
        <v>0</v>
      </c>
      <c r="AB2635">
        <v>0</v>
      </c>
      <c r="AC2635">
        <v>0</v>
      </c>
      <c r="AD2635">
        <v>0</v>
      </c>
      <c r="AE2635">
        <v>0</v>
      </c>
      <c r="AF2635">
        <v>0</v>
      </c>
      <c r="AG2635">
        <v>0</v>
      </c>
      <c r="AH2635">
        <v>0</v>
      </c>
      <c r="AI2635">
        <v>0</v>
      </c>
      <c r="AJ2635">
        <v>0</v>
      </c>
      <c r="AK2635">
        <v>0</v>
      </c>
      <c r="AL2635">
        <v>0</v>
      </c>
      <c r="AM2635">
        <v>0</v>
      </c>
      <c r="AN2635">
        <v>0</v>
      </c>
      <c r="AO2635">
        <v>0</v>
      </c>
      <c r="AP2635">
        <v>0</v>
      </c>
      <c r="AQ2635">
        <v>21.38</v>
      </c>
      <c r="AR2635">
        <v>0</v>
      </c>
      <c r="AS2635">
        <v>0</v>
      </c>
      <c r="AT2635">
        <v>0</v>
      </c>
      <c r="AU2635">
        <v>0</v>
      </c>
      <c r="AV2635">
        <v>0</v>
      </c>
      <c r="AW2635">
        <v>0</v>
      </c>
      <c r="AX2635">
        <v>0</v>
      </c>
      <c r="AY2635">
        <v>0</v>
      </c>
      <c r="AZ2635">
        <v>0</v>
      </c>
      <c r="BA2635">
        <v>0</v>
      </c>
      <c r="BB2635">
        <v>0</v>
      </c>
      <c r="BC2635">
        <v>0</v>
      </c>
      <c r="BD2635">
        <v>0</v>
      </c>
      <c r="BE2635">
        <v>0</v>
      </c>
      <c r="BF2635">
        <v>0</v>
      </c>
      <c r="BG2635">
        <v>0</v>
      </c>
      <c r="BH2635">
        <v>1</v>
      </c>
      <c r="BI2635">
        <v>1</v>
      </c>
      <c r="BJ2635">
        <v>0.2</v>
      </c>
      <c r="BK2635">
        <v>1</v>
      </c>
      <c r="BL2635">
        <v>69.98</v>
      </c>
      <c r="BM2635">
        <v>10.5</v>
      </c>
      <c r="BN2635">
        <v>80.48</v>
      </c>
      <c r="BO2635">
        <v>80.48</v>
      </c>
      <c r="BQ2635" t="s">
        <v>453</v>
      </c>
      <c r="BR2635" t="s">
        <v>84</v>
      </c>
      <c r="BS2635" s="3">
        <v>45799</v>
      </c>
      <c r="BT2635" s="4">
        <v>0.3888888888888889</v>
      </c>
      <c r="BU2635" t="s">
        <v>1071</v>
      </c>
      <c r="BV2635" t="s">
        <v>86</v>
      </c>
      <c r="BY2635">
        <v>1200</v>
      </c>
      <c r="CA2635" t="s">
        <v>160</v>
      </c>
      <c r="CC2635" t="s">
        <v>80</v>
      </c>
      <c r="CD2635">
        <v>3610</v>
      </c>
      <c r="CE2635" t="s">
        <v>88</v>
      </c>
      <c r="CF2635" s="3">
        <v>45800</v>
      </c>
      <c r="CI2635">
        <v>1</v>
      </c>
      <c r="CJ2635">
        <v>1</v>
      </c>
      <c r="CK2635">
        <v>21</v>
      </c>
      <c r="CL2635" t="s">
        <v>89</v>
      </c>
    </row>
    <row r="2636" spans="1:90" x14ac:dyDescent="0.3">
      <c r="A2636" t="s">
        <v>72</v>
      </c>
      <c r="B2636" t="s">
        <v>73</v>
      </c>
      <c r="C2636" t="s">
        <v>74</v>
      </c>
      <c r="E2636" t="str">
        <f>"080065491673"</f>
        <v>080065491673</v>
      </c>
      <c r="F2636" s="3">
        <v>45798</v>
      </c>
      <c r="G2636">
        <v>202602</v>
      </c>
      <c r="H2636" t="s">
        <v>75</v>
      </c>
      <c r="I2636" t="s">
        <v>76</v>
      </c>
      <c r="J2636" t="s">
        <v>77</v>
      </c>
      <c r="K2636" t="s">
        <v>78</v>
      </c>
      <c r="L2636" t="s">
        <v>90</v>
      </c>
      <c r="M2636" t="s">
        <v>91</v>
      </c>
      <c r="N2636" t="s">
        <v>639</v>
      </c>
      <c r="O2636" t="s">
        <v>82</v>
      </c>
      <c r="P2636" t="str">
        <f>"4170039796                    "</f>
        <v xml:space="preserve">4170039796                    </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c r="AJ2636">
        <v>0</v>
      </c>
      <c r="AK2636">
        <v>0</v>
      </c>
      <c r="AL2636">
        <v>0</v>
      </c>
      <c r="AM2636">
        <v>0</v>
      </c>
      <c r="AN2636">
        <v>0</v>
      </c>
      <c r="AO2636">
        <v>0</v>
      </c>
      <c r="AP2636">
        <v>0</v>
      </c>
      <c r="AQ2636">
        <v>42.75</v>
      </c>
      <c r="AR2636">
        <v>0</v>
      </c>
      <c r="AS2636">
        <v>0</v>
      </c>
      <c r="AT2636">
        <v>0</v>
      </c>
      <c r="AU2636">
        <v>0</v>
      </c>
      <c r="AV2636">
        <v>0</v>
      </c>
      <c r="AW2636">
        <v>0</v>
      </c>
      <c r="AX2636">
        <v>0</v>
      </c>
      <c r="AY2636">
        <v>0</v>
      </c>
      <c r="AZ2636">
        <v>0</v>
      </c>
      <c r="BA2636">
        <v>0</v>
      </c>
      <c r="BB2636">
        <v>0</v>
      </c>
      <c r="BC2636">
        <v>0</v>
      </c>
      <c r="BD2636">
        <v>0</v>
      </c>
      <c r="BE2636">
        <v>0</v>
      </c>
      <c r="BF2636">
        <v>0</v>
      </c>
      <c r="BG2636">
        <v>0</v>
      </c>
      <c r="BH2636">
        <v>1</v>
      </c>
      <c r="BI2636">
        <v>4</v>
      </c>
      <c r="BJ2636">
        <v>3.4</v>
      </c>
      <c r="BK2636">
        <v>4</v>
      </c>
      <c r="BL2636">
        <v>139.91</v>
      </c>
      <c r="BM2636">
        <v>20.99</v>
      </c>
      <c r="BN2636">
        <v>160.9</v>
      </c>
      <c r="BO2636">
        <v>160.9</v>
      </c>
      <c r="BQ2636" t="s">
        <v>640</v>
      </c>
      <c r="BR2636" t="s">
        <v>84</v>
      </c>
      <c r="BS2636" s="3">
        <v>45799</v>
      </c>
      <c r="BT2636" s="4">
        <v>0.39583333333333331</v>
      </c>
      <c r="BU2636" t="s">
        <v>2820</v>
      </c>
      <c r="BV2636" t="s">
        <v>86</v>
      </c>
      <c r="BY2636">
        <v>16965</v>
      </c>
      <c r="CA2636" t="s">
        <v>271</v>
      </c>
      <c r="CC2636" t="s">
        <v>91</v>
      </c>
      <c r="CD2636">
        <v>6001</v>
      </c>
      <c r="CE2636" t="s">
        <v>96</v>
      </c>
      <c r="CF2636" s="3">
        <v>45799</v>
      </c>
      <c r="CI2636">
        <v>1</v>
      </c>
      <c r="CJ2636">
        <v>1</v>
      </c>
      <c r="CK2636">
        <v>21</v>
      </c>
      <c r="CL2636" t="s">
        <v>89</v>
      </c>
    </row>
    <row r="2637" spans="1:90" x14ac:dyDescent="0.3">
      <c r="A2637" t="s">
        <v>72</v>
      </c>
      <c r="B2637" t="s">
        <v>73</v>
      </c>
      <c r="C2637" t="s">
        <v>74</v>
      </c>
      <c r="E2637" t="str">
        <f>"080065491952"</f>
        <v>080065491952</v>
      </c>
      <c r="F2637" s="3">
        <v>45798</v>
      </c>
      <c r="G2637">
        <v>202602</v>
      </c>
      <c r="H2637" t="s">
        <v>75</v>
      </c>
      <c r="I2637" t="s">
        <v>76</v>
      </c>
      <c r="J2637" t="s">
        <v>77</v>
      </c>
      <c r="K2637" t="s">
        <v>78</v>
      </c>
      <c r="L2637" t="s">
        <v>130</v>
      </c>
      <c r="M2637" t="s">
        <v>131</v>
      </c>
      <c r="N2637" t="s">
        <v>426</v>
      </c>
      <c r="O2637" t="s">
        <v>82</v>
      </c>
      <c r="P2637" t="str">
        <f>"4170039798                    "</f>
        <v xml:space="preserve">4170039798                    </v>
      </c>
      <c r="Q2637">
        <v>0</v>
      </c>
      <c r="R2637">
        <v>0</v>
      </c>
      <c r="S2637">
        <v>0</v>
      </c>
      <c r="T2637">
        <v>0</v>
      </c>
      <c r="U2637">
        <v>0</v>
      </c>
      <c r="V2637">
        <v>0</v>
      </c>
      <c r="W2637">
        <v>0</v>
      </c>
      <c r="X2637">
        <v>0</v>
      </c>
      <c r="Y2637">
        <v>0</v>
      </c>
      <c r="Z2637">
        <v>0</v>
      </c>
      <c r="AA2637">
        <v>0</v>
      </c>
      <c r="AB2637">
        <v>0</v>
      </c>
      <c r="AC2637">
        <v>0</v>
      </c>
      <c r="AD2637">
        <v>0</v>
      </c>
      <c r="AE2637">
        <v>0</v>
      </c>
      <c r="AF2637">
        <v>0</v>
      </c>
      <c r="AG2637">
        <v>0</v>
      </c>
      <c r="AH2637">
        <v>0</v>
      </c>
      <c r="AI2637">
        <v>0</v>
      </c>
      <c r="AJ2637">
        <v>0</v>
      </c>
      <c r="AK2637">
        <v>0</v>
      </c>
      <c r="AL2637">
        <v>0</v>
      </c>
      <c r="AM2637">
        <v>0</v>
      </c>
      <c r="AN2637">
        <v>0</v>
      </c>
      <c r="AO2637">
        <v>0</v>
      </c>
      <c r="AP2637">
        <v>0</v>
      </c>
      <c r="AQ2637">
        <v>21.38</v>
      </c>
      <c r="AR2637">
        <v>0</v>
      </c>
      <c r="AS2637">
        <v>0</v>
      </c>
      <c r="AT2637">
        <v>0</v>
      </c>
      <c r="AU2637">
        <v>0</v>
      </c>
      <c r="AV2637">
        <v>0</v>
      </c>
      <c r="AW2637">
        <v>0</v>
      </c>
      <c r="AX2637">
        <v>0</v>
      </c>
      <c r="AY2637">
        <v>0</v>
      </c>
      <c r="AZ2637">
        <v>0</v>
      </c>
      <c r="BA2637">
        <v>0</v>
      </c>
      <c r="BB2637">
        <v>0</v>
      </c>
      <c r="BC2637">
        <v>0</v>
      </c>
      <c r="BD2637">
        <v>0</v>
      </c>
      <c r="BE2637">
        <v>0</v>
      </c>
      <c r="BF2637">
        <v>0</v>
      </c>
      <c r="BG2637">
        <v>0</v>
      </c>
      <c r="BH2637">
        <v>1</v>
      </c>
      <c r="BI2637">
        <v>1</v>
      </c>
      <c r="BJ2637">
        <v>1.7</v>
      </c>
      <c r="BK2637">
        <v>2</v>
      </c>
      <c r="BL2637">
        <v>69.98</v>
      </c>
      <c r="BM2637">
        <v>10.5</v>
      </c>
      <c r="BN2637">
        <v>80.48</v>
      </c>
      <c r="BO2637">
        <v>80.48</v>
      </c>
      <c r="BQ2637" t="s">
        <v>427</v>
      </c>
      <c r="BR2637" t="s">
        <v>84</v>
      </c>
      <c r="BS2637" s="3">
        <v>45799</v>
      </c>
      <c r="BT2637" s="4">
        <v>0.38333333333333336</v>
      </c>
      <c r="BU2637" t="s">
        <v>2821</v>
      </c>
      <c r="BV2637" t="s">
        <v>86</v>
      </c>
      <c r="BY2637">
        <v>8550</v>
      </c>
      <c r="CA2637" t="s">
        <v>429</v>
      </c>
      <c r="CC2637" t="s">
        <v>131</v>
      </c>
      <c r="CD2637">
        <v>7945</v>
      </c>
      <c r="CE2637" t="s">
        <v>116</v>
      </c>
      <c r="CF2637" s="3">
        <v>45800</v>
      </c>
      <c r="CI2637">
        <v>1</v>
      </c>
      <c r="CJ2637">
        <v>1</v>
      </c>
      <c r="CK2637">
        <v>21</v>
      </c>
      <c r="CL2637" t="s">
        <v>89</v>
      </c>
    </row>
    <row r="2638" spans="1:90" x14ac:dyDescent="0.3">
      <c r="A2638" t="s">
        <v>72</v>
      </c>
      <c r="B2638" t="s">
        <v>73</v>
      </c>
      <c r="C2638" t="s">
        <v>74</v>
      </c>
      <c r="E2638" t="str">
        <f>"080065491987"</f>
        <v>080065491987</v>
      </c>
      <c r="F2638" s="3">
        <v>45798</v>
      </c>
      <c r="G2638">
        <v>202602</v>
      </c>
      <c r="H2638" t="s">
        <v>75</v>
      </c>
      <c r="I2638" t="s">
        <v>76</v>
      </c>
      <c r="J2638" t="s">
        <v>77</v>
      </c>
      <c r="K2638" t="s">
        <v>78</v>
      </c>
      <c r="L2638" t="s">
        <v>287</v>
      </c>
      <c r="M2638" t="s">
        <v>288</v>
      </c>
      <c r="N2638" t="s">
        <v>289</v>
      </c>
      <c r="O2638" t="s">
        <v>82</v>
      </c>
      <c r="P2638" t="str">
        <f>"4170039939                    "</f>
        <v xml:space="preserve">4170039939                    </v>
      </c>
      <c r="Q2638">
        <v>0</v>
      </c>
      <c r="R2638">
        <v>0</v>
      </c>
      <c r="S2638">
        <v>0</v>
      </c>
      <c r="T2638">
        <v>0</v>
      </c>
      <c r="U2638">
        <v>0</v>
      </c>
      <c r="V2638">
        <v>0</v>
      </c>
      <c r="W2638">
        <v>0</v>
      </c>
      <c r="X2638">
        <v>0</v>
      </c>
      <c r="Y2638">
        <v>0</v>
      </c>
      <c r="Z2638">
        <v>0</v>
      </c>
      <c r="AA2638">
        <v>0</v>
      </c>
      <c r="AB2638">
        <v>0</v>
      </c>
      <c r="AC2638">
        <v>0</v>
      </c>
      <c r="AD2638">
        <v>0</v>
      </c>
      <c r="AE2638">
        <v>0</v>
      </c>
      <c r="AF2638">
        <v>0</v>
      </c>
      <c r="AG2638">
        <v>0</v>
      </c>
      <c r="AH2638">
        <v>0</v>
      </c>
      <c r="AI2638">
        <v>0</v>
      </c>
      <c r="AJ2638">
        <v>0</v>
      </c>
      <c r="AK2638">
        <v>0</v>
      </c>
      <c r="AL2638">
        <v>0</v>
      </c>
      <c r="AM2638">
        <v>0</v>
      </c>
      <c r="AN2638">
        <v>0</v>
      </c>
      <c r="AO2638">
        <v>0</v>
      </c>
      <c r="AP2638">
        <v>0</v>
      </c>
      <c r="AQ2638">
        <v>41.43</v>
      </c>
      <c r="AR2638">
        <v>0</v>
      </c>
      <c r="AS2638">
        <v>0</v>
      </c>
      <c r="AT2638">
        <v>0</v>
      </c>
      <c r="AU2638">
        <v>0</v>
      </c>
      <c r="AV2638">
        <v>0</v>
      </c>
      <c r="AW2638">
        <v>0</v>
      </c>
      <c r="AX2638">
        <v>0</v>
      </c>
      <c r="AY2638">
        <v>0</v>
      </c>
      <c r="AZ2638">
        <v>0</v>
      </c>
      <c r="BA2638">
        <v>0</v>
      </c>
      <c r="BB2638">
        <v>0</v>
      </c>
      <c r="BC2638">
        <v>0</v>
      </c>
      <c r="BD2638">
        <v>0</v>
      </c>
      <c r="BE2638">
        <v>0</v>
      </c>
      <c r="BF2638">
        <v>0</v>
      </c>
      <c r="BG2638">
        <v>0</v>
      </c>
      <c r="BH2638">
        <v>1</v>
      </c>
      <c r="BI2638">
        <v>1</v>
      </c>
      <c r="BJ2638">
        <v>0.2</v>
      </c>
      <c r="BK2638">
        <v>1</v>
      </c>
      <c r="BL2638">
        <v>135.59</v>
      </c>
      <c r="BM2638">
        <v>20.34</v>
      </c>
      <c r="BN2638">
        <v>155.93</v>
      </c>
      <c r="BO2638">
        <v>155.93</v>
      </c>
      <c r="BQ2638" t="s">
        <v>290</v>
      </c>
      <c r="BR2638" t="s">
        <v>84</v>
      </c>
      <c r="BS2638" s="3">
        <v>45799</v>
      </c>
      <c r="BT2638" s="4">
        <v>0.47430555555555554</v>
      </c>
      <c r="BU2638" t="s">
        <v>291</v>
      </c>
      <c r="BV2638" t="s">
        <v>86</v>
      </c>
      <c r="BY2638">
        <v>1200</v>
      </c>
      <c r="CA2638" t="s">
        <v>292</v>
      </c>
      <c r="CC2638" t="s">
        <v>288</v>
      </c>
      <c r="CD2638">
        <v>6715</v>
      </c>
      <c r="CE2638" t="s">
        <v>88</v>
      </c>
      <c r="CF2638" s="3">
        <v>45800</v>
      </c>
      <c r="CI2638">
        <v>2</v>
      </c>
      <c r="CJ2638">
        <v>1</v>
      </c>
      <c r="CK2638">
        <v>23</v>
      </c>
      <c r="CL2638" t="s">
        <v>89</v>
      </c>
    </row>
    <row r="2639" spans="1:90" x14ac:dyDescent="0.3">
      <c r="A2639" t="s">
        <v>72</v>
      </c>
      <c r="B2639" t="s">
        <v>73</v>
      </c>
      <c r="C2639" t="s">
        <v>74</v>
      </c>
      <c r="E2639" t="str">
        <f>"080065491996"</f>
        <v>080065491996</v>
      </c>
      <c r="F2639" s="3">
        <v>45798</v>
      </c>
      <c r="G2639">
        <v>202602</v>
      </c>
      <c r="H2639" t="s">
        <v>75</v>
      </c>
      <c r="I2639" t="s">
        <v>76</v>
      </c>
      <c r="J2639" t="s">
        <v>77</v>
      </c>
      <c r="K2639" t="s">
        <v>78</v>
      </c>
      <c r="L2639" t="s">
        <v>103</v>
      </c>
      <c r="M2639" t="s">
        <v>104</v>
      </c>
      <c r="N2639" t="s">
        <v>105</v>
      </c>
      <c r="O2639" t="s">
        <v>82</v>
      </c>
      <c r="P2639" t="str">
        <f>"4170039758                    "</f>
        <v xml:space="preserve">4170039758                    </v>
      </c>
      <c r="Q2639">
        <v>0</v>
      </c>
      <c r="R2639">
        <v>0</v>
      </c>
      <c r="S2639">
        <v>0</v>
      </c>
      <c r="T2639">
        <v>0</v>
      </c>
      <c r="U2639">
        <v>0</v>
      </c>
      <c r="V2639">
        <v>0</v>
      </c>
      <c r="W2639">
        <v>0</v>
      </c>
      <c r="X2639">
        <v>0</v>
      </c>
      <c r="Y2639">
        <v>0</v>
      </c>
      <c r="Z2639">
        <v>0</v>
      </c>
      <c r="AA2639">
        <v>0</v>
      </c>
      <c r="AB2639">
        <v>0</v>
      </c>
      <c r="AC2639">
        <v>0</v>
      </c>
      <c r="AD2639">
        <v>0</v>
      </c>
      <c r="AE2639">
        <v>0</v>
      </c>
      <c r="AF2639">
        <v>0</v>
      </c>
      <c r="AG2639">
        <v>0</v>
      </c>
      <c r="AH2639">
        <v>0</v>
      </c>
      <c r="AI2639">
        <v>0</v>
      </c>
      <c r="AJ2639">
        <v>0</v>
      </c>
      <c r="AK2639">
        <v>0</v>
      </c>
      <c r="AL2639">
        <v>0</v>
      </c>
      <c r="AM2639">
        <v>0</v>
      </c>
      <c r="AN2639">
        <v>0</v>
      </c>
      <c r="AO2639">
        <v>0</v>
      </c>
      <c r="AP2639">
        <v>0</v>
      </c>
      <c r="AQ2639">
        <v>21.38</v>
      </c>
      <c r="AR2639">
        <v>0</v>
      </c>
      <c r="AS2639">
        <v>0</v>
      </c>
      <c r="AT2639">
        <v>0</v>
      </c>
      <c r="AU2639">
        <v>0</v>
      </c>
      <c r="AV2639">
        <v>0</v>
      </c>
      <c r="AW2639">
        <v>0</v>
      </c>
      <c r="AX2639">
        <v>0</v>
      </c>
      <c r="AY2639">
        <v>0</v>
      </c>
      <c r="AZ2639">
        <v>0</v>
      </c>
      <c r="BA2639">
        <v>0</v>
      </c>
      <c r="BB2639">
        <v>0</v>
      </c>
      <c r="BC2639">
        <v>0</v>
      </c>
      <c r="BD2639">
        <v>0</v>
      </c>
      <c r="BE2639">
        <v>0</v>
      </c>
      <c r="BF2639">
        <v>0</v>
      </c>
      <c r="BG2639">
        <v>0</v>
      </c>
      <c r="BH2639">
        <v>1</v>
      </c>
      <c r="BI2639">
        <v>2</v>
      </c>
      <c r="BJ2639">
        <v>1.7</v>
      </c>
      <c r="BK2639">
        <v>2</v>
      </c>
      <c r="BL2639">
        <v>69.98</v>
      </c>
      <c r="BM2639">
        <v>10.5</v>
      </c>
      <c r="BN2639">
        <v>80.48</v>
      </c>
      <c r="BO2639">
        <v>80.48</v>
      </c>
      <c r="BQ2639" t="s">
        <v>106</v>
      </c>
      <c r="BR2639" t="s">
        <v>84</v>
      </c>
      <c r="BS2639" s="3">
        <v>45799</v>
      </c>
      <c r="BT2639" s="4">
        <v>0.46111111111111114</v>
      </c>
      <c r="BU2639" t="s">
        <v>107</v>
      </c>
      <c r="BV2639" t="s">
        <v>86</v>
      </c>
      <c r="BY2639">
        <v>8512</v>
      </c>
      <c r="CA2639" t="s">
        <v>108</v>
      </c>
      <c r="CC2639" t="s">
        <v>104</v>
      </c>
      <c r="CD2639">
        <v>3201</v>
      </c>
      <c r="CE2639" t="s">
        <v>116</v>
      </c>
      <c r="CF2639" s="3">
        <v>45799</v>
      </c>
      <c r="CI2639">
        <v>1</v>
      </c>
      <c r="CJ2639">
        <v>1</v>
      </c>
      <c r="CK2639">
        <v>21</v>
      </c>
      <c r="CL2639" t="s">
        <v>89</v>
      </c>
    </row>
    <row r="2640" spans="1:90" x14ac:dyDescent="0.3">
      <c r="A2640" t="s">
        <v>72</v>
      </c>
      <c r="B2640" t="s">
        <v>73</v>
      </c>
      <c r="C2640" t="s">
        <v>74</v>
      </c>
      <c r="E2640" t="str">
        <f>"080065492031"</f>
        <v>080065492031</v>
      </c>
      <c r="F2640" s="3">
        <v>45798</v>
      </c>
      <c r="G2640">
        <v>202602</v>
      </c>
      <c r="H2640" t="s">
        <v>75</v>
      </c>
      <c r="I2640" t="s">
        <v>76</v>
      </c>
      <c r="J2640" t="s">
        <v>77</v>
      </c>
      <c r="K2640" t="s">
        <v>78</v>
      </c>
      <c r="L2640" t="s">
        <v>463</v>
      </c>
      <c r="M2640" t="s">
        <v>464</v>
      </c>
      <c r="N2640" t="s">
        <v>744</v>
      </c>
      <c r="O2640" t="s">
        <v>82</v>
      </c>
      <c r="P2640" t="str">
        <f>"4170039835                    "</f>
        <v xml:space="preserve">4170039835                    </v>
      </c>
      <c r="Q2640">
        <v>0</v>
      </c>
      <c r="R2640">
        <v>0</v>
      </c>
      <c r="S2640">
        <v>0</v>
      </c>
      <c r="T2640">
        <v>0</v>
      </c>
      <c r="U2640">
        <v>0</v>
      </c>
      <c r="V2640">
        <v>0</v>
      </c>
      <c r="W2640">
        <v>0</v>
      </c>
      <c r="X2640">
        <v>0</v>
      </c>
      <c r="Y2640">
        <v>0</v>
      </c>
      <c r="Z2640">
        <v>0</v>
      </c>
      <c r="AA2640">
        <v>0</v>
      </c>
      <c r="AB2640">
        <v>0</v>
      </c>
      <c r="AC2640">
        <v>0</v>
      </c>
      <c r="AD2640">
        <v>0</v>
      </c>
      <c r="AE2640">
        <v>0</v>
      </c>
      <c r="AF2640">
        <v>0</v>
      </c>
      <c r="AG2640">
        <v>0</v>
      </c>
      <c r="AH2640">
        <v>0</v>
      </c>
      <c r="AI2640">
        <v>0</v>
      </c>
      <c r="AJ2640">
        <v>0</v>
      </c>
      <c r="AK2640">
        <v>0</v>
      </c>
      <c r="AL2640">
        <v>0</v>
      </c>
      <c r="AM2640">
        <v>0</v>
      </c>
      <c r="AN2640">
        <v>0</v>
      </c>
      <c r="AO2640">
        <v>0</v>
      </c>
      <c r="AP2640">
        <v>0</v>
      </c>
      <c r="AQ2640">
        <v>21.38</v>
      </c>
      <c r="AR2640">
        <v>0</v>
      </c>
      <c r="AS2640">
        <v>0</v>
      </c>
      <c r="AT2640">
        <v>0</v>
      </c>
      <c r="AU2640">
        <v>0</v>
      </c>
      <c r="AV2640">
        <v>0</v>
      </c>
      <c r="AW2640">
        <v>0</v>
      </c>
      <c r="AX2640">
        <v>0</v>
      </c>
      <c r="AY2640">
        <v>0</v>
      </c>
      <c r="AZ2640">
        <v>0</v>
      </c>
      <c r="BA2640">
        <v>0</v>
      </c>
      <c r="BB2640">
        <v>0</v>
      </c>
      <c r="BC2640">
        <v>0</v>
      </c>
      <c r="BD2640">
        <v>0</v>
      </c>
      <c r="BE2640">
        <v>0</v>
      </c>
      <c r="BF2640">
        <v>0</v>
      </c>
      <c r="BG2640">
        <v>0</v>
      </c>
      <c r="BH2640">
        <v>1</v>
      </c>
      <c r="BI2640">
        <v>1</v>
      </c>
      <c r="BJ2640">
        <v>0.2</v>
      </c>
      <c r="BK2640">
        <v>1</v>
      </c>
      <c r="BL2640">
        <v>69.98</v>
      </c>
      <c r="BM2640">
        <v>10.5</v>
      </c>
      <c r="BN2640">
        <v>80.48</v>
      </c>
      <c r="BO2640">
        <v>80.48</v>
      </c>
      <c r="BQ2640" t="s">
        <v>745</v>
      </c>
      <c r="BR2640" t="s">
        <v>84</v>
      </c>
      <c r="BS2640" s="3">
        <v>45799</v>
      </c>
      <c r="BT2640" s="4">
        <v>0.51041666666666663</v>
      </c>
      <c r="BU2640" t="s">
        <v>746</v>
      </c>
      <c r="BV2640" t="s">
        <v>89</v>
      </c>
      <c r="BY2640">
        <v>1200</v>
      </c>
      <c r="CA2640" t="s">
        <v>588</v>
      </c>
      <c r="CC2640" t="s">
        <v>464</v>
      </c>
      <c r="CD2640">
        <v>5201</v>
      </c>
      <c r="CE2640" t="s">
        <v>88</v>
      </c>
      <c r="CF2640" s="3">
        <v>45799</v>
      </c>
      <c r="CI2640">
        <v>1</v>
      </c>
      <c r="CJ2640">
        <v>1</v>
      </c>
      <c r="CK2640">
        <v>21</v>
      </c>
      <c r="CL2640" t="s">
        <v>89</v>
      </c>
    </row>
    <row r="2641" spans="1:90" x14ac:dyDescent="0.3">
      <c r="A2641" t="s">
        <v>72</v>
      </c>
      <c r="B2641" t="s">
        <v>73</v>
      </c>
      <c r="C2641" t="s">
        <v>74</v>
      </c>
      <c r="E2641" t="str">
        <f>"080065492063"</f>
        <v>080065492063</v>
      </c>
      <c r="F2641" s="3">
        <v>45798</v>
      </c>
      <c r="G2641">
        <v>202602</v>
      </c>
      <c r="H2641" t="s">
        <v>75</v>
      </c>
      <c r="I2641" t="s">
        <v>76</v>
      </c>
      <c r="J2641" t="s">
        <v>77</v>
      </c>
      <c r="K2641" t="s">
        <v>78</v>
      </c>
      <c r="L2641" t="s">
        <v>136</v>
      </c>
      <c r="M2641" t="s">
        <v>137</v>
      </c>
      <c r="N2641" t="s">
        <v>1656</v>
      </c>
      <c r="O2641" t="s">
        <v>82</v>
      </c>
      <c r="P2641" t="str">
        <f>"4170039881                    "</f>
        <v xml:space="preserve">4170039881                    </v>
      </c>
      <c r="Q2641">
        <v>0</v>
      </c>
      <c r="R2641">
        <v>0</v>
      </c>
      <c r="S2641">
        <v>0</v>
      </c>
      <c r="T2641">
        <v>0</v>
      </c>
      <c r="U2641">
        <v>0</v>
      </c>
      <c r="V2641">
        <v>0</v>
      </c>
      <c r="W2641">
        <v>0</v>
      </c>
      <c r="X2641">
        <v>0</v>
      </c>
      <c r="Y2641">
        <v>0</v>
      </c>
      <c r="Z2641">
        <v>0</v>
      </c>
      <c r="AA2641">
        <v>0</v>
      </c>
      <c r="AB2641">
        <v>0</v>
      </c>
      <c r="AC2641">
        <v>0</v>
      </c>
      <c r="AD2641">
        <v>0</v>
      </c>
      <c r="AE2641">
        <v>0</v>
      </c>
      <c r="AF2641">
        <v>0</v>
      </c>
      <c r="AG2641">
        <v>0</v>
      </c>
      <c r="AH2641">
        <v>0</v>
      </c>
      <c r="AI2641">
        <v>0</v>
      </c>
      <c r="AJ2641">
        <v>0</v>
      </c>
      <c r="AK2641">
        <v>0</v>
      </c>
      <c r="AL2641">
        <v>0</v>
      </c>
      <c r="AM2641">
        <v>0</v>
      </c>
      <c r="AN2641">
        <v>0</v>
      </c>
      <c r="AO2641">
        <v>0</v>
      </c>
      <c r="AP2641">
        <v>0</v>
      </c>
      <c r="AQ2641">
        <v>21.38</v>
      </c>
      <c r="AR2641">
        <v>0</v>
      </c>
      <c r="AS2641">
        <v>0</v>
      </c>
      <c r="AT2641">
        <v>0</v>
      </c>
      <c r="AU2641">
        <v>0</v>
      </c>
      <c r="AV2641">
        <v>0</v>
      </c>
      <c r="AW2641">
        <v>0</v>
      </c>
      <c r="AX2641">
        <v>0</v>
      </c>
      <c r="AY2641">
        <v>0</v>
      </c>
      <c r="AZ2641">
        <v>0</v>
      </c>
      <c r="BA2641">
        <v>0</v>
      </c>
      <c r="BB2641">
        <v>0</v>
      </c>
      <c r="BC2641">
        <v>0</v>
      </c>
      <c r="BD2641">
        <v>0</v>
      </c>
      <c r="BE2641">
        <v>0</v>
      </c>
      <c r="BF2641">
        <v>0</v>
      </c>
      <c r="BG2641">
        <v>0</v>
      </c>
      <c r="BH2641">
        <v>1</v>
      </c>
      <c r="BI2641">
        <v>1</v>
      </c>
      <c r="BJ2641">
        <v>0.2</v>
      </c>
      <c r="BK2641">
        <v>1</v>
      </c>
      <c r="BL2641">
        <v>69.98</v>
      </c>
      <c r="BM2641">
        <v>10.5</v>
      </c>
      <c r="BN2641">
        <v>80.48</v>
      </c>
      <c r="BO2641">
        <v>80.48</v>
      </c>
      <c r="BQ2641" t="s">
        <v>1657</v>
      </c>
      <c r="BR2641" t="s">
        <v>84</v>
      </c>
      <c r="BS2641" s="3">
        <v>45799</v>
      </c>
      <c r="BT2641" s="4">
        <v>0.36249999999999999</v>
      </c>
      <c r="BU2641" t="s">
        <v>1658</v>
      </c>
      <c r="BV2641" t="s">
        <v>86</v>
      </c>
      <c r="BY2641">
        <v>1200</v>
      </c>
      <c r="CA2641" t="s">
        <v>141</v>
      </c>
      <c r="CC2641" t="s">
        <v>137</v>
      </c>
      <c r="CD2641" s="5" t="s">
        <v>142</v>
      </c>
      <c r="CE2641" t="s">
        <v>88</v>
      </c>
      <c r="CF2641" s="3">
        <v>45799</v>
      </c>
      <c r="CI2641">
        <v>1</v>
      </c>
      <c r="CJ2641">
        <v>1</v>
      </c>
      <c r="CK2641">
        <v>21</v>
      </c>
      <c r="CL2641" t="s">
        <v>89</v>
      </c>
    </row>
    <row r="2642" spans="1:90" x14ac:dyDescent="0.3">
      <c r="A2642" t="s">
        <v>72</v>
      </c>
      <c r="B2642" t="s">
        <v>73</v>
      </c>
      <c r="C2642" t="s">
        <v>74</v>
      </c>
      <c r="E2642" t="str">
        <f>"080065492071"</f>
        <v>080065492071</v>
      </c>
      <c r="F2642" s="3">
        <v>45798</v>
      </c>
      <c r="G2642">
        <v>202602</v>
      </c>
      <c r="H2642" t="s">
        <v>75</v>
      </c>
      <c r="I2642" t="s">
        <v>76</v>
      </c>
      <c r="J2642" t="s">
        <v>77</v>
      </c>
      <c r="K2642" t="s">
        <v>78</v>
      </c>
      <c r="L2642" t="s">
        <v>177</v>
      </c>
      <c r="M2642" t="s">
        <v>178</v>
      </c>
      <c r="N2642" t="s">
        <v>1439</v>
      </c>
      <c r="O2642" t="s">
        <v>82</v>
      </c>
      <c r="P2642" t="str">
        <f>"4170039751                    "</f>
        <v xml:space="preserve">4170039751                    </v>
      </c>
      <c r="Q2642">
        <v>0</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c r="AJ2642">
        <v>0</v>
      </c>
      <c r="AK2642">
        <v>0</v>
      </c>
      <c r="AL2642">
        <v>0</v>
      </c>
      <c r="AM2642">
        <v>0</v>
      </c>
      <c r="AN2642">
        <v>0</v>
      </c>
      <c r="AO2642">
        <v>0</v>
      </c>
      <c r="AP2642">
        <v>0</v>
      </c>
      <c r="AQ2642">
        <v>21.38</v>
      </c>
      <c r="AR2642">
        <v>0</v>
      </c>
      <c r="AS2642">
        <v>0</v>
      </c>
      <c r="AT2642">
        <v>0</v>
      </c>
      <c r="AU2642">
        <v>0</v>
      </c>
      <c r="AV2642">
        <v>0</v>
      </c>
      <c r="AW2642">
        <v>0</v>
      </c>
      <c r="AX2642">
        <v>0</v>
      </c>
      <c r="AY2642">
        <v>0</v>
      </c>
      <c r="AZ2642">
        <v>0</v>
      </c>
      <c r="BA2642">
        <v>0</v>
      </c>
      <c r="BB2642">
        <v>0</v>
      </c>
      <c r="BC2642">
        <v>0</v>
      </c>
      <c r="BD2642">
        <v>0</v>
      </c>
      <c r="BE2642">
        <v>0</v>
      </c>
      <c r="BF2642">
        <v>0</v>
      </c>
      <c r="BG2642">
        <v>0</v>
      </c>
      <c r="BH2642">
        <v>1</v>
      </c>
      <c r="BI2642">
        <v>1</v>
      </c>
      <c r="BJ2642">
        <v>0.6</v>
      </c>
      <c r="BK2642">
        <v>1</v>
      </c>
      <c r="BL2642">
        <v>69.98</v>
      </c>
      <c r="BM2642">
        <v>10.5</v>
      </c>
      <c r="BN2642">
        <v>80.48</v>
      </c>
      <c r="BO2642">
        <v>80.48</v>
      </c>
      <c r="BQ2642" t="s">
        <v>1440</v>
      </c>
      <c r="BR2642" t="s">
        <v>84</v>
      </c>
      <c r="BS2642" s="3">
        <v>45799</v>
      </c>
      <c r="BT2642" s="4">
        <v>0.34375</v>
      </c>
      <c r="BU2642" t="s">
        <v>2363</v>
      </c>
      <c r="BV2642" t="s">
        <v>86</v>
      </c>
      <c r="BY2642">
        <v>3192</v>
      </c>
      <c r="CA2642" t="s">
        <v>182</v>
      </c>
      <c r="CC2642" t="s">
        <v>178</v>
      </c>
      <c r="CD2642">
        <v>6229</v>
      </c>
      <c r="CE2642" t="s">
        <v>116</v>
      </c>
      <c r="CF2642" s="3">
        <v>45799</v>
      </c>
      <c r="CI2642">
        <v>1</v>
      </c>
      <c r="CJ2642">
        <v>1</v>
      </c>
      <c r="CK2642">
        <v>21</v>
      </c>
      <c r="CL2642" t="s">
        <v>89</v>
      </c>
    </row>
    <row r="2643" spans="1:90" x14ac:dyDescent="0.3">
      <c r="A2643" t="s">
        <v>72</v>
      </c>
      <c r="B2643" t="s">
        <v>73</v>
      </c>
      <c r="C2643" t="s">
        <v>74</v>
      </c>
      <c r="E2643" t="str">
        <f>"080065492095"</f>
        <v>080065492095</v>
      </c>
      <c r="F2643" s="3">
        <v>45798</v>
      </c>
      <c r="G2643">
        <v>202602</v>
      </c>
      <c r="H2643" t="s">
        <v>75</v>
      </c>
      <c r="I2643" t="s">
        <v>76</v>
      </c>
      <c r="J2643" t="s">
        <v>77</v>
      </c>
      <c r="K2643" t="s">
        <v>78</v>
      </c>
      <c r="L2643" t="s">
        <v>526</v>
      </c>
      <c r="M2643" t="s">
        <v>527</v>
      </c>
      <c r="N2643" t="s">
        <v>528</v>
      </c>
      <c r="O2643" t="s">
        <v>82</v>
      </c>
      <c r="P2643" t="str">
        <f>"4170039838                    "</f>
        <v xml:space="preserve">4170039838                    </v>
      </c>
      <c r="Q2643">
        <v>0</v>
      </c>
      <c r="R2643">
        <v>0</v>
      </c>
      <c r="S2643">
        <v>0</v>
      </c>
      <c r="T2643">
        <v>0</v>
      </c>
      <c r="U2643">
        <v>0</v>
      </c>
      <c r="V2643">
        <v>0</v>
      </c>
      <c r="W2643">
        <v>0</v>
      </c>
      <c r="X2643">
        <v>0</v>
      </c>
      <c r="Y2643">
        <v>0</v>
      </c>
      <c r="Z2643">
        <v>0</v>
      </c>
      <c r="AA2643">
        <v>0</v>
      </c>
      <c r="AB2643">
        <v>0</v>
      </c>
      <c r="AC2643">
        <v>0</v>
      </c>
      <c r="AD2643">
        <v>0</v>
      </c>
      <c r="AE2643">
        <v>0</v>
      </c>
      <c r="AF2643">
        <v>0</v>
      </c>
      <c r="AG2643">
        <v>0</v>
      </c>
      <c r="AH2643">
        <v>0</v>
      </c>
      <c r="AI2643">
        <v>0</v>
      </c>
      <c r="AJ2643">
        <v>0</v>
      </c>
      <c r="AK2643">
        <v>0</v>
      </c>
      <c r="AL2643">
        <v>0</v>
      </c>
      <c r="AM2643">
        <v>0</v>
      </c>
      <c r="AN2643">
        <v>0</v>
      </c>
      <c r="AO2643">
        <v>0</v>
      </c>
      <c r="AP2643">
        <v>0</v>
      </c>
      <c r="AQ2643">
        <v>30.07</v>
      </c>
      <c r="AR2643">
        <v>0</v>
      </c>
      <c r="AS2643">
        <v>0</v>
      </c>
      <c r="AT2643">
        <v>0</v>
      </c>
      <c r="AU2643">
        <v>0</v>
      </c>
      <c r="AV2643">
        <v>0</v>
      </c>
      <c r="AW2643">
        <v>0</v>
      </c>
      <c r="AX2643">
        <v>0</v>
      </c>
      <c r="AY2643">
        <v>0</v>
      </c>
      <c r="AZ2643">
        <v>0</v>
      </c>
      <c r="BA2643">
        <v>0</v>
      </c>
      <c r="BB2643">
        <v>0</v>
      </c>
      <c r="BC2643">
        <v>0</v>
      </c>
      <c r="BD2643">
        <v>0</v>
      </c>
      <c r="BE2643">
        <v>0</v>
      </c>
      <c r="BF2643">
        <v>0</v>
      </c>
      <c r="BG2643">
        <v>0</v>
      </c>
      <c r="BH2643">
        <v>1</v>
      </c>
      <c r="BI2643">
        <v>1</v>
      </c>
      <c r="BJ2643">
        <v>0.2</v>
      </c>
      <c r="BK2643">
        <v>1</v>
      </c>
      <c r="BL2643">
        <v>98.42</v>
      </c>
      <c r="BM2643">
        <v>14.76</v>
      </c>
      <c r="BN2643">
        <v>113.18</v>
      </c>
      <c r="BO2643">
        <v>113.18</v>
      </c>
      <c r="BQ2643" t="s">
        <v>529</v>
      </c>
      <c r="BR2643" t="s">
        <v>84</v>
      </c>
      <c r="BS2643" s="3">
        <v>45799</v>
      </c>
      <c r="BT2643" s="4">
        <v>0.36875000000000002</v>
      </c>
      <c r="BU2643" t="s">
        <v>1121</v>
      </c>
      <c r="BV2643" t="s">
        <v>86</v>
      </c>
      <c r="BY2643">
        <v>1200</v>
      </c>
      <c r="CA2643" t="s">
        <v>829</v>
      </c>
      <c r="CC2643" t="s">
        <v>527</v>
      </c>
      <c r="CD2643">
        <v>1760</v>
      </c>
      <c r="CE2643" t="s">
        <v>88</v>
      </c>
      <c r="CF2643" s="3">
        <v>45799</v>
      </c>
      <c r="CI2643">
        <v>1</v>
      </c>
      <c r="CJ2643">
        <v>1</v>
      </c>
      <c r="CK2643">
        <v>24</v>
      </c>
      <c r="CL2643" t="s">
        <v>89</v>
      </c>
    </row>
    <row r="2644" spans="1:90" x14ac:dyDescent="0.3">
      <c r="A2644" t="s">
        <v>72</v>
      </c>
      <c r="B2644" t="s">
        <v>73</v>
      </c>
      <c r="C2644" t="s">
        <v>74</v>
      </c>
      <c r="E2644" t="str">
        <f>"080065492104"</f>
        <v>080065492104</v>
      </c>
      <c r="F2644" s="3">
        <v>45798</v>
      </c>
      <c r="G2644">
        <v>202602</v>
      </c>
      <c r="H2644" t="s">
        <v>75</v>
      </c>
      <c r="I2644" t="s">
        <v>76</v>
      </c>
      <c r="J2644" t="s">
        <v>77</v>
      </c>
      <c r="K2644" t="s">
        <v>78</v>
      </c>
      <c r="L2644" t="s">
        <v>90</v>
      </c>
      <c r="M2644" t="s">
        <v>91</v>
      </c>
      <c r="N2644" t="s">
        <v>543</v>
      </c>
      <c r="O2644" t="s">
        <v>82</v>
      </c>
      <c r="P2644" t="str">
        <f>"4170039762                    "</f>
        <v xml:space="preserve">4170039762                    </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c r="AJ2644">
        <v>0</v>
      </c>
      <c r="AK2644">
        <v>0</v>
      </c>
      <c r="AL2644">
        <v>0</v>
      </c>
      <c r="AM2644">
        <v>0</v>
      </c>
      <c r="AN2644">
        <v>0</v>
      </c>
      <c r="AO2644">
        <v>0</v>
      </c>
      <c r="AP2644">
        <v>0</v>
      </c>
      <c r="AQ2644">
        <v>74.8</v>
      </c>
      <c r="AR2644">
        <v>0</v>
      </c>
      <c r="AS2644">
        <v>0</v>
      </c>
      <c r="AT2644">
        <v>0</v>
      </c>
      <c r="AU2644">
        <v>0</v>
      </c>
      <c r="AV2644">
        <v>0</v>
      </c>
      <c r="AW2644">
        <v>0</v>
      </c>
      <c r="AX2644">
        <v>0</v>
      </c>
      <c r="AY2644">
        <v>0</v>
      </c>
      <c r="AZ2644">
        <v>0</v>
      </c>
      <c r="BA2644">
        <v>0</v>
      </c>
      <c r="BB2644">
        <v>0</v>
      </c>
      <c r="BC2644">
        <v>0</v>
      </c>
      <c r="BD2644">
        <v>0</v>
      </c>
      <c r="BE2644">
        <v>0</v>
      </c>
      <c r="BF2644">
        <v>0</v>
      </c>
      <c r="BG2644">
        <v>0</v>
      </c>
      <c r="BH2644">
        <v>1</v>
      </c>
      <c r="BI2644">
        <v>7</v>
      </c>
      <c r="BJ2644">
        <v>1.7</v>
      </c>
      <c r="BK2644">
        <v>7</v>
      </c>
      <c r="BL2644">
        <v>244.8</v>
      </c>
      <c r="BM2644">
        <v>36.72</v>
      </c>
      <c r="BN2644">
        <v>281.52</v>
      </c>
      <c r="BO2644">
        <v>281.52</v>
      </c>
      <c r="BQ2644" t="s">
        <v>544</v>
      </c>
      <c r="BR2644" t="s">
        <v>84</v>
      </c>
      <c r="BS2644" s="3">
        <v>45799</v>
      </c>
      <c r="BT2644" s="4">
        <v>0.40555555555555556</v>
      </c>
      <c r="BU2644" t="s">
        <v>1764</v>
      </c>
      <c r="BV2644" t="s">
        <v>86</v>
      </c>
      <c r="BY2644">
        <v>8512</v>
      </c>
      <c r="CA2644" t="s">
        <v>283</v>
      </c>
      <c r="CC2644" t="s">
        <v>91</v>
      </c>
      <c r="CD2644">
        <v>6001</v>
      </c>
      <c r="CE2644" t="s">
        <v>116</v>
      </c>
      <c r="CF2644" s="3">
        <v>45799</v>
      </c>
      <c r="CI2644">
        <v>1</v>
      </c>
      <c r="CJ2644">
        <v>1</v>
      </c>
      <c r="CK2644">
        <v>21</v>
      </c>
      <c r="CL2644" t="s">
        <v>89</v>
      </c>
    </row>
    <row r="2645" spans="1:90" x14ac:dyDescent="0.3">
      <c r="A2645" t="s">
        <v>72</v>
      </c>
      <c r="B2645" t="s">
        <v>73</v>
      </c>
      <c r="C2645" t="s">
        <v>74</v>
      </c>
      <c r="E2645" t="str">
        <f>"080065493936"</f>
        <v>080065493936</v>
      </c>
      <c r="F2645" s="3">
        <v>45798</v>
      </c>
      <c r="G2645">
        <v>202602</v>
      </c>
      <c r="H2645" t="s">
        <v>75</v>
      </c>
      <c r="I2645" t="s">
        <v>76</v>
      </c>
      <c r="J2645" t="s">
        <v>77</v>
      </c>
      <c r="K2645" t="s">
        <v>78</v>
      </c>
      <c r="L2645" t="s">
        <v>445</v>
      </c>
      <c r="M2645" t="s">
        <v>446</v>
      </c>
      <c r="N2645" t="s">
        <v>2782</v>
      </c>
      <c r="O2645" t="s">
        <v>82</v>
      </c>
      <c r="P2645" t="str">
        <f>"4170039861                    "</f>
        <v xml:space="preserve">4170039861                    </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c r="AJ2645">
        <v>0</v>
      </c>
      <c r="AK2645">
        <v>0</v>
      </c>
      <c r="AL2645">
        <v>0</v>
      </c>
      <c r="AM2645">
        <v>0</v>
      </c>
      <c r="AN2645">
        <v>0</v>
      </c>
      <c r="AO2645">
        <v>0</v>
      </c>
      <c r="AP2645">
        <v>0</v>
      </c>
      <c r="AQ2645">
        <v>60.14</v>
      </c>
      <c r="AR2645">
        <v>0</v>
      </c>
      <c r="AS2645">
        <v>0</v>
      </c>
      <c r="AT2645">
        <v>0</v>
      </c>
      <c r="AU2645">
        <v>0</v>
      </c>
      <c r="AV2645">
        <v>0</v>
      </c>
      <c r="AW2645">
        <v>0</v>
      </c>
      <c r="AX2645">
        <v>0</v>
      </c>
      <c r="AY2645">
        <v>0</v>
      </c>
      <c r="AZ2645">
        <v>0</v>
      </c>
      <c r="BA2645">
        <v>0</v>
      </c>
      <c r="BB2645">
        <v>0</v>
      </c>
      <c r="BC2645">
        <v>0</v>
      </c>
      <c r="BD2645">
        <v>0</v>
      </c>
      <c r="BE2645">
        <v>0</v>
      </c>
      <c r="BF2645">
        <v>0</v>
      </c>
      <c r="BG2645">
        <v>0</v>
      </c>
      <c r="BH2645">
        <v>1</v>
      </c>
      <c r="BI2645">
        <v>3</v>
      </c>
      <c r="BJ2645">
        <v>1.7</v>
      </c>
      <c r="BK2645">
        <v>3</v>
      </c>
      <c r="BL2645">
        <v>196.82</v>
      </c>
      <c r="BM2645">
        <v>29.52</v>
      </c>
      <c r="BN2645">
        <v>226.34</v>
      </c>
      <c r="BO2645">
        <v>226.34</v>
      </c>
      <c r="BQ2645" t="s">
        <v>2783</v>
      </c>
      <c r="BR2645" t="s">
        <v>84</v>
      </c>
      <c r="BS2645" s="3">
        <v>45799</v>
      </c>
      <c r="BT2645" s="4">
        <v>0.41319444444444442</v>
      </c>
      <c r="BU2645" t="s">
        <v>2822</v>
      </c>
      <c r="BV2645" t="s">
        <v>86</v>
      </c>
      <c r="BY2645">
        <v>8512</v>
      </c>
      <c r="CA2645" t="s">
        <v>2785</v>
      </c>
      <c r="CC2645" t="s">
        <v>446</v>
      </c>
      <c r="CD2645">
        <v>4399</v>
      </c>
      <c r="CE2645" t="s">
        <v>116</v>
      </c>
      <c r="CF2645" s="3">
        <v>45800</v>
      </c>
      <c r="CI2645">
        <v>1</v>
      </c>
      <c r="CJ2645">
        <v>1</v>
      </c>
      <c r="CK2645">
        <v>23</v>
      </c>
      <c r="CL2645" t="s">
        <v>89</v>
      </c>
    </row>
    <row r="2646" spans="1:90" x14ac:dyDescent="0.3">
      <c r="A2646" t="s">
        <v>72</v>
      </c>
      <c r="B2646" t="s">
        <v>73</v>
      </c>
      <c r="C2646" t="s">
        <v>74</v>
      </c>
      <c r="E2646" t="str">
        <f>"080065493937"</f>
        <v>080065493937</v>
      </c>
      <c r="F2646" s="3">
        <v>45798</v>
      </c>
      <c r="G2646">
        <v>202602</v>
      </c>
      <c r="H2646" t="s">
        <v>75</v>
      </c>
      <c r="I2646" t="s">
        <v>76</v>
      </c>
      <c r="J2646" t="s">
        <v>77</v>
      </c>
      <c r="K2646" t="s">
        <v>78</v>
      </c>
      <c r="L2646" t="s">
        <v>130</v>
      </c>
      <c r="M2646" t="s">
        <v>131</v>
      </c>
      <c r="N2646" t="s">
        <v>2308</v>
      </c>
      <c r="O2646" t="s">
        <v>82</v>
      </c>
      <c r="P2646" t="str">
        <f>"4170039855                    "</f>
        <v xml:space="preserve">4170039855                    </v>
      </c>
      <c r="Q2646">
        <v>0</v>
      </c>
      <c r="R2646">
        <v>0</v>
      </c>
      <c r="S2646">
        <v>0</v>
      </c>
      <c r="T2646">
        <v>0</v>
      </c>
      <c r="U2646">
        <v>0</v>
      </c>
      <c r="V2646">
        <v>0</v>
      </c>
      <c r="W2646">
        <v>0</v>
      </c>
      <c r="X2646">
        <v>0</v>
      </c>
      <c r="Y2646">
        <v>0</v>
      </c>
      <c r="Z2646">
        <v>0</v>
      </c>
      <c r="AA2646">
        <v>0</v>
      </c>
      <c r="AB2646">
        <v>0</v>
      </c>
      <c r="AC2646">
        <v>0</v>
      </c>
      <c r="AD2646">
        <v>0</v>
      </c>
      <c r="AE2646">
        <v>0</v>
      </c>
      <c r="AF2646">
        <v>0</v>
      </c>
      <c r="AG2646">
        <v>0</v>
      </c>
      <c r="AH2646">
        <v>0</v>
      </c>
      <c r="AI2646">
        <v>0</v>
      </c>
      <c r="AJ2646">
        <v>0</v>
      </c>
      <c r="AK2646">
        <v>0</v>
      </c>
      <c r="AL2646">
        <v>0</v>
      </c>
      <c r="AM2646">
        <v>0</v>
      </c>
      <c r="AN2646">
        <v>0</v>
      </c>
      <c r="AO2646">
        <v>0</v>
      </c>
      <c r="AP2646">
        <v>0</v>
      </c>
      <c r="AQ2646">
        <v>21.38</v>
      </c>
      <c r="AR2646">
        <v>0</v>
      </c>
      <c r="AS2646">
        <v>0</v>
      </c>
      <c r="AT2646">
        <v>0</v>
      </c>
      <c r="AU2646">
        <v>0</v>
      </c>
      <c r="AV2646">
        <v>0</v>
      </c>
      <c r="AW2646">
        <v>0</v>
      </c>
      <c r="AX2646">
        <v>0</v>
      </c>
      <c r="AY2646">
        <v>0</v>
      </c>
      <c r="AZ2646">
        <v>0</v>
      </c>
      <c r="BA2646">
        <v>0</v>
      </c>
      <c r="BB2646">
        <v>0</v>
      </c>
      <c r="BC2646">
        <v>0</v>
      </c>
      <c r="BD2646">
        <v>0</v>
      </c>
      <c r="BE2646">
        <v>0</v>
      </c>
      <c r="BF2646">
        <v>0</v>
      </c>
      <c r="BG2646">
        <v>0</v>
      </c>
      <c r="BH2646">
        <v>1</v>
      </c>
      <c r="BI2646">
        <v>1</v>
      </c>
      <c r="BJ2646">
        <v>0.2</v>
      </c>
      <c r="BK2646">
        <v>1</v>
      </c>
      <c r="BL2646">
        <v>69.98</v>
      </c>
      <c r="BM2646">
        <v>10.5</v>
      </c>
      <c r="BN2646">
        <v>80.48</v>
      </c>
      <c r="BO2646">
        <v>80.48</v>
      </c>
      <c r="BQ2646" t="s">
        <v>2309</v>
      </c>
      <c r="BR2646" t="s">
        <v>84</v>
      </c>
      <c r="BS2646" s="3">
        <v>45799</v>
      </c>
      <c r="BT2646" s="4">
        <v>0.40694444444444444</v>
      </c>
      <c r="BU2646" t="s">
        <v>1782</v>
      </c>
      <c r="BV2646" t="s">
        <v>86</v>
      </c>
      <c r="BY2646">
        <v>1200</v>
      </c>
      <c r="CA2646" t="s">
        <v>389</v>
      </c>
      <c r="CC2646" t="s">
        <v>131</v>
      </c>
      <c r="CD2646">
        <v>7530</v>
      </c>
      <c r="CE2646" t="s">
        <v>88</v>
      </c>
      <c r="CF2646" s="3">
        <v>45800</v>
      </c>
      <c r="CI2646">
        <v>1</v>
      </c>
      <c r="CJ2646">
        <v>1</v>
      </c>
      <c r="CK2646">
        <v>21</v>
      </c>
      <c r="CL2646" t="s">
        <v>89</v>
      </c>
    </row>
    <row r="2647" spans="1:90" x14ac:dyDescent="0.3">
      <c r="A2647" t="s">
        <v>72</v>
      </c>
      <c r="B2647" t="s">
        <v>73</v>
      </c>
      <c r="C2647" t="s">
        <v>74</v>
      </c>
      <c r="E2647" t="str">
        <f>"080065492121"</f>
        <v>080065492121</v>
      </c>
      <c r="F2647" s="3">
        <v>45798</v>
      </c>
      <c r="G2647">
        <v>202602</v>
      </c>
      <c r="H2647" t="s">
        <v>75</v>
      </c>
      <c r="I2647" t="s">
        <v>76</v>
      </c>
      <c r="J2647" t="s">
        <v>77</v>
      </c>
      <c r="K2647" t="s">
        <v>78</v>
      </c>
      <c r="L2647" t="s">
        <v>130</v>
      </c>
      <c r="M2647" t="s">
        <v>131</v>
      </c>
      <c r="N2647" t="s">
        <v>681</v>
      </c>
      <c r="O2647" t="s">
        <v>82</v>
      </c>
      <c r="P2647" t="str">
        <f>"4170039934                    "</f>
        <v xml:space="preserve">4170039934                    </v>
      </c>
      <c r="Q2647">
        <v>0</v>
      </c>
      <c r="R2647">
        <v>0</v>
      </c>
      <c r="S2647">
        <v>0</v>
      </c>
      <c r="T2647">
        <v>0</v>
      </c>
      <c r="U2647">
        <v>0</v>
      </c>
      <c r="V2647">
        <v>0</v>
      </c>
      <c r="W2647">
        <v>0</v>
      </c>
      <c r="X2647">
        <v>0</v>
      </c>
      <c r="Y2647">
        <v>0</v>
      </c>
      <c r="Z2647">
        <v>0</v>
      </c>
      <c r="AA2647">
        <v>0</v>
      </c>
      <c r="AB2647">
        <v>0</v>
      </c>
      <c r="AC2647">
        <v>0</v>
      </c>
      <c r="AD2647">
        <v>0</v>
      </c>
      <c r="AE2647">
        <v>0</v>
      </c>
      <c r="AF2647">
        <v>0</v>
      </c>
      <c r="AG2647">
        <v>0</v>
      </c>
      <c r="AH2647">
        <v>0</v>
      </c>
      <c r="AI2647">
        <v>0</v>
      </c>
      <c r="AJ2647">
        <v>0</v>
      </c>
      <c r="AK2647">
        <v>0</v>
      </c>
      <c r="AL2647">
        <v>0</v>
      </c>
      <c r="AM2647">
        <v>0</v>
      </c>
      <c r="AN2647">
        <v>0</v>
      </c>
      <c r="AO2647">
        <v>0</v>
      </c>
      <c r="AP2647">
        <v>0</v>
      </c>
      <c r="AQ2647">
        <v>21.38</v>
      </c>
      <c r="AR2647">
        <v>0</v>
      </c>
      <c r="AS2647">
        <v>0</v>
      </c>
      <c r="AT2647">
        <v>0</v>
      </c>
      <c r="AU2647">
        <v>0</v>
      </c>
      <c r="AV2647">
        <v>0</v>
      </c>
      <c r="AW2647">
        <v>0</v>
      </c>
      <c r="AX2647">
        <v>0</v>
      </c>
      <c r="AY2647">
        <v>0</v>
      </c>
      <c r="AZ2647">
        <v>0</v>
      </c>
      <c r="BA2647">
        <v>0</v>
      </c>
      <c r="BB2647">
        <v>0</v>
      </c>
      <c r="BC2647">
        <v>0</v>
      </c>
      <c r="BD2647">
        <v>0</v>
      </c>
      <c r="BE2647">
        <v>0</v>
      </c>
      <c r="BF2647">
        <v>0</v>
      </c>
      <c r="BG2647">
        <v>0</v>
      </c>
      <c r="BH2647">
        <v>1</v>
      </c>
      <c r="BI2647">
        <v>1</v>
      </c>
      <c r="BJ2647">
        <v>0.2</v>
      </c>
      <c r="BK2647">
        <v>1</v>
      </c>
      <c r="BL2647">
        <v>69.98</v>
      </c>
      <c r="BM2647">
        <v>10.5</v>
      </c>
      <c r="BN2647">
        <v>80.48</v>
      </c>
      <c r="BO2647">
        <v>80.48</v>
      </c>
      <c r="BQ2647" t="s">
        <v>682</v>
      </c>
      <c r="BR2647" t="s">
        <v>84</v>
      </c>
      <c r="BS2647" s="3">
        <v>45799</v>
      </c>
      <c r="BT2647" s="4">
        <v>0.41319444444444442</v>
      </c>
      <c r="BU2647" t="s">
        <v>683</v>
      </c>
      <c r="BV2647" t="s">
        <v>86</v>
      </c>
      <c r="BY2647">
        <v>1200</v>
      </c>
      <c r="CA2647" t="s">
        <v>684</v>
      </c>
      <c r="CC2647" t="s">
        <v>131</v>
      </c>
      <c r="CD2647">
        <v>7800</v>
      </c>
      <c r="CE2647" t="s">
        <v>176</v>
      </c>
      <c r="CF2647" s="3">
        <v>45800</v>
      </c>
      <c r="CI2647">
        <v>1</v>
      </c>
      <c r="CJ2647">
        <v>1</v>
      </c>
      <c r="CK2647">
        <v>21</v>
      </c>
      <c r="CL2647" t="s">
        <v>89</v>
      </c>
    </row>
    <row r="2648" spans="1:90" x14ac:dyDescent="0.3">
      <c r="A2648" t="s">
        <v>72</v>
      </c>
      <c r="B2648" t="s">
        <v>73</v>
      </c>
      <c r="C2648" t="s">
        <v>74</v>
      </c>
      <c r="E2648" t="str">
        <f>"080065492132"</f>
        <v>080065492132</v>
      </c>
      <c r="F2648" s="3">
        <v>45798</v>
      </c>
      <c r="G2648">
        <v>202602</v>
      </c>
      <c r="H2648" t="s">
        <v>75</v>
      </c>
      <c r="I2648" t="s">
        <v>76</v>
      </c>
      <c r="J2648" t="s">
        <v>77</v>
      </c>
      <c r="K2648" t="s">
        <v>78</v>
      </c>
      <c r="L2648" t="s">
        <v>123</v>
      </c>
      <c r="M2648" t="s">
        <v>123</v>
      </c>
      <c r="N2648" t="s">
        <v>766</v>
      </c>
      <c r="O2648" t="s">
        <v>82</v>
      </c>
      <c r="P2648" t="str">
        <f>"4170039749                    "</f>
        <v xml:space="preserve">4170039749                    </v>
      </c>
      <c r="Q2648">
        <v>0</v>
      </c>
      <c r="R2648">
        <v>0</v>
      </c>
      <c r="S2648">
        <v>0</v>
      </c>
      <c r="T2648">
        <v>0</v>
      </c>
      <c r="U2648">
        <v>0</v>
      </c>
      <c r="V2648">
        <v>0</v>
      </c>
      <c r="W2648">
        <v>0</v>
      </c>
      <c r="X2648">
        <v>0</v>
      </c>
      <c r="Y2648">
        <v>0</v>
      </c>
      <c r="Z2648">
        <v>0</v>
      </c>
      <c r="AA2648">
        <v>0</v>
      </c>
      <c r="AB2648">
        <v>0</v>
      </c>
      <c r="AC2648">
        <v>0</v>
      </c>
      <c r="AD2648">
        <v>0</v>
      </c>
      <c r="AE2648">
        <v>0</v>
      </c>
      <c r="AF2648">
        <v>0</v>
      </c>
      <c r="AG2648">
        <v>0</v>
      </c>
      <c r="AH2648">
        <v>0</v>
      </c>
      <c r="AI2648">
        <v>0</v>
      </c>
      <c r="AJ2648">
        <v>0</v>
      </c>
      <c r="AK2648">
        <v>0</v>
      </c>
      <c r="AL2648">
        <v>0</v>
      </c>
      <c r="AM2648">
        <v>0</v>
      </c>
      <c r="AN2648">
        <v>0</v>
      </c>
      <c r="AO2648">
        <v>0</v>
      </c>
      <c r="AP2648">
        <v>0</v>
      </c>
      <c r="AQ2648">
        <v>134.97</v>
      </c>
      <c r="AR2648">
        <v>0</v>
      </c>
      <c r="AS2648">
        <v>0</v>
      </c>
      <c r="AT2648">
        <v>0</v>
      </c>
      <c r="AU2648">
        <v>0</v>
      </c>
      <c r="AV2648">
        <v>0</v>
      </c>
      <c r="AW2648">
        <v>0</v>
      </c>
      <c r="AX2648">
        <v>0</v>
      </c>
      <c r="AY2648">
        <v>0</v>
      </c>
      <c r="AZ2648">
        <v>0</v>
      </c>
      <c r="BA2648">
        <v>0</v>
      </c>
      <c r="BB2648">
        <v>0</v>
      </c>
      <c r="BC2648">
        <v>0</v>
      </c>
      <c r="BD2648">
        <v>0</v>
      </c>
      <c r="BE2648">
        <v>0</v>
      </c>
      <c r="BF2648">
        <v>0</v>
      </c>
      <c r="BG2648">
        <v>0</v>
      </c>
      <c r="BH2648">
        <v>1</v>
      </c>
      <c r="BI2648">
        <v>7</v>
      </c>
      <c r="BJ2648">
        <v>3.4</v>
      </c>
      <c r="BK2648">
        <v>7</v>
      </c>
      <c r="BL2648">
        <v>441.73</v>
      </c>
      <c r="BM2648">
        <v>66.260000000000005</v>
      </c>
      <c r="BN2648">
        <v>507.99</v>
      </c>
      <c r="BO2648">
        <v>507.99</v>
      </c>
      <c r="BQ2648" t="s">
        <v>767</v>
      </c>
      <c r="BR2648" t="s">
        <v>84</v>
      </c>
      <c r="BS2648" s="3">
        <v>45799</v>
      </c>
      <c r="BT2648" s="4">
        <v>0.50277777777777777</v>
      </c>
      <c r="BU2648" t="s">
        <v>2823</v>
      </c>
      <c r="BV2648" t="s">
        <v>86</v>
      </c>
      <c r="BY2648">
        <v>16965</v>
      </c>
      <c r="CA2648" t="s">
        <v>128</v>
      </c>
      <c r="CC2648" t="s">
        <v>123</v>
      </c>
      <c r="CD2648">
        <v>7646</v>
      </c>
      <c r="CE2648" t="s">
        <v>176</v>
      </c>
      <c r="CF2648" s="3">
        <v>45800</v>
      </c>
      <c r="CI2648">
        <v>1</v>
      </c>
      <c r="CJ2648">
        <v>1</v>
      </c>
      <c r="CK2648">
        <v>23</v>
      </c>
      <c r="CL2648" t="s">
        <v>89</v>
      </c>
    </row>
    <row r="2649" spans="1:90" x14ac:dyDescent="0.3">
      <c r="A2649" t="s">
        <v>72</v>
      </c>
      <c r="B2649" t="s">
        <v>73</v>
      </c>
      <c r="C2649" t="s">
        <v>74</v>
      </c>
      <c r="E2649" t="str">
        <f>"080065492146"</f>
        <v>080065492146</v>
      </c>
      <c r="F2649" s="3">
        <v>45798</v>
      </c>
      <c r="G2649">
        <v>202602</v>
      </c>
      <c r="H2649" t="s">
        <v>75</v>
      </c>
      <c r="I2649" t="s">
        <v>76</v>
      </c>
      <c r="J2649" t="s">
        <v>77</v>
      </c>
      <c r="K2649" t="s">
        <v>78</v>
      </c>
      <c r="L2649" t="s">
        <v>136</v>
      </c>
      <c r="M2649" t="s">
        <v>137</v>
      </c>
      <c r="N2649" t="s">
        <v>299</v>
      </c>
      <c r="O2649" t="s">
        <v>82</v>
      </c>
      <c r="P2649" t="str">
        <f>"4170039917                    "</f>
        <v xml:space="preserve">4170039917                    </v>
      </c>
      <c r="Q2649">
        <v>0</v>
      </c>
      <c r="R2649">
        <v>0</v>
      </c>
      <c r="S2649">
        <v>0</v>
      </c>
      <c r="T2649">
        <v>0</v>
      </c>
      <c r="U2649">
        <v>0</v>
      </c>
      <c r="V2649">
        <v>0</v>
      </c>
      <c r="W2649">
        <v>0</v>
      </c>
      <c r="X2649">
        <v>0</v>
      </c>
      <c r="Y2649">
        <v>0</v>
      </c>
      <c r="Z2649">
        <v>0</v>
      </c>
      <c r="AA2649">
        <v>0</v>
      </c>
      <c r="AB2649">
        <v>0</v>
      </c>
      <c r="AC2649">
        <v>0</v>
      </c>
      <c r="AD2649">
        <v>0</v>
      </c>
      <c r="AE2649">
        <v>0</v>
      </c>
      <c r="AF2649">
        <v>0</v>
      </c>
      <c r="AG2649">
        <v>0</v>
      </c>
      <c r="AH2649">
        <v>0</v>
      </c>
      <c r="AI2649">
        <v>0</v>
      </c>
      <c r="AJ2649">
        <v>0</v>
      </c>
      <c r="AK2649">
        <v>0</v>
      </c>
      <c r="AL2649">
        <v>0</v>
      </c>
      <c r="AM2649">
        <v>0</v>
      </c>
      <c r="AN2649">
        <v>0</v>
      </c>
      <c r="AO2649">
        <v>0</v>
      </c>
      <c r="AP2649">
        <v>0</v>
      </c>
      <c r="AQ2649">
        <v>21.38</v>
      </c>
      <c r="AR2649">
        <v>0</v>
      </c>
      <c r="AS2649">
        <v>0</v>
      </c>
      <c r="AT2649">
        <v>0</v>
      </c>
      <c r="AU2649">
        <v>0</v>
      </c>
      <c r="AV2649">
        <v>0</v>
      </c>
      <c r="AW2649">
        <v>0</v>
      </c>
      <c r="AX2649">
        <v>0</v>
      </c>
      <c r="AY2649">
        <v>0</v>
      </c>
      <c r="AZ2649">
        <v>0</v>
      </c>
      <c r="BA2649">
        <v>0</v>
      </c>
      <c r="BB2649">
        <v>0</v>
      </c>
      <c r="BC2649">
        <v>0</v>
      </c>
      <c r="BD2649">
        <v>0</v>
      </c>
      <c r="BE2649">
        <v>0</v>
      </c>
      <c r="BF2649">
        <v>0</v>
      </c>
      <c r="BG2649">
        <v>0</v>
      </c>
      <c r="BH2649">
        <v>1</v>
      </c>
      <c r="BI2649">
        <v>1</v>
      </c>
      <c r="BJ2649">
        <v>0.2</v>
      </c>
      <c r="BK2649">
        <v>1</v>
      </c>
      <c r="BL2649">
        <v>69.98</v>
      </c>
      <c r="BM2649">
        <v>10.5</v>
      </c>
      <c r="BN2649">
        <v>80.48</v>
      </c>
      <c r="BO2649">
        <v>80.48</v>
      </c>
      <c r="BQ2649" t="s">
        <v>301</v>
      </c>
      <c r="BR2649" t="s">
        <v>84</v>
      </c>
      <c r="BS2649" s="3">
        <v>45799</v>
      </c>
      <c r="BT2649" s="4">
        <v>0.375</v>
      </c>
      <c r="BU2649" t="s">
        <v>2824</v>
      </c>
      <c r="BV2649" t="s">
        <v>86</v>
      </c>
      <c r="BY2649">
        <v>1200</v>
      </c>
      <c r="CC2649" t="s">
        <v>137</v>
      </c>
      <c r="CD2649" s="5" t="s">
        <v>254</v>
      </c>
      <c r="CE2649" t="s">
        <v>176</v>
      </c>
      <c r="CF2649" s="3">
        <v>45800</v>
      </c>
      <c r="CI2649">
        <v>1</v>
      </c>
      <c r="CJ2649">
        <v>1</v>
      </c>
      <c r="CK2649">
        <v>21</v>
      </c>
      <c r="CL2649" t="s">
        <v>89</v>
      </c>
    </row>
    <row r="2650" spans="1:90" x14ac:dyDescent="0.3">
      <c r="A2650" t="s">
        <v>72</v>
      </c>
      <c r="B2650" t="s">
        <v>73</v>
      </c>
      <c r="C2650" t="s">
        <v>74</v>
      </c>
      <c r="E2650" t="str">
        <f>"080065492170"</f>
        <v>080065492170</v>
      </c>
      <c r="F2650" s="3">
        <v>45798</v>
      </c>
      <c r="G2650">
        <v>202602</v>
      </c>
      <c r="H2650" t="s">
        <v>75</v>
      </c>
      <c r="I2650" t="s">
        <v>76</v>
      </c>
      <c r="J2650" t="s">
        <v>77</v>
      </c>
      <c r="K2650" t="s">
        <v>78</v>
      </c>
      <c r="L2650" t="s">
        <v>1214</v>
      </c>
      <c r="M2650" t="s">
        <v>1215</v>
      </c>
      <c r="N2650" t="s">
        <v>1216</v>
      </c>
      <c r="O2650" t="s">
        <v>82</v>
      </c>
      <c r="P2650" t="str">
        <f>"4170039823                    "</f>
        <v xml:space="preserve">4170039823                    </v>
      </c>
      <c r="Q2650">
        <v>0</v>
      </c>
      <c r="R2650">
        <v>0</v>
      </c>
      <c r="S2650">
        <v>0</v>
      </c>
      <c r="T2650">
        <v>0</v>
      </c>
      <c r="U2650">
        <v>0</v>
      </c>
      <c r="V2650">
        <v>0</v>
      </c>
      <c r="W2650">
        <v>0</v>
      </c>
      <c r="X2650">
        <v>0</v>
      </c>
      <c r="Y2650">
        <v>0</v>
      </c>
      <c r="Z2650">
        <v>0</v>
      </c>
      <c r="AA2650">
        <v>0</v>
      </c>
      <c r="AB2650">
        <v>0</v>
      </c>
      <c r="AC2650">
        <v>0</v>
      </c>
      <c r="AD2650">
        <v>0</v>
      </c>
      <c r="AE2650">
        <v>0</v>
      </c>
      <c r="AF2650">
        <v>0</v>
      </c>
      <c r="AG2650">
        <v>0</v>
      </c>
      <c r="AH2650">
        <v>0</v>
      </c>
      <c r="AI2650">
        <v>0</v>
      </c>
      <c r="AJ2650">
        <v>0</v>
      </c>
      <c r="AK2650">
        <v>0</v>
      </c>
      <c r="AL2650">
        <v>0</v>
      </c>
      <c r="AM2650">
        <v>0</v>
      </c>
      <c r="AN2650">
        <v>0</v>
      </c>
      <c r="AO2650">
        <v>0</v>
      </c>
      <c r="AP2650">
        <v>0</v>
      </c>
      <c r="AQ2650">
        <v>37.409999999999997</v>
      </c>
      <c r="AR2650">
        <v>0</v>
      </c>
      <c r="AS2650">
        <v>0</v>
      </c>
      <c r="AT2650">
        <v>0</v>
      </c>
      <c r="AU2650">
        <v>0</v>
      </c>
      <c r="AV2650">
        <v>0</v>
      </c>
      <c r="AW2650">
        <v>0</v>
      </c>
      <c r="AX2650">
        <v>0</v>
      </c>
      <c r="AY2650">
        <v>0</v>
      </c>
      <c r="AZ2650">
        <v>0</v>
      </c>
      <c r="BA2650">
        <v>0</v>
      </c>
      <c r="BB2650">
        <v>0</v>
      </c>
      <c r="BC2650">
        <v>0</v>
      </c>
      <c r="BD2650">
        <v>0</v>
      </c>
      <c r="BE2650">
        <v>0</v>
      </c>
      <c r="BF2650">
        <v>0</v>
      </c>
      <c r="BG2650">
        <v>0</v>
      </c>
      <c r="BH2650">
        <v>1</v>
      </c>
      <c r="BI2650">
        <v>2</v>
      </c>
      <c r="BJ2650">
        <v>3.1</v>
      </c>
      <c r="BK2650">
        <v>3.5</v>
      </c>
      <c r="BL2650">
        <v>122.43</v>
      </c>
      <c r="BM2650">
        <v>18.36</v>
      </c>
      <c r="BN2650">
        <v>140.79</v>
      </c>
      <c r="BO2650">
        <v>140.79</v>
      </c>
      <c r="BQ2650" t="s">
        <v>1217</v>
      </c>
      <c r="BR2650" t="s">
        <v>84</v>
      </c>
      <c r="BS2650" s="3">
        <v>45799</v>
      </c>
      <c r="BT2650" s="4">
        <v>0.375</v>
      </c>
      <c r="BU2650" t="s">
        <v>2581</v>
      </c>
      <c r="BV2650" t="s">
        <v>86</v>
      </c>
      <c r="BY2650">
        <v>15708</v>
      </c>
      <c r="CA2650" t="s">
        <v>1219</v>
      </c>
      <c r="CC2650" t="s">
        <v>1215</v>
      </c>
      <c r="CD2650">
        <v>4302</v>
      </c>
      <c r="CE2650" t="s">
        <v>176</v>
      </c>
      <c r="CF2650" s="3">
        <v>45800</v>
      </c>
      <c r="CI2650">
        <v>1</v>
      </c>
      <c r="CJ2650">
        <v>1</v>
      </c>
      <c r="CK2650">
        <v>21</v>
      </c>
      <c r="CL2650" t="s">
        <v>89</v>
      </c>
    </row>
    <row r="2651" spans="1:90" x14ac:dyDescent="0.3">
      <c r="A2651" t="s">
        <v>72</v>
      </c>
      <c r="B2651" t="s">
        <v>73</v>
      </c>
      <c r="C2651" t="s">
        <v>74</v>
      </c>
      <c r="E2651" t="str">
        <f>"080065492213"</f>
        <v>080065492213</v>
      </c>
      <c r="F2651" s="3">
        <v>45798</v>
      </c>
      <c r="G2651">
        <v>202602</v>
      </c>
      <c r="H2651" t="s">
        <v>75</v>
      </c>
      <c r="I2651" t="s">
        <v>76</v>
      </c>
      <c r="J2651" t="s">
        <v>77</v>
      </c>
      <c r="K2651" t="s">
        <v>78</v>
      </c>
      <c r="L2651" t="s">
        <v>360</v>
      </c>
      <c r="M2651" t="s">
        <v>361</v>
      </c>
      <c r="N2651" t="s">
        <v>362</v>
      </c>
      <c r="O2651" t="s">
        <v>82</v>
      </c>
      <c r="P2651" t="str">
        <f>"4170039729                    "</f>
        <v xml:space="preserve">4170039729                    </v>
      </c>
      <c r="Q2651">
        <v>0</v>
      </c>
      <c r="R2651">
        <v>0</v>
      </c>
      <c r="S2651">
        <v>0</v>
      </c>
      <c r="T2651">
        <v>0</v>
      </c>
      <c r="U2651">
        <v>0</v>
      </c>
      <c r="V2651">
        <v>0</v>
      </c>
      <c r="W2651">
        <v>0</v>
      </c>
      <c r="X2651">
        <v>0</v>
      </c>
      <c r="Y2651">
        <v>0</v>
      </c>
      <c r="Z2651">
        <v>0</v>
      </c>
      <c r="AA2651">
        <v>0</v>
      </c>
      <c r="AB2651">
        <v>0</v>
      </c>
      <c r="AC2651">
        <v>0</v>
      </c>
      <c r="AD2651">
        <v>0</v>
      </c>
      <c r="AE2651">
        <v>0</v>
      </c>
      <c r="AF2651">
        <v>0</v>
      </c>
      <c r="AG2651">
        <v>0</v>
      </c>
      <c r="AH2651">
        <v>0</v>
      </c>
      <c r="AI2651">
        <v>0</v>
      </c>
      <c r="AJ2651">
        <v>0</v>
      </c>
      <c r="AK2651">
        <v>0</v>
      </c>
      <c r="AL2651">
        <v>0</v>
      </c>
      <c r="AM2651">
        <v>0</v>
      </c>
      <c r="AN2651">
        <v>0</v>
      </c>
      <c r="AO2651">
        <v>0</v>
      </c>
      <c r="AP2651">
        <v>0</v>
      </c>
      <c r="AQ2651">
        <v>41.43</v>
      </c>
      <c r="AR2651">
        <v>0</v>
      </c>
      <c r="AS2651">
        <v>0</v>
      </c>
      <c r="AT2651">
        <v>0</v>
      </c>
      <c r="AU2651">
        <v>0</v>
      </c>
      <c r="AV2651">
        <v>0</v>
      </c>
      <c r="AW2651">
        <v>0</v>
      </c>
      <c r="AX2651">
        <v>0</v>
      </c>
      <c r="AY2651">
        <v>0</v>
      </c>
      <c r="AZ2651">
        <v>0</v>
      </c>
      <c r="BA2651">
        <v>0</v>
      </c>
      <c r="BB2651">
        <v>0</v>
      </c>
      <c r="BC2651">
        <v>0</v>
      </c>
      <c r="BD2651">
        <v>0</v>
      </c>
      <c r="BE2651">
        <v>0</v>
      </c>
      <c r="BF2651">
        <v>0</v>
      </c>
      <c r="BG2651">
        <v>0</v>
      </c>
      <c r="BH2651">
        <v>1</v>
      </c>
      <c r="BI2651">
        <v>1</v>
      </c>
      <c r="BJ2651">
        <v>0.2</v>
      </c>
      <c r="BK2651">
        <v>1</v>
      </c>
      <c r="BL2651">
        <v>135.59</v>
      </c>
      <c r="BM2651">
        <v>20.34</v>
      </c>
      <c r="BN2651">
        <v>155.93</v>
      </c>
      <c r="BO2651">
        <v>155.93</v>
      </c>
      <c r="BQ2651" t="s">
        <v>363</v>
      </c>
      <c r="BR2651" t="s">
        <v>84</v>
      </c>
      <c r="BS2651" s="3">
        <v>45799</v>
      </c>
      <c r="BT2651" s="4">
        <v>0.65277777777777779</v>
      </c>
      <c r="BU2651" t="s">
        <v>1246</v>
      </c>
      <c r="BV2651" t="s">
        <v>86</v>
      </c>
      <c r="BY2651">
        <v>1200</v>
      </c>
      <c r="CA2651" t="s">
        <v>365</v>
      </c>
      <c r="CC2651" t="s">
        <v>361</v>
      </c>
      <c r="CD2651">
        <v>7299</v>
      </c>
      <c r="CE2651" t="s">
        <v>176</v>
      </c>
      <c r="CF2651" s="3">
        <v>45800</v>
      </c>
      <c r="CI2651">
        <v>1</v>
      </c>
      <c r="CJ2651">
        <v>1</v>
      </c>
      <c r="CK2651">
        <v>23</v>
      </c>
      <c r="CL2651" t="s">
        <v>89</v>
      </c>
    </row>
    <row r="2652" spans="1:90" x14ac:dyDescent="0.3">
      <c r="A2652" t="s">
        <v>72</v>
      </c>
      <c r="B2652" t="s">
        <v>73</v>
      </c>
      <c r="C2652" t="s">
        <v>74</v>
      </c>
      <c r="E2652" t="str">
        <f>"080065492253"</f>
        <v>080065492253</v>
      </c>
      <c r="F2652" s="3">
        <v>45798</v>
      </c>
      <c r="G2652">
        <v>202602</v>
      </c>
      <c r="H2652" t="s">
        <v>75</v>
      </c>
      <c r="I2652" t="s">
        <v>76</v>
      </c>
      <c r="J2652" t="s">
        <v>77</v>
      </c>
      <c r="K2652" t="s">
        <v>78</v>
      </c>
      <c r="L2652" t="s">
        <v>130</v>
      </c>
      <c r="M2652" t="s">
        <v>131</v>
      </c>
      <c r="N2652" t="s">
        <v>343</v>
      </c>
      <c r="O2652" t="s">
        <v>82</v>
      </c>
      <c r="P2652" t="str">
        <f>"4170039863                    "</f>
        <v xml:space="preserve">4170039863                    </v>
      </c>
      <c r="Q2652">
        <v>0</v>
      </c>
      <c r="R2652">
        <v>0</v>
      </c>
      <c r="S2652">
        <v>0</v>
      </c>
      <c r="T2652">
        <v>0</v>
      </c>
      <c r="U2652">
        <v>0</v>
      </c>
      <c r="V2652">
        <v>0</v>
      </c>
      <c r="W2652">
        <v>0</v>
      </c>
      <c r="X2652">
        <v>0</v>
      </c>
      <c r="Y2652">
        <v>0</v>
      </c>
      <c r="Z2652">
        <v>0</v>
      </c>
      <c r="AA2652">
        <v>0</v>
      </c>
      <c r="AB2652">
        <v>0</v>
      </c>
      <c r="AC2652">
        <v>0</v>
      </c>
      <c r="AD2652">
        <v>0</v>
      </c>
      <c r="AE2652">
        <v>0</v>
      </c>
      <c r="AF2652">
        <v>0</v>
      </c>
      <c r="AG2652">
        <v>0</v>
      </c>
      <c r="AH2652">
        <v>0</v>
      </c>
      <c r="AI2652">
        <v>0</v>
      </c>
      <c r="AJ2652">
        <v>0</v>
      </c>
      <c r="AK2652">
        <v>0</v>
      </c>
      <c r="AL2652">
        <v>0</v>
      </c>
      <c r="AM2652">
        <v>0</v>
      </c>
      <c r="AN2652">
        <v>0</v>
      </c>
      <c r="AO2652">
        <v>0</v>
      </c>
      <c r="AP2652">
        <v>0</v>
      </c>
      <c r="AQ2652">
        <v>21.38</v>
      </c>
      <c r="AR2652">
        <v>0</v>
      </c>
      <c r="AS2652">
        <v>0</v>
      </c>
      <c r="AT2652">
        <v>0</v>
      </c>
      <c r="AU2652">
        <v>0</v>
      </c>
      <c r="AV2652">
        <v>0</v>
      </c>
      <c r="AW2652">
        <v>0</v>
      </c>
      <c r="AX2652">
        <v>0</v>
      </c>
      <c r="AY2652">
        <v>0</v>
      </c>
      <c r="AZ2652">
        <v>0</v>
      </c>
      <c r="BA2652">
        <v>0</v>
      </c>
      <c r="BB2652">
        <v>0</v>
      </c>
      <c r="BC2652">
        <v>0</v>
      </c>
      <c r="BD2652">
        <v>0</v>
      </c>
      <c r="BE2652">
        <v>0</v>
      </c>
      <c r="BF2652">
        <v>0</v>
      </c>
      <c r="BG2652">
        <v>0</v>
      </c>
      <c r="BH2652">
        <v>1</v>
      </c>
      <c r="BI2652">
        <v>1</v>
      </c>
      <c r="BJ2652">
        <v>0.2</v>
      </c>
      <c r="BK2652">
        <v>1</v>
      </c>
      <c r="BL2652">
        <v>69.98</v>
      </c>
      <c r="BM2652">
        <v>10.5</v>
      </c>
      <c r="BN2652">
        <v>80.48</v>
      </c>
      <c r="BO2652">
        <v>80.48</v>
      </c>
      <c r="BQ2652" t="s">
        <v>344</v>
      </c>
      <c r="BR2652" t="s">
        <v>84</v>
      </c>
      <c r="BS2652" s="3">
        <v>45799</v>
      </c>
      <c r="BT2652" s="4">
        <v>0.40069444444444446</v>
      </c>
      <c r="BU2652" t="s">
        <v>345</v>
      </c>
      <c r="BV2652" t="s">
        <v>86</v>
      </c>
      <c r="BY2652">
        <v>1200</v>
      </c>
      <c r="CA2652" t="s">
        <v>242</v>
      </c>
      <c r="CC2652" t="s">
        <v>131</v>
      </c>
      <c r="CD2652">
        <v>7441</v>
      </c>
      <c r="CE2652" t="s">
        <v>88</v>
      </c>
      <c r="CF2652" s="3">
        <v>45800</v>
      </c>
      <c r="CI2652">
        <v>1</v>
      </c>
      <c r="CJ2652">
        <v>1</v>
      </c>
      <c r="CK2652">
        <v>21</v>
      </c>
      <c r="CL2652" t="s">
        <v>89</v>
      </c>
    </row>
    <row r="2653" spans="1:90" x14ac:dyDescent="0.3">
      <c r="A2653" t="s">
        <v>72</v>
      </c>
      <c r="B2653" t="s">
        <v>73</v>
      </c>
      <c r="C2653" t="s">
        <v>74</v>
      </c>
      <c r="E2653" t="str">
        <f>"080065492256"</f>
        <v>080065492256</v>
      </c>
      <c r="F2653" s="3">
        <v>45798</v>
      </c>
      <c r="G2653">
        <v>202602</v>
      </c>
      <c r="H2653" t="s">
        <v>75</v>
      </c>
      <c r="I2653" t="s">
        <v>76</v>
      </c>
      <c r="J2653" t="s">
        <v>77</v>
      </c>
      <c r="K2653" t="s">
        <v>78</v>
      </c>
      <c r="L2653" t="s">
        <v>117</v>
      </c>
      <c r="M2653" t="s">
        <v>118</v>
      </c>
      <c r="N2653" t="s">
        <v>1256</v>
      </c>
      <c r="O2653" t="s">
        <v>82</v>
      </c>
      <c r="P2653" t="str">
        <f>"4170039730                    "</f>
        <v xml:space="preserve">4170039730                    </v>
      </c>
      <c r="Q2653">
        <v>0</v>
      </c>
      <c r="R2653">
        <v>0</v>
      </c>
      <c r="S2653">
        <v>0</v>
      </c>
      <c r="T2653">
        <v>0</v>
      </c>
      <c r="U2653">
        <v>0</v>
      </c>
      <c r="V2653">
        <v>0</v>
      </c>
      <c r="W2653">
        <v>0</v>
      </c>
      <c r="X2653">
        <v>0</v>
      </c>
      <c r="Y2653">
        <v>0</v>
      </c>
      <c r="Z2653">
        <v>0</v>
      </c>
      <c r="AA2653">
        <v>0</v>
      </c>
      <c r="AB2653">
        <v>0</v>
      </c>
      <c r="AC2653">
        <v>0</v>
      </c>
      <c r="AD2653">
        <v>0</v>
      </c>
      <c r="AE2653">
        <v>0</v>
      </c>
      <c r="AF2653">
        <v>0</v>
      </c>
      <c r="AG2653">
        <v>0</v>
      </c>
      <c r="AH2653">
        <v>0</v>
      </c>
      <c r="AI2653">
        <v>0</v>
      </c>
      <c r="AJ2653">
        <v>0</v>
      </c>
      <c r="AK2653">
        <v>0</v>
      </c>
      <c r="AL2653">
        <v>0</v>
      </c>
      <c r="AM2653">
        <v>0</v>
      </c>
      <c r="AN2653">
        <v>0</v>
      </c>
      <c r="AO2653">
        <v>0</v>
      </c>
      <c r="AP2653">
        <v>0</v>
      </c>
      <c r="AQ2653">
        <v>16.7</v>
      </c>
      <c r="AR2653">
        <v>0</v>
      </c>
      <c r="AS2653">
        <v>0</v>
      </c>
      <c r="AT2653">
        <v>0</v>
      </c>
      <c r="AU2653">
        <v>0</v>
      </c>
      <c r="AV2653">
        <v>0</v>
      </c>
      <c r="AW2653">
        <v>0</v>
      </c>
      <c r="AX2653">
        <v>0</v>
      </c>
      <c r="AY2653">
        <v>0</v>
      </c>
      <c r="AZ2653">
        <v>0</v>
      </c>
      <c r="BA2653">
        <v>0</v>
      </c>
      <c r="BB2653">
        <v>0</v>
      </c>
      <c r="BC2653">
        <v>0</v>
      </c>
      <c r="BD2653">
        <v>0</v>
      </c>
      <c r="BE2653">
        <v>0</v>
      </c>
      <c r="BF2653">
        <v>0</v>
      </c>
      <c r="BG2653">
        <v>0</v>
      </c>
      <c r="BH2653">
        <v>1</v>
      </c>
      <c r="BI2653">
        <v>7</v>
      </c>
      <c r="BJ2653">
        <v>1.8</v>
      </c>
      <c r="BK2653">
        <v>7</v>
      </c>
      <c r="BL2653">
        <v>54.66</v>
      </c>
      <c r="BM2653">
        <v>8.1999999999999993</v>
      </c>
      <c r="BN2653">
        <v>62.86</v>
      </c>
      <c r="BO2653">
        <v>62.86</v>
      </c>
      <c r="BQ2653" t="s">
        <v>1257</v>
      </c>
      <c r="BR2653" t="s">
        <v>84</v>
      </c>
      <c r="BS2653" s="3">
        <v>45799</v>
      </c>
      <c r="BT2653" s="4">
        <v>0.39097222222222222</v>
      </c>
      <c r="BU2653" t="s">
        <v>2825</v>
      </c>
      <c r="BV2653" t="s">
        <v>86</v>
      </c>
      <c r="BY2653">
        <v>8832</v>
      </c>
      <c r="CA2653" t="s">
        <v>1259</v>
      </c>
      <c r="CC2653" t="s">
        <v>118</v>
      </c>
      <c r="CD2653">
        <v>2192</v>
      </c>
      <c r="CE2653" t="s">
        <v>221</v>
      </c>
      <c r="CF2653" s="3">
        <v>45799</v>
      </c>
      <c r="CI2653">
        <v>1</v>
      </c>
      <c r="CJ2653">
        <v>1</v>
      </c>
      <c r="CK2653">
        <v>22</v>
      </c>
      <c r="CL2653" t="s">
        <v>89</v>
      </c>
    </row>
    <row r="2654" spans="1:90" x14ac:dyDescent="0.3">
      <c r="A2654" t="s">
        <v>72</v>
      </c>
      <c r="B2654" t="s">
        <v>73</v>
      </c>
      <c r="C2654" t="s">
        <v>74</v>
      </c>
      <c r="E2654" t="str">
        <f>"080065492273"</f>
        <v>080065492273</v>
      </c>
      <c r="F2654" s="3">
        <v>45798</v>
      </c>
      <c r="G2654">
        <v>202602</v>
      </c>
      <c r="H2654" t="s">
        <v>75</v>
      </c>
      <c r="I2654" t="s">
        <v>76</v>
      </c>
      <c r="J2654" t="s">
        <v>77</v>
      </c>
      <c r="K2654" t="s">
        <v>78</v>
      </c>
      <c r="L2654" t="s">
        <v>103</v>
      </c>
      <c r="M2654" t="s">
        <v>104</v>
      </c>
      <c r="N2654" t="s">
        <v>633</v>
      </c>
      <c r="O2654" t="s">
        <v>82</v>
      </c>
      <c r="P2654" t="str">
        <f>"4170039830                    "</f>
        <v xml:space="preserve">4170039830                    </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c r="AI2654">
        <v>0</v>
      </c>
      <c r="AJ2654">
        <v>0</v>
      </c>
      <c r="AK2654">
        <v>0</v>
      </c>
      <c r="AL2654">
        <v>0</v>
      </c>
      <c r="AM2654">
        <v>0</v>
      </c>
      <c r="AN2654">
        <v>0</v>
      </c>
      <c r="AO2654">
        <v>0</v>
      </c>
      <c r="AP2654">
        <v>0</v>
      </c>
      <c r="AQ2654">
        <v>21.38</v>
      </c>
      <c r="AR2654">
        <v>0</v>
      </c>
      <c r="AS2654">
        <v>0</v>
      </c>
      <c r="AT2654">
        <v>0</v>
      </c>
      <c r="AU2654">
        <v>0</v>
      </c>
      <c r="AV2654">
        <v>0</v>
      </c>
      <c r="AW2654">
        <v>0</v>
      </c>
      <c r="AX2654">
        <v>0</v>
      </c>
      <c r="AY2654">
        <v>0</v>
      </c>
      <c r="AZ2654">
        <v>0</v>
      </c>
      <c r="BA2654">
        <v>0</v>
      </c>
      <c r="BB2654">
        <v>0</v>
      </c>
      <c r="BC2654">
        <v>0</v>
      </c>
      <c r="BD2654">
        <v>0</v>
      </c>
      <c r="BE2654">
        <v>0</v>
      </c>
      <c r="BF2654">
        <v>0</v>
      </c>
      <c r="BG2654">
        <v>0</v>
      </c>
      <c r="BH2654">
        <v>1</v>
      </c>
      <c r="BI2654">
        <v>1</v>
      </c>
      <c r="BJ2654">
        <v>0.2</v>
      </c>
      <c r="BK2654">
        <v>1</v>
      </c>
      <c r="BL2654">
        <v>69.98</v>
      </c>
      <c r="BM2654">
        <v>10.5</v>
      </c>
      <c r="BN2654">
        <v>80.48</v>
      </c>
      <c r="BO2654">
        <v>80.48</v>
      </c>
      <c r="BQ2654" t="s">
        <v>634</v>
      </c>
      <c r="BR2654" t="s">
        <v>84</v>
      </c>
      <c r="BS2654" s="3">
        <v>45799</v>
      </c>
      <c r="BT2654" s="4">
        <v>0.56319444444444444</v>
      </c>
      <c r="BU2654" t="s">
        <v>635</v>
      </c>
      <c r="BV2654" t="s">
        <v>86</v>
      </c>
      <c r="BY2654">
        <v>1200</v>
      </c>
      <c r="CA2654" t="s">
        <v>440</v>
      </c>
      <c r="CC2654" t="s">
        <v>104</v>
      </c>
      <c r="CD2654">
        <v>3212</v>
      </c>
      <c r="CE2654" t="s">
        <v>88</v>
      </c>
      <c r="CF2654" s="3">
        <v>45800</v>
      </c>
      <c r="CI2654">
        <v>2</v>
      </c>
      <c r="CJ2654">
        <v>1</v>
      </c>
      <c r="CK2654">
        <v>21</v>
      </c>
      <c r="CL2654" t="s">
        <v>89</v>
      </c>
    </row>
    <row r="2655" spans="1:90" x14ac:dyDescent="0.3">
      <c r="A2655" t="s">
        <v>72</v>
      </c>
      <c r="B2655" t="s">
        <v>73</v>
      </c>
      <c r="C2655" t="s">
        <v>74</v>
      </c>
      <c r="E2655" t="str">
        <f>"080065492306"</f>
        <v>080065492306</v>
      </c>
      <c r="F2655" s="3">
        <v>45798</v>
      </c>
      <c r="G2655">
        <v>202602</v>
      </c>
      <c r="H2655" t="s">
        <v>75</v>
      </c>
      <c r="I2655" t="s">
        <v>76</v>
      </c>
      <c r="J2655" t="s">
        <v>77</v>
      </c>
      <c r="K2655" t="s">
        <v>78</v>
      </c>
      <c r="L2655" t="s">
        <v>90</v>
      </c>
      <c r="M2655" t="s">
        <v>91</v>
      </c>
      <c r="N2655" t="s">
        <v>563</v>
      </c>
      <c r="O2655" t="s">
        <v>82</v>
      </c>
      <c r="P2655" t="str">
        <f>"4170039853                    "</f>
        <v xml:space="preserve">4170039853                    </v>
      </c>
      <c r="Q2655">
        <v>0</v>
      </c>
      <c r="R2655">
        <v>0</v>
      </c>
      <c r="S2655">
        <v>0</v>
      </c>
      <c r="T2655">
        <v>0</v>
      </c>
      <c r="U2655">
        <v>0</v>
      </c>
      <c r="V2655">
        <v>0</v>
      </c>
      <c r="W2655">
        <v>0</v>
      </c>
      <c r="X2655">
        <v>0</v>
      </c>
      <c r="Y2655">
        <v>0</v>
      </c>
      <c r="Z2655">
        <v>0</v>
      </c>
      <c r="AA2655">
        <v>0</v>
      </c>
      <c r="AB2655">
        <v>0</v>
      </c>
      <c r="AC2655">
        <v>0</v>
      </c>
      <c r="AD2655">
        <v>0</v>
      </c>
      <c r="AE2655">
        <v>0</v>
      </c>
      <c r="AF2655">
        <v>0</v>
      </c>
      <c r="AG2655">
        <v>0</v>
      </c>
      <c r="AH2655">
        <v>0</v>
      </c>
      <c r="AI2655">
        <v>0</v>
      </c>
      <c r="AJ2655">
        <v>0</v>
      </c>
      <c r="AK2655">
        <v>0</v>
      </c>
      <c r="AL2655">
        <v>0</v>
      </c>
      <c r="AM2655">
        <v>0</v>
      </c>
      <c r="AN2655">
        <v>0</v>
      </c>
      <c r="AO2655">
        <v>0</v>
      </c>
      <c r="AP2655">
        <v>0</v>
      </c>
      <c r="AQ2655">
        <v>21.38</v>
      </c>
      <c r="AR2655">
        <v>0</v>
      </c>
      <c r="AS2655">
        <v>0</v>
      </c>
      <c r="AT2655">
        <v>0</v>
      </c>
      <c r="AU2655">
        <v>0</v>
      </c>
      <c r="AV2655">
        <v>0</v>
      </c>
      <c r="AW2655">
        <v>0</v>
      </c>
      <c r="AX2655">
        <v>0</v>
      </c>
      <c r="AY2655">
        <v>0</v>
      </c>
      <c r="AZ2655">
        <v>0</v>
      </c>
      <c r="BA2655">
        <v>0</v>
      </c>
      <c r="BB2655">
        <v>0</v>
      </c>
      <c r="BC2655">
        <v>0</v>
      </c>
      <c r="BD2655">
        <v>0</v>
      </c>
      <c r="BE2655">
        <v>0</v>
      </c>
      <c r="BF2655">
        <v>0</v>
      </c>
      <c r="BG2655">
        <v>0</v>
      </c>
      <c r="BH2655">
        <v>1</v>
      </c>
      <c r="BI2655">
        <v>1</v>
      </c>
      <c r="BJ2655">
        <v>0.2</v>
      </c>
      <c r="BK2655">
        <v>1</v>
      </c>
      <c r="BL2655">
        <v>69.98</v>
      </c>
      <c r="BM2655">
        <v>10.5</v>
      </c>
      <c r="BN2655">
        <v>80.48</v>
      </c>
      <c r="BO2655">
        <v>80.48</v>
      </c>
      <c r="BQ2655" t="s">
        <v>564</v>
      </c>
      <c r="BR2655" t="s">
        <v>84</v>
      </c>
      <c r="BS2655" s="3">
        <v>45799</v>
      </c>
      <c r="BT2655" s="4">
        <v>0.34791666666666665</v>
      </c>
      <c r="BU2655" t="s">
        <v>2691</v>
      </c>
      <c r="BV2655" t="s">
        <v>86</v>
      </c>
      <c r="BY2655">
        <v>1200</v>
      </c>
      <c r="CA2655" t="s">
        <v>566</v>
      </c>
      <c r="CC2655" t="s">
        <v>91</v>
      </c>
      <c r="CD2655">
        <v>6001</v>
      </c>
      <c r="CE2655" t="s">
        <v>88</v>
      </c>
      <c r="CF2655" s="3">
        <v>45799</v>
      </c>
      <c r="CI2655">
        <v>1</v>
      </c>
      <c r="CJ2655">
        <v>1</v>
      </c>
      <c r="CK2655">
        <v>21</v>
      </c>
      <c r="CL2655" t="s">
        <v>89</v>
      </c>
    </row>
    <row r="2656" spans="1:90" x14ac:dyDescent="0.3">
      <c r="A2656" t="s">
        <v>72</v>
      </c>
      <c r="B2656" t="s">
        <v>73</v>
      </c>
      <c r="C2656" t="s">
        <v>74</v>
      </c>
      <c r="E2656" t="str">
        <f>"080065492318"</f>
        <v>080065492318</v>
      </c>
      <c r="F2656" s="3">
        <v>45798</v>
      </c>
      <c r="G2656">
        <v>202602</v>
      </c>
      <c r="H2656" t="s">
        <v>75</v>
      </c>
      <c r="I2656" t="s">
        <v>76</v>
      </c>
      <c r="J2656" t="s">
        <v>77</v>
      </c>
      <c r="K2656" t="s">
        <v>78</v>
      </c>
      <c r="L2656" t="s">
        <v>177</v>
      </c>
      <c r="M2656" t="s">
        <v>178</v>
      </c>
      <c r="N2656" t="s">
        <v>212</v>
      </c>
      <c r="O2656" t="s">
        <v>300</v>
      </c>
      <c r="P2656" t="str">
        <f>"4170039801                    "</f>
        <v xml:space="preserve">4170039801                    </v>
      </c>
      <c r="Q2656">
        <v>0</v>
      </c>
      <c r="R2656">
        <v>0</v>
      </c>
      <c r="S2656">
        <v>0</v>
      </c>
      <c r="T2656">
        <v>0</v>
      </c>
      <c r="U2656">
        <v>0</v>
      </c>
      <c r="V2656">
        <v>0</v>
      </c>
      <c r="W2656">
        <v>0</v>
      </c>
      <c r="X2656">
        <v>0</v>
      </c>
      <c r="Y2656">
        <v>0</v>
      </c>
      <c r="Z2656">
        <v>0</v>
      </c>
      <c r="AA2656">
        <v>0</v>
      </c>
      <c r="AB2656">
        <v>0</v>
      </c>
      <c r="AC2656">
        <v>0</v>
      </c>
      <c r="AD2656">
        <v>0</v>
      </c>
      <c r="AE2656">
        <v>0</v>
      </c>
      <c r="AF2656">
        <v>0</v>
      </c>
      <c r="AG2656">
        <v>0</v>
      </c>
      <c r="AH2656">
        <v>0</v>
      </c>
      <c r="AI2656">
        <v>0</v>
      </c>
      <c r="AJ2656">
        <v>0</v>
      </c>
      <c r="AK2656">
        <v>0</v>
      </c>
      <c r="AL2656">
        <v>0</v>
      </c>
      <c r="AM2656">
        <v>0</v>
      </c>
      <c r="AN2656">
        <v>0</v>
      </c>
      <c r="AO2656">
        <v>0</v>
      </c>
      <c r="AP2656">
        <v>0</v>
      </c>
      <c r="AQ2656">
        <v>66.959999999999994</v>
      </c>
      <c r="AR2656">
        <v>0</v>
      </c>
      <c r="AS2656">
        <v>0</v>
      </c>
      <c r="AT2656">
        <v>0</v>
      </c>
      <c r="AU2656">
        <v>0</v>
      </c>
      <c r="AV2656">
        <v>0</v>
      </c>
      <c r="AW2656">
        <v>0</v>
      </c>
      <c r="AX2656">
        <v>0</v>
      </c>
      <c r="AY2656">
        <v>0</v>
      </c>
      <c r="AZ2656">
        <v>0</v>
      </c>
      <c r="BA2656">
        <v>0</v>
      </c>
      <c r="BB2656">
        <v>0</v>
      </c>
      <c r="BC2656">
        <v>0</v>
      </c>
      <c r="BD2656">
        <v>0</v>
      </c>
      <c r="BE2656">
        <v>0</v>
      </c>
      <c r="BF2656">
        <v>0</v>
      </c>
      <c r="BG2656">
        <v>0</v>
      </c>
      <c r="BH2656">
        <v>2</v>
      </c>
      <c r="BI2656">
        <v>30</v>
      </c>
      <c r="BJ2656">
        <v>21.2</v>
      </c>
      <c r="BK2656">
        <v>30</v>
      </c>
      <c r="BL2656">
        <v>224.71</v>
      </c>
      <c r="BM2656">
        <v>33.71</v>
      </c>
      <c r="BN2656">
        <v>258.42</v>
      </c>
      <c r="BO2656">
        <v>258.42</v>
      </c>
      <c r="BQ2656" t="s">
        <v>213</v>
      </c>
      <c r="BR2656" t="s">
        <v>84</v>
      </c>
      <c r="BS2656" s="3">
        <v>45800</v>
      </c>
      <c r="BT2656" s="4">
        <v>0.44097222222222221</v>
      </c>
      <c r="BU2656" t="s">
        <v>2826</v>
      </c>
      <c r="BV2656" t="s">
        <v>86</v>
      </c>
      <c r="BY2656">
        <v>52920</v>
      </c>
      <c r="CA2656" t="s">
        <v>231</v>
      </c>
      <c r="CC2656" t="s">
        <v>178</v>
      </c>
      <c r="CD2656">
        <v>6229</v>
      </c>
      <c r="CE2656" t="s">
        <v>1494</v>
      </c>
      <c r="CF2656" s="3">
        <v>45800</v>
      </c>
      <c r="CI2656">
        <v>3</v>
      </c>
      <c r="CJ2656">
        <v>2</v>
      </c>
      <c r="CK2656">
        <v>41</v>
      </c>
      <c r="CL2656" t="s">
        <v>89</v>
      </c>
    </row>
    <row r="2657" spans="1:90" x14ac:dyDescent="0.3">
      <c r="A2657" t="s">
        <v>72</v>
      </c>
      <c r="B2657" t="s">
        <v>73</v>
      </c>
      <c r="C2657" t="s">
        <v>74</v>
      </c>
      <c r="E2657" t="str">
        <f>"080065492359"</f>
        <v>080065492359</v>
      </c>
      <c r="F2657" s="3">
        <v>45798</v>
      </c>
      <c r="G2657">
        <v>202602</v>
      </c>
      <c r="H2657" t="s">
        <v>75</v>
      </c>
      <c r="I2657" t="s">
        <v>76</v>
      </c>
      <c r="J2657" t="s">
        <v>77</v>
      </c>
      <c r="K2657" t="s">
        <v>78</v>
      </c>
      <c r="L2657" t="s">
        <v>136</v>
      </c>
      <c r="M2657" t="s">
        <v>137</v>
      </c>
      <c r="N2657" t="s">
        <v>1307</v>
      </c>
      <c r="O2657" t="s">
        <v>82</v>
      </c>
      <c r="P2657" t="str">
        <f>"4170039892                    "</f>
        <v xml:space="preserve">4170039892                    </v>
      </c>
      <c r="Q2657">
        <v>0</v>
      </c>
      <c r="R2657">
        <v>0</v>
      </c>
      <c r="S2657">
        <v>0</v>
      </c>
      <c r="T2657">
        <v>0</v>
      </c>
      <c r="U2657">
        <v>0</v>
      </c>
      <c r="V2657">
        <v>0</v>
      </c>
      <c r="W2657">
        <v>0</v>
      </c>
      <c r="X2657">
        <v>0</v>
      </c>
      <c r="Y2657">
        <v>0</v>
      </c>
      <c r="Z2657">
        <v>0</v>
      </c>
      <c r="AA2657">
        <v>0</v>
      </c>
      <c r="AB2657">
        <v>0</v>
      </c>
      <c r="AC2657">
        <v>0</v>
      </c>
      <c r="AD2657">
        <v>0</v>
      </c>
      <c r="AE2657">
        <v>0</v>
      </c>
      <c r="AF2657">
        <v>0</v>
      </c>
      <c r="AG2657">
        <v>0</v>
      </c>
      <c r="AH2657">
        <v>0</v>
      </c>
      <c r="AI2657">
        <v>0</v>
      </c>
      <c r="AJ2657">
        <v>0</v>
      </c>
      <c r="AK2657">
        <v>0</v>
      </c>
      <c r="AL2657">
        <v>0</v>
      </c>
      <c r="AM2657">
        <v>0</v>
      </c>
      <c r="AN2657">
        <v>0</v>
      </c>
      <c r="AO2657">
        <v>0</v>
      </c>
      <c r="AP2657">
        <v>0</v>
      </c>
      <c r="AQ2657">
        <v>21.38</v>
      </c>
      <c r="AR2657">
        <v>0</v>
      </c>
      <c r="AS2657">
        <v>0</v>
      </c>
      <c r="AT2657">
        <v>0</v>
      </c>
      <c r="AU2657">
        <v>0</v>
      </c>
      <c r="AV2657">
        <v>0</v>
      </c>
      <c r="AW2657">
        <v>0</v>
      </c>
      <c r="AX2657">
        <v>0</v>
      </c>
      <c r="AY2657">
        <v>0</v>
      </c>
      <c r="AZ2657">
        <v>0</v>
      </c>
      <c r="BA2657">
        <v>0</v>
      </c>
      <c r="BB2657">
        <v>0</v>
      </c>
      <c r="BC2657">
        <v>0</v>
      </c>
      <c r="BD2657">
        <v>0</v>
      </c>
      <c r="BE2657">
        <v>0</v>
      </c>
      <c r="BF2657">
        <v>0</v>
      </c>
      <c r="BG2657">
        <v>0</v>
      </c>
      <c r="BH2657">
        <v>1</v>
      </c>
      <c r="BI2657">
        <v>1</v>
      </c>
      <c r="BJ2657">
        <v>0.2</v>
      </c>
      <c r="BK2657">
        <v>1</v>
      </c>
      <c r="BL2657">
        <v>69.98</v>
      </c>
      <c r="BM2657">
        <v>10.5</v>
      </c>
      <c r="BN2657">
        <v>80.48</v>
      </c>
      <c r="BO2657">
        <v>80.48</v>
      </c>
      <c r="BQ2657" t="s">
        <v>1308</v>
      </c>
      <c r="BR2657" t="s">
        <v>84</v>
      </c>
      <c r="BS2657" s="3">
        <v>45799</v>
      </c>
      <c r="BT2657" s="4">
        <v>0.37361111111111112</v>
      </c>
      <c r="BU2657" t="s">
        <v>1309</v>
      </c>
      <c r="BV2657" t="s">
        <v>86</v>
      </c>
      <c r="BY2657">
        <v>1200</v>
      </c>
      <c r="CA2657" t="s">
        <v>141</v>
      </c>
      <c r="CC2657" t="s">
        <v>137</v>
      </c>
      <c r="CD2657" s="5" t="s">
        <v>142</v>
      </c>
      <c r="CE2657" t="s">
        <v>88</v>
      </c>
      <c r="CF2657" s="3">
        <v>45799</v>
      </c>
      <c r="CI2657">
        <v>1</v>
      </c>
      <c r="CJ2657">
        <v>1</v>
      </c>
      <c r="CK2657">
        <v>21</v>
      </c>
      <c r="CL2657" t="s">
        <v>89</v>
      </c>
    </row>
    <row r="2658" spans="1:90" x14ac:dyDescent="0.3">
      <c r="A2658" t="s">
        <v>72</v>
      </c>
      <c r="B2658" t="s">
        <v>73</v>
      </c>
      <c r="C2658" t="s">
        <v>74</v>
      </c>
      <c r="E2658" t="str">
        <f>"080065492619"</f>
        <v>080065492619</v>
      </c>
      <c r="F2658" s="3">
        <v>45798</v>
      </c>
      <c r="G2658">
        <v>202602</v>
      </c>
      <c r="H2658" t="s">
        <v>75</v>
      </c>
      <c r="I2658" t="s">
        <v>76</v>
      </c>
      <c r="J2658" t="s">
        <v>77</v>
      </c>
      <c r="K2658" t="s">
        <v>78</v>
      </c>
      <c r="L2658" t="s">
        <v>489</v>
      </c>
      <c r="M2658" t="s">
        <v>490</v>
      </c>
      <c r="N2658" t="s">
        <v>491</v>
      </c>
      <c r="O2658" t="s">
        <v>82</v>
      </c>
      <c r="P2658" t="str">
        <f>"4170039731                    "</f>
        <v xml:space="preserve">4170039731                    </v>
      </c>
      <c r="Q2658">
        <v>0</v>
      </c>
      <c r="R2658">
        <v>0</v>
      </c>
      <c r="S2658">
        <v>0</v>
      </c>
      <c r="T2658">
        <v>0</v>
      </c>
      <c r="U2658">
        <v>0</v>
      </c>
      <c r="V2658">
        <v>0</v>
      </c>
      <c r="W2658">
        <v>0</v>
      </c>
      <c r="X2658">
        <v>0</v>
      </c>
      <c r="Y2658">
        <v>0</v>
      </c>
      <c r="Z2658">
        <v>0</v>
      </c>
      <c r="AA2658">
        <v>0</v>
      </c>
      <c r="AB2658">
        <v>0</v>
      </c>
      <c r="AC2658">
        <v>0</v>
      </c>
      <c r="AD2658">
        <v>0</v>
      </c>
      <c r="AE2658">
        <v>0</v>
      </c>
      <c r="AF2658">
        <v>0</v>
      </c>
      <c r="AG2658">
        <v>0</v>
      </c>
      <c r="AH2658">
        <v>0</v>
      </c>
      <c r="AI2658">
        <v>0</v>
      </c>
      <c r="AJ2658">
        <v>0</v>
      </c>
      <c r="AK2658">
        <v>0</v>
      </c>
      <c r="AL2658">
        <v>0</v>
      </c>
      <c r="AM2658">
        <v>0</v>
      </c>
      <c r="AN2658">
        <v>0</v>
      </c>
      <c r="AO2658">
        <v>0</v>
      </c>
      <c r="AP2658">
        <v>0</v>
      </c>
      <c r="AQ2658">
        <v>191.1</v>
      </c>
      <c r="AR2658">
        <v>0</v>
      </c>
      <c r="AS2658">
        <v>0</v>
      </c>
      <c r="AT2658">
        <v>0</v>
      </c>
      <c r="AU2658">
        <v>0</v>
      </c>
      <c r="AV2658">
        <v>0</v>
      </c>
      <c r="AW2658">
        <v>0</v>
      </c>
      <c r="AX2658">
        <v>0</v>
      </c>
      <c r="AY2658">
        <v>0</v>
      </c>
      <c r="AZ2658">
        <v>0</v>
      </c>
      <c r="BA2658">
        <v>0</v>
      </c>
      <c r="BB2658">
        <v>0</v>
      </c>
      <c r="BC2658">
        <v>0</v>
      </c>
      <c r="BD2658">
        <v>0</v>
      </c>
      <c r="BE2658">
        <v>0</v>
      </c>
      <c r="BF2658">
        <v>0</v>
      </c>
      <c r="BG2658">
        <v>0</v>
      </c>
      <c r="BH2658">
        <v>1</v>
      </c>
      <c r="BI2658">
        <v>10</v>
      </c>
      <c r="BJ2658">
        <v>4.7</v>
      </c>
      <c r="BK2658">
        <v>10</v>
      </c>
      <c r="BL2658">
        <v>625.41999999999996</v>
      </c>
      <c r="BM2658">
        <v>93.81</v>
      </c>
      <c r="BN2658">
        <v>719.23</v>
      </c>
      <c r="BO2658">
        <v>719.23</v>
      </c>
      <c r="BQ2658" t="s">
        <v>492</v>
      </c>
      <c r="BR2658" t="s">
        <v>84</v>
      </c>
      <c r="BS2658" s="3">
        <v>45799</v>
      </c>
      <c r="BT2658" s="4">
        <v>0.35972222222222222</v>
      </c>
      <c r="BU2658" t="s">
        <v>2530</v>
      </c>
      <c r="BV2658" t="s">
        <v>86</v>
      </c>
      <c r="BY2658">
        <v>23296</v>
      </c>
      <c r="CA2658" t="s">
        <v>913</v>
      </c>
      <c r="CC2658" t="s">
        <v>490</v>
      </c>
      <c r="CD2658">
        <v>2740</v>
      </c>
      <c r="CE2658" t="s">
        <v>221</v>
      </c>
      <c r="CF2658" s="3">
        <v>45800</v>
      </c>
      <c r="CI2658">
        <v>1</v>
      </c>
      <c r="CJ2658">
        <v>1</v>
      </c>
      <c r="CK2658">
        <v>23</v>
      </c>
      <c r="CL2658" t="s">
        <v>89</v>
      </c>
    </row>
    <row r="2659" spans="1:90" x14ac:dyDescent="0.3">
      <c r="A2659" t="s">
        <v>72</v>
      </c>
      <c r="B2659" t="s">
        <v>73</v>
      </c>
      <c r="C2659" t="s">
        <v>74</v>
      </c>
      <c r="E2659" t="str">
        <f>"080065492641"</f>
        <v>080065492641</v>
      </c>
      <c r="F2659" s="3">
        <v>45798</v>
      </c>
      <c r="G2659">
        <v>202602</v>
      </c>
      <c r="H2659" t="s">
        <v>75</v>
      </c>
      <c r="I2659" t="s">
        <v>76</v>
      </c>
      <c r="J2659" t="s">
        <v>77</v>
      </c>
      <c r="K2659" t="s">
        <v>78</v>
      </c>
      <c r="L2659" t="s">
        <v>136</v>
      </c>
      <c r="M2659" t="s">
        <v>137</v>
      </c>
      <c r="N2659" t="s">
        <v>441</v>
      </c>
      <c r="O2659" t="s">
        <v>300</v>
      </c>
      <c r="P2659" t="str">
        <f>"4170039813                    "</f>
        <v xml:space="preserve">4170039813                    </v>
      </c>
      <c r="Q2659">
        <v>0</v>
      </c>
      <c r="R2659">
        <v>0</v>
      </c>
      <c r="S2659">
        <v>0</v>
      </c>
      <c r="T2659">
        <v>0</v>
      </c>
      <c r="U2659">
        <v>0</v>
      </c>
      <c r="V2659">
        <v>0</v>
      </c>
      <c r="W2659">
        <v>0</v>
      </c>
      <c r="X2659">
        <v>0</v>
      </c>
      <c r="Y2659">
        <v>0</v>
      </c>
      <c r="Z2659">
        <v>0</v>
      </c>
      <c r="AA2659">
        <v>0</v>
      </c>
      <c r="AB2659">
        <v>0</v>
      </c>
      <c r="AC2659">
        <v>0</v>
      </c>
      <c r="AD2659">
        <v>0</v>
      </c>
      <c r="AE2659">
        <v>0</v>
      </c>
      <c r="AF2659">
        <v>0</v>
      </c>
      <c r="AG2659">
        <v>0</v>
      </c>
      <c r="AH2659">
        <v>0</v>
      </c>
      <c r="AI2659">
        <v>0</v>
      </c>
      <c r="AJ2659">
        <v>0</v>
      </c>
      <c r="AK2659">
        <v>0</v>
      </c>
      <c r="AL2659">
        <v>0</v>
      </c>
      <c r="AM2659">
        <v>0</v>
      </c>
      <c r="AN2659">
        <v>0</v>
      </c>
      <c r="AO2659">
        <v>0</v>
      </c>
      <c r="AP2659">
        <v>0</v>
      </c>
      <c r="AQ2659">
        <v>70.37</v>
      </c>
      <c r="AR2659">
        <v>0</v>
      </c>
      <c r="AS2659">
        <v>0</v>
      </c>
      <c r="AT2659">
        <v>0</v>
      </c>
      <c r="AU2659">
        <v>0</v>
      </c>
      <c r="AV2659">
        <v>0</v>
      </c>
      <c r="AW2659">
        <v>0</v>
      </c>
      <c r="AX2659">
        <v>0</v>
      </c>
      <c r="AY2659">
        <v>0</v>
      </c>
      <c r="AZ2659">
        <v>0</v>
      </c>
      <c r="BA2659">
        <v>0</v>
      </c>
      <c r="BB2659">
        <v>0</v>
      </c>
      <c r="BC2659">
        <v>0</v>
      </c>
      <c r="BD2659">
        <v>0</v>
      </c>
      <c r="BE2659">
        <v>0</v>
      </c>
      <c r="BF2659">
        <v>0</v>
      </c>
      <c r="BG2659">
        <v>0</v>
      </c>
      <c r="BH2659">
        <v>2</v>
      </c>
      <c r="BI2659">
        <v>32</v>
      </c>
      <c r="BJ2659">
        <v>10.6</v>
      </c>
      <c r="BK2659">
        <v>32</v>
      </c>
      <c r="BL2659">
        <v>235.88</v>
      </c>
      <c r="BM2659">
        <v>35.380000000000003</v>
      </c>
      <c r="BN2659">
        <v>271.26</v>
      </c>
      <c r="BO2659">
        <v>271.26</v>
      </c>
      <c r="BQ2659" t="s">
        <v>442</v>
      </c>
      <c r="BR2659" t="s">
        <v>84</v>
      </c>
      <c r="BS2659" s="3">
        <v>45799</v>
      </c>
      <c r="BT2659" s="4">
        <v>0.53402777777777777</v>
      </c>
      <c r="BU2659" t="s">
        <v>2827</v>
      </c>
      <c r="BV2659" t="s">
        <v>86</v>
      </c>
      <c r="BY2659">
        <v>52950</v>
      </c>
      <c r="CA2659" t="s">
        <v>2828</v>
      </c>
      <c r="CC2659" t="s">
        <v>137</v>
      </c>
      <c r="CD2659" s="5" t="s">
        <v>444</v>
      </c>
      <c r="CE2659" t="s">
        <v>96</v>
      </c>
      <c r="CF2659" s="3">
        <v>45799</v>
      </c>
      <c r="CI2659">
        <v>1</v>
      </c>
      <c r="CJ2659">
        <v>1</v>
      </c>
      <c r="CK2659">
        <v>41</v>
      </c>
      <c r="CL2659" t="s">
        <v>89</v>
      </c>
    </row>
    <row r="2660" spans="1:90" x14ac:dyDescent="0.3">
      <c r="A2660" t="s">
        <v>72</v>
      </c>
      <c r="B2660" t="s">
        <v>73</v>
      </c>
      <c r="C2660" t="s">
        <v>74</v>
      </c>
      <c r="E2660" t="str">
        <f>"080065492635"</f>
        <v>080065492635</v>
      </c>
      <c r="F2660" s="3">
        <v>45798</v>
      </c>
      <c r="G2660">
        <v>202602</v>
      </c>
      <c r="H2660" t="s">
        <v>75</v>
      </c>
      <c r="I2660" t="s">
        <v>76</v>
      </c>
      <c r="J2660" t="s">
        <v>77</v>
      </c>
      <c r="K2660" t="s">
        <v>78</v>
      </c>
      <c r="L2660" t="s">
        <v>75</v>
      </c>
      <c r="M2660" t="s">
        <v>76</v>
      </c>
      <c r="N2660" t="s">
        <v>390</v>
      </c>
      <c r="O2660" t="s">
        <v>82</v>
      </c>
      <c r="P2660" t="str">
        <f>"4170039867                    "</f>
        <v xml:space="preserve">4170039867                    </v>
      </c>
      <c r="Q2660">
        <v>0</v>
      </c>
      <c r="R2660">
        <v>0</v>
      </c>
      <c r="S2660">
        <v>0</v>
      </c>
      <c r="T2660">
        <v>0</v>
      </c>
      <c r="U2660">
        <v>0</v>
      </c>
      <c r="V2660">
        <v>0</v>
      </c>
      <c r="W2660">
        <v>0</v>
      </c>
      <c r="X2660">
        <v>0</v>
      </c>
      <c r="Y2660">
        <v>0</v>
      </c>
      <c r="Z2660">
        <v>0</v>
      </c>
      <c r="AA2660">
        <v>0</v>
      </c>
      <c r="AB2660">
        <v>0</v>
      </c>
      <c r="AC2660">
        <v>0</v>
      </c>
      <c r="AD2660">
        <v>0</v>
      </c>
      <c r="AE2660">
        <v>0</v>
      </c>
      <c r="AF2660">
        <v>0</v>
      </c>
      <c r="AG2660">
        <v>0</v>
      </c>
      <c r="AH2660">
        <v>0</v>
      </c>
      <c r="AI2660">
        <v>0</v>
      </c>
      <c r="AJ2660">
        <v>0</v>
      </c>
      <c r="AK2660">
        <v>0</v>
      </c>
      <c r="AL2660">
        <v>0</v>
      </c>
      <c r="AM2660">
        <v>0</v>
      </c>
      <c r="AN2660">
        <v>0</v>
      </c>
      <c r="AO2660">
        <v>0</v>
      </c>
      <c r="AP2660">
        <v>0</v>
      </c>
      <c r="AQ2660">
        <v>16.7</v>
      </c>
      <c r="AR2660">
        <v>0</v>
      </c>
      <c r="AS2660">
        <v>0</v>
      </c>
      <c r="AT2660">
        <v>0</v>
      </c>
      <c r="AU2660">
        <v>0</v>
      </c>
      <c r="AV2660">
        <v>0</v>
      </c>
      <c r="AW2660">
        <v>0</v>
      </c>
      <c r="AX2660">
        <v>0</v>
      </c>
      <c r="AY2660">
        <v>0</v>
      </c>
      <c r="AZ2660">
        <v>0</v>
      </c>
      <c r="BA2660">
        <v>0</v>
      </c>
      <c r="BB2660">
        <v>0</v>
      </c>
      <c r="BC2660">
        <v>0</v>
      </c>
      <c r="BD2660">
        <v>0</v>
      </c>
      <c r="BE2660">
        <v>0</v>
      </c>
      <c r="BF2660">
        <v>0</v>
      </c>
      <c r="BG2660">
        <v>0</v>
      </c>
      <c r="BH2660">
        <v>1</v>
      </c>
      <c r="BI2660">
        <v>1</v>
      </c>
      <c r="BJ2660">
        <v>0.2</v>
      </c>
      <c r="BK2660">
        <v>1</v>
      </c>
      <c r="BL2660">
        <v>54.66</v>
      </c>
      <c r="BM2660">
        <v>8.1999999999999993</v>
      </c>
      <c r="BN2660">
        <v>62.86</v>
      </c>
      <c r="BO2660">
        <v>62.86</v>
      </c>
      <c r="BQ2660" t="s">
        <v>391</v>
      </c>
      <c r="BR2660" t="s">
        <v>84</v>
      </c>
      <c r="BS2660" s="3">
        <v>45799</v>
      </c>
      <c r="BT2660" s="4">
        <v>0.34722222222222221</v>
      </c>
      <c r="BU2660" t="s">
        <v>2078</v>
      </c>
      <c r="BV2660" t="s">
        <v>86</v>
      </c>
      <c r="BY2660">
        <v>1200</v>
      </c>
      <c r="CA2660" t="s">
        <v>115</v>
      </c>
      <c r="CC2660" t="s">
        <v>76</v>
      </c>
      <c r="CD2660">
        <v>1600</v>
      </c>
      <c r="CE2660" t="s">
        <v>88</v>
      </c>
      <c r="CF2660" s="3">
        <v>45799</v>
      </c>
      <c r="CI2660">
        <v>1</v>
      </c>
      <c r="CJ2660">
        <v>1</v>
      </c>
      <c r="CK2660">
        <v>22</v>
      </c>
      <c r="CL2660" t="s">
        <v>89</v>
      </c>
    </row>
    <row r="2661" spans="1:90" x14ac:dyDescent="0.3">
      <c r="A2661" t="s">
        <v>72</v>
      </c>
      <c r="B2661" t="s">
        <v>73</v>
      </c>
      <c r="C2661" t="s">
        <v>74</v>
      </c>
      <c r="E2661" t="str">
        <f>"080065492695"</f>
        <v>080065492695</v>
      </c>
      <c r="F2661" s="3">
        <v>45798</v>
      </c>
      <c r="G2661">
        <v>202602</v>
      </c>
      <c r="H2661" t="s">
        <v>75</v>
      </c>
      <c r="I2661" t="s">
        <v>76</v>
      </c>
      <c r="J2661" t="s">
        <v>77</v>
      </c>
      <c r="K2661" t="s">
        <v>78</v>
      </c>
      <c r="L2661" t="s">
        <v>136</v>
      </c>
      <c r="M2661" t="s">
        <v>137</v>
      </c>
      <c r="N2661" t="s">
        <v>499</v>
      </c>
      <c r="O2661" t="s">
        <v>300</v>
      </c>
      <c r="P2661" t="str">
        <f>"4170039787                    "</f>
        <v xml:space="preserve">4170039787                    </v>
      </c>
      <c r="Q2661">
        <v>0</v>
      </c>
      <c r="R2661">
        <v>0</v>
      </c>
      <c r="S2661">
        <v>0</v>
      </c>
      <c r="T2661">
        <v>0</v>
      </c>
      <c r="U2661">
        <v>0</v>
      </c>
      <c r="V2661">
        <v>0</v>
      </c>
      <c r="W2661">
        <v>0</v>
      </c>
      <c r="X2661">
        <v>0</v>
      </c>
      <c r="Y2661">
        <v>0</v>
      </c>
      <c r="Z2661">
        <v>0</v>
      </c>
      <c r="AA2661">
        <v>0</v>
      </c>
      <c r="AB2661">
        <v>0</v>
      </c>
      <c r="AC2661">
        <v>0</v>
      </c>
      <c r="AD2661">
        <v>0</v>
      </c>
      <c r="AE2661">
        <v>0</v>
      </c>
      <c r="AF2661">
        <v>0</v>
      </c>
      <c r="AG2661">
        <v>0</v>
      </c>
      <c r="AH2661">
        <v>0</v>
      </c>
      <c r="AI2661">
        <v>0</v>
      </c>
      <c r="AJ2661">
        <v>0</v>
      </c>
      <c r="AK2661">
        <v>0</v>
      </c>
      <c r="AL2661">
        <v>0</v>
      </c>
      <c r="AM2661">
        <v>0</v>
      </c>
      <c r="AN2661">
        <v>0</v>
      </c>
      <c r="AO2661">
        <v>0</v>
      </c>
      <c r="AP2661">
        <v>0</v>
      </c>
      <c r="AQ2661">
        <v>41.35</v>
      </c>
      <c r="AR2661">
        <v>0</v>
      </c>
      <c r="AS2661">
        <v>0</v>
      </c>
      <c r="AT2661">
        <v>0</v>
      </c>
      <c r="AU2661">
        <v>0</v>
      </c>
      <c r="AV2661">
        <v>0</v>
      </c>
      <c r="AW2661">
        <v>0</v>
      </c>
      <c r="AX2661">
        <v>0</v>
      </c>
      <c r="AY2661">
        <v>0</v>
      </c>
      <c r="AZ2661">
        <v>0</v>
      </c>
      <c r="BA2661">
        <v>0</v>
      </c>
      <c r="BB2661">
        <v>0</v>
      </c>
      <c r="BC2661">
        <v>0</v>
      </c>
      <c r="BD2661">
        <v>0</v>
      </c>
      <c r="BE2661">
        <v>0</v>
      </c>
      <c r="BF2661">
        <v>0</v>
      </c>
      <c r="BG2661">
        <v>0</v>
      </c>
      <c r="BH2661">
        <v>1</v>
      </c>
      <c r="BI2661">
        <v>4</v>
      </c>
      <c r="BJ2661">
        <v>2.8</v>
      </c>
      <c r="BK2661">
        <v>4</v>
      </c>
      <c r="BL2661">
        <v>140.9</v>
      </c>
      <c r="BM2661">
        <v>21.14</v>
      </c>
      <c r="BN2661">
        <v>162.04</v>
      </c>
      <c r="BO2661">
        <v>162.04</v>
      </c>
      <c r="BQ2661" t="s">
        <v>500</v>
      </c>
      <c r="BR2661" t="s">
        <v>84</v>
      </c>
      <c r="BS2661" s="3">
        <v>45799</v>
      </c>
      <c r="BT2661" s="4">
        <v>0.40486111111111112</v>
      </c>
      <c r="BU2661" t="s">
        <v>2632</v>
      </c>
      <c r="BV2661" t="s">
        <v>86</v>
      </c>
      <c r="BY2661">
        <v>13860</v>
      </c>
      <c r="CA2661" t="s">
        <v>141</v>
      </c>
      <c r="CC2661" t="s">
        <v>137</v>
      </c>
      <c r="CD2661" s="5" t="s">
        <v>142</v>
      </c>
      <c r="CE2661" t="s">
        <v>221</v>
      </c>
      <c r="CF2661" s="3">
        <v>45799</v>
      </c>
      <c r="CI2661">
        <v>1</v>
      </c>
      <c r="CJ2661">
        <v>1</v>
      </c>
      <c r="CK2661">
        <v>41</v>
      </c>
      <c r="CL2661" t="s">
        <v>89</v>
      </c>
    </row>
    <row r="2662" spans="1:90" x14ac:dyDescent="0.3">
      <c r="A2662" t="s">
        <v>72</v>
      </c>
      <c r="B2662" t="s">
        <v>73</v>
      </c>
      <c r="C2662" t="s">
        <v>74</v>
      </c>
      <c r="E2662" t="str">
        <f>"080065492680"</f>
        <v>080065492680</v>
      </c>
      <c r="F2662" s="3">
        <v>45798</v>
      </c>
      <c r="G2662">
        <v>202602</v>
      </c>
      <c r="H2662" t="s">
        <v>75</v>
      </c>
      <c r="I2662" t="s">
        <v>76</v>
      </c>
      <c r="J2662" t="s">
        <v>77</v>
      </c>
      <c r="K2662" t="s">
        <v>78</v>
      </c>
      <c r="L2662" t="s">
        <v>79</v>
      </c>
      <c r="M2662" t="s">
        <v>80</v>
      </c>
      <c r="N2662" t="s">
        <v>2829</v>
      </c>
      <c r="O2662" t="s">
        <v>82</v>
      </c>
      <c r="P2662" t="str">
        <f>"4170039781                    "</f>
        <v xml:space="preserve">4170039781                    </v>
      </c>
      <c r="Q2662">
        <v>0</v>
      </c>
      <c r="R2662">
        <v>0</v>
      </c>
      <c r="S2662">
        <v>0</v>
      </c>
      <c r="T2662">
        <v>0</v>
      </c>
      <c r="U2662">
        <v>0</v>
      </c>
      <c r="V2662">
        <v>0</v>
      </c>
      <c r="W2662">
        <v>0</v>
      </c>
      <c r="X2662">
        <v>0</v>
      </c>
      <c r="Y2662">
        <v>0</v>
      </c>
      <c r="Z2662">
        <v>0</v>
      </c>
      <c r="AA2662">
        <v>0</v>
      </c>
      <c r="AB2662">
        <v>0</v>
      </c>
      <c r="AC2662">
        <v>0</v>
      </c>
      <c r="AD2662">
        <v>0</v>
      </c>
      <c r="AE2662">
        <v>0</v>
      </c>
      <c r="AF2662">
        <v>0</v>
      </c>
      <c r="AG2662">
        <v>0</v>
      </c>
      <c r="AH2662">
        <v>0</v>
      </c>
      <c r="AI2662">
        <v>0</v>
      </c>
      <c r="AJ2662">
        <v>0</v>
      </c>
      <c r="AK2662">
        <v>0</v>
      </c>
      <c r="AL2662">
        <v>0</v>
      </c>
      <c r="AM2662">
        <v>0</v>
      </c>
      <c r="AN2662">
        <v>0</v>
      </c>
      <c r="AO2662">
        <v>0</v>
      </c>
      <c r="AP2662">
        <v>0</v>
      </c>
      <c r="AQ2662">
        <v>21.38</v>
      </c>
      <c r="AR2662">
        <v>0</v>
      </c>
      <c r="AS2662">
        <v>0</v>
      </c>
      <c r="AT2662">
        <v>0</v>
      </c>
      <c r="AU2662">
        <v>0</v>
      </c>
      <c r="AV2662">
        <v>0</v>
      </c>
      <c r="AW2662">
        <v>0</v>
      </c>
      <c r="AX2662">
        <v>0</v>
      </c>
      <c r="AY2662">
        <v>0</v>
      </c>
      <c r="AZ2662">
        <v>0</v>
      </c>
      <c r="BA2662">
        <v>0</v>
      </c>
      <c r="BB2662">
        <v>0</v>
      </c>
      <c r="BC2662">
        <v>0</v>
      </c>
      <c r="BD2662">
        <v>0</v>
      </c>
      <c r="BE2662">
        <v>0</v>
      </c>
      <c r="BF2662">
        <v>0</v>
      </c>
      <c r="BG2662">
        <v>0</v>
      </c>
      <c r="BH2662">
        <v>1</v>
      </c>
      <c r="BI2662">
        <v>1</v>
      </c>
      <c r="BJ2662">
        <v>0.2</v>
      </c>
      <c r="BK2662">
        <v>1</v>
      </c>
      <c r="BL2662">
        <v>69.98</v>
      </c>
      <c r="BM2662">
        <v>10.5</v>
      </c>
      <c r="BN2662">
        <v>80.48</v>
      </c>
      <c r="BO2662">
        <v>80.48</v>
      </c>
      <c r="BQ2662" t="s">
        <v>2830</v>
      </c>
      <c r="BR2662" t="s">
        <v>84</v>
      </c>
      <c r="BS2662" s="3">
        <v>45799</v>
      </c>
      <c r="BT2662" s="4">
        <v>0.38541666666666669</v>
      </c>
      <c r="BU2662" t="s">
        <v>864</v>
      </c>
      <c r="BV2662" t="s">
        <v>86</v>
      </c>
      <c r="BY2662">
        <v>1200</v>
      </c>
      <c r="CA2662" t="s">
        <v>160</v>
      </c>
      <c r="CC2662" t="s">
        <v>80</v>
      </c>
      <c r="CD2662">
        <v>3610</v>
      </c>
      <c r="CE2662" t="s">
        <v>88</v>
      </c>
      <c r="CF2662" s="3">
        <v>45800</v>
      </c>
      <c r="CI2662">
        <v>1</v>
      </c>
      <c r="CJ2662">
        <v>1</v>
      </c>
      <c r="CK2662">
        <v>21</v>
      </c>
      <c r="CL2662" t="s">
        <v>89</v>
      </c>
    </row>
    <row r="2663" spans="1:90" x14ac:dyDescent="0.3">
      <c r="A2663" t="s">
        <v>72</v>
      </c>
      <c r="B2663" t="s">
        <v>73</v>
      </c>
      <c r="C2663" t="s">
        <v>74</v>
      </c>
      <c r="E2663" t="str">
        <f>"080065492714"</f>
        <v>080065492714</v>
      </c>
      <c r="F2663" s="3">
        <v>45798</v>
      </c>
      <c r="G2663">
        <v>202602</v>
      </c>
      <c r="H2663" t="s">
        <v>75</v>
      </c>
      <c r="I2663" t="s">
        <v>76</v>
      </c>
      <c r="J2663" t="s">
        <v>77</v>
      </c>
      <c r="K2663" t="s">
        <v>78</v>
      </c>
      <c r="L2663" t="s">
        <v>136</v>
      </c>
      <c r="M2663" t="s">
        <v>137</v>
      </c>
      <c r="N2663" t="s">
        <v>1297</v>
      </c>
      <c r="O2663" t="s">
        <v>82</v>
      </c>
      <c r="P2663" t="str">
        <f>"4170039811                    "</f>
        <v xml:space="preserve">4170039811                    </v>
      </c>
      <c r="Q2663">
        <v>0</v>
      </c>
      <c r="R2663">
        <v>0</v>
      </c>
      <c r="S2663">
        <v>0</v>
      </c>
      <c r="T2663">
        <v>0</v>
      </c>
      <c r="U2663">
        <v>0</v>
      </c>
      <c r="V2663">
        <v>0</v>
      </c>
      <c r="W2663">
        <v>0</v>
      </c>
      <c r="X2663">
        <v>0</v>
      </c>
      <c r="Y2663">
        <v>0</v>
      </c>
      <c r="Z2663">
        <v>0</v>
      </c>
      <c r="AA2663">
        <v>0</v>
      </c>
      <c r="AB2663">
        <v>0</v>
      </c>
      <c r="AC2663">
        <v>0</v>
      </c>
      <c r="AD2663">
        <v>0</v>
      </c>
      <c r="AE2663">
        <v>0</v>
      </c>
      <c r="AF2663">
        <v>0</v>
      </c>
      <c r="AG2663">
        <v>0</v>
      </c>
      <c r="AH2663">
        <v>0</v>
      </c>
      <c r="AI2663">
        <v>0</v>
      </c>
      <c r="AJ2663">
        <v>0</v>
      </c>
      <c r="AK2663">
        <v>0</v>
      </c>
      <c r="AL2663">
        <v>0</v>
      </c>
      <c r="AM2663">
        <v>0</v>
      </c>
      <c r="AN2663">
        <v>0</v>
      </c>
      <c r="AO2663">
        <v>0</v>
      </c>
      <c r="AP2663">
        <v>0</v>
      </c>
      <c r="AQ2663">
        <v>21.38</v>
      </c>
      <c r="AR2663">
        <v>0</v>
      </c>
      <c r="AS2663">
        <v>0</v>
      </c>
      <c r="AT2663">
        <v>0</v>
      </c>
      <c r="AU2663">
        <v>0</v>
      </c>
      <c r="AV2663">
        <v>0</v>
      </c>
      <c r="AW2663">
        <v>0</v>
      </c>
      <c r="AX2663">
        <v>0</v>
      </c>
      <c r="AY2663">
        <v>0</v>
      </c>
      <c r="AZ2663">
        <v>0</v>
      </c>
      <c r="BA2663">
        <v>0</v>
      </c>
      <c r="BB2663">
        <v>0</v>
      </c>
      <c r="BC2663">
        <v>0</v>
      </c>
      <c r="BD2663">
        <v>0</v>
      </c>
      <c r="BE2663">
        <v>0</v>
      </c>
      <c r="BF2663">
        <v>0</v>
      </c>
      <c r="BG2663">
        <v>0</v>
      </c>
      <c r="BH2663">
        <v>1</v>
      </c>
      <c r="BI2663">
        <v>2</v>
      </c>
      <c r="BJ2663">
        <v>1</v>
      </c>
      <c r="BK2663">
        <v>2</v>
      </c>
      <c r="BL2663">
        <v>69.98</v>
      </c>
      <c r="BM2663">
        <v>10.5</v>
      </c>
      <c r="BN2663">
        <v>80.48</v>
      </c>
      <c r="BO2663">
        <v>80.48</v>
      </c>
      <c r="BQ2663" t="s">
        <v>1298</v>
      </c>
      <c r="BR2663" t="s">
        <v>84</v>
      </c>
      <c r="BS2663" s="3">
        <v>45799</v>
      </c>
      <c r="BT2663" s="4">
        <v>0.34722222222222221</v>
      </c>
      <c r="BU2663" t="s">
        <v>2831</v>
      </c>
      <c r="BV2663" t="s">
        <v>86</v>
      </c>
      <c r="BY2663">
        <v>5184</v>
      </c>
      <c r="CA2663" t="s">
        <v>141</v>
      </c>
      <c r="CC2663" t="s">
        <v>137</v>
      </c>
      <c r="CD2663" s="5" t="s">
        <v>1239</v>
      </c>
      <c r="CE2663" t="s">
        <v>221</v>
      </c>
      <c r="CF2663" s="3">
        <v>45799</v>
      </c>
      <c r="CI2663">
        <v>1</v>
      </c>
      <c r="CJ2663">
        <v>1</v>
      </c>
      <c r="CK2663">
        <v>21</v>
      </c>
      <c r="CL2663" t="s">
        <v>89</v>
      </c>
    </row>
    <row r="2664" spans="1:90" x14ac:dyDescent="0.3">
      <c r="A2664" t="s">
        <v>72</v>
      </c>
      <c r="B2664" t="s">
        <v>73</v>
      </c>
      <c r="C2664" t="s">
        <v>74</v>
      </c>
      <c r="E2664" t="str">
        <f>"080065492698"</f>
        <v>080065492698</v>
      </c>
      <c r="F2664" s="3">
        <v>45798</v>
      </c>
      <c r="G2664">
        <v>202602</v>
      </c>
      <c r="H2664" t="s">
        <v>75</v>
      </c>
      <c r="I2664" t="s">
        <v>76</v>
      </c>
      <c r="J2664" t="s">
        <v>77</v>
      </c>
      <c r="K2664" t="s">
        <v>78</v>
      </c>
      <c r="L2664" t="s">
        <v>130</v>
      </c>
      <c r="M2664" t="s">
        <v>131</v>
      </c>
      <c r="N2664" t="s">
        <v>239</v>
      </c>
      <c r="O2664" t="s">
        <v>82</v>
      </c>
      <c r="P2664" t="str">
        <f>"4170039858                    "</f>
        <v xml:space="preserve">4170039858                    </v>
      </c>
      <c r="Q2664">
        <v>0</v>
      </c>
      <c r="R2664">
        <v>0</v>
      </c>
      <c r="S2664">
        <v>0</v>
      </c>
      <c r="T2664">
        <v>0</v>
      </c>
      <c r="U2664">
        <v>0</v>
      </c>
      <c r="V2664">
        <v>0</v>
      </c>
      <c r="W2664">
        <v>0</v>
      </c>
      <c r="X2664">
        <v>0</v>
      </c>
      <c r="Y2664">
        <v>0</v>
      </c>
      <c r="Z2664">
        <v>0</v>
      </c>
      <c r="AA2664">
        <v>0</v>
      </c>
      <c r="AB2664">
        <v>0</v>
      </c>
      <c r="AC2664">
        <v>0</v>
      </c>
      <c r="AD2664">
        <v>0</v>
      </c>
      <c r="AE2664">
        <v>0</v>
      </c>
      <c r="AF2664">
        <v>0</v>
      </c>
      <c r="AG2664">
        <v>0</v>
      </c>
      <c r="AH2664">
        <v>0</v>
      </c>
      <c r="AI2664">
        <v>0</v>
      </c>
      <c r="AJ2664">
        <v>0</v>
      </c>
      <c r="AK2664">
        <v>0</v>
      </c>
      <c r="AL2664">
        <v>0</v>
      </c>
      <c r="AM2664">
        <v>0</v>
      </c>
      <c r="AN2664">
        <v>0</v>
      </c>
      <c r="AO2664">
        <v>0</v>
      </c>
      <c r="AP2664">
        <v>0</v>
      </c>
      <c r="AQ2664">
        <v>21.38</v>
      </c>
      <c r="AR2664">
        <v>0</v>
      </c>
      <c r="AS2664">
        <v>0</v>
      </c>
      <c r="AT2664">
        <v>0</v>
      </c>
      <c r="AU2664">
        <v>0</v>
      </c>
      <c r="AV2664">
        <v>0</v>
      </c>
      <c r="AW2664">
        <v>0</v>
      </c>
      <c r="AX2664">
        <v>0</v>
      </c>
      <c r="AY2664">
        <v>0</v>
      </c>
      <c r="AZ2664">
        <v>0</v>
      </c>
      <c r="BA2664">
        <v>0</v>
      </c>
      <c r="BB2664">
        <v>0</v>
      </c>
      <c r="BC2664">
        <v>0</v>
      </c>
      <c r="BD2664">
        <v>0</v>
      </c>
      <c r="BE2664">
        <v>0</v>
      </c>
      <c r="BF2664">
        <v>0</v>
      </c>
      <c r="BG2664">
        <v>0</v>
      </c>
      <c r="BH2664">
        <v>1</v>
      </c>
      <c r="BI2664">
        <v>1</v>
      </c>
      <c r="BJ2664">
        <v>0.2</v>
      </c>
      <c r="BK2664">
        <v>1</v>
      </c>
      <c r="BL2664">
        <v>69.98</v>
      </c>
      <c r="BM2664">
        <v>10.5</v>
      </c>
      <c r="BN2664">
        <v>80.48</v>
      </c>
      <c r="BO2664">
        <v>80.48</v>
      </c>
      <c r="BQ2664" t="s">
        <v>240</v>
      </c>
      <c r="BR2664" t="s">
        <v>84</v>
      </c>
      <c r="BS2664" s="3">
        <v>45799</v>
      </c>
      <c r="BT2664" s="4">
        <v>0.36805555555555558</v>
      </c>
      <c r="BU2664" t="s">
        <v>2832</v>
      </c>
      <c r="BV2664" t="s">
        <v>86</v>
      </c>
      <c r="BY2664">
        <v>1200</v>
      </c>
      <c r="CA2664" t="s">
        <v>242</v>
      </c>
      <c r="CC2664" t="s">
        <v>131</v>
      </c>
      <c r="CD2664">
        <v>7441</v>
      </c>
      <c r="CE2664" t="s">
        <v>88</v>
      </c>
      <c r="CF2664" s="3">
        <v>45800</v>
      </c>
      <c r="CI2664">
        <v>1</v>
      </c>
      <c r="CJ2664">
        <v>1</v>
      </c>
      <c r="CK2664">
        <v>21</v>
      </c>
      <c r="CL2664" t="s">
        <v>89</v>
      </c>
    </row>
    <row r="2665" spans="1:90" x14ac:dyDescent="0.3">
      <c r="A2665" t="s">
        <v>72</v>
      </c>
      <c r="B2665" t="s">
        <v>73</v>
      </c>
      <c r="C2665" t="s">
        <v>74</v>
      </c>
      <c r="E2665" t="str">
        <f>"080065492750"</f>
        <v>080065492750</v>
      </c>
      <c r="F2665" s="3">
        <v>45798</v>
      </c>
      <c r="G2665">
        <v>202602</v>
      </c>
      <c r="H2665" t="s">
        <v>75</v>
      </c>
      <c r="I2665" t="s">
        <v>76</v>
      </c>
      <c r="J2665" t="s">
        <v>77</v>
      </c>
      <c r="K2665" t="s">
        <v>78</v>
      </c>
      <c r="L2665" t="s">
        <v>97</v>
      </c>
      <c r="M2665" t="s">
        <v>98</v>
      </c>
      <c r="N2665" t="s">
        <v>284</v>
      </c>
      <c r="O2665" t="s">
        <v>82</v>
      </c>
      <c r="P2665" t="str">
        <f>"4170039790                    "</f>
        <v xml:space="preserve">4170039790                    </v>
      </c>
      <c r="Q2665">
        <v>0</v>
      </c>
      <c r="R2665">
        <v>0</v>
      </c>
      <c r="S2665">
        <v>0</v>
      </c>
      <c r="T2665">
        <v>0</v>
      </c>
      <c r="U2665">
        <v>0</v>
      </c>
      <c r="V2665">
        <v>0</v>
      </c>
      <c r="W2665">
        <v>0</v>
      </c>
      <c r="X2665">
        <v>0</v>
      </c>
      <c r="Y2665">
        <v>0</v>
      </c>
      <c r="Z2665">
        <v>0</v>
      </c>
      <c r="AA2665">
        <v>0</v>
      </c>
      <c r="AB2665">
        <v>0</v>
      </c>
      <c r="AC2665">
        <v>0</v>
      </c>
      <c r="AD2665">
        <v>0</v>
      </c>
      <c r="AE2665">
        <v>0</v>
      </c>
      <c r="AF2665">
        <v>0</v>
      </c>
      <c r="AG2665">
        <v>0</v>
      </c>
      <c r="AH2665">
        <v>0</v>
      </c>
      <c r="AI2665">
        <v>0</v>
      </c>
      <c r="AJ2665">
        <v>0</v>
      </c>
      <c r="AK2665">
        <v>0</v>
      </c>
      <c r="AL2665">
        <v>0</v>
      </c>
      <c r="AM2665">
        <v>0</v>
      </c>
      <c r="AN2665">
        <v>0</v>
      </c>
      <c r="AO2665">
        <v>0</v>
      </c>
      <c r="AP2665">
        <v>0</v>
      </c>
      <c r="AQ2665">
        <v>16.7</v>
      </c>
      <c r="AR2665">
        <v>0</v>
      </c>
      <c r="AS2665">
        <v>0</v>
      </c>
      <c r="AT2665">
        <v>0</v>
      </c>
      <c r="AU2665">
        <v>0</v>
      </c>
      <c r="AV2665">
        <v>0</v>
      </c>
      <c r="AW2665">
        <v>0</v>
      </c>
      <c r="AX2665">
        <v>0</v>
      </c>
      <c r="AY2665">
        <v>0</v>
      </c>
      <c r="AZ2665">
        <v>0</v>
      </c>
      <c r="BA2665">
        <v>0</v>
      </c>
      <c r="BB2665">
        <v>0</v>
      </c>
      <c r="BC2665">
        <v>0</v>
      </c>
      <c r="BD2665">
        <v>0</v>
      </c>
      <c r="BE2665">
        <v>0</v>
      </c>
      <c r="BF2665">
        <v>0</v>
      </c>
      <c r="BG2665">
        <v>0</v>
      </c>
      <c r="BH2665">
        <v>1</v>
      </c>
      <c r="BI2665">
        <v>4</v>
      </c>
      <c r="BJ2665">
        <v>1.6</v>
      </c>
      <c r="BK2665">
        <v>4</v>
      </c>
      <c r="BL2665">
        <v>54.66</v>
      </c>
      <c r="BM2665">
        <v>8.1999999999999993</v>
      </c>
      <c r="BN2665">
        <v>62.86</v>
      </c>
      <c r="BO2665">
        <v>62.86</v>
      </c>
      <c r="BQ2665" t="s">
        <v>285</v>
      </c>
      <c r="BR2665" t="s">
        <v>84</v>
      </c>
      <c r="BS2665" s="3">
        <v>45799</v>
      </c>
      <c r="BT2665" s="4">
        <v>0.41249999999999998</v>
      </c>
      <c r="BU2665" t="s">
        <v>286</v>
      </c>
      <c r="BV2665" t="s">
        <v>86</v>
      </c>
      <c r="BY2665">
        <v>7840</v>
      </c>
      <c r="CA2665" t="s">
        <v>279</v>
      </c>
      <c r="CC2665" t="s">
        <v>98</v>
      </c>
      <c r="CD2665">
        <v>1459</v>
      </c>
      <c r="CE2665" t="s">
        <v>221</v>
      </c>
      <c r="CF2665" s="3">
        <v>45799</v>
      </c>
      <c r="CI2665">
        <v>1</v>
      </c>
      <c r="CJ2665">
        <v>1</v>
      </c>
      <c r="CK2665">
        <v>22</v>
      </c>
      <c r="CL2665" t="s">
        <v>89</v>
      </c>
    </row>
    <row r="2666" spans="1:90" x14ac:dyDescent="0.3">
      <c r="A2666" t="s">
        <v>72</v>
      </c>
      <c r="B2666" t="s">
        <v>73</v>
      </c>
      <c r="C2666" t="s">
        <v>74</v>
      </c>
      <c r="E2666" t="str">
        <f>"080065492786"</f>
        <v>080065492786</v>
      </c>
      <c r="F2666" s="3">
        <v>45798</v>
      </c>
      <c r="G2666">
        <v>202602</v>
      </c>
      <c r="H2666" t="s">
        <v>75</v>
      </c>
      <c r="I2666" t="s">
        <v>76</v>
      </c>
      <c r="J2666" t="s">
        <v>77</v>
      </c>
      <c r="K2666" t="s">
        <v>78</v>
      </c>
      <c r="L2666" t="s">
        <v>130</v>
      </c>
      <c r="M2666" t="s">
        <v>131</v>
      </c>
      <c r="N2666" t="s">
        <v>1066</v>
      </c>
      <c r="O2666" t="s">
        <v>82</v>
      </c>
      <c r="P2666" t="str">
        <f>"4170039865                    "</f>
        <v xml:space="preserve">4170039865                    </v>
      </c>
      <c r="Q2666">
        <v>0</v>
      </c>
      <c r="R2666">
        <v>0</v>
      </c>
      <c r="S2666">
        <v>0</v>
      </c>
      <c r="T2666">
        <v>0</v>
      </c>
      <c r="U2666">
        <v>0</v>
      </c>
      <c r="V2666">
        <v>0</v>
      </c>
      <c r="W2666">
        <v>0</v>
      </c>
      <c r="X2666">
        <v>0</v>
      </c>
      <c r="Y2666">
        <v>0</v>
      </c>
      <c r="Z2666">
        <v>0</v>
      </c>
      <c r="AA2666">
        <v>0</v>
      </c>
      <c r="AB2666">
        <v>0</v>
      </c>
      <c r="AC2666">
        <v>0</v>
      </c>
      <c r="AD2666">
        <v>0</v>
      </c>
      <c r="AE2666">
        <v>0</v>
      </c>
      <c r="AF2666">
        <v>0</v>
      </c>
      <c r="AG2666">
        <v>0</v>
      </c>
      <c r="AH2666">
        <v>0</v>
      </c>
      <c r="AI2666">
        <v>0</v>
      </c>
      <c r="AJ2666">
        <v>0</v>
      </c>
      <c r="AK2666">
        <v>0</v>
      </c>
      <c r="AL2666">
        <v>0</v>
      </c>
      <c r="AM2666">
        <v>0</v>
      </c>
      <c r="AN2666">
        <v>0</v>
      </c>
      <c r="AO2666">
        <v>0</v>
      </c>
      <c r="AP2666">
        <v>0</v>
      </c>
      <c r="AQ2666">
        <v>53.43</v>
      </c>
      <c r="AR2666">
        <v>0</v>
      </c>
      <c r="AS2666">
        <v>0</v>
      </c>
      <c r="AT2666">
        <v>0</v>
      </c>
      <c r="AU2666">
        <v>0</v>
      </c>
      <c r="AV2666">
        <v>0</v>
      </c>
      <c r="AW2666">
        <v>0</v>
      </c>
      <c r="AX2666">
        <v>0</v>
      </c>
      <c r="AY2666">
        <v>0</v>
      </c>
      <c r="AZ2666">
        <v>0</v>
      </c>
      <c r="BA2666">
        <v>0</v>
      </c>
      <c r="BB2666">
        <v>0</v>
      </c>
      <c r="BC2666">
        <v>0</v>
      </c>
      <c r="BD2666">
        <v>0</v>
      </c>
      <c r="BE2666">
        <v>0</v>
      </c>
      <c r="BF2666">
        <v>0</v>
      </c>
      <c r="BG2666">
        <v>0</v>
      </c>
      <c r="BH2666">
        <v>1</v>
      </c>
      <c r="BI2666">
        <v>4</v>
      </c>
      <c r="BJ2666">
        <v>4.5999999999999996</v>
      </c>
      <c r="BK2666">
        <v>5</v>
      </c>
      <c r="BL2666">
        <v>174.87</v>
      </c>
      <c r="BM2666">
        <v>26.23</v>
      </c>
      <c r="BN2666">
        <v>201.1</v>
      </c>
      <c r="BO2666">
        <v>201.1</v>
      </c>
      <c r="BQ2666" t="s">
        <v>1067</v>
      </c>
      <c r="BR2666" t="s">
        <v>84</v>
      </c>
      <c r="BS2666" s="3">
        <v>45799</v>
      </c>
      <c r="BT2666" s="4">
        <v>0.39930555555555558</v>
      </c>
      <c r="BU2666" t="s">
        <v>1202</v>
      </c>
      <c r="BV2666" t="s">
        <v>86</v>
      </c>
      <c r="BY2666">
        <v>22932</v>
      </c>
      <c r="CA2666" t="s">
        <v>712</v>
      </c>
      <c r="CC2666" t="s">
        <v>131</v>
      </c>
      <c r="CD2666">
        <v>7561</v>
      </c>
      <c r="CE2666" t="s">
        <v>221</v>
      </c>
      <c r="CF2666" s="3">
        <v>45800</v>
      </c>
      <c r="CI2666">
        <v>1</v>
      </c>
      <c r="CJ2666">
        <v>1</v>
      </c>
      <c r="CK2666">
        <v>21</v>
      </c>
      <c r="CL2666" t="s">
        <v>89</v>
      </c>
    </row>
    <row r="2667" spans="1:90" x14ac:dyDescent="0.3">
      <c r="A2667" t="s">
        <v>72</v>
      </c>
      <c r="B2667" t="s">
        <v>73</v>
      </c>
      <c r="C2667" t="s">
        <v>74</v>
      </c>
      <c r="E2667" t="str">
        <f>"080065492805"</f>
        <v>080065492805</v>
      </c>
      <c r="F2667" s="3">
        <v>45798</v>
      </c>
      <c r="G2667">
        <v>202602</v>
      </c>
      <c r="H2667" t="s">
        <v>75</v>
      </c>
      <c r="I2667" t="s">
        <v>76</v>
      </c>
      <c r="J2667" t="s">
        <v>77</v>
      </c>
      <c r="K2667" t="s">
        <v>78</v>
      </c>
      <c r="L2667" t="s">
        <v>1328</v>
      </c>
      <c r="M2667" t="s">
        <v>1329</v>
      </c>
      <c r="N2667" t="s">
        <v>2833</v>
      </c>
      <c r="O2667" t="s">
        <v>82</v>
      </c>
      <c r="P2667" t="str">
        <f>"4170039752                    "</f>
        <v xml:space="preserve">4170039752                    </v>
      </c>
      <c r="Q2667">
        <v>0</v>
      </c>
      <c r="R2667">
        <v>0</v>
      </c>
      <c r="S2667">
        <v>0</v>
      </c>
      <c r="T2667">
        <v>0</v>
      </c>
      <c r="U2667">
        <v>0</v>
      </c>
      <c r="V2667">
        <v>0</v>
      </c>
      <c r="W2667">
        <v>0</v>
      </c>
      <c r="X2667">
        <v>0</v>
      </c>
      <c r="Y2667">
        <v>0</v>
      </c>
      <c r="Z2667">
        <v>0</v>
      </c>
      <c r="AA2667">
        <v>0</v>
      </c>
      <c r="AB2667">
        <v>0</v>
      </c>
      <c r="AC2667">
        <v>0</v>
      </c>
      <c r="AD2667">
        <v>0</v>
      </c>
      <c r="AE2667">
        <v>0</v>
      </c>
      <c r="AF2667">
        <v>0</v>
      </c>
      <c r="AG2667">
        <v>0</v>
      </c>
      <c r="AH2667">
        <v>0</v>
      </c>
      <c r="AI2667">
        <v>0</v>
      </c>
      <c r="AJ2667">
        <v>0</v>
      </c>
      <c r="AK2667">
        <v>0</v>
      </c>
      <c r="AL2667">
        <v>0</v>
      </c>
      <c r="AM2667">
        <v>0</v>
      </c>
      <c r="AN2667">
        <v>0</v>
      </c>
      <c r="AO2667">
        <v>0</v>
      </c>
      <c r="AP2667">
        <v>0</v>
      </c>
      <c r="AQ2667">
        <v>44.72</v>
      </c>
      <c r="AR2667">
        <v>0</v>
      </c>
      <c r="AS2667">
        <v>0</v>
      </c>
      <c r="AT2667">
        <v>0</v>
      </c>
      <c r="AU2667">
        <v>0</v>
      </c>
      <c r="AV2667">
        <v>0</v>
      </c>
      <c r="AW2667">
        <v>0</v>
      </c>
      <c r="AX2667">
        <v>0</v>
      </c>
      <c r="AY2667">
        <v>0</v>
      </c>
      <c r="AZ2667">
        <v>0</v>
      </c>
      <c r="BA2667">
        <v>0</v>
      </c>
      <c r="BB2667">
        <v>0</v>
      </c>
      <c r="BC2667">
        <v>0</v>
      </c>
      <c r="BD2667">
        <v>0</v>
      </c>
      <c r="BE2667">
        <v>0</v>
      </c>
      <c r="BF2667">
        <v>0</v>
      </c>
      <c r="BG2667">
        <v>0</v>
      </c>
      <c r="BH2667">
        <v>1</v>
      </c>
      <c r="BI2667">
        <v>3</v>
      </c>
      <c r="BJ2667">
        <v>1.7</v>
      </c>
      <c r="BK2667">
        <v>3</v>
      </c>
      <c r="BL2667">
        <v>146.35</v>
      </c>
      <c r="BM2667">
        <v>21.95</v>
      </c>
      <c r="BN2667">
        <v>168.3</v>
      </c>
      <c r="BO2667">
        <v>168.3</v>
      </c>
      <c r="BQ2667" t="s">
        <v>2834</v>
      </c>
      <c r="BR2667" t="s">
        <v>84</v>
      </c>
      <c r="BS2667" s="3">
        <v>45799</v>
      </c>
      <c r="BT2667" s="4">
        <v>0.44791666666666669</v>
      </c>
      <c r="BU2667" t="s">
        <v>778</v>
      </c>
      <c r="BV2667" t="s">
        <v>86</v>
      </c>
      <c r="BY2667">
        <v>8512</v>
      </c>
      <c r="CA2667" t="s">
        <v>2835</v>
      </c>
      <c r="CC2667" t="s">
        <v>1329</v>
      </c>
      <c r="CD2667">
        <v>2210</v>
      </c>
      <c r="CE2667" t="s">
        <v>116</v>
      </c>
      <c r="CF2667" s="3">
        <v>45799</v>
      </c>
      <c r="CI2667">
        <v>1</v>
      </c>
      <c r="CJ2667">
        <v>1</v>
      </c>
      <c r="CK2667">
        <v>24</v>
      </c>
      <c r="CL2667" t="s">
        <v>89</v>
      </c>
    </row>
    <row r="2668" spans="1:90" x14ac:dyDescent="0.3">
      <c r="A2668" t="s">
        <v>72</v>
      </c>
      <c r="B2668" t="s">
        <v>73</v>
      </c>
      <c r="C2668" t="s">
        <v>74</v>
      </c>
      <c r="E2668" t="str">
        <f>"080065492832"</f>
        <v>080065492832</v>
      </c>
      <c r="F2668" s="3">
        <v>45798</v>
      </c>
      <c r="G2668">
        <v>202602</v>
      </c>
      <c r="H2668" t="s">
        <v>75</v>
      </c>
      <c r="I2668" t="s">
        <v>76</v>
      </c>
      <c r="J2668" t="s">
        <v>77</v>
      </c>
      <c r="K2668" t="s">
        <v>78</v>
      </c>
      <c r="L2668" t="s">
        <v>103</v>
      </c>
      <c r="M2668" t="s">
        <v>104</v>
      </c>
      <c r="N2668" t="s">
        <v>633</v>
      </c>
      <c r="O2668" t="s">
        <v>82</v>
      </c>
      <c r="P2668" t="str">
        <f>"4170039828                    "</f>
        <v xml:space="preserve">4170039828                    </v>
      </c>
      <c r="Q2668">
        <v>0</v>
      </c>
      <c r="R2668">
        <v>0</v>
      </c>
      <c r="S2668">
        <v>0</v>
      </c>
      <c r="T2668">
        <v>0</v>
      </c>
      <c r="U2668">
        <v>0</v>
      </c>
      <c r="V2668">
        <v>0</v>
      </c>
      <c r="W2668">
        <v>0</v>
      </c>
      <c r="X2668">
        <v>0</v>
      </c>
      <c r="Y2668">
        <v>0</v>
      </c>
      <c r="Z2668">
        <v>0</v>
      </c>
      <c r="AA2668">
        <v>0</v>
      </c>
      <c r="AB2668">
        <v>0</v>
      </c>
      <c r="AC2668">
        <v>0</v>
      </c>
      <c r="AD2668">
        <v>0</v>
      </c>
      <c r="AE2668">
        <v>0</v>
      </c>
      <c r="AF2668">
        <v>0</v>
      </c>
      <c r="AG2668">
        <v>0</v>
      </c>
      <c r="AH2668">
        <v>0</v>
      </c>
      <c r="AI2668">
        <v>0</v>
      </c>
      <c r="AJ2668">
        <v>0</v>
      </c>
      <c r="AK2668">
        <v>0</v>
      </c>
      <c r="AL2668">
        <v>0</v>
      </c>
      <c r="AM2668">
        <v>0</v>
      </c>
      <c r="AN2668">
        <v>0</v>
      </c>
      <c r="AO2668">
        <v>0</v>
      </c>
      <c r="AP2668">
        <v>0</v>
      </c>
      <c r="AQ2668">
        <v>21.38</v>
      </c>
      <c r="AR2668">
        <v>0</v>
      </c>
      <c r="AS2668">
        <v>0</v>
      </c>
      <c r="AT2668">
        <v>0</v>
      </c>
      <c r="AU2668">
        <v>0</v>
      </c>
      <c r="AV2668">
        <v>0</v>
      </c>
      <c r="AW2668">
        <v>0</v>
      </c>
      <c r="AX2668">
        <v>0</v>
      </c>
      <c r="AY2668">
        <v>0</v>
      </c>
      <c r="AZ2668">
        <v>0</v>
      </c>
      <c r="BA2668">
        <v>0</v>
      </c>
      <c r="BB2668">
        <v>0</v>
      </c>
      <c r="BC2668">
        <v>0</v>
      </c>
      <c r="BD2668">
        <v>0</v>
      </c>
      <c r="BE2668">
        <v>0</v>
      </c>
      <c r="BF2668">
        <v>0</v>
      </c>
      <c r="BG2668">
        <v>0</v>
      </c>
      <c r="BH2668">
        <v>1</v>
      </c>
      <c r="BI2668">
        <v>2</v>
      </c>
      <c r="BJ2668">
        <v>0.6</v>
      </c>
      <c r="BK2668">
        <v>2</v>
      </c>
      <c r="BL2668">
        <v>69.98</v>
      </c>
      <c r="BM2668">
        <v>10.5</v>
      </c>
      <c r="BN2668">
        <v>80.48</v>
      </c>
      <c r="BO2668">
        <v>80.48</v>
      </c>
      <c r="BQ2668" t="s">
        <v>634</v>
      </c>
      <c r="BR2668" t="s">
        <v>84</v>
      </c>
      <c r="BS2668" s="3">
        <v>45799</v>
      </c>
      <c r="BT2668" s="4">
        <v>0.56388888888888888</v>
      </c>
      <c r="BU2668" t="s">
        <v>635</v>
      </c>
      <c r="BV2668" t="s">
        <v>86</v>
      </c>
      <c r="BY2668">
        <v>3192</v>
      </c>
      <c r="CA2668" t="s">
        <v>440</v>
      </c>
      <c r="CC2668" t="s">
        <v>104</v>
      </c>
      <c r="CD2668">
        <v>3212</v>
      </c>
      <c r="CE2668" t="s">
        <v>116</v>
      </c>
      <c r="CF2668" s="3">
        <v>45800</v>
      </c>
      <c r="CI2668">
        <v>2</v>
      </c>
      <c r="CJ2668">
        <v>1</v>
      </c>
      <c r="CK2668">
        <v>21</v>
      </c>
      <c r="CL2668" t="s">
        <v>89</v>
      </c>
    </row>
    <row r="2669" spans="1:90" x14ac:dyDescent="0.3">
      <c r="A2669" t="s">
        <v>72</v>
      </c>
      <c r="B2669" t="s">
        <v>73</v>
      </c>
      <c r="C2669" t="s">
        <v>74</v>
      </c>
      <c r="E2669" t="str">
        <f>"080065492905"</f>
        <v>080065492905</v>
      </c>
      <c r="F2669" s="3">
        <v>45798</v>
      </c>
      <c r="G2669">
        <v>202602</v>
      </c>
      <c r="H2669" t="s">
        <v>75</v>
      </c>
      <c r="I2669" t="s">
        <v>76</v>
      </c>
      <c r="J2669" t="s">
        <v>77</v>
      </c>
      <c r="K2669" t="s">
        <v>78</v>
      </c>
      <c r="L2669" t="s">
        <v>97</v>
      </c>
      <c r="M2669" t="s">
        <v>98</v>
      </c>
      <c r="N2669" t="s">
        <v>99</v>
      </c>
      <c r="O2669" t="s">
        <v>82</v>
      </c>
      <c r="P2669" t="str">
        <f>"4170039913                    "</f>
        <v xml:space="preserve">4170039913                    </v>
      </c>
      <c r="Q2669">
        <v>0</v>
      </c>
      <c r="R2669">
        <v>0</v>
      </c>
      <c r="S2669">
        <v>0</v>
      </c>
      <c r="T2669">
        <v>0</v>
      </c>
      <c r="U2669">
        <v>0</v>
      </c>
      <c r="V2669">
        <v>0</v>
      </c>
      <c r="W2669">
        <v>0</v>
      </c>
      <c r="X2669">
        <v>0</v>
      </c>
      <c r="Y2669">
        <v>0</v>
      </c>
      <c r="Z2669">
        <v>0</v>
      </c>
      <c r="AA2669">
        <v>0</v>
      </c>
      <c r="AB2669">
        <v>0</v>
      </c>
      <c r="AC2669">
        <v>0</v>
      </c>
      <c r="AD2669">
        <v>0</v>
      </c>
      <c r="AE2669">
        <v>0</v>
      </c>
      <c r="AF2669">
        <v>0</v>
      </c>
      <c r="AG2669">
        <v>0</v>
      </c>
      <c r="AH2669">
        <v>0</v>
      </c>
      <c r="AI2669">
        <v>0</v>
      </c>
      <c r="AJ2669">
        <v>0</v>
      </c>
      <c r="AK2669">
        <v>0</v>
      </c>
      <c r="AL2669">
        <v>0</v>
      </c>
      <c r="AM2669">
        <v>0</v>
      </c>
      <c r="AN2669">
        <v>0</v>
      </c>
      <c r="AO2669">
        <v>0</v>
      </c>
      <c r="AP2669">
        <v>0</v>
      </c>
      <c r="AQ2669">
        <v>16.7</v>
      </c>
      <c r="AR2669">
        <v>0</v>
      </c>
      <c r="AS2669">
        <v>0</v>
      </c>
      <c r="AT2669">
        <v>0</v>
      </c>
      <c r="AU2669">
        <v>0</v>
      </c>
      <c r="AV2669">
        <v>0</v>
      </c>
      <c r="AW2669">
        <v>0</v>
      </c>
      <c r="AX2669">
        <v>0</v>
      </c>
      <c r="AY2669">
        <v>0</v>
      </c>
      <c r="AZ2669">
        <v>0</v>
      </c>
      <c r="BA2669">
        <v>0</v>
      </c>
      <c r="BB2669">
        <v>0</v>
      </c>
      <c r="BC2669">
        <v>0</v>
      </c>
      <c r="BD2669">
        <v>0</v>
      </c>
      <c r="BE2669">
        <v>0</v>
      </c>
      <c r="BF2669">
        <v>0</v>
      </c>
      <c r="BG2669">
        <v>0</v>
      </c>
      <c r="BH2669">
        <v>1</v>
      </c>
      <c r="BI2669">
        <v>1</v>
      </c>
      <c r="BJ2669">
        <v>0.2</v>
      </c>
      <c r="BK2669">
        <v>1</v>
      </c>
      <c r="BL2669">
        <v>54.66</v>
      </c>
      <c r="BM2669">
        <v>8.1999999999999993</v>
      </c>
      <c r="BN2669">
        <v>62.86</v>
      </c>
      <c r="BO2669">
        <v>62.86</v>
      </c>
      <c r="BQ2669" t="s">
        <v>100</v>
      </c>
      <c r="BR2669" t="s">
        <v>84</v>
      </c>
      <c r="BS2669" s="3">
        <v>45799</v>
      </c>
      <c r="BT2669" s="4">
        <v>0.33055555555555555</v>
      </c>
      <c r="BU2669" t="s">
        <v>1028</v>
      </c>
      <c r="BV2669" t="s">
        <v>86</v>
      </c>
      <c r="BY2669">
        <v>1200</v>
      </c>
      <c r="CA2669" t="s">
        <v>279</v>
      </c>
      <c r="CC2669" t="s">
        <v>98</v>
      </c>
      <c r="CD2669">
        <v>1459</v>
      </c>
      <c r="CE2669" t="s">
        <v>88</v>
      </c>
      <c r="CF2669" s="3">
        <v>45799</v>
      </c>
      <c r="CI2669">
        <v>1</v>
      </c>
      <c r="CJ2669">
        <v>1</v>
      </c>
      <c r="CK2669">
        <v>22</v>
      </c>
      <c r="CL2669" t="s">
        <v>89</v>
      </c>
    </row>
    <row r="2670" spans="1:90" x14ac:dyDescent="0.3">
      <c r="A2670" t="s">
        <v>72</v>
      </c>
      <c r="B2670" t="s">
        <v>73</v>
      </c>
      <c r="C2670" t="s">
        <v>74</v>
      </c>
      <c r="E2670" t="str">
        <f>"080065492926"</f>
        <v>080065492926</v>
      </c>
      <c r="F2670" s="3">
        <v>45798</v>
      </c>
      <c r="G2670">
        <v>202602</v>
      </c>
      <c r="H2670" t="s">
        <v>75</v>
      </c>
      <c r="I2670" t="s">
        <v>76</v>
      </c>
      <c r="J2670" t="s">
        <v>77</v>
      </c>
      <c r="K2670" t="s">
        <v>78</v>
      </c>
      <c r="L2670" t="s">
        <v>232</v>
      </c>
      <c r="M2670" t="s">
        <v>233</v>
      </c>
      <c r="N2670" t="s">
        <v>834</v>
      </c>
      <c r="O2670" t="s">
        <v>82</v>
      </c>
      <c r="P2670" t="str">
        <f>"4170039742                    "</f>
        <v xml:space="preserve">4170039742                    </v>
      </c>
      <c r="Q2670">
        <v>0</v>
      </c>
      <c r="R2670">
        <v>0</v>
      </c>
      <c r="S2670">
        <v>0</v>
      </c>
      <c r="T2670">
        <v>0</v>
      </c>
      <c r="U2670">
        <v>0</v>
      </c>
      <c r="V2670">
        <v>0</v>
      </c>
      <c r="W2670">
        <v>0</v>
      </c>
      <c r="X2670">
        <v>0</v>
      </c>
      <c r="Y2670">
        <v>0</v>
      </c>
      <c r="Z2670">
        <v>0</v>
      </c>
      <c r="AA2670">
        <v>0</v>
      </c>
      <c r="AB2670">
        <v>0</v>
      </c>
      <c r="AC2670">
        <v>0</v>
      </c>
      <c r="AD2670">
        <v>0</v>
      </c>
      <c r="AE2670">
        <v>0</v>
      </c>
      <c r="AF2670">
        <v>0</v>
      </c>
      <c r="AG2670">
        <v>0</v>
      </c>
      <c r="AH2670">
        <v>0</v>
      </c>
      <c r="AI2670">
        <v>0</v>
      </c>
      <c r="AJ2670">
        <v>0</v>
      </c>
      <c r="AK2670">
        <v>0</v>
      </c>
      <c r="AL2670">
        <v>0</v>
      </c>
      <c r="AM2670">
        <v>0</v>
      </c>
      <c r="AN2670">
        <v>0</v>
      </c>
      <c r="AO2670">
        <v>0</v>
      </c>
      <c r="AP2670">
        <v>0</v>
      </c>
      <c r="AQ2670">
        <v>21.38</v>
      </c>
      <c r="AR2670">
        <v>0</v>
      </c>
      <c r="AS2670">
        <v>0</v>
      </c>
      <c r="AT2670">
        <v>0</v>
      </c>
      <c r="AU2670">
        <v>0</v>
      </c>
      <c r="AV2670">
        <v>0</v>
      </c>
      <c r="AW2670">
        <v>0</v>
      </c>
      <c r="AX2670">
        <v>0</v>
      </c>
      <c r="AY2670">
        <v>0</v>
      </c>
      <c r="AZ2670">
        <v>0</v>
      </c>
      <c r="BA2670">
        <v>0</v>
      </c>
      <c r="BB2670">
        <v>0</v>
      </c>
      <c r="BC2670">
        <v>0</v>
      </c>
      <c r="BD2670">
        <v>0</v>
      </c>
      <c r="BE2670">
        <v>0</v>
      </c>
      <c r="BF2670">
        <v>0</v>
      </c>
      <c r="BG2670">
        <v>0</v>
      </c>
      <c r="BH2670">
        <v>1</v>
      </c>
      <c r="BI2670">
        <v>1</v>
      </c>
      <c r="BJ2670">
        <v>0.2</v>
      </c>
      <c r="BK2670">
        <v>1</v>
      </c>
      <c r="BL2670">
        <v>69.98</v>
      </c>
      <c r="BM2670">
        <v>10.5</v>
      </c>
      <c r="BN2670">
        <v>80.48</v>
      </c>
      <c r="BO2670">
        <v>80.48</v>
      </c>
      <c r="BQ2670" t="s">
        <v>835</v>
      </c>
      <c r="BR2670" t="s">
        <v>84</v>
      </c>
      <c r="BS2670" s="3">
        <v>45799</v>
      </c>
      <c r="BT2670" s="4">
        <v>0.37916666666666665</v>
      </c>
      <c r="BU2670" t="s">
        <v>2836</v>
      </c>
      <c r="BV2670" t="s">
        <v>86</v>
      </c>
      <c r="BY2670">
        <v>1200</v>
      </c>
      <c r="CA2670" t="s">
        <v>258</v>
      </c>
      <c r="CC2670" t="s">
        <v>233</v>
      </c>
      <c r="CD2670" s="5" t="s">
        <v>238</v>
      </c>
      <c r="CE2670" t="s">
        <v>88</v>
      </c>
      <c r="CF2670" s="3">
        <v>45805</v>
      </c>
      <c r="CI2670">
        <v>1</v>
      </c>
      <c r="CJ2670">
        <v>1</v>
      </c>
      <c r="CK2670">
        <v>21</v>
      </c>
      <c r="CL2670" t="s">
        <v>89</v>
      </c>
    </row>
    <row r="2671" spans="1:90" x14ac:dyDescent="0.3">
      <c r="A2671" t="s">
        <v>72</v>
      </c>
      <c r="B2671" t="s">
        <v>73</v>
      </c>
      <c r="C2671" t="s">
        <v>74</v>
      </c>
      <c r="E2671" t="str">
        <f>"080065492948"</f>
        <v>080065492948</v>
      </c>
      <c r="F2671" s="3">
        <v>45798</v>
      </c>
      <c r="G2671">
        <v>202602</v>
      </c>
      <c r="H2671" t="s">
        <v>75</v>
      </c>
      <c r="I2671" t="s">
        <v>76</v>
      </c>
      <c r="J2671" t="s">
        <v>77</v>
      </c>
      <c r="K2671" t="s">
        <v>78</v>
      </c>
      <c r="L2671" t="s">
        <v>350</v>
      </c>
      <c r="M2671" t="s">
        <v>351</v>
      </c>
      <c r="N2671" t="s">
        <v>459</v>
      </c>
      <c r="O2671" t="s">
        <v>82</v>
      </c>
      <c r="P2671" t="str">
        <f>"4170039815                    "</f>
        <v xml:space="preserve">4170039815                    </v>
      </c>
      <c r="Q2671">
        <v>0</v>
      </c>
      <c r="R2671">
        <v>0</v>
      </c>
      <c r="S2671">
        <v>0</v>
      </c>
      <c r="T2671">
        <v>0</v>
      </c>
      <c r="U2671">
        <v>0</v>
      </c>
      <c r="V2671">
        <v>0</v>
      </c>
      <c r="W2671">
        <v>0</v>
      </c>
      <c r="X2671">
        <v>0</v>
      </c>
      <c r="Y2671">
        <v>0</v>
      </c>
      <c r="Z2671">
        <v>0</v>
      </c>
      <c r="AA2671">
        <v>0</v>
      </c>
      <c r="AB2671">
        <v>0</v>
      </c>
      <c r="AC2671">
        <v>0</v>
      </c>
      <c r="AD2671">
        <v>0</v>
      </c>
      <c r="AE2671">
        <v>0</v>
      </c>
      <c r="AF2671">
        <v>0</v>
      </c>
      <c r="AG2671">
        <v>0</v>
      </c>
      <c r="AH2671">
        <v>0</v>
      </c>
      <c r="AI2671">
        <v>0</v>
      </c>
      <c r="AJ2671">
        <v>0</v>
      </c>
      <c r="AK2671">
        <v>0</v>
      </c>
      <c r="AL2671">
        <v>0</v>
      </c>
      <c r="AM2671">
        <v>0</v>
      </c>
      <c r="AN2671">
        <v>0</v>
      </c>
      <c r="AO2671">
        <v>0</v>
      </c>
      <c r="AP2671">
        <v>0</v>
      </c>
      <c r="AQ2671">
        <v>21.38</v>
      </c>
      <c r="AR2671">
        <v>0</v>
      </c>
      <c r="AS2671">
        <v>0</v>
      </c>
      <c r="AT2671">
        <v>0</v>
      </c>
      <c r="AU2671">
        <v>0</v>
      </c>
      <c r="AV2671">
        <v>0</v>
      </c>
      <c r="AW2671">
        <v>0</v>
      </c>
      <c r="AX2671">
        <v>0</v>
      </c>
      <c r="AY2671">
        <v>0</v>
      </c>
      <c r="AZ2671">
        <v>0</v>
      </c>
      <c r="BA2671">
        <v>0</v>
      </c>
      <c r="BB2671">
        <v>0</v>
      </c>
      <c r="BC2671">
        <v>0</v>
      </c>
      <c r="BD2671">
        <v>0</v>
      </c>
      <c r="BE2671">
        <v>0</v>
      </c>
      <c r="BF2671">
        <v>0</v>
      </c>
      <c r="BG2671">
        <v>0</v>
      </c>
      <c r="BH2671">
        <v>1</v>
      </c>
      <c r="BI2671">
        <v>1</v>
      </c>
      <c r="BJ2671">
        <v>0.2</v>
      </c>
      <c r="BK2671">
        <v>1</v>
      </c>
      <c r="BL2671">
        <v>69.98</v>
      </c>
      <c r="BM2671">
        <v>10.5</v>
      </c>
      <c r="BN2671">
        <v>80.48</v>
      </c>
      <c r="BO2671">
        <v>80.48</v>
      </c>
      <c r="BQ2671" t="s">
        <v>460</v>
      </c>
      <c r="BR2671" t="s">
        <v>84</v>
      </c>
      <c r="BS2671" s="3">
        <v>45799</v>
      </c>
      <c r="BT2671" s="4">
        <v>0.33611111111111114</v>
      </c>
      <c r="BU2671" t="s">
        <v>461</v>
      </c>
      <c r="BV2671" t="s">
        <v>86</v>
      </c>
      <c r="BY2671">
        <v>1200</v>
      </c>
      <c r="CA2671" t="s">
        <v>462</v>
      </c>
      <c r="CC2671" t="s">
        <v>351</v>
      </c>
      <c r="CD2671">
        <v>4000</v>
      </c>
      <c r="CE2671" t="s">
        <v>88</v>
      </c>
      <c r="CF2671" s="3">
        <v>45799</v>
      </c>
      <c r="CI2671">
        <v>1</v>
      </c>
      <c r="CJ2671">
        <v>1</v>
      </c>
      <c r="CK2671">
        <v>21</v>
      </c>
      <c r="CL2671" t="s">
        <v>89</v>
      </c>
    </row>
    <row r="2672" spans="1:90" x14ac:dyDescent="0.3">
      <c r="A2672" t="s">
        <v>72</v>
      </c>
      <c r="B2672" t="s">
        <v>73</v>
      </c>
      <c r="C2672" t="s">
        <v>74</v>
      </c>
      <c r="E2672" t="str">
        <f>"080065492953"</f>
        <v>080065492953</v>
      </c>
      <c r="F2672" s="3">
        <v>45798</v>
      </c>
      <c r="G2672">
        <v>202602</v>
      </c>
      <c r="H2672" t="s">
        <v>75</v>
      </c>
      <c r="I2672" t="s">
        <v>76</v>
      </c>
      <c r="J2672" t="s">
        <v>77</v>
      </c>
      <c r="K2672" t="s">
        <v>78</v>
      </c>
      <c r="L2672" t="s">
        <v>567</v>
      </c>
      <c r="M2672" t="s">
        <v>568</v>
      </c>
      <c r="N2672" t="s">
        <v>2837</v>
      </c>
      <c r="O2672" t="s">
        <v>82</v>
      </c>
      <c r="P2672" t="str">
        <f>"4170039821                    "</f>
        <v xml:space="preserve">4170039821                    </v>
      </c>
      <c r="Q2672">
        <v>0</v>
      </c>
      <c r="R2672">
        <v>0</v>
      </c>
      <c r="S2672">
        <v>0</v>
      </c>
      <c r="T2672">
        <v>0</v>
      </c>
      <c r="U2672">
        <v>0</v>
      </c>
      <c r="V2672">
        <v>0</v>
      </c>
      <c r="W2672">
        <v>0</v>
      </c>
      <c r="X2672">
        <v>0</v>
      </c>
      <c r="Y2672">
        <v>0</v>
      </c>
      <c r="Z2672">
        <v>0</v>
      </c>
      <c r="AA2672">
        <v>0</v>
      </c>
      <c r="AB2672">
        <v>0</v>
      </c>
      <c r="AC2672">
        <v>0</v>
      </c>
      <c r="AD2672">
        <v>0</v>
      </c>
      <c r="AE2672">
        <v>0</v>
      </c>
      <c r="AF2672">
        <v>0</v>
      </c>
      <c r="AG2672">
        <v>0</v>
      </c>
      <c r="AH2672">
        <v>0</v>
      </c>
      <c r="AI2672">
        <v>0</v>
      </c>
      <c r="AJ2672">
        <v>0</v>
      </c>
      <c r="AK2672">
        <v>0</v>
      </c>
      <c r="AL2672">
        <v>0</v>
      </c>
      <c r="AM2672">
        <v>0</v>
      </c>
      <c r="AN2672">
        <v>0</v>
      </c>
      <c r="AO2672">
        <v>0</v>
      </c>
      <c r="AP2672">
        <v>0</v>
      </c>
      <c r="AQ2672">
        <v>60.14</v>
      </c>
      <c r="AR2672">
        <v>0</v>
      </c>
      <c r="AS2672">
        <v>0</v>
      </c>
      <c r="AT2672">
        <v>0</v>
      </c>
      <c r="AU2672">
        <v>0</v>
      </c>
      <c r="AV2672">
        <v>0</v>
      </c>
      <c r="AW2672">
        <v>0</v>
      </c>
      <c r="AX2672">
        <v>0</v>
      </c>
      <c r="AY2672">
        <v>0</v>
      </c>
      <c r="AZ2672">
        <v>0</v>
      </c>
      <c r="BA2672">
        <v>0</v>
      </c>
      <c r="BB2672">
        <v>0</v>
      </c>
      <c r="BC2672">
        <v>0</v>
      </c>
      <c r="BD2672">
        <v>0</v>
      </c>
      <c r="BE2672">
        <v>0</v>
      </c>
      <c r="BF2672">
        <v>0</v>
      </c>
      <c r="BG2672">
        <v>0</v>
      </c>
      <c r="BH2672">
        <v>1</v>
      </c>
      <c r="BI2672">
        <v>3</v>
      </c>
      <c r="BJ2672">
        <v>1.7</v>
      </c>
      <c r="BK2672">
        <v>3</v>
      </c>
      <c r="BL2672">
        <v>196.82</v>
      </c>
      <c r="BM2672">
        <v>29.52</v>
      </c>
      <c r="BN2672">
        <v>226.34</v>
      </c>
      <c r="BO2672">
        <v>226.34</v>
      </c>
      <c r="BQ2672" t="s">
        <v>2838</v>
      </c>
      <c r="BR2672" t="s">
        <v>84</v>
      </c>
      <c r="BS2672" s="3">
        <v>45799</v>
      </c>
      <c r="BT2672" s="4">
        <v>0.4152777777777778</v>
      </c>
      <c r="BU2672" t="s">
        <v>2839</v>
      </c>
      <c r="BV2672" t="s">
        <v>86</v>
      </c>
      <c r="BY2672">
        <v>8512</v>
      </c>
      <c r="CC2672" t="s">
        <v>568</v>
      </c>
      <c r="CD2672" s="5" t="s">
        <v>573</v>
      </c>
      <c r="CE2672" t="s">
        <v>116</v>
      </c>
      <c r="CF2672" s="3">
        <v>45800</v>
      </c>
      <c r="CI2672">
        <v>1</v>
      </c>
      <c r="CJ2672">
        <v>1</v>
      </c>
      <c r="CK2672">
        <v>23</v>
      </c>
      <c r="CL2672" t="s">
        <v>89</v>
      </c>
    </row>
    <row r="2673" spans="1:90" x14ac:dyDescent="0.3">
      <c r="A2673" t="s">
        <v>72</v>
      </c>
      <c r="B2673" t="s">
        <v>73</v>
      </c>
      <c r="C2673" t="s">
        <v>74</v>
      </c>
      <c r="E2673" t="str">
        <f>"080065492958"</f>
        <v>080065492958</v>
      </c>
      <c r="F2673" s="3">
        <v>45798</v>
      </c>
      <c r="G2673">
        <v>202602</v>
      </c>
      <c r="H2673" t="s">
        <v>75</v>
      </c>
      <c r="I2673" t="s">
        <v>76</v>
      </c>
      <c r="J2673" t="s">
        <v>77</v>
      </c>
      <c r="K2673" t="s">
        <v>78</v>
      </c>
      <c r="L2673" t="s">
        <v>222</v>
      </c>
      <c r="M2673" t="s">
        <v>223</v>
      </c>
      <c r="N2673" t="s">
        <v>1369</v>
      </c>
      <c r="O2673" t="s">
        <v>82</v>
      </c>
      <c r="P2673" t="str">
        <f>"4170039875                    "</f>
        <v xml:space="preserve">4170039875                    </v>
      </c>
      <c r="Q2673">
        <v>0</v>
      </c>
      <c r="R2673">
        <v>0</v>
      </c>
      <c r="S2673">
        <v>0</v>
      </c>
      <c r="T2673">
        <v>0</v>
      </c>
      <c r="U2673">
        <v>0</v>
      </c>
      <c r="V2673">
        <v>0</v>
      </c>
      <c r="W2673">
        <v>0</v>
      </c>
      <c r="X2673">
        <v>0</v>
      </c>
      <c r="Y2673">
        <v>0</v>
      </c>
      <c r="Z2673">
        <v>0</v>
      </c>
      <c r="AA2673">
        <v>0</v>
      </c>
      <c r="AB2673">
        <v>0</v>
      </c>
      <c r="AC2673">
        <v>0</v>
      </c>
      <c r="AD2673">
        <v>0</v>
      </c>
      <c r="AE2673">
        <v>0</v>
      </c>
      <c r="AF2673">
        <v>0</v>
      </c>
      <c r="AG2673">
        <v>0</v>
      </c>
      <c r="AH2673">
        <v>0</v>
      </c>
      <c r="AI2673">
        <v>0</v>
      </c>
      <c r="AJ2673">
        <v>0</v>
      </c>
      <c r="AK2673">
        <v>0</v>
      </c>
      <c r="AL2673">
        <v>0</v>
      </c>
      <c r="AM2673">
        <v>0</v>
      </c>
      <c r="AN2673">
        <v>0</v>
      </c>
      <c r="AO2673">
        <v>0</v>
      </c>
      <c r="AP2673">
        <v>0</v>
      </c>
      <c r="AQ2673">
        <v>30.07</v>
      </c>
      <c r="AR2673">
        <v>0</v>
      </c>
      <c r="AS2673">
        <v>0</v>
      </c>
      <c r="AT2673">
        <v>0</v>
      </c>
      <c r="AU2673">
        <v>0</v>
      </c>
      <c r="AV2673">
        <v>0</v>
      </c>
      <c r="AW2673">
        <v>0</v>
      </c>
      <c r="AX2673">
        <v>0</v>
      </c>
      <c r="AY2673">
        <v>0</v>
      </c>
      <c r="AZ2673">
        <v>0</v>
      </c>
      <c r="BA2673">
        <v>0</v>
      </c>
      <c r="BB2673">
        <v>0</v>
      </c>
      <c r="BC2673">
        <v>0</v>
      </c>
      <c r="BD2673">
        <v>0</v>
      </c>
      <c r="BE2673">
        <v>0</v>
      </c>
      <c r="BF2673">
        <v>0</v>
      </c>
      <c r="BG2673">
        <v>0</v>
      </c>
      <c r="BH2673">
        <v>1</v>
      </c>
      <c r="BI2673">
        <v>1</v>
      </c>
      <c r="BJ2673">
        <v>0.2</v>
      </c>
      <c r="BK2673">
        <v>1</v>
      </c>
      <c r="BL2673">
        <v>98.42</v>
      </c>
      <c r="BM2673">
        <v>14.76</v>
      </c>
      <c r="BN2673">
        <v>113.18</v>
      </c>
      <c r="BO2673">
        <v>113.18</v>
      </c>
      <c r="BQ2673" t="s">
        <v>1370</v>
      </c>
      <c r="BR2673" t="s">
        <v>84</v>
      </c>
      <c r="BS2673" s="3">
        <v>45799</v>
      </c>
      <c r="BT2673" s="4">
        <v>0.33611111111111114</v>
      </c>
      <c r="BU2673" t="s">
        <v>2840</v>
      </c>
      <c r="BV2673" t="s">
        <v>86</v>
      </c>
      <c r="BY2673">
        <v>1200</v>
      </c>
      <c r="CA2673" t="s">
        <v>592</v>
      </c>
      <c r="CC2673" t="s">
        <v>223</v>
      </c>
      <c r="CD2673">
        <v>1748</v>
      </c>
      <c r="CE2673" t="s">
        <v>88</v>
      </c>
      <c r="CF2673" s="3">
        <v>45799</v>
      </c>
      <c r="CI2673">
        <v>1</v>
      </c>
      <c r="CJ2673">
        <v>1</v>
      </c>
      <c r="CK2673">
        <v>24</v>
      </c>
      <c r="CL2673" t="s">
        <v>89</v>
      </c>
    </row>
    <row r="2674" spans="1:90" x14ac:dyDescent="0.3">
      <c r="A2674" t="s">
        <v>72</v>
      </c>
      <c r="B2674" t="s">
        <v>73</v>
      </c>
      <c r="C2674" t="s">
        <v>74</v>
      </c>
      <c r="E2674" t="str">
        <f>"080065492979"</f>
        <v>080065492979</v>
      </c>
      <c r="F2674" s="3">
        <v>45798</v>
      </c>
      <c r="G2674">
        <v>202602</v>
      </c>
      <c r="H2674" t="s">
        <v>75</v>
      </c>
      <c r="I2674" t="s">
        <v>76</v>
      </c>
      <c r="J2674" t="s">
        <v>77</v>
      </c>
      <c r="K2674" t="s">
        <v>78</v>
      </c>
      <c r="L2674" t="s">
        <v>350</v>
      </c>
      <c r="M2674" t="s">
        <v>351</v>
      </c>
      <c r="N2674" t="s">
        <v>2841</v>
      </c>
      <c r="O2674" t="s">
        <v>82</v>
      </c>
      <c r="P2674" t="str">
        <f>"4170039927                    "</f>
        <v xml:space="preserve">4170039927                    </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0</v>
      </c>
      <c r="AJ2674">
        <v>0</v>
      </c>
      <c r="AK2674">
        <v>0</v>
      </c>
      <c r="AL2674">
        <v>0</v>
      </c>
      <c r="AM2674">
        <v>0</v>
      </c>
      <c r="AN2674">
        <v>0</v>
      </c>
      <c r="AO2674">
        <v>0</v>
      </c>
      <c r="AP2674">
        <v>0</v>
      </c>
      <c r="AQ2674">
        <v>64.12</v>
      </c>
      <c r="AR2674">
        <v>0</v>
      </c>
      <c r="AS2674">
        <v>0</v>
      </c>
      <c r="AT2674">
        <v>0</v>
      </c>
      <c r="AU2674">
        <v>0</v>
      </c>
      <c r="AV2674">
        <v>0</v>
      </c>
      <c r="AW2674">
        <v>0</v>
      </c>
      <c r="AX2674">
        <v>0</v>
      </c>
      <c r="AY2674">
        <v>0</v>
      </c>
      <c r="AZ2674">
        <v>0</v>
      </c>
      <c r="BA2674">
        <v>0</v>
      </c>
      <c r="BB2674">
        <v>0</v>
      </c>
      <c r="BC2674">
        <v>0</v>
      </c>
      <c r="BD2674">
        <v>0</v>
      </c>
      <c r="BE2674">
        <v>0</v>
      </c>
      <c r="BF2674">
        <v>0</v>
      </c>
      <c r="BG2674">
        <v>0</v>
      </c>
      <c r="BH2674">
        <v>1</v>
      </c>
      <c r="BI2674">
        <v>6</v>
      </c>
      <c r="BJ2674">
        <v>3.5</v>
      </c>
      <c r="BK2674">
        <v>6</v>
      </c>
      <c r="BL2674">
        <v>209.84</v>
      </c>
      <c r="BM2674">
        <v>31.48</v>
      </c>
      <c r="BN2674">
        <v>241.32</v>
      </c>
      <c r="BO2674">
        <v>241.32</v>
      </c>
      <c r="BQ2674" t="s">
        <v>2842</v>
      </c>
      <c r="BR2674" t="s">
        <v>84</v>
      </c>
      <c r="BS2674" s="3">
        <v>45799</v>
      </c>
      <c r="BT2674" s="4">
        <v>0.60763888888888884</v>
      </c>
      <c r="BU2674" t="s">
        <v>2843</v>
      </c>
      <c r="BV2674" t="s">
        <v>89</v>
      </c>
      <c r="BW2674" t="s">
        <v>434</v>
      </c>
      <c r="BX2674" t="s">
        <v>435</v>
      </c>
      <c r="BY2674">
        <v>17328</v>
      </c>
      <c r="CA2674" t="s">
        <v>436</v>
      </c>
      <c r="CC2674" t="s">
        <v>351</v>
      </c>
      <c r="CD2674">
        <v>4060</v>
      </c>
      <c r="CE2674" t="s">
        <v>221</v>
      </c>
      <c r="CF2674" s="3">
        <v>45799</v>
      </c>
      <c r="CI2674">
        <v>1</v>
      </c>
      <c r="CJ2674">
        <v>1</v>
      </c>
      <c r="CK2674">
        <v>21</v>
      </c>
      <c r="CL2674" t="s">
        <v>89</v>
      </c>
    </row>
    <row r="2675" spans="1:90" x14ac:dyDescent="0.3">
      <c r="A2675" t="s">
        <v>72</v>
      </c>
      <c r="B2675" t="s">
        <v>73</v>
      </c>
      <c r="C2675" t="s">
        <v>74</v>
      </c>
      <c r="E2675" t="str">
        <f>"080065492984"</f>
        <v>080065492984</v>
      </c>
      <c r="F2675" s="3">
        <v>45798</v>
      </c>
      <c r="G2675">
        <v>202602</v>
      </c>
      <c r="H2675" t="s">
        <v>75</v>
      </c>
      <c r="I2675" t="s">
        <v>76</v>
      </c>
      <c r="J2675" t="s">
        <v>77</v>
      </c>
      <c r="K2675" t="s">
        <v>78</v>
      </c>
      <c r="L2675" t="s">
        <v>489</v>
      </c>
      <c r="M2675" t="s">
        <v>490</v>
      </c>
      <c r="N2675" t="s">
        <v>491</v>
      </c>
      <c r="O2675" t="s">
        <v>82</v>
      </c>
      <c r="P2675" t="str">
        <f>"4170039929                    "</f>
        <v xml:space="preserve">4170039929                    </v>
      </c>
      <c r="Q2675">
        <v>0</v>
      </c>
      <c r="R2675">
        <v>0</v>
      </c>
      <c r="S2675">
        <v>0</v>
      </c>
      <c r="T2675">
        <v>0</v>
      </c>
      <c r="U2675">
        <v>0</v>
      </c>
      <c r="V2675">
        <v>0</v>
      </c>
      <c r="W2675">
        <v>0</v>
      </c>
      <c r="X2675">
        <v>0</v>
      </c>
      <c r="Y2675">
        <v>0</v>
      </c>
      <c r="Z2675">
        <v>0</v>
      </c>
      <c r="AA2675">
        <v>0</v>
      </c>
      <c r="AB2675">
        <v>0</v>
      </c>
      <c r="AC2675">
        <v>0</v>
      </c>
      <c r="AD2675">
        <v>0</v>
      </c>
      <c r="AE2675">
        <v>0</v>
      </c>
      <c r="AF2675">
        <v>0</v>
      </c>
      <c r="AG2675">
        <v>0</v>
      </c>
      <c r="AH2675">
        <v>0</v>
      </c>
      <c r="AI2675">
        <v>0</v>
      </c>
      <c r="AJ2675">
        <v>0</v>
      </c>
      <c r="AK2675">
        <v>0</v>
      </c>
      <c r="AL2675">
        <v>0</v>
      </c>
      <c r="AM2675">
        <v>0</v>
      </c>
      <c r="AN2675">
        <v>0</v>
      </c>
      <c r="AO2675">
        <v>0</v>
      </c>
      <c r="AP2675">
        <v>0</v>
      </c>
      <c r="AQ2675">
        <v>41.43</v>
      </c>
      <c r="AR2675">
        <v>0</v>
      </c>
      <c r="AS2675">
        <v>0</v>
      </c>
      <c r="AT2675">
        <v>0</v>
      </c>
      <c r="AU2675">
        <v>0</v>
      </c>
      <c r="AV2675">
        <v>0</v>
      </c>
      <c r="AW2675">
        <v>0</v>
      </c>
      <c r="AX2675">
        <v>0</v>
      </c>
      <c r="AY2675">
        <v>0</v>
      </c>
      <c r="AZ2675">
        <v>0</v>
      </c>
      <c r="BA2675">
        <v>0</v>
      </c>
      <c r="BB2675">
        <v>0</v>
      </c>
      <c r="BC2675">
        <v>0</v>
      </c>
      <c r="BD2675">
        <v>0</v>
      </c>
      <c r="BE2675">
        <v>0</v>
      </c>
      <c r="BF2675">
        <v>0</v>
      </c>
      <c r="BG2675">
        <v>0</v>
      </c>
      <c r="BH2675">
        <v>1</v>
      </c>
      <c r="BI2675">
        <v>1</v>
      </c>
      <c r="BJ2675">
        <v>0.2</v>
      </c>
      <c r="BK2675">
        <v>1</v>
      </c>
      <c r="BL2675">
        <v>135.59</v>
      </c>
      <c r="BM2675">
        <v>20.34</v>
      </c>
      <c r="BN2675">
        <v>155.93</v>
      </c>
      <c r="BO2675">
        <v>155.93</v>
      </c>
      <c r="BQ2675" t="s">
        <v>492</v>
      </c>
      <c r="BR2675" t="s">
        <v>84</v>
      </c>
      <c r="BS2675" s="3">
        <v>45799</v>
      </c>
      <c r="BT2675" s="4">
        <v>0.36041666666666666</v>
      </c>
      <c r="BU2675" t="s">
        <v>2530</v>
      </c>
      <c r="BV2675" t="s">
        <v>86</v>
      </c>
      <c r="BY2675">
        <v>1200</v>
      </c>
      <c r="CA2675" t="s">
        <v>913</v>
      </c>
      <c r="CC2675" t="s">
        <v>490</v>
      </c>
      <c r="CD2675">
        <v>2740</v>
      </c>
      <c r="CE2675" t="s">
        <v>88</v>
      </c>
      <c r="CF2675" s="3">
        <v>45800</v>
      </c>
      <c r="CI2675">
        <v>1</v>
      </c>
      <c r="CJ2675">
        <v>1</v>
      </c>
      <c r="CK2675">
        <v>23</v>
      </c>
      <c r="CL2675" t="s">
        <v>89</v>
      </c>
    </row>
    <row r="2676" spans="1:90" x14ac:dyDescent="0.3">
      <c r="A2676" t="s">
        <v>72</v>
      </c>
      <c r="B2676" t="s">
        <v>73</v>
      </c>
      <c r="C2676" t="s">
        <v>74</v>
      </c>
      <c r="E2676" t="str">
        <f>"080065493005"</f>
        <v>080065493005</v>
      </c>
      <c r="F2676" s="3">
        <v>45798</v>
      </c>
      <c r="G2676">
        <v>202602</v>
      </c>
      <c r="H2676" t="s">
        <v>75</v>
      </c>
      <c r="I2676" t="s">
        <v>76</v>
      </c>
      <c r="J2676" t="s">
        <v>77</v>
      </c>
      <c r="K2676" t="s">
        <v>78</v>
      </c>
      <c r="L2676" t="s">
        <v>130</v>
      </c>
      <c r="M2676" t="s">
        <v>131</v>
      </c>
      <c r="N2676" t="s">
        <v>1066</v>
      </c>
      <c r="O2676" t="s">
        <v>82</v>
      </c>
      <c r="P2676" t="str">
        <f>"4170039941                    "</f>
        <v xml:space="preserve">4170039941                    </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0</v>
      </c>
      <c r="AJ2676">
        <v>0</v>
      </c>
      <c r="AK2676">
        <v>0</v>
      </c>
      <c r="AL2676">
        <v>0</v>
      </c>
      <c r="AM2676">
        <v>0</v>
      </c>
      <c r="AN2676">
        <v>0</v>
      </c>
      <c r="AO2676">
        <v>0</v>
      </c>
      <c r="AP2676">
        <v>0</v>
      </c>
      <c r="AQ2676">
        <v>21.38</v>
      </c>
      <c r="AR2676">
        <v>0</v>
      </c>
      <c r="AS2676">
        <v>0</v>
      </c>
      <c r="AT2676">
        <v>0</v>
      </c>
      <c r="AU2676">
        <v>0</v>
      </c>
      <c r="AV2676">
        <v>0</v>
      </c>
      <c r="AW2676">
        <v>0</v>
      </c>
      <c r="AX2676">
        <v>0</v>
      </c>
      <c r="AY2676">
        <v>0</v>
      </c>
      <c r="AZ2676">
        <v>0</v>
      </c>
      <c r="BA2676">
        <v>0</v>
      </c>
      <c r="BB2676">
        <v>0</v>
      </c>
      <c r="BC2676">
        <v>0</v>
      </c>
      <c r="BD2676">
        <v>0</v>
      </c>
      <c r="BE2676">
        <v>0</v>
      </c>
      <c r="BF2676">
        <v>0</v>
      </c>
      <c r="BG2676">
        <v>0</v>
      </c>
      <c r="BH2676">
        <v>1</v>
      </c>
      <c r="BI2676">
        <v>1</v>
      </c>
      <c r="BJ2676">
        <v>0.2</v>
      </c>
      <c r="BK2676">
        <v>1</v>
      </c>
      <c r="BL2676">
        <v>69.98</v>
      </c>
      <c r="BM2676">
        <v>10.5</v>
      </c>
      <c r="BN2676">
        <v>80.48</v>
      </c>
      <c r="BO2676">
        <v>80.48</v>
      </c>
      <c r="BQ2676" t="s">
        <v>1067</v>
      </c>
      <c r="BR2676" t="s">
        <v>84</v>
      </c>
      <c r="BS2676" s="3">
        <v>45799</v>
      </c>
      <c r="BT2676" s="4">
        <v>0.39930555555555558</v>
      </c>
      <c r="BU2676" t="s">
        <v>1202</v>
      </c>
      <c r="BV2676" t="s">
        <v>86</v>
      </c>
      <c r="BY2676">
        <v>1200</v>
      </c>
      <c r="CA2676" t="s">
        <v>712</v>
      </c>
      <c r="CC2676" t="s">
        <v>131</v>
      </c>
      <c r="CD2676">
        <v>7561</v>
      </c>
      <c r="CE2676" t="s">
        <v>88</v>
      </c>
      <c r="CF2676" s="3">
        <v>45800</v>
      </c>
      <c r="CI2676">
        <v>1</v>
      </c>
      <c r="CJ2676">
        <v>1</v>
      </c>
      <c r="CK2676">
        <v>21</v>
      </c>
      <c r="CL2676" t="s">
        <v>89</v>
      </c>
    </row>
    <row r="2677" spans="1:90" x14ac:dyDescent="0.3">
      <c r="A2677" t="s">
        <v>72</v>
      </c>
      <c r="B2677" t="s">
        <v>73</v>
      </c>
      <c r="C2677" t="s">
        <v>74</v>
      </c>
      <c r="E2677" t="str">
        <f>"080065493007"</f>
        <v>080065493007</v>
      </c>
      <c r="F2677" s="3">
        <v>45798</v>
      </c>
      <c r="G2677">
        <v>202602</v>
      </c>
      <c r="H2677" t="s">
        <v>75</v>
      </c>
      <c r="I2677" t="s">
        <v>76</v>
      </c>
      <c r="J2677" t="s">
        <v>77</v>
      </c>
      <c r="K2677" t="s">
        <v>78</v>
      </c>
      <c r="L2677" t="s">
        <v>123</v>
      </c>
      <c r="M2677" t="s">
        <v>123</v>
      </c>
      <c r="N2677" t="s">
        <v>766</v>
      </c>
      <c r="O2677" t="s">
        <v>82</v>
      </c>
      <c r="P2677" t="str">
        <f>"4170039802                    "</f>
        <v xml:space="preserve">4170039802                    </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0</v>
      </c>
      <c r="AJ2677">
        <v>0</v>
      </c>
      <c r="AK2677">
        <v>0</v>
      </c>
      <c r="AL2677">
        <v>0</v>
      </c>
      <c r="AM2677">
        <v>0</v>
      </c>
      <c r="AN2677">
        <v>0</v>
      </c>
      <c r="AO2677">
        <v>0</v>
      </c>
      <c r="AP2677">
        <v>0</v>
      </c>
      <c r="AQ2677">
        <v>78.849999999999994</v>
      </c>
      <c r="AR2677">
        <v>0</v>
      </c>
      <c r="AS2677">
        <v>0</v>
      </c>
      <c r="AT2677">
        <v>0</v>
      </c>
      <c r="AU2677">
        <v>0</v>
      </c>
      <c r="AV2677">
        <v>0</v>
      </c>
      <c r="AW2677">
        <v>0</v>
      </c>
      <c r="AX2677">
        <v>0</v>
      </c>
      <c r="AY2677">
        <v>0</v>
      </c>
      <c r="AZ2677">
        <v>0</v>
      </c>
      <c r="BA2677">
        <v>0</v>
      </c>
      <c r="BB2677">
        <v>0</v>
      </c>
      <c r="BC2677">
        <v>0</v>
      </c>
      <c r="BD2677">
        <v>0</v>
      </c>
      <c r="BE2677">
        <v>0</v>
      </c>
      <c r="BF2677">
        <v>0</v>
      </c>
      <c r="BG2677">
        <v>0</v>
      </c>
      <c r="BH2677">
        <v>1</v>
      </c>
      <c r="BI2677">
        <v>4</v>
      </c>
      <c r="BJ2677">
        <v>1.9</v>
      </c>
      <c r="BK2677">
        <v>4</v>
      </c>
      <c r="BL2677">
        <v>258.05</v>
      </c>
      <c r="BM2677">
        <v>38.71</v>
      </c>
      <c r="BN2677">
        <v>296.76</v>
      </c>
      <c r="BO2677">
        <v>296.76</v>
      </c>
      <c r="BQ2677" t="s">
        <v>767</v>
      </c>
      <c r="BR2677" t="s">
        <v>84</v>
      </c>
      <c r="BS2677" s="3">
        <v>45799</v>
      </c>
      <c r="BT2677" s="4">
        <v>0.50277777777777777</v>
      </c>
      <c r="BU2677" t="s">
        <v>2823</v>
      </c>
      <c r="BV2677" t="s">
        <v>86</v>
      </c>
      <c r="BY2677">
        <v>9600</v>
      </c>
      <c r="CA2677" t="s">
        <v>128</v>
      </c>
      <c r="CC2677" t="s">
        <v>123</v>
      </c>
      <c r="CD2677">
        <v>7646</v>
      </c>
      <c r="CE2677" t="s">
        <v>221</v>
      </c>
      <c r="CF2677" s="3">
        <v>45800</v>
      </c>
      <c r="CI2677">
        <v>1</v>
      </c>
      <c r="CJ2677">
        <v>1</v>
      </c>
      <c r="CK2677">
        <v>23</v>
      </c>
      <c r="CL2677" t="s">
        <v>89</v>
      </c>
    </row>
    <row r="2678" spans="1:90" x14ac:dyDescent="0.3">
      <c r="A2678" t="s">
        <v>72</v>
      </c>
      <c r="B2678" t="s">
        <v>73</v>
      </c>
      <c r="C2678" t="s">
        <v>74</v>
      </c>
      <c r="E2678" t="str">
        <f>"080065493019"</f>
        <v>080065493019</v>
      </c>
      <c r="F2678" s="3">
        <v>45798</v>
      </c>
      <c r="G2678">
        <v>202602</v>
      </c>
      <c r="H2678" t="s">
        <v>75</v>
      </c>
      <c r="I2678" t="s">
        <v>76</v>
      </c>
      <c r="J2678" t="s">
        <v>77</v>
      </c>
      <c r="K2678" t="s">
        <v>78</v>
      </c>
      <c r="L2678" t="s">
        <v>90</v>
      </c>
      <c r="M2678" t="s">
        <v>91</v>
      </c>
      <c r="N2678" t="s">
        <v>563</v>
      </c>
      <c r="O2678" t="s">
        <v>82</v>
      </c>
      <c r="P2678" t="str">
        <f>"4170039854                    "</f>
        <v xml:space="preserve">4170039854                    </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0</v>
      </c>
      <c r="AJ2678">
        <v>0</v>
      </c>
      <c r="AK2678">
        <v>0</v>
      </c>
      <c r="AL2678">
        <v>0</v>
      </c>
      <c r="AM2678">
        <v>0</v>
      </c>
      <c r="AN2678">
        <v>0</v>
      </c>
      <c r="AO2678">
        <v>0</v>
      </c>
      <c r="AP2678">
        <v>0</v>
      </c>
      <c r="AQ2678">
        <v>21.38</v>
      </c>
      <c r="AR2678">
        <v>0</v>
      </c>
      <c r="AS2678">
        <v>0</v>
      </c>
      <c r="AT2678">
        <v>0</v>
      </c>
      <c r="AU2678">
        <v>0</v>
      </c>
      <c r="AV2678">
        <v>0</v>
      </c>
      <c r="AW2678">
        <v>0</v>
      </c>
      <c r="AX2678">
        <v>0</v>
      </c>
      <c r="AY2678">
        <v>0</v>
      </c>
      <c r="AZ2678">
        <v>0</v>
      </c>
      <c r="BA2678">
        <v>0</v>
      </c>
      <c r="BB2678">
        <v>0</v>
      </c>
      <c r="BC2678">
        <v>0</v>
      </c>
      <c r="BD2678">
        <v>0</v>
      </c>
      <c r="BE2678">
        <v>0</v>
      </c>
      <c r="BF2678">
        <v>0</v>
      </c>
      <c r="BG2678">
        <v>0</v>
      </c>
      <c r="BH2678">
        <v>1</v>
      </c>
      <c r="BI2678">
        <v>1</v>
      </c>
      <c r="BJ2678">
        <v>0.2</v>
      </c>
      <c r="BK2678">
        <v>1</v>
      </c>
      <c r="BL2678">
        <v>69.98</v>
      </c>
      <c r="BM2678">
        <v>10.5</v>
      </c>
      <c r="BN2678">
        <v>80.48</v>
      </c>
      <c r="BO2678">
        <v>80.48</v>
      </c>
      <c r="BQ2678" t="s">
        <v>564</v>
      </c>
      <c r="BR2678" t="s">
        <v>84</v>
      </c>
      <c r="BS2678" s="3">
        <v>45799</v>
      </c>
      <c r="BT2678" s="4">
        <v>0.34791666666666665</v>
      </c>
      <c r="BU2678" t="s">
        <v>2691</v>
      </c>
      <c r="BV2678" t="s">
        <v>86</v>
      </c>
      <c r="BY2678">
        <v>1200</v>
      </c>
      <c r="CA2678" t="s">
        <v>566</v>
      </c>
      <c r="CC2678" t="s">
        <v>91</v>
      </c>
      <c r="CD2678">
        <v>6001</v>
      </c>
      <c r="CE2678" t="s">
        <v>88</v>
      </c>
      <c r="CF2678" s="3">
        <v>45799</v>
      </c>
      <c r="CI2678">
        <v>1</v>
      </c>
      <c r="CJ2678">
        <v>1</v>
      </c>
      <c r="CK2678">
        <v>21</v>
      </c>
      <c r="CL2678" t="s">
        <v>89</v>
      </c>
    </row>
    <row r="2679" spans="1:90" x14ac:dyDescent="0.3">
      <c r="A2679" t="s">
        <v>72</v>
      </c>
      <c r="B2679" t="s">
        <v>73</v>
      </c>
      <c r="C2679" t="s">
        <v>74</v>
      </c>
      <c r="E2679" t="str">
        <f>"080065493032"</f>
        <v>080065493032</v>
      </c>
      <c r="F2679" s="3">
        <v>45798</v>
      </c>
      <c r="G2679">
        <v>202602</v>
      </c>
      <c r="H2679" t="s">
        <v>75</v>
      </c>
      <c r="I2679" t="s">
        <v>76</v>
      </c>
      <c r="J2679" t="s">
        <v>77</v>
      </c>
      <c r="K2679" t="s">
        <v>78</v>
      </c>
      <c r="L2679" t="s">
        <v>130</v>
      </c>
      <c r="M2679" t="s">
        <v>131</v>
      </c>
      <c r="N2679" t="s">
        <v>709</v>
      </c>
      <c r="O2679" t="s">
        <v>82</v>
      </c>
      <c r="P2679" t="str">
        <f>"4170039820                    "</f>
        <v xml:space="preserve">4170039820                    </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c r="AI2679">
        <v>0</v>
      </c>
      <c r="AJ2679">
        <v>0</v>
      </c>
      <c r="AK2679">
        <v>0</v>
      </c>
      <c r="AL2679">
        <v>0</v>
      </c>
      <c r="AM2679">
        <v>0</v>
      </c>
      <c r="AN2679">
        <v>0</v>
      </c>
      <c r="AO2679">
        <v>0</v>
      </c>
      <c r="AP2679">
        <v>0</v>
      </c>
      <c r="AQ2679">
        <v>53.43</v>
      </c>
      <c r="AR2679">
        <v>0</v>
      </c>
      <c r="AS2679">
        <v>0</v>
      </c>
      <c r="AT2679">
        <v>0</v>
      </c>
      <c r="AU2679">
        <v>0</v>
      </c>
      <c r="AV2679">
        <v>0</v>
      </c>
      <c r="AW2679">
        <v>0</v>
      </c>
      <c r="AX2679">
        <v>0</v>
      </c>
      <c r="AY2679">
        <v>0</v>
      </c>
      <c r="AZ2679">
        <v>0</v>
      </c>
      <c r="BA2679">
        <v>0</v>
      </c>
      <c r="BB2679">
        <v>0</v>
      </c>
      <c r="BC2679">
        <v>0</v>
      </c>
      <c r="BD2679">
        <v>0</v>
      </c>
      <c r="BE2679">
        <v>0</v>
      </c>
      <c r="BF2679">
        <v>0</v>
      </c>
      <c r="BG2679">
        <v>0</v>
      </c>
      <c r="BH2679">
        <v>1</v>
      </c>
      <c r="BI2679">
        <v>5</v>
      </c>
      <c r="BJ2679">
        <v>3</v>
      </c>
      <c r="BK2679">
        <v>5</v>
      </c>
      <c r="BL2679">
        <v>174.87</v>
      </c>
      <c r="BM2679">
        <v>26.23</v>
      </c>
      <c r="BN2679">
        <v>201.1</v>
      </c>
      <c r="BO2679">
        <v>201.1</v>
      </c>
      <c r="BQ2679" t="s">
        <v>710</v>
      </c>
      <c r="BR2679" t="s">
        <v>84</v>
      </c>
      <c r="BS2679" s="3">
        <v>45799</v>
      </c>
      <c r="BT2679" s="4">
        <v>0.34236111111111112</v>
      </c>
      <c r="BU2679" t="s">
        <v>711</v>
      </c>
      <c r="BV2679" t="s">
        <v>86</v>
      </c>
      <c r="BY2679">
        <v>15120</v>
      </c>
      <c r="CA2679" t="s">
        <v>712</v>
      </c>
      <c r="CC2679" t="s">
        <v>131</v>
      </c>
      <c r="CD2679">
        <v>7530</v>
      </c>
      <c r="CE2679" t="s">
        <v>221</v>
      </c>
      <c r="CF2679" s="3">
        <v>45800</v>
      </c>
      <c r="CI2679">
        <v>1</v>
      </c>
      <c r="CJ2679">
        <v>1</v>
      </c>
      <c r="CK2679">
        <v>21</v>
      </c>
      <c r="CL2679" t="s">
        <v>89</v>
      </c>
    </row>
    <row r="2680" spans="1:90" x14ac:dyDescent="0.3">
      <c r="A2680" t="s">
        <v>72</v>
      </c>
      <c r="B2680" t="s">
        <v>73</v>
      </c>
      <c r="C2680" t="s">
        <v>74</v>
      </c>
      <c r="E2680" t="str">
        <f>"080065493054"</f>
        <v>080065493054</v>
      </c>
      <c r="F2680" s="3">
        <v>45798</v>
      </c>
      <c r="G2680">
        <v>202602</v>
      </c>
      <c r="H2680" t="s">
        <v>75</v>
      </c>
      <c r="I2680" t="s">
        <v>76</v>
      </c>
      <c r="J2680" t="s">
        <v>77</v>
      </c>
      <c r="K2680" t="s">
        <v>78</v>
      </c>
      <c r="L2680" t="s">
        <v>350</v>
      </c>
      <c r="M2680" t="s">
        <v>351</v>
      </c>
      <c r="N2680" t="s">
        <v>678</v>
      </c>
      <c r="O2680" t="s">
        <v>82</v>
      </c>
      <c r="P2680" t="str">
        <f>"4170039905                    "</f>
        <v xml:space="preserve">4170039905                    </v>
      </c>
      <c r="Q2680">
        <v>0</v>
      </c>
      <c r="R2680">
        <v>0</v>
      </c>
      <c r="S2680">
        <v>0</v>
      </c>
      <c r="T2680">
        <v>0</v>
      </c>
      <c r="U2680">
        <v>0</v>
      </c>
      <c r="V2680">
        <v>0</v>
      </c>
      <c r="W2680">
        <v>0</v>
      </c>
      <c r="X2680">
        <v>0</v>
      </c>
      <c r="Y2680">
        <v>0</v>
      </c>
      <c r="Z2680">
        <v>0</v>
      </c>
      <c r="AA2680">
        <v>0</v>
      </c>
      <c r="AB2680">
        <v>0</v>
      </c>
      <c r="AC2680">
        <v>0</v>
      </c>
      <c r="AD2680">
        <v>0</v>
      </c>
      <c r="AE2680">
        <v>0</v>
      </c>
      <c r="AF2680">
        <v>0</v>
      </c>
      <c r="AG2680">
        <v>0</v>
      </c>
      <c r="AH2680">
        <v>0</v>
      </c>
      <c r="AI2680">
        <v>0</v>
      </c>
      <c r="AJ2680">
        <v>0</v>
      </c>
      <c r="AK2680">
        <v>0</v>
      </c>
      <c r="AL2680">
        <v>0</v>
      </c>
      <c r="AM2680">
        <v>0</v>
      </c>
      <c r="AN2680">
        <v>0</v>
      </c>
      <c r="AO2680">
        <v>0</v>
      </c>
      <c r="AP2680">
        <v>0</v>
      </c>
      <c r="AQ2680">
        <v>26.73</v>
      </c>
      <c r="AR2680">
        <v>0</v>
      </c>
      <c r="AS2680">
        <v>0</v>
      </c>
      <c r="AT2680">
        <v>0</v>
      </c>
      <c r="AU2680">
        <v>0</v>
      </c>
      <c r="AV2680">
        <v>0</v>
      </c>
      <c r="AW2680">
        <v>0</v>
      </c>
      <c r="AX2680">
        <v>0</v>
      </c>
      <c r="AY2680">
        <v>0</v>
      </c>
      <c r="AZ2680">
        <v>0</v>
      </c>
      <c r="BA2680">
        <v>0</v>
      </c>
      <c r="BB2680">
        <v>0</v>
      </c>
      <c r="BC2680">
        <v>0</v>
      </c>
      <c r="BD2680">
        <v>0</v>
      </c>
      <c r="BE2680">
        <v>0</v>
      </c>
      <c r="BF2680">
        <v>0</v>
      </c>
      <c r="BG2680">
        <v>0</v>
      </c>
      <c r="BH2680">
        <v>1</v>
      </c>
      <c r="BI2680">
        <v>1</v>
      </c>
      <c r="BJ2680">
        <v>2.1</v>
      </c>
      <c r="BK2680">
        <v>2.5</v>
      </c>
      <c r="BL2680">
        <v>87.47</v>
      </c>
      <c r="BM2680">
        <v>13.12</v>
      </c>
      <c r="BN2680">
        <v>100.59</v>
      </c>
      <c r="BO2680">
        <v>100.59</v>
      </c>
      <c r="BQ2680" t="s">
        <v>679</v>
      </c>
      <c r="BR2680" t="s">
        <v>84</v>
      </c>
      <c r="BS2680" s="3">
        <v>45799</v>
      </c>
      <c r="BT2680" s="4">
        <v>0.41805555555555557</v>
      </c>
      <c r="BU2680" t="s">
        <v>1828</v>
      </c>
      <c r="BV2680" t="s">
        <v>86</v>
      </c>
      <c r="BY2680">
        <v>10368</v>
      </c>
      <c r="CA2680" t="s">
        <v>326</v>
      </c>
      <c r="CC2680" t="s">
        <v>351</v>
      </c>
      <c r="CD2680">
        <v>4052</v>
      </c>
      <c r="CE2680" t="s">
        <v>221</v>
      </c>
      <c r="CF2680" s="3">
        <v>45800</v>
      </c>
      <c r="CI2680">
        <v>1</v>
      </c>
      <c r="CJ2680">
        <v>1</v>
      </c>
      <c r="CK2680">
        <v>21</v>
      </c>
      <c r="CL2680" t="s">
        <v>89</v>
      </c>
    </row>
    <row r="2681" spans="1:90" x14ac:dyDescent="0.3">
      <c r="A2681" t="s">
        <v>72</v>
      </c>
      <c r="B2681" t="s">
        <v>73</v>
      </c>
      <c r="C2681" t="s">
        <v>74</v>
      </c>
      <c r="E2681" t="str">
        <f>"080065493094"</f>
        <v>080065493094</v>
      </c>
      <c r="F2681" s="3">
        <v>45798</v>
      </c>
      <c r="G2681">
        <v>202602</v>
      </c>
      <c r="H2681" t="s">
        <v>75</v>
      </c>
      <c r="I2681" t="s">
        <v>76</v>
      </c>
      <c r="J2681" t="s">
        <v>77</v>
      </c>
      <c r="K2681" t="s">
        <v>78</v>
      </c>
      <c r="L2681" t="s">
        <v>1241</v>
      </c>
      <c r="M2681" t="s">
        <v>1242</v>
      </c>
      <c r="N2681" t="s">
        <v>1243</v>
      </c>
      <c r="O2681" t="s">
        <v>82</v>
      </c>
      <c r="P2681" t="str">
        <f>"4170039918                    "</f>
        <v xml:space="preserve">4170039918                    </v>
      </c>
      <c r="Q2681">
        <v>0</v>
      </c>
      <c r="R2681">
        <v>0</v>
      </c>
      <c r="S2681">
        <v>0</v>
      </c>
      <c r="T2681">
        <v>0</v>
      </c>
      <c r="U2681">
        <v>0</v>
      </c>
      <c r="V2681">
        <v>0</v>
      </c>
      <c r="W2681">
        <v>0</v>
      </c>
      <c r="X2681">
        <v>0</v>
      </c>
      <c r="Y2681">
        <v>0</v>
      </c>
      <c r="Z2681">
        <v>0</v>
      </c>
      <c r="AA2681">
        <v>0</v>
      </c>
      <c r="AB2681">
        <v>0</v>
      </c>
      <c r="AC2681">
        <v>0</v>
      </c>
      <c r="AD2681">
        <v>0</v>
      </c>
      <c r="AE2681">
        <v>0</v>
      </c>
      <c r="AF2681">
        <v>0</v>
      </c>
      <c r="AG2681">
        <v>0</v>
      </c>
      <c r="AH2681">
        <v>0</v>
      </c>
      <c r="AI2681">
        <v>0</v>
      </c>
      <c r="AJ2681">
        <v>0</v>
      </c>
      <c r="AK2681">
        <v>0</v>
      </c>
      <c r="AL2681">
        <v>0</v>
      </c>
      <c r="AM2681">
        <v>0</v>
      </c>
      <c r="AN2681">
        <v>0</v>
      </c>
      <c r="AO2681">
        <v>0</v>
      </c>
      <c r="AP2681">
        <v>0</v>
      </c>
      <c r="AQ2681">
        <v>41.43</v>
      </c>
      <c r="AR2681">
        <v>0</v>
      </c>
      <c r="AS2681">
        <v>0</v>
      </c>
      <c r="AT2681">
        <v>0</v>
      </c>
      <c r="AU2681">
        <v>0</v>
      </c>
      <c r="AV2681">
        <v>0</v>
      </c>
      <c r="AW2681">
        <v>0</v>
      </c>
      <c r="AX2681">
        <v>0</v>
      </c>
      <c r="AY2681">
        <v>0</v>
      </c>
      <c r="AZ2681">
        <v>0</v>
      </c>
      <c r="BA2681">
        <v>0</v>
      </c>
      <c r="BB2681">
        <v>0</v>
      </c>
      <c r="BC2681">
        <v>0</v>
      </c>
      <c r="BD2681">
        <v>0</v>
      </c>
      <c r="BE2681">
        <v>0</v>
      </c>
      <c r="BF2681">
        <v>0</v>
      </c>
      <c r="BG2681">
        <v>0</v>
      </c>
      <c r="BH2681">
        <v>1</v>
      </c>
      <c r="BI2681">
        <v>2</v>
      </c>
      <c r="BJ2681">
        <v>1.7</v>
      </c>
      <c r="BK2681">
        <v>2</v>
      </c>
      <c r="BL2681">
        <v>135.59</v>
      </c>
      <c r="BM2681">
        <v>20.34</v>
      </c>
      <c r="BN2681">
        <v>155.93</v>
      </c>
      <c r="BO2681">
        <v>155.93</v>
      </c>
      <c r="BQ2681" t="s">
        <v>1244</v>
      </c>
      <c r="BR2681" t="s">
        <v>84</v>
      </c>
      <c r="BS2681" s="3">
        <v>45799</v>
      </c>
      <c r="BT2681" s="4">
        <v>0.4375</v>
      </c>
      <c r="BU2681" t="s">
        <v>2844</v>
      </c>
      <c r="BV2681" t="s">
        <v>86</v>
      </c>
      <c r="BY2681">
        <v>8512</v>
      </c>
      <c r="CC2681" t="s">
        <v>1242</v>
      </c>
      <c r="CD2681">
        <v>1871</v>
      </c>
      <c r="CE2681" t="s">
        <v>116</v>
      </c>
      <c r="CF2681" s="3">
        <v>45799</v>
      </c>
      <c r="CI2681">
        <v>1</v>
      </c>
      <c r="CJ2681">
        <v>1</v>
      </c>
      <c r="CK2681">
        <v>23</v>
      </c>
      <c r="CL2681" t="s">
        <v>89</v>
      </c>
    </row>
    <row r="2682" spans="1:90" x14ac:dyDescent="0.3">
      <c r="A2682" t="s">
        <v>72</v>
      </c>
      <c r="B2682" t="s">
        <v>73</v>
      </c>
      <c r="C2682" t="s">
        <v>74</v>
      </c>
      <c r="E2682" t="str">
        <f>"080065493374"</f>
        <v>080065493374</v>
      </c>
      <c r="F2682" s="3">
        <v>45798</v>
      </c>
      <c r="G2682">
        <v>202602</v>
      </c>
      <c r="H2682" t="s">
        <v>75</v>
      </c>
      <c r="I2682" t="s">
        <v>76</v>
      </c>
      <c r="J2682" t="s">
        <v>77</v>
      </c>
      <c r="K2682" t="s">
        <v>78</v>
      </c>
      <c r="L2682" t="s">
        <v>75</v>
      </c>
      <c r="M2682" t="s">
        <v>76</v>
      </c>
      <c r="N2682" t="s">
        <v>601</v>
      </c>
      <c r="O2682" t="s">
        <v>82</v>
      </c>
      <c r="P2682" t="str">
        <f>"4170039777                    "</f>
        <v xml:space="preserve">4170039777                    </v>
      </c>
      <c r="Q2682">
        <v>0</v>
      </c>
      <c r="R2682">
        <v>0</v>
      </c>
      <c r="S2682">
        <v>0</v>
      </c>
      <c r="T2682">
        <v>0</v>
      </c>
      <c r="U2682">
        <v>0</v>
      </c>
      <c r="V2682">
        <v>0</v>
      </c>
      <c r="W2682">
        <v>0</v>
      </c>
      <c r="X2682">
        <v>0</v>
      </c>
      <c r="Y2682">
        <v>0</v>
      </c>
      <c r="Z2682">
        <v>0</v>
      </c>
      <c r="AA2682">
        <v>0</v>
      </c>
      <c r="AB2682">
        <v>0</v>
      </c>
      <c r="AC2682">
        <v>0</v>
      </c>
      <c r="AD2682">
        <v>0</v>
      </c>
      <c r="AE2682">
        <v>0</v>
      </c>
      <c r="AF2682">
        <v>0</v>
      </c>
      <c r="AG2682">
        <v>0</v>
      </c>
      <c r="AH2682">
        <v>0</v>
      </c>
      <c r="AI2682">
        <v>0</v>
      </c>
      <c r="AJ2682">
        <v>0</v>
      </c>
      <c r="AK2682">
        <v>0</v>
      </c>
      <c r="AL2682">
        <v>0</v>
      </c>
      <c r="AM2682">
        <v>0</v>
      </c>
      <c r="AN2682">
        <v>0</v>
      </c>
      <c r="AO2682">
        <v>0</v>
      </c>
      <c r="AP2682">
        <v>0</v>
      </c>
      <c r="AQ2682">
        <v>16.7</v>
      </c>
      <c r="AR2682">
        <v>0</v>
      </c>
      <c r="AS2682">
        <v>0</v>
      </c>
      <c r="AT2682">
        <v>0</v>
      </c>
      <c r="AU2682">
        <v>0</v>
      </c>
      <c r="AV2682">
        <v>0</v>
      </c>
      <c r="AW2682">
        <v>0</v>
      </c>
      <c r="AX2682">
        <v>0</v>
      </c>
      <c r="AY2682">
        <v>0</v>
      </c>
      <c r="AZ2682">
        <v>0</v>
      </c>
      <c r="BA2682">
        <v>0</v>
      </c>
      <c r="BB2682">
        <v>0</v>
      </c>
      <c r="BC2682">
        <v>0</v>
      </c>
      <c r="BD2682">
        <v>0</v>
      </c>
      <c r="BE2682">
        <v>0</v>
      </c>
      <c r="BF2682">
        <v>0</v>
      </c>
      <c r="BG2682">
        <v>0</v>
      </c>
      <c r="BH2682">
        <v>1</v>
      </c>
      <c r="BI2682">
        <v>2</v>
      </c>
      <c r="BJ2682">
        <v>0.9</v>
      </c>
      <c r="BK2682">
        <v>2</v>
      </c>
      <c r="BL2682">
        <v>54.66</v>
      </c>
      <c r="BM2682">
        <v>8.1999999999999993</v>
      </c>
      <c r="BN2682">
        <v>62.86</v>
      </c>
      <c r="BO2682">
        <v>62.86</v>
      </c>
      <c r="BQ2682" t="s">
        <v>603</v>
      </c>
      <c r="BR2682" t="s">
        <v>84</v>
      </c>
      <c r="BS2682" s="3">
        <v>45799</v>
      </c>
      <c r="BT2682" s="4">
        <v>0.3347222222222222</v>
      </c>
      <c r="BU2682" t="s">
        <v>789</v>
      </c>
      <c r="BV2682" t="s">
        <v>86</v>
      </c>
      <c r="BY2682">
        <v>4608</v>
      </c>
      <c r="CA2682" t="s">
        <v>605</v>
      </c>
      <c r="CC2682" t="s">
        <v>76</v>
      </c>
      <c r="CD2682">
        <v>1645</v>
      </c>
      <c r="CE2682" t="s">
        <v>221</v>
      </c>
      <c r="CF2682" s="3">
        <v>45800</v>
      </c>
      <c r="CI2682">
        <v>1</v>
      </c>
      <c r="CJ2682">
        <v>1</v>
      </c>
      <c r="CK2682">
        <v>22</v>
      </c>
      <c r="CL2682" t="s">
        <v>89</v>
      </c>
    </row>
    <row r="2683" spans="1:90" x14ac:dyDescent="0.3">
      <c r="A2683" t="s">
        <v>72</v>
      </c>
      <c r="B2683" t="s">
        <v>73</v>
      </c>
      <c r="C2683" t="s">
        <v>74</v>
      </c>
      <c r="E2683" t="str">
        <f>"080065493407"</f>
        <v>080065493407</v>
      </c>
      <c r="F2683" s="3">
        <v>45798</v>
      </c>
      <c r="G2683">
        <v>202602</v>
      </c>
      <c r="H2683" t="s">
        <v>75</v>
      </c>
      <c r="I2683" t="s">
        <v>76</v>
      </c>
      <c r="J2683" t="s">
        <v>77</v>
      </c>
      <c r="K2683" t="s">
        <v>78</v>
      </c>
      <c r="L2683" t="s">
        <v>123</v>
      </c>
      <c r="M2683" t="s">
        <v>123</v>
      </c>
      <c r="N2683" t="s">
        <v>317</v>
      </c>
      <c r="O2683" t="s">
        <v>82</v>
      </c>
      <c r="P2683" t="str">
        <f>"4170039906                    "</f>
        <v xml:space="preserve">4170039906                    </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0</v>
      </c>
      <c r="AJ2683">
        <v>0</v>
      </c>
      <c r="AK2683">
        <v>0</v>
      </c>
      <c r="AL2683">
        <v>0</v>
      </c>
      <c r="AM2683">
        <v>0</v>
      </c>
      <c r="AN2683">
        <v>0</v>
      </c>
      <c r="AO2683">
        <v>0</v>
      </c>
      <c r="AP2683">
        <v>0</v>
      </c>
      <c r="AQ2683">
        <v>153.68</v>
      </c>
      <c r="AR2683">
        <v>0</v>
      </c>
      <c r="AS2683">
        <v>0</v>
      </c>
      <c r="AT2683">
        <v>0</v>
      </c>
      <c r="AU2683">
        <v>0</v>
      </c>
      <c r="AV2683">
        <v>0</v>
      </c>
      <c r="AW2683">
        <v>0</v>
      </c>
      <c r="AX2683">
        <v>0</v>
      </c>
      <c r="AY2683">
        <v>0</v>
      </c>
      <c r="AZ2683">
        <v>0</v>
      </c>
      <c r="BA2683">
        <v>0</v>
      </c>
      <c r="BB2683">
        <v>0</v>
      </c>
      <c r="BC2683">
        <v>0</v>
      </c>
      <c r="BD2683">
        <v>0</v>
      </c>
      <c r="BE2683">
        <v>0</v>
      </c>
      <c r="BF2683">
        <v>0</v>
      </c>
      <c r="BG2683">
        <v>0</v>
      </c>
      <c r="BH2683">
        <v>1</v>
      </c>
      <c r="BI2683">
        <v>8</v>
      </c>
      <c r="BJ2683">
        <v>4.0999999999999996</v>
      </c>
      <c r="BK2683">
        <v>8</v>
      </c>
      <c r="BL2683">
        <v>502.96</v>
      </c>
      <c r="BM2683">
        <v>75.44</v>
      </c>
      <c r="BN2683">
        <v>578.4</v>
      </c>
      <c r="BO2683">
        <v>578.4</v>
      </c>
      <c r="BQ2683" t="s">
        <v>318</v>
      </c>
      <c r="BR2683" t="s">
        <v>84</v>
      </c>
      <c r="BS2683" s="3">
        <v>45799</v>
      </c>
      <c r="BT2683" s="4">
        <v>0.5083333333333333</v>
      </c>
      <c r="BU2683" t="s">
        <v>329</v>
      </c>
      <c r="BV2683" t="s">
        <v>86</v>
      </c>
      <c r="BY2683">
        <v>20358</v>
      </c>
      <c r="CA2683" t="s">
        <v>128</v>
      </c>
      <c r="CC2683" t="s">
        <v>123</v>
      </c>
      <c r="CD2683">
        <v>7646</v>
      </c>
      <c r="CE2683" t="s">
        <v>96</v>
      </c>
      <c r="CF2683" s="3">
        <v>45800</v>
      </c>
      <c r="CI2683">
        <v>1</v>
      </c>
      <c r="CJ2683">
        <v>1</v>
      </c>
      <c r="CK2683">
        <v>23</v>
      </c>
      <c r="CL2683" t="s">
        <v>89</v>
      </c>
    </row>
    <row r="2684" spans="1:90" x14ac:dyDescent="0.3">
      <c r="A2684" t="s">
        <v>72</v>
      </c>
      <c r="B2684" t="s">
        <v>73</v>
      </c>
      <c r="C2684" t="s">
        <v>74</v>
      </c>
      <c r="E2684" t="str">
        <f>"080065493411"</f>
        <v>080065493411</v>
      </c>
      <c r="F2684" s="3">
        <v>45798</v>
      </c>
      <c r="G2684">
        <v>202602</v>
      </c>
      <c r="H2684" t="s">
        <v>75</v>
      </c>
      <c r="I2684" t="s">
        <v>76</v>
      </c>
      <c r="J2684" t="s">
        <v>77</v>
      </c>
      <c r="K2684" t="s">
        <v>78</v>
      </c>
      <c r="L2684" t="s">
        <v>222</v>
      </c>
      <c r="M2684" t="s">
        <v>223</v>
      </c>
      <c r="N2684" t="s">
        <v>2845</v>
      </c>
      <c r="O2684" t="s">
        <v>82</v>
      </c>
      <c r="P2684" t="str">
        <f>"4170039799                    "</f>
        <v xml:space="preserve">4170039799                    </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c r="AJ2684">
        <v>0</v>
      </c>
      <c r="AK2684">
        <v>0</v>
      </c>
      <c r="AL2684">
        <v>0</v>
      </c>
      <c r="AM2684">
        <v>0</v>
      </c>
      <c r="AN2684">
        <v>0</v>
      </c>
      <c r="AO2684">
        <v>0</v>
      </c>
      <c r="AP2684">
        <v>0</v>
      </c>
      <c r="AQ2684">
        <v>30.07</v>
      </c>
      <c r="AR2684">
        <v>0</v>
      </c>
      <c r="AS2684">
        <v>0</v>
      </c>
      <c r="AT2684">
        <v>0</v>
      </c>
      <c r="AU2684">
        <v>0</v>
      </c>
      <c r="AV2684">
        <v>0</v>
      </c>
      <c r="AW2684">
        <v>0</v>
      </c>
      <c r="AX2684">
        <v>0</v>
      </c>
      <c r="AY2684">
        <v>0</v>
      </c>
      <c r="AZ2684">
        <v>0</v>
      </c>
      <c r="BA2684">
        <v>0</v>
      </c>
      <c r="BB2684">
        <v>0</v>
      </c>
      <c r="BC2684">
        <v>0</v>
      </c>
      <c r="BD2684">
        <v>0</v>
      </c>
      <c r="BE2684">
        <v>0</v>
      </c>
      <c r="BF2684">
        <v>0</v>
      </c>
      <c r="BG2684">
        <v>0</v>
      </c>
      <c r="BH2684">
        <v>1</v>
      </c>
      <c r="BI2684">
        <v>1</v>
      </c>
      <c r="BJ2684">
        <v>0.2</v>
      </c>
      <c r="BK2684">
        <v>1</v>
      </c>
      <c r="BL2684">
        <v>98.42</v>
      </c>
      <c r="BM2684">
        <v>14.76</v>
      </c>
      <c r="BN2684">
        <v>113.18</v>
      </c>
      <c r="BO2684">
        <v>113.18</v>
      </c>
      <c r="BQ2684" t="s">
        <v>2846</v>
      </c>
      <c r="BR2684" t="s">
        <v>84</v>
      </c>
      <c r="BS2684" s="3">
        <v>45799</v>
      </c>
      <c r="BT2684" s="4">
        <v>0.34861111111111109</v>
      </c>
      <c r="BU2684" t="s">
        <v>2847</v>
      </c>
      <c r="BV2684" t="s">
        <v>86</v>
      </c>
      <c r="BY2684">
        <v>1200</v>
      </c>
      <c r="CA2684" t="s">
        <v>2848</v>
      </c>
      <c r="CC2684" t="s">
        <v>223</v>
      </c>
      <c r="CD2684">
        <v>1739</v>
      </c>
      <c r="CE2684" t="s">
        <v>88</v>
      </c>
      <c r="CF2684" s="3">
        <v>45799</v>
      </c>
      <c r="CI2684">
        <v>1</v>
      </c>
      <c r="CJ2684">
        <v>1</v>
      </c>
      <c r="CK2684">
        <v>24</v>
      </c>
      <c r="CL2684" t="s">
        <v>89</v>
      </c>
    </row>
    <row r="2685" spans="1:90" x14ac:dyDescent="0.3">
      <c r="A2685" t="s">
        <v>72</v>
      </c>
      <c r="B2685" t="s">
        <v>73</v>
      </c>
      <c r="C2685" t="s">
        <v>74</v>
      </c>
      <c r="E2685" t="str">
        <f>"080065493455"</f>
        <v>080065493455</v>
      </c>
      <c r="F2685" s="3">
        <v>45798</v>
      </c>
      <c r="G2685">
        <v>202602</v>
      </c>
      <c r="H2685" t="s">
        <v>75</v>
      </c>
      <c r="I2685" t="s">
        <v>76</v>
      </c>
      <c r="J2685" t="s">
        <v>77</v>
      </c>
      <c r="K2685" t="s">
        <v>78</v>
      </c>
      <c r="L2685" t="s">
        <v>232</v>
      </c>
      <c r="M2685" t="s">
        <v>233</v>
      </c>
      <c r="N2685" t="s">
        <v>1147</v>
      </c>
      <c r="O2685" t="s">
        <v>300</v>
      </c>
      <c r="P2685" t="str">
        <f>"4170039743                    "</f>
        <v xml:space="preserve">4170039743                    </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0</v>
      </c>
      <c r="AJ2685">
        <v>0</v>
      </c>
      <c r="AK2685">
        <v>0</v>
      </c>
      <c r="AL2685">
        <v>0</v>
      </c>
      <c r="AM2685">
        <v>0</v>
      </c>
      <c r="AN2685">
        <v>0</v>
      </c>
      <c r="AO2685">
        <v>0</v>
      </c>
      <c r="AP2685">
        <v>0</v>
      </c>
      <c r="AQ2685">
        <v>41.35</v>
      </c>
      <c r="AR2685">
        <v>0</v>
      </c>
      <c r="AS2685">
        <v>0</v>
      </c>
      <c r="AT2685">
        <v>0</v>
      </c>
      <c r="AU2685">
        <v>0</v>
      </c>
      <c r="AV2685">
        <v>0</v>
      </c>
      <c r="AW2685">
        <v>0</v>
      </c>
      <c r="AX2685">
        <v>0</v>
      </c>
      <c r="AY2685">
        <v>0</v>
      </c>
      <c r="AZ2685">
        <v>0</v>
      </c>
      <c r="BA2685">
        <v>0</v>
      </c>
      <c r="BB2685">
        <v>0</v>
      </c>
      <c r="BC2685">
        <v>0</v>
      </c>
      <c r="BD2685">
        <v>0</v>
      </c>
      <c r="BE2685">
        <v>0</v>
      </c>
      <c r="BF2685">
        <v>0</v>
      </c>
      <c r="BG2685">
        <v>0</v>
      </c>
      <c r="BH2685">
        <v>1</v>
      </c>
      <c r="BI2685">
        <v>5</v>
      </c>
      <c r="BJ2685">
        <v>5.4</v>
      </c>
      <c r="BK2685">
        <v>6</v>
      </c>
      <c r="BL2685">
        <v>140.9</v>
      </c>
      <c r="BM2685">
        <v>21.14</v>
      </c>
      <c r="BN2685">
        <v>162.04</v>
      </c>
      <c r="BO2685">
        <v>162.04</v>
      </c>
      <c r="BQ2685" t="s">
        <v>1148</v>
      </c>
      <c r="BR2685" t="s">
        <v>84</v>
      </c>
      <c r="BS2685" s="3">
        <v>45799</v>
      </c>
      <c r="BT2685" s="4">
        <v>0.35416666666666669</v>
      </c>
      <c r="BU2685" t="s">
        <v>2634</v>
      </c>
      <c r="BV2685" t="s">
        <v>86</v>
      </c>
      <c r="BY2685">
        <v>27144</v>
      </c>
      <c r="CA2685" t="s">
        <v>1150</v>
      </c>
      <c r="CC2685" t="s">
        <v>233</v>
      </c>
      <c r="CD2685" s="5" t="s">
        <v>238</v>
      </c>
      <c r="CE2685" t="s">
        <v>96</v>
      </c>
      <c r="CF2685" s="3">
        <v>45799</v>
      </c>
      <c r="CI2685">
        <v>1</v>
      </c>
      <c r="CJ2685">
        <v>1</v>
      </c>
      <c r="CK2685">
        <v>41</v>
      </c>
      <c r="CL2685" t="s">
        <v>89</v>
      </c>
    </row>
    <row r="2686" spans="1:90" x14ac:dyDescent="0.3">
      <c r="A2686" t="s">
        <v>72</v>
      </c>
      <c r="B2686" t="s">
        <v>73</v>
      </c>
      <c r="C2686" t="s">
        <v>74</v>
      </c>
      <c r="E2686" t="str">
        <f>"080065493460"</f>
        <v>080065493460</v>
      </c>
      <c r="F2686" s="3">
        <v>45798</v>
      </c>
      <c r="G2686">
        <v>202602</v>
      </c>
      <c r="H2686" t="s">
        <v>75</v>
      </c>
      <c r="I2686" t="s">
        <v>76</v>
      </c>
      <c r="J2686" t="s">
        <v>77</v>
      </c>
      <c r="K2686" t="s">
        <v>78</v>
      </c>
      <c r="L2686" t="s">
        <v>320</v>
      </c>
      <c r="M2686" t="s">
        <v>321</v>
      </c>
      <c r="N2686" t="s">
        <v>499</v>
      </c>
      <c r="O2686" t="s">
        <v>82</v>
      </c>
      <c r="P2686" t="str">
        <f>"4170039951                    "</f>
        <v xml:space="preserve">4170039951                    </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0</v>
      </c>
      <c r="AJ2686">
        <v>0</v>
      </c>
      <c r="AK2686">
        <v>0</v>
      </c>
      <c r="AL2686">
        <v>0</v>
      </c>
      <c r="AM2686">
        <v>0</v>
      </c>
      <c r="AN2686">
        <v>0</v>
      </c>
      <c r="AO2686">
        <v>0</v>
      </c>
      <c r="AP2686">
        <v>0</v>
      </c>
      <c r="AQ2686">
        <v>21.38</v>
      </c>
      <c r="AR2686">
        <v>0</v>
      </c>
      <c r="AS2686">
        <v>0</v>
      </c>
      <c r="AT2686">
        <v>0</v>
      </c>
      <c r="AU2686">
        <v>0</v>
      </c>
      <c r="AV2686">
        <v>0</v>
      </c>
      <c r="AW2686">
        <v>0</v>
      </c>
      <c r="AX2686">
        <v>0</v>
      </c>
      <c r="AY2686">
        <v>0</v>
      </c>
      <c r="AZ2686">
        <v>0</v>
      </c>
      <c r="BA2686">
        <v>0</v>
      </c>
      <c r="BB2686">
        <v>0</v>
      </c>
      <c r="BC2686">
        <v>0</v>
      </c>
      <c r="BD2686">
        <v>0</v>
      </c>
      <c r="BE2686">
        <v>0</v>
      </c>
      <c r="BF2686">
        <v>0</v>
      </c>
      <c r="BG2686">
        <v>0</v>
      </c>
      <c r="BH2686">
        <v>1</v>
      </c>
      <c r="BI2686">
        <v>1</v>
      </c>
      <c r="BJ2686">
        <v>0.2</v>
      </c>
      <c r="BK2686">
        <v>1</v>
      </c>
      <c r="BL2686">
        <v>69.98</v>
      </c>
      <c r="BM2686">
        <v>10.5</v>
      </c>
      <c r="BN2686">
        <v>80.48</v>
      </c>
      <c r="BO2686">
        <v>80.48</v>
      </c>
      <c r="BQ2686" t="s">
        <v>500</v>
      </c>
      <c r="BR2686" t="s">
        <v>84</v>
      </c>
      <c r="BS2686" s="3">
        <v>45799</v>
      </c>
      <c r="BT2686" s="4">
        <v>0.50902777777777775</v>
      </c>
      <c r="BU2686" t="s">
        <v>623</v>
      </c>
      <c r="BV2686" t="s">
        <v>89</v>
      </c>
      <c r="BW2686" t="s">
        <v>434</v>
      </c>
      <c r="BX2686" t="s">
        <v>435</v>
      </c>
      <c r="BY2686">
        <v>1200</v>
      </c>
      <c r="CA2686" t="s">
        <v>326</v>
      </c>
      <c r="CC2686" t="s">
        <v>321</v>
      </c>
      <c r="CD2686">
        <v>4133</v>
      </c>
      <c r="CE2686" t="s">
        <v>88</v>
      </c>
      <c r="CF2686" s="3">
        <v>45800</v>
      </c>
      <c r="CI2686">
        <v>1</v>
      </c>
      <c r="CJ2686">
        <v>1</v>
      </c>
      <c r="CK2686">
        <v>21</v>
      </c>
      <c r="CL2686" t="s">
        <v>89</v>
      </c>
    </row>
    <row r="2687" spans="1:90" x14ac:dyDescent="0.3">
      <c r="A2687" t="s">
        <v>72</v>
      </c>
      <c r="B2687" t="s">
        <v>73</v>
      </c>
      <c r="C2687" t="s">
        <v>74</v>
      </c>
      <c r="E2687" t="str">
        <f>"080065493493"</f>
        <v>080065493493</v>
      </c>
      <c r="F2687" s="3">
        <v>45798</v>
      </c>
      <c r="G2687">
        <v>202602</v>
      </c>
      <c r="H2687" t="s">
        <v>75</v>
      </c>
      <c r="I2687" t="s">
        <v>76</v>
      </c>
      <c r="J2687" t="s">
        <v>77</v>
      </c>
      <c r="K2687" t="s">
        <v>78</v>
      </c>
      <c r="L2687" t="s">
        <v>75</v>
      </c>
      <c r="M2687" t="s">
        <v>76</v>
      </c>
      <c r="N2687" t="s">
        <v>540</v>
      </c>
      <c r="O2687" t="s">
        <v>82</v>
      </c>
      <c r="P2687" t="str">
        <f>"4170039921                    "</f>
        <v xml:space="preserve">4170039921                    </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0</v>
      </c>
      <c r="AJ2687">
        <v>0</v>
      </c>
      <c r="AK2687">
        <v>0</v>
      </c>
      <c r="AL2687">
        <v>0</v>
      </c>
      <c r="AM2687">
        <v>0</v>
      </c>
      <c r="AN2687">
        <v>0</v>
      </c>
      <c r="AO2687">
        <v>0</v>
      </c>
      <c r="AP2687">
        <v>0</v>
      </c>
      <c r="AQ2687">
        <v>16.7</v>
      </c>
      <c r="AR2687">
        <v>0</v>
      </c>
      <c r="AS2687">
        <v>0</v>
      </c>
      <c r="AT2687">
        <v>0</v>
      </c>
      <c r="AU2687">
        <v>0</v>
      </c>
      <c r="AV2687">
        <v>0</v>
      </c>
      <c r="AW2687">
        <v>0</v>
      </c>
      <c r="AX2687">
        <v>0</v>
      </c>
      <c r="AY2687">
        <v>0</v>
      </c>
      <c r="AZ2687">
        <v>0</v>
      </c>
      <c r="BA2687">
        <v>0</v>
      </c>
      <c r="BB2687">
        <v>0</v>
      </c>
      <c r="BC2687">
        <v>0</v>
      </c>
      <c r="BD2687">
        <v>0</v>
      </c>
      <c r="BE2687">
        <v>0</v>
      </c>
      <c r="BF2687">
        <v>0</v>
      </c>
      <c r="BG2687">
        <v>0</v>
      </c>
      <c r="BH2687">
        <v>1</v>
      </c>
      <c r="BI2687">
        <v>1</v>
      </c>
      <c r="BJ2687">
        <v>0.2</v>
      </c>
      <c r="BK2687">
        <v>1</v>
      </c>
      <c r="BL2687">
        <v>54.66</v>
      </c>
      <c r="BM2687">
        <v>8.1999999999999993</v>
      </c>
      <c r="BN2687">
        <v>62.86</v>
      </c>
      <c r="BO2687">
        <v>62.86</v>
      </c>
      <c r="BQ2687" t="s">
        <v>541</v>
      </c>
      <c r="BR2687" t="s">
        <v>84</v>
      </c>
      <c r="BS2687" s="3">
        <v>45799</v>
      </c>
      <c r="BT2687" s="4">
        <v>0.33819444444444446</v>
      </c>
      <c r="BU2687" t="s">
        <v>2542</v>
      </c>
      <c r="BV2687" t="s">
        <v>86</v>
      </c>
      <c r="BY2687">
        <v>1200</v>
      </c>
      <c r="CA2687" t="s">
        <v>806</v>
      </c>
      <c r="CC2687" t="s">
        <v>76</v>
      </c>
      <c r="CD2687">
        <v>1600</v>
      </c>
      <c r="CE2687" t="s">
        <v>88</v>
      </c>
      <c r="CF2687" s="3">
        <v>45799</v>
      </c>
      <c r="CI2687">
        <v>1</v>
      </c>
      <c r="CJ2687">
        <v>1</v>
      </c>
      <c r="CK2687">
        <v>22</v>
      </c>
      <c r="CL2687" t="s">
        <v>89</v>
      </c>
    </row>
    <row r="2688" spans="1:90" x14ac:dyDescent="0.3">
      <c r="A2688" t="s">
        <v>72</v>
      </c>
      <c r="B2688" t="s">
        <v>73</v>
      </c>
      <c r="C2688" t="s">
        <v>74</v>
      </c>
      <c r="E2688" t="str">
        <f>"080065493500"</f>
        <v>080065493500</v>
      </c>
      <c r="F2688" s="3">
        <v>45798</v>
      </c>
      <c r="G2688">
        <v>202602</v>
      </c>
      <c r="H2688" t="s">
        <v>75</v>
      </c>
      <c r="I2688" t="s">
        <v>76</v>
      </c>
      <c r="J2688" t="s">
        <v>77</v>
      </c>
      <c r="K2688" t="s">
        <v>78</v>
      </c>
      <c r="L2688" t="s">
        <v>90</v>
      </c>
      <c r="M2688" t="s">
        <v>91</v>
      </c>
      <c r="N2688" t="s">
        <v>92</v>
      </c>
      <c r="O2688" t="s">
        <v>82</v>
      </c>
      <c r="P2688" t="str">
        <f>"4170039740                    "</f>
        <v xml:space="preserve">4170039740                    </v>
      </c>
      <c r="Q2688">
        <v>0</v>
      </c>
      <c r="R2688">
        <v>0</v>
      </c>
      <c r="S2688">
        <v>0</v>
      </c>
      <c r="T2688">
        <v>0</v>
      </c>
      <c r="U2688">
        <v>0</v>
      </c>
      <c r="V2688">
        <v>0</v>
      </c>
      <c r="W2688">
        <v>0</v>
      </c>
      <c r="X2688">
        <v>0</v>
      </c>
      <c r="Y2688">
        <v>0</v>
      </c>
      <c r="Z2688">
        <v>0</v>
      </c>
      <c r="AA2688">
        <v>0</v>
      </c>
      <c r="AB2688">
        <v>0</v>
      </c>
      <c r="AC2688">
        <v>0</v>
      </c>
      <c r="AD2688">
        <v>0</v>
      </c>
      <c r="AE2688">
        <v>0</v>
      </c>
      <c r="AF2688">
        <v>0</v>
      </c>
      <c r="AG2688">
        <v>0</v>
      </c>
      <c r="AH2688">
        <v>0</v>
      </c>
      <c r="AI2688">
        <v>0</v>
      </c>
      <c r="AJ2688">
        <v>0</v>
      </c>
      <c r="AK2688">
        <v>0</v>
      </c>
      <c r="AL2688">
        <v>0</v>
      </c>
      <c r="AM2688">
        <v>0</v>
      </c>
      <c r="AN2688">
        <v>0</v>
      </c>
      <c r="AO2688">
        <v>0</v>
      </c>
      <c r="AP2688">
        <v>0</v>
      </c>
      <c r="AQ2688">
        <v>96.17</v>
      </c>
      <c r="AR2688">
        <v>0</v>
      </c>
      <c r="AS2688">
        <v>0</v>
      </c>
      <c r="AT2688">
        <v>0</v>
      </c>
      <c r="AU2688">
        <v>0</v>
      </c>
      <c r="AV2688">
        <v>0</v>
      </c>
      <c r="AW2688">
        <v>0</v>
      </c>
      <c r="AX2688">
        <v>0</v>
      </c>
      <c r="AY2688">
        <v>0</v>
      </c>
      <c r="AZ2688">
        <v>0</v>
      </c>
      <c r="BA2688">
        <v>0</v>
      </c>
      <c r="BB2688">
        <v>0</v>
      </c>
      <c r="BC2688">
        <v>0</v>
      </c>
      <c r="BD2688">
        <v>0</v>
      </c>
      <c r="BE2688">
        <v>0</v>
      </c>
      <c r="BF2688">
        <v>0</v>
      </c>
      <c r="BG2688">
        <v>0</v>
      </c>
      <c r="BH2688">
        <v>1</v>
      </c>
      <c r="BI2688">
        <v>5</v>
      </c>
      <c r="BJ2688">
        <v>8.9</v>
      </c>
      <c r="BK2688">
        <v>9</v>
      </c>
      <c r="BL2688">
        <v>314.73</v>
      </c>
      <c r="BM2688">
        <v>47.21</v>
      </c>
      <c r="BN2688">
        <v>361.94</v>
      </c>
      <c r="BO2688">
        <v>361.94</v>
      </c>
      <c r="BQ2688" t="s">
        <v>93</v>
      </c>
      <c r="BR2688" t="s">
        <v>84</v>
      </c>
      <c r="BS2688" s="3">
        <v>45799</v>
      </c>
      <c r="BT2688" s="4">
        <v>0.38680555555555557</v>
      </c>
      <c r="BU2688" t="s">
        <v>94</v>
      </c>
      <c r="BV2688" t="s">
        <v>86</v>
      </c>
      <c r="BY2688">
        <v>44640</v>
      </c>
      <c r="CA2688" t="s">
        <v>95</v>
      </c>
      <c r="CC2688" t="s">
        <v>91</v>
      </c>
      <c r="CD2688">
        <v>6001</v>
      </c>
      <c r="CE2688" t="s">
        <v>96</v>
      </c>
      <c r="CF2688" s="3">
        <v>45799</v>
      </c>
      <c r="CI2688">
        <v>1</v>
      </c>
      <c r="CJ2688">
        <v>1</v>
      </c>
      <c r="CK2688">
        <v>21</v>
      </c>
      <c r="CL2688" t="s">
        <v>89</v>
      </c>
    </row>
    <row r="2689" spans="1:90" x14ac:dyDescent="0.3">
      <c r="A2689" t="s">
        <v>72</v>
      </c>
      <c r="B2689" t="s">
        <v>73</v>
      </c>
      <c r="C2689" t="s">
        <v>74</v>
      </c>
      <c r="E2689" t="str">
        <f>"080065493523"</f>
        <v>080065493523</v>
      </c>
      <c r="F2689" s="3">
        <v>45798</v>
      </c>
      <c r="G2689">
        <v>202602</v>
      </c>
      <c r="H2689" t="s">
        <v>75</v>
      </c>
      <c r="I2689" t="s">
        <v>76</v>
      </c>
      <c r="J2689" t="s">
        <v>77</v>
      </c>
      <c r="K2689" t="s">
        <v>78</v>
      </c>
      <c r="L2689" t="s">
        <v>409</v>
      </c>
      <c r="M2689" t="s">
        <v>410</v>
      </c>
      <c r="N2689" t="s">
        <v>411</v>
      </c>
      <c r="O2689" t="s">
        <v>82</v>
      </c>
      <c r="P2689" t="str">
        <f>"4170039935                    "</f>
        <v xml:space="preserve">4170039935                    </v>
      </c>
      <c r="Q2689">
        <v>0</v>
      </c>
      <c r="R2689">
        <v>0</v>
      </c>
      <c r="S2689">
        <v>0</v>
      </c>
      <c r="T2689">
        <v>0</v>
      </c>
      <c r="U2689">
        <v>0</v>
      </c>
      <c r="V2689">
        <v>0</v>
      </c>
      <c r="W2689">
        <v>0</v>
      </c>
      <c r="X2689">
        <v>0</v>
      </c>
      <c r="Y2689">
        <v>0</v>
      </c>
      <c r="Z2689">
        <v>0</v>
      </c>
      <c r="AA2689">
        <v>0</v>
      </c>
      <c r="AB2689">
        <v>0</v>
      </c>
      <c r="AC2689">
        <v>0</v>
      </c>
      <c r="AD2689">
        <v>0</v>
      </c>
      <c r="AE2689">
        <v>0</v>
      </c>
      <c r="AF2689">
        <v>0</v>
      </c>
      <c r="AG2689">
        <v>0</v>
      </c>
      <c r="AH2689">
        <v>0</v>
      </c>
      <c r="AI2689">
        <v>0</v>
      </c>
      <c r="AJ2689">
        <v>0</v>
      </c>
      <c r="AK2689">
        <v>0</v>
      </c>
      <c r="AL2689">
        <v>0</v>
      </c>
      <c r="AM2689">
        <v>0</v>
      </c>
      <c r="AN2689">
        <v>0</v>
      </c>
      <c r="AO2689">
        <v>0</v>
      </c>
      <c r="AP2689">
        <v>0</v>
      </c>
      <c r="AQ2689">
        <v>41.43</v>
      </c>
      <c r="AR2689">
        <v>0</v>
      </c>
      <c r="AS2689">
        <v>0</v>
      </c>
      <c r="AT2689">
        <v>0</v>
      </c>
      <c r="AU2689">
        <v>0</v>
      </c>
      <c r="AV2689">
        <v>0</v>
      </c>
      <c r="AW2689">
        <v>0</v>
      </c>
      <c r="AX2689">
        <v>0</v>
      </c>
      <c r="AY2689">
        <v>0</v>
      </c>
      <c r="AZ2689">
        <v>0</v>
      </c>
      <c r="BA2689">
        <v>0</v>
      </c>
      <c r="BB2689">
        <v>0</v>
      </c>
      <c r="BC2689">
        <v>0</v>
      </c>
      <c r="BD2689">
        <v>0</v>
      </c>
      <c r="BE2689">
        <v>0</v>
      </c>
      <c r="BF2689">
        <v>0</v>
      </c>
      <c r="BG2689">
        <v>0</v>
      </c>
      <c r="BH2689">
        <v>1</v>
      </c>
      <c r="BI2689">
        <v>1</v>
      </c>
      <c r="BJ2689">
        <v>0.2</v>
      </c>
      <c r="BK2689">
        <v>1</v>
      </c>
      <c r="BL2689">
        <v>135.59</v>
      </c>
      <c r="BM2689">
        <v>20.34</v>
      </c>
      <c r="BN2689">
        <v>155.93</v>
      </c>
      <c r="BO2689">
        <v>155.93</v>
      </c>
      <c r="BQ2689" t="s">
        <v>412</v>
      </c>
      <c r="BR2689" t="s">
        <v>84</v>
      </c>
      <c r="BS2689" s="3">
        <v>45799</v>
      </c>
      <c r="BT2689" s="4">
        <v>0.49236111111111114</v>
      </c>
      <c r="BU2689" t="s">
        <v>2849</v>
      </c>
      <c r="BV2689" t="s">
        <v>86</v>
      </c>
      <c r="BY2689">
        <v>1200</v>
      </c>
      <c r="CA2689" t="s">
        <v>1088</v>
      </c>
      <c r="CC2689" t="s">
        <v>410</v>
      </c>
      <c r="CD2689">
        <v>6850</v>
      </c>
      <c r="CE2689" t="s">
        <v>88</v>
      </c>
      <c r="CF2689" s="3">
        <v>45800</v>
      </c>
      <c r="CI2689">
        <v>2</v>
      </c>
      <c r="CJ2689">
        <v>1</v>
      </c>
      <c r="CK2689">
        <v>23</v>
      </c>
      <c r="CL2689" t="s">
        <v>89</v>
      </c>
    </row>
    <row r="2690" spans="1:90" x14ac:dyDescent="0.3">
      <c r="A2690" t="s">
        <v>72</v>
      </c>
      <c r="B2690" t="s">
        <v>73</v>
      </c>
      <c r="C2690" t="s">
        <v>74</v>
      </c>
      <c r="E2690" t="str">
        <f>"080065493532"</f>
        <v>080065493532</v>
      </c>
      <c r="F2690" s="3">
        <v>45798</v>
      </c>
      <c r="G2690">
        <v>202602</v>
      </c>
      <c r="H2690" t="s">
        <v>75</v>
      </c>
      <c r="I2690" t="s">
        <v>76</v>
      </c>
      <c r="J2690" t="s">
        <v>77</v>
      </c>
      <c r="K2690" t="s">
        <v>78</v>
      </c>
      <c r="L2690" t="s">
        <v>672</v>
      </c>
      <c r="M2690" t="s">
        <v>673</v>
      </c>
      <c r="N2690" t="s">
        <v>674</v>
      </c>
      <c r="O2690" t="s">
        <v>82</v>
      </c>
      <c r="P2690" t="str">
        <f>"4170039932                    "</f>
        <v xml:space="preserve">4170039932                    </v>
      </c>
      <c r="Q2690">
        <v>0</v>
      </c>
      <c r="R2690">
        <v>0</v>
      </c>
      <c r="S2690">
        <v>0</v>
      </c>
      <c r="T2690">
        <v>0</v>
      </c>
      <c r="U2690">
        <v>0</v>
      </c>
      <c r="V2690">
        <v>0</v>
      </c>
      <c r="W2690">
        <v>0</v>
      </c>
      <c r="X2690">
        <v>0</v>
      </c>
      <c r="Y2690">
        <v>0</v>
      </c>
      <c r="Z2690">
        <v>0</v>
      </c>
      <c r="AA2690">
        <v>0</v>
      </c>
      <c r="AB2690">
        <v>0</v>
      </c>
      <c r="AC2690">
        <v>0</v>
      </c>
      <c r="AD2690">
        <v>0</v>
      </c>
      <c r="AE2690">
        <v>0</v>
      </c>
      <c r="AF2690">
        <v>0</v>
      </c>
      <c r="AG2690">
        <v>0</v>
      </c>
      <c r="AH2690">
        <v>0</v>
      </c>
      <c r="AI2690">
        <v>0</v>
      </c>
      <c r="AJ2690">
        <v>0</v>
      </c>
      <c r="AK2690">
        <v>0</v>
      </c>
      <c r="AL2690">
        <v>0</v>
      </c>
      <c r="AM2690">
        <v>0</v>
      </c>
      <c r="AN2690">
        <v>0</v>
      </c>
      <c r="AO2690">
        <v>0</v>
      </c>
      <c r="AP2690">
        <v>0</v>
      </c>
      <c r="AQ2690">
        <v>69.489999999999995</v>
      </c>
      <c r="AR2690">
        <v>0</v>
      </c>
      <c r="AS2690">
        <v>0</v>
      </c>
      <c r="AT2690">
        <v>0</v>
      </c>
      <c r="AU2690">
        <v>0</v>
      </c>
      <c r="AV2690">
        <v>0</v>
      </c>
      <c r="AW2690">
        <v>0</v>
      </c>
      <c r="AX2690">
        <v>0</v>
      </c>
      <c r="AY2690">
        <v>0</v>
      </c>
      <c r="AZ2690">
        <v>0</v>
      </c>
      <c r="BA2690">
        <v>0</v>
      </c>
      <c r="BB2690">
        <v>0</v>
      </c>
      <c r="BC2690">
        <v>0</v>
      </c>
      <c r="BD2690">
        <v>0</v>
      </c>
      <c r="BE2690">
        <v>0</v>
      </c>
      <c r="BF2690">
        <v>0</v>
      </c>
      <c r="BG2690">
        <v>0</v>
      </c>
      <c r="BH2690">
        <v>1</v>
      </c>
      <c r="BI2690">
        <v>2</v>
      </c>
      <c r="BJ2690">
        <v>3.4</v>
      </c>
      <c r="BK2690">
        <v>3.5</v>
      </c>
      <c r="BL2690">
        <v>227.43</v>
      </c>
      <c r="BM2690">
        <v>34.11</v>
      </c>
      <c r="BN2690">
        <v>261.54000000000002</v>
      </c>
      <c r="BO2690">
        <v>261.54000000000002</v>
      </c>
      <c r="BQ2690" t="s">
        <v>675</v>
      </c>
      <c r="BR2690" t="s">
        <v>84</v>
      </c>
      <c r="BS2690" s="3">
        <v>45799</v>
      </c>
      <c r="BT2690" s="4">
        <v>0.39444444444444443</v>
      </c>
      <c r="BU2690" t="s">
        <v>1512</v>
      </c>
      <c r="BV2690" t="s">
        <v>86</v>
      </c>
      <c r="BY2690">
        <v>16965</v>
      </c>
      <c r="CA2690" t="s">
        <v>677</v>
      </c>
      <c r="CC2690" t="s">
        <v>673</v>
      </c>
      <c r="CD2690">
        <v>2531</v>
      </c>
      <c r="CE2690" t="s">
        <v>96</v>
      </c>
      <c r="CF2690" s="3">
        <v>45800</v>
      </c>
      <c r="CI2690">
        <v>1</v>
      </c>
      <c r="CJ2690">
        <v>1</v>
      </c>
      <c r="CK2690">
        <v>23</v>
      </c>
      <c r="CL2690" t="s">
        <v>89</v>
      </c>
    </row>
    <row r="2691" spans="1:90" x14ac:dyDescent="0.3">
      <c r="A2691" t="s">
        <v>72</v>
      </c>
      <c r="B2691" t="s">
        <v>73</v>
      </c>
      <c r="C2691" t="s">
        <v>74</v>
      </c>
      <c r="E2691" t="str">
        <f>"080065493560"</f>
        <v>080065493560</v>
      </c>
      <c r="F2691" s="3">
        <v>45798</v>
      </c>
      <c r="G2691">
        <v>202602</v>
      </c>
      <c r="H2691" t="s">
        <v>75</v>
      </c>
      <c r="I2691" t="s">
        <v>76</v>
      </c>
      <c r="J2691" t="s">
        <v>77</v>
      </c>
      <c r="K2691" t="s">
        <v>78</v>
      </c>
      <c r="L2691" t="s">
        <v>130</v>
      </c>
      <c r="M2691" t="s">
        <v>131</v>
      </c>
      <c r="N2691" t="s">
        <v>665</v>
      </c>
      <c r="O2691" t="s">
        <v>82</v>
      </c>
      <c r="P2691" t="str">
        <f>"4170039364                    "</f>
        <v xml:space="preserve">4170039364                    </v>
      </c>
      <c r="Q2691">
        <v>0</v>
      </c>
      <c r="R2691">
        <v>0</v>
      </c>
      <c r="S2691">
        <v>0</v>
      </c>
      <c r="T2691">
        <v>0</v>
      </c>
      <c r="U2691">
        <v>0</v>
      </c>
      <c r="V2691">
        <v>0</v>
      </c>
      <c r="W2691">
        <v>0</v>
      </c>
      <c r="X2691">
        <v>0</v>
      </c>
      <c r="Y2691">
        <v>0</v>
      </c>
      <c r="Z2691">
        <v>0</v>
      </c>
      <c r="AA2691">
        <v>0</v>
      </c>
      <c r="AB2691">
        <v>0</v>
      </c>
      <c r="AC2691">
        <v>0</v>
      </c>
      <c r="AD2691">
        <v>0</v>
      </c>
      <c r="AE2691">
        <v>0</v>
      </c>
      <c r="AF2691">
        <v>0</v>
      </c>
      <c r="AG2691">
        <v>0</v>
      </c>
      <c r="AH2691">
        <v>0</v>
      </c>
      <c r="AI2691">
        <v>0</v>
      </c>
      <c r="AJ2691">
        <v>0</v>
      </c>
      <c r="AK2691">
        <v>0</v>
      </c>
      <c r="AL2691">
        <v>0</v>
      </c>
      <c r="AM2691">
        <v>0</v>
      </c>
      <c r="AN2691">
        <v>0</v>
      </c>
      <c r="AO2691">
        <v>0</v>
      </c>
      <c r="AP2691">
        <v>0</v>
      </c>
      <c r="AQ2691">
        <v>21.38</v>
      </c>
      <c r="AR2691">
        <v>0</v>
      </c>
      <c r="AS2691">
        <v>0</v>
      </c>
      <c r="AT2691">
        <v>0</v>
      </c>
      <c r="AU2691">
        <v>0</v>
      </c>
      <c r="AV2691">
        <v>0</v>
      </c>
      <c r="AW2691">
        <v>0</v>
      </c>
      <c r="AX2691">
        <v>0</v>
      </c>
      <c r="AY2691">
        <v>0</v>
      </c>
      <c r="AZ2691">
        <v>0</v>
      </c>
      <c r="BA2691">
        <v>0</v>
      </c>
      <c r="BB2691">
        <v>0</v>
      </c>
      <c r="BC2691">
        <v>0</v>
      </c>
      <c r="BD2691">
        <v>0</v>
      </c>
      <c r="BE2691">
        <v>0</v>
      </c>
      <c r="BF2691">
        <v>0</v>
      </c>
      <c r="BG2691">
        <v>0</v>
      </c>
      <c r="BH2691">
        <v>1</v>
      </c>
      <c r="BI2691">
        <v>1</v>
      </c>
      <c r="BJ2691">
        <v>0.2</v>
      </c>
      <c r="BK2691">
        <v>1</v>
      </c>
      <c r="BL2691">
        <v>69.98</v>
      </c>
      <c r="BM2691">
        <v>10.5</v>
      </c>
      <c r="BN2691">
        <v>80.48</v>
      </c>
      <c r="BO2691">
        <v>80.48</v>
      </c>
      <c r="BQ2691" t="s">
        <v>666</v>
      </c>
      <c r="BR2691" t="s">
        <v>84</v>
      </c>
      <c r="BS2691" s="3">
        <v>45799</v>
      </c>
      <c r="BT2691" s="4">
        <v>0.41597222222222224</v>
      </c>
      <c r="BU2691" t="s">
        <v>2850</v>
      </c>
      <c r="BV2691" t="s">
        <v>86</v>
      </c>
      <c r="BY2691">
        <v>1200</v>
      </c>
      <c r="CA2691" t="s">
        <v>389</v>
      </c>
      <c r="CC2691" t="s">
        <v>131</v>
      </c>
      <c r="CD2691">
        <v>7535</v>
      </c>
      <c r="CE2691" t="s">
        <v>88</v>
      </c>
      <c r="CF2691" s="3">
        <v>45800</v>
      </c>
      <c r="CI2691">
        <v>1</v>
      </c>
      <c r="CJ2691">
        <v>1</v>
      </c>
      <c r="CK2691">
        <v>21</v>
      </c>
      <c r="CL2691" t="s">
        <v>89</v>
      </c>
    </row>
    <row r="2692" spans="1:90" x14ac:dyDescent="0.3">
      <c r="A2692" t="s">
        <v>72</v>
      </c>
      <c r="B2692" t="s">
        <v>73</v>
      </c>
      <c r="C2692" t="s">
        <v>74</v>
      </c>
      <c r="E2692" t="str">
        <f>"080065493596"</f>
        <v>080065493596</v>
      </c>
      <c r="F2692" s="3">
        <v>45798</v>
      </c>
      <c r="G2692">
        <v>202602</v>
      </c>
      <c r="H2692" t="s">
        <v>75</v>
      </c>
      <c r="I2692" t="s">
        <v>76</v>
      </c>
      <c r="J2692" t="s">
        <v>77</v>
      </c>
      <c r="K2692" t="s">
        <v>78</v>
      </c>
      <c r="L2692" t="s">
        <v>117</v>
      </c>
      <c r="M2692" t="s">
        <v>118</v>
      </c>
      <c r="N2692" t="s">
        <v>192</v>
      </c>
      <c r="O2692" t="s">
        <v>82</v>
      </c>
      <c r="P2692" t="str">
        <f>"4170039902                    "</f>
        <v xml:space="preserve">4170039902                    </v>
      </c>
      <c r="Q2692">
        <v>0</v>
      </c>
      <c r="R2692">
        <v>0</v>
      </c>
      <c r="S2692">
        <v>0</v>
      </c>
      <c r="T2692">
        <v>0</v>
      </c>
      <c r="U2692">
        <v>0</v>
      </c>
      <c r="V2692">
        <v>0</v>
      </c>
      <c r="W2692">
        <v>0</v>
      </c>
      <c r="X2692">
        <v>0</v>
      </c>
      <c r="Y2692">
        <v>0</v>
      </c>
      <c r="Z2692">
        <v>0</v>
      </c>
      <c r="AA2692">
        <v>0</v>
      </c>
      <c r="AB2692">
        <v>0</v>
      </c>
      <c r="AC2692">
        <v>0</v>
      </c>
      <c r="AD2692">
        <v>0</v>
      </c>
      <c r="AE2692">
        <v>0</v>
      </c>
      <c r="AF2692">
        <v>0</v>
      </c>
      <c r="AG2692">
        <v>0</v>
      </c>
      <c r="AH2692">
        <v>0</v>
      </c>
      <c r="AI2692">
        <v>0</v>
      </c>
      <c r="AJ2692">
        <v>0</v>
      </c>
      <c r="AK2692">
        <v>0</v>
      </c>
      <c r="AL2692">
        <v>0</v>
      </c>
      <c r="AM2692">
        <v>0</v>
      </c>
      <c r="AN2692">
        <v>0</v>
      </c>
      <c r="AO2692">
        <v>0</v>
      </c>
      <c r="AP2692">
        <v>0</v>
      </c>
      <c r="AQ2692">
        <v>32.07</v>
      </c>
      <c r="AR2692">
        <v>0</v>
      </c>
      <c r="AS2692">
        <v>0</v>
      </c>
      <c r="AT2692">
        <v>0</v>
      </c>
      <c r="AU2692">
        <v>0</v>
      </c>
      <c r="AV2692">
        <v>0</v>
      </c>
      <c r="AW2692">
        <v>16.739999999999998</v>
      </c>
      <c r="AX2692">
        <v>0</v>
      </c>
      <c r="AY2692">
        <v>0</v>
      </c>
      <c r="AZ2692">
        <v>0</v>
      </c>
      <c r="BA2692">
        <v>0</v>
      </c>
      <c r="BB2692">
        <v>0</v>
      </c>
      <c r="BC2692">
        <v>0</v>
      </c>
      <c r="BD2692">
        <v>0</v>
      </c>
      <c r="BE2692">
        <v>0</v>
      </c>
      <c r="BF2692">
        <v>0</v>
      </c>
      <c r="BG2692">
        <v>0</v>
      </c>
      <c r="BH2692">
        <v>1</v>
      </c>
      <c r="BI2692">
        <v>3</v>
      </c>
      <c r="BJ2692">
        <v>1.9</v>
      </c>
      <c r="BK2692">
        <v>3</v>
      </c>
      <c r="BL2692">
        <v>121.69</v>
      </c>
      <c r="BM2692">
        <v>18.25</v>
      </c>
      <c r="BN2692">
        <v>139.94</v>
      </c>
      <c r="BO2692">
        <v>139.94</v>
      </c>
      <c r="BQ2692" t="s">
        <v>193</v>
      </c>
      <c r="BR2692" t="s">
        <v>84</v>
      </c>
      <c r="BS2692" s="3">
        <v>45800</v>
      </c>
      <c r="BT2692" s="4">
        <v>0.46111111111111114</v>
      </c>
      <c r="BU2692" t="s">
        <v>2851</v>
      </c>
      <c r="BV2692" t="s">
        <v>89</v>
      </c>
      <c r="BY2692">
        <v>9600</v>
      </c>
      <c r="BZ2692" t="s">
        <v>30</v>
      </c>
      <c r="CA2692" t="s">
        <v>1448</v>
      </c>
      <c r="CC2692" t="s">
        <v>118</v>
      </c>
      <c r="CD2692">
        <v>1832</v>
      </c>
      <c r="CE2692" t="s">
        <v>96</v>
      </c>
      <c r="CF2692" s="3">
        <v>45803</v>
      </c>
      <c r="CI2692">
        <v>0</v>
      </c>
      <c r="CJ2692">
        <v>0</v>
      </c>
      <c r="CK2692">
        <v>21</v>
      </c>
      <c r="CL2692" t="s">
        <v>89</v>
      </c>
    </row>
    <row r="2693" spans="1:90" x14ac:dyDescent="0.3">
      <c r="A2693" t="s">
        <v>72</v>
      </c>
      <c r="B2693" t="s">
        <v>73</v>
      </c>
      <c r="C2693" t="s">
        <v>74</v>
      </c>
      <c r="E2693" t="str">
        <f>"080065493719"</f>
        <v>080065493719</v>
      </c>
      <c r="F2693" s="3">
        <v>45798</v>
      </c>
      <c r="G2693">
        <v>202602</v>
      </c>
      <c r="H2693" t="s">
        <v>75</v>
      </c>
      <c r="I2693" t="s">
        <v>76</v>
      </c>
      <c r="J2693" t="s">
        <v>77</v>
      </c>
      <c r="K2693" t="s">
        <v>78</v>
      </c>
      <c r="L2693" t="s">
        <v>103</v>
      </c>
      <c r="M2693" t="s">
        <v>104</v>
      </c>
      <c r="N2693" t="s">
        <v>105</v>
      </c>
      <c r="O2693" t="s">
        <v>82</v>
      </c>
      <c r="P2693" t="str">
        <f>"4170039959                    "</f>
        <v xml:space="preserve">4170039959                    </v>
      </c>
      <c r="Q2693">
        <v>0</v>
      </c>
      <c r="R2693">
        <v>0</v>
      </c>
      <c r="S2693">
        <v>0</v>
      </c>
      <c r="T2693">
        <v>0</v>
      </c>
      <c r="U2693">
        <v>0</v>
      </c>
      <c r="V2693">
        <v>0</v>
      </c>
      <c r="W2693">
        <v>0</v>
      </c>
      <c r="X2693">
        <v>0</v>
      </c>
      <c r="Y2693">
        <v>0</v>
      </c>
      <c r="Z2693">
        <v>0</v>
      </c>
      <c r="AA2693">
        <v>0</v>
      </c>
      <c r="AB2693">
        <v>0</v>
      </c>
      <c r="AC2693">
        <v>0</v>
      </c>
      <c r="AD2693">
        <v>0</v>
      </c>
      <c r="AE2693">
        <v>0</v>
      </c>
      <c r="AF2693">
        <v>0</v>
      </c>
      <c r="AG2693">
        <v>0</v>
      </c>
      <c r="AH2693">
        <v>0</v>
      </c>
      <c r="AI2693">
        <v>0</v>
      </c>
      <c r="AJ2693">
        <v>0</v>
      </c>
      <c r="AK2693">
        <v>0</v>
      </c>
      <c r="AL2693">
        <v>0</v>
      </c>
      <c r="AM2693">
        <v>0</v>
      </c>
      <c r="AN2693">
        <v>0</v>
      </c>
      <c r="AO2693">
        <v>0</v>
      </c>
      <c r="AP2693">
        <v>0</v>
      </c>
      <c r="AQ2693">
        <v>21.38</v>
      </c>
      <c r="AR2693">
        <v>0</v>
      </c>
      <c r="AS2693">
        <v>0</v>
      </c>
      <c r="AT2693">
        <v>0</v>
      </c>
      <c r="AU2693">
        <v>0</v>
      </c>
      <c r="AV2693">
        <v>0</v>
      </c>
      <c r="AW2693">
        <v>0</v>
      </c>
      <c r="AX2693">
        <v>0</v>
      </c>
      <c r="AY2693">
        <v>0</v>
      </c>
      <c r="AZ2693">
        <v>0</v>
      </c>
      <c r="BA2693">
        <v>0</v>
      </c>
      <c r="BB2693">
        <v>0</v>
      </c>
      <c r="BC2693">
        <v>0</v>
      </c>
      <c r="BD2693">
        <v>0</v>
      </c>
      <c r="BE2693">
        <v>0</v>
      </c>
      <c r="BF2693">
        <v>0</v>
      </c>
      <c r="BG2693">
        <v>0</v>
      </c>
      <c r="BH2693">
        <v>1</v>
      </c>
      <c r="BI2693">
        <v>1</v>
      </c>
      <c r="BJ2693">
        <v>0.2</v>
      </c>
      <c r="BK2693">
        <v>1</v>
      </c>
      <c r="BL2693">
        <v>69.98</v>
      </c>
      <c r="BM2693">
        <v>10.5</v>
      </c>
      <c r="BN2693">
        <v>80.48</v>
      </c>
      <c r="BO2693">
        <v>80.48</v>
      </c>
      <c r="BQ2693" t="s">
        <v>106</v>
      </c>
      <c r="BR2693" t="s">
        <v>84</v>
      </c>
      <c r="BS2693" s="3">
        <v>45799</v>
      </c>
      <c r="BT2693" s="4">
        <v>0.46111111111111114</v>
      </c>
      <c r="BU2693" t="s">
        <v>107</v>
      </c>
      <c r="BV2693" t="s">
        <v>86</v>
      </c>
      <c r="BY2693">
        <v>1200</v>
      </c>
      <c r="CA2693" t="s">
        <v>108</v>
      </c>
      <c r="CC2693" t="s">
        <v>104</v>
      </c>
      <c r="CD2693">
        <v>3201</v>
      </c>
      <c r="CE2693" t="s">
        <v>88</v>
      </c>
      <c r="CF2693" s="3">
        <v>45799</v>
      </c>
      <c r="CI2693">
        <v>1</v>
      </c>
      <c r="CJ2693">
        <v>1</v>
      </c>
      <c r="CK2693">
        <v>21</v>
      </c>
      <c r="CL2693" t="s">
        <v>89</v>
      </c>
    </row>
    <row r="2694" spans="1:90" x14ac:dyDescent="0.3">
      <c r="A2694" t="s">
        <v>72</v>
      </c>
      <c r="B2694" t="s">
        <v>73</v>
      </c>
      <c r="C2694" t="s">
        <v>74</v>
      </c>
      <c r="E2694" t="str">
        <f>"080065493725"</f>
        <v>080065493725</v>
      </c>
      <c r="F2694" s="3">
        <v>45798</v>
      </c>
      <c r="G2694">
        <v>202602</v>
      </c>
      <c r="H2694" t="s">
        <v>75</v>
      </c>
      <c r="I2694" t="s">
        <v>76</v>
      </c>
      <c r="J2694" t="s">
        <v>77</v>
      </c>
      <c r="K2694" t="s">
        <v>78</v>
      </c>
      <c r="L2694" t="s">
        <v>311</v>
      </c>
      <c r="M2694" t="s">
        <v>312</v>
      </c>
      <c r="N2694" t="s">
        <v>2852</v>
      </c>
      <c r="O2694" t="s">
        <v>82</v>
      </c>
      <c r="P2694" t="str">
        <f>"4170039930                    "</f>
        <v xml:space="preserve">4170039930                    </v>
      </c>
      <c r="Q2694">
        <v>0</v>
      </c>
      <c r="R2694">
        <v>0</v>
      </c>
      <c r="S2694">
        <v>0</v>
      </c>
      <c r="T2694">
        <v>0</v>
      </c>
      <c r="U2694">
        <v>0</v>
      </c>
      <c r="V2694">
        <v>0</v>
      </c>
      <c r="W2694">
        <v>0</v>
      </c>
      <c r="X2694">
        <v>0</v>
      </c>
      <c r="Y2694">
        <v>0</v>
      </c>
      <c r="Z2694">
        <v>0</v>
      </c>
      <c r="AA2694">
        <v>0</v>
      </c>
      <c r="AB2694">
        <v>0</v>
      </c>
      <c r="AC2694">
        <v>0</v>
      </c>
      <c r="AD2694">
        <v>0</v>
      </c>
      <c r="AE2694">
        <v>0</v>
      </c>
      <c r="AF2694">
        <v>0</v>
      </c>
      <c r="AG2694">
        <v>0</v>
      </c>
      <c r="AH2694">
        <v>0</v>
      </c>
      <c r="AI2694">
        <v>0</v>
      </c>
      <c r="AJ2694">
        <v>0</v>
      </c>
      <c r="AK2694">
        <v>0</v>
      </c>
      <c r="AL2694">
        <v>0</v>
      </c>
      <c r="AM2694">
        <v>0</v>
      </c>
      <c r="AN2694">
        <v>0</v>
      </c>
      <c r="AO2694">
        <v>0</v>
      </c>
      <c r="AP2694">
        <v>0</v>
      </c>
      <c r="AQ2694">
        <v>16.7</v>
      </c>
      <c r="AR2694">
        <v>0</v>
      </c>
      <c r="AS2694">
        <v>0</v>
      </c>
      <c r="AT2694">
        <v>0</v>
      </c>
      <c r="AU2694">
        <v>0</v>
      </c>
      <c r="AV2694">
        <v>0</v>
      </c>
      <c r="AW2694">
        <v>0</v>
      </c>
      <c r="AX2694">
        <v>0</v>
      </c>
      <c r="AY2694">
        <v>0</v>
      </c>
      <c r="AZ2694">
        <v>0</v>
      </c>
      <c r="BA2694">
        <v>0</v>
      </c>
      <c r="BB2694">
        <v>0</v>
      </c>
      <c r="BC2694">
        <v>0</v>
      </c>
      <c r="BD2694">
        <v>0</v>
      </c>
      <c r="BE2694">
        <v>0</v>
      </c>
      <c r="BF2694">
        <v>0</v>
      </c>
      <c r="BG2694">
        <v>0</v>
      </c>
      <c r="BH2694">
        <v>1</v>
      </c>
      <c r="BI2694">
        <v>1</v>
      </c>
      <c r="BJ2694">
        <v>0.9</v>
      </c>
      <c r="BK2694">
        <v>1</v>
      </c>
      <c r="BL2694">
        <v>54.66</v>
      </c>
      <c r="BM2694">
        <v>8.1999999999999993</v>
      </c>
      <c r="BN2694">
        <v>62.86</v>
      </c>
      <c r="BO2694">
        <v>62.86</v>
      </c>
      <c r="BQ2694" t="s">
        <v>2853</v>
      </c>
      <c r="BR2694" t="s">
        <v>84</v>
      </c>
      <c r="BS2694" s="3">
        <v>45799</v>
      </c>
      <c r="BT2694" s="4">
        <v>0.42430555555555555</v>
      </c>
      <c r="BU2694" t="s">
        <v>2854</v>
      </c>
      <c r="BV2694" t="s">
        <v>86</v>
      </c>
      <c r="BY2694">
        <v>4560</v>
      </c>
      <c r="CA2694" t="s">
        <v>316</v>
      </c>
      <c r="CC2694" t="s">
        <v>312</v>
      </c>
      <c r="CD2694">
        <v>1500</v>
      </c>
      <c r="CE2694" t="s">
        <v>116</v>
      </c>
      <c r="CF2694" s="3">
        <v>45800</v>
      </c>
      <c r="CI2694">
        <v>1</v>
      </c>
      <c r="CJ2694">
        <v>1</v>
      </c>
      <c r="CK2694">
        <v>22</v>
      </c>
      <c r="CL2694" t="s">
        <v>89</v>
      </c>
    </row>
    <row r="2695" spans="1:90" x14ac:dyDescent="0.3">
      <c r="A2695" t="s">
        <v>72</v>
      </c>
      <c r="B2695" t="s">
        <v>73</v>
      </c>
      <c r="C2695" t="s">
        <v>74</v>
      </c>
      <c r="E2695" t="str">
        <f>"080065493772"</f>
        <v>080065493772</v>
      </c>
      <c r="F2695" s="3">
        <v>45798</v>
      </c>
      <c r="G2695">
        <v>202602</v>
      </c>
      <c r="H2695" t="s">
        <v>75</v>
      </c>
      <c r="I2695" t="s">
        <v>76</v>
      </c>
      <c r="J2695" t="s">
        <v>77</v>
      </c>
      <c r="K2695" t="s">
        <v>78</v>
      </c>
      <c r="L2695" t="s">
        <v>624</v>
      </c>
      <c r="M2695" t="s">
        <v>625</v>
      </c>
      <c r="N2695" t="s">
        <v>626</v>
      </c>
      <c r="O2695" t="s">
        <v>82</v>
      </c>
      <c r="P2695" t="str">
        <f>"4170039770                    "</f>
        <v xml:space="preserve">4170039770                    </v>
      </c>
      <c r="Q2695">
        <v>0</v>
      </c>
      <c r="R2695">
        <v>0</v>
      </c>
      <c r="S2695">
        <v>0</v>
      </c>
      <c r="T2695">
        <v>0</v>
      </c>
      <c r="U2695">
        <v>0</v>
      </c>
      <c r="V2695">
        <v>0</v>
      </c>
      <c r="W2695">
        <v>0</v>
      </c>
      <c r="X2695">
        <v>0</v>
      </c>
      <c r="Y2695">
        <v>0</v>
      </c>
      <c r="Z2695">
        <v>0</v>
      </c>
      <c r="AA2695">
        <v>0</v>
      </c>
      <c r="AB2695">
        <v>0</v>
      </c>
      <c r="AC2695">
        <v>0</v>
      </c>
      <c r="AD2695">
        <v>0</v>
      </c>
      <c r="AE2695">
        <v>0</v>
      </c>
      <c r="AF2695">
        <v>0</v>
      </c>
      <c r="AG2695">
        <v>0</v>
      </c>
      <c r="AH2695">
        <v>0</v>
      </c>
      <c r="AI2695">
        <v>0</v>
      </c>
      <c r="AJ2695">
        <v>0</v>
      </c>
      <c r="AK2695">
        <v>0</v>
      </c>
      <c r="AL2695">
        <v>0</v>
      </c>
      <c r="AM2695">
        <v>0</v>
      </c>
      <c r="AN2695">
        <v>0</v>
      </c>
      <c r="AO2695">
        <v>0</v>
      </c>
      <c r="AP2695">
        <v>0</v>
      </c>
      <c r="AQ2695">
        <v>41.43</v>
      </c>
      <c r="AR2695">
        <v>0</v>
      </c>
      <c r="AS2695">
        <v>0</v>
      </c>
      <c r="AT2695">
        <v>0</v>
      </c>
      <c r="AU2695">
        <v>0</v>
      </c>
      <c r="AV2695">
        <v>0</v>
      </c>
      <c r="AW2695">
        <v>0</v>
      </c>
      <c r="AX2695">
        <v>0</v>
      </c>
      <c r="AY2695">
        <v>0</v>
      </c>
      <c r="AZ2695">
        <v>0</v>
      </c>
      <c r="BA2695">
        <v>0</v>
      </c>
      <c r="BB2695">
        <v>0</v>
      </c>
      <c r="BC2695">
        <v>0</v>
      </c>
      <c r="BD2695">
        <v>0</v>
      </c>
      <c r="BE2695">
        <v>0</v>
      </c>
      <c r="BF2695">
        <v>0</v>
      </c>
      <c r="BG2695">
        <v>0</v>
      </c>
      <c r="BH2695">
        <v>1</v>
      </c>
      <c r="BI2695">
        <v>1</v>
      </c>
      <c r="BJ2695">
        <v>0.2</v>
      </c>
      <c r="BK2695">
        <v>1</v>
      </c>
      <c r="BL2695">
        <v>135.59</v>
      </c>
      <c r="BM2695">
        <v>20.34</v>
      </c>
      <c r="BN2695">
        <v>155.93</v>
      </c>
      <c r="BO2695">
        <v>155.93</v>
      </c>
      <c r="BQ2695" t="s">
        <v>627</v>
      </c>
      <c r="BR2695" t="s">
        <v>84</v>
      </c>
      <c r="BS2695" s="3">
        <v>45799</v>
      </c>
      <c r="BT2695" s="4">
        <v>0.35416666666666669</v>
      </c>
      <c r="BU2695" t="s">
        <v>1674</v>
      </c>
      <c r="BV2695" t="s">
        <v>86</v>
      </c>
      <c r="BY2695">
        <v>1200</v>
      </c>
      <c r="CC2695" t="s">
        <v>625</v>
      </c>
      <c r="CD2695">
        <v>1947</v>
      </c>
      <c r="CE2695" t="s">
        <v>88</v>
      </c>
      <c r="CF2695" s="3">
        <v>45799</v>
      </c>
      <c r="CI2695">
        <v>1</v>
      </c>
      <c r="CJ2695">
        <v>1</v>
      </c>
      <c r="CK2695">
        <v>23</v>
      </c>
      <c r="CL2695" t="s">
        <v>89</v>
      </c>
    </row>
    <row r="2696" spans="1:90" x14ac:dyDescent="0.3">
      <c r="A2696" t="s">
        <v>72</v>
      </c>
      <c r="B2696" t="s">
        <v>73</v>
      </c>
      <c r="C2696" t="s">
        <v>74</v>
      </c>
      <c r="E2696" t="str">
        <f>"080065493819"</f>
        <v>080065493819</v>
      </c>
      <c r="F2696" s="3">
        <v>45798</v>
      </c>
      <c r="G2696">
        <v>202602</v>
      </c>
      <c r="H2696" t="s">
        <v>75</v>
      </c>
      <c r="I2696" t="s">
        <v>76</v>
      </c>
      <c r="J2696" t="s">
        <v>77</v>
      </c>
      <c r="K2696" t="s">
        <v>78</v>
      </c>
      <c r="L2696" t="s">
        <v>130</v>
      </c>
      <c r="M2696" t="s">
        <v>131</v>
      </c>
      <c r="N2696" t="s">
        <v>343</v>
      </c>
      <c r="O2696" t="s">
        <v>82</v>
      </c>
      <c r="P2696" t="str">
        <f>"4170039747                    "</f>
        <v xml:space="preserve">4170039747                    </v>
      </c>
      <c r="Q2696">
        <v>0</v>
      </c>
      <c r="R2696">
        <v>0</v>
      </c>
      <c r="S2696">
        <v>0</v>
      </c>
      <c r="T2696">
        <v>0</v>
      </c>
      <c r="U2696">
        <v>0</v>
      </c>
      <c r="V2696">
        <v>0</v>
      </c>
      <c r="W2696">
        <v>0</v>
      </c>
      <c r="X2696">
        <v>0</v>
      </c>
      <c r="Y2696">
        <v>0</v>
      </c>
      <c r="Z2696">
        <v>0</v>
      </c>
      <c r="AA2696">
        <v>0</v>
      </c>
      <c r="AB2696">
        <v>0</v>
      </c>
      <c r="AC2696">
        <v>0</v>
      </c>
      <c r="AD2696">
        <v>0</v>
      </c>
      <c r="AE2696">
        <v>0</v>
      </c>
      <c r="AF2696">
        <v>0</v>
      </c>
      <c r="AG2696">
        <v>0</v>
      </c>
      <c r="AH2696">
        <v>0</v>
      </c>
      <c r="AI2696">
        <v>0</v>
      </c>
      <c r="AJ2696">
        <v>0</v>
      </c>
      <c r="AK2696">
        <v>0</v>
      </c>
      <c r="AL2696">
        <v>0</v>
      </c>
      <c r="AM2696">
        <v>0</v>
      </c>
      <c r="AN2696">
        <v>0</v>
      </c>
      <c r="AO2696">
        <v>0</v>
      </c>
      <c r="AP2696">
        <v>0</v>
      </c>
      <c r="AQ2696">
        <v>21.38</v>
      </c>
      <c r="AR2696">
        <v>0</v>
      </c>
      <c r="AS2696">
        <v>0</v>
      </c>
      <c r="AT2696">
        <v>0</v>
      </c>
      <c r="AU2696">
        <v>0</v>
      </c>
      <c r="AV2696">
        <v>0</v>
      </c>
      <c r="AW2696">
        <v>0</v>
      </c>
      <c r="AX2696">
        <v>0</v>
      </c>
      <c r="AY2696">
        <v>0</v>
      </c>
      <c r="AZ2696">
        <v>0</v>
      </c>
      <c r="BA2696">
        <v>0</v>
      </c>
      <c r="BB2696">
        <v>0</v>
      </c>
      <c r="BC2696">
        <v>0</v>
      </c>
      <c r="BD2696">
        <v>0</v>
      </c>
      <c r="BE2696">
        <v>0</v>
      </c>
      <c r="BF2696">
        <v>0</v>
      </c>
      <c r="BG2696">
        <v>0</v>
      </c>
      <c r="BH2696">
        <v>1</v>
      </c>
      <c r="BI2696">
        <v>1</v>
      </c>
      <c r="BJ2696">
        <v>1.7</v>
      </c>
      <c r="BK2696">
        <v>2</v>
      </c>
      <c r="BL2696">
        <v>69.98</v>
      </c>
      <c r="BM2696">
        <v>10.5</v>
      </c>
      <c r="BN2696">
        <v>80.48</v>
      </c>
      <c r="BO2696">
        <v>80.48</v>
      </c>
      <c r="BQ2696" t="s">
        <v>344</v>
      </c>
      <c r="BR2696" t="s">
        <v>84</v>
      </c>
      <c r="BS2696" s="3">
        <v>45799</v>
      </c>
      <c r="BT2696" s="4">
        <v>0.40069444444444446</v>
      </c>
      <c r="BU2696" t="s">
        <v>345</v>
      </c>
      <c r="BV2696" t="s">
        <v>86</v>
      </c>
      <c r="BY2696">
        <v>8512</v>
      </c>
      <c r="CA2696" t="s">
        <v>242</v>
      </c>
      <c r="CC2696" t="s">
        <v>131</v>
      </c>
      <c r="CD2696">
        <v>7441</v>
      </c>
      <c r="CE2696" t="s">
        <v>116</v>
      </c>
      <c r="CF2696" s="3">
        <v>45800</v>
      </c>
      <c r="CI2696">
        <v>1</v>
      </c>
      <c r="CJ2696">
        <v>1</v>
      </c>
      <c r="CK2696">
        <v>21</v>
      </c>
      <c r="CL2696" t="s">
        <v>89</v>
      </c>
    </row>
    <row r="2697" spans="1:90" x14ac:dyDescent="0.3">
      <c r="A2697" t="s">
        <v>72</v>
      </c>
      <c r="B2697" t="s">
        <v>73</v>
      </c>
      <c r="C2697" t="s">
        <v>74</v>
      </c>
      <c r="E2697" t="str">
        <f>"080065493835"</f>
        <v>080065493835</v>
      </c>
      <c r="F2697" s="3">
        <v>45798</v>
      </c>
      <c r="G2697">
        <v>202602</v>
      </c>
      <c r="H2697" t="s">
        <v>75</v>
      </c>
      <c r="I2697" t="s">
        <v>76</v>
      </c>
      <c r="J2697" t="s">
        <v>77</v>
      </c>
      <c r="K2697" t="s">
        <v>78</v>
      </c>
      <c r="L2697" t="s">
        <v>79</v>
      </c>
      <c r="M2697" t="s">
        <v>80</v>
      </c>
      <c r="N2697" t="s">
        <v>357</v>
      </c>
      <c r="O2697" t="s">
        <v>82</v>
      </c>
      <c r="P2697" t="str">
        <f>"4170039923                    "</f>
        <v xml:space="preserve">4170039923                    </v>
      </c>
      <c r="Q2697">
        <v>0</v>
      </c>
      <c r="R2697">
        <v>0</v>
      </c>
      <c r="S2697">
        <v>0</v>
      </c>
      <c r="T2697">
        <v>0</v>
      </c>
      <c r="U2697">
        <v>0</v>
      </c>
      <c r="V2697">
        <v>0</v>
      </c>
      <c r="W2697">
        <v>0</v>
      </c>
      <c r="X2697">
        <v>0</v>
      </c>
      <c r="Y2697">
        <v>0</v>
      </c>
      <c r="Z2697">
        <v>0</v>
      </c>
      <c r="AA2697">
        <v>0</v>
      </c>
      <c r="AB2697">
        <v>0</v>
      </c>
      <c r="AC2697">
        <v>0</v>
      </c>
      <c r="AD2697">
        <v>0</v>
      </c>
      <c r="AE2697">
        <v>0</v>
      </c>
      <c r="AF2697">
        <v>0</v>
      </c>
      <c r="AG2697">
        <v>0</v>
      </c>
      <c r="AH2697">
        <v>0</v>
      </c>
      <c r="AI2697">
        <v>0</v>
      </c>
      <c r="AJ2697">
        <v>0</v>
      </c>
      <c r="AK2697">
        <v>0</v>
      </c>
      <c r="AL2697">
        <v>0</v>
      </c>
      <c r="AM2697">
        <v>0</v>
      </c>
      <c r="AN2697">
        <v>0</v>
      </c>
      <c r="AO2697">
        <v>0</v>
      </c>
      <c r="AP2697">
        <v>0</v>
      </c>
      <c r="AQ2697">
        <v>21.38</v>
      </c>
      <c r="AR2697">
        <v>0</v>
      </c>
      <c r="AS2697">
        <v>0</v>
      </c>
      <c r="AT2697">
        <v>0</v>
      </c>
      <c r="AU2697">
        <v>0</v>
      </c>
      <c r="AV2697">
        <v>0</v>
      </c>
      <c r="AW2697">
        <v>0</v>
      </c>
      <c r="AX2697">
        <v>0</v>
      </c>
      <c r="AY2697">
        <v>0</v>
      </c>
      <c r="AZ2697">
        <v>0</v>
      </c>
      <c r="BA2697">
        <v>0</v>
      </c>
      <c r="BB2697">
        <v>0</v>
      </c>
      <c r="BC2697">
        <v>0</v>
      </c>
      <c r="BD2697">
        <v>0</v>
      </c>
      <c r="BE2697">
        <v>0</v>
      </c>
      <c r="BF2697">
        <v>0</v>
      </c>
      <c r="BG2697">
        <v>0</v>
      </c>
      <c r="BH2697">
        <v>1</v>
      </c>
      <c r="BI2697">
        <v>1</v>
      </c>
      <c r="BJ2697">
        <v>0.2</v>
      </c>
      <c r="BK2697">
        <v>1</v>
      </c>
      <c r="BL2697">
        <v>69.98</v>
      </c>
      <c r="BM2697">
        <v>10.5</v>
      </c>
      <c r="BN2697">
        <v>80.48</v>
      </c>
      <c r="BO2697">
        <v>80.48</v>
      </c>
      <c r="BQ2697" t="s">
        <v>358</v>
      </c>
      <c r="BR2697" t="s">
        <v>84</v>
      </c>
      <c r="BS2697" s="3">
        <v>45799</v>
      </c>
      <c r="BT2697" s="4">
        <v>0.48194444444444445</v>
      </c>
      <c r="BU2697" t="s">
        <v>1821</v>
      </c>
      <c r="BV2697" t="s">
        <v>89</v>
      </c>
      <c r="BW2697" t="s">
        <v>296</v>
      </c>
      <c r="BX2697" t="s">
        <v>325</v>
      </c>
      <c r="BY2697">
        <v>1200</v>
      </c>
      <c r="CA2697" t="s">
        <v>87</v>
      </c>
      <c r="CC2697" t="s">
        <v>80</v>
      </c>
      <c r="CD2697">
        <v>3608</v>
      </c>
      <c r="CE2697" t="s">
        <v>88</v>
      </c>
      <c r="CF2697" s="3">
        <v>45799</v>
      </c>
      <c r="CI2697">
        <v>1</v>
      </c>
      <c r="CJ2697">
        <v>1</v>
      </c>
      <c r="CK2697">
        <v>21</v>
      </c>
      <c r="CL2697" t="s">
        <v>89</v>
      </c>
    </row>
    <row r="2698" spans="1:90" x14ac:dyDescent="0.3">
      <c r="A2698" t="s">
        <v>72</v>
      </c>
      <c r="B2698" t="s">
        <v>73</v>
      </c>
      <c r="C2698" t="s">
        <v>74</v>
      </c>
      <c r="E2698" t="str">
        <f>"080065493963"</f>
        <v>080065493963</v>
      </c>
      <c r="F2698" s="3">
        <v>45798</v>
      </c>
      <c r="G2698">
        <v>202602</v>
      </c>
      <c r="H2698" t="s">
        <v>75</v>
      </c>
      <c r="I2698" t="s">
        <v>76</v>
      </c>
      <c r="J2698" t="s">
        <v>77</v>
      </c>
      <c r="K2698" t="s">
        <v>78</v>
      </c>
      <c r="L2698" t="s">
        <v>90</v>
      </c>
      <c r="M2698" t="s">
        <v>91</v>
      </c>
      <c r="N2698" t="s">
        <v>914</v>
      </c>
      <c r="O2698" t="s">
        <v>82</v>
      </c>
      <c r="P2698" t="str">
        <f>"4170039904                    "</f>
        <v xml:space="preserve">4170039904                    </v>
      </c>
      <c r="Q2698">
        <v>0</v>
      </c>
      <c r="R2698">
        <v>0</v>
      </c>
      <c r="S2698">
        <v>0</v>
      </c>
      <c r="T2698">
        <v>0</v>
      </c>
      <c r="U2698">
        <v>0</v>
      </c>
      <c r="V2698">
        <v>0</v>
      </c>
      <c r="W2698">
        <v>0</v>
      </c>
      <c r="X2698">
        <v>0</v>
      </c>
      <c r="Y2698">
        <v>0</v>
      </c>
      <c r="Z2698">
        <v>0</v>
      </c>
      <c r="AA2698">
        <v>0</v>
      </c>
      <c r="AB2698">
        <v>0</v>
      </c>
      <c r="AC2698">
        <v>0</v>
      </c>
      <c r="AD2698">
        <v>0</v>
      </c>
      <c r="AE2698">
        <v>0</v>
      </c>
      <c r="AF2698">
        <v>0</v>
      </c>
      <c r="AG2698">
        <v>0</v>
      </c>
      <c r="AH2698">
        <v>0</v>
      </c>
      <c r="AI2698">
        <v>0</v>
      </c>
      <c r="AJ2698">
        <v>0</v>
      </c>
      <c r="AK2698">
        <v>0</v>
      </c>
      <c r="AL2698">
        <v>0</v>
      </c>
      <c r="AM2698">
        <v>0</v>
      </c>
      <c r="AN2698">
        <v>0</v>
      </c>
      <c r="AO2698">
        <v>0</v>
      </c>
      <c r="AP2698">
        <v>0</v>
      </c>
      <c r="AQ2698">
        <v>21.38</v>
      </c>
      <c r="AR2698">
        <v>0</v>
      </c>
      <c r="AS2698">
        <v>0</v>
      </c>
      <c r="AT2698">
        <v>0</v>
      </c>
      <c r="AU2698">
        <v>0</v>
      </c>
      <c r="AV2698">
        <v>0</v>
      </c>
      <c r="AW2698">
        <v>0</v>
      </c>
      <c r="AX2698">
        <v>0</v>
      </c>
      <c r="AY2698">
        <v>0</v>
      </c>
      <c r="AZ2698">
        <v>0</v>
      </c>
      <c r="BA2698">
        <v>0</v>
      </c>
      <c r="BB2698">
        <v>0</v>
      </c>
      <c r="BC2698">
        <v>0</v>
      </c>
      <c r="BD2698">
        <v>0</v>
      </c>
      <c r="BE2698">
        <v>0</v>
      </c>
      <c r="BF2698">
        <v>0</v>
      </c>
      <c r="BG2698">
        <v>0</v>
      </c>
      <c r="BH2698">
        <v>1</v>
      </c>
      <c r="BI2698">
        <v>1</v>
      </c>
      <c r="BJ2698">
        <v>0.2</v>
      </c>
      <c r="BK2698">
        <v>1</v>
      </c>
      <c r="BL2698">
        <v>69.98</v>
      </c>
      <c r="BM2698">
        <v>10.5</v>
      </c>
      <c r="BN2698">
        <v>80.48</v>
      </c>
      <c r="BO2698">
        <v>80.48</v>
      </c>
      <c r="BQ2698" t="s">
        <v>915</v>
      </c>
      <c r="BR2698" t="s">
        <v>84</v>
      </c>
      <c r="BS2698" s="3">
        <v>45799</v>
      </c>
      <c r="BT2698" s="4">
        <v>0.41458333333333336</v>
      </c>
      <c r="BU2698" t="s">
        <v>1926</v>
      </c>
      <c r="BV2698" t="s">
        <v>86</v>
      </c>
      <c r="BY2698">
        <v>1200</v>
      </c>
      <c r="CA2698" t="s">
        <v>95</v>
      </c>
      <c r="CC2698" t="s">
        <v>91</v>
      </c>
      <c r="CD2698">
        <v>6001</v>
      </c>
      <c r="CE2698" t="s">
        <v>88</v>
      </c>
      <c r="CF2698" s="3">
        <v>45800</v>
      </c>
      <c r="CI2698">
        <v>1</v>
      </c>
      <c r="CJ2698">
        <v>1</v>
      </c>
      <c r="CK2698">
        <v>21</v>
      </c>
      <c r="CL2698" t="s">
        <v>89</v>
      </c>
    </row>
    <row r="2699" spans="1:90" x14ac:dyDescent="0.3">
      <c r="A2699" t="s">
        <v>72</v>
      </c>
      <c r="B2699" t="s">
        <v>73</v>
      </c>
      <c r="C2699" t="s">
        <v>74</v>
      </c>
      <c r="E2699" t="str">
        <f>"080065493969"</f>
        <v>080065493969</v>
      </c>
      <c r="F2699" s="3">
        <v>45798</v>
      </c>
      <c r="G2699">
        <v>202602</v>
      </c>
      <c r="H2699" t="s">
        <v>75</v>
      </c>
      <c r="I2699" t="s">
        <v>76</v>
      </c>
      <c r="J2699" t="s">
        <v>77</v>
      </c>
      <c r="K2699" t="s">
        <v>78</v>
      </c>
      <c r="L2699" t="s">
        <v>117</v>
      </c>
      <c r="M2699" t="s">
        <v>118</v>
      </c>
      <c r="N2699" t="s">
        <v>1160</v>
      </c>
      <c r="O2699" t="s">
        <v>82</v>
      </c>
      <c r="P2699" t="str">
        <f>"4170039888                    "</f>
        <v xml:space="preserve">4170039888                    </v>
      </c>
      <c r="Q2699">
        <v>0</v>
      </c>
      <c r="R2699">
        <v>0</v>
      </c>
      <c r="S2699">
        <v>0</v>
      </c>
      <c r="T2699">
        <v>0</v>
      </c>
      <c r="U2699">
        <v>0</v>
      </c>
      <c r="V2699">
        <v>0</v>
      </c>
      <c r="W2699">
        <v>0</v>
      </c>
      <c r="X2699">
        <v>0</v>
      </c>
      <c r="Y2699">
        <v>0</v>
      </c>
      <c r="Z2699">
        <v>0</v>
      </c>
      <c r="AA2699">
        <v>0</v>
      </c>
      <c r="AB2699">
        <v>0</v>
      </c>
      <c r="AC2699">
        <v>0</v>
      </c>
      <c r="AD2699">
        <v>0</v>
      </c>
      <c r="AE2699">
        <v>0</v>
      </c>
      <c r="AF2699">
        <v>0</v>
      </c>
      <c r="AG2699">
        <v>0</v>
      </c>
      <c r="AH2699">
        <v>0</v>
      </c>
      <c r="AI2699">
        <v>0</v>
      </c>
      <c r="AJ2699">
        <v>0</v>
      </c>
      <c r="AK2699">
        <v>0</v>
      </c>
      <c r="AL2699">
        <v>0</v>
      </c>
      <c r="AM2699">
        <v>0</v>
      </c>
      <c r="AN2699">
        <v>0</v>
      </c>
      <c r="AO2699">
        <v>0</v>
      </c>
      <c r="AP2699">
        <v>0</v>
      </c>
      <c r="AQ2699">
        <v>16.7</v>
      </c>
      <c r="AR2699">
        <v>0</v>
      </c>
      <c r="AS2699">
        <v>0</v>
      </c>
      <c r="AT2699">
        <v>0</v>
      </c>
      <c r="AU2699">
        <v>0</v>
      </c>
      <c r="AV2699">
        <v>0</v>
      </c>
      <c r="AW2699">
        <v>0</v>
      </c>
      <c r="AX2699">
        <v>0</v>
      </c>
      <c r="AY2699">
        <v>0</v>
      </c>
      <c r="AZ2699">
        <v>0</v>
      </c>
      <c r="BA2699">
        <v>0</v>
      </c>
      <c r="BB2699">
        <v>0</v>
      </c>
      <c r="BC2699">
        <v>0</v>
      </c>
      <c r="BD2699">
        <v>0</v>
      </c>
      <c r="BE2699">
        <v>0</v>
      </c>
      <c r="BF2699">
        <v>0</v>
      </c>
      <c r="BG2699">
        <v>0</v>
      </c>
      <c r="BH2699">
        <v>1</v>
      </c>
      <c r="BI2699">
        <v>5</v>
      </c>
      <c r="BJ2699">
        <v>4.8</v>
      </c>
      <c r="BK2699">
        <v>5</v>
      </c>
      <c r="BL2699">
        <v>54.66</v>
      </c>
      <c r="BM2699">
        <v>8.1999999999999993</v>
      </c>
      <c r="BN2699">
        <v>62.86</v>
      </c>
      <c r="BO2699">
        <v>62.86</v>
      </c>
      <c r="BQ2699" t="s">
        <v>1161</v>
      </c>
      <c r="BR2699" t="s">
        <v>84</v>
      </c>
      <c r="BS2699" s="3">
        <v>45799</v>
      </c>
      <c r="BT2699" s="4">
        <v>0.33263888888888887</v>
      </c>
      <c r="BU2699" t="s">
        <v>2855</v>
      </c>
      <c r="BV2699" t="s">
        <v>86</v>
      </c>
      <c r="BY2699">
        <v>23751</v>
      </c>
      <c r="CA2699" t="s">
        <v>535</v>
      </c>
      <c r="CC2699" t="s">
        <v>118</v>
      </c>
      <c r="CD2699">
        <v>2094</v>
      </c>
      <c r="CE2699" t="s">
        <v>96</v>
      </c>
      <c r="CF2699" s="3">
        <v>45799</v>
      </c>
      <c r="CI2699">
        <v>1</v>
      </c>
      <c r="CJ2699">
        <v>1</v>
      </c>
      <c r="CK2699">
        <v>22</v>
      </c>
      <c r="CL2699" t="s">
        <v>89</v>
      </c>
    </row>
    <row r="2700" spans="1:90" x14ac:dyDescent="0.3">
      <c r="A2700" t="s">
        <v>72</v>
      </c>
      <c r="B2700" t="s">
        <v>73</v>
      </c>
      <c r="C2700" t="s">
        <v>74</v>
      </c>
      <c r="E2700" t="str">
        <f>"080065493995"</f>
        <v>080065493995</v>
      </c>
      <c r="F2700" s="3">
        <v>45798</v>
      </c>
      <c r="G2700">
        <v>202602</v>
      </c>
      <c r="H2700" t="s">
        <v>75</v>
      </c>
      <c r="I2700" t="s">
        <v>76</v>
      </c>
      <c r="J2700" t="s">
        <v>77</v>
      </c>
      <c r="K2700" t="s">
        <v>78</v>
      </c>
      <c r="L2700" t="s">
        <v>463</v>
      </c>
      <c r="M2700" t="s">
        <v>464</v>
      </c>
      <c r="N2700" t="s">
        <v>585</v>
      </c>
      <c r="O2700" t="s">
        <v>82</v>
      </c>
      <c r="P2700" t="str">
        <f>"4170039925                    "</f>
        <v xml:space="preserve">4170039925                    </v>
      </c>
      <c r="Q2700">
        <v>0</v>
      </c>
      <c r="R2700">
        <v>0</v>
      </c>
      <c r="S2700">
        <v>0</v>
      </c>
      <c r="T2700">
        <v>0</v>
      </c>
      <c r="U2700">
        <v>0</v>
      </c>
      <c r="V2700">
        <v>0</v>
      </c>
      <c r="W2700">
        <v>0</v>
      </c>
      <c r="X2700">
        <v>0</v>
      </c>
      <c r="Y2700">
        <v>0</v>
      </c>
      <c r="Z2700">
        <v>0</v>
      </c>
      <c r="AA2700">
        <v>0</v>
      </c>
      <c r="AB2700">
        <v>0</v>
      </c>
      <c r="AC2700">
        <v>0</v>
      </c>
      <c r="AD2700">
        <v>0</v>
      </c>
      <c r="AE2700">
        <v>0</v>
      </c>
      <c r="AF2700">
        <v>0</v>
      </c>
      <c r="AG2700">
        <v>0</v>
      </c>
      <c r="AH2700">
        <v>0</v>
      </c>
      <c r="AI2700">
        <v>0</v>
      </c>
      <c r="AJ2700">
        <v>0</v>
      </c>
      <c r="AK2700">
        <v>0</v>
      </c>
      <c r="AL2700">
        <v>0</v>
      </c>
      <c r="AM2700">
        <v>0</v>
      </c>
      <c r="AN2700">
        <v>0</v>
      </c>
      <c r="AO2700">
        <v>0</v>
      </c>
      <c r="AP2700">
        <v>0</v>
      </c>
      <c r="AQ2700">
        <v>21.38</v>
      </c>
      <c r="AR2700">
        <v>0</v>
      </c>
      <c r="AS2700">
        <v>0</v>
      </c>
      <c r="AT2700">
        <v>0</v>
      </c>
      <c r="AU2700">
        <v>0</v>
      </c>
      <c r="AV2700">
        <v>0</v>
      </c>
      <c r="AW2700">
        <v>0</v>
      </c>
      <c r="AX2700">
        <v>0</v>
      </c>
      <c r="AY2700">
        <v>0</v>
      </c>
      <c r="AZ2700">
        <v>0</v>
      </c>
      <c r="BA2700">
        <v>0</v>
      </c>
      <c r="BB2700">
        <v>0</v>
      </c>
      <c r="BC2700">
        <v>0</v>
      </c>
      <c r="BD2700">
        <v>0</v>
      </c>
      <c r="BE2700">
        <v>0</v>
      </c>
      <c r="BF2700">
        <v>0</v>
      </c>
      <c r="BG2700">
        <v>0</v>
      </c>
      <c r="BH2700">
        <v>1</v>
      </c>
      <c r="BI2700">
        <v>1</v>
      </c>
      <c r="BJ2700">
        <v>0.2</v>
      </c>
      <c r="BK2700">
        <v>1</v>
      </c>
      <c r="BL2700">
        <v>69.98</v>
      </c>
      <c r="BM2700">
        <v>10.5</v>
      </c>
      <c r="BN2700">
        <v>80.48</v>
      </c>
      <c r="BO2700">
        <v>80.48</v>
      </c>
      <c r="BQ2700" t="s">
        <v>586</v>
      </c>
      <c r="BR2700" t="s">
        <v>84</v>
      </c>
      <c r="BS2700" s="3">
        <v>45799</v>
      </c>
      <c r="BT2700" s="4">
        <v>0.48819444444444443</v>
      </c>
      <c r="BU2700" t="s">
        <v>2787</v>
      </c>
      <c r="BV2700" t="s">
        <v>89</v>
      </c>
      <c r="BY2700">
        <v>1200</v>
      </c>
      <c r="CA2700" t="s">
        <v>588</v>
      </c>
      <c r="CC2700" t="s">
        <v>464</v>
      </c>
      <c r="CD2700">
        <v>5200</v>
      </c>
      <c r="CE2700" t="s">
        <v>88</v>
      </c>
      <c r="CF2700" s="3">
        <v>45799</v>
      </c>
      <c r="CI2700">
        <v>1</v>
      </c>
      <c r="CJ2700">
        <v>1</v>
      </c>
      <c r="CK2700">
        <v>21</v>
      </c>
      <c r="CL2700" t="s">
        <v>89</v>
      </c>
    </row>
    <row r="2701" spans="1:90" x14ac:dyDescent="0.3">
      <c r="A2701" t="s">
        <v>72</v>
      </c>
      <c r="B2701" t="s">
        <v>73</v>
      </c>
      <c r="C2701" t="s">
        <v>74</v>
      </c>
      <c r="E2701" t="str">
        <f>"080065494034"</f>
        <v>080065494034</v>
      </c>
      <c r="F2701" s="3">
        <v>45798</v>
      </c>
      <c r="G2701">
        <v>202602</v>
      </c>
      <c r="H2701" t="s">
        <v>75</v>
      </c>
      <c r="I2701" t="s">
        <v>76</v>
      </c>
      <c r="J2701" t="s">
        <v>77</v>
      </c>
      <c r="K2701" t="s">
        <v>78</v>
      </c>
      <c r="L2701" t="s">
        <v>117</v>
      </c>
      <c r="M2701" t="s">
        <v>118</v>
      </c>
      <c r="N2701" t="s">
        <v>1394</v>
      </c>
      <c r="O2701" t="s">
        <v>82</v>
      </c>
      <c r="P2701" t="str">
        <f>"4170039756                    "</f>
        <v xml:space="preserve">4170039756                    </v>
      </c>
      <c r="Q2701">
        <v>0</v>
      </c>
      <c r="R2701">
        <v>0</v>
      </c>
      <c r="S2701">
        <v>0</v>
      </c>
      <c r="T2701">
        <v>0</v>
      </c>
      <c r="U2701">
        <v>0</v>
      </c>
      <c r="V2701">
        <v>0</v>
      </c>
      <c r="W2701">
        <v>0</v>
      </c>
      <c r="X2701">
        <v>0</v>
      </c>
      <c r="Y2701">
        <v>0</v>
      </c>
      <c r="Z2701">
        <v>0</v>
      </c>
      <c r="AA2701">
        <v>0</v>
      </c>
      <c r="AB2701">
        <v>0</v>
      </c>
      <c r="AC2701">
        <v>0</v>
      </c>
      <c r="AD2701">
        <v>0</v>
      </c>
      <c r="AE2701">
        <v>0</v>
      </c>
      <c r="AF2701">
        <v>0</v>
      </c>
      <c r="AG2701">
        <v>0</v>
      </c>
      <c r="AH2701">
        <v>0</v>
      </c>
      <c r="AI2701">
        <v>0</v>
      </c>
      <c r="AJ2701">
        <v>0</v>
      </c>
      <c r="AK2701">
        <v>0</v>
      </c>
      <c r="AL2701">
        <v>0</v>
      </c>
      <c r="AM2701">
        <v>0</v>
      </c>
      <c r="AN2701">
        <v>0</v>
      </c>
      <c r="AO2701">
        <v>0</v>
      </c>
      <c r="AP2701">
        <v>0</v>
      </c>
      <c r="AQ2701">
        <v>16.7</v>
      </c>
      <c r="AR2701">
        <v>0</v>
      </c>
      <c r="AS2701">
        <v>0</v>
      </c>
      <c r="AT2701">
        <v>0</v>
      </c>
      <c r="AU2701">
        <v>0</v>
      </c>
      <c r="AV2701">
        <v>0</v>
      </c>
      <c r="AW2701">
        <v>0</v>
      </c>
      <c r="AX2701">
        <v>0</v>
      </c>
      <c r="AY2701">
        <v>0</v>
      </c>
      <c r="AZ2701">
        <v>0</v>
      </c>
      <c r="BA2701">
        <v>0</v>
      </c>
      <c r="BB2701">
        <v>0</v>
      </c>
      <c r="BC2701">
        <v>0</v>
      </c>
      <c r="BD2701">
        <v>0</v>
      </c>
      <c r="BE2701">
        <v>0</v>
      </c>
      <c r="BF2701">
        <v>0</v>
      </c>
      <c r="BG2701">
        <v>0</v>
      </c>
      <c r="BH2701">
        <v>1</v>
      </c>
      <c r="BI2701">
        <v>1</v>
      </c>
      <c r="BJ2701">
        <v>0.2</v>
      </c>
      <c r="BK2701">
        <v>1</v>
      </c>
      <c r="BL2701">
        <v>54.66</v>
      </c>
      <c r="BM2701">
        <v>8.1999999999999993</v>
      </c>
      <c r="BN2701">
        <v>62.86</v>
      </c>
      <c r="BO2701">
        <v>62.86</v>
      </c>
      <c r="BQ2701" t="s">
        <v>1395</v>
      </c>
      <c r="BR2701" t="s">
        <v>84</v>
      </c>
      <c r="BS2701" s="3">
        <v>45799</v>
      </c>
      <c r="BT2701" s="4">
        <v>0.4375</v>
      </c>
      <c r="BU2701" t="s">
        <v>1396</v>
      </c>
      <c r="BV2701" t="s">
        <v>86</v>
      </c>
      <c r="BY2701">
        <v>1200</v>
      </c>
      <c r="CA2701" t="s">
        <v>1397</v>
      </c>
      <c r="CC2701" t="s">
        <v>118</v>
      </c>
      <c r="CD2701">
        <v>2000</v>
      </c>
      <c r="CE2701" t="s">
        <v>88</v>
      </c>
      <c r="CF2701" s="3">
        <v>45799</v>
      </c>
      <c r="CI2701">
        <v>1</v>
      </c>
      <c r="CJ2701">
        <v>1</v>
      </c>
      <c r="CK2701">
        <v>22</v>
      </c>
      <c r="CL2701" t="s">
        <v>89</v>
      </c>
    </row>
    <row r="2702" spans="1:90" x14ac:dyDescent="0.3">
      <c r="A2702" t="s">
        <v>72</v>
      </c>
      <c r="B2702" t="s">
        <v>73</v>
      </c>
      <c r="C2702" t="s">
        <v>74</v>
      </c>
      <c r="E2702" t="str">
        <f>"080065494060"</f>
        <v>080065494060</v>
      </c>
      <c r="F2702" s="3">
        <v>45798</v>
      </c>
      <c r="G2702">
        <v>202602</v>
      </c>
      <c r="H2702" t="s">
        <v>75</v>
      </c>
      <c r="I2702" t="s">
        <v>76</v>
      </c>
      <c r="J2702" t="s">
        <v>77</v>
      </c>
      <c r="K2702" t="s">
        <v>78</v>
      </c>
      <c r="L2702" t="s">
        <v>136</v>
      </c>
      <c r="M2702" t="s">
        <v>137</v>
      </c>
      <c r="N2702" t="s">
        <v>250</v>
      </c>
      <c r="O2702" t="s">
        <v>82</v>
      </c>
      <c r="P2702" t="str">
        <f>"4170039763                    "</f>
        <v xml:space="preserve">4170039763                    </v>
      </c>
      <c r="Q2702">
        <v>0</v>
      </c>
      <c r="R2702">
        <v>0</v>
      </c>
      <c r="S2702">
        <v>0</v>
      </c>
      <c r="T2702">
        <v>0</v>
      </c>
      <c r="U2702">
        <v>0</v>
      </c>
      <c r="V2702">
        <v>0</v>
      </c>
      <c r="W2702">
        <v>0</v>
      </c>
      <c r="X2702">
        <v>0</v>
      </c>
      <c r="Y2702">
        <v>0</v>
      </c>
      <c r="Z2702">
        <v>0</v>
      </c>
      <c r="AA2702">
        <v>0</v>
      </c>
      <c r="AB2702">
        <v>0</v>
      </c>
      <c r="AC2702">
        <v>0</v>
      </c>
      <c r="AD2702">
        <v>0</v>
      </c>
      <c r="AE2702">
        <v>0</v>
      </c>
      <c r="AF2702">
        <v>0</v>
      </c>
      <c r="AG2702">
        <v>0</v>
      </c>
      <c r="AH2702">
        <v>0</v>
      </c>
      <c r="AI2702">
        <v>0</v>
      </c>
      <c r="AJ2702">
        <v>0</v>
      </c>
      <c r="AK2702">
        <v>0</v>
      </c>
      <c r="AL2702">
        <v>0</v>
      </c>
      <c r="AM2702">
        <v>0</v>
      </c>
      <c r="AN2702">
        <v>0</v>
      </c>
      <c r="AO2702">
        <v>0</v>
      </c>
      <c r="AP2702">
        <v>0</v>
      </c>
      <c r="AQ2702">
        <v>21.38</v>
      </c>
      <c r="AR2702">
        <v>0</v>
      </c>
      <c r="AS2702">
        <v>0</v>
      </c>
      <c r="AT2702">
        <v>0</v>
      </c>
      <c r="AU2702">
        <v>0</v>
      </c>
      <c r="AV2702">
        <v>0</v>
      </c>
      <c r="AW2702">
        <v>0</v>
      </c>
      <c r="AX2702">
        <v>0</v>
      </c>
      <c r="AY2702">
        <v>0</v>
      </c>
      <c r="AZ2702">
        <v>0</v>
      </c>
      <c r="BA2702">
        <v>0</v>
      </c>
      <c r="BB2702">
        <v>0</v>
      </c>
      <c r="BC2702">
        <v>0</v>
      </c>
      <c r="BD2702">
        <v>0</v>
      </c>
      <c r="BE2702">
        <v>0</v>
      </c>
      <c r="BF2702">
        <v>0</v>
      </c>
      <c r="BG2702">
        <v>0</v>
      </c>
      <c r="BH2702">
        <v>1</v>
      </c>
      <c r="BI2702">
        <v>1</v>
      </c>
      <c r="BJ2702">
        <v>0.2</v>
      </c>
      <c r="BK2702">
        <v>1</v>
      </c>
      <c r="BL2702">
        <v>69.98</v>
      </c>
      <c r="BM2702">
        <v>10.5</v>
      </c>
      <c r="BN2702">
        <v>80.48</v>
      </c>
      <c r="BO2702">
        <v>80.48</v>
      </c>
      <c r="BQ2702" t="s">
        <v>251</v>
      </c>
      <c r="BR2702" t="s">
        <v>84</v>
      </c>
      <c r="BS2702" s="3">
        <v>45800</v>
      </c>
      <c r="BT2702" s="4">
        <v>0.43611111111111112</v>
      </c>
      <c r="BU2702" t="s">
        <v>252</v>
      </c>
      <c r="BV2702" t="s">
        <v>89</v>
      </c>
      <c r="BW2702" t="s">
        <v>148</v>
      </c>
      <c r="BX2702" t="s">
        <v>2856</v>
      </c>
      <c r="BY2702">
        <v>1200</v>
      </c>
      <c r="CA2702" t="s">
        <v>253</v>
      </c>
      <c r="CC2702" t="s">
        <v>137</v>
      </c>
      <c r="CD2702" s="5" t="s">
        <v>254</v>
      </c>
      <c r="CE2702" t="s">
        <v>88</v>
      </c>
      <c r="CF2702" s="3">
        <v>45800</v>
      </c>
      <c r="CI2702">
        <v>1</v>
      </c>
      <c r="CJ2702">
        <v>2</v>
      </c>
      <c r="CK2702">
        <v>21</v>
      </c>
      <c r="CL2702" t="s">
        <v>89</v>
      </c>
    </row>
    <row r="2703" spans="1:90" x14ac:dyDescent="0.3">
      <c r="A2703" t="s">
        <v>72</v>
      </c>
      <c r="B2703" t="s">
        <v>73</v>
      </c>
      <c r="C2703" t="s">
        <v>74</v>
      </c>
      <c r="E2703" t="str">
        <f>"080065494099"</f>
        <v>080065494099</v>
      </c>
      <c r="F2703" s="3">
        <v>45798</v>
      </c>
      <c r="G2703">
        <v>202602</v>
      </c>
      <c r="H2703" t="s">
        <v>75</v>
      </c>
      <c r="I2703" t="s">
        <v>76</v>
      </c>
      <c r="J2703" t="s">
        <v>77</v>
      </c>
      <c r="K2703" t="s">
        <v>78</v>
      </c>
      <c r="L2703" t="s">
        <v>151</v>
      </c>
      <c r="M2703" t="s">
        <v>152</v>
      </c>
      <c r="N2703" t="s">
        <v>2482</v>
      </c>
      <c r="O2703" t="s">
        <v>82</v>
      </c>
      <c r="P2703" t="str">
        <f>"4170039741                    "</f>
        <v xml:space="preserve">4170039741                    </v>
      </c>
      <c r="Q2703">
        <v>0</v>
      </c>
      <c r="R2703">
        <v>0</v>
      </c>
      <c r="S2703">
        <v>0</v>
      </c>
      <c r="T2703">
        <v>0</v>
      </c>
      <c r="U2703">
        <v>0</v>
      </c>
      <c r="V2703">
        <v>0</v>
      </c>
      <c r="W2703">
        <v>0</v>
      </c>
      <c r="X2703">
        <v>0</v>
      </c>
      <c r="Y2703">
        <v>0</v>
      </c>
      <c r="Z2703">
        <v>0</v>
      </c>
      <c r="AA2703">
        <v>0</v>
      </c>
      <c r="AB2703">
        <v>0</v>
      </c>
      <c r="AC2703">
        <v>0</v>
      </c>
      <c r="AD2703">
        <v>0</v>
      </c>
      <c r="AE2703">
        <v>0</v>
      </c>
      <c r="AF2703">
        <v>0</v>
      </c>
      <c r="AG2703">
        <v>0</v>
      </c>
      <c r="AH2703">
        <v>0</v>
      </c>
      <c r="AI2703">
        <v>0</v>
      </c>
      <c r="AJ2703">
        <v>0</v>
      </c>
      <c r="AK2703">
        <v>0</v>
      </c>
      <c r="AL2703">
        <v>0</v>
      </c>
      <c r="AM2703">
        <v>0</v>
      </c>
      <c r="AN2703">
        <v>0</v>
      </c>
      <c r="AO2703">
        <v>0</v>
      </c>
      <c r="AP2703">
        <v>0</v>
      </c>
      <c r="AQ2703">
        <v>41.43</v>
      </c>
      <c r="AR2703">
        <v>0</v>
      </c>
      <c r="AS2703">
        <v>0</v>
      </c>
      <c r="AT2703">
        <v>0</v>
      </c>
      <c r="AU2703">
        <v>0</v>
      </c>
      <c r="AV2703">
        <v>0</v>
      </c>
      <c r="AW2703">
        <v>0</v>
      </c>
      <c r="AX2703">
        <v>0</v>
      </c>
      <c r="AY2703">
        <v>0</v>
      </c>
      <c r="AZ2703">
        <v>0</v>
      </c>
      <c r="BA2703">
        <v>0</v>
      </c>
      <c r="BB2703">
        <v>0</v>
      </c>
      <c r="BC2703">
        <v>0</v>
      </c>
      <c r="BD2703">
        <v>0</v>
      </c>
      <c r="BE2703">
        <v>0</v>
      </c>
      <c r="BF2703">
        <v>0</v>
      </c>
      <c r="BG2703">
        <v>0</v>
      </c>
      <c r="BH2703">
        <v>1</v>
      </c>
      <c r="BI2703">
        <v>1</v>
      </c>
      <c r="BJ2703">
        <v>0.2</v>
      </c>
      <c r="BK2703">
        <v>1</v>
      </c>
      <c r="BL2703">
        <v>135.59</v>
      </c>
      <c r="BM2703">
        <v>20.34</v>
      </c>
      <c r="BN2703">
        <v>155.93</v>
      </c>
      <c r="BO2703">
        <v>155.93</v>
      </c>
      <c r="BQ2703" t="s">
        <v>2483</v>
      </c>
      <c r="BR2703" t="s">
        <v>84</v>
      </c>
      <c r="BS2703" s="3">
        <v>45799</v>
      </c>
      <c r="BT2703" s="4">
        <v>0.4375</v>
      </c>
      <c r="BU2703" t="s">
        <v>2857</v>
      </c>
      <c r="BV2703" t="s">
        <v>86</v>
      </c>
      <c r="BY2703">
        <v>1200</v>
      </c>
      <c r="CA2703" t="s">
        <v>156</v>
      </c>
      <c r="CC2703" t="s">
        <v>152</v>
      </c>
      <c r="CD2703">
        <v>1911</v>
      </c>
      <c r="CE2703" t="s">
        <v>176</v>
      </c>
      <c r="CF2703" s="3">
        <v>45799</v>
      </c>
      <c r="CI2703">
        <v>1</v>
      </c>
      <c r="CJ2703">
        <v>1</v>
      </c>
      <c r="CK2703">
        <v>23</v>
      </c>
      <c r="CL2703" t="s">
        <v>89</v>
      </c>
    </row>
    <row r="2704" spans="1:90" x14ac:dyDescent="0.3">
      <c r="A2704" t="s">
        <v>72</v>
      </c>
      <c r="B2704" t="s">
        <v>73</v>
      </c>
      <c r="C2704" t="s">
        <v>74</v>
      </c>
      <c r="E2704" t="str">
        <f>"080065494123"</f>
        <v>080065494123</v>
      </c>
      <c r="F2704" s="3">
        <v>45798</v>
      </c>
      <c r="G2704">
        <v>202602</v>
      </c>
      <c r="H2704" t="s">
        <v>75</v>
      </c>
      <c r="I2704" t="s">
        <v>76</v>
      </c>
      <c r="J2704" t="s">
        <v>77</v>
      </c>
      <c r="K2704" t="s">
        <v>78</v>
      </c>
      <c r="L2704" t="s">
        <v>624</v>
      </c>
      <c r="M2704" t="s">
        <v>625</v>
      </c>
      <c r="N2704" t="s">
        <v>626</v>
      </c>
      <c r="O2704" t="s">
        <v>82</v>
      </c>
      <c r="P2704" t="str">
        <f>"4170039771                    "</f>
        <v xml:space="preserve">4170039771                    </v>
      </c>
      <c r="Q2704">
        <v>0</v>
      </c>
      <c r="R2704">
        <v>0</v>
      </c>
      <c r="S2704">
        <v>0</v>
      </c>
      <c r="T2704">
        <v>0</v>
      </c>
      <c r="U2704">
        <v>0</v>
      </c>
      <c r="V2704">
        <v>0</v>
      </c>
      <c r="W2704">
        <v>0</v>
      </c>
      <c r="X2704">
        <v>0</v>
      </c>
      <c r="Y2704">
        <v>0</v>
      </c>
      <c r="Z2704">
        <v>0</v>
      </c>
      <c r="AA2704">
        <v>0</v>
      </c>
      <c r="AB2704">
        <v>0</v>
      </c>
      <c r="AC2704">
        <v>0</v>
      </c>
      <c r="AD2704">
        <v>0</v>
      </c>
      <c r="AE2704">
        <v>0</v>
      </c>
      <c r="AF2704">
        <v>0</v>
      </c>
      <c r="AG2704">
        <v>0</v>
      </c>
      <c r="AH2704">
        <v>0</v>
      </c>
      <c r="AI2704">
        <v>0</v>
      </c>
      <c r="AJ2704">
        <v>0</v>
      </c>
      <c r="AK2704">
        <v>0</v>
      </c>
      <c r="AL2704">
        <v>0</v>
      </c>
      <c r="AM2704">
        <v>0</v>
      </c>
      <c r="AN2704">
        <v>0</v>
      </c>
      <c r="AO2704">
        <v>0</v>
      </c>
      <c r="AP2704">
        <v>0</v>
      </c>
      <c r="AQ2704">
        <v>41.43</v>
      </c>
      <c r="AR2704">
        <v>0</v>
      </c>
      <c r="AS2704">
        <v>0</v>
      </c>
      <c r="AT2704">
        <v>0</v>
      </c>
      <c r="AU2704">
        <v>0</v>
      </c>
      <c r="AV2704">
        <v>0</v>
      </c>
      <c r="AW2704">
        <v>0</v>
      </c>
      <c r="AX2704">
        <v>0</v>
      </c>
      <c r="AY2704">
        <v>0</v>
      </c>
      <c r="AZ2704">
        <v>0</v>
      </c>
      <c r="BA2704">
        <v>0</v>
      </c>
      <c r="BB2704">
        <v>0</v>
      </c>
      <c r="BC2704">
        <v>0</v>
      </c>
      <c r="BD2704">
        <v>0</v>
      </c>
      <c r="BE2704">
        <v>0</v>
      </c>
      <c r="BF2704">
        <v>0</v>
      </c>
      <c r="BG2704">
        <v>0</v>
      </c>
      <c r="BH2704">
        <v>1</v>
      </c>
      <c r="BI2704">
        <v>1</v>
      </c>
      <c r="BJ2704">
        <v>0.2</v>
      </c>
      <c r="BK2704">
        <v>1</v>
      </c>
      <c r="BL2704">
        <v>135.59</v>
      </c>
      <c r="BM2704">
        <v>20.34</v>
      </c>
      <c r="BN2704">
        <v>155.93</v>
      </c>
      <c r="BO2704">
        <v>155.93</v>
      </c>
      <c r="BQ2704" t="s">
        <v>627</v>
      </c>
      <c r="BR2704" t="s">
        <v>84</v>
      </c>
      <c r="BS2704" s="3">
        <v>45799</v>
      </c>
      <c r="BT2704" s="4">
        <v>0.35416666666666669</v>
      </c>
      <c r="BU2704" t="s">
        <v>1674</v>
      </c>
      <c r="BV2704" t="s">
        <v>86</v>
      </c>
      <c r="BY2704">
        <v>1200</v>
      </c>
      <c r="CC2704" t="s">
        <v>625</v>
      </c>
      <c r="CD2704">
        <v>1947</v>
      </c>
      <c r="CE2704" t="s">
        <v>88</v>
      </c>
      <c r="CF2704" s="3">
        <v>45799</v>
      </c>
      <c r="CI2704">
        <v>1</v>
      </c>
      <c r="CJ2704">
        <v>1</v>
      </c>
      <c r="CK2704">
        <v>23</v>
      </c>
      <c r="CL2704" t="s">
        <v>89</v>
      </c>
    </row>
    <row r="2705" spans="1:90" x14ac:dyDescent="0.3">
      <c r="A2705" t="s">
        <v>72</v>
      </c>
      <c r="B2705" t="s">
        <v>73</v>
      </c>
      <c r="C2705" t="s">
        <v>74</v>
      </c>
      <c r="E2705" t="str">
        <f>"080065494266"</f>
        <v>080065494266</v>
      </c>
      <c r="F2705" s="3">
        <v>45798</v>
      </c>
      <c r="G2705">
        <v>202602</v>
      </c>
      <c r="H2705" t="s">
        <v>75</v>
      </c>
      <c r="I2705" t="s">
        <v>76</v>
      </c>
      <c r="J2705" t="s">
        <v>77</v>
      </c>
      <c r="K2705" t="s">
        <v>78</v>
      </c>
      <c r="L2705" t="s">
        <v>90</v>
      </c>
      <c r="M2705" t="s">
        <v>91</v>
      </c>
      <c r="N2705" t="s">
        <v>469</v>
      </c>
      <c r="O2705" t="s">
        <v>82</v>
      </c>
      <c r="P2705" t="str">
        <f>"4170039931                    "</f>
        <v xml:space="preserve">4170039931                    </v>
      </c>
      <c r="Q2705">
        <v>0</v>
      </c>
      <c r="R2705">
        <v>0</v>
      </c>
      <c r="S2705">
        <v>0</v>
      </c>
      <c r="T2705">
        <v>0</v>
      </c>
      <c r="U2705">
        <v>0</v>
      </c>
      <c r="V2705">
        <v>0</v>
      </c>
      <c r="W2705">
        <v>0</v>
      </c>
      <c r="X2705">
        <v>0</v>
      </c>
      <c r="Y2705">
        <v>0</v>
      </c>
      <c r="Z2705">
        <v>0</v>
      </c>
      <c r="AA2705">
        <v>0</v>
      </c>
      <c r="AB2705">
        <v>0</v>
      </c>
      <c r="AC2705">
        <v>0</v>
      </c>
      <c r="AD2705">
        <v>0</v>
      </c>
      <c r="AE2705">
        <v>0</v>
      </c>
      <c r="AF2705">
        <v>0</v>
      </c>
      <c r="AG2705">
        <v>0</v>
      </c>
      <c r="AH2705">
        <v>0</v>
      </c>
      <c r="AI2705">
        <v>0</v>
      </c>
      <c r="AJ2705">
        <v>0</v>
      </c>
      <c r="AK2705">
        <v>0</v>
      </c>
      <c r="AL2705">
        <v>0</v>
      </c>
      <c r="AM2705">
        <v>0</v>
      </c>
      <c r="AN2705">
        <v>0</v>
      </c>
      <c r="AO2705">
        <v>0</v>
      </c>
      <c r="AP2705">
        <v>0</v>
      </c>
      <c r="AQ2705">
        <v>21.38</v>
      </c>
      <c r="AR2705">
        <v>0</v>
      </c>
      <c r="AS2705">
        <v>0</v>
      </c>
      <c r="AT2705">
        <v>0</v>
      </c>
      <c r="AU2705">
        <v>0</v>
      </c>
      <c r="AV2705">
        <v>0</v>
      </c>
      <c r="AW2705">
        <v>0</v>
      </c>
      <c r="AX2705">
        <v>0</v>
      </c>
      <c r="AY2705">
        <v>0</v>
      </c>
      <c r="AZ2705">
        <v>0</v>
      </c>
      <c r="BA2705">
        <v>0</v>
      </c>
      <c r="BB2705">
        <v>0</v>
      </c>
      <c r="BC2705">
        <v>0</v>
      </c>
      <c r="BD2705">
        <v>0</v>
      </c>
      <c r="BE2705">
        <v>0</v>
      </c>
      <c r="BF2705">
        <v>0</v>
      </c>
      <c r="BG2705">
        <v>0</v>
      </c>
      <c r="BH2705">
        <v>1</v>
      </c>
      <c r="BI2705">
        <v>1</v>
      </c>
      <c r="BJ2705">
        <v>0.2</v>
      </c>
      <c r="BK2705">
        <v>1</v>
      </c>
      <c r="BL2705">
        <v>69.98</v>
      </c>
      <c r="BM2705">
        <v>10.5</v>
      </c>
      <c r="BN2705">
        <v>80.48</v>
      </c>
      <c r="BO2705">
        <v>80.48</v>
      </c>
      <c r="BQ2705" t="s">
        <v>470</v>
      </c>
      <c r="BR2705" t="s">
        <v>84</v>
      </c>
      <c r="BS2705" s="3">
        <v>45799</v>
      </c>
      <c r="BT2705" s="4">
        <v>0.43402777777777779</v>
      </c>
      <c r="BU2705" t="s">
        <v>2858</v>
      </c>
      <c r="BV2705" t="s">
        <v>86</v>
      </c>
      <c r="BY2705">
        <v>1200</v>
      </c>
      <c r="CA2705" t="s">
        <v>182</v>
      </c>
      <c r="CC2705" t="s">
        <v>91</v>
      </c>
      <c r="CD2705">
        <v>6001</v>
      </c>
      <c r="CE2705" t="s">
        <v>88</v>
      </c>
      <c r="CF2705" s="3">
        <v>45799</v>
      </c>
      <c r="CI2705">
        <v>1</v>
      </c>
      <c r="CJ2705">
        <v>1</v>
      </c>
      <c r="CK2705">
        <v>21</v>
      </c>
      <c r="CL2705" t="s">
        <v>89</v>
      </c>
    </row>
    <row r="2706" spans="1:90" x14ac:dyDescent="0.3">
      <c r="A2706" t="s">
        <v>72</v>
      </c>
      <c r="B2706" t="s">
        <v>73</v>
      </c>
      <c r="C2706" t="s">
        <v>74</v>
      </c>
      <c r="E2706" t="str">
        <f>"080065494263"</f>
        <v>080065494263</v>
      </c>
      <c r="F2706" s="3">
        <v>45798</v>
      </c>
      <c r="G2706">
        <v>202602</v>
      </c>
      <c r="H2706" t="s">
        <v>75</v>
      </c>
      <c r="I2706" t="s">
        <v>76</v>
      </c>
      <c r="J2706" t="s">
        <v>77</v>
      </c>
      <c r="K2706" t="s">
        <v>78</v>
      </c>
      <c r="L2706" t="s">
        <v>350</v>
      </c>
      <c r="M2706" t="s">
        <v>351</v>
      </c>
      <c r="N2706" t="s">
        <v>352</v>
      </c>
      <c r="O2706" t="s">
        <v>300</v>
      </c>
      <c r="P2706" t="str">
        <f>"4170039997                    "</f>
        <v xml:space="preserve">4170039997                    </v>
      </c>
      <c r="Q2706">
        <v>0</v>
      </c>
      <c r="R2706">
        <v>0</v>
      </c>
      <c r="S2706">
        <v>0</v>
      </c>
      <c r="T2706">
        <v>0</v>
      </c>
      <c r="U2706">
        <v>0</v>
      </c>
      <c r="V2706">
        <v>0</v>
      </c>
      <c r="W2706">
        <v>0</v>
      </c>
      <c r="X2706">
        <v>0</v>
      </c>
      <c r="Y2706">
        <v>0</v>
      </c>
      <c r="Z2706">
        <v>0</v>
      </c>
      <c r="AA2706">
        <v>0</v>
      </c>
      <c r="AB2706">
        <v>0</v>
      </c>
      <c r="AC2706">
        <v>0</v>
      </c>
      <c r="AD2706">
        <v>0</v>
      </c>
      <c r="AE2706">
        <v>0</v>
      </c>
      <c r="AF2706">
        <v>0</v>
      </c>
      <c r="AG2706">
        <v>0</v>
      </c>
      <c r="AH2706">
        <v>0</v>
      </c>
      <c r="AI2706">
        <v>0</v>
      </c>
      <c r="AJ2706">
        <v>0</v>
      </c>
      <c r="AK2706">
        <v>0</v>
      </c>
      <c r="AL2706">
        <v>0</v>
      </c>
      <c r="AM2706">
        <v>0</v>
      </c>
      <c r="AN2706">
        <v>0</v>
      </c>
      <c r="AO2706">
        <v>0</v>
      </c>
      <c r="AP2706">
        <v>0</v>
      </c>
      <c r="AQ2706">
        <v>41.35</v>
      </c>
      <c r="AR2706">
        <v>0</v>
      </c>
      <c r="AS2706">
        <v>0</v>
      </c>
      <c r="AT2706">
        <v>0</v>
      </c>
      <c r="AU2706">
        <v>0</v>
      </c>
      <c r="AV2706">
        <v>0</v>
      </c>
      <c r="AW2706">
        <v>0</v>
      </c>
      <c r="AX2706">
        <v>0</v>
      </c>
      <c r="AY2706">
        <v>0</v>
      </c>
      <c r="AZ2706">
        <v>0</v>
      </c>
      <c r="BA2706">
        <v>0</v>
      </c>
      <c r="BB2706">
        <v>0</v>
      </c>
      <c r="BC2706">
        <v>0</v>
      </c>
      <c r="BD2706">
        <v>0</v>
      </c>
      <c r="BE2706">
        <v>0</v>
      </c>
      <c r="BF2706">
        <v>0</v>
      </c>
      <c r="BG2706">
        <v>0</v>
      </c>
      <c r="BH2706">
        <v>1</v>
      </c>
      <c r="BI2706">
        <v>10</v>
      </c>
      <c r="BJ2706">
        <v>5.2</v>
      </c>
      <c r="BK2706">
        <v>10</v>
      </c>
      <c r="BL2706">
        <v>140.9</v>
      </c>
      <c r="BM2706">
        <v>21.14</v>
      </c>
      <c r="BN2706">
        <v>162.04</v>
      </c>
      <c r="BO2706">
        <v>162.04</v>
      </c>
      <c r="BQ2706" t="s">
        <v>353</v>
      </c>
      <c r="BR2706" t="s">
        <v>84</v>
      </c>
      <c r="BS2706" s="3">
        <v>45799</v>
      </c>
      <c r="BT2706" s="4">
        <v>0.38541666666666669</v>
      </c>
      <c r="BU2706" t="s">
        <v>2859</v>
      </c>
      <c r="BV2706" t="s">
        <v>86</v>
      </c>
      <c r="BY2706">
        <v>26013</v>
      </c>
      <c r="CA2706" t="s">
        <v>160</v>
      </c>
      <c r="CC2706" t="s">
        <v>351</v>
      </c>
      <c r="CD2706">
        <v>4000</v>
      </c>
      <c r="CE2706" t="s">
        <v>356</v>
      </c>
      <c r="CF2706" s="3">
        <v>45800</v>
      </c>
      <c r="CI2706">
        <v>1</v>
      </c>
      <c r="CJ2706">
        <v>1</v>
      </c>
      <c r="CK2706">
        <v>41</v>
      </c>
      <c r="CL2706" t="s">
        <v>89</v>
      </c>
    </row>
    <row r="2707" spans="1:90" x14ac:dyDescent="0.3">
      <c r="A2707" t="s">
        <v>72</v>
      </c>
      <c r="B2707" t="s">
        <v>73</v>
      </c>
      <c r="C2707" t="s">
        <v>74</v>
      </c>
      <c r="E2707" t="str">
        <f>"080065494364"</f>
        <v>080065494364</v>
      </c>
      <c r="F2707" s="3">
        <v>45798</v>
      </c>
      <c r="G2707">
        <v>202602</v>
      </c>
      <c r="H2707" t="s">
        <v>75</v>
      </c>
      <c r="I2707" t="s">
        <v>76</v>
      </c>
      <c r="J2707" t="s">
        <v>77</v>
      </c>
      <c r="K2707" t="s">
        <v>78</v>
      </c>
      <c r="L2707" t="s">
        <v>350</v>
      </c>
      <c r="M2707" t="s">
        <v>351</v>
      </c>
      <c r="N2707" t="s">
        <v>678</v>
      </c>
      <c r="O2707" t="s">
        <v>82</v>
      </c>
      <c r="P2707" t="str">
        <f>"4170039976                    "</f>
        <v xml:space="preserve">4170039976                    </v>
      </c>
      <c r="Q2707">
        <v>0</v>
      </c>
      <c r="R2707">
        <v>0</v>
      </c>
      <c r="S2707">
        <v>0</v>
      </c>
      <c r="T2707">
        <v>0</v>
      </c>
      <c r="U2707">
        <v>0</v>
      </c>
      <c r="V2707">
        <v>0</v>
      </c>
      <c r="W2707">
        <v>0</v>
      </c>
      <c r="X2707">
        <v>0</v>
      </c>
      <c r="Y2707">
        <v>0</v>
      </c>
      <c r="Z2707">
        <v>0</v>
      </c>
      <c r="AA2707">
        <v>0</v>
      </c>
      <c r="AB2707">
        <v>0</v>
      </c>
      <c r="AC2707">
        <v>0</v>
      </c>
      <c r="AD2707">
        <v>0</v>
      </c>
      <c r="AE2707">
        <v>0</v>
      </c>
      <c r="AF2707">
        <v>0</v>
      </c>
      <c r="AG2707">
        <v>0</v>
      </c>
      <c r="AH2707">
        <v>0</v>
      </c>
      <c r="AI2707">
        <v>0</v>
      </c>
      <c r="AJ2707">
        <v>0</v>
      </c>
      <c r="AK2707">
        <v>0</v>
      </c>
      <c r="AL2707">
        <v>0</v>
      </c>
      <c r="AM2707">
        <v>0</v>
      </c>
      <c r="AN2707">
        <v>0</v>
      </c>
      <c r="AO2707">
        <v>0</v>
      </c>
      <c r="AP2707">
        <v>0</v>
      </c>
      <c r="AQ2707">
        <v>21.38</v>
      </c>
      <c r="AR2707">
        <v>0</v>
      </c>
      <c r="AS2707">
        <v>0</v>
      </c>
      <c r="AT2707">
        <v>0</v>
      </c>
      <c r="AU2707">
        <v>0</v>
      </c>
      <c r="AV2707">
        <v>0</v>
      </c>
      <c r="AW2707">
        <v>0</v>
      </c>
      <c r="AX2707">
        <v>0</v>
      </c>
      <c r="AY2707">
        <v>0</v>
      </c>
      <c r="AZ2707">
        <v>0</v>
      </c>
      <c r="BA2707">
        <v>0</v>
      </c>
      <c r="BB2707">
        <v>0</v>
      </c>
      <c r="BC2707">
        <v>0</v>
      </c>
      <c r="BD2707">
        <v>0</v>
      </c>
      <c r="BE2707">
        <v>0</v>
      </c>
      <c r="BF2707">
        <v>0</v>
      </c>
      <c r="BG2707">
        <v>0</v>
      </c>
      <c r="BH2707">
        <v>1</v>
      </c>
      <c r="BI2707">
        <v>2</v>
      </c>
      <c r="BJ2707">
        <v>0.6</v>
      </c>
      <c r="BK2707">
        <v>2</v>
      </c>
      <c r="BL2707">
        <v>69.98</v>
      </c>
      <c r="BM2707">
        <v>10.5</v>
      </c>
      <c r="BN2707">
        <v>80.48</v>
      </c>
      <c r="BO2707">
        <v>80.48</v>
      </c>
      <c r="BQ2707" t="s">
        <v>679</v>
      </c>
      <c r="BR2707" t="s">
        <v>84</v>
      </c>
      <c r="BS2707" s="3">
        <v>45799</v>
      </c>
      <c r="BT2707" s="4">
        <v>0.41805555555555557</v>
      </c>
      <c r="BU2707" t="s">
        <v>1828</v>
      </c>
      <c r="BV2707" t="s">
        <v>86</v>
      </c>
      <c r="BY2707">
        <v>3192</v>
      </c>
      <c r="CA2707" t="s">
        <v>326</v>
      </c>
      <c r="CC2707" t="s">
        <v>351</v>
      </c>
      <c r="CD2707">
        <v>4052</v>
      </c>
      <c r="CE2707" t="s">
        <v>116</v>
      </c>
      <c r="CF2707" s="3">
        <v>45800</v>
      </c>
      <c r="CI2707">
        <v>1</v>
      </c>
      <c r="CJ2707">
        <v>1</v>
      </c>
      <c r="CK2707">
        <v>21</v>
      </c>
      <c r="CL2707" t="s">
        <v>89</v>
      </c>
    </row>
    <row r="2708" spans="1:90" x14ac:dyDescent="0.3">
      <c r="A2708" t="s">
        <v>72</v>
      </c>
      <c r="B2708" t="s">
        <v>73</v>
      </c>
      <c r="C2708" t="s">
        <v>74</v>
      </c>
      <c r="E2708" t="str">
        <f>"080065494365"</f>
        <v>080065494365</v>
      </c>
      <c r="F2708" s="3">
        <v>45798</v>
      </c>
      <c r="G2708">
        <v>202602</v>
      </c>
      <c r="H2708" t="s">
        <v>75</v>
      </c>
      <c r="I2708" t="s">
        <v>76</v>
      </c>
      <c r="J2708" t="s">
        <v>77</v>
      </c>
      <c r="K2708" t="s">
        <v>78</v>
      </c>
      <c r="L2708" t="s">
        <v>90</v>
      </c>
      <c r="M2708" t="s">
        <v>91</v>
      </c>
      <c r="N2708" t="s">
        <v>2860</v>
      </c>
      <c r="O2708" t="s">
        <v>82</v>
      </c>
      <c r="P2708" t="str">
        <f>"4170039947                    "</f>
        <v xml:space="preserve">4170039947                    </v>
      </c>
      <c r="Q2708">
        <v>0</v>
      </c>
      <c r="R2708">
        <v>0</v>
      </c>
      <c r="S2708">
        <v>0</v>
      </c>
      <c r="T2708">
        <v>0</v>
      </c>
      <c r="U2708">
        <v>0</v>
      </c>
      <c r="V2708">
        <v>0</v>
      </c>
      <c r="W2708">
        <v>0</v>
      </c>
      <c r="X2708">
        <v>0</v>
      </c>
      <c r="Y2708">
        <v>0</v>
      </c>
      <c r="Z2708">
        <v>0</v>
      </c>
      <c r="AA2708">
        <v>0</v>
      </c>
      <c r="AB2708">
        <v>0</v>
      </c>
      <c r="AC2708">
        <v>0</v>
      </c>
      <c r="AD2708">
        <v>0</v>
      </c>
      <c r="AE2708">
        <v>0</v>
      </c>
      <c r="AF2708">
        <v>0</v>
      </c>
      <c r="AG2708">
        <v>0</v>
      </c>
      <c r="AH2708">
        <v>0</v>
      </c>
      <c r="AI2708">
        <v>0</v>
      </c>
      <c r="AJ2708">
        <v>0</v>
      </c>
      <c r="AK2708">
        <v>0</v>
      </c>
      <c r="AL2708">
        <v>0</v>
      </c>
      <c r="AM2708">
        <v>0</v>
      </c>
      <c r="AN2708">
        <v>0</v>
      </c>
      <c r="AO2708">
        <v>0</v>
      </c>
      <c r="AP2708">
        <v>0</v>
      </c>
      <c r="AQ2708">
        <v>21.38</v>
      </c>
      <c r="AR2708">
        <v>0</v>
      </c>
      <c r="AS2708">
        <v>0</v>
      </c>
      <c r="AT2708">
        <v>0</v>
      </c>
      <c r="AU2708">
        <v>0</v>
      </c>
      <c r="AV2708">
        <v>0</v>
      </c>
      <c r="AW2708">
        <v>0</v>
      </c>
      <c r="AX2708">
        <v>0</v>
      </c>
      <c r="AY2708">
        <v>0</v>
      </c>
      <c r="AZ2708">
        <v>0</v>
      </c>
      <c r="BA2708">
        <v>0</v>
      </c>
      <c r="BB2708">
        <v>0</v>
      </c>
      <c r="BC2708">
        <v>0</v>
      </c>
      <c r="BD2708">
        <v>0</v>
      </c>
      <c r="BE2708">
        <v>0</v>
      </c>
      <c r="BF2708">
        <v>0</v>
      </c>
      <c r="BG2708">
        <v>0</v>
      </c>
      <c r="BH2708">
        <v>1</v>
      </c>
      <c r="BI2708">
        <v>1</v>
      </c>
      <c r="BJ2708">
        <v>0.2</v>
      </c>
      <c r="BK2708">
        <v>1</v>
      </c>
      <c r="BL2708">
        <v>69.98</v>
      </c>
      <c r="BM2708">
        <v>10.5</v>
      </c>
      <c r="BN2708">
        <v>80.48</v>
      </c>
      <c r="BO2708">
        <v>80.48</v>
      </c>
      <c r="BQ2708" t="s">
        <v>2861</v>
      </c>
      <c r="BR2708" t="s">
        <v>84</v>
      </c>
      <c r="BS2708" s="3">
        <v>45799</v>
      </c>
      <c r="BT2708" s="4">
        <v>0.38333333333333336</v>
      </c>
      <c r="BU2708" t="s">
        <v>1654</v>
      </c>
      <c r="BV2708" t="s">
        <v>86</v>
      </c>
      <c r="BY2708">
        <v>1200</v>
      </c>
      <c r="CA2708" t="s">
        <v>2862</v>
      </c>
      <c r="CC2708" t="s">
        <v>91</v>
      </c>
      <c r="CD2708">
        <v>6070</v>
      </c>
      <c r="CE2708" t="s">
        <v>88</v>
      </c>
      <c r="CF2708" s="3">
        <v>45799</v>
      </c>
      <c r="CI2708">
        <v>1</v>
      </c>
      <c r="CJ2708">
        <v>1</v>
      </c>
      <c r="CK2708">
        <v>21</v>
      </c>
      <c r="CL2708" t="s">
        <v>89</v>
      </c>
    </row>
    <row r="2709" spans="1:90" x14ac:dyDescent="0.3">
      <c r="A2709" t="s">
        <v>72</v>
      </c>
      <c r="B2709" t="s">
        <v>73</v>
      </c>
      <c r="C2709" t="s">
        <v>74</v>
      </c>
      <c r="E2709" t="str">
        <f>"080065494396"</f>
        <v>080065494396</v>
      </c>
      <c r="F2709" s="3">
        <v>45798</v>
      </c>
      <c r="G2709">
        <v>202602</v>
      </c>
      <c r="H2709" t="s">
        <v>75</v>
      </c>
      <c r="I2709" t="s">
        <v>76</v>
      </c>
      <c r="J2709" t="s">
        <v>77</v>
      </c>
      <c r="K2709" t="s">
        <v>78</v>
      </c>
      <c r="L2709" t="s">
        <v>902</v>
      </c>
      <c r="M2709" t="s">
        <v>903</v>
      </c>
      <c r="N2709" t="s">
        <v>904</v>
      </c>
      <c r="O2709" t="s">
        <v>82</v>
      </c>
      <c r="P2709" t="str">
        <f>"4170039988                    "</f>
        <v xml:space="preserve">4170039988                    </v>
      </c>
      <c r="Q2709">
        <v>0</v>
      </c>
      <c r="R2709">
        <v>0</v>
      </c>
      <c r="S2709">
        <v>0</v>
      </c>
      <c r="T2709">
        <v>0</v>
      </c>
      <c r="U2709">
        <v>0</v>
      </c>
      <c r="V2709">
        <v>0</v>
      </c>
      <c r="W2709">
        <v>0</v>
      </c>
      <c r="X2709">
        <v>0</v>
      </c>
      <c r="Y2709">
        <v>0</v>
      </c>
      <c r="Z2709">
        <v>0</v>
      </c>
      <c r="AA2709">
        <v>0</v>
      </c>
      <c r="AB2709">
        <v>0</v>
      </c>
      <c r="AC2709">
        <v>0</v>
      </c>
      <c r="AD2709">
        <v>0</v>
      </c>
      <c r="AE2709">
        <v>0</v>
      </c>
      <c r="AF2709">
        <v>0</v>
      </c>
      <c r="AG2709">
        <v>0</v>
      </c>
      <c r="AH2709">
        <v>0</v>
      </c>
      <c r="AI2709">
        <v>0</v>
      </c>
      <c r="AJ2709">
        <v>0</v>
      </c>
      <c r="AK2709">
        <v>0</v>
      </c>
      <c r="AL2709">
        <v>0</v>
      </c>
      <c r="AM2709">
        <v>0</v>
      </c>
      <c r="AN2709">
        <v>0</v>
      </c>
      <c r="AO2709">
        <v>0</v>
      </c>
      <c r="AP2709">
        <v>0</v>
      </c>
      <c r="AQ2709">
        <v>41.43</v>
      </c>
      <c r="AR2709">
        <v>0</v>
      </c>
      <c r="AS2709">
        <v>0</v>
      </c>
      <c r="AT2709">
        <v>0</v>
      </c>
      <c r="AU2709">
        <v>0</v>
      </c>
      <c r="AV2709">
        <v>0</v>
      </c>
      <c r="AW2709">
        <v>0</v>
      </c>
      <c r="AX2709">
        <v>0</v>
      </c>
      <c r="AY2709">
        <v>0</v>
      </c>
      <c r="AZ2709">
        <v>0</v>
      </c>
      <c r="BA2709">
        <v>0</v>
      </c>
      <c r="BB2709">
        <v>0</v>
      </c>
      <c r="BC2709">
        <v>0</v>
      </c>
      <c r="BD2709">
        <v>0</v>
      </c>
      <c r="BE2709">
        <v>0</v>
      </c>
      <c r="BF2709">
        <v>0</v>
      </c>
      <c r="BG2709">
        <v>0</v>
      </c>
      <c r="BH2709">
        <v>1</v>
      </c>
      <c r="BI2709">
        <v>1</v>
      </c>
      <c r="BJ2709">
        <v>0.2</v>
      </c>
      <c r="BK2709">
        <v>1</v>
      </c>
      <c r="BL2709">
        <v>135.59</v>
      </c>
      <c r="BM2709">
        <v>20.34</v>
      </c>
      <c r="BN2709">
        <v>155.93</v>
      </c>
      <c r="BO2709">
        <v>155.93</v>
      </c>
      <c r="BQ2709" t="s">
        <v>905</v>
      </c>
      <c r="BR2709" t="s">
        <v>84</v>
      </c>
      <c r="BS2709" s="3">
        <v>45799</v>
      </c>
      <c r="BT2709" s="4">
        <v>0.60416666666666663</v>
      </c>
      <c r="BU2709" t="s">
        <v>906</v>
      </c>
      <c r="BV2709" t="s">
        <v>86</v>
      </c>
      <c r="BY2709">
        <v>1200</v>
      </c>
      <c r="CA2709" t="s">
        <v>1306</v>
      </c>
      <c r="CC2709" t="s">
        <v>903</v>
      </c>
      <c r="CD2709">
        <v>1028</v>
      </c>
      <c r="CE2709" t="s">
        <v>88</v>
      </c>
      <c r="CF2709" s="3">
        <v>45799</v>
      </c>
      <c r="CI2709">
        <v>1</v>
      </c>
      <c r="CJ2709">
        <v>1</v>
      </c>
      <c r="CK2709">
        <v>23</v>
      </c>
      <c r="CL2709" t="s">
        <v>89</v>
      </c>
    </row>
    <row r="2710" spans="1:90" x14ac:dyDescent="0.3">
      <c r="A2710" t="s">
        <v>72</v>
      </c>
      <c r="B2710" t="s">
        <v>73</v>
      </c>
      <c r="C2710" t="s">
        <v>74</v>
      </c>
      <c r="E2710" t="str">
        <f>"080065494407"</f>
        <v>080065494407</v>
      </c>
      <c r="F2710" s="3">
        <v>45798</v>
      </c>
      <c r="G2710">
        <v>202602</v>
      </c>
      <c r="H2710" t="s">
        <v>75</v>
      </c>
      <c r="I2710" t="s">
        <v>76</v>
      </c>
      <c r="J2710" t="s">
        <v>77</v>
      </c>
      <c r="K2710" t="s">
        <v>78</v>
      </c>
      <c r="L2710" t="s">
        <v>90</v>
      </c>
      <c r="M2710" t="s">
        <v>91</v>
      </c>
      <c r="N2710" t="s">
        <v>914</v>
      </c>
      <c r="O2710" t="s">
        <v>82</v>
      </c>
      <c r="P2710" t="str">
        <f>"4170039983                    "</f>
        <v xml:space="preserve">4170039983                    </v>
      </c>
      <c r="Q2710">
        <v>0</v>
      </c>
      <c r="R2710">
        <v>0</v>
      </c>
      <c r="S2710">
        <v>0</v>
      </c>
      <c r="T2710">
        <v>0</v>
      </c>
      <c r="U2710">
        <v>0</v>
      </c>
      <c r="V2710">
        <v>0</v>
      </c>
      <c r="W2710">
        <v>0</v>
      </c>
      <c r="X2710">
        <v>0</v>
      </c>
      <c r="Y2710">
        <v>0</v>
      </c>
      <c r="Z2710">
        <v>0</v>
      </c>
      <c r="AA2710">
        <v>0</v>
      </c>
      <c r="AB2710">
        <v>0</v>
      </c>
      <c r="AC2710">
        <v>0</v>
      </c>
      <c r="AD2710">
        <v>0</v>
      </c>
      <c r="AE2710">
        <v>0</v>
      </c>
      <c r="AF2710">
        <v>0</v>
      </c>
      <c r="AG2710">
        <v>0</v>
      </c>
      <c r="AH2710">
        <v>0</v>
      </c>
      <c r="AI2710">
        <v>0</v>
      </c>
      <c r="AJ2710">
        <v>0</v>
      </c>
      <c r="AK2710">
        <v>0</v>
      </c>
      <c r="AL2710">
        <v>0</v>
      </c>
      <c r="AM2710">
        <v>0</v>
      </c>
      <c r="AN2710">
        <v>0</v>
      </c>
      <c r="AO2710">
        <v>0</v>
      </c>
      <c r="AP2710">
        <v>0</v>
      </c>
      <c r="AQ2710">
        <v>37.409999999999997</v>
      </c>
      <c r="AR2710">
        <v>0</v>
      </c>
      <c r="AS2710">
        <v>0</v>
      </c>
      <c r="AT2710">
        <v>0</v>
      </c>
      <c r="AU2710">
        <v>0</v>
      </c>
      <c r="AV2710">
        <v>0</v>
      </c>
      <c r="AW2710">
        <v>0</v>
      </c>
      <c r="AX2710">
        <v>0</v>
      </c>
      <c r="AY2710">
        <v>0</v>
      </c>
      <c r="AZ2710">
        <v>0</v>
      </c>
      <c r="BA2710">
        <v>0</v>
      </c>
      <c r="BB2710">
        <v>0</v>
      </c>
      <c r="BC2710">
        <v>0</v>
      </c>
      <c r="BD2710">
        <v>0</v>
      </c>
      <c r="BE2710">
        <v>0</v>
      </c>
      <c r="BF2710">
        <v>0</v>
      </c>
      <c r="BG2710">
        <v>0</v>
      </c>
      <c r="BH2710">
        <v>1</v>
      </c>
      <c r="BI2710">
        <v>1</v>
      </c>
      <c r="BJ2710">
        <v>3.1</v>
      </c>
      <c r="BK2710">
        <v>3.5</v>
      </c>
      <c r="BL2710">
        <v>122.43</v>
      </c>
      <c r="BM2710">
        <v>18.36</v>
      </c>
      <c r="BN2710">
        <v>140.79</v>
      </c>
      <c r="BO2710">
        <v>140.79</v>
      </c>
      <c r="BQ2710" t="s">
        <v>915</v>
      </c>
      <c r="BR2710" t="s">
        <v>84</v>
      </c>
      <c r="BS2710" s="3">
        <v>45799</v>
      </c>
      <c r="BT2710" s="4">
        <v>0.41458333333333336</v>
      </c>
      <c r="BU2710" t="s">
        <v>1926</v>
      </c>
      <c r="BV2710" t="s">
        <v>86</v>
      </c>
      <c r="BY2710">
        <v>15360</v>
      </c>
      <c r="CA2710" t="s">
        <v>95</v>
      </c>
      <c r="CC2710" t="s">
        <v>91</v>
      </c>
      <c r="CD2710">
        <v>6001</v>
      </c>
      <c r="CE2710" t="s">
        <v>116</v>
      </c>
      <c r="CF2710" s="3">
        <v>45799</v>
      </c>
      <c r="CI2710">
        <v>1</v>
      </c>
      <c r="CJ2710">
        <v>1</v>
      </c>
      <c r="CK2710">
        <v>21</v>
      </c>
      <c r="CL2710" t="s">
        <v>89</v>
      </c>
    </row>
    <row r="2711" spans="1:90" x14ac:dyDescent="0.3">
      <c r="A2711" t="s">
        <v>72</v>
      </c>
      <c r="B2711" t="s">
        <v>73</v>
      </c>
      <c r="C2711" t="s">
        <v>74</v>
      </c>
      <c r="E2711" t="str">
        <f>"080065494429"</f>
        <v>080065494429</v>
      </c>
      <c r="F2711" s="3">
        <v>45798</v>
      </c>
      <c r="G2711">
        <v>202602</v>
      </c>
      <c r="H2711" t="s">
        <v>75</v>
      </c>
      <c r="I2711" t="s">
        <v>76</v>
      </c>
      <c r="J2711" t="s">
        <v>77</v>
      </c>
      <c r="K2711" t="s">
        <v>78</v>
      </c>
      <c r="L2711" t="s">
        <v>130</v>
      </c>
      <c r="M2711" t="s">
        <v>131</v>
      </c>
      <c r="N2711" t="s">
        <v>909</v>
      </c>
      <c r="O2711" t="s">
        <v>82</v>
      </c>
      <c r="P2711" t="str">
        <f>"4170039949                    "</f>
        <v xml:space="preserve">4170039949                    </v>
      </c>
      <c r="Q2711">
        <v>0</v>
      </c>
      <c r="R2711">
        <v>0</v>
      </c>
      <c r="S2711">
        <v>0</v>
      </c>
      <c r="T2711">
        <v>0</v>
      </c>
      <c r="U2711">
        <v>0</v>
      </c>
      <c r="V2711">
        <v>0</v>
      </c>
      <c r="W2711">
        <v>0</v>
      </c>
      <c r="X2711">
        <v>0</v>
      </c>
      <c r="Y2711">
        <v>0</v>
      </c>
      <c r="Z2711">
        <v>0</v>
      </c>
      <c r="AA2711">
        <v>0</v>
      </c>
      <c r="AB2711">
        <v>0</v>
      </c>
      <c r="AC2711">
        <v>0</v>
      </c>
      <c r="AD2711">
        <v>0</v>
      </c>
      <c r="AE2711">
        <v>0</v>
      </c>
      <c r="AF2711">
        <v>0</v>
      </c>
      <c r="AG2711">
        <v>0</v>
      </c>
      <c r="AH2711">
        <v>0</v>
      </c>
      <c r="AI2711">
        <v>0</v>
      </c>
      <c r="AJ2711">
        <v>0</v>
      </c>
      <c r="AK2711">
        <v>0</v>
      </c>
      <c r="AL2711">
        <v>0</v>
      </c>
      <c r="AM2711">
        <v>0</v>
      </c>
      <c r="AN2711">
        <v>0</v>
      </c>
      <c r="AO2711">
        <v>0</v>
      </c>
      <c r="AP2711">
        <v>0</v>
      </c>
      <c r="AQ2711">
        <v>21.38</v>
      </c>
      <c r="AR2711">
        <v>0</v>
      </c>
      <c r="AS2711">
        <v>0</v>
      </c>
      <c r="AT2711">
        <v>0</v>
      </c>
      <c r="AU2711">
        <v>0</v>
      </c>
      <c r="AV2711">
        <v>0</v>
      </c>
      <c r="AW2711">
        <v>0</v>
      </c>
      <c r="AX2711">
        <v>0</v>
      </c>
      <c r="AY2711">
        <v>0</v>
      </c>
      <c r="AZ2711">
        <v>0</v>
      </c>
      <c r="BA2711">
        <v>0</v>
      </c>
      <c r="BB2711">
        <v>0</v>
      </c>
      <c r="BC2711">
        <v>0</v>
      </c>
      <c r="BD2711">
        <v>0</v>
      </c>
      <c r="BE2711">
        <v>0</v>
      </c>
      <c r="BF2711">
        <v>0</v>
      </c>
      <c r="BG2711">
        <v>0</v>
      </c>
      <c r="BH2711">
        <v>1</v>
      </c>
      <c r="BI2711">
        <v>1</v>
      </c>
      <c r="BJ2711">
        <v>0.2</v>
      </c>
      <c r="BK2711">
        <v>1</v>
      </c>
      <c r="BL2711">
        <v>69.98</v>
      </c>
      <c r="BM2711">
        <v>10.5</v>
      </c>
      <c r="BN2711">
        <v>80.48</v>
      </c>
      <c r="BO2711">
        <v>80.48</v>
      </c>
      <c r="BQ2711" t="s">
        <v>910</v>
      </c>
      <c r="BR2711" t="s">
        <v>84</v>
      </c>
      <c r="BS2711" s="3">
        <v>45799</v>
      </c>
      <c r="BT2711" s="4">
        <v>0.34652777777777777</v>
      </c>
      <c r="BU2711" t="s">
        <v>911</v>
      </c>
      <c r="BV2711" t="s">
        <v>86</v>
      </c>
      <c r="BY2711">
        <v>1200</v>
      </c>
      <c r="CA2711" t="s">
        <v>712</v>
      </c>
      <c r="CC2711" t="s">
        <v>131</v>
      </c>
      <c r="CD2711">
        <v>7530</v>
      </c>
      <c r="CE2711" t="s">
        <v>88</v>
      </c>
      <c r="CF2711" s="3">
        <v>45800</v>
      </c>
      <c r="CI2711">
        <v>1</v>
      </c>
      <c r="CJ2711">
        <v>1</v>
      </c>
      <c r="CK2711">
        <v>21</v>
      </c>
      <c r="CL2711" t="s">
        <v>89</v>
      </c>
    </row>
    <row r="2712" spans="1:90" x14ac:dyDescent="0.3">
      <c r="A2712" t="s">
        <v>72</v>
      </c>
      <c r="B2712" t="s">
        <v>73</v>
      </c>
      <c r="C2712" t="s">
        <v>74</v>
      </c>
      <c r="E2712" t="str">
        <f>"080065494461"</f>
        <v>080065494461</v>
      </c>
      <c r="F2712" s="3">
        <v>45798</v>
      </c>
      <c r="G2712">
        <v>202602</v>
      </c>
      <c r="H2712" t="s">
        <v>75</v>
      </c>
      <c r="I2712" t="s">
        <v>76</v>
      </c>
      <c r="J2712" t="s">
        <v>77</v>
      </c>
      <c r="K2712" t="s">
        <v>78</v>
      </c>
      <c r="L2712" t="s">
        <v>123</v>
      </c>
      <c r="M2712" t="s">
        <v>123</v>
      </c>
      <c r="N2712" t="s">
        <v>124</v>
      </c>
      <c r="O2712" t="s">
        <v>82</v>
      </c>
      <c r="P2712" t="str">
        <f>"4170039971                    "</f>
        <v xml:space="preserve">4170039971                    </v>
      </c>
      <c r="Q2712">
        <v>0</v>
      </c>
      <c r="R2712">
        <v>0</v>
      </c>
      <c r="S2712">
        <v>0</v>
      </c>
      <c r="T2712">
        <v>0</v>
      </c>
      <c r="U2712">
        <v>0</v>
      </c>
      <c r="V2712">
        <v>0</v>
      </c>
      <c r="W2712">
        <v>0</v>
      </c>
      <c r="X2712">
        <v>0</v>
      </c>
      <c r="Y2712">
        <v>0</v>
      </c>
      <c r="Z2712">
        <v>0</v>
      </c>
      <c r="AA2712">
        <v>0</v>
      </c>
      <c r="AB2712">
        <v>0</v>
      </c>
      <c r="AC2712">
        <v>0</v>
      </c>
      <c r="AD2712">
        <v>0</v>
      </c>
      <c r="AE2712">
        <v>0</v>
      </c>
      <c r="AF2712">
        <v>0</v>
      </c>
      <c r="AG2712">
        <v>0</v>
      </c>
      <c r="AH2712">
        <v>0</v>
      </c>
      <c r="AI2712">
        <v>0</v>
      </c>
      <c r="AJ2712">
        <v>0</v>
      </c>
      <c r="AK2712">
        <v>0</v>
      </c>
      <c r="AL2712">
        <v>0</v>
      </c>
      <c r="AM2712">
        <v>0</v>
      </c>
      <c r="AN2712">
        <v>0</v>
      </c>
      <c r="AO2712">
        <v>0</v>
      </c>
      <c r="AP2712">
        <v>0</v>
      </c>
      <c r="AQ2712">
        <v>41.43</v>
      </c>
      <c r="AR2712">
        <v>0</v>
      </c>
      <c r="AS2712">
        <v>0</v>
      </c>
      <c r="AT2712">
        <v>0</v>
      </c>
      <c r="AU2712">
        <v>0</v>
      </c>
      <c r="AV2712">
        <v>0</v>
      </c>
      <c r="AW2712">
        <v>0</v>
      </c>
      <c r="AX2712">
        <v>0</v>
      </c>
      <c r="AY2712">
        <v>0</v>
      </c>
      <c r="AZ2712">
        <v>0</v>
      </c>
      <c r="BA2712">
        <v>0</v>
      </c>
      <c r="BB2712">
        <v>0</v>
      </c>
      <c r="BC2712">
        <v>0</v>
      </c>
      <c r="BD2712">
        <v>0</v>
      </c>
      <c r="BE2712">
        <v>0</v>
      </c>
      <c r="BF2712">
        <v>0</v>
      </c>
      <c r="BG2712">
        <v>0</v>
      </c>
      <c r="BH2712">
        <v>1</v>
      </c>
      <c r="BI2712">
        <v>2</v>
      </c>
      <c r="BJ2712">
        <v>1.9</v>
      </c>
      <c r="BK2712">
        <v>2</v>
      </c>
      <c r="BL2712">
        <v>135.59</v>
      </c>
      <c r="BM2712">
        <v>20.34</v>
      </c>
      <c r="BN2712">
        <v>155.93</v>
      </c>
      <c r="BO2712">
        <v>155.93</v>
      </c>
      <c r="BQ2712" t="s">
        <v>125</v>
      </c>
      <c r="BR2712" t="s">
        <v>84</v>
      </c>
      <c r="BS2712" s="3">
        <v>45799</v>
      </c>
      <c r="BT2712" s="4">
        <v>0.5</v>
      </c>
      <c r="BU2712" t="s">
        <v>126</v>
      </c>
      <c r="BV2712" t="s">
        <v>86</v>
      </c>
      <c r="BY2712">
        <v>9600</v>
      </c>
      <c r="CA2712" t="s">
        <v>128</v>
      </c>
      <c r="CC2712" t="s">
        <v>123</v>
      </c>
      <c r="CD2712">
        <v>7646</v>
      </c>
      <c r="CE2712" t="s">
        <v>96</v>
      </c>
      <c r="CF2712" s="3">
        <v>45800</v>
      </c>
      <c r="CI2712">
        <v>1</v>
      </c>
      <c r="CJ2712">
        <v>1</v>
      </c>
      <c r="CK2712">
        <v>23</v>
      </c>
      <c r="CL2712" t="s">
        <v>89</v>
      </c>
    </row>
    <row r="2713" spans="1:90" x14ac:dyDescent="0.3">
      <c r="A2713" t="s">
        <v>72</v>
      </c>
      <c r="B2713" t="s">
        <v>73</v>
      </c>
      <c r="C2713" t="s">
        <v>74</v>
      </c>
      <c r="E2713" t="str">
        <f>"080065494492"</f>
        <v>080065494492</v>
      </c>
      <c r="F2713" s="3">
        <v>45798</v>
      </c>
      <c r="G2713">
        <v>202602</v>
      </c>
      <c r="H2713" t="s">
        <v>75</v>
      </c>
      <c r="I2713" t="s">
        <v>76</v>
      </c>
      <c r="J2713" t="s">
        <v>77</v>
      </c>
      <c r="K2713" t="s">
        <v>78</v>
      </c>
      <c r="L2713" t="s">
        <v>648</v>
      </c>
      <c r="M2713" t="s">
        <v>649</v>
      </c>
      <c r="N2713" t="s">
        <v>650</v>
      </c>
      <c r="O2713" t="s">
        <v>82</v>
      </c>
      <c r="P2713" t="str">
        <f>"4170039825                    "</f>
        <v xml:space="preserve">4170039825                    </v>
      </c>
      <c r="Q2713">
        <v>0</v>
      </c>
      <c r="R2713">
        <v>0</v>
      </c>
      <c r="S2713">
        <v>0</v>
      </c>
      <c r="T2713">
        <v>0</v>
      </c>
      <c r="U2713">
        <v>0</v>
      </c>
      <c r="V2713">
        <v>0</v>
      </c>
      <c r="W2713">
        <v>0</v>
      </c>
      <c r="X2713">
        <v>0</v>
      </c>
      <c r="Y2713">
        <v>0</v>
      </c>
      <c r="Z2713">
        <v>0</v>
      </c>
      <c r="AA2713">
        <v>0</v>
      </c>
      <c r="AB2713">
        <v>0</v>
      </c>
      <c r="AC2713">
        <v>0</v>
      </c>
      <c r="AD2713">
        <v>0</v>
      </c>
      <c r="AE2713">
        <v>0</v>
      </c>
      <c r="AF2713">
        <v>0</v>
      </c>
      <c r="AG2713">
        <v>0</v>
      </c>
      <c r="AH2713">
        <v>0</v>
      </c>
      <c r="AI2713">
        <v>0</v>
      </c>
      <c r="AJ2713">
        <v>0</v>
      </c>
      <c r="AK2713">
        <v>0</v>
      </c>
      <c r="AL2713">
        <v>0</v>
      </c>
      <c r="AM2713">
        <v>0</v>
      </c>
      <c r="AN2713">
        <v>0</v>
      </c>
      <c r="AO2713">
        <v>0</v>
      </c>
      <c r="AP2713">
        <v>0</v>
      </c>
      <c r="AQ2713">
        <v>16.7</v>
      </c>
      <c r="AR2713">
        <v>0</v>
      </c>
      <c r="AS2713">
        <v>0</v>
      </c>
      <c r="AT2713">
        <v>0</v>
      </c>
      <c r="AU2713">
        <v>0</v>
      </c>
      <c r="AV2713">
        <v>0</v>
      </c>
      <c r="AW2713">
        <v>0</v>
      </c>
      <c r="AX2713">
        <v>0</v>
      </c>
      <c r="AY2713">
        <v>0</v>
      </c>
      <c r="AZ2713">
        <v>0</v>
      </c>
      <c r="BA2713">
        <v>0</v>
      </c>
      <c r="BB2713">
        <v>0</v>
      </c>
      <c r="BC2713">
        <v>0</v>
      </c>
      <c r="BD2713">
        <v>0</v>
      </c>
      <c r="BE2713">
        <v>0</v>
      </c>
      <c r="BF2713">
        <v>0</v>
      </c>
      <c r="BG2713">
        <v>0</v>
      </c>
      <c r="BH2713">
        <v>1</v>
      </c>
      <c r="BI2713">
        <v>1</v>
      </c>
      <c r="BJ2713">
        <v>0.2</v>
      </c>
      <c r="BK2713">
        <v>1</v>
      </c>
      <c r="BL2713">
        <v>54.66</v>
      </c>
      <c r="BM2713">
        <v>8.1999999999999993</v>
      </c>
      <c r="BN2713">
        <v>62.86</v>
      </c>
      <c r="BO2713">
        <v>62.86</v>
      </c>
      <c r="BQ2713" t="s">
        <v>651</v>
      </c>
      <c r="BR2713" t="s">
        <v>84</v>
      </c>
      <c r="BS2713" s="3">
        <v>45799</v>
      </c>
      <c r="BT2713" s="4">
        <v>0.31944444444444442</v>
      </c>
      <c r="BU2713" t="s">
        <v>2801</v>
      </c>
      <c r="BV2713" t="s">
        <v>86</v>
      </c>
      <c r="BY2713">
        <v>1200</v>
      </c>
      <c r="CA2713" t="s">
        <v>2407</v>
      </c>
      <c r="CC2713" t="s">
        <v>649</v>
      </c>
      <c r="CD2713">
        <v>1559</v>
      </c>
      <c r="CE2713" t="s">
        <v>88</v>
      </c>
      <c r="CF2713" s="3">
        <v>45799</v>
      </c>
      <c r="CI2713">
        <v>1</v>
      </c>
      <c r="CJ2713">
        <v>1</v>
      </c>
      <c r="CK2713">
        <v>22</v>
      </c>
      <c r="CL2713" t="s">
        <v>89</v>
      </c>
    </row>
    <row r="2714" spans="1:90" x14ac:dyDescent="0.3">
      <c r="A2714" t="s">
        <v>72</v>
      </c>
      <c r="B2714" t="s">
        <v>73</v>
      </c>
      <c r="C2714" t="s">
        <v>74</v>
      </c>
      <c r="E2714" t="str">
        <f>"080065494496"</f>
        <v>080065494496</v>
      </c>
      <c r="F2714" s="3">
        <v>45798</v>
      </c>
      <c r="G2714">
        <v>202602</v>
      </c>
      <c r="H2714" t="s">
        <v>75</v>
      </c>
      <c r="I2714" t="s">
        <v>76</v>
      </c>
      <c r="J2714" t="s">
        <v>77</v>
      </c>
      <c r="K2714" t="s">
        <v>78</v>
      </c>
      <c r="L2714" t="s">
        <v>103</v>
      </c>
      <c r="M2714" t="s">
        <v>104</v>
      </c>
      <c r="N2714" t="s">
        <v>633</v>
      </c>
      <c r="O2714" t="s">
        <v>82</v>
      </c>
      <c r="P2714" t="str">
        <f>"4170039953                    "</f>
        <v xml:space="preserve">4170039953                    </v>
      </c>
      <c r="Q2714">
        <v>0</v>
      </c>
      <c r="R2714">
        <v>0</v>
      </c>
      <c r="S2714">
        <v>0</v>
      </c>
      <c r="T2714">
        <v>0</v>
      </c>
      <c r="U2714">
        <v>0</v>
      </c>
      <c r="V2714">
        <v>0</v>
      </c>
      <c r="W2714">
        <v>0</v>
      </c>
      <c r="X2714">
        <v>0</v>
      </c>
      <c r="Y2714">
        <v>0</v>
      </c>
      <c r="Z2714">
        <v>0</v>
      </c>
      <c r="AA2714">
        <v>0</v>
      </c>
      <c r="AB2714">
        <v>0</v>
      </c>
      <c r="AC2714">
        <v>0</v>
      </c>
      <c r="AD2714">
        <v>0</v>
      </c>
      <c r="AE2714">
        <v>0</v>
      </c>
      <c r="AF2714">
        <v>0</v>
      </c>
      <c r="AG2714">
        <v>0</v>
      </c>
      <c r="AH2714">
        <v>0</v>
      </c>
      <c r="AI2714">
        <v>0</v>
      </c>
      <c r="AJ2714">
        <v>0</v>
      </c>
      <c r="AK2714">
        <v>0</v>
      </c>
      <c r="AL2714">
        <v>0</v>
      </c>
      <c r="AM2714">
        <v>0</v>
      </c>
      <c r="AN2714">
        <v>0</v>
      </c>
      <c r="AO2714">
        <v>0</v>
      </c>
      <c r="AP2714">
        <v>0</v>
      </c>
      <c r="AQ2714">
        <v>181.63</v>
      </c>
      <c r="AR2714">
        <v>0</v>
      </c>
      <c r="AS2714">
        <v>0</v>
      </c>
      <c r="AT2714">
        <v>0</v>
      </c>
      <c r="AU2714">
        <v>0</v>
      </c>
      <c r="AV2714">
        <v>0</v>
      </c>
      <c r="AW2714">
        <v>0</v>
      </c>
      <c r="AX2714">
        <v>0</v>
      </c>
      <c r="AY2714">
        <v>0</v>
      </c>
      <c r="AZ2714">
        <v>0</v>
      </c>
      <c r="BA2714">
        <v>0</v>
      </c>
      <c r="BB2714">
        <v>0</v>
      </c>
      <c r="BC2714">
        <v>0</v>
      </c>
      <c r="BD2714">
        <v>0</v>
      </c>
      <c r="BE2714">
        <v>0</v>
      </c>
      <c r="BF2714">
        <v>0</v>
      </c>
      <c r="BG2714">
        <v>0</v>
      </c>
      <c r="BH2714">
        <v>1</v>
      </c>
      <c r="BI2714">
        <v>17</v>
      </c>
      <c r="BJ2714">
        <v>8.9</v>
      </c>
      <c r="BK2714">
        <v>17</v>
      </c>
      <c r="BL2714">
        <v>594.42999999999995</v>
      </c>
      <c r="BM2714">
        <v>89.16</v>
      </c>
      <c r="BN2714">
        <v>683.59</v>
      </c>
      <c r="BO2714">
        <v>683.59</v>
      </c>
      <c r="BQ2714" t="s">
        <v>634</v>
      </c>
      <c r="BR2714" t="s">
        <v>84</v>
      </c>
      <c r="BS2714" s="3">
        <v>45799</v>
      </c>
      <c r="BT2714" s="4">
        <v>0.56458333333333333</v>
      </c>
      <c r="BU2714" t="s">
        <v>635</v>
      </c>
      <c r="BV2714" t="s">
        <v>86</v>
      </c>
      <c r="BY2714">
        <v>44640</v>
      </c>
      <c r="CA2714" t="s">
        <v>440</v>
      </c>
      <c r="CC2714" t="s">
        <v>104</v>
      </c>
      <c r="CD2714">
        <v>3212</v>
      </c>
      <c r="CE2714" t="s">
        <v>96</v>
      </c>
      <c r="CF2714" s="3">
        <v>45800</v>
      </c>
      <c r="CI2714">
        <v>2</v>
      </c>
      <c r="CJ2714">
        <v>1</v>
      </c>
      <c r="CK2714">
        <v>21</v>
      </c>
      <c r="CL2714" t="s">
        <v>89</v>
      </c>
    </row>
    <row r="2715" spans="1:90" x14ac:dyDescent="0.3">
      <c r="A2715" t="s">
        <v>72</v>
      </c>
      <c r="B2715" t="s">
        <v>73</v>
      </c>
      <c r="C2715" t="s">
        <v>74</v>
      </c>
      <c r="E2715" t="str">
        <f>"080065494524"</f>
        <v>080065494524</v>
      </c>
      <c r="F2715" s="3">
        <v>45798</v>
      </c>
      <c r="G2715">
        <v>202602</v>
      </c>
      <c r="H2715" t="s">
        <v>75</v>
      </c>
      <c r="I2715" t="s">
        <v>76</v>
      </c>
      <c r="J2715" t="s">
        <v>77</v>
      </c>
      <c r="K2715" t="s">
        <v>78</v>
      </c>
      <c r="L2715" t="s">
        <v>130</v>
      </c>
      <c r="M2715" t="s">
        <v>131</v>
      </c>
      <c r="N2715" t="s">
        <v>1533</v>
      </c>
      <c r="O2715" t="s">
        <v>82</v>
      </c>
      <c r="P2715" t="str">
        <f>"4170039954                    "</f>
        <v xml:space="preserve">4170039954                    </v>
      </c>
      <c r="Q2715">
        <v>0</v>
      </c>
      <c r="R2715">
        <v>0</v>
      </c>
      <c r="S2715">
        <v>0</v>
      </c>
      <c r="T2715">
        <v>0</v>
      </c>
      <c r="U2715">
        <v>0</v>
      </c>
      <c r="V2715">
        <v>0</v>
      </c>
      <c r="W2715">
        <v>0</v>
      </c>
      <c r="X2715">
        <v>0</v>
      </c>
      <c r="Y2715">
        <v>0</v>
      </c>
      <c r="Z2715">
        <v>0</v>
      </c>
      <c r="AA2715">
        <v>0</v>
      </c>
      <c r="AB2715">
        <v>0</v>
      </c>
      <c r="AC2715">
        <v>0</v>
      </c>
      <c r="AD2715">
        <v>0</v>
      </c>
      <c r="AE2715">
        <v>0</v>
      </c>
      <c r="AF2715">
        <v>0</v>
      </c>
      <c r="AG2715">
        <v>0</v>
      </c>
      <c r="AH2715">
        <v>0</v>
      </c>
      <c r="AI2715">
        <v>0</v>
      </c>
      <c r="AJ2715">
        <v>0</v>
      </c>
      <c r="AK2715">
        <v>0</v>
      </c>
      <c r="AL2715">
        <v>0</v>
      </c>
      <c r="AM2715">
        <v>0</v>
      </c>
      <c r="AN2715">
        <v>0</v>
      </c>
      <c r="AO2715">
        <v>0</v>
      </c>
      <c r="AP2715">
        <v>0</v>
      </c>
      <c r="AQ2715">
        <v>21.38</v>
      </c>
      <c r="AR2715">
        <v>0</v>
      </c>
      <c r="AS2715">
        <v>0</v>
      </c>
      <c r="AT2715">
        <v>0</v>
      </c>
      <c r="AU2715">
        <v>0</v>
      </c>
      <c r="AV2715">
        <v>0</v>
      </c>
      <c r="AW2715">
        <v>0</v>
      </c>
      <c r="AX2715">
        <v>0</v>
      </c>
      <c r="AY2715">
        <v>0</v>
      </c>
      <c r="AZ2715">
        <v>0</v>
      </c>
      <c r="BA2715">
        <v>0</v>
      </c>
      <c r="BB2715">
        <v>0</v>
      </c>
      <c r="BC2715">
        <v>0</v>
      </c>
      <c r="BD2715">
        <v>0</v>
      </c>
      <c r="BE2715">
        <v>0</v>
      </c>
      <c r="BF2715">
        <v>0</v>
      </c>
      <c r="BG2715">
        <v>0</v>
      </c>
      <c r="BH2715">
        <v>1</v>
      </c>
      <c r="BI2715">
        <v>1</v>
      </c>
      <c r="BJ2715">
        <v>0.2</v>
      </c>
      <c r="BK2715">
        <v>1</v>
      </c>
      <c r="BL2715">
        <v>69.98</v>
      </c>
      <c r="BM2715">
        <v>10.5</v>
      </c>
      <c r="BN2715">
        <v>80.48</v>
      </c>
      <c r="BO2715">
        <v>80.48</v>
      </c>
      <c r="BQ2715" t="s">
        <v>1534</v>
      </c>
      <c r="BR2715" t="s">
        <v>84</v>
      </c>
      <c r="BS2715" s="3">
        <v>45799</v>
      </c>
      <c r="BT2715" s="4">
        <v>0.45763888888888887</v>
      </c>
      <c r="BU2715" t="s">
        <v>2863</v>
      </c>
      <c r="BV2715" t="s">
        <v>89</v>
      </c>
      <c r="BW2715" t="s">
        <v>340</v>
      </c>
      <c r="BX2715" t="s">
        <v>618</v>
      </c>
      <c r="BY2715">
        <v>1200</v>
      </c>
      <c r="CC2715" t="s">
        <v>131</v>
      </c>
      <c r="CD2715">
        <v>7490</v>
      </c>
      <c r="CE2715" t="s">
        <v>88</v>
      </c>
      <c r="CF2715" s="3">
        <v>45800</v>
      </c>
      <c r="CI2715">
        <v>1</v>
      </c>
      <c r="CJ2715">
        <v>1</v>
      </c>
      <c r="CK2715">
        <v>21</v>
      </c>
      <c r="CL2715" t="s">
        <v>89</v>
      </c>
    </row>
    <row r="2716" spans="1:90" x14ac:dyDescent="0.3">
      <c r="A2716" t="s">
        <v>72</v>
      </c>
      <c r="B2716" t="s">
        <v>73</v>
      </c>
      <c r="C2716" t="s">
        <v>74</v>
      </c>
      <c r="E2716" t="str">
        <f>"080065494537"</f>
        <v>080065494537</v>
      </c>
      <c r="F2716" s="3">
        <v>45798</v>
      </c>
      <c r="G2716">
        <v>202602</v>
      </c>
      <c r="H2716" t="s">
        <v>75</v>
      </c>
      <c r="I2716" t="s">
        <v>76</v>
      </c>
      <c r="J2716" t="s">
        <v>77</v>
      </c>
      <c r="K2716" t="s">
        <v>78</v>
      </c>
      <c r="L2716" t="s">
        <v>130</v>
      </c>
      <c r="M2716" t="s">
        <v>131</v>
      </c>
      <c r="N2716" t="s">
        <v>709</v>
      </c>
      <c r="O2716" t="s">
        <v>82</v>
      </c>
      <c r="P2716" t="str">
        <f>"4170039948                    "</f>
        <v xml:space="preserve">4170039948                    </v>
      </c>
      <c r="Q2716">
        <v>0</v>
      </c>
      <c r="R2716">
        <v>0</v>
      </c>
      <c r="S2716">
        <v>0</v>
      </c>
      <c r="T2716">
        <v>0</v>
      </c>
      <c r="U2716">
        <v>0</v>
      </c>
      <c r="V2716">
        <v>0</v>
      </c>
      <c r="W2716">
        <v>0</v>
      </c>
      <c r="X2716">
        <v>0</v>
      </c>
      <c r="Y2716">
        <v>0</v>
      </c>
      <c r="Z2716">
        <v>0</v>
      </c>
      <c r="AA2716">
        <v>0</v>
      </c>
      <c r="AB2716">
        <v>0</v>
      </c>
      <c r="AC2716">
        <v>0</v>
      </c>
      <c r="AD2716">
        <v>0</v>
      </c>
      <c r="AE2716">
        <v>0</v>
      </c>
      <c r="AF2716">
        <v>0</v>
      </c>
      <c r="AG2716">
        <v>0</v>
      </c>
      <c r="AH2716">
        <v>0</v>
      </c>
      <c r="AI2716">
        <v>0</v>
      </c>
      <c r="AJ2716">
        <v>0</v>
      </c>
      <c r="AK2716">
        <v>0</v>
      </c>
      <c r="AL2716">
        <v>0</v>
      </c>
      <c r="AM2716">
        <v>0</v>
      </c>
      <c r="AN2716">
        <v>0</v>
      </c>
      <c r="AO2716">
        <v>0</v>
      </c>
      <c r="AP2716">
        <v>0</v>
      </c>
      <c r="AQ2716">
        <v>42.75</v>
      </c>
      <c r="AR2716">
        <v>0</v>
      </c>
      <c r="AS2716">
        <v>0</v>
      </c>
      <c r="AT2716">
        <v>0</v>
      </c>
      <c r="AU2716">
        <v>0</v>
      </c>
      <c r="AV2716">
        <v>0</v>
      </c>
      <c r="AW2716">
        <v>0</v>
      </c>
      <c r="AX2716">
        <v>0</v>
      </c>
      <c r="AY2716">
        <v>0</v>
      </c>
      <c r="AZ2716">
        <v>0</v>
      </c>
      <c r="BA2716">
        <v>0</v>
      </c>
      <c r="BB2716">
        <v>0</v>
      </c>
      <c r="BC2716">
        <v>0</v>
      </c>
      <c r="BD2716">
        <v>0</v>
      </c>
      <c r="BE2716">
        <v>0</v>
      </c>
      <c r="BF2716">
        <v>0</v>
      </c>
      <c r="BG2716">
        <v>0</v>
      </c>
      <c r="BH2716">
        <v>1</v>
      </c>
      <c r="BI2716">
        <v>1</v>
      </c>
      <c r="BJ2716">
        <v>3.6</v>
      </c>
      <c r="BK2716">
        <v>4</v>
      </c>
      <c r="BL2716">
        <v>139.91</v>
      </c>
      <c r="BM2716">
        <v>20.99</v>
      </c>
      <c r="BN2716">
        <v>160.9</v>
      </c>
      <c r="BO2716">
        <v>160.9</v>
      </c>
      <c r="BQ2716" t="s">
        <v>710</v>
      </c>
      <c r="BR2716" t="s">
        <v>84</v>
      </c>
      <c r="BS2716" s="3">
        <v>45799</v>
      </c>
      <c r="BT2716" s="4">
        <v>0.34236111111111112</v>
      </c>
      <c r="BU2716" t="s">
        <v>711</v>
      </c>
      <c r="BV2716" t="s">
        <v>86</v>
      </c>
      <c r="BY2716">
        <v>18088</v>
      </c>
      <c r="CA2716" t="s">
        <v>712</v>
      </c>
      <c r="CC2716" t="s">
        <v>131</v>
      </c>
      <c r="CD2716">
        <v>7530</v>
      </c>
      <c r="CE2716" t="s">
        <v>221</v>
      </c>
      <c r="CF2716" s="3">
        <v>45800</v>
      </c>
      <c r="CI2716">
        <v>1</v>
      </c>
      <c r="CJ2716">
        <v>1</v>
      </c>
      <c r="CK2716">
        <v>21</v>
      </c>
      <c r="CL2716" t="s">
        <v>89</v>
      </c>
    </row>
    <row r="2717" spans="1:90" x14ac:dyDescent="0.3">
      <c r="A2717" t="s">
        <v>72</v>
      </c>
      <c r="B2717" t="s">
        <v>73</v>
      </c>
      <c r="C2717" t="s">
        <v>74</v>
      </c>
      <c r="E2717" t="str">
        <f>"080065494585"</f>
        <v>080065494585</v>
      </c>
      <c r="F2717" s="3">
        <v>45798</v>
      </c>
      <c r="G2717">
        <v>202602</v>
      </c>
      <c r="H2717" t="s">
        <v>75</v>
      </c>
      <c r="I2717" t="s">
        <v>76</v>
      </c>
      <c r="J2717" t="s">
        <v>77</v>
      </c>
      <c r="K2717" t="s">
        <v>78</v>
      </c>
      <c r="L2717" t="s">
        <v>103</v>
      </c>
      <c r="M2717" t="s">
        <v>104</v>
      </c>
      <c r="N2717" t="s">
        <v>633</v>
      </c>
      <c r="O2717" t="s">
        <v>300</v>
      </c>
      <c r="P2717" t="str">
        <f>"4170039955                    "</f>
        <v xml:space="preserve">4170039955                    </v>
      </c>
      <c r="Q2717">
        <v>0</v>
      </c>
      <c r="R2717">
        <v>0</v>
      </c>
      <c r="S2717">
        <v>0</v>
      </c>
      <c r="T2717">
        <v>0</v>
      </c>
      <c r="U2717">
        <v>0</v>
      </c>
      <c r="V2717">
        <v>0</v>
      </c>
      <c r="W2717">
        <v>0</v>
      </c>
      <c r="X2717">
        <v>0</v>
      </c>
      <c r="Y2717">
        <v>0</v>
      </c>
      <c r="Z2717">
        <v>0</v>
      </c>
      <c r="AA2717">
        <v>0</v>
      </c>
      <c r="AB2717">
        <v>0</v>
      </c>
      <c r="AC2717">
        <v>0</v>
      </c>
      <c r="AD2717">
        <v>0</v>
      </c>
      <c r="AE2717">
        <v>0</v>
      </c>
      <c r="AF2717">
        <v>0</v>
      </c>
      <c r="AG2717">
        <v>0</v>
      </c>
      <c r="AH2717">
        <v>0</v>
      </c>
      <c r="AI2717">
        <v>0</v>
      </c>
      <c r="AJ2717">
        <v>0</v>
      </c>
      <c r="AK2717">
        <v>0</v>
      </c>
      <c r="AL2717">
        <v>0</v>
      </c>
      <c r="AM2717">
        <v>0</v>
      </c>
      <c r="AN2717">
        <v>0</v>
      </c>
      <c r="AO2717">
        <v>0</v>
      </c>
      <c r="AP2717">
        <v>0</v>
      </c>
      <c r="AQ2717">
        <v>65.25</v>
      </c>
      <c r="AR2717">
        <v>0</v>
      </c>
      <c r="AS2717">
        <v>0</v>
      </c>
      <c r="AT2717">
        <v>0</v>
      </c>
      <c r="AU2717">
        <v>0</v>
      </c>
      <c r="AV2717">
        <v>0</v>
      </c>
      <c r="AW2717">
        <v>0</v>
      </c>
      <c r="AX2717">
        <v>0</v>
      </c>
      <c r="AY2717">
        <v>0</v>
      </c>
      <c r="AZ2717">
        <v>0</v>
      </c>
      <c r="BA2717">
        <v>0</v>
      </c>
      <c r="BB2717">
        <v>0</v>
      </c>
      <c r="BC2717">
        <v>0</v>
      </c>
      <c r="BD2717">
        <v>0</v>
      </c>
      <c r="BE2717">
        <v>0</v>
      </c>
      <c r="BF2717">
        <v>0</v>
      </c>
      <c r="BG2717">
        <v>0</v>
      </c>
      <c r="BH2717">
        <v>2</v>
      </c>
      <c r="BI2717">
        <v>29</v>
      </c>
      <c r="BJ2717">
        <v>12.3</v>
      </c>
      <c r="BK2717">
        <v>29</v>
      </c>
      <c r="BL2717">
        <v>219.12</v>
      </c>
      <c r="BM2717">
        <v>32.869999999999997</v>
      </c>
      <c r="BN2717">
        <v>251.99</v>
      </c>
      <c r="BO2717">
        <v>251.99</v>
      </c>
      <c r="BQ2717" t="s">
        <v>634</v>
      </c>
      <c r="BR2717" t="s">
        <v>84</v>
      </c>
      <c r="BS2717" s="3">
        <v>45799</v>
      </c>
      <c r="BT2717" s="4">
        <v>0.56527777777777777</v>
      </c>
      <c r="BU2717" t="s">
        <v>635</v>
      </c>
      <c r="BV2717" t="s">
        <v>86</v>
      </c>
      <c r="BY2717">
        <v>61605</v>
      </c>
      <c r="CA2717" t="s">
        <v>440</v>
      </c>
      <c r="CC2717" t="s">
        <v>104</v>
      </c>
      <c r="CD2717">
        <v>3212</v>
      </c>
      <c r="CE2717" t="s">
        <v>96</v>
      </c>
      <c r="CF2717" s="3">
        <v>45800</v>
      </c>
      <c r="CI2717">
        <v>3</v>
      </c>
      <c r="CJ2717">
        <v>1</v>
      </c>
      <c r="CK2717">
        <v>41</v>
      </c>
      <c r="CL2717" t="s">
        <v>89</v>
      </c>
    </row>
    <row r="2718" spans="1:90" x14ac:dyDescent="0.3">
      <c r="A2718" t="s">
        <v>72</v>
      </c>
      <c r="B2718" t="s">
        <v>73</v>
      </c>
      <c r="C2718" t="s">
        <v>74</v>
      </c>
      <c r="E2718" t="str">
        <f>"080065494618"</f>
        <v>080065494618</v>
      </c>
      <c r="F2718" s="3">
        <v>45798</v>
      </c>
      <c r="G2718">
        <v>202602</v>
      </c>
      <c r="H2718" t="s">
        <v>75</v>
      </c>
      <c r="I2718" t="s">
        <v>76</v>
      </c>
      <c r="J2718" t="s">
        <v>77</v>
      </c>
      <c r="K2718" t="s">
        <v>78</v>
      </c>
      <c r="L2718" t="s">
        <v>420</v>
      </c>
      <c r="M2718" t="s">
        <v>421</v>
      </c>
      <c r="N2718" t="s">
        <v>422</v>
      </c>
      <c r="O2718" t="s">
        <v>82</v>
      </c>
      <c r="P2718" t="str">
        <f>"4170039946                    "</f>
        <v xml:space="preserve">4170039946                    </v>
      </c>
      <c r="Q2718">
        <v>0</v>
      </c>
      <c r="R2718">
        <v>0</v>
      </c>
      <c r="S2718">
        <v>0</v>
      </c>
      <c r="T2718">
        <v>0</v>
      </c>
      <c r="U2718">
        <v>0</v>
      </c>
      <c r="V2718">
        <v>0</v>
      </c>
      <c r="W2718">
        <v>0</v>
      </c>
      <c r="X2718">
        <v>0</v>
      </c>
      <c r="Y2718">
        <v>0</v>
      </c>
      <c r="Z2718">
        <v>0</v>
      </c>
      <c r="AA2718">
        <v>0</v>
      </c>
      <c r="AB2718">
        <v>0</v>
      </c>
      <c r="AC2718">
        <v>0</v>
      </c>
      <c r="AD2718">
        <v>0</v>
      </c>
      <c r="AE2718">
        <v>0</v>
      </c>
      <c r="AF2718">
        <v>0</v>
      </c>
      <c r="AG2718">
        <v>0</v>
      </c>
      <c r="AH2718">
        <v>0</v>
      </c>
      <c r="AI2718">
        <v>0</v>
      </c>
      <c r="AJ2718">
        <v>0</v>
      </c>
      <c r="AK2718">
        <v>0</v>
      </c>
      <c r="AL2718">
        <v>0</v>
      </c>
      <c r="AM2718">
        <v>0</v>
      </c>
      <c r="AN2718">
        <v>0</v>
      </c>
      <c r="AO2718">
        <v>0</v>
      </c>
      <c r="AP2718">
        <v>0</v>
      </c>
      <c r="AQ2718">
        <v>41.43</v>
      </c>
      <c r="AR2718">
        <v>0</v>
      </c>
      <c r="AS2718">
        <v>0</v>
      </c>
      <c r="AT2718">
        <v>0</v>
      </c>
      <c r="AU2718">
        <v>0</v>
      </c>
      <c r="AV2718">
        <v>0</v>
      </c>
      <c r="AW2718">
        <v>0</v>
      </c>
      <c r="AX2718">
        <v>0</v>
      </c>
      <c r="AY2718">
        <v>0</v>
      </c>
      <c r="AZ2718">
        <v>0</v>
      </c>
      <c r="BA2718">
        <v>0</v>
      </c>
      <c r="BB2718">
        <v>0</v>
      </c>
      <c r="BC2718">
        <v>0</v>
      </c>
      <c r="BD2718">
        <v>0</v>
      </c>
      <c r="BE2718">
        <v>0</v>
      </c>
      <c r="BF2718">
        <v>0</v>
      </c>
      <c r="BG2718">
        <v>0</v>
      </c>
      <c r="BH2718">
        <v>1</v>
      </c>
      <c r="BI2718">
        <v>2</v>
      </c>
      <c r="BJ2718">
        <v>1.1000000000000001</v>
      </c>
      <c r="BK2718">
        <v>2</v>
      </c>
      <c r="BL2718">
        <v>135.59</v>
      </c>
      <c r="BM2718">
        <v>20.34</v>
      </c>
      <c r="BN2718">
        <v>155.93</v>
      </c>
      <c r="BO2718">
        <v>155.93</v>
      </c>
      <c r="BQ2718" t="s">
        <v>423</v>
      </c>
      <c r="BR2718" t="s">
        <v>84</v>
      </c>
      <c r="BS2718" s="3">
        <v>45800</v>
      </c>
      <c r="BT2718" s="4">
        <v>0.3972222222222222</v>
      </c>
      <c r="BU2718" t="s">
        <v>2864</v>
      </c>
      <c r="BV2718" t="s">
        <v>89</v>
      </c>
      <c r="BY2718">
        <v>5376</v>
      </c>
      <c r="CA2718" t="s">
        <v>425</v>
      </c>
      <c r="CC2718" t="s">
        <v>421</v>
      </c>
      <c r="CD2718">
        <v>3280</v>
      </c>
      <c r="CE2718" t="s">
        <v>221</v>
      </c>
      <c r="CF2718" s="3">
        <v>45800</v>
      </c>
      <c r="CI2718">
        <v>1</v>
      </c>
      <c r="CJ2718">
        <v>2</v>
      </c>
      <c r="CK2718">
        <v>23</v>
      </c>
      <c r="CL2718" t="s">
        <v>89</v>
      </c>
    </row>
    <row r="2719" spans="1:90" x14ac:dyDescent="0.3">
      <c r="A2719" t="s">
        <v>72</v>
      </c>
      <c r="B2719" t="s">
        <v>73</v>
      </c>
      <c r="C2719" t="s">
        <v>74</v>
      </c>
      <c r="E2719" t="str">
        <f>"080065494979"</f>
        <v>080065494979</v>
      </c>
      <c r="F2719" s="3">
        <v>45798</v>
      </c>
      <c r="G2719">
        <v>202602</v>
      </c>
      <c r="H2719" t="s">
        <v>75</v>
      </c>
      <c r="I2719" t="s">
        <v>76</v>
      </c>
      <c r="J2719" t="s">
        <v>77</v>
      </c>
      <c r="K2719" t="s">
        <v>78</v>
      </c>
      <c r="L2719" t="s">
        <v>902</v>
      </c>
      <c r="M2719" t="s">
        <v>903</v>
      </c>
      <c r="N2719" t="s">
        <v>904</v>
      </c>
      <c r="O2719" t="s">
        <v>82</v>
      </c>
      <c r="P2719" t="str">
        <f>"4170039943                    "</f>
        <v xml:space="preserve">4170039943                    </v>
      </c>
      <c r="Q2719">
        <v>0</v>
      </c>
      <c r="R2719">
        <v>0</v>
      </c>
      <c r="S2719">
        <v>0</v>
      </c>
      <c r="T2719">
        <v>0</v>
      </c>
      <c r="U2719">
        <v>0</v>
      </c>
      <c r="V2719">
        <v>0</v>
      </c>
      <c r="W2719">
        <v>0</v>
      </c>
      <c r="X2719">
        <v>0</v>
      </c>
      <c r="Y2719">
        <v>0</v>
      </c>
      <c r="Z2719">
        <v>0</v>
      </c>
      <c r="AA2719">
        <v>0</v>
      </c>
      <c r="AB2719">
        <v>0</v>
      </c>
      <c r="AC2719">
        <v>0</v>
      </c>
      <c r="AD2719">
        <v>0</v>
      </c>
      <c r="AE2719">
        <v>0</v>
      </c>
      <c r="AF2719">
        <v>0</v>
      </c>
      <c r="AG2719">
        <v>0</v>
      </c>
      <c r="AH2719">
        <v>0</v>
      </c>
      <c r="AI2719">
        <v>0</v>
      </c>
      <c r="AJ2719">
        <v>0</v>
      </c>
      <c r="AK2719">
        <v>0</v>
      </c>
      <c r="AL2719">
        <v>0</v>
      </c>
      <c r="AM2719">
        <v>0</v>
      </c>
      <c r="AN2719">
        <v>0</v>
      </c>
      <c r="AO2719">
        <v>0</v>
      </c>
      <c r="AP2719">
        <v>0</v>
      </c>
      <c r="AQ2719">
        <v>41.43</v>
      </c>
      <c r="AR2719">
        <v>0</v>
      </c>
      <c r="AS2719">
        <v>0</v>
      </c>
      <c r="AT2719">
        <v>0</v>
      </c>
      <c r="AU2719">
        <v>0</v>
      </c>
      <c r="AV2719">
        <v>0</v>
      </c>
      <c r="AW2719">
        <v>0</v>
      </c>
      <c r="AX2719">
        <v>0</v>
      </c>
      <c r="AY2719">
        <v>0</v>
      </c>
      <c r="AZ2719">
        <v>0</v>
      </c>
      <c r="BA2719">
        <v>0</v>
      </c>
      <c r="BB2719">
        <v>0</v>
      </c>
      <c r="BC2719">
        <v>0</v>
      </c>
      <c r="BD2719">
        <v>0</v>
      </c>
      <c r="BE2719">
        <v>0</v>
      </c>
      <c r="BF2719">
        <v>0</v>
      </c>
      <c r="BG2719">
        <v>0</v>
      </c>
      <c r="BH2719">
        <v>1</v>
      </c>
      <c r="BI2719">
        <v>1</v>
      </c>
      <c r="BJ2719">
        <v>0.2</v>
      </c>
      <c r="BK2719">
        <v>1</v>
      </c>
      <c r="BL2719">
        <v>135.59</v>
      </c>
      <c r="BM2719">
        <v>20.34</v>
      </c>
      <c r="BN2719">
        <v>155.93</v>
      </c>
      <c r="BO2719">
        <v>155.93</v>
      </c>
      <c r="BQ2719" t="s">
        <v>905</v>
      </c>
      <c r="BR2719" t="s">
        <v>84</v>
      </c>
      <c r="BS2719" s="3">
        <v>45799</v>
      </c>
      <c r="BT2719" s="4">
        <v>0.6020833333333333</v>
      </c>
      <c r="BU2719" t="s">
        <v>906</v>
      </c>
      <c r="BV2719" t="s">
        <v>86</v>
      </c>
      <c r="BY2719">
        <v>1200</v>
      </c>
      <c r="CA2719" t="s">
        <v>1306</v>
      </c>
      <c r="CC2719" t="s">
        <v>903</v>
      </c>
      <c r="CD2719">
        <v>1028</v>
      </c>
      <c r="CE2719" t="s">
        <v>88</v>
      </c>
      <c r="CF2719" s="3">
        <v>45799</v>
      </c>
      <c r="CI2719">
        <v>1</v>
      </c>
      <c r="CJ2719">
        <v>1</v>
      </c>
      <c r="CK2719">
        <v>23</v>
      </c>
      <c r="CL2719" t="s">
        <v>89</v>
      </c>
    </row>
    <row r="2720" spans="1:90" x14ac:dyDescent="0.3">
      <c r="A2720" t="s">
        <v>72</v>
      </c>
      <c r="B2720" t="s">
        <v>73</v>
      </c>
      <c r="C2720" t="s">
        <v>74</v>
      </c>
      <c r="E2720" t="str">
        <f>"080065494998"</f>
        <v>080065494998</v>
      </c>
      <c r="F2720" s="3">
        <v>45798</v>
      </c>
      <c r="G2720">
        <v>202602</v>
      </c>
      <c r="H2720" t="s">
        <v>75</v>
      </c>
      <c r="I2720" t="s">
        <v>76</v>
      </c>
      <c r="J2720" t="s">
        <v>77</v>
      </c>
      <c r="K2720" t="s">
        <v>78</v>
      </c>
      <c r="L2720" t="s">
        <v>117</v>
      </c>
      <c r="M2720" t="s">
        <v>118</v>
      </c>
      <c r="N2720" t="s">
        <v>532</v>
      </c>
      <c r="O2720" t="s">
        <v>82</v>
      </c>
      <c r="P2720" t="str">
        <f>"4170039901                    "</f>
        <v xml:space="preserve">4170039901                    </v>
      </c>
      <c r="Q2720">
        <v>0</v>
      </c>
      <c r="R2720">
        <v>0</v>
      </c>
      <c r="S2720">
        <v>0</v>
      </c>
      <c r="T2720">
        <v>0</v>
      </c>
      <c r="U2720">
        <v>0</v>
      </c>
      <c r="V2720">
        <v>0</v>
      </c>
      <c r="W2720">
        <v>0</v>
      </c>
      <c r="X2720">
        <v>0</v>
      </c>
      <c r="Y2720">
        <v>0</v>
      </c>
      <c r="Z2720">
        <v>0</v>
      </c>
      <c r="AA2720">
        <v>0</v>
      </c>
      <c r="AB2720">
        <v>0</v>
      </c>
      <c r="AC2720">
        <v>0</v>
      </c>
      <c r="AD2720">
        <v>0</v>
      </c>
      <c r="AE2720">
        <v>0</v>
      </c>
      <c r="AF2720">
        <v>0</v>
      </c>
      <c r="AG2720">
        <v>0</v>
      </c>
      <c r="AH2720">
        <v>0</v>
      </c>
      <c r="AI2720">
        <v>0</v>
      </c>
      <c r="AJ2720">
        <v>0</v>
      </c>
      <c r="AK2720">
        <v>0</v>
      </c>
      <c r="AL2720">
        <v>0</v>
      </c>
      <c r="AM2720">
        <v>0</v>
      </c>
      <c r="AN2720">
        <v>0</v>
      </c>
      <c r="AO2720">
        <v>0</v>
      </c>
      <c r="AP2720">
        <v>0</v>
      </c>
      <c r="AQ2720">
        <v>16.7</v>
      </c>
      <c r="AR2720">
        <v>0</v>
      </c>
      <c r="AS2720">
        <v>0</v>
      </c>
      <c r="AT2720">
        <v>0</v>
      </c>
      <c r="AU2720">
        <v>0</v>
      </c>
      <c r="AV2720">
        <v>0</v>
      </c>
      <c r="AW2720">
        <v>0</v>
      </c>
      <c r="AX2720">
        <v>0</v>
      </c>
      <c r="AY2720">
        <v>0</v>
      </c>
      <c r="AZ2720">
        <v>0</v>
      </c>
      <c r="BA2720">
        <v>0</v>
      </c>
      <c r="BB2720">
        <v>0</v>
      </c>
      <c r="BC2720">
        <v>0</v>
      </c>
      <c r="BD2720">
        <v>0</v>
      </c>
      <c r="BE2720">
        <v>0</v>
      </c>
      <c r="BF2720">
        <v>0</v>
      </c>
      <c r="BG2720">
        <v>0</v>
      </c>
      <c r="BH2720">
        <v>1</v>
      </c>
      <c r="BI2720">
        <v>1</v>
      </c>
      <c r="BJ2720">
        <v>0.2</v>
      </c>
      <c r="BK2720">
        <v>1</v>
      </c>
      <c r="BL2720">
        <v>54.66</v>
      </c>
      <c r="BM2720">
        <v>8.1999999999999993</v>
      </c>
      <c r="BN2720">
        <v>62.86</v>
      </c>
      <c r="BO2720">
        <v>62.86</v>
      </c>
      <c r="BQ2720" t="s">
        <v>533</v>
      </c>
      <c r="BR2720" t="s">
        <v>84</v>
      </c>
      <c r="BS2720" s="3">
        <v>45799</v>
      </c>
      <c r="BT2720" s="4">
        <v>0.36666666666666664</v>
      </c>
      <c r="BU2720" t="s">
        <v>348</v>
      </c>
      <c r="BV2720" t="s">
        <v>86</v>
      </c>
      <c r="BY2720">
        <v>1200</v>
      </c>
      <c r="CA2720" t="s">
        <v>535</v>
      </c>
      <c r="CC2720" t="s">
        <v>118</v>
      </c>
      <c r="CD2720">
        <v>2094</v>
      </c>
      <c r="CE2720" t="s">
        <v>1193</v>
      </c>
      <c r="CF2720" s="3">
        <v>45799</v>
      </c>
      <c r="CI2720">
        <v>1</v>
      </c>
      <c r="CJ2720">
        <v>1</v>
      </c>
      <c r="CK2720">
        <v>22</v>
      </c>
      <c r="CL2720" t="s">
        <v>89</v>
      </c>
    </row>
    <row r="2721" spans="1:90" x14ac:dyDescent="0.3">
      <c r="A2721" t="s">
        <v>72</v>
      </c>
      <c r="B2721" t="s">
        <v>73</v>
      </c>
      <c r="C2721" t="s">
        <v>74</v>
      </c>
      <c r="E2721" t="str">
        <f>"080065495030"</f>
        <v>080065495030</v>
      </c>
      <c r="F2721" s="3">
        <v>45798</v>
      </c>
      <c r="G2721">
        <v>202602</v>
      </c>
      <c r="H2721" t="s">
        <v>75</v>
      </c>
      <c r="I2721" t="s">
        <v>76</v>
      </c>
      <c r="J2721" t="s">
        <v>77</v>
      </c>
      <c r="K2721" t="s">
        <v>78</v>
      </c>
      <c r="L2721" t="s">
        <v>90</v>
      </c>
      <c r="M2721" t="s">
        <v>91</v>
      </c>
      <c r="N2721" t="s">
        <v>92</v>
      </c>
      <c r="O2721" t="s">
        <v>82</v>
      </c>
      <c r="P2721" t="str">
        <f>"4170039928                    "</f>
        <v xml:space="preserve">4170039928                    </v>
      </c>
      <c r="Q2721">
        <v>0</v>
      </c>
      <c r="R2721">
        <v>0</v>
      </c>
      <c r="S2721">
        <v>0</v>
      </c>
      <c r="T2721">
        <v>0</v>
      </c>
      <c r="U2721">
        <v>0</v>
      </c>
      <c r="V2721">
        <v>0</v>
      </c>
      <c r="W2721">
        <v>0</v>
      </c>
      <c r="X2721">
        <v>0</v>
      </c>
      <c r="Y2721">
        <v>0</v>
      </c>
      <c r="Z2721">
        <v>0</v>
      </c>
      <c r="AA2721">
        <v>0</v>
      </c>
      <c r="AB2721">
        <v>0</v>
      </c>
      <c r="AC2721">
        <v>0</v>
      </c>
      <c r="AD2721">
        <v>0</v>
      </c>
      <c r="AE2721">
        <v>0</v>
      </c>
      <c r="AF2721">
        <v>0</v>
      </c>
      <c r="AG2721">
        <v>0</v>
      </c>
      <c r="AH2721">
        <v>0</v>
      </c>
      <c r="AI2721">
        <v>0</v>
      </c>
      <c r="AJ2721">
        <v>0</v>
      </c>
      <c r="AK2721">
        <v>0</v>
      </c>
      <c r="AL2721">
        <v>0</v>
      </c>
      <c r="AM2721">
        <v>0</v>
      </c>
      <c r="AN2721">
        <v>0</v>
      </c>
      <c r="AO2721">
        <v>0</v>
      </c>
      <c r="AP2721">
        <v>0</v>
      </c>
      <c r="AQ2721">
        <v>21.38</v>
      </c>
      <c r="AR2721">
        <v>0</v>
      </c>
      <c r="AS2721">
        <v>0</v>
      </c>
      <c r="AT2721">
        <v>0</v>
      </c>
      <c r="AU2721">
        <v>0</v>
      </c>
      <c r="AV2721">
        <v>0</v>
      </c>
      <c r="AW2721">
        <v>0</v>
      </c>
      <c r="AX2721">
        <v>0</v>
      </c>
      <c r="AY2721">
        <v>0</v>
      </c>
      <c r="AZ2721">
        <v>0</v>
      </c>
      <c r="BA2721">
        <v>0</v>
      </c>
      <c r="BB2721">
        <v>0</v>
      </c>
      <c r="BC2721">
        <v>0</v>
      </c>
      <c r="BD2721">
        <v>0</v>
      </c>
      <c r="BE2721">
        <v>0</v>
      </c>
      <c r="BF2721">
        <v>0</v>
      </c>
      <c r="BG2721">
        <v>0</v>
      </c>
      <c r="BH2721">
        <v>1</v>
      </c>
      <c r="BI2721">
        <v>1</v>
      </c>
      <c r="BJ2721">
        <v>0.2</v>
      </c>
      <c r="BK2721">
        <v>1</v>
      </c>
      <c r="BL2721">
        <v>69.98</v>
      </c>
      <c r="BM2721">
        <v>10.5</v>
      </c>
      <c r="BN2721">
        <v>80.48</v>
      </c>
      <c r="BO2721">
        <v>80.48</v>
      </c>
      <c r="BQ2721" t="s">
        <v>93</v>
      </c>
      <c r="BR2721" t="s">
        <v>84</v>
      </c>
      <c r="BS2721" s="3">
        <v>45799</v>
      </c>
      <c r="BT2721" s="4">
        <v>0.38680555555555557</v>
      </c>
      <c r="BU2721" t="s">
        <v>94</v>
      </c>
      <c r="BV2721" t="s">
        <v>86</v>
      </c>
      <c r="BY2721">
        <v>1200</v>
      </c>
      <c r="CA2721" t="s">
        <v>95</v>
      </c>
      <c r="CC2721" t="s">
        <v>91</v>
      </c>
      <c r="CD2721">
        <v>6001</v>
      </c>
      <c r="CE2721" t="s">
        <v>88</v>
      </c>
      <c r="CF2721" s="3">
        <v>45800</v>
      </c>
      <c r="CI2721">
        <v>1</v>
      </c>
      <c r="CJ2721">
        <v>1</v>
      </c>
      <c r="CK2721">
        <v>21</v>
      </c>
      <c r="CL2721" t="s">
        <v>89</v>
      </c>
    </row>
    <row r="2722" spans="1:90" x14ac:dyDescent="0.3">
      <c r="A2722" t="s">
        <v>72</v>
      </c>
      <c r="B2722" t="s">
        <v>73</v>
      </c>
      <c r="C2722" t="s">
        <v>74</v>
      </c>
      <c r="E2722" t="str">
        <f>"080065495034"</f>
        <v>080065495034</v>
      </c>
      <c r="F2722" s="3">
        <v>45798</v>
      </c>
      <c r="G2722">
        <v>202602</v>
      </c>
      <c r="H2722" t="s">
        <v>75</v>
      </c>
      <c r="I2722" t="s">
        <v>76</v>
      </c>
      <c r="J2722" t="s">
        <v>77</v>
      </c>
      <c r="K2722" t="s">
        <v>78</v>
      </c>
      <c r="L2722" t="s">
        <v>123</v>
      </c>
      <c r="M2722" t="s">
        <v>123</v>
      </c>
      <c r="N2722" t="s">
        <v>766</v>
      </c>
      <c r="O2722" t="s">
        <v>82</v>
      </c>
      <c r="P2722" t="str">
        <f>"4170039914                    "</f>
        <v xml:space="preserve">4170039914                    </v>
      </c>
      <c r="Q2722">
        <v>0</v>
      </c>
      <c r="R2722">
        <v>0</v>
      </c>
      <c r="S2722">
        <v>0</v>
      </c>
      <c r="T2722">
        <v>0</v>
      </c>
      <c r="U2722">
        <v>0</v>
      </c>
      <c r="V2722">
        <v>0</v>
      </c>
      <c r="W2722">
        <v>0</v>
      </c>
      <c r="X2722">
        <v>0</v>
      </c>
      <c r="Y2722">
        <v>0</v>
      </c>
      <c r="Z2722">
        <v>0</v>
      </c>
      <c r="AA2722">
        <v>0</v>
      </c>
      <c r="AB2722">
        <v>0</v>
      </c>
      <c r="AC2722">
        <v>0</v>
      </c>
      <c r="AD2722">
        <v>0</v>
      </c>
      <c r="AE2722">
        <v>0</v>
      </c>
      <c r="AF2722">
        <v>0</v>
      </c>
      <c r="AG2722">
        <v>0</v>
      </c>
      <c r="AH2722">
        <v>0</v>
      </c>
      <c r="AI2722">
        <v>0</v>
      </c>
      <c r="AJ2722">
        <v>0</v>
      </c>
      <c r="AK2722">
        <v>0</v>
      </c>
      <c r="AL2722">
        <v>0</v>
      </c>
      <c r="AM2722">
        <v>0</v>
      </c>
      <c r="AN2722">
        <v>0</v>
      </c>
      <c r="AO2722">
        <v>0</v>
      </c>
      <c r="AP2722">
        <v>0</v>
      </c>
      <c r="AQ2722">
        <v>41.43</v>
      </c>
      <c r="AR2722">
        <v>0</v>
      </c>
      <c r="AS2722">
        <v>0</v>
      </c>
      <c r="AT2722">
        <v>0</v>
      </c>
      <c r="AU2722">
        <v>0</v>
      </c>
      <c r="AV2722">
        <v>0</v>
      </c>
      <c r="AW2722">
        <v>0</v>
      </c>
      <c r="AX2722">
        <v>0</v>
      </c>
      <c r="AY2722">
        <v>0</v>
      </c>
      <c r="AZ2722">
        <v>0</v>
      </c>
      <c r="BA2722">
        <v>0</v>
      </c>
      <c r="BB2722">
        <v>0</v>
      </c>
      <c r="BC2722">
        <v>0</v>
      </c>
      <c r="BD2722">
        <v>0</v>
      </c>
      <c r="BE2722">
        <v>0</v>
      </c>
      <c r="BF2722">
        <v>0</v>
      </c>
      <c r="BG2722">
        <v>0</v>
      </c>
      <c r="BH2722">
        <v>1</v>
      </c>
      <c r="BI2722">
        <v>1</v>
      </c>
      <c r="BJ2722">
        <v>0.2</v>
      </c>
      <c r="BK2722">
        <v>1</v>
      </c>
      <c r="BL2722">
        <v>135.59</v>
      </c>
      <c r="BM2722">
        <v>20.34</v>
      </c>
      <c r="BN2722">
        <v>155.93</v>
      </c>
      <c r="BO2722">
        <v>155.93</v>
      </c>
      <c r="BQ2722" t="s">
        <v>767</v>
      </c>
      <c r="BR2722" t="s">
        <v>84</v>
      </c>
      <c r="BS2722" s="3">
        <v>45799</v>
      </c>
      <c r="BT2722" s="4">
        <v>0.50277777777777777</v>
      </c>
      <c r="BU2722" t="s">
        <v>2823</v>
      </c>
      <c r="BV2722" t="s">
        <v>86</v>
      </c>
      <c r="BY2722">
        <v>1200</v>
      </c>
      <c r="CA2722" t="s">
        <v>128</v>
      </c>
      <c r="CC2722" t="s">
        <v>123</v>
      </c>
      <c r="CD2722">
        <v>7646</v>
      </c>
      <c r="CE2722" t="s">
        <v>88</v>
      </c>
      <c r="CF2722" s="3">
        <v>45800</v>
      </c>
      <c r="CI2722">
        <v>1</v>
      </c>
      <c r="CJ2722">
        <v>1</v>
      </c>
      <c r="CK2722">
        <v>23</v>
      </c>
      <c r="CL2722" t="s">
        <v>89</v>
      </c>
    </row>
    <row r="2723" spans="1:90" x14ac:dyDescent="0.3">
      <c r="A2723" t="s">
        <v>72</v>
      </c>
      <c r="B2723" t="s">
        <v>73</v>
      </c>
      <c r="C2723" t="s">
        <v>74</v>
      </c>
      <c r="E2723" t="str">
        <f>"080065495066"</f>
        <v>080065495066</v>
      </c>
      <c r="F2723" s="3">
        <v>45798</v>
      </c>
      <c r="G2723">
        <v>202602</v>
      </c>
      <c r="H2723" t="s">
        <v>75</v>
      </c>
      <c r="I2723" t="s">
        <v>76</v>
      </c>
      <c r="J2723" t="s">
        <v>77</v>
      </c>
      <c r="K2723" t="s">
        <v>78</v>
      </c>
      <c r="L2723" t="s">
        <v>463</v>
      </c>
      <c r="M2723" t="s">
        <v>464</v>
      </c>
      <c r="N2723" t="s">
        <v>585</v>
      </c>
      <c r="O2723" t="s">
        <v>82</v>
      </c>
      <c r="P2723" t="str">
        <f>"4170040002                    "</f>
        <v xml:space="preserve">4170040002                    </v>
      </c>
      <c r="Q2723">
        <v>0</v>
      </c>
      <c r="R2723">
        <v>0</v>
      </c>
      <c r="S2723">
        <v>0</v>
      </c>
      <c r="T2723">
        <v>0</v>
      </c>
      <c r="U2723">
        <v>0</v>
      </c>
      <c r="V2723">
        <v>0</v>
      </c>
      <c r="W2723">
        <v>0</v>
      </c>
      <c r="X2723">
        <v>0</v>
      </c>
      <c r="Y2723">
        <v>0</v>
      </c>
      <c r="Z2723">
        <v>0</v>
      </c>
      <c r="AA2723">
        <v>0</v>
      </c>
      <c r="AB2723">
        <v>0</v>
      </c>
      <c r="AC2723">
        <v>0</v>
      </c>
      <c r="AD2723">
        <v>0</v>
      </c>
      <c r="AE2723">
        <v>0</v>
      </c>
      <c r="AF2723">
        <v>0</v>
      </c>
      <c r="AG2723">
        <v>0</v>
      </c>
      <c r="AH2723">
        <v>0</v>
      </c>
      <c r="AI2723">
        <v>0</v>
      </c>
      <c r="AJ2723">
        <v>0</v>
      </c>
      <c r="AK2723">
        <v>0</v>
      </c>
      <c r="AL2723">
        <v>0</v>
      </c>
      <c r="AM2723">
        <v>0</v>
      </c>
      <c r="AN2723">
        <v>0</v>
      </c>
      <c r="AO2723">
        <v>0</v>
      </c>
      <c r="AP2723">
        <v>0</v>
      </c>
      <c r="AQ2723">
        <v>74.8</v>
      </c>
      <c r="AR2723">
        <v>0</v>
      </c>
      <c r="AS2723">
        <v>0</v>
      </c>
      <c r="AT2723">
        <v>0</v>
      </c>
      <c r="AU2723">
        <v>0</v>
      </c>
      <c r="AV2723">
        <v>0</v>
      </c>
      <c r="AW2723">
        <v>0</v>
      </c>
      <c r="AX2723">
        <v>0</v>
      </c>
      <c r="AY2723">
        <v>0</v>
      </c>
      <c r="AZ2723">
        <v>0</v>
      </c>
      <c r="BA2723">
        <v>0</v>
      </c>
      <c r="BB2723">
        <v>0</v>
      </c>
      <c r="BC2723">
        <v>0</v>
      </c>
      <c r="BD2723">
        <v>0</v>
      </c>
      <c r="BE2723">
        <v>0</v>
      </c>
      <c r="BF2723">
        <v>0</v>
      </c>
      <c r="BG2723">
        <v>0</v>
      </c>
      <c r="BH2723">
        <v>1</v>
      </c>
      <c r="BI2723">
        <v>5</v>
      </c>
      <c r="BJ2723">
        <v>6.7</v>
      </c>
      <c r="BK2723">
        <v>7</v>
      </c>
      <c r="BL2723">
        <v>244.8</v>
      </c>
      <c r="BM2723">
        <v>36.72</v>
      </c>
      <c r="BN2723">
        <v>281.52</v>
      </c>
      <c r="BO2723">
        <v>281.52</v>
      </c>
      <c r="BQ2723" t="s">
        <v>586</v>
      </c>
      <c r="BR2723" t="s">
        <v>84</v>
      </c>
      <c r="BS2723" s="3">
        <v>45799</v>
      </c>
      <c r="BT2723" s="4">
        <v>0.48888888888888887</v>
      </c>
      <c r="BU2723" t="s">
        <v>2787</v>
      </c>
      <c r="BV2723" t="s">
        <v>89</v>
      </c>
      <c r="BY2723">
        <v>33592</v>
      </c>
      <c r="CA2723" t="s">
        <v>588</v>
      </c>
      <c r="CC2723" t="s">
        <v>464</v>
      </c>
      <c r="CD2723">
        <v>5201</v>
      </c>
      <c r="CE2723" t="s">
        <v>221</v>
      </c>
      <c r="CF2723" s="3">
        <v>45799</v>
      </c>
      <c r="CI2723">
        <v>1</v>
      </c>
      <c r="CJ2723">
        <v>1</v>
      </c>
      <c r="CK2723">
        <v>21</v>
      </c>
      <c r="CL2723" t="s">
        <v>89</v>
      </c>
    </row>
    <row r="2724" spans="1:90" x14ac:dyDescent="0.3">
      <c r="A2724" t="s">
        <v>72</v>
      </c>
      <c r="B2724" t="s">
        <v>73</v>
      </c>
      <c r="C2724" t="s">
        <v>74</v>
      </c>
      <c r="E2724" t="str">
        <f>"080065495068"</f>
        <v>080065495068</v>
      </c>
      <c r="F2724" s="3">
        <v>45798</v>
      </c>
      <c r="G2724">
        <v>202602</v>
      </c>
      <c r="H2724" t="s">
        <v>75</v>
      </c>
      <c r="I2724" t="s">
        <v>76</v>
      </c>
      <c r="J2724" t="s">
        <v>77</v>
      </c>
      <c r="K2724" t="s">
        <v>78</v>
      </c>
      <c r="L2724" t="s">
        <v>648</v>
      </c>
      <c r="M2724" t="s">
        <v>649</v>
      </c>
      <c r="N2724" t="s">
        <v>1845</v>
      </c>
      <c r="O2724" t="s">
        <v>82</v>
      </c>
      <c r="P2724" t="str">
        <f>"4170039933                    "</f>
        <v xml:space="preserve">4170039933                    </v>
      </c>
      <c r="Q2724">
        <v>0</v>
      </c>
      <c r="R2724">
        <v>0</v>
      </c>
      <c r="S2724">
        <v>0</v>
      </c>
      <c r="T2724">
        <v>0</v>
      </c>
      <c r="U2724">
        <v>0</v>
      </c>
      <c r="V2724">
        <v>0</v>
      </c>
      <c r="W2724">
        <v>0</v>
      </c>
      <c r="X2724">
        <v>0</v>
      </c>
      <c r="Y2724">
        <v>0</v>
      </c>
      <c r="Z2724">
        <v>0</v>
      </c>
      <c r="AA2724">
        <v>0</v>
      </c>
      <c r="AB2724">
        <v>0</v>
      </c>
      <c r="AC2724">
        <v>0</v>
      </c>
      <c r="AD2724">
        <v>0</v>
      </c>
      <c r="AE2724">
        <v>0</v>
      </c>
      <c r="AF2724">
        <v>0</v>
      </c>
      <c r="AG2724">
        <v>0</v>
      </c>
      <c r="AH2724">
        <v>0</v>
      </c>
      <c r="AI2724">
        <v>0</v>
      </c>
      <c r="AJ2724">
        <v>0</v>
      </c>
      <c r="AK2724">
        <v>0</v>
      </c>
      <c r="AL2724">
        <v>0</v>
      </c>
      <c r="AM2724">
        <v>0</v>
      </c>
      <c r="AN2724">
        <v>0</v>
      </c>
      <c r="AO2724">
        <v>0</v>
      </c>
      <c r="AP2724">
        <v>0</v>
      </c>
      <c r="AQ2724">
        <v>16.7</v>
      </c>
      <c r="AR2724">
        <v>0</v>
      </c>
      <c r="AS2724">
        <v>0</v>
      </c>
      <c r="AT2724">
        <v>0</v>
      </c>
      <c r="AU2724">
        <v>0</v>
      </c>
      <c r="AV2724">
        <v>0</v>
      </c>
      <c r="AW2724">
        <v>0</v>
      </c>
      <c r="AX2724">
        <v>0</v>
      </c>
      <c r="AY2724">
        <v>0</v>
      </c>
      <c r="AZ2724">
        <v>0</v>
      </c>
      <c r="BA2724">
        <v>0</v>
      </c>
      <c r="BB2724">
        <v>0</v>
      </c>
      <c r="BC2724">
        <v>0</v>
      </c>
      <c r="BD2724">
        <v>0</v>
      </c>
      <c r="BE2724">
        <v>0</v>
      </c>
      <c r="BF2724">
        <v>0</v>
      </c>
      <c r="BG2724">
        <v>0</v>
      </c>
      <c r="BH2724">
        <v>1</v>
      </c>
      <c r="BI2724">
        <v>1</v>
      </c>
      <c r="BJ2724">
        <v>0.2</v>
      </c>
      <c r="BK2724">
        <v>1</v>
      </c>
      <c r="BL2724">
        <v>54.66</v>
      </c>
      <c r="BM2724">
        <v>8.1999999999999993</v>
      </c>
      <c r="BN2724">
        <v>62.86</v>
      </c>
      <c r="BO2724">
        <v>62.86</v>
      </c>
      <c r="BQ2724" t="s">
        <v>1846</v>
      </c>
      <c r="BR2724" t="s">
        <v>84</v>
      </c>
      <c r="BS2724" s="3">
        <v>45799</v>
      </c>
      <c r="BT2724" s="4">
        <v>0.31736111111111109</v>
      </c>
      <c r="BU2724" t="s">
        <v>2865</v>
      </c>
      <c r="BV2724" t="s">
        <v>86</v>
      </c>
      <c r="BY2724">
        <v>1200</v>
      </c>
      <c r="CA2724" t="s">
        <v>2407</v>
      </c>
      <c r="CC2724" t="s">
        <v>649</v>
      </c>
      <c r="CD2724">
        <v>1559</v>
      </c>
      <c r="CE2724" t="s">
        <v>88</v>
      </c>
      <c r="CF2724" s="3">
        <v>45799</v>
      </c>
      <c r="CI2724">
        <v>1</v>
      </c>
      <c r="CJ2724">
        <v>1</v>
      </c>
      <c r="CK2724">
        <v>22</v>
      </c>
      <c r="CL2724" t="s">
        <v>89</v>
      </c>
    </row>
    <row r="2725" spans="1:90" x14ac:dyDescent="0.3">
      <c r="A2725" t="s">
        <v>72</v>
      </c>
      <c r="B2725" t="s">
        <v>73</v>
      </c>
      <c r="C2725" t="s">
        <v>74</v>
      </c>
      <c r="E2725" t="str">
        <f>"080065495111"</f>
        <v>080065495111</v>
      </c>
      <c r="F2725" s="3">
        <v>45798</v>
      </c>
      <c r="G2725">
        <v>202602</v>
      </c>
      <c r="H2725" t="s">
        <v>75</v>
      </c>
      <c r="I2725" t="s">
        <v>76</v>
      </c>
      <c r="J2725" t="s">
        <v>77</v>
      </c>
      <c r="K2725" t="s">
        <v>78</v>
      </c>
      <c r="L2725" t="s">
        <v>151</v>
      </c>
      <c r="M2725" t="s">
        <v>152</v>
      </c>
      <c r="N2725" t="s">
        <v>124</v>
      </c>
      <c r="O2725" t="s">
        <v>82</v>
      </c>
      <c r="P2725" t="str">
        <f>"4170039920                    "</f>
        <v xml:space="preserve">4170039920                    </v>
      </c>
      <c r="Q2725">
        <v>0</v>
      </c>
      <c r="R2725">
        <v>0</v>
      </c>
      <c r="S2725">
        <v>0</v>
      </c>
      <c r="T2725">
        <v>0</v>
      </c>
      <c r="U2725">
        <v>0</v>
      </c>
      <c r="V2725">
        <v>0</v>
      </c>
      <c r="W2725">
        <v>0</v>
      </c>
      <c r="X2725">
        <v>0</v>
      </c>
      <c r="Y2725">
        <v>0</v>
      </c>
      <c r="Z2725">
        <v>0</v>
      </c>
      <c r="AA2725">
        <v>0</v>
      </c>
      <c r="AB2725">
        <v>0</v>
      </c>
      <c r="AC2725">
        <v>0</v>
      </c>
      <c r="AD2725">
        <v>0</v>
      </c>
      <c r="AE2725">
        <v>0</v>
      </c>
      <c r="AF2725">
        <v>0</v>
      </c>
      <c r="AG2725">
        <v>0</v>
      </c>
      <c r="AH2725">
        <v>0</v>
      </c>
      <c r="AI2725">
        <v>0</v>
      </c>
      <c r="AJ2725">
        <v>0</v>
      </c>
      <c r="AK2725">
        <v>0</v>
      </c>
      <c r="AL2725">
        <v>0</v>
      </c>
      <c r="AM2725">
        <v>0</v>
      </c>
      <c r="AN2725">
        <v>0</v>
      </c>
      <c r="AO2725">
        <v>0</v>
      </c>
      <c r="AP2725">
        <v>0</v>
      </c>
      <c r="AQ2725">
        <v>41.43</v>
      </c>
      <c r="AR2725">
        <v>0</v>
      </c>
      <c r="AS2725">
        <v>0</v>
      </c>
      <c r="AT2725">
        <v>0</v>
      </c>
      <c r="AU2725">
        <v>0</v>
      </c>
      <c r="AV2725">
        <v>0</v>
      </c>
      <c r="AW2725">
        <v>0</v>
      </c>
      <c r="AX2725">
        <v>0</v>
      </c>
      <c r="AY2725">
        <v>0</v>
      </c>
      <c r="AZ2725">
        <v>0</v>
      </c>
      <c r="BA2725">
        <v>0</v>
      </c>
      <c r="BB2725">
        <v>0</v>
      </c>
      <c r="BC2725">
        <v>0</v>
      </c>
      <c r="BD2725">
        <v>0</v>
      </c>
      <c r="BE2725">
        <v>0</v>
      </c>
      <c r="BF2725">
        <v>0</v>
      </c>
      <c r="BG2725">
        <v>0</v>
      </c>
      <c r="BH2725">
        <v>1</v>
      </c>
      <c r="BI2725">
        <v>1</v>
      </c>
      <c r="BJ2725">
        <v>0.2</v>
      </c>
      <c r="BK2725">
        <v>1</v>
      </c>
      <c r="BL2725">
        <v>135.59</v>
      </c>
      <c r="BM2725">
        <v>20.34</v>
      </c>
      <c r="BN2725">
        <v>155.93</v>
      </c>
      <c r="BO2725">
        <v>155.93</v>
      </c>
      <c r="BQ2725" t="s">
        <v>125</v>
      </c>
      <c r="BR2725" t="s">
        <v>84</v>
      </c>
      <c r="BS2725" s="3">
        <v>45799</v>
      </c>
      <c r="BT2725" s="4">
        <v>0.4375</v>
      </c>
      <c r="BU2725" t="s">
        <v>2866</v>
      </c>
      <c r="BV2725" t="s">
        <v>86</v>
      </c>
      <c r="BY2725">
        <v>1200</v>
      </c>
      <c r="CA2725" t="s">
        <v>156</v>
      </c>
      <c r="CC2725" t="s">
        <v>152</v>
      </c>
      <c r="CD2725">
        <v>1900</v>
      </c>
      <c r="CE2725" t="s">
        <v>88</v>
      </c>
      <c r="CF2725" s="3">
        <v>45799</v>
      </c>
      <c r="CI2725">
        <v>1</v>
      </c>
      <c r="CJ2725">
        <v>1</v>
      </c>
      <c r="CK2725">
        <v>23</v>
      </c>
      <c r="CL2725" t="s">
        <v>89</v>
      </c>
    </row>
    <row r="2726" spans="1:90" x14ac:dyDescent="0.3">
      <c r="A2726" t="s">
        <v>72</v>
      </c>
      <c r="B2726" t="s">
        <v>73</v>
      </c>
      <c r="C2726" t="s">
        <v>74</v>
      </c>
      <c r="E2726" t="str">
        <f>"080065495119"</f>
        <v>080065495119</v>
      </c>
      <c r="F2726" s="3">
        <v>45798</v>
      </c>
      <c r="G2726">
        <v>202602</v>
      </c>
      <c r="H2726" t="s">
        <v>75</v>
      </c>
      <c r="I2726" t="s">
        <v>76</v>
      </c>
      <c r="J2726" t="s">
        <v>77</v>
      </c>
      <c r="K2726" t="s">
        <v>78</v>
      </c>
      <c r="L2726" t="s">
        <v>1132</v>
      </c>
      <c r="M2726" t="s">
        <v>1133</v>
      </c>
      <c r="N2726" t="s">
        <v>1134</v>
      </c>
      <c r="O2726" t="s">
        <v>82</v>
      </c>
      <c r="P2726" t="str">
        <f>"4170039973                    "</f>
        <v xml:space="preserve">4170039973                    </v>
      </c>
      <c r="Q2726">
        <v>0</v>
      </c>
      <c r="R2726">
        <v>0</v>
      </c>
      <c r="S2726">
        <v>0</v>
      </c>
      <c r="T2726">
        <v>0</v>
      </c>
      <c r="U2726">
        <v>0</v>
      </c>
      <c r="V2726">
        <v>0</v>
      </c>
      <c r="W2726">
        <v>0</v>
      </c>
      <c r="X2726">
        <v>0</v>
      </c>
      <c r="Y2726">
        <v>0</v>
      </c>
      <c r="Z2726">
        <v>0</v>
      </c>
      <c r="AA2726">
        <v>0</v>
      </c>
      <c r="AB2726">
        <v>0</v>
      </c>
      <c r="AC2726">
        <v>0</v>
      </c>
      <c r="AD2726">
        <v>0</v>
      </c>
      <c r="AE2726">
        <v>0</v>
      </c>
      <c r="AF2726">
        <v>0</v>
      </c>
      <c r="AG2726">
        <v>0</v>
      </c>
      <c r="AH2726">
        <v>0</v>
      </c>
      <c r="AI2726">
        <v>0</v>
      </c>
      <c r="AJ2726">
        <v>0</v>
      </c>
      <c r="AK2726">
        <v>0</v>
      </c>
      <c r="AL2726">
        <v>0</v>
      </c>
      <c r="AM2726">
        <v>0</v>
      </c>
      <c r="AN2726">
        <v>0</v>
      </c>
      <c r="AO2726">
        <v>0</v>
      </c>
      <c r="AP2726">
        <v>0</v>
      </c>
      <c r="AQ2726">
        <v>41.43</v>
      </c>
      <c r="AR2726">
        <v>0</v>
      </c>
      <c r="AS2726">
        <v>0</v>
      </c>
      <c r="AT2726">
        <v>0</v>
      </c>
      <c r="AU2726">
        <v>0</v>
      </c>
      <c r="AV2726">
        <v>0</v>
      </c>
      <c r="AW2726">
        <v>0</v>
      </c>
      <c r="AX2726">
        <v>0</v>
      </c>
      <c r="AY2726">
        <v>0</v>
      </c>
      <c r="AZ2726">
        <v>0</v>
      </c>
      <c r="BA2726">
        <v>0</v>
      </c>
      <c r="BB2726">
        <v>0</v>
      </c>
      <c r="BC2726">
        <v>0</v>
      </c>
      <c r="BD2726">
        <v>0</v>
      </c>
      <c r="BE2726">
        <v>0</v>
      </c>
      <c r="BF2726">
        <v>0</v>
      </c>
      <c r="BG2726">
        <v>0</v>
      </c>
      <c r="BH2726">
        <v>1</v>
      </c>
      <c r="BI2726">
        <v>1</v>
      </c>
      <c r="BJ2726">
        <v>0.6</v>
      </c>
      <c r="BK2726">
        <v>1</v>
      </c>
      <c r="BL2726">
        <v>135.59</v>
      </c>
      <c r="BM2726">
        <v>20.34</v>
      </c>
      <c r="BN2726">
        <v>155.93</v>
      </c>
      <c r="BO2726">
        <v>155.93</v>
      </c>
      <c r="BQ2726" t="s">
        <v>1135</v>
      </c>
      <c r="BR2726" t="s">
        <v>84</v>
      </c>
      <c r="BS2726" s="3">
        <v>45799</v>
      </c>
      <c r="BT2726" s="4">
        <v>0.51249999999999996</v>
      </c>
      <c r="BU2726" t="s">
        <v>2773</v>
      </c>
      <c r="BV2726" t="s">
        <v>86</v>
      </c>
      <c r="BY2726">
        <v>3192</v>
      </c>
      <c r="CA2726" t="s">
        <v>2774</v>
      </c>
      <c r="CC2726" t="s">
        <v>1133</v>
      </c>
      <c r="CD2726" s="5" t="s">
        <v>1138</v>
      </c>
      <c r="CE2726" t="s">
        <v>116</v>
      </c>
      <c r="CF2726" s="3">
        <v>45800</v>
      </c>
      <c r="CI2726">
        <v>1</v>
      </c>
      <c r="CJ2726">
        <v>1</v>
      </c>
      <c r="CK2726">
        <v>23</v>
      </c>
      <c r="CL2726" t="s">
        <v>89</v>
      </c>
    </row>
    <row r="2727" spans="1:90" x14ac:dyDescent="0.3">
      <c r="A2727" t="s">
        <v>72</v>
      </c>
      <c r="B2727" t="s">
        <v>73</v>
      </c>
      <c r="C2727" t="s">
        <v>74</v>
      </c>
      <c r="E2727" t="str">
        <f>"080065495145"</f>
        <v>080065495145</v>
      </c>
      <c r="F2727" s="3">
        <v>45798</v>
      </c>
      <c r="G2727">
        <v>202602</v>
      </c>
      <c r="H2727" t="s">
        <v>75</v>
      </c>
      <c r="I2727" t="s">
        <v>76</v>
      </c>
      <c r="J2727" t="s">
        <v>77</v>
      </c>
      <c r="K2727" t="s">
        <v>78</v>
      </c>
      <c r="L2727" t="s">
        <v>117</v>
      </c>
      <c r="M2727" t="s">
        <v>118</v>
      </c>
      <c r="N2727" t="s">
        <v>532</v>
      </c>
      <c r="O2727" t="s">
        <v>82</v>
      </c>
      <c r="P2727" t="str">
        <f>"4170039764                    "</f>
        <v xml:space="preserve">4170039764                    </v>
      </c>
      <c r="Q2727">
        <v>0</v>
      </c>
      <c r="R2727">
        <v>0</v>
      </c>
      <c r="S2727">
        <v>0</v>
      </c>
      <c r="T2727">
        <v>0</v>
      </c>
      <c r="U2727">
        <v>0</v>
      </c>
      <c r="V2727">
        <v>0</v>
      </c>
      <c r="W2727">
        <v>0</v>
      </c>
      <c r="X2727">
        <v>0</v>
      </c>
      <c r="Y2727">
        <v>0</v>
      </c>
      <c r="Z2727">
        <v>0</v>
      </c>
      <c r="AA2727">
        <v>0</v>
      </c>
      <c r="AB2727">
        <v>0</v>
      </c>
      <c r="AC2727">
        <v>0</v>
      </c>
      <c r="AD2727">
        <v>0</v>
      </c>
      <c r="AE2727">
        <v>0</v>
      </c>
      <c r="AF2727">
        <v>0</v>
      </c>
      <c r="AG2727">
        <v>0</v>
      </c>
      <c r="AH2727">
        <v>0</v>
      </c>
      <c r="AI2727">
        <v>0</v>
      </c>
      <c r="AJ2727">
        <v>0</v>
      </c>
      <c r="AK2727">
        <v>0</v>
      </c>
      <c r="AL2727">
        <v>0</v>
      </c>
      <c r="AM2727">
        <v>0</v>
      </c>
      <c r="AN2727">
        <v>0</v>
      </c>
      <c r="AO2727">
        <v>0</v>
      </c>
      <c r="AP2727">
        <v>0</v>
      </c>
      <c r="AQ2727">
        <v>16.7</v>
      </c>
      <c r="AR2727">
        <v>0</v>
      </c>
      <c r="AS2727">
        <v>0</v>
      </c>
      <c r="AT2727">
        <v>0</v>
      </c>
      <c r="AU2727">
        <v>0</v>
      </c>
      <c r="AV2727">
        <v>0</v>
      </c>
      <c r="AW2727">
        <v>0</v>
      </c>
      <c r="AX2727">
        <v>0</v>
      </c>
      <c r="AY2727">
        <v>0</v>
      </c>
      <c r="AZ2727">
        <v>0</v>
      </c>
      <c r="BA2727">
        <v>0</v>
      </c>
      <c r="BB2727">
        <v>0</v>
      </c>
      <c r="BC2727">
        <v>0</v>
      </c>
      <c r="BD2727">
        <v>0</v>
      </c>
      <c r="BE2727">
        <v>0</v>
      </c>
      <c r="BF2727">
        <v>0</v>
      </c>
      <c r="BG2727">
        <v>0</v>
      </c>
      <c r="BH2727">
        <v>1</v>
      </c>
      <c r="BI2727">
        <v>2</v>
      </c>
      <c r="BJ2727">
        <v>5</v>
      </c>
      <c r="BK2727">
        <v>5</v>
      </c>
      <c r="BL2727">
        <v>54.66</v>
      </c>
      <c r="BM2727">
        <v>8.1999999999999993</v>
      </c>
      <c r="BN2727">
        <v>62.86</v>
      </c>
      <c r="BO2727">
        <v>62.86</v>
      </c>
      <c r="BQ2727" t="s">
        <v>533</v>
      </c>
      <c r="BR2727" t="s">
        <v>84</v>
      </c>
      <c r="BS2727" s="3">
        <v>45799</v>
      </c>
      <c r="BT2727" s="4">
        <v>0.36666666666666664</v>
      </c>
      <c r="BU2727" t="s">
        <v>348</v>
      </c>
      <c r="BV2727" t="s">
        <v>86</v>
      </c>
      <c r="BY2727">
        <v>24882</v>
      </c>
      <c r="BZ2727" t="s">
        <v>127</v>
      </c>
      <c r="CA2727" t="s">
        <v>535</v>
      </c>
      <c r="CC2727" t="s">
        <v>118</v>
      </c>
      <c r="CD2727">
        <v>2094</v>
      </c>
      <c r="CE2727" t="s">
        <v>419</v>
      </c>
      <c r="CF2727" s="3">
        <v>45799</v>
      </c>
      <c r="CI2727">
        <v>1</v>
      </c>
      <c r="CJ2727">
        <v>1</v>
      </c>
      <c r="CK2727">
        <v>22</v>
      </c>
      <c r="CL2727" t="s">
        <v>89</v>
      </c>
    </row>
    <row r="2728" spans="1:90" x14ac:dyDescent="0.3">
      <c r="A2728" t="s">
        <v>72</v>
      </c>
      <c r="B2728" t="s">
        <v>73</v>
      </c>
      <c r="C2728" t="s">
        <v>74</v>
      </c>
      <c r="E2728" t="str">
        <f>"080065495159"</f>
        <v>080065495159</v>
      </c>
      <c r="F2728" s="3">
        <v>45798</v>
      </c>
      <c r="G2728">
        <v>202602</v>
      </c>
      <c r="H2728" t="s">
        <v>75</v>
      </c>
      <c r="I2728" t="s">
        <v>76</v>
      </c>
      <c r="J2728" t="s">
        <v>77</v>
      </c>
      <c r="K2728" t="s">
        <v>78</v>
      </c>
      <c r="L2728" t="s">
        <v>90</v>
      </c>
      <c r="M2728" t="s">
        <v>91</v>
      </c>
      <c r="N2728" t="s">
        <v>92</v>
      </c>
      <c r="O2728" t="s">
        <v>82</v>
      </c>
      <c r="P2728" t="str">
        <f>"4170039994                    "</f>
        <v xml:space="preserve">4170039994                    </v>
      </c>
      <c r="Q2728">
        <v>0</v>
      </c>
      <c r="R2728">
        <v>0</v>
      </c>
      <c r="S2728">
        <v>0</v>
      </c>
      <c r="T2728">
        <v>0</v>
      </c>
      <c r="U2728">
        <v>0</v>
      </c>
      <c r="V2728">
        <v>0</v>
      </c>
      <c r="W2728">
        <v>0</v>
      </c>
      <c r="X2728">
        <v>0</v>
      </c>
      <c r="Y2728">
        <v>0</v>
      </c>
      <c r="Z2728">
        <v>0</v>
      </c>
      <c r="AA2728">
        <v>0</v>
      </c>
      <c r="AB2728">
        <v>0</v>
      </c>
      <c r="AC2728">
        <v>0</v>
      </c>
      <c r="AD2728">
        <v>0</v>
      </c>
      <c r="AE2728">
        <v>0</v>
      </c>
      <c r="AF2728">
        <v>0</v>
      </c>
      <c r="AG2728">
        <v>0</v>
      </c>
      <c r="AH2728">
        <v>0</v>
      </c>
      <c r="AI2728">
        <v>0</v>
      </c>
      <c r="AJ2728">
        <v>0</v>
      </c>
      <c r="AK2728">
        <v>0</v>
      </c>
      <c r="AL2728">
        <v>0</v>
      </c>
      <c r="AM2728">
        <v>0</v>
      </c>
      <c r="AN2728">
        <v>0</v>
      </c>
      <c r="AO2728">
        <v>0</v>
      </c>
      <c r="AP2728">
        <v>0</v>
      </c>
      <c r="AQ2728">
        <v>21.38</v>
      </c>
      <c r="AR2728">
        <v>0</v>
      </c>
      <c r="AS2728">
        <v>0</v>
      </c>
      <c r="AT2728">
        <v>0</v>
      </c>
      <c r="AU2728">
        <v>0</v>
      </c>
      <c r="AV2728">
        <v>0</v>
      </c>
      <c r="AW2728">
        <v>0</v>
      </c>
      <c r="AX2728">
        <v>0</v>
      </c>
      <c r="AY2728">
        <v>0</v>
      </c>
      <c r="AZ2728">
        <v>0</v>
      </c>
      <c r="BA2728">
        <v>0</v>
      </c>
      <c r="BB2728">
        <v>0</v>
      </c>
      <c r="BC2728">
        <v>0</v>
      </c>
      <c r="BD2728">
        <v>0</v>
      </c>
      <c r="BE2728">
        <v>0</v>
      </c>
      <c r="BF2728">
        <v>0</v>
      </c>
      <c r="BG2728">
        <v>0</v>
      </c>
      <c r="BH2728">
        <v>1</v>
      </c>
      <c r="BI2728">
        <v>1</v>
      </c>
      <c r="BJ2728">
        <v>1.7</v>
      </c>
      <c r="BK2728">
        <v>2</v>
      </c>
      <c r="BL2728">
        <v>69.98</v>
      </c>
      <c r="BM2728">
        <v>10.5</v>
      </c>
      <c r="BN2728">
        <v>80.48</v>
      </c>
      <c r="BO2728">
        <v>80.48</v>
      </c>
      <c r="BQ2728" t="s">
        <v>93</v>
      </c>
      <c r="BR2728" t="s">
        <v>84</v>
      </c>
      <c r="BS2728" s="3">
        <v>45799</v>
      </c>
      <c r="BT2728" s="4">
        <v>0.38680555555555557</v>
      </c>
      <c r="BU2728" t="s">
        <v>94</v>
      </c>
      <c r="BV2728" t="s">
        <v>86</v>
      </c>
      <c r="BY2728">
        <v>8550</v>
      </c>
      <c r="BZ2728" t="s">
        <v>127</v>
      </c>
      <c r="CA2728" t="s">
        <v>95</v>
      </c>
      <c r="CC2728" t="s">
        <v>91</v>
      </c>
      <c r="CD2728">
        <v>6001</v>
      </c>
      <c r="CE2728" t="s">
        <v>408</v>
      </c>
      <c r="CF2728" s="3">
        <v>45799</v>
      </c>
      <c r="CI2728">
        <v>1</v>
      </c>
      <c r="CJ2728">
        <v>1</v>
      </c>
      <c r="CK2728">
        <v>21</v>
      </c>
      <c r="CL2728" t="s">
        <v>89</v>
      </c>
    </row>
    <row r="2729" spans="1:90" x14ac:dyDescent="0.3">
      <c r="A2729" t="s">
        <v>72</v>
      </c>
      <c r="B2729" t="s">
        <v>73</v>
      </c>
      <c r="C2729" t="s">
        <v>74</v>
      </c>
      <c r="E2729" t="str">
        <f>"080065495185"</f>
        <v>080065495185</v>
      </c>
      <c r="F2729" s="3">
        <v>45798</v>
      </c>
      <c r="G2729">
        <v>202602</v>
      </c>
      <c r="H2729" t="s">
        <v>75</v>
      </c>
      <c r="I2729" t="s">
        <v>76</v>
      </c>
      <c r="J2729" t="s">
        <v>77</v>
      </c>
      <c r="K2729" t="s">
        <v>78</v>
      </c>
      <c r="L2729" t="s">
        <v>350</v>
      </c>
      <c r="M2729" t="s">
        <v>351</v>
      </c>
      <c r="N2729" t="s">
        <v>678</v>
      </c>
      <c r="O2729" t="s">
        <v>82</v>
      </c>
      <c r="P2729" t="str">
        <f>"4170039979                    "</f>
        <v xml:space="preserve">4170039979                    </v>
      </c>
      <c r="Q2729">
        <v>0</v>
      </c>
      <c r="R2729">
        <v>0</v>
      </c>
      <c r="S2729">
        <v>0</v>
      </c>
      <c r="T2729">
        <v>0</v>
      </c>
      <c r="U2729">
        <v>0</v>
      </c>
      <c r="V2729">
        <v>0</v>
      </c>
      <c r="W2729">
        <v>0</v>
      </c>
      <c r="X2729">
        <v>0</v>
      </c>
      <c r="Y2729">
        <v>0</v>
      </c>
      <c r="Z2729">
        <v>0</v>
      </c>
      <c r="AA2729">
        <v>0</v>
      </c>
      <c r="AB2729">
        <v>0</v>
      </c>
      <c r="AC2729">
        <v>0</v>
      </c>
      <c r="AD2729">
        <v>0</v>
      </c>
      <c r="AE2729">
        <v>0</v>
      </c>
      <c r="AF2729">
        <v>0</v>
      </c>
      <c r="AG2729">
        <v>0</v>
      </c>
      <c r="AH2729">
        <v>0</v>
      </c>
      <c r="AI2729">
        <v>0</v>
      </c>
      <c r="AJ2729">
        <v>0</v>
      </c>
      <c r="AK2729">
        <v>0</v>
      </c>
      <c r="AL2729">
        <v>0</v>
      </c>
      <c r="AM2729">
        <v>0</v>
      </c>
      <c r="AN2729">
        <v>0</v>
      </c>
      <c r="AO2729">
        <v>0</v>
      </c>
      <c r="AP2729">
        <v>0</v>
      </c>
      <c r="AQ2729">
        <v>21.38</v>
      </c>
      <c r="AR2729">
        <v>0</v>
      </c>
      <c r="AS2729">
        <v>0</v>
      </c>
      <c r="AT2729">
        <v>0</v>
      </c>
      <c r="AU2729">
        <v>0</v>
      </c>
      <c r="AV2729">
        <v>0</v>
      </c>
      <c r="AW2729">
        <v>0</v>
      </c>
      <c r="AX2729">
        <v>0</v>
      </c>
      <c r="AY2729">
        <v>0</v>
      </c>
      <c r="AZ2729">
        <v>0</v>
      </c>
      <c r="BA2729">
        <v>0</v>
      </c>
      <c r="BB2729">
        <v>0</v>
      </c>
      <c r="BC2729">
        <v>0</v>
      </c>
      <c r="BD2729">
        <v>0</v>
      </c>
      <c r="BE2729">
        <v>0</v>
      </c>
      <c r="BF2729">
        <v>0</v>
      </c>
      <c r="BG2729">
        <v>0</v>
      </c>
      <c r="BH2729">
        <v>1</v>
      </c>
      <c r="BI2729">
        <v>2</v>
      </c>
      <c r="BJ2729">
        <v>1.9</v>
      </c>
      <c r="BK2729">
        <v>2</v>
      </c>
      <c r="BL2729">
        <v>69.98</v>
      </c>
      <c r="BM2729">
        <v>10.5</v>
      </c>
      <c r="BN2729">
        <v>80.48</v>
      </c>
      <c r="BO2729">
        <v>80.48</v>
      </c>
      <c r="BQ2729" t="s">
        <v>679</v>
      </c>
      <c r="BR2729" t="s">
        <v>84</v>
      </c>
      <c r="BS2729" s="3">
        <v>45799</v>
      </c>
      <c r="BT2729" s="4">
        <v>0.41805555555555557</v>
      </c>
      <c r="BU2729" t="s">
        <v>1828</v>
      </c>
      <c r="BV2729" t="s">
        <v>86</v>
      </c>
      <c r="BY2729">
        <v>9600</v>
      </c>
      <c r="BZ2729" t="s">
        <v>127</v>
      </c>
      <c r="CA2729" t="s">
        <v>326</v>
      </c>
      <c r="CC2729" t="s">
        <v>351</v>
      </c>
      <c r="CD2729">
        <v>4052</v>
      </c>
      <c r="CE2729" t="s">
        <v>419</v>
      </c>
      <c r="CF2729" s="3">
        <v>45800</v>
      </c>
      <c r="CI2729">
        <v>1</v>
      </c>
      <c r="CJ2729">
        <v>1</v>
      </c>
      <c r="CK2729">
        <v>21</v>
      </c>
      <c r="CL2729" t="s">
        <v>89</v>
      </c>
    </row>
    <row r="2730" spans="1:90" x14ac:dyDescent="0.3">
      <c r="A2730" t="s">
        <v>72</v>
      </c>
      <c r="B2730" t="s">
        <v>73</v>
      </c>
      <c r="C2730" t="s">
        <v>74</v>
      </c>
      <c r="E2730" t="str">
        <f>"080065495509"</f>
        <v>080065495509</v>
      </c>
      <c r="F2730" s="3">
        <v>45798</v>
      </c>
      <c r="G2730">
        <v>202602</v>
      </c>
      <c r="H2730" t="s">
        <v>75</v>
      </c>
      <c r="I2730" t="s">
        <v>76</v>
      </c>
      <c r="J2730" t="s">
        <v>77</v>
      </c>
      <c r="K2730" t="s">
        <v>78</v>
      </c>
      <c r="L2730" t="s">
        <v>97</v>
      </c>
      <c r="M2730" t="s">
        <v>98</v>
      </c>
      <c r="N2730" t="s">
        <v>99</v>
      </c>
      <c r="O2730" t="s">
        <v>300</v>
      </c>
      <c r="P2730" t="str">
        <f>"4170039986                    "</f>
        <v xml:space="preserve">4170039986                    </v>
      </c>
      <c r="Q2730">
        <v>0</v>
      </c>
      <c r="R2730">
        <v>0</v>
      </c>
      <c r="S2730">
        <v>0</v>
      </c>
      <c r="T2730">
        <v>0</v>
      </c>
      <c r="U2730">
        <v>0</v>
      </c>
      <c r="V2730">
        <v>0</v>
      </c>
      <c r="W2730">
        <v>0</v>
      </c>
      <c r="X2730">
        <v>0</v>
      </c>
      <c r="Y2730">
        <v>0</v>
      </c>
      <c r="Z2730">
        <v>0</v>
      </c>
      <c r="AA2730">
        <v>0</v>
      </c>
      <c r="AB2730">
        <v>0</v>
      </c>
      <c r="AC2730">
        <v>0</v>
      </c>
      <c r="AD2730">
        <v>0</v>
      </c>
      <c r="AE2730">
        <v>0</v>
      </c>
      <c r="AF2730">
        <v>0</v>
      </c>
      <c r="AG2730">
        <v>0</v>
      </c>
      <c r="AH2730">
        <v>0</v>
      </c>
      <c r="AI2730">
        <v>0</v>
      </c>
      <c r="AJ2730">
        <v>0</v>
      </c>
      <c r="AK2730">
        <v>0</v>
      </c>
      <c r="AL2730">
        <v>0</v>
      </c>
      <c r="AM2730">
        <v>0</v>
      </c>
      <c r="AN2730">
        <v>0</v>
      </c>
      <c r="AO2730">
        <v>0</v>
      </c>
      <c r="AP2730">
        <v>0</v>
      </c>
      <c r="AQ2730">
        <v>46.83</v>
      </c>
      <c r="AR2730">
        <v>0</v>
      </c>
      <c r="AS2730">
        <v>0</v>
      </c>
      <c r="AT2730">
        <v>0</v>
      </c>
      <c r="AU2730">
        <v>0</v>
      </c>
      <c r="AV2730">
        <v>0</v>
      </c>
      <c r="AW2730">
        <v>0</v>
      </c>
      <c r="AX2730">
        <v>0</v>
      </c>
      <c r="AY2730">
        <v>0</v>
      </c>
      <c r="AZ2730">
        <v>0</v>
      </c>
      <c r="BA2730">
        <v>0</v>
      </c>
      <c r="BB2730">
        <v>0</v>
      </c>
      <c r="BC2730">
        <v>0</v>
      </c>
      <c r="BD2730">
        <v>0</v>
      </c>
      <c r="BE2730">
        <v>0</v>
      </c>
      <c r="BF2730">
        <v>0</v>
      </c>
      <c r="BG2730">
        <v>0</v>
      </c>
      <c r="BH2730">
        <v>1</v>
      </c>
      <c r="BI2730">
        <v>14</v>
      </c>
      <c r="BJ2730">
        <v>30.9</v>
      </c>
      <c r="BK2730">
        <v>31</v>
      </c>
      <c r="BL2730">
        <v>158.84</v>
      </c>
      <c r="BM2730">
        <v>23.83</v>
      </c>
      <c r="BN2730">
        <v>182.67</v>
      </c>
      <c r="BO2730">
        <v>182.67</v>
      </c>
      <c r="BQ2730" t="s">
        <v>100</v>
      </c>
      <c r="BR2730" t="s">
        <v>84</v>
      </c>
      <c r="BS2730" s="3">
        <v>45799</v>
      </c>
      <c r="BT2730" s="4">
        <v>0.47013888888888888</v>
      </c>
      <c r="BU2730" t="s">
        <v>493</v>
      </c>
      <c r="BV2730" t="s">
        <v>86</v>
      </c>
      <c r="BY2730">
        <v>154560</v>
      </c>
      <c r="CA2730" t="s">
        <v>279</v>
      </c>
      <c r="CC2730" t="s">
        <v>98</v>
      </c>
      <c r="CD2730">
        <v>1459</v>
      </c>
      <c r="CE2730" t="s">
        <v>96</v>
      </c>
      <c r="CF2730" s="3">
        <v>45799</v>
      </c>
      <c r="CI2730">
        <v>1</v>
      </c>
      <c r="CJ2730">
        <v>1</v>
      </c>
      <c r="CK2730">
        <v>42</v>
      </c>
      <c r="CL2730" t="s">
        <v>89</v>
      </c>
    </row>
    <row r="2731" spans="1:90" x14ac:dyDescent="0.3">
      <c r="A2731" t="s">
        <v>72</v>
      </c>
      <c r="B2731" t="s">
        <v>73</v>
      </c>
      <c r="C2731" t="s">
        <v>74</v>
      </c>
      <c r="E2731" t="str">
        <f>"080065495519"</f>
        <v>080065495519</v>
      </c>
      <c r="F2731" s="3">
        <v>45798</v>
      </c>
      <c r="G2731">
        <v>202602</v>
      </c>
      <c r="H2731" t="s">
        <v>75</v>
      </c>
      <c r="I2731" t="s">
        <v>76</v>
      </c>
      <c r="J2731" t="s">
        <v>77</v>
      </c>
      <c r="K2731" t="s">
        <v>78</v>
      </c>
      <c r="L2731" t="s">
        <v>350</v>
      </c>
      <c r="M2731" t="s">
        <v>351</v>
      </c>
      <c r="N2731" t="s">
        <v>678</v>
      </c>
      <c r="O2731" t="s">
        <v>82</v>
      </c>
      <c r="P2731" t="str">
        <f>"4170039978                    "</f>
        <v xml:space="preserve">4170039978                    </v>
      </c>
      <c r="Q2731">
        <v>0</v>
      </c>
      <c r="R2731">
        <v>0</v>
      </c>
      <c r="S2731">
        <v>0</v>
      </c>
      <c r="T2731">
        <v>0</v>
      </c>
      <c r="U2731">
        <v>0</v>
      </c>
      <c r="V2731">
        <v>0</v>
      </c>
      <c r="W2731">
        <v>0</v>
      </c>
      <c r="X2731">
        <v>0</v>
      </c>
      <c r="Y2731">
        <v>0</v>
      </c>
      <c r="Z2731">
        <v>0</v>
      </c>
      <c r="AA2731">
        <v>0</v>
      </c>
      <c r="AB2731">
        <v>0</v>
      </c>
      <c r="AC2731">
        <v>0</v>
      </c>
      <c r="AD2731">
        <v>0</v>
      </c>
      <c r="AE2731">
        <v>0</v>
      </c>
      <c r="AF2731">
        <v>0</v>
      </c>
      <c r="AG2731">
        <v>0</v>
      </c>
      <c r="AH2731">
        <v>0</v>
      </c>
      <c r="AI2731">
        <v>0</v>
      </c>
      <c r="AJ2731">
        <v>0</v>
      </c>
      <c r="AK2731">
        <v>0</v>
      </c>
      <c r="AL2731">
        <v>0</v>
      </c>
      <c r="AM2731">
        <v>0</v>
      </c>
      <c r="AN2731">
        <v>0</v>
      </c>
      <c r="AO2731">
        <v>0</v>
      </c>
      <c r="AP2731">
        <v>0</v>
      </c>
      <c r="AQ2731">
        <v>21.38</v>
      </c>
      <c r="AR2731">
        <v>0</v>
      </c>
      <c r="AS2731">
        <v>0</v>
      </c>
      <c r="AT2731">
        <v>0</v>
      </c>
      <c r="AU2731">
        <v>0</v>
      </c>
      <c r="AV2731">
        <v>0</v>
      </c>
      <c r="AW2731">
        <v>0</v>
      </c>
      <c r="AX2731">
        <v>0</v>
      </c>
      <c r="AY2731">
        <v>0</v>
      </c>
      <c r="AZ2731">
        <v>0</v>
      </c>
      <c r="BA2731">
        <v>0</v>
      </c>
      <c r="BB2731">
        <v>0</v>
      </c>
      <c r="BC2731">
        <v>0</v>
      </c>
      <c r="BD2731">
        <v>0</v>
      </c>
      <c r="BE2731">
        <v>0</v>
      </c>
      <c r="BF2731">
        <v>0</v>
      </c>
      <c r="BG2731">
        <v>0</v>
      </c>
      <c r="BH2731">
        <v>1</v>
      </c>
      <c r="BI2731">
        <v>1</v>
      </c>
      <c r="BJ2731">
        <v>0.2</v>
      </c>
      <c r="BK2731">
        <v>1</v>
      </c>
      <c r="BL2731">
        <v>69.98</v>
      </c>
      <c r="BM2731">
        <v>10.5</v>
      </c>
      <c r="BN2731">
        <v>80.48</v>
      </c>
      <c r="BO2731">
        <v>80.48</v>
      </c>
      <c r="BQ2731" t="s">
        <v>679</v>
      </c>
      <c r="BR2731" t="s">
        <v>84</v>
      </c>
      <c r="BS2731" s="3">
        <v>45799</v>
      </c>
      <c r="BT2731" s="4">
        <v>0.41805555555555557</v>
      </c>
      <c r="BU2731" t="s">
        <v>1828</v>
      </c>
      <c r="BV2731" t="s">
        <v>86</v>
      </c>
      <c r="BY2731">
        <v>1200</v>
      </c>
      <c r="CA2731" t="s">
        <v>326</v>
      </c>
      <c r="CC2731" t="s">
        <v>351</v>
      </c>
      <c r="CD2731">
        <v>4052</v>
      </c>
      <c r="CE2731" t="s">
        <v>88</v>
      </c>
      <c r="CF2731" s="3">
        <v>45800</v>
      </c>
      <c r="CI2731">
        <v>1</v>
      </c>
      <c r="CJ2731">
        <v>1</v>
      </c>
      <c r="CK2731">
        <v>21</v>
      </c>
      <c r="CL2731" t="s">
        <v>89</v>
      </c>
    </row>
    <row r="2732" spans="1:90" x14ac:dyDescent="0.3">
      <c r="A2732" t="s">
        <v>72</v>
      </c>
      <c r="B2732" t="s">
        <v>73</v>
      </c>
      <c r="C2732" t="s">
        <v>74</v>
      </c>
      <c r="E2732" t="str">
        <f>"080065495542"</f>
        <v>080065495542</v>
      </c>
      <c r="F2732" s="3">
        <v>45798</v>
      </c>
      <c r="G2732">
        <v>202602</v>
      </c>
      <c r="H2732" t="s">
        <v>75</v>
      </c>
      <c r="I2732" t="s">
        <v>76</v>
      </c>
      <c r="J2732" t="s">
        <v>77</v>
      </c>
      <c r="K2732" t="s">
        <v>78</v>
      </c>
      <c r="L2732" t="s">
        <v>90</v>
      </c>
      <c r="M2732" t="s">
        <v>91</v>
      </c>
      <c r="N2732" t="s">
        <v>563</v>
      </c>
      <c r="O2732" t="s">
        <v>82</v>
      </c>
      <c r="P2732" t="str">
        <f>"4170040023                    "</f>
        <v xml:space="preserve">4170040023                    </v>
      </c>
      <c r="Q2732">
        <v>0</v>
      </c>
      <c r="R2732">
        <v>0</v>
      </c>
      <c r="S2732">
        <v>0</v>
      </c>
      <c r="T2732">
        <v>0</v>
      </c>
      <c r="U2732">
        <v>0</v>
      </c>
      <c r="V2732">
        <v>0</v>
      </c>
      <c r="W2732">
        <v>0</v>
      </c>
      <c r="X2732">
        <v>0</v>
      </c>
      <c r="Y2732">
        <v>0</v>
      </c>
      <c r="Z2732">
        <v>0</v>
      </c>
      <c r="AA2732">
        <v>0</v>
      </c>
      <c r="AB2732">
        <v>0</v>
      </c>
      <c r="AC2732">
        <v>0</v>
      </c>
      <c r="AD2732">
        <v>0</v>
      </c>
      <c r="AE2732">
        <v>0</v>
      </c>
      <c r="AF2732">
        <v>0</v>
      </c>
      <c r="AG2732">
        <v>0</v>
      </c>
      <c r="AH2732">
        <v>0</v>
      </c>
      <c r="AI2732">
        <v>0</v>
      </c>
      <c r="AJ2732">
        <v>0</v>
      </c>
      <c r="AK2732">
        <v>0</v>
      </c>
      <c r="AL2732">
        <v>0</v>
      </c>
      <c r="AM2732">
        <v>0</v>
      </c>
      <c r="AN2732">
        <v>0</v>
      </c>
      <c r="AO2732">
        <v>0</v>
      </c>
      <c r="AP2732">
        <v>0</v>
      </c>
      <c r="AQ2732">
        <v>21.38</v>
      </c>
      <c r="AR2732">
        <v>0</v>
      </c>
      <c r="AS2732">
        <v>0</v>
      </c>
      <c r="AT2732">
        <v>0</v>
      </c>
      <c r="AU2732">
        <v>0</v>
      </c>
      <c r="AV2732">
        <v>0</v>
      </c>
      <c r="AW2732">
        <v>0</v>
      </c>
      <c r="AX2732">
        <v>0</v>
      </c>
      <c r="AY2732">
        <v>0</v>
      </c>
      <c r="AZ2732">
        <v>0</v>
      </c>
      <c r="BA2732">
        <v>0</v>
      </c>
      <c r="BB2732">
        <v>0</v>
      </c>
      <c r="BC2732">
        <v>0</v>
      </c>
      <c r="BD2732">
        <v>0</v>
      </c>
      <c r="BE2732">
        <v>0</v>
      </c>
      <c r="BF2732">
        <v>0</v>
      </c>
      <c r="BG2732">
        <v>0</v>
      </c>
      <c r="BH2732">
        <v>1</v>
      </c>
      <c r="BI2732">
        <v>1</v>
      </c>
      <c r="BJ2732">
        <v>0.2</v>
      </c>
      <c r="BK2732">
        <v>1</v>
      </c>
      <c r="BL2732">
        <v>69.98</v>
      </c>
      <c r="BM2732">
        <v>10.5</v>
      </c>
      <c r="BN2732">
        <v>80.48</v>
      </c>
      <c r="BO2732">
        <v>80.48</v>
      </c>
      <c r="BQ2732" t="s">
        <v>564</v>
      </c>
      <c r="BR2732" t="s">
        <v>84</v>
      </c>
      <c r="BS2732" s="3">
        <v>45799</v>
      </c>
      <c r="BT2732" s="4">
        <v>0.34791666666666665</v>
      </c>
      <c r="BU2732" t="s">
        <v>2691</v>
      </c>
      <c r="BV2732" t="s">
        <v>86</v>
      </c>
      <c r="BY2732">
        <v>1200</v>
      </c>
      <c r="CA2732" t="s">
        <v>566</v>
      </c>
      <c r="CC2732" t="s">
        <v>91</v>
      </c>
      <c r="CD2732">
        <v>6001</v>
      </c>
      <c r="CE2732" t="s">
        <v>88</v>
      </c>
      <c r="CF2732" s="3">
        <v>45799</v>
      </c>
      <c r="CI2732">
        <v>1</v>
      </c>
      <c r="CJ2732">
        <v>1</v>
      </c>
      <c r="CK2732">
        <v>21</v>
      </c>
      <c r="CL2732" t="s">
        <v>89</v>
      </c>
    </row>
    <row r="2733" spans="1:90" x14ac:dyDescent="0.3">
      <c r="A2733" t="s">
        <v>72</v>
      </c>
      <c r="B2733" t="s">
        <v>73</v>
      </c>
      <c r="C2733" t="s">
        <v>74</v>
      </c>
      <c r="E2733" t="str">
        <f>"080065495553"</f>
        <v>080065495553</v>
      </c>
      <c r="F2733" s="3">
        <v>45798</v>
      </c>
      <c r="G2733">
        <v>202602</v>
      </c>
      <c r="H2733" t="s">
        <v>75</v>
      </c>
      <c r="I2733" t="s">
        <v>76</v>
      </c>
      <c r="J2733" t="s">
        <v>77</v>
      </c>
      <c r="K2733" t="s">
        <v>78</v>
      </c>
      <c r="L2733" t="s">
        <v>79</v>
      </c>
      <c r="M2733" t="s">
        <v>80</v>
      </c>
      <c r="N2733" t="s">
        <v>452</v>
      </c>
      <c r="O2733" t="s">
        <v>82</v>
      </c>
      <c r="P2733" t="str">
        <f>"4170039962                    "</f>
        <v xml:space="preserve">4170039962                    </v>
      </c>
      <c r="Q2733">
        <v>0</v>
      </c>
      <c r="R2733">
        <v>0</v>
      </c>
      <c r="S2733">
        <v>0</v>
      </c>
      <c r="T2733">
        <v>0</v>
      </c>
      <c r="U2733">
        <v>0</v>
      </c>
      <c r="V2733">
        <v>0</v>
      </c>
      <c r="W2733">
        <v>0</v>
      </c>
      <c r="X2733">
        <v>0</v>
      </c>
      <c r="Y2733">
        <v>0</v>
      </c>
      <c r="Z2733">
        <v>0</v>
      </c>
      <c r="AA2733">
        <v>0</v>
      </c>
      <c r="AB2733">
        <v>0</v>
      </c>
      <c r="AC2733">
        <v>0</v>
      </c>
      <c r="AD2733">
        <v>0</v>
      </c>
      <c r="AE2733">
        <v>0</v>
      </c>
      <c r="AF2733">
        <v>0</v>
      </c>
      <c r="AG2733">
        <v>0</v>
      </c>
      <c r="AH2733">
        <v>0</v>
      </c>
      <c r="AI2733">
        <v>0</v>
      </c>
      <c r="AJ2733">
        <v>0</v>
      </c>
      <c r="AK2733">
        <v>0</v>
      </c>
      <c r="AL2733">
        <v>0</v>
      </c>
      <c r="AM2733">
        <v>0</v>
      </c>
      <c r="AN2733">
        <v>0</v>
      </c>
      <c r="AO2733">
        <v>0</v>
      </c>
      <c r="AP2733">
        <v>0</v>
      </c>
      <c r="AQ2733">
        <v>21.38</v>
      </c>
      <c r="AR2733">
        <v>0</v>
      </c>
      <c r="AS2733">
        <v>0</v>
      </c>
      <c r="AT2733">
        <v>0</v>
      </c>
      <c r="AU2733">
        <v>0</v>
      </c>
      <c r="AV2733">
        <v>0</v>
      </c>
      <c r="AW2733">
        <v>0</v>
      </c>
      <c r="AX2733">
        <v>0</v>
      </c>
      <c r="AY2733">
        <v>0</v>
      </c>
      <c r="AZ2733">
        <v>0</v>
      </c>
      <c r="BA2733">
        <v>0</v>
      </c>
      <c r="BB2733">
        <v>0</v>
      </c>
      <c r="BC2733">
        <v>0</v>
      </c>
      <c r="BD2733">
        <v>0</v>
      </c>
      <c r="BE2733">
        <v>0</v>
      </c>
      <c r="BF2733">
        <v>0</v>
      </c>
      <c r="BG2733">
        <v>0</v>
      </c>
      <c r="BH2733">
        <v>1</v>
      </c>
      <c r="BI2733">
        <v>1</v>
      </c>
      <c r="BJ2733">
        <v>1.9</v>
      </c>
      <c r="BK2733">
        <v>2</v>
      </c>
      <c r="BL2733">
        <v>69.98</v>
      </c>
      <c r="BM2733">
        <v>10.5</v>
      </c>
      <c r="BN2733">
        <v>80.48</v>
      </c>
      <c r="BO2733">
        <v>80.48</v>
      </c>
      <c r="BQ2733" t="s">
        <v>453</v>
      </c>
      <c r="BR2733" t="s">
        <v>84</v>
      </c>
      <c r="BS2733" s="3">
        <v>45799</v>
      </c>
      <c r="BT2733" s="4">
        <v>0.3888888888888889</v>
      </c>
      <c r="BU2733" t="s">
        <v>1071</v>
      </c>
      <c r="BV2733" t="s">
        <v>86</v>
      </c>
      <c r="BY2733">
        <v>9600</v>
      </c>
      <c r="CA2733" t="s">
        <v>160</v>
      </c>
      <c r="CC2733" t="s">
        <v>80</v>
      </c>
      <c r="CD2733">
        <v>3610</v>
      </c>
      <c r="CE2733" t="s">
        <v>96</v>
      </c>
      <c r="CF2733" s="3">
        <v>45800</v>
      </c>
      <c r="CI2733">
        <v>1</v>
      </c>
      <c r="CJ2733">
        <v>1</v>
      </c>
      <c r="CK2733">
        <v>21</v>
      </c>
      <c r="CL2733" t="s">
        <v>89</v>
      </c>
    </row>
    <row r="2734" spans="1:90" x14ac:dyDescent="0.3">
      <c r="A2734" t="s">
        <v>72</v>
      </c>
      <c r="B2734" t="s">
        <v>73</v>
      </c>
      <c r="C2734" t="s">
        <v>74</v>
      </c>
      <c r="E2734" t="str">
        <f>"080065495610"</f>
        <v>080065495610</v>
      </c>
      <c r="F2734" s="3">
        <v>45798</v>
      </c>
      <c r="G2734">
        <v>202602</v>
      </c>
      <c r="H2734" t="s">
        <v>75</v>
      </c>
      <c r="I2734" t="s">
        <v>76</v>
      </c>
      <c r="J2734" t="s">
        <v>77</v>
      </c>
      <c r="K2734" t="s">
        <v>78</v>
      </c>
      <c r="L2734" t="s">
        <v>130</v>
      </c>
      <c r="M2734" t="s">
        <v>131</v>
      </c>
      <c r="N2734" t="s">
        <v>709</v>
      </c>
      <c r="O2734" t="s">
        <v>82</v>
      </c>
      <c r="P2734" t="str">
        <f>"4170039968                    "</f>
        <v xml:space="preserve">4170039968                    </v>
      </c>
      <c r="Q2734">
        <v>0</v>
      </c>
      <c r="R2734">
        <v>0</v>
      </c>
      <c r="S2734">
        <v>0</v>
      </c>
      <c r="T2734">
        <v>0</v>
      </c>
      <c r="U2734">
        <v>0</v>
      </c>
      <c r="V2734">
        <v>0</v>
      </c>
      <c r="W2734">
        <v>0</v>
      </c>
      <c r="X2734">
        <v>0</v>
      </c>
      <c r="Y2734">
        <v>0</v>
      </c>
      <c r="Z2734">
        <v>0</v>
      </c>
      <c r="AA2734">
        <v>0</v>
      </c>
      <c r="AB2734">
        <v>0</v>
      </c>
      <c r="AC2734">
        <v>0</v>
      </c>
      <c r="AD2734">
        <v>0</v>
      </c>
      <c r="AE2734">
        <v>0</v>
      </c>
      <c r="AF2734">
        <v>0</v>
      </c>
      <c r="AG2734">
        <v>0</v>
      </c>
      <c r="AH2734">
        <v>0</v>
      </c>
      <c r="AI2734">
        <v>0</v>
      </c>
      <c r="AJ2734">
        <v>0</v>
      </c>
      <c r="AK2734">
        <v>0</v>
      </c>
      <c r="AL2734">
        <v>0</v>
      </c>
      <c r="AM2734">
        <v>0</v>
      </c>
      <c r="AN2734">
        <v>0</v>
      </c>
      <c r="AO2734">
        <v>0</v>
      </c>
      <c r="AP2734">
        <v>0</v>
      </c>
      <c r="AQ2734">
        <v>21.38</v>
      </c>
      <c r="AR2734">
        <v>0</v>
      </c>
      <c r="AS2734">
        <v>0</v>
      </c>
      <c r="AT2734">
        <v>0</v>
      </c>
      <c r="AU2734">
        <v>0</v>
      </c>
      <c r="AV2734">
        <v>0</v>
      </c>
      <c r="AW2734">
        <v>0</v>
      </c>
      <c r="AX2734">
        <v>0</v>
      </c>
      <c r="AY2734">
        <v>0</v>
      </c>
      <c r="AZ2734">
        <v>0</v>
      </c>
      <c r="BA2734">
        <v>0</v>
      </c>
      <c r="BB2734">
        <v>0</v>
      </c>
      <c r="BC2734">
        <v>0</v>
      </c>
      <c r="BD2734">
        <v>0</v>
      </c>
      <c r="BE2734">
        <v>0</v>
      </c>
      <c r="BF2734">
        <v>0</v>
      </c>
      <c r="BG2734">
        <v>0</v>
      </c>
      <c r="BH2734">
        <v>1</v>
      </c>
      <c r="BI2734">
        <v>1</v>
      </c>
      <c r="BJ2734">
        <v>0.2</v>
      </c>
      <c r="BK2734">
        <v>1</v>
      </c>
      <c r="BL2734">
        <v>69.98</v>
      </c>
      <c r="BM2734">
        <v>10.5</v>
      </c>
      <c r="BN2734">
        <v>80.48</v>
      </c>
      <c r="BO2734">
        <v>80.48</v>
      </c>
      <c r="BQ2734" t="s">
        <v>710</v>
      </c>
      <c r="BR2734" t="s">
        <v>84</v>
      </c>
      <c r="BS2734" s="3">
        <v>45799</v>
      </c>
      <c r="BT2734" s="4">
        <v>0.34236111111111112</v>
      </c>
      <c r="BU2734" t="s">
        <v>711</v>
      </c>
      <c r="BV2734" t="s">
        <v>86</v>
      </c>
      <c r="BY2734">
        <v>1200</v>
      </c>
      <c r="CA2734" t="s">
        <v>712</v>
      </c>
      <c r="CC2734" t="s">
        <v>131</v>
      </c>
      <c r="CD2734">
        <v>7530</v>
      </c>
      <c r="CE2734" t="s">
        <v>88</v>
      </c>
      <c r="CF2734" s="3">
        <v>45800</v>
      </c>
      <c r="CI2734">
        <v>1</v>
      </c>
      <c r="CJ2734">
        <v>1</v>
      </c>
      <c r="CK2734">
        <v>21</v>
      </c>
      <c r="CL2734" t="s">
        <v>89</v>
      </c>
    </row>
    <row r="2735" spans="1:90" x14ac:dyDescent="0.3">
      <c r="A2735" t="s">
        <v>72</v>
      </c>
      <c r="B2735" t="s">
        <v>73</v>
      </c>
      <c r="C2735" t="s">
        <v>74</v>
      </c>
      <c r="E2735" t="str">
        <f>"080065495697"</f>
        <v>080065495697</v>
      </c>
      <c r="F2735" s="3">
        <v>45798</v>
      </c>
      <c r="G2735">
        <v>202602</v>
      </c>
      <c r="H2735" t="s">
        <v>75</v>
      </c>
      <c r="I2735" t="s">
        <v>76</v>
      </c>
      <c r="J2735" t="s">
        <v>77</v>
      </c>
      <c r="K2735" t="s">
        <v>78</v>
      </c>
      <c r="L2735" t="s">
        <v>1076</v>
      </c>
      <c r="M2735" t="s">
        <v>1077</v>
      </c>
      <c r="N2735" t="s">
        <v>2554</v>
      </c>
      <c r="O2735" t="s">
        <v>82</v>
      </c>
      <c r="P2735" t="str">
        <f>"4170039912                    "</f>
        <v xml:space="preserve">4170039912                    </v>
      </c>
      <c r="Q2735">
        <v>0</v>
      </c>
      <c r="R2735">
        <v>0</v>
      </c>
      <c r="S2735">
        <v>0</v>
      </c>
      <c r="T2735">
        <v>0</v>
      </c>
      <c r="U2735">
        <v>0</v>
      </c>
      <c r="V2735">
        <v>0</v>
      </c>
      <c r="W2735">
        <v>0</v>
      </c>
      <c r="X2735">
        <v>0</v>
      </c>
      <c r="Y2735">
        <v>0</v>
      </c>
      <c r="Z2735">
        <v>0</v>
      </c>
      <c r="AA2735">
        <v>0</v>
      </c>
      <c r="AB2735">
        <v>0</v>
      </c>
      <c r="AC2735">
        <v>0</v>
      </c>
      <c r="AD2735">
        <v>0</v>
      </c>
      <c r="AE2735">
        <v>0</v>
      </c>
      <c r="AF2735">
        <v>0</v>
      </c>
      <c r="AG2735">
        <v>0</v>
      </c>
      <c r="AH2735">
        <v>0</v>
      </c>
      <c r="AI2735">
        <v>0</v>
      </c>
      <c r="AJ2735">
        <v>0</v>
      </c>
      <c r="AK2735">
        <v>0</v>
      </c>
      <c r="AL2735">
        <v>0</v>
      </c>
      <c r="AM2735">
        <v>0</v>
      </c>
      <c r="AN2735">
        <v>0</v>
      </c>
      <c r="AO2735">
        <v>0</v>
      </c>
      <c r="AP2735">
        <v>0</v>
      </c>
      <c r="AQ2735">
        <v>16.7</v>
      </c>
      <c r="AR2735">
        <v>0</v>
      </c>
      <c r="AS2735">
        <v>0</v>
      </c>
      <c r="AT2735">
        <v>0</v>
      </c>
      <c r="AU2735">
        <v>0</v>
      </c>
      <c r="AV2735">
        <v>0</v>
      </c>
      <c r="AW2735">
        <v>0</v>
      </c>
      <c r="AX2735">
        <v>0</v>
      </c>
      <c r="AY2735">
        <v>0</v>
      </c>
      <c r="AZ2735">
        <v>0</v>
      </c>
      <c r="BA2735">
        <v>0</v>
      </c>
      <c r="BB2735">
        <v>0</v>
      </c>
      <c r="BC2735">
        <v>0</v>
      </c>
      <c r="BD2735">
        <v>0</v>
      </c>
      <c r="BE2735">
        <v>0</v>
      </c>
      <c r="BF2735">
        <v>0</v>
      </c>
      <c r="BG2735">
        <v>0</v>
      </c>
      <c r="BH2735">
        <v>1</v>
      </c>
      <c r="BI2735">
        <v>1</v>
      </c>
      <c r="BJ2735">
        <v>1.7</v>
      </c>
      <c r="BK2735">
        <v>2</v>
      </c>
      <c r="BL2735">
        <v>54.66</v>
      </c>
      <c r="BM2735">
        <v>8.1999999999999993</v>
      </c>
      <c r="BN2735">
        <v>62.86</v>
      </c>
      <c r="BO2735">
        <v>62.86</v>
      </c>
      <c r="BQ2735" t="s">
        <v>2555</v>
      </c>
      <c r="BR2735" t="s">
        <v>84</v>
      </c>
      <c r="BS2735" s="3">
        <v>45799</v>
      </c>
      <c r="BT2735" s="4">
        <v>0.41458333333333336</v>
      </c>
      <c r="BU2735" t="s">
        <v>2867</v>
      </c>
      <c r="BV2735" t="s">
        <v>86</v>
      </c>
      <c r="BY2735">
        <v>8512</v>
      </c>
      <c r="CA2735" t="s">
        <v>1081</v>
      </c>
      <c r="CC2735" t="s">
        <v>1077</v>
      </c>
      <c r="CD2735">
        <v>1540</v>
      </c>
      <c r="CE2735" t="s">
        <v>116</v>
      </c>
      <c r="CF2735" s="3">
        <v>45800</v>
      </c>
      <c r="CI2735">
        <v>1</v>
      </c>
      <c r="CJ2735">
        <v>1</v>
      </c>
      <c r="CK2735">
        <v>22</v>
      </c>
      <c r="CL2735" t="s">
        <v>89</v>
      </c>
    </row>
    <row r="2736" spans="1:90" x14ac:dyDescent="0.3">
      <c r="A2736" t="s">
        <v>72</v>
      </c>
      <c r="B2736" t="s">
        <v>73</v>
      </c>
      <c r="C2736" t="s">
        <v>74</v>
      </c>
      <c r="E2736" t="str">
        <f>"080065495701"</f>
        <v>080065495701</v>
      </c>
      <c r="F2736" s="3">
        <v>45798</v>
      </c>
      <c r="G2736">
        <v>202602</v>
      </c>
      <c r="H2736" t="s">
        <v>75</v>
      </c>
      <c r="I2736" t="s">
        <v>76</v>
      </c>
      <c r="J2736" t="s">
        <v>77</v>
      </c>
      <c r="K2736" t="s">
        <v>78</v>
      </c>
      <c r="L2736" t="s">
        <v>79</v>
      </c>
      <c r="M2736" t="s">
        <v>80</v>
      </c>
      <c r="N2736" t="s">
        <v>1111</v>
      </c>
      <c r="O2736" t="s">
        <v>82</v>
      </c>
      <c r="P2736" t="str">
        <f>"4170039967                    "</f>
        <v xml:space="preserve">4170039967                    </v>
      </c>
      <c r="Q2736">
        <v>0</v>
      </c>
      <c r="R2736">
        <v>0</v>
      </c>
      <c r="S2736">
        <v>0</v>
      </c>
      <c r="T2736">
        <v>0</v>
      </c>
      <c r="U2736">
        <v>0</v>
      </c>
      <c r="V2736">
        <v>0</v>
      </c>
      <c r="W2736">
        <v>0</v>
      </c>
      <c r="X2736">
        <v>0</v>
      </c>
      <c r="Y2736">
        <v>0</v>
      </c>
      <c r="Z2736">
        <v>0</v>
      </c>
      <c r="AA2736">
        <v>0</v>
      </c>
      <c r="AB2736">
        <v>0</v>
      </c>
      <c r="AC2736">
        <v>0</v>
      </c>
      <c r="AD2736">
        <v>0</v>
      </c>
      <c r="AE2736">
        <v>0</v>
      </c>
      <c r="AF2736">
        <v>0</v>
      </c>
      <c r="AG2736">
        <v>0</v>
      </c>
      <c r="AH2736">
        <v>0</v>
      </c>
      <c r="AI2736">
        <v>0</v>
      </c>
      <c r="AJ2736">
        <v>0</v>
      </c>
      <c r="AK2736">
        <v>0</v>
      </c>
      <c r="AL2736">
        <v>0</v>
      </c>
      <c r="AM2736">
        <v>0</v>
      </c>
      <c r="AN2736">
        <v>0</v>
      </c>
      <c r="AO2736">
        <v>0</v>
      </c>
      <c r="AP2736">
        <v>0</v>
      </c>
      <c r="AQ2736">
        <v>21.38</v>
      </c>
      <c r="AR2736">
        <v>0</v>
      </c>
      <c r="AS2736">
        <v>0</v>
      </c>
      <c r="AT2736">
        <v>0</v>
      </c>
      <c r="AU2736">
        <v>0</v>
      </c>
      <c r="AV2736">
        <v>0</v>
      </c>
      <c r="AW2736">
        <v>0</v>
      </c>
      <c r="AX2736">
        <v>0</v>
      </c>
      <c r="AY2736">
        <v>0</v>
      </c>
      <c r="AZ2736">
        <v>0</v>
      </c>
      <c r="BA2736">
        <v>0</v>
      </c>
      <c r="BB2736">
        <v>0</v>
      </c>
      <c r="BC2736">
        <v>0</v>
      </c>
      <c r="BD2736">
        <v>0</v>
      </c>
      <c r="BE2736">
        <v>0</v>
      </c>
      <c r="BF2736">
        <v>0</v>
      </c>
      <c r="BG2736">
        <v>0</v>
      </c>
      <c r="BH2736">
        <v>1</v>
      </c>
      <c r="BI2736">
        <v>1</v>
      </c>
      <c r="BJ2736">
        <v>0.2</v>
      </c>
      <c r="BK2736">
        <v>1</v>
      </c>
      <c r="BL2736">
        <v>69.98</v>
      </c>
      <c r="BM2736">
        <v>10.5</v>
      </c>
      <c r="BN2736">
        <v>80.48</v>
      </c>
      <c r="BO2736">
        <v>80.48</v>
      </c>
      <c r="BQ2736" t="s">
        <v>1112</v>
      </c>
      <c r="BR2736" t="s">
        <v>84</v>
      </c>
      <c r="BS2736" s="3">
        <v>45799</v>
      </c>
      <c r="BT2736" s="4">
        <v>0.38333333333333336</v>
      </c>
      <c r="BU2736" t="s">
        <v>2868</v>
      </c>
      <c r="BV2736" t="s">
        <v>86</v>
      </c>
      <c r="BY2736">
        <v>1200</v>
      </c>
      <c r="CA2736" t="s">
        <v>160</v>
      </c>
      <c r="CC2736" t="s">
        <v>80</v>
      </c>
      <c r="CD2736">
        <v>3610</v>
      </c>
      <c r="CE2736" t="s">
        <v>88</v>
      </c>
      <c r="CF2736" s="3">
        <v>45800</v>
      </c>
      <c r="CI2736">
        <v>1</v>
      </c>
      <c r="CJ2736">
        <v>1</v>
      </c>
      <c r="CK2736">
        <v>21</v>
      </c>
      <c r="CL2736" t="s">
        <v>89</v>
      </c>
    </row>
    <row r="2737" spans="1:90" x14ac:dyDescent="0.3">
      <c r="A2737" t="s">
        <v>72</v>
      </c>
      <c r="B2737" t="s">
        <v>73</v>
      </c>
      <c r="C2737" t="s">
        <v>74</v>
      </c>
      <c r="E2737" t="str">
        <f>"080065495746"</f>
        <v>080065495746</v>
      </c>
      <c r="F2737" s="3">
        <v>45798</v>
      </c>
      <c r="G2737">
        <v>202602</v>
      </c>
      <c r="H2737" t="s">
        <v>75</v>
      </c>
      <c r="I2737" t="s">
        <v>76</v>
      </c>
      <c r="J2737" t="s">
        <v>77</v>
      </c>
      <c r="K2737" t="s">
        <v>78</v>
      </c>
      <c r="L2737" t="s">
        <v>350</v>
      </c>
      <c r="M2737" t="s">
        <v>351</v>
      </c>
      <c r="N2737" t="s">
        <v>678</v>
      </c>
      <c r="O2737" t="s">
        <v>82</v>
      </c>
      <c r="P2737" t="str">
        <f>"4170039975                    "</f>
        <v xml:space="preserve">4170039975                    </v>
      </c>
      <c r="Q2737">
        <v>0</v>
      </c>
      <c r="R2737">
        <v>0</v>
      </c>
      <c r="S2737">
        <v>0</v>
      </c>
      <c r="T2737">
        <v>0</v>
      </c>
      <c r="U2737">
        <v>0</v>
      </c>
      <c r="V2737">
        <v>0</v>
      </c>
      <c r="W2737">
        <v>0</v>
      </c>
      <c r="X2737">
        <v>0</v>
      </c>
      <c r="Y2737">
        <v>0</v>
      </c>
      <c r="Z2737">
        <v>0</v>
      </c>
      <c r="AA2737">
        <v>0</v>
      </c>
      <c r="AB2737">
        <v>0</v>
      </c>
      <c r="AC2737">
        <v>0</v>
      </c>
      <c r="AD2737">
        <v>0</v>
      </c>
      <c r="AE2737">
        <v>0</v>
      </c>
      <c r="AF2737">
        <v>0</v>
      </c>
      <c r="AG2737">
        <v>0</v>
      </c>
      <c r="AH2737">
        <v>0</v>
      </c>
      <c r="AI2737">
        <v>0</v>
      </c>
      <c r="AJ2737">
        <v>0</v>
      </c>
      <c r="AK2737">
        <v>0</v>
      </c>
      <c r="AL2737">
        <v>0</v>
      </c>
      <c r="AM2737">
        <v>0</v>
      </c>
      <c r="AN2737">
        <v>0</v>
      </c>
      <c r="AO2737">
        <v>0</v>
      </c>
      <c r="AP2737">
        <v>0</v>
      </c>
      <c r="AQ2737">
        <v>21.38</v>
      </c>
      <c r="AR2737">
        <v>0</v>
      </c>
      <c r="AS2737">
        <v>0</v>
      </c>
      <c r="AT2737">
        <v>0</v>
      </c>
      <c r="AU2737">
        <v>0</v>
      </c>
      <c r="AV2737">
        <v>0</v>
      </c>
      <c r="AW2737">
        <v>0</v>
      </c>
      <c r="AX2737">
        <v>0</v>
      </c>
      <c r="AY2737">
        <v>0</v>
      </c>
      <c r="AZ2737">
        <v>0</v>
      </c>
      <c r="BA2737">
        <v>0</v>
      </c>
      <c r="BB2737">
        <v>0</v>
      </c>
      <c r="BC2737">
        <v>0</v>
      </c>
      <c r="BD2737">
        <v>0</v>
      </c>
      <c r="BE2737">
        <v>0</v>
      </c>
      <c r="BF2737">
        <v>0</v>
      </c>
      <c r="BG2737">
        <v>0</v>
      </c>
      <c r="BH2737">
        <v>1</v>
      </c>
      <c r="BI2737">
        <v>1</v>
      </c>
      <c r="BJ2737">
        <v>0.2</v>
      </c>
      <c r="BK2737">
        <v>1</v>
      </c>
      <c r="BL2737">
        <v>69.98</v>
      </c>
      <c r="BM2737">
        <v>10.5</v>
      </c>
      <c r="BN2737">
        <v>80.48</v>
      </c>
      <c r="BO2737">
        <v>80.48</v>
      </c>
      <c r="BQ2737" t="s">
        <v>679</v>
      </c>
      <c r="BR2737" t="s">
        <v>84</v>
      </c>
      <c r="BS2737" s="3">
        <v>45799</v>
      </c>
      <c r="BT2737" s="4">
        <v>0.41805555555555557</v>
      </c>
      <c r="BU2737" t="s">
        <v>1828</v>
      </c>
      <c r="BV2737" t="s">
        <v>86</v>
      </c>
      <c r="BY2737">
        <v>1200</v>
      </c>
      <c r="CA2737" t="s">
        <v>326</v>
      </c>
      <c r="CC2737" t="s">
        <v>351</v>
      </c>
      <c r="CD2737">
        <v>4052</v>
      </c>
      <c r="CE2737" t="s">
        <v>88</v>
      </c>
      <c r="CF2737" s="3">
        <v>45800</v>
      </c>
      <c r="CI2737">
        <v>1</v>
      </c>
      <c r="CJ2737">
        <v>1</v>
      </c>
      <c r="CK2737">
        <v>21</v>
      </c>
      <c r="CL2737" t="s">
        <v>89</v>
      </c>
    </row>
    <row r="2738" spans="1:90" x14ac:dyDescent="0.3">
      <c r="A2738" t="s">
        <v>72</v>
      </c>
      <c r="B2738" t="s">
        <v>73</v>
      </c>
      <c r="C2738" t="s">
        <v>74</v>
      </c>
      <c r="E2738" t="str">
        <f>"080065495753"</f>
        <v>080065495753</v>
      </c>
      <c r="F2738" s="3">
        <v>45798</v>
      </c>
      <c r="G2738">
        <v>202602</v>
      </c>
      <c r="H2738" t="s">
        <v>75</v>
      </c>
      <c r="I2738" t="s">
        <v>76</v>
      </c>
      <c r="J2738" t="s">
        <v>77</v>
      </c>
      <c r="K2738" t="s">
        <v>78</v>
      </c>
      <c r="L2738" t="s">
        <v>123</v>
      </c>
      <c r="M2738" t="s">
        <v>123</v>
      </c>
      <c r="N2738" t="s">
        <v>766</v>
      </c>
      <c r="O2738" t="s">
        <v>82</v>
      </c>
      <c r="P2738" t="str">
        <f>"4170039936                    "</f>
        <v xml:space="preserve">4170039936                    </v>
      </c>
      <c r="Q2738">
        <v>0</v>
      </c>
      <c r="R2738">
        <v>0</v>
      </c>
      <c r="S2738">
        <v>0</v>
      </c>
      <c r="T2738">
        <v>0</v>
      </c>
      <c r="U2738">
        <v>0</v>
      </c>
      <c r="V2738">
        <v>0</v>
      </c>
      <c r="W2738">
        <v>0</v>
      </c>
      <c r="X2738">
        <v>0</v>
      </c>
      <c r="Y2738">
        <v>0</v>
      </c>
      <c r="Z2738">
        <v>0</v>
      </c>
      <c r="AA2738">
        <v>0</v>
      </c>
      <c r="AB2738">
        <v>0</v>
      </c>
      <c r="AC2738">
        <v>0</v>
      </c>
      <c r="AD2738">
        <v>0</v>
      </c>
      <c r="AE2738">
        <v>0</v>
      </c>
      <c r="AF2738">
        <v>0</v>
      </c>
      <c r="AG2738">
        <v>0</v>
      </c>
      <c r="AH2738">
        <v>0</v>
      </c>
      <c r="AI2738">
        <v>0</v>
      </c>
      <c r="AJ2738">
        <v>0</v>
      </c>
      <c r="AK2738">
        <v>0</v>
      </c>
      <c r="AL2738">
        <v>0</v>
      </c>
      <c r="AM2738">
        <v>0</v>
      </c>
      <c r="AN2738">
        <v>0</v>
      </c>
      <c r="AO2738">
        <v>0</v>
      </c>
      <c r="AP2738">
        <v>0</v>
      </c>
      <c r="AQ2738">
        <v>41.43</v>
      </c>
      <c r="AR2738">
        <v>0</v>
      </c>
      <c r="AS2738">
        <v>0</v>
      </c>
      <c r="AT2738">
        <v>0</v>
      </c>
      <c r="AU2738">
        <v>0</v>
      </c>
      <c r="AV2738">
        <v>0</v>
      </c>
      <c r="AW2738">
        <v>0</v>
      </c>
      <c r="AX2738">
        <v>0</v>
      </c>
      <c r="AY2738">
        <v>0</v>
      </c>
      <c r="AZ2738">
        <v>0</v>
      </c>
      <c r="BA2738">
        <v>0</v>
      </c>
      <c r="BB2738">
        <v>0</v>
      </c>
      <c r="BC2738">
        <v>0</v>
      </c>
      <c r="BD2738">
        <v>0</v>
      </c>
      <c r="BE2738">
        <v>0</v>
      </c>
      <c r="BF2738">
        <v>0</v>
      </c>
      <c r="BG2738">
        <v>0</v>
      </c>
      <c r="BH2738">
        <v>1</v>
      </c>
      <c r="BI2738">
        <v>1</v>
      </c>
      <c r="BJ2738">
        <v>0.6</v>
      </c>
      <c r="BK2738">
        <v>1</v>
      </c>
      <c r="BL2738">
        <v>135.59</v>
      </c>
      <c r="BM2738">
        <v>20.34</v>
      </c>
      <c r="BN2738">
        <v>155.93</v>
      </c>
      <c r="BO2738">
        <v>155.93</v>
      </c>
      <c r="BQ2738" t="s">
        <v>767</v>
      </c>
      <c r="BR2738" t="s">
        <v>84</v>
      </c>
      <c r="BS2738" s="3">
        <v>45799</v>
      </c>
      <c r="BT2738" s="4">
        <v>0.50277777777777777</v>
      </c>
      <c r="BU2738" t="s">
        <v>2823</v>
      </c>
      <c r="BV2738" t="s">
        <v>86</v>
      </c>
      <c r="BY2738">
        <v>3192</v>
      </c>
      <c r="CA2738" t="s">
        <v>128</v>
      </c>
      <c r="CC2738" t="s">
        <v>123</v>
      </c>
      <c r="CD2738">
        <v>7646</v>
      </c>
      <c r="CE2738" t="s">
        <v>116</v>
      </c>
      <c r="CF2738" s="3">
        <v>45800</v>
      </c>
      <c r="CI2738">
        <v>1</v>
      </c>
      <c r="CJ2738">
        <v>1</v>
      </c>
      <c r="CK2738">
        <v>23</v>
      </c>
      <c r="CL2738" t="s">
        <v>89</v>
      </c>
    </row>
    <row r="2739" spans="1:90" x14ac:dyDescent="0.3">
      <c r="A2739" t="s">
        <v>72</v>
      </c>
      <c r="B2739" t="s">
        <v>73</v>
      </c>
      <c r="C2739" t="s">
        <v>74</v>
      </c>
      <c r="E2739" t="str">
        <f>"080065495777"</f>
        <v>080065495777</v>
      </c>
      <c r="F2739" s="3">
        <v>45798</v>
      </c>
      <c r="G2739">
        <v>202602</v>
      </c>
      <c r="H2739" t="s">
        <v>75</v>
      </c>
      <c r="I2739" t="s">
        <v>76</v>
      </c>
      <c r="J2739" t="s">
        <v>77</v>
      </c>
      <c r="K2739" t="s">
        <v>78</v>
      </c>
      <c r="L2739" t="s">
        <v>75</v>
      </c>
      <c r="M2739" t="s">
        <v>76</v>
      </c>
      <c r="N2739" t="s">
        <v>601</v>
      </c>
      <c r="O2739" t="s">
        <v>82</v>
      </c>
      <c r="P2739" t="str">
        <f>"4170039974                    "</f>
        <v xml:space="preserve">4170039974                    </v>
      </c>
      <c r="Q2739">
        <v>0</v>
      </c>
      <c r="R2739">
        <v>0</v>
      </c>
      <c r="S2739">
        <v>0</v>
      </c>
      <c r="T2739">
        <v>0</v>
      </c>
      <c r="U2739">
        <v>0</v>
      </c>
      <c r="V2739">
        <v>0</v>
      </c>
      <c r="W2739">
        <v>0</v>
      </c>
      <c r="X2739">
        <v>0</v>
      </c>
      <c r="Y2739">
        <v>0</v>
      </c>
      <c r="Z2739">
        <v>0</v>
      </c>
      <c r="AA2739">
        <v>0</v>
      </c>
      <c r="AB2739">
        <v>0</v>
      </c>
      <c r="AC2739">
        <v>0</v>
      </c>
      <c r="AD2739">
        <v>0</v>
      </c>
      <c r="AE2739">
        <v>0</v>
      </c>
      <c r="AF2739">
        <v>0</v>
      </c>
      <c r="AG2739">
        <v>0</v>
      </c>
      <c r="AH2739">
        <v>0</v>
      </c>
      <c r="AI2739">
        <v>0</v>
      </c>
      <c r="AJ2739">
        <v>0</v>
      </c>
      <c r="AK2739">
        <v>0</v>
      </c>
      <c r="AL2739">
        <v>0</v>
      </c>
      <c r="AM2739">
        <v>0</v>
      </c>
      <c r="AN2739">
        <v>0</v>
      </c>
      <c r="AO2739">
        <v>0</v>
      </c>
      <c r="AP2739">
        <v>0</v>
      </c>
      <c r="AQ2739">
        <v>16.7</v>
      </c>
      <c r="AR2739">
        <v>0</v>
      </c>
      <c r="AS2739">
        <v>0</v>
      </c>
      <c r="AT2739">
        <v>0</v>
      </c>
      <c r="AU2739">
        <v>0</v>
      </c>
      <c r="AV2739">
        <v>0</v>
      </c>
      <c r="AW2739">
        <v>0</v>
      </c>
      <c r="AX2739">
        <v>0</v>
      </c>
      <c r="AY2739">
        <v>0</v>
      </c>
      <c r="AZ2739">
        <v>0</v>
      </c>
      <c r="BA2739">
        <v>0</v>
      </c>
      <c r="BB2739">
        <v>0</v>
      </c>
      <c r="BC2739">
        <v>0</v>
      </c>
      <c r="BD2739">
        <v>0</v>
      </c>
      <c r="BE2739">
        <v>0</v>
      </c>
      <c r="BF2739">
        <v>0</v>
      </c>
      <c r="BG2739">
        <v>0</v>
      </c>
      <c r="BH2739">
        <v>1</v>
      </c>
      <c r="BI2739">
        <v>1</v>
      </c>
      <c r="BJ2739">
        <v>0.2</v>
      </c>
      <c r="BK2739">
        <v>1</v>
      </c>
      <c r="BL2739">
        <v>54.66</v>
      </c>
      <c r="BM2739">
        <v>8.1999999999999993</v>
      </c>
      <c r="BN2739">
        <v>62.86</v>
      </c>
      <c r="BO2739">
        <v>62.86</v>
      </c>
      <c r="BQ2739" t="s">
        <v>603</v>
      </c>
      <c r="BR2739" t="s">
        <v>84</v>
      </c>
      <c r="BS2739" s="3">
        <v>45799</v>
      </c>
      <c r="BT2739" s="4">
        <v>0.33402777777777776</v>
      </c>
      <c r="BU2739" t="s">
        <v>604</v>
      </c>
      <c r="BV2739" t="s">
        <v>86</v>
      </c>
      <c r="BY2739">
        <v>1200</v>
      </c>
      <c r="CA2739" t="s">
        <v>605</v>
      </c>
      <c r="CC2739" t="s">
        <v>76</v>
      </c>
      <c r="CD2739">
        <v>1645</v>
      </c>
      <c r="CE2739" t="s">
        <v>88</v>
      </c>
      <c r="CF2739" s="3">
        <v>45800</v>
      </c>
      <c r="CI2739">
        <v>1</v>
      </c>
      <c r="CJ2739">
        <v>1</v>
      </c>
      <c r="CK2739">
        <v>22</v>
      </c>
      <c r="CL2739" t="s">
        <v>89</v>
      </c>
    </row>
    <row r="2740" spans="1:90" x14ac:dyDescent="0.3">
      <c r="A2740" t="s">
        <v>72</v>
      </c>
      <c r="B2740" t="s">
        <v>73</v>
      </c>
      <c r="C2740" t="s">
        <v>74</v>
      </c>
      <c r="E2740" t="str">
        <f>"080065495806"</f>
        <v>080065495806</v>
      </c>
      <c r="F2740" s="3">
        <v>45798</v>
      </c>
      <c r="G2740">
        <v>202602</v>
      </c>
      <c r="H2740" t="s">
        <v>75</v>
      </c>
      <c r="I2740" t="s">
        <v>76</v>
      </c>
      <c r="J2740" t="s">
        <v>77</v>
      </c>
      <c r="K2740" t="s">
        <v>78</v>
      </c>
      <c r="L2740" t="s">
        <v>90</v>
      </c>
      <c r="M2740" t="s">
        <v>91</v>
      </c>
      <c r="N2740" t="s">
        <v>371</v>
      </c>
      <c r="O2740" t="s">
        <v>82</v>
      </c>
      <c r="P2740" t="str">
        <f>"4170039957                    "</f>
        <v xml:space="preserve">4170039957                    </v>
      </c>
      <c r="Q2740">
        <v>0</v>
      </c>
      <c r="R2740">
        <v>0</v>
      </c>
      <c r="S2740">
        <v>0</v>
      </c>
      <c r="T2740">
        <v>0</v>
      </c>
      <c r="U2740">
        <v>0</v>
      </c>
      <c r="V2740">
        <v>0</v>
      </c>
      <c r="W2740">
        <v>0</v>
      </c>
      <c r="X2740">
        <v>0</v>
      </c>
      <c r="Y2740">
        <v>0</v>
      </c>
      <c r="Z2740">
        <v>0</v>
      </c>
      <c r="AA2740">
        <v>0</v>
      </c>
      <c r="AB2740">
        <v>0</v>
      </c>
      <c r="AC2740">
        <v>0</v>
      </c>
      <c r="AD2740">
        <v>0</v>
      </c>
      <c r="AE2740">
        <v>0</v>
      </c>
      <c r="AF2740">
        <v>0</v>
      </c>
      <c r="AG2740">
        <v>0</v>
      </c>
      <c r="AH2740">
        <v>0</v>
      </c>
      <c r="AI2740">
        <v>0</v>
      </c>
      <c r="AJ2740">
        <v>0</v>
      </c>
      <c r="AK2740">
        <v>0</v>
      </c>
      <c r="AL2740">
        <v>0</v>
      </c>
      <c r="AM2740">
        <v>0</v>
      </c>
      <c r="AN2740">
        <v>0</v>
      </c>
      <c r="AO2740">
        <v>0</v>
      </c>
      <c r="AP2740">
        <v>0</v>
      </c>
      <c r="AQ2740">
        <v>21.38</v>
      </c>
      <c r="AR2740">
        <v>0</v>
      </c>
      <c r="AS2740">
        <v>0</v>
      </c>
      <c r="AT2740">
        <v>0</v>
      </c>
      <c r="AU2740">
        <v>0</v>
      </c>
      <c r="AV2740">
        <v>0</v>
      </c>
      <c r="AW2740">
        <v>0</v>
      </c>
      <c r="AX2740">
        <v>0</v>
      </c>
      <c r="AY2740">
        <v>0</v>
      </c>
      <c r="AZ2740">
        <v>0</v>
      </c>
      <c r="BA2740">
        <v>0</v>
      </c>
      <c r="BB2740">
        <v>0</v>
      </c>
      <c r="BC2740">
        <v>0</v>
      </c>
      <c r="BD2740">
        <v>0</v>
      </c>
      <c r="BE2740">
        <v>0</v>
      </c>
      <c r="BF2740">
        <v>0</v>
      </c>
      <c r="BG2740">
        <v>0</v>
      </c>
      <c r="BH2740">
        <v>1</v>
      </c>
      <c r="BI2740">
        <v>1</v>
      </c>
      <c r="BJ2740">
        <v>0.2</v>
      </c>
      <c r="BK2740">
        <v>1</v>
      </c>
      <c r="BL2740">
        <v>69.98</v>
      </c>
      <c r="BM2740">
        <v>10.5</v>
      </c>
      <c r="BN2740">
        <v>80.48</v>
      </c>
      <c r="BO2740">
        <v>80.48</v>
      </c>
      <c r="BQ2740" t="s">
        <v>372</v>
      </c>
      <c r="BR2740" t="s">
        <v>84</v>
      </c>
      <c r="BS2740" s="3">
        <v>45799</v>
      </c>
      <c r="BT2740" s="4">
        <v>0.41875000000000001</v>
      </c>
      <c r="BU2740" t="s">
        <v>373</v>
      </c>
      <c r="BV2740" t="s">
        <v>86</v>
      </c>
      <c r="BY2740">
        <v>1200</v>
      </c>
      <c r="CA2740" t="s">
        <v>298</v>
      </c>
      <c r="CC2740" t="s">
        <v>91</v>
      </c>
      <c r="CD2740">
        <v>6001</v>
      </c>
      <c r="CE2740" t="s">
        <v>88</v>
      </c>
      <c r="CF2740" s="3">
        <v>45799</v>
      </c>
      <c r="CI2740">
        <v>1</v>
      </c>
      <c r="CJ2740">
        <v>1</v>
      </c>
      <c r="CK2740">
        <v>21</v>
      </c>
      <c r="CL2740" t="s">
        <v>89</v>
      </c>
    </row>
    <row r="2741" spans="1:90" x14ac:dyDescent="0.3">
      <c r="A2741" t="s">
        <v>72</v>
      </c>
      <c r="B2741" t="s">
        <v>73</v>
      </c>
      <c r="C2741" t="s">
        <v>74</v>
      </c>
      <c r="E2741" t="str">
        <f>"080065496056"</f>
        <v>080065496056</v>
      </c>
      <c r="F2741" s="3">
        <v>45798</v>
      </c>
      <c r="G2741">
        <v>202602</v>
      </c>
      <c r="H2741" t="s">
        <v>75</v>
      </c>
      <c r="I2741" t="s">
        <v>76</v>
      </c>
      <c r="J2741" t="s">
        <v>77</v>
      </c>
      <c r="K2741" t="s">
        <v>78</v>
      </c>
      <c r="L2741" t="s">
        <v>130</v>
      </c>
      <c r="M2741" t="s">
        <v>131</v>
      </c>
      <c r="N2741" t="s">
        <v>327</v>
      </c>
      <c r="O2741" t="s">
        <v>82</v>
      </c>
      <c r="P2741" t="str">
        <f>"4170039985                    "</f>
        <v xml:space="preserve">4170039985                    </v>
      </c>
      <c r="Q2741">
        <v>0</v>
      </c>
      <c r="R2741">
        <v>0</v>
      </c>
      <c r="S2741">
        <v>0</v>
      </c>
      <c r="T2741">
        <v>0</v>
      </c>
      <c r="U2741">
        <v>0</v>
      </c>
      <c r="V2741">
        <v>0</v>
      </c>
      <c r="W2741">
        <v>0</v>
      </c>
      <c r="X2741">
        <v>0</v>
      </c>
      <c r="Y2741">
        <v>0</v>
      </c>
      <c r="Z2741">
        <v>0</v>
      </c>
      <c r="AA2741">
        <v>0</v>
      </c>
      <c r="AB2741">
        <v>0</v>
      </c>
      <c r="AC2741">
        <v>0</v>
      </c>
      <c r="AD2741">
        <v>0</v>
      </c>
      <c r="AE2741">
        <v>0</v>
      </c>
      <c r="AF2741">
        <v>0</v>
      </c>
      <c r="AG2741">
        <v>0</v>
      </c>
      <c r="AH2741">
        <v>0</v>
      </c>
      <c r="AI2741">
        <v>0</v>
      </c>
      <c r="AJ2741">
        <v>0</v>
      </c>
      <c r="AK2741">
        <v>0</v>
      </c>
      <c r="AL2741">
        <v>0</v>
      </c>
      <c r="AM2741">
        <v>0</v>
      </c>
      <c r="AN2741">
        <v>0</v>
      </c>
      <c r="AO2741">
        <v>0</v>
      </c>
      <c r="AP2741">
        <v>0</v>
      </c>
      <c r="AQ2741">
        <v>21.38</v>
      </c>
      <c r="AR2741">
        <v>0</v>
      </c>
      <c r="AS2741">
        <v>0</v>
      </c>
      <c r="AT2741">
        <v>0</v>
      </c>
      <c r="AU2741">
        <v>0</v>
      </c>
      <c r="AV2741">
        <v>0</v>
      </c>
      <c r="AW2741">
        <v>0</v>
      </c>
      <c r="AX2741">
        <v>0</v>
      </c>
      <c r="AY2741">
        <v>0</v>
      </c>
      <c r="AZ2741">
        <v>0</v>
      </c>
      <c r="BA2741">
        <v>0</v>
      </c>
      <c r="BB2741">
        <v>0</v>
      </c>
      <c r="BC2741">
        <v>0</v>
      </c>
      <c r="BD2741">
        <v>0</v>
      </c>
      <c r="BE2741">
        <v>0</v>
      </c>
      <c r="BF2741">
        <v>0</v>
      </c>
      <c r="BG2741">
        <v>0</v>
      </c>
      <c r="BH2741">
        <v>1</v>
      </c>
      <c r="BI2741">
        <v>1</v>
      </c>
      <c r="BJ2741">
        <v>0.2</v>
      </c>
      <c r="BK2741">
        <v>1</v>
      </c>
      <c r="BL2741">
        <v>69.98</v>
      </c>
      <c r="BM2741">
        <v>10.5</v>
      </c>
      <c r="BN2741">
        <v>80.48</v>
      </c>
      <c r="BO2741">
        <v>80.48</v>
      </c>
      <c r="BQ2741" t="s">
        <v>328</v>
      </c>
      <c r="BR2741" t="s">
        <v>84</v>
      </c>
      <c r="BS2741" s="3">
        <v>45799</v>
      </c>
      <c r="BT2741" s="4">
        <v>0.36319444444444443</v>
      </c>
      <c r="BU2741" t="s">
        <v>2465</v>
      </c>
      <c r="BV2741" t="s">
        <v>86</v>
      </c>
      <c r="BY2741">
        <v>1200</v>
      </c>
      <c r="CA2741" t="s">
        <v>330</v>
      </c>
      <c r="CC2741" t="s">
        <v>131</v>
      </c>
      <c r="CD2741">
        <v>7480</v>
      </c>
      <c r="CE2741" t="s">
        <v>88</v>
      </c>
      <c r="CF2741" s="3">
        <v>45800</v>
      </c>
      <c r="CI2741">
        <v>1</v>
      </c>
      <c r="CJ2741">
        <v>1</v>
      </c>
      <c r="CK2741">
        <v>21</v>
      </c>
      <c r="CL2741" t="s">
        <v>89</v>
      </c>
    </row>
    <row r="2742" spans="1:90" x14ac:dyDescent="0.3">
      <c r="A2742" t="s">
        <v>72</v>
      </c>
      <c r="B2742" t="s">
        <v>73</v>
      </c>
      <c r="C2742" t="s">
        <v>74</v>
      </c>
      <c r="E2742" t="str">
        <f>"080065496066"</f>
        <v>080065496066</v>
      </c>
      <c r="F2742" s="3">
        <v>45798</v>
      </c>
      <c r="G2742">
        <v>202602</v>
      </c>
      <c r="H2742" t="s">
        <v>75</v>
      </c>
      <c r="I2742" t="s">
        <v>76</v>
      </c>
      <c r="J2742" t="s">
        <v>77</v>
      </c>
      <c r="K2742" t="s">
        <v>78</v>
      </c>
      <c r="L2742" t="s">
        <v>409</v>
      </c>
      <c r="M2742" t="s">
        <v>410</v>
      </c>
      <c r="N2742" t="s">
        <v>411</v>
      </c>
      <c r="O2742" t="s">
        <v>82</v>
      </c>
      <c r="P2742" t="str">
        <f>"4170039969                    "</f>
        <v xml:space="preserve">4170039969                    </v>
      </c>
      <c r="Q2742">
        <v>0</v>
      </c>
      <c r="R2742">
        <v>0</v>
      </c>
      <c r="S2742">
        <v>0</v>
      </c>
      <c r="T2742">
        <v>0</v>
      </c>
      <c r="U2742">
        <v>0</v>
      </c>
      <c r="V2742">
        <v>0</v>
      </c>
      <c r="W2742">
        <v>0</v>
      </c>
      <c r="X2742">
        <v>0</v>
      </c>
      <c r="Y2742">
        <v>0</v>
      </c>
      <c r="Z2742">
        <v>0</v>
      </c>
      <c r="AA2742">
        <v>0</v>
      </c>
      <c r="AB2742">
        <v>0</v>
      </c>
      <c r="AC2742">
        <v>0</v>
      </c>
      <c r="AD2742">
        <v>0</v>
      </c>
      <c r="AE2742">
        <v>0</v>
      </c>
      <c r="AF2742">
        <v>0</v>
      </c>
      <c r="AG2742">
        <v>0</v>
      </c>
      <c r="AH2742">
        <v>0</v>
      </c>
      <c r="AI2742">
        <v>0</v>
      </c>
      <c r="AJ2742">
        <v>0</v>
      </c>
      <c r="AK2742">
        <v>0</v>
      </c>
      <c r="AL2742">
        <v>0</v>
      </c>
      <c r="AM2742">
        <v>0</v>
      </c>
      <c r="AN2742">
        <v>0</v>
      </c>
      <c r="AO2742">
        <v>0</v>
      </c>
      <c r="AP2742">
        <v>0</v>
      </c>
      <c r="AQ2742">
        <v>134.97</v>
      </c>
      <c r="AR2742">
        <v>0</v>
      </c>
      <c r="AS2742">
        <v>0</v>
      </c>
      <c r="AT2742">
        <v>0</v>
      </c>
      <c r="AU2742">
        <v>0</v>
      </c>
      <c r="AV2742">
        <v>0</v>
      </c>
      <c r="AW2742">
        <v>0</v>
      </c>
      <c r="AX2742">
        <v>0</v>
      </c>
      <c r="AY2742">
        <v>0</v>
      </c>
      <c r="AZ2742">
        <v>0</v>
      </c>
      <c r="BA2742">
        <v>0</v>
      </c>
      <c r="BB2742">
        <v>0</v>
      </c>
      <c r="BC2742">
        <v>0</v>
      </c>
      <c r="BD2742">
        <v>0</v>
      </c>
      <c r="BE2742">
        <v>0</v>
      </c>
      <c r="BF2742">
        <v>0</v>
      </c>
      <c r="BG2742">
        <v>0</v>
      </c>
      <c r="BH2742">
        <v>1</v>
      </c>
      <c r="BI2742">
        <v>3</v>
      </c>
      <c r="BJ2742">
        <v>7</v>
      </c>
      <c r="BK2742">
        <v>7</v>
      </c>
      <c r="BL2742">
        <v>441.73</v>
      </c>
      <c r="BM2742">
        <v>66.260000000000005</v>
      </c>
      <c r="BN2742">
        <v>507.99</v>
      </c>
      <c r="BO2742">
        <v>507.99</v>
      </c>
      <c r="BQ2742" t="s">
        <v>412</v>
      </c>
      <c r="BR2742" t="s">
        <v>84</v>
      </c>
      <c r="BS2742" s="3">
        <v>45799</v>
      </c>
      <c r="BT2742" s="4">
        <v>0.49236111111111114</v>
      </c>
      <c r="BU2742" t="s">
        <v>2849</v>
      </c>
      <c r="BV2742" t="s">
        <v>86</v>
      </c>
      <c r="BY2742">
        <v>34810</v>
      </c>
      <c r="CA2742" t="s">
        <v>1088</v>
      </c>
      <c r="CC2742" t="s">
        <v>410</v>
      </c>
      <c r="CD2742">
        <v>6850</v>
      </c>
      <c r="CE2742" t="s">
        <v>2869</v>
      </c>
      <c r="CF2742" s="3">
        <v>45800</v>
      </c>
      <c r="CI2742">
        <v>2</v>
      </c>
      <c r="CJ2742">
        <v>1</v>
      </c>
      <c r="CK2742">
        <v>23</v>
      </c>
      <c r="CL2742" t="s">
        <v>89</v>
      </c>
    </row>
    <row r="2743" spans="1:90" x14ac:dyDescent="0.3">
      <c r="A2743" t="s">
        <v>72</v>
      </c>
      <c r="B2743" t="s">
        <v>73</v>
      </c>
      <c r="C2743" t="s">
        <v>74</v>
      </c>
      <c r="E2743" t="str">
        <f>"080065496092"</f>
        <v>080065496092</v>
      </c>
      <c r="F2743" s="3">
        <v>45798</v>
      </c>
      <c r="G2743">
        <v>202602</v>
      </c>
      <c r="H2743" t="s">
        <v>75</v>
      </c>
      <c r="I2743" t="s">
        <v>76</v>
      </c>
      <c r="J2743" t="s">
        <v>77</v>
      </c>
      <c r="K2743" t="s">
        <v>78</v>
      </c>
      <c r="L2743" t="s">
        <v>75</v>
      </c>
      <c r="M2743" t="s">
        <v>76</v>
      </c>
      <c r="N2743" t="s">
        <v>2870</v>
      </c>
      <c r="O2743" t="s">
        <v>82</v>
      </c>
      <c r="P2743" t="str">
        <f>"4170039965                    "</f>
        <v xml:space="preserve">4170039965                    </v>
      </c>
      <c r="Q2743">
        <v>0</v>
      </c>
      <c r="R2743">
        <v>0</v>
      </c>
      <c r="S2743">
        <v>0</v>
      </c>
      <c r="T2743">
        <v>0</v>
      </c>
      <c r="U2743">
        <v>0</v>
      </c>
      <c r="V2743">
        <v>0</v>
      </c>
      <c r="W2743">
        <v>0</v>
      </c>
      <c r="X2743">
        <v>0</v>
      </c>
      <c r="Y2743">
        <v>0</v>
      </c>
      <c r="Z2743">
        <v>0</v>
      </c>
      <c r="AA2743">
        <v>0</v>
      </c>
      <c r="AB2743">
        <v>0</v>
      </c>
      <c r="AC2743">
        <v>0</v>
      </c>
      <c r="AD2743">
        <v>0</v>
      </c>
      <c r="AE2743">
        <v>0</v>
      </c>
      <c r="AF2743">
        <v>0</v>
      </c>
      <c r="AG2743">
        <v>0</v>
      </c>
      <c r="AH2743">
        <v>0</v>
      </c>
      <c r="AI2743">
        <v>0</v>
      </c>
      <c r="AJ2743">
        <v>0</v>
      </c>
      <c r="AK2743">
        <v>0</v>
      </c>
      <c r="AL2743">
        <v>0</v>
      </c>
      <c r="AM2743">
        <v>0</v>
      </c>
      <c r="AN2743">
        <v>0</v>
      </c>
      <c r="AO2743">
        <v>0</v>
      </c>
      <c r="AP2743">
        <v>0</v>
      </c>
      <c r="AQ2743">
        <v>16.7</v>
      </c>
      <c r="AR2743">
        <v>0</v>
      </c>
      <c r="AS2743">
        <v>0</v>
      </c>
      <c r="AT2743">
        <v>0</v>
      </c>
      <c r="AU2743">
        <v>0</v>
      </c>
      <c r="AV2743">
        <v>0</v>
      </c>
      <c r="AW2743">
        <v>0</v>
      </c>
      <c r="AX2743">
        <v>0</v>
      </c>
      <c r="AY2743">
        <v>0</v>
      </c>
      <c r="AZ2743">
        <v>0</v>
      </c>
      <c r="BA2743">
        <v>0</v>
      </c>
      <c r="BB2743">
        <v>0</v>
      </c>
      <c r="BC2743">
        <v>0</v>
      </c>
      <c r="BD2743">
        <v>0</v>
      </c>
      <c r="BE2743">
        <v>0</v>
      </c>
      <c r="BF2743">
        <v>0</v>
      </c>
      <c r="BG2743">
        <v>0</v>
      </c>
      <c r="BH2743">
        <v>1</v>
      </c>
      <c r="BI2743">
        <v>1</v>
      </c>
      <c r="BJ2743">
        <v>0.2</v>
      </c>
      <c r="BK2743">
        <v>1</v>
      </c>
      <c r="BL2743">
        <v>54.66</v>
      </c>
      <c r="BM2743">
        <v>8.1999999999999993</v>
      </c>
      <c r="BN2743">
        <v>62.86</v>
      </c>
      <c r="BO2743">
        <v>62.86</v>
      </c>
      <c r="BQ2743" t="s">
        <v>2871</v>
      </c>
      <c r="BR2743" t="s">
        <v>84</v>
      </c>
      <c r="BS2743" s="3">
        <v>45799</v>
      </c>
      <c r="BT2743" s="4">
        <v>0.30208333333333331</v>
      </c>
      <c r="BU2743" t="s">
        <v>2872</v>
      </c>
      <c r="BV2743" t="s">
        <v>86</v>
      </c>
      <c r="BY2743">
        <v>1200</v>
      </c>
      <c r="CA2743" t="s">
        <v>115</v>
      </c>
      <c r="CC2743" t="s">
        <v>76</v>
      </c>
      <c r="CD2743">
        <v>1600</v>
      </c>
      <c r="CE2743" t="s">
        <v>88</v>
      </c>
      <c r="CF2743" s="3">
        <v>45799</v>
      </c>
      <c r="CI2743">
        <v>1</v>
      </c>
      <c r="CJ2743">
        <v>1</v>
      </c>
      <c r="CK2743">
        <v>22</v>
      </c>
      <c r="CL2743" t="s">
        <v>89</v>
      </c>
    </row>
    <row r="2744" spans="1:90" x14ac:dyDescent="0.3">
      <c r="A2744" t="s">
        <v>72</v>
      </c>
      <c r="B2744" t="s">
        <v>73</v>
      </c>
      <c r="C2744" t="s">
        <v>74</v>
      </c>
      <c r="E2744" t="str">
        <f>"080065496099"</f>
        <v>080065496099</v>
      </c>
      <c r="F2744" s="3">
        <v>45798</v>
      </c>
      <c r="G2744">
        <v>202602</v>
      </c>
      <c r="H2744" t="s">
        <v>75</v>
      </c>
      <c r="I2744" t="s">
        <v>76</v>
      </c>
      <c r="J2744" t="s">
        <v>77</v>
      </c>
      <c r="K2744" t="s">
        <v>78</v>
      </c>
      <c r="L2744" t="s">
        <v>75</v>
      </c>
      <c r="M2744" t="s">
        <v>76</v>
      </c>
      <c r="N2744" t="s">
        <v>850</v>
      </c>
      <c r="O2744" t="s">
        <v>82</v>
      </c>
      <c r="P2744" t="str">
        <f>"4170039792                    "</f>
        <v xml:space="preserve">4170039792                    </v>
      </c>
      <c r="Q2744">
        <v>0</v>
      </c>
      <c r="R2744">
        <v>0</v>
      </c>
      <c r="S2744">
        <v>0</v>
      </c>
      <c r="T2744">
        <v>0</v>
      </c>
      <c r="U2744">
        <v>0</v>
      </c>
      <c r="V2744">
        <v>0</v>
      </c>
      <c r="W2744">
        <v>0</v>
      </c>
      <c r="X2744">
        <v>0</v>
      </c>
      <c r="Y2744">
        <v>0</v>
      </c>
      <c r="Z2744">
        <v>0</v>
      </c>
      <c r="AA2744">
        <v>0</v>
      </c>
      <c r="AB2744">
        <v>0</v>
      </c>
      <c r="AC2744">
        <v>0</v>
      </c>
      <c r="AD2744">
        <v>0</v>
      </c>
      <c r="AE2744">
        <v>0</v>
      </c>
      <c r="AF2744">
        <v>0</v>
      </c>
      <c r="AG2744">
        <v>0</v>
      </c>
      <c r="AH2744">
        <v>0</v>
      </c>
      <c r="AI2744">
        <v>0</v>
      </c>
      <c r="AJ2744">
        <v>0</v>
      </c>
      <c r="AK2744">
        <v>0</v>
      </c>
      <c r="AL2744">
        <v>0</v>
      </c>
      <c r="AM2744">
        <v>0</v>
      </c>
      <c r="AN2744">
        <v>0</v>
      </c>
      <c r="AO2744">
        <v>0</v>
      </c>
      <c r="AP2744">
        <v>0</v>
      </c>
      <c r="AQ2744">
        <v>16.7</v>
      </c>
      <c r="AR2744">
        <v>0</v>
      </c>
      <c r="AS2744">
        <v>0</v>
      </c>
      <c r="AT2744">
        <v>0</v>
      </c>
      <c r="AU2744">
        <v>0</v>
      </c>
      <c r="AV2744">
        <v>0</v>
      </c>
      <c r="AW2744">
        <v>0</v>
      </c>
      <c r="AX2744">
        <v>0</v>
      </c>
      <c r="AY2744">
        <v>0</v>
      </c>
      <c r="AZ2744">
        <v>0</v>
      </c>
      <c r="BA2744">
        <v>0</v>
      </c>
      <c r="BB2744">
        <v>0</v>
      </c>
      <c r="BC2744">
        <v>0</v>
      </c>
      <c r="BD2744">
        <v>0</v>
      </c>
      <c r="BE2744">
        <v>0</v>
      </c>
      <c r="BF2744">
        <v>0</v>
      </c>
      <c r="BG2744">
        <v>0</v>
      </c>
      <c r="BH2744">
        <v>1</v>
      </c>
      <c r="BI2744">
        <v>2</v>
      </c>
      <c r="BJ2744">
        <v>0.9</v>
      </c>
      <c r="BK2744">
        <v>2</v>
      </c>
      <c r="BL2744">
        <v>54.66</v>
      </c>
      <c r="BM2744">
        <v>8.1999999999999993</v>
      </c>
      <c r="BN2744">
        <v>62.86</v>
      </c>
      <c r="BO2744">
        <v>62.86</v>
      </c>
      <c r="BQ2744" t="s">
        <v>851</v>
      </c>
      <c r="BR2744" t="s">
        <v>84</v>
      </c>
      <c r="BS2744" s="3">
        <v>45799</v>
      </c>
      <c r="BT2744" s="4">
        <v>0.38194444444444442</v>
      </c>
      <c r="BU2744" t="s">
        <v>2802</v>
      </c>
      <c r="BV2744" t="s">
        <v>86</v>
      </c>
      <c r="BY2744">
        <v>4256</v>
      </c>
      <c r="CA2744" t="s">
        <v>853</v>
      </c>
      <c r="CC2744" t="s">
        <v>76</v>
      </c>
      <c r="CD2744">
        <v>1666</v>
      </c>
      <c r="CE2744" t="s">
        <v>116</v>
      </c>
      <c r="CF2744" s="3">
        <v>45800</v>
      </c>
      <c r="CI2744">
        <v>1</v>
      </c>
      <c r="CJ2744">
        <v>1</v>
      </c>
      <c r="CK2744">
        <v>22</v>
      </c>
      <c r="CL2744" t="s">
        <v>89</v>
      </c>
    </row>
    <row r="2745" spans="1:90" x14ac:dyDescent="0.3">
      <c r="A2745" t="s">
        <v>72</v>
      </c>
      <c r="B2745" t="s">
        <v>73</v>
      </c>
      <c r="C2745" t="s">
        <v>74</v>
      </c>
      <c r="E2745" t="str">
        <f>"080065496117"</f>
        <v>080065496117</v>
      </c>
      <c r="F2745" s="3">
        <v>45798</v>
      </c>
      <c r="G2745">
        <v>202602</v>
      </c>
      <c r="H2745" t="s">
        <v>75</v>
      </c>
      <c r="I2745" t="s">
        <v>76</v>
      </c>
      <c r="J2745" t="s">
        <v>77</v>
      </c>
      <c r="K2745" t="s">
        <v>78</v>
      </c>
      <c r="L2745" t="s">
        <v>75</v>
      </c>
      <c r="M2745" t="s">
        <v>76</v>
      </c>
      <c r="N2745" t="s">
        <v>601</v>
      </c>
      <c r="O2745" t="s">
        <v>82</v>
      </c>
      <c r="P2745" t="str">
        <f>"4170039776                    "</f>
        <v xml:space="preserve">4170039776                    </v>
      </c>
      <c r="Q2745">
        <v>0</v>
      </c>
      <c r="R2745">
        <v>0</v>
      </c>
      <c r="S2745">
        <v>0</v>
      </c>
      <c r="T2745">
        <v>0</v>
      </c>
      <c r="U2745">
        <v>0</v>
      </c>
      <c r="V2745">
        <v>0</v>
      </c>
      <c r="W2745">
        <v>0</v>
      </c>
      <c r="X2745">
        <v>0</v>
      </c>
      <c r="Y2745">
        <v>0</v>
      </c>
      <c r="Z2745">
        <v>0</v>
      </c>
      <c r="AA2745">
        <v>0</v>
      </c>
      <c r="AB2745">
        <v>0</v>
      </c>
      <c r="AC2745">
        <v>0</v>
      </c>
      <c r="AD2745">
        <v>0</v>
      </c>
      <c r="AE2745">
        <v>0</v>
      </c>
      <c r="AF2745">
        <v>0</v>
      </c>
      <c r="AG2745">
        <v>0</v>
      </c>
      <c r="AH2745">
        <v>0</v>
      </c>
      <c r="AI2745">
        <v>0</v>
      </c>
      <c r="AJ2745">
        <v>0</v>
      </c>
      <c r="AK2745">
        <v>0</v>
      </c>
      <c r="AL2745">
        <v>0</v>
      </c>
      <c r="AM2745">
        <v>0</v>
      </c>
      <c r="AN2745">
        <v>0</v>
      </c>
      <c r="AO2745">
        <v>0</v>
      </c>
      <c r="AP2745">
        <v>0</v>
      </c>
      <c r="AQ2745">
        <v>16.7</v>
      </c>
      <c r="AR2745">
        <v>0</v>
      </c>
      <c r="AS2745">
        <v>0</v>
      </c>
      <c r="AT2745">
        <v>0</v>
      </c>
      <c r="AU2745">
        <v>0</v>
      </c>
      <c r="AV2745">
        <v>0</v>
      </c>
      <c r="AW2745">
        <v>0</v>
      </c>
      <c r="AX2745">
        <v>0</v>
      </c>
      <c r="AY2745">
        <v>0</v>
      </c>
      <c r="AZ2745">
        <v>0</v>
      </c>
      <c r="BA2745">
        <v>0</v>
      </c>
      <c r="BB2745">
        <v>0</v>
      </c>
      <c r="BC2745">
        <v>0</v>
      </c>
      <c r="BD2745">
        <v>0</v>
      </c>
      <c r="BE2745">
        <v>0</v>
      </c>
      <c r="BF2745">
        <v>0</v>
      </c>
      <c r="BG2745">
        <v>0</v>
      </c>
      <c r="BH2745">
        <v>1</v>
      </c>
      <c r="BI2745">
        <v>1</v>
      </c>
      <c r="BJ2745">
        <v>1.4</v>
      </c>
      <c r="BK2745">
        <v>2</v>
      </c>
      <c r="BL2745">
        <v>54.66</v>
      </c>
      <c r="BM2745">
        <v>8.1999999999999993</v>
      </c>
      <c r="BN2745">
        <v>62.86</v>
      </c>
      <c r="BO2745">
        <v>62.86</v>
      </c>
      <c r="BQ2745" t="s">
        <v>603</v>
      </c>
      <c r="BR2745" t="s">
        <v>84</v>
      </c>
      <c r="BS2745" s="3">
        <v>45799</v>
      </c>
      <c r="BT2745" s="4">
        <v>0.3347222222222222</v>
      </c>
      <c r="BU2745" t="s">
        <v>789</v>
      </c>
      <c r="BV2745" t="s">
        <v>86</v>
      </c>
      <c r="BY2745">
        <v>7168</v>
      </c>
      <c r="CA2745" t="s">
        <v>605</v>
      </c>
      <c r="CC2745" t="s">
        <v>76</v>
      </c>
      <c r="CD2745">
        <v>1645</v>
      </c>
      <c r="CE2745" t="s">
        <v>221</v>
      </c>
      <c r="CF2745" s="3">
        <v>45800</v>
      </c>
      <c r="CI2745">
        <v>1</v>
      </c>
      <c r="CJ2745">
        <v>1</v>
      </c>
      <c r="CK2745">
        <v>22</v>
      </c>
      <c r="CL2745" t="s">
        <v>89</v>
      </c>
    </row>
    <row r="2746" spans="1:90" x14ac:dyDescent="0.3">
      <c r="A2746" t="s">
        <v>72</v>
      </c>
      <c r="B2746" t="s">
        <v>73</v>
      </c>
      <c r="C2746" t="s">
        <v>74</v>
      </c>
      <c r="E2746" t="str">
        <f>"080065496147"</f>
        <v>080065496147</v>
      </c>
      <c r="F2746" s="3">
        <v>45798</v>
      </c>
      <c r="G2746">
        <v>202602</v>
      </c>
      <c r="H2746" t="s">
        <v>75</v>
      </c>
      <c r="I2746" t="s">
        <v>76</v>
      </c>
      <c r="J2746" t="s">
        <v>77</v>
      </c>
      <c r="K2746" t="s">
        <v>78</v>
      </c>
      <c r="L2746" t="s">
        <v>463</v>
      </c>
      <c r="M2746" t="s">
        <v>464</v>
      </c>
      <c r="N2746" t="s">
        <v>585</v>
      </c>
      <c r="O2746" t="s">
        <v>82</v>
      </c>
      <c r="P2746" t="str">
        <f>"4170039924                    "</f>
        <v xml:space="preserve">4170039924                    </v>
      </c>
      <c r="Q2746">
        <v>0</v>
      </c>
      <c r="R2746">
        <v>0</v>
      </c>
      <c r="S2746">
        <v>0</v>
      </c>
      <c r="T2746">
        <v>0</v>
      </c>
      <c r="U2746">
        <v>0</v>
      </c>
      <c r="V2746">
        <v>0</v>
      </c>
      <c r="W2746">
        <v>0</v>
      </c>
      <c r="X2746">
        <v>0</v>
      </c>
      <c r="Y2746">
        <v>0</v>
      </c>
      <c r="Z2746">
        <v>0</v>
      </c>
      <c r="AA2746">
        <v>0</v>
      </c>
      <c r="AB2746">
        <v>0</v>
      </c>
      <c r="AC2746">
        <v>0</v>
      </c>
      <c r="AD2746">
        <v>0</v>
      </c>
      <c r="AE2746">
        <v>0</v>
      </c>
      <c r="AF2746">
        <v>0</v>
      </c>
      <c r="AG2746">
        <v>0</v>
      </c>
      <c r="AH2746">
        <v>0</v>
      </c>
      <c r="AI2746">
        <v>0</v>
      </c>
      <c r="AJ2746">
        <v>0</v>
      </c>
      <c r="AK2746">
        <v>0</v>
      </c>
      <c r="AL2746">
        <v>0</v>
      </c>
      <c r="AM2746">
        <v>0</v>
      </c>
      <c r="AN2746">
        <v>0</v>
      </c>
      <c r="AO2746">
        <v>0</v>
      </c>
      <c r="AP2746">
        <v>0</v>
      </c>
      <c r="AQ2746">
        <v>21.38</v>
      </c>
      <c r="AR2746">
        <v>0</v>
      </c>
      <c r="AS2746">
        <v>0</v>
      </c>
      <c r="AT2746">
        <v>0</v>
      </c>
      <c r="AU2746">
        <v>0</v>
      </c>
      <c r="AV2746">
        <v>0</v>
      </c>
      <c r="AW2746">
        <v>0</v>
      </c>
      <c r="AX2746">
        <v>0</v>
      </c>
      <c r="AY2746">
        <v>0</v>
      </c>
      <c r="AZ2746">
        <v>0</v>
      </c>
      <c r="BA2746">
        <v>0</v>
      </c>
      <c r="BB2746">
        <v>0</v>
      </c>
      <c r="BC2746">
        <v>0</v>
      </c>
      <c r="BD2746">
        <v>0</v>
      </c>
      <c r="BE2746">
        <v>0</v>
      </c>
      <c r="BF2746">
        <v>0</v>
      </c>
      <c r="BG2746">
        <v>0</v>
      </c>
      <c r="BH2746">
        <v>1</v>
      </c>
      <c r="BI2746">
        <v>1</v>
      </c>
      <c r="BJ2746">
        <v>0.6</v>
      </c>
      <c r="BK2746">
        <v>1</v>
      </c>
      <c r="BL2746">
        <v>69.98</v>
      </c>
      <c r="BM2746">
        <v>10.5</v>
      </c>
      <c r="BN2746">
        <v>80.48</v>
      </c>
      <c r="BO2746">
        <v>80.48</v>
      </c>
      <c r="BQ2746" t="s">
        <v>586</v>
      </c>
      <c r="BR2746" t="s">
        <v>84</v>
      </c>
      <c r="BS2746" s="3">
        <v>45799</v>
      </c>
      <c r="BT2746" s="4">
        <v>0.48819444444444443</v>
      </c>
      <c r="BU2746" t="s">
        <v>2787</v>
      </c>
      <c r="BV2746" t="s">
        <v>89</v>
      </c>
      <c r="BY2746">
        <v>3192</v>
      </c>
      <c r="CA2746" t="s">
        <v>588</v>
      </c>
      <c r="CC2746" t="s">
        <v>464</v>
      </c>
      <c r="CD2746">
        <v>5201</v>
      </c>
      <c r="CE2746" t="s">
        <v>116</v>
      </c>
      <c r="CF2746" s="3">
        <v>45799</v>
      </c>
      <c r="CI2746">
        <v>1</v>
      </c>
      <c r="CJ2746">
        <v>1</v>
      </c>
      <c r="CK2746">
        <v>21</v>
      </c>
      <c r="CL2746" t="s">
        <v>89</v>
      </c>
    </row>
    <row r="2747" spans="1:90" x14ac:dyDescent="0.3">
      <c r="A2747" t="s">
        <v>72</v>
      </c>
      <c r="B2747" t="s">
        <v>73</v>
      </c>
      <c r="C2747" t="s">
        <v>74</v>
      </c>
      <c r="E2747" t="str">
        <f>"080065496159"</f>
        <v>080065496159</v>
      </c>
      <c r="F2747" s="3">
        <v>45798</v>
      </c>
      <c r="G2747">
        <v>202602</v>
      </c>
      <c r="H2747" t="s">
        <v>75</v>
      </c>
      <c r="I2747" t="s">
        <v>76</v>
      </c>
      <c r="J2747" t="s">
        <v>77</v>
      </c>
      <c r="K2747" t="s">
        <v>78</v>
      </c>
      <c r="L2747" t="s">
        <v>1214</v>
      </c>
      <c r="M2747" t="s">
        <v>1215</v>
      </c>
      <c r="N2747" t="s">
        <v>2193</v>
      </c>
      <c r="O2747" t="s">
        <v>300</v>
      </c>
      <c r="P2747" t="str">
        <f>"4170039728                    "</f>
        <v xml:space="preserve">4170039728                    </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c r="AJ2747">
        <v>0</v>
      </c>
      <c r="AK2747">
        <v>0</v>
      </c>
      <c r="AL2747">
        <v>0</v>
      </c>
      <c r="AM2747">
        <v>0</v>
      </c>
      <c r="AN2747">
        <v>0</v>
      </c>
      <c r="AO2747">
        <v>0</v>
      </c>
      <c r="AP2747">
        <v>0</v>
      </c>
      <c r="AQ2747">
        <v>104.52</v>
      </c>
      <c r="AR2747">
        <v>0</v>
      </c>
      <c r="AS2747">
        <v>0</v>
      </c>
      <c r="AT2747">
        <v>0</v>
      </c>
      <c r="AU2747">
        <v>0</v>
      </c>
      <c r="AV2747">
        <v>0</v>
      </c>
      <c r="AW2747">
        <v>0</v>
      </c>
      <c r="AX2747">
        <v>0</v>
      </c>
      <c r="AY2747">
        <v>0</v>
      </c>
      <c r="AZ2747">
        <v>0</v>
      </c>
      <c r="BA2747">
        <v>0</v>
      </c>
      <c r="BB2747">
        <v>0</v>
      </c>
      <c r="BC2747">
        <v>0</v>
      </c>
      <c r="BD2747">
        <v>0</v>
      </c>
      <c r="BE2747">
        <v>0</v>
      </c>
      <c r="BF2747">
        <v>0</v>
      </c>
      <c r="BG2747">
        <v>0</v>
      </c>
      <c r="BH2747">
        <v>2</v>
      </c>
      <c r="BI2747">
        <v>52</v>
      </c>
      <c r="BJ2747">
        <v>31</v>
      </c>
      <c r="BK2747">
        <v>52</v>
      </c>
      <c r="BL2747">
        <v>347.63</v>
      </c>
      <c r="BM2747">
        <v>52.14</v>
      </c>
      <c r="BN2747">
        <v>399.77</v>
      </c>
      <c r="BO2747">
        <v>399.77</v>
      </c>
      <c r="BQ2747" t="s">
        <v>2194</v>
      </c>
      <c r="BR2747" t="s">
        <v>84</v>
      </c>
      <c r="BS2747" s="3">
        <v>45799</v>
      </c>
      <c r="BT2747" s="4">
        <v>0.66666666666666663</v>
      </c>
      <c r="BU2747" t="s">
        <v>2873</v>
      </c>
      <c r="BV2747" t="s">
        <v>86</v>
      </c>
      <c r="BY2747">
        <v>77440</v>
      </c>
      <c r="CC2747" t="s">
        <v>1215</v>
      </c>
      <c r="CD2747">
        <v>4302</v>
      </c>
      <c r="CE2747" t="s">
        <v>1799</v>
      </c>
      <c r="CF2747" s="3">
        <v>45799</v>
      </c>
      <c r="CI2747">
        <v>1</v>
      </c>
      <c r="CJ2747">
        <v>1</v>
      </c>
      <c r="CK2747">
        <v>41</v>
      </c>
      <c r="CL2747" t="s">
        <v>89</v>
      </c>
    </row>
    <row r="2748" spans="1:90" x14ac:dyDescent="0.3">
      <c r="A2748" t="s">
        <v>72</v>
      </c>
      <c r="B2748" t="s">
        <v>73</v>
      </c>
      <c r="C2748" t="s">
        <v>74</v>
      </c>
      <c r="E2748" t="str">
        <f>"080065496164"</f>
        <v>080065496164</v>
      </c>
      <c r="F2748" s="3">
        <v>45798</v>
      </c>
      <c r="G2748">
        <v>202602</v>
      </c>
      <c r="H2748" t="s">
        <v>75</v>
      </c>
      <c r="I2748" t="s">
        <v>76</v>
      </c>
      <c r="J2748" t="s">
        <v>77</v>
      </c>
      <c r="K2748" t="s">
        <v>78</v>
      </c>
      <c r="L2748" t="s">
        <v>972</v>
      </c>
      <c r="M2748" t="s">
        <v>973</v>
      </c>
      <c r="N2748" t="s">
        <v>974</v>
      </c>
      <c r="O2748" t="s">
        <v>82</v>
      </c>
      <c r="P2748" t="str">
        <f>"4170039926                    "</f>
        <v xml:space="preserve">4170039926                    </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c r="AJ2748">
        <v>0</v>
      </c>
      <c r="AK2748">
        <v>0</v>
      </c>
      <c r="AL2748">
        <v>0</v>
      </c>
      <c r="AM2748">
        <v>0</v>
      </c>
      <c r="AN2748">
        <v>0</v>
      </c>
      <c r="AO2748">
        <v>0</v>
      </c>
      <c r="AP2748">
        <v>0</v>
      </c>
      <c r="AQ2748">
        <v>16.7</v>
      </c>
      <c r="AR2748">
        <v>0</v>
      </c>
      <c r="AS2748">
        <v>0</v>
      </c>
      <c r="AT2748">
        <v>0</v>
      </c>
      <c r="AU2748">
        <v>0</v>
      </c>
      <c r="AV2748">
        <v>0</v>
      </c>
      <c r="AW2748">
        <v>0</v>
      </c>
      <c r="AX2748">
        <v>0</v>
      </c>
      <c r="AY2748">
        <v>0</v>
      </c>
      <c r="AZ2748">
        <v>0</v>
      </c>
      <c r="BA2748">
        <v>0</v>
      </c>
      <c r="BB2748">
        <v>0</v>
      </c>
      <c r="BC2748">
        <v>0</v>
      </c>
      <c r="BD2748">
        <v>0</v>
      </c>
      <c r="BE2748">
        <v>0</v>
      </c>
      <c r="BF2748">
        <v>0</v>
      </c>
      <c r="BG2748">
        <v>0</v>
      </c>
      <c r="BH2748">
        <v>1</v>
      </c>
      <c r="BI2748">
        <v>2</v>
      </c>
      <c r="BJ2748">
        <v>0.6</v>
      </c>
      <c r="BK2748">
        <v>2</v>
      </c>
      <c r="BL2748">
        <v>54.66</v>
      </c>
      <c r="BM2748">
        <v>8.1999999999999993</v>
      </c>
      <c r="BN2748">
        <v>62.86</v>
      </c>
      <c r="BO2748">
        <v>62.86</v>
      </c>
      <c r="BQ2748" t="s">
        <v>975</v>
      </c>
      <c r="BR2748" t="s">
        <v>84</v>
      </c>
      <c r="BS2748" s="3">
        <v>45799</v>
      </c>
      <c r="BT2748" s="4">
        <v>0.38055555555555554</v>
      </c>
      <c r="BU2748" t="s">
        <v>2733</v>
      </c>
      <c r="BV2748" t="s">
        <v>86</v>
      </c>
      <c r="BY2748">
        <v>3192</v>
      </c>
      <c r="CA2748" t="s">
        <v>1126</v>
      </c>
      <c r="CC2748" t="s">
        <v>973</v>
      </c>
      <c r="CD2748">
        <v>1724</v>
      </c>
      <c r="CE2748" t="s">
        <v>116</v>
      </c>
      <c r="CF2748" s="3">
        <v>45800</v>
      </c>
      <c r="CI2748">
        <v>1</v>
      </c>
      <c r="CJ2748">
        <v>1</v>
      </c>
      <c r="CK2748">
        <v>22</v>
      </c>
      <c r="CL2748" t="s">
        <v>89</v>
      </c>
    </row>
    <row r="2749" spans="1:90" x14ac:dyDescent="0.3">
      <c r="A2749" t="s">
        <v>72</v>
      </c>
      <c r="B2749" t="s">
        <v>73</v>
      </c>
      <c r="C2749" t="s">
        <v>74</v>
      </c>
      <c r="E2749" t="str">
        <f>"080065496438"</f>
        <v>080065496438</v>
      </c>
      <c r="F2749" s="3">
        <v>45798</v>
      </c>
      <c r="G2749">
        <v>202602</v>
      </c>
      <c r="H2749" t="s">
        <v>75</v>
      </c>
      <c r="I2749" t="s">
        <v>76</v>
      </c>
      <c r="J2749" t="s">
        <v>77</v>
      </c>
      <c r="K2749" t="s">
        <v>78</v>
      </c>
      <c r="L2749" t="s">
        <v>75</v>
      </c>
      <c r="M2749" t="s">
        <v>76</v>
      </c>
      <c r="N2749" t="s">
        <v>2874</v>
      </c>
      <c r="O2749" t="s">
        <v>82</v>
      </c>
      <c r="P2749" t="str">
        <f>"4170039738                    "</f>
        <v xml:space="preserve">4170039738                    </v>
      </c>
      <c r="Q2749">
        <v>0</v>
      </c>
      <c r="R2749">
        <v>0</v>
      </c>
      <c r="S2749">
        <v>0</v>
      </c>
      <c r="T2749">
        <v>0</v>
      </c>
      <c r="U2749">
        <v>0</v>
      </c>
      <c r="V2749">
        <v>0</v>
      </c>
      <c r="W2749">
        <v>0</v>
      </c>
      <c r="X2749">
        <v>0</v>
      </c>
      <c r="Y2749">
        <v>0</v>
      </c>
      <c r="Z2749">
        <v>0</v>
      </c>
      <c r="AA2749">
        <v>0</v>
      </c>
      <c r="AB2749">
        <v>0</v>
      </c>
      <c r="AC2749">
        <v>0</v>
      </c>
      <c r="AD2749">
        <v>0</v>
      </c>
      <c r="AE2749">
        <v>0</v>
      </c>
      <c r="AF2749">
        <v>0</v>
      </c>
      <c r="AG2749">
        <v>0</v>
      </c>
      <c r="AH2749">
        <v>0</v>
      </c>
      <c r="AI2749">
        <v>0</v>
      </c>
      <c r="AJ2749">
        <v>0</v>
      </c>
      <c r="AK2749">
        <v>0</v>
      </c>
      <c r="AL2749">
        <v>0</v>
      </c>
      <c r="AM2749">
        <v>0</v>
      </c>
      <c r="AN2749">
        <v>0</v>
      </c>
      <c r="AO2749">
        <v>0</v>
      </c>
      <c r="AP2749">
        <v>0</v>
      </c>
      <c r="AQ2749">
        <v>16.7</v>
      </c>
      <c r="AR2749">
        <v>0</v>
      </c>
      <c r="AS2749">
        <v>0</v>
      </c>
      <c r="AT2749">
        <v>0</v>
      </c>
      <c r="AU2749">
        <v>0</v>
      </c>
      <c r="AV2749">
        <v>0</v>
      </c>
      <c r="AW2749">
        <v>0</v>
      </c>
      <c r="AX2749">
        <v>0</v>
      </c>
      <c r="AY2749">
        <v>0</v>
      </c>
      <c r="AZ2749">
        <v>0</v>
      </c>
      <c r="BA2749">
        <v>0</v>
      </c>
      <c r="BB2749">
        <v>0</v>
      </c>
      <c r="BC2749">
        <v>0</v>
      </c>
      <c r="BD2749">
        <v>0</v>
      </c>
      <c r="BE2749">
        <v>0</v>
      </c>
      <c r="BF2749">
        <v>0</v>
      </c>
      <c r="BG2749">
        <v>0</v>
      </c>
      <c r="BH2749">
        <v>1</v>
      </c>
      <c r="BI2749">
        <v>2</v>
      </c>
      <c r="BJ2749">
        <v>1.7</v>
      </c>
      <c r="BK2749">
        <v>2</v>
      </c>
      <c r="BL2749">
        <v>54.66</v>
      </c>
      <c r="BM2749">
        <v>8.1999999999999993</v>
      </c>
      <c r="BN2749">
        <v>62.86</v>
      </c>
      <c r="BO2749">
        <v>62.86</v>
      </c>
      <c r="BQ2749" t="s">
        <v>2875</v>
      </c>
      <c r="BR2749" t="s">
        <v>84</v>
      </c>
      <c r="BS2749" s="3">
        <v>45799</v>
      </c>
      <c r="BT2749" s="4">
        <v>0.33194444444444443</v>
      </c>
      <c r="BU2749" t="s">
        <v>2876</v>
      </c>
      <c r="BV2749" t="s">
        <v>86</v>
      </c>
      <c r="BY2749">
        <v>8512</v>
      </c>
      <c r="CA2749" t="s">
        <v>806</v>
      </c>
      <c r="CC2749" t="s">
        <v>76</v>
      </c>
      <c r="CD2749">
        <v>1601</v>
      </c>
      <c r="CE2749" t="s">
        <v>116</v>
      </c>
      <c r="CF2749" s="3">
        <v>45799</v>
      </c>
      <c r="CI2749">
        <v>1</v>
      </c>
      <c r="CJ2749">
        <v>1</v>
      </c>
      <c r="CK2749">
        <v>22</v>
      </c>
      <c r="CL2749" t="s">
        <v>89</v>
      </c>
    </row>
    <row r="2750" spans="1:90" x14ac:dyDescent="0.3">
      <c r="A2750" t="s">
        <v>72</v>
      </c>
      <c r="B2750" t="s">
        <v>73</v>
      </c>
      <c r="C2750" t="s">
        <v>74</v>
      </c>
      <c r="E2750" t="str">
        <f>"080065496446"</f>
        <v>080065496446</v>
      </c>
      <c r="F2750" s="3">
        <v>45798</v>
      </c>
      <c r="G2750">
        <v>202602</v>
      </c>
      <c r="H2750" t="s">
        <v>75</v>
      </c>
      <c r="I2750" t="s">
        <v>76</v>
      </c>
      <c r="J2750" t="s">
        <v>77</v>
      </c>
      <c r="K2750" t="s">
        <v>78</v>
      </c>
      <c r="L2750" t="s">
        <v>90</v>
      </c>
      <c r="M2750" t="s">
        <v>91</v>
      </c>
      <c r="N2750" t="s">
        <v>543</v>
      </c>
      <c r="O2750" t="s">
        <v>82</v>
      </c>
      <c r="P2750" t="str">
        <f>"4170040013                    "</f>
        <v xml:space="preserve">4170040013                    </v>
      </c>
      <c r="Q2750">
        <v>0</v>
      </c>
      <c r="R2750">
        <v>0</v>
      </c>
      <c r="S2750">
        <v>0</v>
      </c>
      <c r="T2750">
        <v>0</v>
      </c>
      <c r="U2750">
        <v>0</v>
      </c>
      <c r="V2750">
        <v>0</v>
      </c>
      <c r="W2750">
        <v>0</v>
      </c>
      <c r="X2750">
        <v>0</v>
      </c>
      <c r="Y2750">
        <v>0</v>
      </c>
      <c r="Z2750">
        <v>0</v>
      </c>
      <c r="AA2750">
        <v>0</v>
      </c>
      <c r="AB2750">
        <v>0</v>
      </c>
      <c r="AC2750">
        <v>0</v>
      </c>
      <c r="AD2750">
        <v>0</v>
      </c>
      <c r="AE2750">
        <v>0</v>
      </c>
      <c r="AF2750">
        <v>0</v>
      </c>
      <c r="AG2750">
        <v>0</v>
      </c>
      <c r="AH2750">
        <v>0</v>
      </c>
      <c r="AI2750">
        <v>0</v>
      </c>
      <c r="AJ2750">
        <v>0</v>
      </c>
      <c r="AK2750">
        <v>0</v>
      </c>
      <c r="AL2750">
        <v>0</v>
      </c>
      <c r="AM2750">
        <v>0</v>
      </c>
      <c r="AN2750">
        <v>0</v>
      </c>
      <c r="AO2750">
        <v>0</v>
      </c>
      <c r="AP2750">
        <v>0</v>
      </c>
      <c r="AQ2750">
        <v>21.38</v>
      </c>
      <c r="AR2750">
        <v>0</v>
      </c>
      <c r="AS2750">
        <v>0</v>
      </c>
      <c r="AT2750">
        <v>0</v>
      </c>
      <c r="AU2750">
        <v>0</v>
      </c>
      <c r="AV2750">
        <v>0</v>
      </c>
      <c r="AW2750">
        <v>0</v>
      </c>
      <c r="AX2750">
        <v>0</v>
      </c>
      <c r="AY2750">
        <v>0</v>
      </c>
      <c r="AZ2750">
        <v>0</v>
      </c>
      <c r="BA2750">
        <v>0</v>
      </c>
      <c r="BB2750">
        <v>0</v>
      </c>
      <c r="BC2750">
        <v>0</v>
      </c>
      <c r="BD2750">
        <v>0</v>
      </c>
      <c r="BE2750">
        <v>0</v>
      </c>
      <c r="BF2750">
        <v>0</v>
      </c>
      <c r="BG2750">
        <v>0</v>
      </c>
      <c r="BH2750">
        <v>1</v>
      </c>
      <c r="BI2750">
        <v>1</v>
      </c>
      <c r="BJ2750">
        <v>0.2</v>
      </c>
      <c r="BK2750">
        <v>1</v>
      </c>
      <c r="BL2750">
        <v>69.98</v>
      </c>
      <c r="BM2750">
        <v>10.5</v>
      </c>
      <c r="BN2750">
        <v>80.48</v>
      </c>
      <c r="BO2750">
        <v>80.48</v>
      </c>
      <c r="BQ2750" t="s">
        <v>544</v>
      </c>
      <c r="BR2750" t="s">
        <v>84</v>
      </c>
      <c r="BS2750" s="3">
        <v>45799</v>
      </c>
      <c r="BT2750" s="4">
        <v>0.40625</v>
      </c>
      <c r="BU2750" t="s">
        <v>1764</v>
      </c>
      <c r="BV2750" t="s">
        <v>86</v>
      </c>
      <c r="BY2750">
        <v>1200</v>
      </c>
      <c r="CA2750" t="s">
        <v>283</v>
      </c>
      <c r="CC2750" t="s">
        <v>91</v>
      </c>
      <c r="CD2750">
        <v>6001</v>
      </c>
      <c r="CE2750" t="s">
        <v>88</v>
      </c>
      <c r="CF2750" s="3">
        <v>45799</v>
      </c>
      <c r="CI2750">
        <v>1</v>
      </c>
      <c r="CJ2750">
        <v>1</v>
      </c>
      <c r="CK2750">
        <v>21</v>
      </c>
      <c r="CL2750" t="s">
        <v>89</v>
      </c>
    </row>
    <row r="2751" spans="1:90" x14ac:dyDescent="0.3">
      <c r="A2751" t="s">
        <v>72</v>
      </c>
      <c r="B2751" t="s">
        <v>73</v>
      </c>
      <c r="C2751" t="s">
        <v>74</v>
      </c>
      <c r="E2751" t="str">
        <f>"080065496468"</f>
        <v>080065496468</v>
      </c>
      <c r="F2751" s="3">
        <v>45798</v>
      </c>
      <c r="G2751">
        <v>202602</v>
      </c>
      <c r="H2751" t="s">
        <v>75</v>
      </c>
      <c r="I2751" t="s">
        <v>76</v>
      </c>
      <c r="J2751" t="s">
        <v>77</v>
      </c>
      <c r="K2751" t="s">
        <v>78</v>
      </c>
      <c r="L2751" t="s">
        <v>90</v>
      </c>
      <c r="M2751" t="s">
        <v>91</v>
      </c>
      <c r="N2751" t="s">
        <v>639</v>
      </c>
      <c r="O2751" t="s">
        <v>300</v>
      </c>
      <c r="P2751" t="str">
        <f>"4170039778                    "</f>
        <v xml:space="preserve">4170039778                    </v>
      </c>
      <c r="Q2751">
        <v>0</v>
      </c>
      <c r="R2751">
        <v>0</v>
      </c>
      <c r="S2751">
        <v>0</v>
      </c>
      <c r="T2751">
        <v>0</v>
      </c>
      <c r="U2751">
        <v>0</v>
      </c>
      <c r="V2751">
        <v>0</v>
      </c>
      <c r="W2751">
        <v>0</v>
      </c>
      <c r="X2751">
        <v>0</v>
      </c>
      <c r="Y2751">
        <v>0</v>
      </c>
      <c r="Z2751">
        <v>0</v>
      </c>
      <c r="AA2751">
        <v>0</v>
      </c>
      <c r="AB2751">
        <v>0</v>
      </c>
      <c r="AC2751">
        <v>0</v>
      </c>
      <c r="AD2751">
        <v>0</v>
      </c>
      <c r="AE2751">
        <v>0</v>
      </c>
      <c r="AF2751">
        <v>0</v>
      </c>
      <c r="AG2751">
        <v>0</v>
      </c>
      <c r="AH2751">
        <v>0</v>
      </c>
      <c r="AI2751">
        <v>0</v>
      </c>
      <c r="AJ2751">
        <v>0</v>
      </c>
      <c r="AK2751">
        <v>0</v>
      </c>
      <c r="AL2751">
        <v>0</v>
      </c>
      <c r="AM2751">
        <v>0</v>
      </c>
      <c r="AN2751">
        <v>0</v>
      </c>
      <c r="AO2751">
        <v>0</v>
      </c>
      <c r="AP2751">
        <v>0</v>
      </c>
      <c r="AQ2751">
        <v>55.01</v>
      </c>
      <c r="AR2751">
        <v>0</v>
      </c>
      <c r="AS2751">
        <v>0</v>
      </c>
      <c r="AT2751">
        <v>0</v>
      </c>
      <c r="AU2751">
        <v>0</v>
      </c>
      <c r="AV2751">
        <v>0</v>
      </c>
      <c r="AW2751">
        <v>0</v>
      </c>
      <c r="AX2751">
        <v>0</v>
      </c>
      <c r="AY2751">
        <v>0</v>
      </c>
      <c r="AZ2751">
        <v>0</v>
      </c>
      <c r="BA2751">
        <v>0</v>
      </c>
      <c r="BB2751">
        <v>0</v>
      </c>
      <c r="BC2751">
        <v>0</v>
      </c>
      <c r="BD2751">
        <v>0</v>
      </c>
      <c r="BE2751">
        <v>0</v>
      </c>
      <c r="BF2751">
        <v>0</v>
      </c>
      <c r="BG2751">
        <v>0</v>
      </c>
      <c r="BH2751">
        <v>1</v>
      </c>
      <c r="BI2751">
        <v>23</v>
      </c>
      <c r="BJ2751">
        <v>17.7</v>
      </c>
      <c r="BK2751">
        <v>23</v>
      </c>
      <c r="BL2751">
        <v>185.6</v>
      </c>
      <c r="BM2751">
        <v>27.84</v>
      </c>
      <c r="BN2751">
        <v>213.44</v>
      </c>
      <c r="BO2751">
        <v>213.44</v>
      </c>
      <c r="BQ2751" t="s">
        <v>640</v>
      </c>
      <c r="BR2751" t="s">
        <v>84</v>
      </c>
      <c r="BS2751" s="3">
        <v>45800</v>
      </c>
      <c r="BT2751" s="4">
        <v>0.3972222222222222</v>
      </c>
      <c r="BU2751" t="s">
        <v>2820</v>
      </c>
      <c r="BV2751" t="s">
        <v>86</v>
      </c>
      <c r="BY2751">
        <v>88320</v>
      </c>
      <c r="CA2751" t="s">
        <v>271</v>
      </c>
      <c r="CC2751" t="s">
        <v>91</v>
      </c>
      <c r="CD2751">
        <v>6001</v>
      </c>
      <c r="CE2751" t="s">
        <v>96</v>
      </c>
      <c r="CF2751" s="3">
        <v>45800</v>
      </c>
      <c r="CI2751">
        <v>3</v>
      </c>
      <c r="CJ2751">
        <v>2</v>
      </c>
      <c r="CK2751">
        <v>41</v>
      </c>
      <c r="CL2751" t="s">
        <v>89</v>
      </c>
    </row>
    <row r="2752" spans="1:90" x14ac:dyDescent="0.3">
      <c r="A2752" t="s">
        <v>72</v>
      </c>
      <c r="B2752" t="s">
        <v>73</v>
      </c>
      <c r="C2752" t="s">
        <v>74</v>
      </c>
      <c r="E2752" t="str">
        <f>"080065496477"</f>
        <v>080065496477</v>
      </c>
      <c r="F2752" s="3">
        <v>45798</v>
      </c>
      <c r="G2752">
        <v>202602</v>
      </c>
      <c r="H2752" t="s">
        <v>75</v>
      </c>
      <c r="I2752" t="s">
        <v>76</v>
      </c>
      <c r="J2752" t="s">
        <v>77</v>
      </c>
      <c r="K2752" t="s">
        <v>78</v>
      </c>
      <c r="L2752" t="s">
        <v>130</v>
      </c>
      <c r="M2752" t="s">
        <v>131</v>
      </c>
      <c r="N2752" t="s">
        <v>897</v>
      </c>
      <c r="O2752" t="s">
        <v>82</v>
      </c>
      <c r="P2752" t="str">
        <f>"4170039998                    "</f>
        <v xml:space="preserve">4170039998                    </v>
      </c>
      <c r="Q2752">
        <v>0</v>
      </c>
      <c r="R2752">
        <v>0</v>
      </c>
      <c r="S2752">
        <v>0</v>
      </c>
      <c r="T2752">
        <v>0</v>
      </c>
      <c r="U2752">
        <v>0</v>
      </c>
      <c r="V2752">
        <v>0</v>
      </c>
      <c r="W2752">
        <v>0</v>
      </c>
      <c r="X2752">
        <v>0</v>
      </c>
      <c r="Y2752">
        <v>0</v>
      </c>
      <c r="Z2752">
        <v>0</v>
      </c>
      <c r="AA2752">
        <v>0</v>
      </c>
      <c r="AB2752">
        <v>0</v>
      </c>
      <c r="AC2752">
        <v>0</v>
      </c>
      <c r="AD2752">
        <v>0</v>
      </c>
      <c r="AE2752">
        <v>0</v>
      </c>
      <c r="AF2752">
        <v>0</v>
      </c>
      <c r="AG2752">
        <v>0</v>
      </c>
      <c r="AH2752">
        <v>0</v>
      </c>
      <c r="AI2752">
        <v>0</v>
      </c>
      <c r="AJ2752">
        <v>0</v>
      </c>
      <c r="AK2752">
        <v>0</v>
      </c>
      <c r="AL2752">
        <v>0</v>
      </c>
      <c r="AM2752">
        <v>0</v>
      </c>
      <c r="AN2752">
        <v>0</v>
      </c>
      <c r="AO2752">
        <v>0</v>
      </c>
      <c r="AP2752">
        <v>0</v>
      </c>
      <c r="AQ2752">
        <v>85.48</v>
      </c>
      <c r="AR2752">
        <v>0</v>
      </c>
      <c r="AS2752">
        <v>0</v>
      </c>
      <c r="AT2752">
        <v>0</v>
      </c>
      <c r="AU2752">
        <v>0</v>
      </c>
      <c r="AV2752">
        <v>0</v>
      </c>
      <c r="AW2752">
        <v>0</v>
      </c>
      <c r="AX2752">
        <v>0</v>
      </c>
      <c r="AY2752">
        <v>0</v>
      </c>
      <c r="AZ2752">
        <v>0</v>
      </c>
      <c r="BA2752">
        <v>0</v>
      </c>
      <c r="BB2752">
        <v>0</v>
      </c>
      <c r="BC2752">
        <v>0</v>
      </c>
      <c r="BD2752">
        <v>0</v>
      </c>
      <c r="BE2752">
        <v>0</v>
      </c>
      <c r="BF2752">
        <v>0</v>
      </c>
      <c r="BG2752">
        <v>0</v>
      </c>
      <c r="BH2752">
        <v>1</v>
      </c>
      <c r="BI2752">
        <v>8</v>
      </c>
      <c r="BJ2752">
        <v>4.0999999999999996</v>
      </c>
      <c r="BK2752">
        <v>8</v>
      </c>
      <c r="BL2752">
        <v>279.76</v>
      </c>
      <c r="BM2752">
        <v>41.96</v>
      </c>
      <c r="BN2752">
        <v>321.72000000000003</v>
      </c>
      <c r="BO2752">
        <v>321.72000000000003</v>
      </c>
      <c r="BQ2752" t="s">
        <v>898</v>
      </c>
      <c r="BR2752" t="s">
        <v>84</v>
      </c>
      <c r="BS2752" s="3">
        <v>45799</v>
      </c>
      <c r="BT2752" s="4">
        <v>0.59861111111111109</v>
      </c>
      <c r="BU2752" t="s">
        <v>899</v>
      </c>
      <c r="BV2752" t="s">
        <v>89</v>
      </c>
      <c r="BY2752">
        <v>20358</v>
      </c>
      <c r="CA2752" t="s">
        <v>901</v>
      </c>
      <c r="CC2752" t="s">
        <v>131</v>
      </c>
      <c r="CD2752">
        <v>7550</v>
      </c>
      <c r="CE2752" t="s">
        <v>96</v>
      </c>
      <c r="CF2752" s="3">
        <v>45800</v>
      </c>
      <c r="CI2752">
        <v>1</v>
      </c>
      <c r="CJ2752">
        <v>1</v>
      </c>
      <c r="CK2752">
        <v>21</v>
      </c>
      <c r="CL2752" t="s">
        <v>89</v>
      </c>
    </row>
    <row r="2753" spans="1:90" x14ac:dyDescent="0.3">
      <c r="A2753" t="s">
        <v>72</v>
      </c>
      <c r="B2753" t="s">
        <v>73</v>
      </c>
      <c r="C2753" t="s">
        <v>74</v>
      </c>
      <c r="E2753" t="str">
        <f>"080065496493"</f>
        <v>080065496493</v>
      </c>
      <c r="F2753" s="3">
        <v>45798</v>
      </c>
      <c r="G2753">
        <v>202602</v>
      </c>
      <c r="H2753" t="s">
        <v>75</v>
      </c>
      <c r="I2753" t="s">
        <v>76</v>
      </c>
      <c r="J2753" t="s">
        <v>77</v>
      </c>
      <c r="K2753" t="s">
        <v>78</v>
      </c>
      <c r="L2753" t="s">
        <v>130</v>
      </c>
      <c r="M2753" t="s">
        <v>131</v>
      </c>
      <c r="N2753" t="s">
        <v>343</v>
      </c>
      <c r="O2753" t="s">
        <v>82</v>
      </c>
      <c r="P2753" t="str">
        <f>"4170039982                    "</f>
        <v xml:space="preserve">4170039982                    </v>
      </c>
      <c r="Q2753">
        <v>0</v>
      </c>
      <c r="R2753">
        <v>0</v>
      </c>
      <c r="S2753">
        <v>0</v>
      </c>
      <c r="T2753">
        <v>0</v>
      </c>
      <c r="U2753">
        <v>0</v>
      </c>
      <c r="V2753">
        <v>0</v>
      </c>
      <c r="W2753">
        <v>0</v>
      </c>
      <c r="X2753">
        <v>0</v>
      </c>
      <c r="Y2753">
        <v>0</v>
      </c>
      <c r="Z2753">
        <v>0</v>
      </c>
      <c r="AA2753">
        <v>0</v>
      </c>
      <c r="AB2753">
        <v>0</v>
      </c>
      <c r="AC2753">
        <v>0</v>
      </c>
      <c r="AD2753">
        <v>0</v>
      </c>
      <c r="AE2753">
        <v>0</v>
      </c>
      <c r="AF2753">
        <v>0</v>
      </c>
      <c r="AG2753">
        <v>0</v>
      </c>
      <c r="AH2753">
        <v>0</v>
      </c>
      <c r="AI2753">
        <v>0</v>
      </c>
      <c r="AJ2753">
        <v>0</v>
      </c>
      <c r="AK2753">
        <v>0</v>
      </c>
      <c r="AL2753">
        <v>0</v>
      </c>
      <c r="AM2753">
        <v>0</v>
      </c>
      <c r="AN2753">
        <v>0</v>
      </c>
      <c r="AO2753">
        <v>0</v>
      </c>
      <c r="AP2753">
        <v>0</v>
      </c>
      <c r="AQ2753">
        <v>112.19</v>
      </c>
      <c r="AR2753">
        <v>0</v>
      </c>
      <c r="AS2753">
        <v>0</v>
      </c>
      <c r="AT2753">
        <v>0</v>
      </c>
      <c r="AU2753">
        <v>0</v>
      </c>
      <c r="AV2753">
        <v>0</v>
      </c>
      <c r="AW2753">
        <v>0</v>
      </c>
      <c r="AX2753">
        <v>0</v>
      </c>
      <c r="AY2753">
        <v>0</v>
      </c>
      <c r="AZ2753">
        <v>0</v>
      </c>
      <c r="BA2753">
        <v>0</v>
      </c>
      <c r="BB2753">
        <v>0</v>
      </c>
      <c r="BC2753">
        <v>0</v>
      </c>
      <c r="BD2753">
        <v>0</v>
      </c>
      <c r="BE2753">
        <v>0</v>
      </c>
      <c r="BF2753">
        <v>0</v>
      </c>
      <c r="BG2753">
        <v>0</v>
      </c>
      <c r="BH2753">
        <v>1</v>
      </c>
      <c r="BI2753">
        <v>7</v>
      </c>
      <c r="BJ2753">
        <v>10.5</v>
      </c>
      <c r="BK2753">
        <v>10.5</v>
      </c>
      <c r="BL2753">
        <v>367.17</v>
      </c>
      <c r="BM2753">
        <v>55.08</v>
      </c>
      <c r="BN2753">
        <v>422.25</v>
      </c>
      <c r="BO2753">
        <v>422.25</v>
      </c>
      <c r="BQ2753" t="s">
        <v>344</v>
      </c>
      <c r="BR2753" t="s">
        <v>84</v>
      </c>
      <c r="BS2753" s="3">
        <v>45799</v>
      </c>
      <c r="BT2753" s="4">
        <v>0.40069444444444446</v>
      </c>
      <c r="BU2753" t="s">
        <v>345</v>
      </c>
      <c r="BV2753" t="s">
        <v>86</v>
      </c>
      <c r="BY2753">
        <v>52734</v>
      </c>
      <c r="CA2753" t="s">
        <v>242</v>
      </c>
      <c r="CC2753" t="s">
        <v>131</v>
      </c>
      <c r="CD2753">
        <v>7441</v>
      </c>
      <c r="CE2753" t="s">
        <v>221</v>
      </c>
      <c r="CF2753" s="3">
        <v>45800</v>
      </c>
      <c r="CI2753">
        <v>1</v>
      </c>
      <c r="CJ2753">
        <v>1</v>
      </c>
      <c r="CK2753">
        <v>21</v>
      </c>
      <c r="CL2753" t="s">
        <v>89</v>
      </c>
    </row>
    <row r="2754" spans="1:90" x14ac:dyDescent="0.3">
      <c r="A2754" t="s">
        <v>72</v>
      </c>
      <c r="B2754" t="s">
        <v>73</v>
      </c>
      <c r="C2754" t="s">
        <v>74</v>
      </c>
      <c r="E2754" t="str">
        <f>"080065496527"</f>
        <v>080065496527</v>
      </c>
      <c r="F2754" s="3">
        <v>45798</v>
      </c>
      <c r="G2754">
        <v>202602</v>
      </c>
      <c r="H2754" t="s">
        <v>75</v>
      </c>
      <c r="I2754" t="s">
        <v>76</v>
      </c>
      <c r="J2754" t="s">
        <v>77</v>
      </c>
      <c r="K2754" t="s">
        <v>78</v>
      </c>
      <c r="L2754" t="s">
        <v>143</v>
      </c>
      <c r="M2754" t="s">
        <v>144</v>
      </c>
      <c r="N2754" t="s">
        <v>547</v>
      </c>
      <c r="O2754" t="s">
        <v>82</v>
      </c>
      <c r="P2754" t="str">
        <f>"4170039898                    "</f>
        <v xml:space="preserve">4170039898                    </v>
      </c>
      <c r="Q2754">
        <v>0</v>
      </c>
      <c r="R2754">
        <v>0</v>
      </c>
      <c r="S2754">
        <v>0</v>
      </c>
      <c r="T2754">
        <v>0</v>
      </c>
      <c r="U2754">
        <v>0</v>
      </c>
      <c r="V2754">
        <v>0</v>
      </c>
      <c r="W2754">
        <v>0</v>
      </c>
      <c r="X2754">
        <v>0</v>
      </c>
      <c r="Y2754">
        <v>0</v>
      </c>
      <c r="Z2754">
        <v>0</v>
      </c>
      <c r="AA2754">
        <v>0</v>
      </c>
      <c r="AB2754">
        <v>0</v>
      </c>
      <c r="AC2754">
        <v>0</v>
      </c>
      <c r="AD2754">
        <v>0</v>
      </c>
      <c r="AE2754">
        <v>0</v>
      </c>
      <c r="AF2754">
        <v>0</v>
      </c>
      <c r="AG2754">
        <v>0</v>
      </c>
      <c r="AH2754">
        <v>0</v>
      </c>
      <c r="AI2754">
        <v>0</v>
      </c>
      <c r="AJ2754">
        <v>0</v>
      </c>
      <c r="AK2754">
        <v>0</v>
      </c>
      <c r="AL2754">
        <v>0</v>
      </c>
      <c r="AM2754">
        <v>0</v>
      </c>
      <c r="AN2754">
        <v>0</v>
      </c>
      <c r="AO2754">
        <v>0</v>
      </c>
      <c r="AP2754">
        <v>0</v>
      </c>
      <c r="AQ2754">
        <v>16.7</v>
      </c>
      <c r="AR2754">
        <v>0</v>
      </c>
      <c r="AS2754">
        <v>0</v>
      </c>
      <c r="AT2754">
        <v>0</v>
      </c>
      <c r="AU2754">
        <v>0</v>
      </c>
      <c r="AV2754">
        <v>0</v>
      </c>
      <c r="AW2754">
        <v>0</v>
      </c>
      <c r="AX2754">
        <v>0</v>
      </c>
      <c r="AY2754">
        <v>0</v>
      </c>
      <c r="AZ2754">
        <v>0</v>
      </c>
      <c r="BA2754">
        <v>0</v>
      </c>
      <c r="BB2754">
        <v>0</v>
      </c>
      <c r="BC2754">
        <v>0</v>
      </c>
      <c r="BD2754">
        <v>0</v>
      </c>
      <c r="BE2754">
        <v>0</v>
      </c>
      <c r="BF2754">
        <v>0</v>
      </c>
      <c r="BG2754">
        <v>0</v>
      </c>
      <c r="BH2754">
        <v>1</v>
      </c>
      <c r="BI2754">
        <v>7</v>
      </c>
      <c r="BJ2754">
        <v>4.0999999999999996</v>
      </c>
      <c r="BK2754">
        <v>7</v>
      </c>
      <c r="BL2754">
        <v>54.66</v>
      </c>
      <c r="BM2754">
        <v>8.1999999999999993</v>
      </c>
      <c r="BN2754">
        <v>62.86</v>
      </c>
      <c r="BO2754">
        <v>62.86</v>
      </c>
      <c r="BQ2754" t="s">
        <v>548</v>
      </c>
      <c r="BR2754" t="s">
        <v>84</v>
      </c>
      <c r="BS2754" s="3">
        <v>45799</v>
      </c>
      <c r="BT2754" s="4">
        <v>0.3923611111111111</v>
      </c>
      <c r="BU2754" t="s">
        <v>2877</v>
      </c>
      <c r="BV2754" t="s">
        <v>86</v>
      </c>
      <c r="BY2754">
        <v>20358</v>
      </c>
      <c r="CA2754" t="s">
        <v>825</v>
      </c>
      <c r="CC2754" t="s">
        <v>144</v>
      </c>
      <c r="CD2754">
        <v>1401</v>
      </c>
      <c r="CE2754" t="s">
        <v>96</v>
      </c>
      <c r="CF2754" s="3">
        <v>45799</v>
      </c>
      <c r="CI2754">
        <v>1</v>
      </c>
      <c r="CJ2754">
        <v>1</v>
      </c>
      <c r="CK2754">
        <v>22</v>
      </c>
      <c r="CL2754" t="s">
        <v>89</v>
      </c>
    </row>
    <row r="2755" spans="1:90" x14ac:dyDescent="0.3">
      <c r="A2755" t="s">
        <v>72</v>
      </c>
      <c r="B2755" t="s">
        <v>73</v>
      </c>
      <c r="C2755" t="s">
        <v>74</v>
      </c>
      <c r="E2755" t="str">
        <f>"080065496582"</f>
        <v>080065496582</v>
      </c>
      <c r="F2755" s="3">
        <v>45798</v>
      </c>
      <c r="G2755">
        <v>202602</v>
      </c>
      <c r="H2755" t="s">
        <v>75</v>
      </c>
      <c r="I2755" t="s">
        <v>76</v>
      </c>
      <c r="J2755" t="s">
        <v>77</v>
      </c>
      <c r="K2755" t="s">
        <v>78</v>
      </c>
      <c r="L2755" t="s">
        <v>2759</v>
      </c>
      <c r="M2755" t="s">
        <v>2760</v>
      </c>
      <c r="N2755" t="s">
        <v>2761</v>
      </c>
      <c r="O2755" t="s">
        <v>82</v>
      </c>
      <c r="P2755" t="str">
        <f>"4170040007                    "</f>
        <v xml:space="preserve">4170040007                    </v>
      </c>
      <c r="Q2755">
        <v>0</v>
      </c>
      <c r="R2755">
        <v>0</v>
      </c>
      <c r="S2755">
        <v>0</v>
      </c>
      <c r="T2755">
        <v>0</v>
      </c>
      <c r="U2755">
        <v>0</v>
      </c>
      <c r="V2755">
        <v>0</v>
      </c>
      <c r="W2755">
        <v>0</v>
      </c>
      <c r="X2755">
        <v>0</v>
      </c>
      <c r="Y2755">
        <v>0</v>
      </c>
      <c r="Z2755">
        <v>0</v>
      </c>
      <c r="AA2755">
        <v>0</v>
      </c>
      <c r="AB2755">
        <v>0</v>
      </c>
      <c r="AC2755">
        <v>0</v>
      </c>
      <c r="AD2755">
        <v>0</v>
      </c>
      <c r="AE2755">
        <v>0</v>
      </c>
      <c r="AF2755">
        <v>0</v>
      </c>
      <c r="AG2755">
        <v>0</v>
      </c>
      <c r="AH2755">
        <v>0</v>
      </c>
      <c r="AI2755">
        <v>0</v>
      </c>
      <c r="AJ2755">
        <v>0</v>
      </c>
      <c r="AK2755">
        <v>0</v>
      </c>
      <c r="AL2755">
        <v>0</v>
      </c>
      <c r="AM2755">
        <v>0</v>
      </c>
      <c r="AN2755">
        <v>0</v>
      </c>
      <c r="AO2755">
        <v>0</v>
      </c>
      <c r="AP2755">
        <v>0</v>
      </c>
      <c r="AQ2755">
        <v>41.43</v>
      </c>
      <c r="AR2755">
        <v>0</v>
      </c>
      <c r="AS2755">
        <v>0</v>
      </c>
      <c r="AT2755">
        <v>0</v>
      </c>
      <c r="AU2755">
        <v>0</v>
      </c>
      <c r="AV2755">
        <v>0</v>
      </c>
      <c r="AW2755">
        <v>0</v>
      </c>
      <c r="AX2755">
        <v>0</v>
      </c>
      <c r="AY2755">
        <v>0</v>
      </c>
      <c r="AZ2755">
        <v>0</v>
      </c>
      <c r="BA2755">
        <v>0</v>
      </c>
      <c r="BB2755">
        <v>0</v>
      </c>
      <c r="BC2755">
        <v>0</v>
      </c>
      <c r="BD2755">
        <v>0</v>
      </c>
      <c r="BE2755">
        <v>0</v>
      </c>
      <c r="BF2755">
        <v>0</v>
      </c>
      <c r="BG2755">
        <v>0</v>
      </c>
      <c r="BH2755">
        <v>1</v>
      </c>
      <c r="BI2755">
        <v>1</v>
      </c>
      <c r="BJ2755">
        <v>0.2</v>
      </c>
      <c r="BK2755">
        <v>1</v>
      </c>
      <c r="BL2755">
        <v>135.59</v>
      </c>
      <c r="BM2755">
        <v>20.34</v>
      </c>
      <c r="BN2755">
        <v>155.93</v>
      </c>
      <c r="BO2755">
        <v>155.93</v>
      </c>
      <c r="BQ2755" t="s">
        <v>2762</v>
      </c>
      <c r="BR2755" t="s">
        <v>84</v>
      </c>
      <c r="BS2755" t="s">
        <v>1540</v>
      </c>
      <c r="BY2755">
        <v>1200</v>
      </c>
      <c r="CC2755" t="s">
        <v>2760</v>
      </c>
      <c r="CD2755">
        <v>4170</v>
      </c>
      <c r="CE2755" t="s">
        <v>88</v>
      </c>
      <c r="CI2755">
        <v>1</v>
      </c>
      <c r="CJ2755" t="s">
        <v>1540</v>
      </c>
      <c r="CK2755">
        <v>23</v>
      </c>
      <c r="CL2755" t="s">
        <v>89</v>
      </c>
    </row>
    <row r="2756" spans="1:90" x14ac:dyDescent="0.3">
      <c r="A2756" t="s">
        <v>72</v>
      </c>
      <c r="B2756" t="s">
        <v>73</v>
      </c>
      <c r="C2756" t="s">
        <v>74</v>
      </c>
      <c r="E2756" t="str">
        <f>"080065496597"</f>
        <v>080065496597</v>
      </c>
      <c r="F2756" s="3">
        <v>45798</v>
      </c>
      <c r="G2756">
        <v>202602</v>
      </c>
      <c r="H2756" t="s">
        <v>75</v>
      </c>
      <c r="I2756" t="s">
        <v>76</v>
      </c>
      <c r="J2756" t="s">
        <v>77</v>
      </c>
      <c r="K2756" t="s">
        <v>78</v>
      </c>
      <c r="L2756" t="s">
        <v>97</v>
      </c>
      <c r="M2756" t="s">
        <v>98</v>
      </c>
      <c r="N2756" t="s">
        <v>934</v>
      </c>
      <c r="O2756" t="s">
        <v>82</v>
      </c>
      <c r="P2756" t="str">
        <f>"4170039958                    "</f>
        <v xml:space="preserve">4170039958                    </v>
      </c>
      <c r="Q2756">
        <v>0</v>
      </c>
      <c r="R2756">
        <v>0</v>
      </c>
      <c r="S2756">
        <v>0</v>
      </c>
      <c r="T2756">
        <v>0</v>
      </c>
      <c r="U2756">
        <v>0</v>
      </c>
      <c r="V2756">
        <v>0</v>
      </c>
      <c r="W2756">
        <v>0</v>
      </c>
      <c r="X2756">
        <v>0</v>
      </c>
      <c r="Y2756">
        <v>0</v>
      </c>
      <c r="Z2756">
        <v>0</v>
      </c>
      <c r="AA2756">
        <v>0</v>
      </c>
      <c r="AB2756">
        <v>0</v>
      </c>
      <c r="AC2756">
        <v>0</v>
      </c>
      <c r="AD2756">
        <v>0</v>
      </c>
      <c r="AE2756">
        <v>0</v>
      </c>
      <c r="AF2756">
        <v>0</v>
      </c>
      <c r="AG2756">
        <v>0</v>
      </c>
      <c r="AH2756">
        <v>0</v>
      </c>
      <c r="AI2756">
        <v>0</v>
      </c>
      <c r="AJ2756">
        <v>0</v>
      </c>
      <c r="AK2756">
        <v>0</v>
      </c>
      <c r="AL2756">
        <v>0</v>
      </c>
      <c r="AM2756">
        <v>0</v>
      </c>
      <c r="AN2756">
        <v>0</v>
      </c>
      <c r="AO2756">
        <v>0</v>
      </c>
      <c r="AP2756">
        <v>0</v>
      </c>
      <c r="AQ2756">
        <v>16.7</v>
      </c>
      <c r="AR2756">
        <v>0</v>
      </c>
      <c r="AS2756">
        <v>0</v>
      </c>
      <c r="AT2756">
        <v>0</v>
      </c>
      <c r="AU2756">
        <v>0</v>
      </c>
      <c r="AV2756">
        <v>0</v>
      </c>
      <c r="AW2756">
        <v>0</v>
      </c>
      <c r="AX2756">
        <v>0</v>
      </c>
      <c r="AY2756">
        <v>0</v>
      </c>
      <c r="AZ2756">
        <v>0</v>
      </c>
      <c r="BA2756">
        <v>0</v>
      </c>
      <c r="BB2756">
        <v>0</v>
      </c>
      <c r="BC2756">
        <v>0</v>
      </c>
      <c r="BD2756">
        <v>0</v>
      </c>
      <c r="BE2756">
        <v>0</v>
      </c>
      <c r="BF2756">
        <v>0</v>
      </c>
      <c r="BG2756">
        <v>0</v>
      </c>
      <c r="BH2756">
        <v>1</v>
      </c>
      <c r="BI2756">
        <v>1</v>
      </c>
      <c r="BJ2756">
        <v>0.2</v>
      </c>
      <c r="BK2756">
        <v>1</v>
      </c>
      <c r="BL2756">
        <v>54.66</v>
      </c>
      <c r="BM2756">
        <v>8.1999999999999993</v>
      </c>
      <c r="BN2756">
        <v>62.86</v>
      </c>
      <c r="BO2756">
        <v>62.86</v>
      </c>
      <c r="BQ2756" t="s">
        <v>935</v>
      </c>
      <c r="BR2756" t="s">
        <v>84</v>
      </c>
      <c r="BS2756" s="3">
        <v>45799</v>
      </c>
      <c r="BT2756" s="4">
        <v>0.40138888888888891</v>
      </c>
      <c r="BU2756" t="s">
        <v>2878</v>
      </c>
      <c r="BV2756" t="s">
        <v>86</v>
      </c>
      <c r="BY2756">
        <v>1200</v>
      </c>
      <c r="CA2756" t="s">
        <v>175</v>
      </c>
      <c r="CC2756" t="s">
        <v>98</v>
      </c>
      <c r="CD2756">
        <v>1459</v>
      </c>
      <c r="CE2756" t="s">
        <v>88</v>
      </c>
      <c r="CF2756" s="3">
        <v>45799</v>
      </c>
      <c r="CI2756">
        <v>1</v>
      </c>
      <c r="CJ2756">
        <v>1</v>
      </c>
      <c r="CK2756">
        <v>22</v>
      </c>
      <c r="CL2756" t="s">
        <v>89</v>
      </c>
    </row>
    <row r="2757" spans="1:90" x14ac:dyDescent="0.3">
      <c r="A2757" t="s">
        <v>72</v>
      </c>
      <c r="B2757" t="s">
        <v>73</v>
      </c>
      <c r="C2757" t="s">
        <v>74</v>
      </c>
      <c r="E2757" t="str">
        <f>"080065496604"</f>
        <v>080065496604</v>
      </c>
      <c r="F2757" s="3">
        <v>45798</v>
      </c>
      <c r="G2757">
        <v>202602</v>
      </c>
      <c r="H2757" t="s">
        <v>75</v>
      </c>
      <c r="I2757" t="s">
        <v>76</v>
      </c>
      <c r="J2757" t="s">
        <v>77</v>
      </c>
      <c r="K2757" t="s">
        <v>78</v>
      </c>
      <c r="L2757" t="s">
        <v>130</v>
      </c>
      <c r="M2757" t="s">
        <v>131</v>
      </c>
      <c r="N2757" t="s">
        <v>709</v>
      </c>
      <c r="O2757" t="s">
        <v>82</v>
      </c>
      <c r="P2757" t="str">
        <f>"4170039981                    "</f>
        <v xml:space="preserve">4170039981                    </v>
      </c>
      <c r="Q2757">
        <v>0</v>
      </c>
      <c r="R2757">
        <v>0</v>
      </c>
      <c r="S2757">
        <v>0</v>
      </c>
      <c r="T2757">
        <v>0</v>
      </c>
      <c r="U2757">
        <v>0</v>
      </c>
      <c r="V2757">
        <v>0</v>
      </c>
      <c r="W2757">
        <v>0</v>
      </c>
      <c r="X2757">
        <v>0</v>
      </c>
      <c r="Y2757">
        <v>0</v>
      </c>
      <c r="Z2757">
        <v>0</v>
      </c>
      <c r="AA2757">
        <v>0</v>
      </c>
      <c r="AB2757">
        <v>0</v>
      </c>
      <c r="AC2757">
        <v>0</v>
      </c>
      <c r="AD2757">
        <v>0</v>
      </c>
      <c r="AE2757">
        <v>0</v>
      </c>
      <c r="AF2757">
        <v>0</v>
      </c>
      <c r="AG2757">
        <v>0</v>
      </c>
      <c r="AH2757">
        <v>0</v>
      </c>
      <c r="AI2757">
        <v>0</v>
      </c>
      <c r="AJ2757">
        <v>0</v>
      </c>
      <c r="AK2757">
        <v>0</v>
      </c>
      <c r="AL2757">
        <v>0</v>
      </c>
      <c r="AM2757">
        <v>0</v>
      </c>
      <c r="AN2757">
        <v>0</v>
      </c>
      <c r="AO2757">
        <v>0</v>
      </c>
      <c r="AP2757">
        <v>0</v>
      </c>
      <c r="AQ2757">
        <v>21.38</v>
      </c>
      <c r="AR2757">
        <v>0</v>
      </c>
      <c r="AS2757">
        <v>0</v>
      </c>
      <c r="AT2757">
        <v>0</v>
      </c>
      <c r="AU2757">
        <v>0</v>
      </c>
      <c r="AV2757">
        <v>0</v>
      </c>
      <c r="AW2757">
        <v>0</v>
      </c>
      <c r="AX2757">
        <v>0</v>
      </c>
      <c r="AY2757">
        <v>0</v>
      </c>
      <c r="AZ2757">
        <v>0</v>
      </c>
      <c r="BA2757">
        <v>0</v>
      </c>
      <c r="BB2757">
        <v>0</v>
      </c>
      <c r="BC2757">
        <v>0</v>
      </c>
      <c r="BD2757">
        <v>0</v>
      </c>
      <c r="BE2757">
        <v>0</v>
      </c>
      <c r="BF2757">
        <v>0</v>
      </c>
      <c r="BG2757">
        <v>0</v>
      </c>
      <c r="BH2757">
        <v>1</v>
      </c>
      <c r="BI2757">
        <v>1</v>
      </c>
      <c r="BJ2757">
        <v>0.2</v>
      </c>
      <c r="BK2757">
        <v>1</v>
      </c>
      <c r="BL2757">
        <v>69.98</v>
      </c>
      <c r="BM2757">
        <v>10.5</v>
      </c>
      <c r="BN2757">
        <v>80.48</v>
      </c>
      <c r="BO2757">
        <v>80.48</v>
      </c>
      <c r="BQ2757" t="s">
        <v>710</v>
      </c>
      <c r="BR2757" t="s">
        <v>84</v>
      </c>
      <c r="BS2757" s="3">
        <v>45799</v>
      </c>
      <c r="BT2757" s="4">
        <v>0.34236111111111112</v>
      </c>
      <c r="BU2757" t="s">
        <v>711</v>
      </c>
      <c r="BV2757" t="s">
        <v>86</v>
      </c>
      <c r="BY2757">
        <v>1200</v>
      </c>
      <c r="CA2757" t="s">
        <v>712</v>
      </c>
      <c r="CC2757" t="s">
        <v>131</v>
      </c>
      <c r="CD2757">
        <v>7530</v>
      </c>
      <c r="CE2757" t="s">
        <v>88</v>
      </c>
      <c r="CF2757" s="3">
        <v>45800</v>
      </c>
      <c r="CI2757">
        <v>1</v>
      </c>
      <c r="CJ2757">
        <v>1</v>
      </c>
      <c r="CK2757">
        <v>21</v>
      </c>
      <c r="CL2757" t="s">
        <v>89</v>
      </c>
    </row>
    <row r="2758" spans="1:90" x14ac:dyDescent="0.3">
      <c r="A2758" t="s">
        <v>72</v>
      </c>
      <c r="B2758" t="s">
        <v>73</v>
      </c>
      <c r="C2758" t="s">
        <v>74</v>
      </c>
      <c r="E2758" t="str">
        <f>"080065496630"</f>
        <v>080065496630</v>
      </c>
      <c r="F2758" s="3">
        <v>45798</v>
      </c>
      <c r="G2758">
        <v>202602</v>
      </c>
      <c r="H2758" t="s">
        <v>75</v>
      </c>
      <c r="I2758" t="s">
        <v>76</v>
      </c>
      <c r="J2758" t="s">
        <v>77</v>
      </c>
      <c r="K2758" t="s">
        <v>78</v>
      </c>
      <c r="L2758" t="s">
        <v>130</v>
      </c>
      <c r="M2758" t="s">
        <v>131</v>
      </c>
      <c r="N2758" t="s">
        <v>665</v>
      </c>
      <c r="O2758" t="s">
        <v>82</v>
      </c>
      <c r="P2758" t="str">
        <f>"4170039980                    "</f>
        <v xml:space="preserve">4170039980                    </v>
      </c>
      <c r="Q2758">
        <v>0</v>
      </c>
      <c r="R2758">
        <v>0</v>
      </c>
      <c r="S2758">
        <v>0</v>
      </c>
      <c r="T2758">
        <v>0</v>
      </c>
      <c r="U2758">
        <v>0</v>
      </c>
      <c r="V2758">
        <v>0</v>
      </c>
      <c r="W2758">
        <v>0</v>
      </c>
      <c r="X2758">
        <v>0</v>
      </c>
      <c r="Y2758">
        <v>0</v>
      </c>
      <c r="Z2758">
        <v>0</v>
      </c>
      <c r="AA2758">
        <v>0</v>
      </c>
      <c r="AB2758">
        <v>0</v>
      </c>
      <c r="AC2758">
        <v>0</v>
      </c>
      <c r="AD2758">
        <v>0</v>
      </c>
      <c r="AE2758">
        <v>0</v>
      </c>
      <c r="AF2758">
        <v>0</v>
      </c>
      <c r="AG2758">
        <v>0</v>
      </c>
      <c r="AH2758">
        <v>0</v>
      </c>
      <c r="AI2758">
        <v>0</v>
      </c>
      <c r="AJ2758">
        <v>0</v>
      </c>
      <c r="AK2758">
        <v>0</v>
      </c>
      <c r="AL2758">
        <v>0</v>
      </c>
      <c r="AM2758">
        <v>0</v>
      </c>
      <c r="AN2758">
        <v>0</v>
      </c>
      <c r="AO2758">
        <v>0</v>
      </c>
      <c r="AP2758">
        <v>0</v>
      </c>
      <c r="AQ2758">
        <v>21.38</v>
      </c>
      <c r="AR2758">
        <v>0</v>
      </c>
      <c r="AS2758">
        <v>0</v>
      </c>
      <c r="AT2758">
        <v>0</v>
      </c>
      <c r="AU2758">
        <v>0</v>
      </c>
      <c r="AV2758">
        <v>0</v>
      </c>
      <c r="AW2758">
        <v>0</v>
      </c>
      <c r="AX2758">
        <v>0</v>
      </c>
      <c r="AY2758">
        <v>0</v>
      </c>
      <c r="AZ2758">
        <v>0</v>
      </c>
      <c r="BA2758">
        <v>0</v>
      </c>
      <c r="BB2758">
        <v>0</v>
      </c>
      <c r="BC2758">
        <v>0</v>
      </c>
      <c r="BD2758">
        <v>0</v>
      </c>
      <c r="BE2758">
        <v>0</v>
      </c>
      <c r="BF2758">
        <v>0</v>
      </c>
      <c r="BG2758">
        <v>0</v>
      </c>
      <c r="BH2758">
        <v>1</v>
      </c>
      <c r="BI2758">
        <v>1</v>
      </c>
      <c r="BJ2758">
        <v>0.2</v>
      </c>
      <c r="BK2758">
        <v>1</v>
      </c>
      <c r="BL2758">
        <v>69.98</v>
      </c>
      <c r="BM2758">
        <v>10.5</v>
      </c>
      <c r="BN2758">
        <v>80.48</v>
      </c>
      <c r="BO2758">
        <v>80.48</v>
      </c>
      <c r="BQ2758" t="s">
        <v>666</v>
      </c>
      <c r="BR2758" t="s">
        <v>84</v>
      </c>
      <c r="BS2758" s="3">
        <v>45799</v>
      </c>
      <c r="BT2758" s="4">
        <v>0.41597222222222224</v>
      </c>
      <c r="BU2758" t="s">
        <v>2794</v>
      </c>
      <c r="BV2758" t="s">
        <v>86</v>
      </c>
      <c r="BY2758">
        <v>1200</v>
      </c>
      <c r="CA2758" t="s">
        <v>389</v>
      </c>
      <c r="CC2758" t="s">
        <v>131</v>
      </c>
      <c r="CD2758">
        <v>7535</v>
      </c>
      <c r="CE2758" t="s">
        <v>88</v>
      </c>
      <c r="CF2758" s="3">
        <v>45800</v>
      </c>
      <c r="CI2758">
        <v>1</v>
      </c>
      <c r="CJ2758">
        <v>1</v>
      </c>
      <c r="CK2758">
        <v>21</v>
      </c>
      <c r="CL2758" t="s">
        <v>89</v>
      </c>
    </row>
    <row r="2759" spans="1:90" x14ac:dyDescent="0.3">
      <c r="A2759" t="s">
        <v>72</v>
      </c>
      <c r="B2759" t="s">
        <v>73</v>
      </c>
      <c r="C2759" t="s">
        <v>74</v>
      </c>
      <c r="E2759" t="str">
        <f>"080065496633"</f>
        <v>080065496633</v>
      </c>
      <c r="F2759" s="3">
        <v>45798</v>
      </c>
      <c r="G2759">
        <v>202602</v>
      </c>
      <c r="H2759" t="s">
        <v>75</v>
      </c>
      <c r="I2759" t="s">
        <v>76</v>
      </c>
      <c r="J2759" t="s">
        <v>77</v>
      </c>
      <c r="K2759" t="s">
        <v>78</v>
      </c>
      <c r="L2759" t="s">
        <v>222</v>
      </c>
      <c r="M2759" t="s">
        <v>223</v>
      </c>
      <c r="N2759" t="s">
        <v>1369</v>
      </c>
      <c r="O2759" t="s">
        <v>82</v>
      </c>
      <c r="P2759" t="str">
        <f>"4170040022                    "</f>
        <v xml:space="preserve">4170040022                    </v>
      </c>
      <c r="Q2759">
        <v>0</v>
      </c>
      <c r="R2759">
        <v>0</v>
      </c>
      <c r="S2759">
        <v>0</v>
      </c>
      <c r="T2759">
        <v>0</v>
      </c>
      <c r="U2759">
        <v>0</v>
      </c>
      <c r="V2759">
        <v>0</v>
      </c>
      <c r="W2759">
        <v>0</v>
      </c>
      <c r="X2759">
        <v>0</v>
      </c>
      <c r="Y2759">
        <v>0</v>
      </c>
      <c r="Z2759">
        <v>0</v>
      </c>
      <c r="AA2759">
        <v>0</v>
      </c>
      <c r="AB2759">
        <v>0</v>
      </c>
      <c r="AC2759">
        <v>0</v>
      </c>
      <c r="AD2759">
        <v>0</v>
      </c>
      <c r="AE2759">
        <v>0</v>
      </c>
      <c r="AF2759">
        <v>0</v>
      </c>
      <c r="AG2759">
        <v>0</v>
      </c>
      <c r="AH2759">
        <v>0</v>
      </c>
      <c r="AI2759">
        <v>0</v>
      </c>
      <c r="AJ2759">
        <v>0</v>
      </c>
      <c r="AK2759">
        <v>0</v>
      </c>
      <c r="AL2759">
        <v>0</v>
      </c>
      <c r="AM2759">
        <v>0</v>
      </c>
      <c r="AN2759">
        <v>0</v>
      </c>
      <c r="AO2759">
        <v>0</v>
      </c>
      <c r="AP2759">
        <v>0</v>
      </c>
      <c r="AQ2759">
        <v>30.07</v>
      </c>
      <c r="AR2759">
        <v>0</v>
      </c>
      <c r="AS2759">
        <v>0</v>
      </c>
      <c r="AT2759">
        <v>0</v>
      </c>
      <c r="AU2759">
        <v>0</v>
      </c>
      <c r="AV2759">
        <v>0</v>
      </c>
      <c r="AW2759">
        <v>0</v>
      </c>
      <c r="AX2759">
        <v>0</v>
      </c>
      <c r="AY2759">
        <v>0</v>
      </c>
      <c r="AZ2759">
        <v>0</v>
      </c>
      <c r="BA2759">
        <v>0</v>
      </c>
      <c r="BB2759">
        <v>0</v>
      </c>
      <c r="BC2759">
        <v>0</v>
      </c>
      <c r="BD2759">
        <v>0</v>
      </c>
      <c r="BE2759">
        <v>0</v>
      </c>
      <c r="BF2759">
        <v>0</v>
      </c>
      <c r="BG2759">
        <v>0</v>
      </c>
      <c r="BH2759">
        <v>1</v>
      </c>
      <c r="BI2759">
        <v>1</v>
      </c>
      <c r="BJ2759">
        <v>0.2</v>
      </c>
      <c r="BK2759">
        <v>1</v>
      </c>
      <c r="BL2759">
        <v>98.42</v>
      </c>
      <c r="BM2759">
        <v>14.76</v>
      </c>
      <c r="BN2759">
        <v>113.18</v>
      </c>
      <c r="BO2759">
        <v>113.18</v>
      </c>
      <c r="BQ2759" t="s">
        <v>1370</v>
      </c>
      <c r="BR2759" t="s">
        <v>84</v>
      </c>
      <c r="BS2759" s="3">
        <v>45799</v>
      </c>
      <c r="BT2759" s="4">
        <v>0.33611111111111114</v>
      </c>
      <c r="BU2759" t="s">
        <v>2840</v>
      </c>
      <c r="BV2759" t="s">
        <v>86</v>
      </c>
      <c r="BY2759">
        <v>1200</v>
      </c>
      <c r="CA2759" t="s">
        <v>592</v>
      </c>
      <c r="CC2759" t="s">
        <v>223</v>
      </c>
      <c r="CD2759">
        <v>1748</v>
      </c>
      <c r="CE2759" t="s">
        <v>88</v>
      </c>
      <c r="CF2759" s="3">
        <v>45799</v>
      </c>
      <c r="CI2759">
        <v>1</v>
      </c>
      <c r="CJ2759">
        <v>1</v>
      </c>
      <c r="CK2759">
        <v>24</v>
      </c>
      <c r="CL2759" t="s">
        <v>89</v>
      </c>
    </row>
    <row r="2760" spans="1:90" x14ac:dyDescent="0.3">
      <c r="A2760" t="s">
        <v>72</v>
      </c>
      <c r="B2760" t="s">
        <v>73</v>
      </c>
      <c r="C2760" t="s">
        <v>74</v>
      </c>
      <c r="E2760" t="str">
        <f>"080065496666"</f>
        <v>080065496666</v>
      </c>
      <c r="F2760" s="3">
        <v>45798</v>
      </c>
      <c r="G2760">
        <v>202602</v>
      </c>
      <c r="H2760" t="s">
        <v>75</v>
      </c>
      <c r="I2760" t="s">
        <v>76</v>
      </c>
      <c r="J2760" t="s">
        <v>77</v>
      </c>
      <c r="K2760" t="s">
        <v>78</v>
      </c>
      <c r="L2760" t="s">
        <v>130</v>
      </c>
      <c r="M2760" t="s">
        <v>131</v>
      </c>
      <c r="N2760" t="s">
        <v>709</v>
      </c>
      <c r="O2760" t="s">
        <v>82</v>
      </c>
      <c r="P2760" t="str">
        <f>"4170039991                    "</f>
        <v xml:space="preserve">4170039991                    </v>
      </c>
      <c r="Q2760">
        <v>0</v>
      </c>
      <c r="R2760">
        <v>0</v>
      </c>
      <c r="S2760">
        <v>0</v>
      </c>
      <c r="T2760">
        <v>0</v>
      </c>
      <c r="U2760">
        <v>0</v>
      </c>
      <c r="V2760">
        <v>0</v>
      </c>
      <c r="W2760">
        <v>0</v>
      </c>
      <c r="X2760">
        <v>0</v>
      </c>
      <c r="Y2760">
        <v>0</v>
      </c>
      <c r="Z2760">
        <v>0</v>
      </c>
      <c r="AA2760">
        <v>0</v>
      </c>
      <c r="AB2760">
        <v>0</v>
      </c>
      <c r="AC2760">
        <v>0</v>
      </c>
      <c r="AD2760">
        <v>0</v>
      </c>
      <c r="AE2760">
        <v>0</v>
      </c>
      <c r="AF2760">
        <v>0</v>
      </c>
      <c r="AG2760">
        <v>0</v>
      </c>
      <c r="AH2760">
        <v>0</v>
      </c>
      <c r="AI2760">
        <v>0</v>
      </c>
      <c r="AJ2760">
        <v>0</v>
      </c>
      <c r="AK2760">
        <v>0</v>
      </c>
      <c r="AL2760">
        <v>0</v>
      </c>
      <c r="AM2760">
        <v>0</v>
      </c>
      <c r="AN2760">
        <v>0</v>
      </c>
      <c r="AO2760">
        <v>0</v>
      </c>
      <c r="AP2760">
        <v>0</v>
      </c>
      <c r="AQ2760">
        <v>21.38</v>
      </c>
      <c r="AR2760">
        <v>0</v>
      </c>
      <c r="AS2760">
        <v>0</v>
      </c>
      <c r="AT2760">
        <v>0</v>
      </c>
      <c r="AU2760">
        <v>0</v>
      </c>
      <c r="AV2760">
        <v>0</v>
      </c>
      <c r="AW2760">
        <v>0</v>
      </c>
      <c r="AX2760">
        <v>0</v>
      </c>
      <c r="AY2760">
        <v>0</v>
      </c>
      <c r="AZ2760">
        <v>0</v>
      </c>
      <c r="BA2760">
        <v>0</v>
      </c>
      <c r="BB2760">
        <v>0</v>
      </c>
      <c r="BC2760">
        <v>0</v>
      </c>
      <c r="BD2760">
        <v>0</v>
      </c>
      <c r="BE2760">
        <v>0</v>
      </c>
      <c r="BF2760">
        <v>0</v>
      </c>
      <c r="BG2760">
        <v>0</v>
      </c>
      <c r="BH2760">
        <v>1</v>
      </c>
      <c r="BI2760">
        <v>1</v>
      </c>
      <c r="BJ2760">
        <v>0.2</v>
      </c>
      <c r="BK2760">
        <v>1</v>
      </c>
      <c r="BL2760">
        <v>69.98</v>
      </c>
      <c r="BM2760">
        <v>10.5</v>
      </c>
      <c r="BN2760">
        <v>80.48</v>
      </c>
      <c r="BO2760">
        <v>80.48</v>
      </c>
      <c r="BQ2760" t="s">
        <v>710</v>
      </c>
      <c r="BR2760" t="s">
        <v>84</v>
      </c>
      <c r="BS2760" s="3">
        <v>45799</v>
      </c>
      <c r="BT2760" s="4">
        <v>0.34236111111111112</v>
      </c>
      <c r="BU2760" t="s">
        <v>711</v>
      </c>
      <c r="BV2760" t="s">
        <v>86</v>
      </c>
      <c r="BY2760">
        <v>1200</v>
      </c>
      <c r="CA2760" t="s">
        <v>712</v>
      </c>
      <c r="CC2760" t="s">
        <v>131</v>
      </c>
      <c r="CD2760">
        <v>7530</v>
      </c>
      <c r="CE2760" t="s">
        <v>88</v>
      </c>
      <c r="CF2760" s="3">
        <v>45800</v>
      </c>
      <c r="CI2760">
        <v>1</v>
      </c>
      <c r="CJ2760">
        <v>1</v>
      </c>
      <c r="CK2760">
        <v>21</v>
      </c>
      <c r="CL2760" t="s">
        <v>89</v>
      </c>
    </row>
    <row r="2761" spans="1:90" x14ac:dyDescent="0.3">
      <c r="A2761" t="s">
        <v>72</v>
      </c>
      <c r="B2761" t="s">
        <v>73</v>
      </c>
      <c r="C2761" t="s">
        <v>74</v>
      </c>
      <c r="E2761" t="str">
        <f>"080065496674"</f>
        <v>080065496674</v>
      </c>
      <c r="F2761" s="3">
        <v>45798</v>
      </c>
      <c r="G2761">
        <v>202602</v>
      </c>
      <c r="H2761" t="s">
        <v>75</v>
      </c>
      <c r="I2761" t="s">
        <v>76</v>
      </c>
      <c r="J2761" t="s">
        <v>77</v>
      </c>
      <c r="K2761" t="s">
        <v>78</v>
      </c>
      <c r="L2761" t="s">
        <v>350</v>
      </c>
      <c r="M2761" t="s">
        <v>351</v>
      </c>
      <c r="N2761" t="s">
        <v>459</v>
      </c>
      <c r="O2761" t="s">
        <v>82</v>
      </c>
      <c r="P2761" t="str">
        <f>"4170040012                    "</f>
        <v xml:space="preserve">4170040012                    </v>
      </c>
      <c r="Q2761">
        <v>0</v>
      </c>
      <c r="R2761">
        <v>0</v>
      </c>
      <c r="S2761">
        <v>0</v>
      </c>
      <c r="T2761">
        <v>0</v>
      </c>
      <c r="U2761">
        <v>0</v>
      </c>
      <c r="V2761">
        <v>0</v>
      </c>
      <c r="W2761">
        <v>0</v>
      </c>
      <c r="X2761">
        <v>0</v>
      </c>
      <c r="Y2761">
        <v>0</v>
      </c>
      <c r="Z2761">
        <v>0</v>
      </c>
      <c r="AA2761">
        <v>0</v>
      </c>
      <c r="AB2761">
        <v>0</v>
      </c>
      <c r="AC2761">
        <v>0</v>
      </c>
      <c r="AD2761">
        <v>0</v>
      </c>
      <c r="AE2761">
        <v>0</v>
      </c>
      <c r="AF2761">
        <v>0</v>
      </c>
      <c r="AG2761">
        <v>0</v>
      </c>
      <c r="AH2761">
        <v>0</v>
      </c>
      <c r="AI2761">
        <v>0</v>
      </c>
      <c r="AJ2761">
        <v>0</v>
      </c>
      <c r="AK2761">
        <v>0</v>
      </c>
      <c r="AL2761">
        <v>0</v>
      </c>
      <c r="AM2761">
        <v>0</v>
      </c>
      <c r="AN2761">
        <v>0</v>
      </c>
      <c r="AO2761">
        <v>0</v>
      </c>
      <c r="AP2761">
        <v>0</v>
      </c>
      <c r="AQ2761">
        <v>21.38</v>
      </c>
      <c r="AR2761">
        <v>0</v>
      </c>
      <c r="AS2761">
        <v>0</v>
      </c>
      <c r="AT2761">
        <v>0</v>
      </c>
      <c r="AU2761">
        <v>0</v>
      </c>
      <c r="AV2761">
        <v>0</v>
      </c>
      <c r="AW2761">
        <v>0</v>
      </c>
      <c r="AX2761">
        <v>0</v>
      </c>
      <c r="AY2761">
        <v>0</v>
      </c>
      <c r="AZ2761">
        <v>0</v>
      </c>
      <c r="BA2761">
        <v>0</v>
      </c>
      <c r="BB2761">
        <v>0</v>
      </c>
      <c r="BC2761">
        <v>0</v>
      </c>
      <c r="BD2761">
        <v>0</v>
      </c>
      <c r="BE2761">
        <v>0</v>
      </c>
      <c r="BF2761">
        <v>0</v>
      </c>
      <c r="BG2761">
        <v>0</v>
      </c>
      <c r="BH2761">
        <v>1</v>
      </c>
      <c r="BI2761">
        <v>1</v>
      </c>
      <c r="BJ2761">
        <v>0.2</v>
      </c>
      <c r="BK2761">
        <v>1</v>
      </c>
      <c r="BL2761">
        <v>69.98</v>
      </c>
      <c r="BM2761">
        <v>10.5</v>
      </c>
      <c r="BN2761">
        <v>80.48</v>
      </c>
      <c r="BO2761">
        <v>80.48</v>
      </c>
      <c r="BQ2761" t="s">
        <v>460</v>
      </c>
      <c r="BR2761" t="s">
        <v>84</v>
      </c>
      <c r="BS2761" s="3">
        <v>45799</v>
      </c>
      <c r="BT2761" s="4">
        <v>0.33611111111111114</v>
      </c>
      <c r="BU2761" t="s">
        <v>461</v>
      </c>
      <c r="BV2761" t="s">
        <v>86</v>
      </c>
      <c r="BY2761">
        <v>1200</v>
      </c>
      <c r="CA2761" t="s">
        <v>462</v>
      </c>
      <c r="CC2761" t="s">
        <v>351</v>
      </c>
      <c r="CD2761">
        <v>4051</v>
      </c>
      <c r="CE2761" t="s">
        <v>88</v>
      </c>
      <c r="CF2761" s="3">
        <v>45799</v>
      </c>
      <c r="CI2761">
        <v>1</v>
      </c>
      <c r="CJ2761">
        <v>1</v>
      </c>
      <c r="CK2761">
        <v>21</v>
      </c>
      <c r="CL2761" t="s">
        <v>89</v>
      </c>
    </row>
    <row r="2762" spans="1:90" x14ac:dyDescent="0.3">
      <c r="A2762" t="s">
        <v>72</v>
      </c>
      <c r="B2762" t="s">
        <v>73</v>
      </c>
      <c r="C2762" t="s">
        <v>74</v>
      </c>
      <c r="E2762" t="str">
        <f>"080065496702"</f>
        <v>080065496702</v>
      </c>
      <c r="F2762" s="3">
        <v>45798</v>
      </c>
      <c r="G2762">
        <v>202602</v>
      </c>
      <c r="H2762" t="s">
        <v>75</v>
      </c>
      <c r="I2762" t="s">
        <v>76</v>
      </c>
      <c r="J2762" t="s">
        <v>77</v>
      </c>
      <c r="K2762" t="s">
        <v>78</v>
      </c>
      <c r="L2762" t="s">
        <v>130</v>
      </c>
      <c r="M2762" t="s">
        <v>131</v>
      </c>
      <c r="N2762" t="s">
        <v>2308</v>
      </c>
      <c r="O2762" t="s">
        <v>82</v>
      </c>
      <c r="P2762" t="str">
        <f>"4170039950                    "</f>
        <v xml:space="preserve">4170039950                    </v>
      </c>
      <c r="Q2762">
        <v>0</v>
      </c>
      <c r="R2762">
        <v>0</v>
      </c>
      <c r="S2762">
        <v>0</v>
      </c>
      <c r="T2762">
        <v>0</v>
      </c>
      <c r="U2762">
        <v>0</v>
      </c>
      <c r="V2762">
        <v>0</v>
      </c>
      <c r="W2762">
        <v>0</v>
      </c>
      <c r="X2762">
        <v>0</v>
      </c>
      <c r="Y2762">
        <v>0</v>
      </c>
      <c r="Z2762">
        <v>0</v>
      </c>
      <c r="AA2762">
        <v>0</v>
      </c>
      <c r="AB2762">
        <v>0</v>
      </c>
      <c r="AC2762">
        <v>0</v>
      </c>
      <c r="AD2762">
        <v>0</v>
      </c>
      <c r="AE2762">
        <v>0</v>
      </c>
      <c r="AF2762">
        <v>0</v>
      </c>
      <c r="AG2762">
        <v>0</v>
      </c>
      <c r="AH2762">
        <v>0</v>
      </c>
      <c r="AI2762">
        <v>0</v>
      </c>
      <c r="AJ2762">
        <v>0</v>
      </c>
      <c r="AK2762">
        <v>0</v>
      </c>
      <c r="AL2762">
        <v>0</v>
      </c>
      <c r="AM2762">
        <v>0</v>
      </c>
      <c r="AN2762">
        <v>0</v>
      </c>
      <c r="AO2762">
        <v>0</v>
      </c>
      <c r="AP2762">
        <v>0</v>
      </c>
      <c r="AQ2762">
        <v>21.38</v>
      </c>
      <c r="AR2762">
        <v>0</v>
      </c>
      <c r="AS2762">
        <v>0</v>
      </c>
      <c r="AT2762">
        <v>0</v>
      </c>
      <c r="AU2762">
        <v>0</v>
      </c>
      <c r="AV2762">
        <v>0</v>
      </c>
      <c r="AW2762">
        <v>0</v>
      </c>
      <c r="AX2762">
        <v>0</v>
      </c>
      <c r="AY2762">
        <v>0</v>
      </c>
      <c r="AZ2762">
        <v>0</v>
      </c>
      <c r="BA2762">
        <v>0</v>
      </c>
      <c r="BB2762">
        <v>0</v>
      </c>
      <c r="BC2762">
        <v>0</v>
      </c>
      <c r="BD2762">
        <v>0</v>
      </c>
      <c r="BE2762">
        <v>0</v>
      </c>
      <c r="BF2762">
        <v>0</v>
      </c>
      <c r="BG2762">
        <v>0</v>
      </c>
      <c r="BH2762">
        <v>1</v>
      </c>
      <c r="BI2762">
        <v>1</v>
      </c>
      <c r="BJ2762">
        <v>0.2</v>
      </c>
      <c r="BK2762">
        <v>1</v>
      </c>
      <c r="BL2762">
        <v>69.98</v>
      </c>
      <c r="BM2762">
        <v>10.5</v>
      </c>
      <c r="BN2762">
        <v>80.48</v>
      </c>
      <c r="BO2762">
        <v>80.48</v>
      </c>
      <c r="BQ2762" t="s">
        <v>2309</v>
      </c>
      <c r="BR2762" t="s">
        <v>84</v>
      </c>
      <c r="BS2762" s="3">
        <v>45799</v>
      </c>
      <c r="BT2762" s="4">
        <v>0.40694444444444444</v>
      </c>
      <c r="BU2762" t="s">
        <v>1782</v>
      </c>
      <c r="BV2762" t="s">
        <v>86</v>
      </c>
      <c r="BY2762">
        <v>1200</v>
      </c>
      <c r="CA2762" t="s">
        <v>389</v>
      </c>
      <c r="CC2762" t="s">
        <v>131</v>
      </c>
      <c r="CD2762">
        <v>7530</v>
      </c>
      <c r="CE2762" t="s">
        <v>88</v>
      </c>
      <c r="CF2762" s="3">
        <v>45800</v>
      </c>
      <c r="CI2762">
        <v>1</v>
      </c>
      <c r="CJ2762">
        <v>1</v>
      </c>
      <c r="CK2762">
        <v>21</v>
      </c>
      <c r="CL2762" t="s">
        <v>89</v>
      </c>
    </row>
    <row r="2763" spans="1:90" x14ac:dyDescent="0.3">
      <c r="A2763" t="s">
        <v>72</v>
      </c>
      <c r="B2763" t="s">
        <v>73</v>
      </c>
      <c r="C2763" t="s">
        <v>74</v>
      </c>
      <c r="E2763" t="str">
        <f>"080065496708"</f>
        <v>080065496708</v>
      </c>
      <c r="F2763" s="3">
        <v>45798</v>
      </c>
      <c r="G2763">
        <v>202602</v>
      </c>
      <c r="H2763" t="s">
        <v>75</v>
      </c>
      <c r="I2763" t="s">
        <v>76</v>
      </c>
      <c r="J2763" t="s">
        <v>77</v>
      </c>
      <c r="K2763" t="s">
        <v>78</v>
      </c>
      <c r="L2763" t="s">
        <v>232</v>
      </c>
      <c r="M2763" t="s">
        <v>233</v>
      </c>
      <c r="N2763" t="s">
        <v>1147</v>
      </c>
      <c r="O2763" t="s">
        <v>82</v>
      </c>
      <c r="P2763" t="str">
        <f>"4170039984                    "</f>
        <v xml:space="preserve">4170039984                    </v>
      </c>
      <c r="Q2763">
        <v>0</v>
      </c>
      <c r="R2763">
        <v>0</v>
      </c>
      <c r="S2763">
        <v>0</v>
      </c>
      <c r="T2763">
        <v>0</v>
      </c>
      <c r="U2763">
        <v>0</v>
      </c>
      <c r="V2763">
        <v>0</v>
      </c>
      <c r="W2763">
        <v>0</v>
      </c>
      <c r="X2763">
        <v>0</v>
      </c>
      <c r="Y2763">
        <v>0</v>
      </c>
      <c r="Z2763">
        <v>0</v>
      </c>
      <c r="AA2763">
        <v>0</v>
      </c>
      <c r="AB2763">
        <v>0</v>
      </c>
      <c r="AC2763">
        <v>0</v>
      </c>
      <c r="AD2763">
        <v>0</v>
      </c>
      <c r="AE2763">
        <v>0</v>
      </c>
      <c r="AF2763">
        <v>0</v>
      </c>
      <c r="AG2763">
        <v>0</v>
      </c>
      <c r="AH2763">
        <v>0</v>
      </c>
      <c r="AI2763">
        <v>0</v>
      </c>
      <c r="AJ2763">
        <v>0</v>
      </c>
      <c r="AK2763">
        <v>0</v>
      </c>
      <c r="AL2763">
        <v>0</v>
      </c>
      <c r="AM2763">
        <v>0</v>
      </c>
      <c r="AN2763">
        <v>0</v>
      </c>
      <c r="AO2763">
        <v>0</v>
      </c>
      <c r="AP2763">
        <v>0</v>
      </c>
      <c r="AQ2763">
        <v>21.38</v>
      </c>
      <c r="AR2763">
        <v>0</v>
      </c>
      <c r="AS2763">
        <v>0</v>
      </c>
      <c r="AT2763">
        <v>0</v>
      </c>
      <c r="AU2763">
        <v>0</v>
      </c>
      <c r="AV2763">
        <v>0</v>
      </c>
      <c r="AW2763">
        <v>0</v>
      </c>
      <c r="AX2763">
        <v>0</v>
      </c>
      <c r="AY2763">
        <v>0</v>
      </c>
      <c r="AZ2763">
        <v>0</v>
      </c>
      <c r="BA2763">
        <v>0</v>
      </c>
      <c r="BB2763">
        <v>0</v>
      </c>
      <c r="BC2763">
        <v>0</v>
      </c>
      <c r="BD2763">
        <v>0</v>
      </c>
      <c r="BE2763">
        <v>0</v>
      </c>
      <c r="BF2763">
        <v>0</v>
      </c>
      <c r="BG2763">
        <v>0</v>
      </c>
      <c r="BH2763">
        <v>1</v>
      </c>
      <c r="BI2763">
        <v>1</v>
      </c>
      <c r="BJ2763">
        <v>0.2</v>
      </c>
      <c r="BK2763">
        <v>1</v>
      </c>
      <c r="BL2763">
        <v>69.98</v>
      </c>
      <c r="BM2763">
        <v>10.5</v>
      </c>
      <c r="BN2763">
        <v>80.48</v>
      </c>
      <c r="BO2763">
        <v>80.48</v>
      </c>
      <c r="BQ2763" t="s">
        <v>1148</v>
      </c>
      <c r="BR2763" t="s">
        <v>84</v>
      </c>
      <c r="BS2763" s="3">
        <v>45799</v>
      </c>
      <c r="BT2763" s="4">
        <v>0.35416666666666669</v>
      </c>
      <c r="BU2763" t="s">
        <v>2634</v>
      </c>
      <c r="BV2763" t="s">
        <v>86</v>
      </c>
      <c r="BY2763">
        <v>1200</v>
      </c>
      <c r="CA2763" t="s">
        <v>1150</v>
      </c>
      <c r="CC2763" t="s">
        <v>233</v>
      </c>
      <c r="CD2763" s="5" t="s">
        <v>238</v>
      </c>
      <c r="CE2763" t="s">
        <v>88</v>
      </c>
      <c r="CF2763" s="3">
        <v>45799</v>
      </c>
      <c r="CI2763">
        <v>1</v>
      </c>
      <c r="CJ2763">
        <v>1</v>
      </c>
      <c r="CK2763">
        <v>21</v>
      </c>
      <c r="CL2763" t="s">
        <v>89</v>
      </c>
    </row>
    <row r="2764" spans="1:90" x14ac:dyDescent="0.3">
      <c r="A2764" t="s">
        <v>72</v>
      </c>
      <c r="B2764" t="s">
        <v>73</v>
      </c>
      <c r="C2764" t="s">
        <v>74</v>
      </c>
      <c r="E2764" t="str">
        <f>"080065496719"</f>
        <v>080065496719</v>
      </c>
      <c r="F2764" s="3">
        <v>45798</v>
      </c>
      <c r="G2764">
        <v>202602</v>
      </c>
      <c r="H2764" t="s">
        <v>75</v>
      </c>
      <c r="I2764" t="s">
        <v>76</v>
      </c>
      <c r="J2764" t="s">
        <v>77</v>
      </c>
      <c r="K2764" t="s">
        <v>78</v>
      </c>
      <c r="L2764" t="s">
        <v>136</v>
      </c>
      <c r="M2764" t="s">
        <v>137</v>
      </c>
      <c r="N2764" t="s">
        <v>735</v>
      </c>
      <c r="O2764" t="s">
        <v>82</v>
      </c>
      <c r="P2764" t="str">
        <f>"4170037915                    "</f>
        <v xml:space="preserve">4170037915                    </v>
      </c>
      <c r="Q2764">
        <v>0</v>
      </c>
      <c r="R2764">
        <v>0</v>
      </c>
      <c r="S2764">
        <v>0</v>
      </c>
      <c r="T2764">
        <v>0</v>
      </c>
      <c r="U2764">
        <v>0</v>
      </c>
      <c r="V2764">
        <v>0</v>
      </c>
      <c r="W2764">
        <v>0</v>
      </c>
      <c r="X2764">
        <v>0</v>
      </c>
      <c r="Y2764">
        <v>0</v>
      </c>
      <c r="Z2764">
        <v>0</v>
      </c>
      <c r="AA2764">
        <v>0</v>
      </c>
      <c r="AB2764">
        <v>0</v>
      </c>
      <c r="AC2764">
        <v>0</v>
      </c>
      <c r="AD2764">
        <v>0</v>
      </c>
      <c r="AE2764">
        <v>0</v>
      </c>
      <c r="AF2764">
        <v>0</v>
      </c>
      <c r="AG2764">
        <v>0</v>
      </c>
      <c r="AH2764">
        <v>0</v>
      </c>
      <c r="AI2764">
        <v>0</v>
      </c>
      <c r="AJ2764">
        <v>0</v>
      </c>
      <c r="AK2764">
        <v>0</v>
      </c>
      <c r="AL2764">
        <v>0</v>
      </c>
      <c r="AM2764">
        <v>0</v>
      </c>
      <c r="AN2764">
        <v>0</v>
      </c>
      <c r="AO2764">
        <v>0</v>
      </c>
      <c r="AP2764">
        <v>0</v>
      </c>
      <c r="AQ2764">
        <v>21.38</v>
      </c>
      <c r="AR2764">
        <v>0</v>
      </c>
      <c r="AS2764">
        <v>0</v>
      </c>
      <c r="AT2764">
        <v>0</v>
      </c>
      <c r="AU2764">
        <v>0</v>
      </c>
      <c r="AV2764">
        <v>0</v>
      </c>
      <c r="AW2764">
        <v>0</v>
      </c>
      <c r="AX2764">
        <v>0</v>
      </c>
      <c r="AY2764">
        <v>0</v>
      </c>
      <c r="AZ2764">
        <v>0</v>
      </c>
      <c r="BA2764">
        <v>0</v>
      </c>
      <c r="BB2764">
        <v>0</v>
      </c>
      <c r="BC2764">
        <v>0</v>
      </c>
      <c r="BD2764">
        <v>0</v>
      </c>
      <c r="BE2764">
        <v>0</v>
      </c>
      <c r="BF2764">
        <v>0</v>
      </c>
      <c r="BG2764">
        <v>0</v>
      </c>
      <c r="BH2764">
        <v>1</v>
      </c>
      <c r="BI2764">
        <v>1</v>
      </c>
      <c r="BJ2764">
        <v>0.2</v>
      </c>
      <c r="BK2764">
        <v>1</v>
      </c>
      <c r="BL2764">
        <v>69.98</v>
      </c>
      <c r="BM2764">
        <v>10.5</v>
      </c>
      <c r="BN2764">
        <v>80.48</v>
      </c>
      <c r="BO2764">
        <v>80.48</v>
      </c>
      <c r="BQ2764" t="s">
        <v>736</v>
      </c>
      <c r="BR2764" t="s">
        <v>84</v>
      </c>
      <c r="BS2764" s="3">
        <v>45799</v>
      </c>
      <c r="BT2764" s="4">
        <v>0.37986111111111109</v>
      </c>
      <c r="BU2764" t="s">
        <v>739</v>
      </c>
      <c r="BV2764" t="s">
        <v>86</v>
      </c>
      <c r="BY2764">
        <v>1200</v>
      </c>
      <c r="CA2764" t="s">
        <v>258</v>
      </c>
      <c r="CC2764" t="s">
        <v>137</v>
      </c>
      <c r="CD2764" s="5" t="s">
        <v>738</v>
      </c>
      <c r="CE2764" t="s">
        <v>88</v>
      </c>
      <c r="CF2764" s="3">
        <v>45805</v>
      </c>
      <c r="CI2764">
        <v>1</v>
      </c>
      <c r="CJ2764">
        <v>1</v>
      </c>
      <c r="CK2764">
        <v>21</v>
      </c>
      <c r="CL2764" t="s">
        <v>89</v>
      </c>
    </row>
    <row r="2765" spans="1:90" x14ac:dyDescent="0.3">
      <c r="A2765" t="s">
        <v>72</v>
      </c>
      <c r="B2765" t="s">
        <v>73</v>
      </c>
      <c r="C2765" t="s">
        <v>74</v>
      </c>
      <c r="E2765" t="str">
        <f>"080065496721"</f>
        <v>080065496721</v>
      </c>
      <c r="F2765" s="3">
        <v>45798</v>
      </c>
      <c r="G2765">
        <v>202602</v>
      </c>
      <c r="H2765" t="s">
        <v>75</v>
      </c>
      <c r="I2765" t="s">
        <v>76</v>
      </c>
      <c r="J2765" t="s">
        <v>77</v>
      </c>
      <c r="K2765" t="s">
        <v>78</v>
      </c>
      <c r="L2765" t="s">
        <v>75</v>
      </c>
      <c r="M2765" t="s">
        <v>76</v>
      </c>
      <c r="N2765" t="s">
        <v>2879</v>
      </c>
      <c r="O2765" t="s">
        <v>82</v>
      </c>
      <c r="P2765" t="str">
        <f>"4170040001                    "</f>
        <v xml:space="preserve">4170040001                    </v>
      </c>
      <c r="Q2765">
        <v>0</v>
      </c>
      <c r="R2765">
        <v>0</v>
      </c>
      <c r="S2765">
        <v>0</v>
      </c>
      <c r="T2765">
        <v>0</v>
      </c>
      <c r="U2765">
        <v>0</v>
      </c>
      <c r="V2765">
        <v>0</v>
      </c>
      <c r="W2765">
        <v>0</v>
      </c>
      <c r="X2765">
        <v>0</v>
      </c>
      <c r="Y2765">
        <v>0</v>
      </c>
      <c r="Z2765">
        <v>0</v>
      </c>
      <c r="AA2765">
        <v>0</v>
      </c>
      <c r="AB2765">
        <v>0</v>
      </c>
      <c r="AC2765">
        <v>0</v>
      </c>
      <c r="AD2765">
        <v>0</v>
      </c>
      <c r="AE2765">
        <v>0</v>
      </c>
      <c r="AF2765">
        <v>0</v>
      </c>
      <c r="AG2765">
        <v>0</v>
      </c>
      <c r="AH2765">
        <v>0</v>
      </c>
      <c r="AI2765">
        <v>0</v>
      </c>
      <c r="AJ2765">
        <v>0</v>
      </c>
      <c r="AK2765">
        <v>0</v>
      </c>
      <c r="AL2765">
        <v>0</v>
      </c>
      <c r="AM2765">
        <v>0</v>
      </c>
      <c r="AN2765">
        <v>0</v>
      </c>
      <c r="AO2765">
        <v>0</v>
      </c>
      <c r="AP2765">
        <v>0</v>
      </c>
      <c r="AQ2765">
        <v>16.7</v>
      </c>
      <c r="AR2765">
        <v>0</v>
      </c>
      <c r="AS2765">
        <v>0</v>
      </c>
      <c r="AT2765">
        <v>0</v>
      </c>
      <c r="AU2765">
        <v>0</v>
      </c>
      <c r="AV2765">
        <v>0</v>
      </c>
      <c r="AW2765">
        <v>0</v>
      </c>
      <c r="AX2765">
        <v>0</v>
      </c>
      <c r="AY2765">
        <v>0</v>
      </c>
      <c r="AZ2765">
        <v>0</v>
      </c>
      <c r="BA2765">
        <v>0</v>
      </c>
      <c r="BB2765">
        <v>0</v>
      </c>
      <c r="BC2765">
        <v>0</v>
      </c>
      <c r="BD2765">
        <v>0</v>
      </c>
      <c r="BE2765">
        <v>0</v>
      </c>
      <c r="BF2765">
        <v>0</v>
      </c>
      <c r="BG2765">
        <v>0</v>
      </c>
      <c r="BH2765">
        <v>1</v>
      </c>
      <c r="BI2765">
        <v>1</v>
      </c>
      <c r="BJ2765">
        <v>0.2</v>
      </c>
      <c r="BK2765">
        <v>1</v>
      </c>
      <c r="BL2765">
        <v>54.66</v>
      </c>
      <c r="BM2765">
        <v>8.1999999999999993</v>
      </c>
      <c r="BN2765">
        <v>62.86</v>
      </c>
      <c r="BO2765">
        <v>62.86</v>
      </c>
      <c r="BQ2765" t="s">
        <v>2880</v>
      </c>
      <c r="BR2765" t="s">
        <v>84</v>
      </c>
      <c r="BS2765" s="3">
        <v>45799</v>
      </c>
      <c r="BT2765" s="4">
        <v>0.43402777777777779</v>
      </c>
      <c r="BU2765" t="s">
        <v>2881</v>
      </c>
      <c r="BV2765" t="s">
        <v>86</v>
      </c>
      <c r="BY2765">
        <v>1200</v>
      </c>
      <c r="CA2765" t="s">
        <v>484</v>
      </c>
      <c r="CC2765" t="s">
        <v>76</v>
      </c>
      <c r="CD2765">
        <v>1601</v>
      </c>
      <c r="CE2765" t="s">
        <v>88</v>
      </c>
      <c r="CF2765" s="3">
        <v>45799</v>
      </c>
      <c r="CI2765">
        <v>1</v>
      </c>
      <c r="CJ2765">
        <v>1</v>
      </c>
      <c r="CK2765">
        <v>22</v>
      </c>
      <c r="CL2765" t="s">
        <v>89</v>
      </c>
    </row>
    <row r="2766" spans="1:90" x14ac:dyDescent="0.3">
      <c r="A2766" t="s">
        <v>72</v>
      </c>
      <c r="B2766" t="s">
        <v>73</v>
      </c>
      <c r="C2766" t="s">
        <v>74</v>
      </c>
      <c r="E2766" t="str">
        <f>"080065496770"</f>
        <v>080065496770</v>
      </c>
      <c r="F2766" s="3">
        <v>45798</v>
      </c>
      <c r="G2766">
        <v>202602</v>
      </c>
      <c r="H2766" t="s">
        <v>75</v>
      </c>
      <c r="I2766" t="s">
        <v>76</v>
      </c>
      <c r="J2766" t="s">
        <v>77</v>
      </c>
      <c r="K2766" t="s">
        <v>78</v>
      </c>
      <c r="L2766" t="s">
        <v>350</v>
      </c>
      <c r="M2766" t="s">
        <v>351</v>
      </c>
      <c r="N2766" t="s">
        <v>459</v>
      </c>
      <c r="O2766" t="s">
        <v>82</v>
      </c>
      <c r="P2766" t="str">
        <f>"4170040015                    "</f>
        <v xml:space="preserve">4170040015                    </v>
      </c>
      <c r="Q2766">
        <v>0</v>
      </c>
      <c r="R2766">
        <v>0</v>
      </c>
      <c r="S2766">
        <v>0</v>
      </c>
      <c r="T2766">
        <v>0</v>
      </c>
      <c r="U2766">
        <v>0</v>
      </c>
      <c r="V2766">
        <v>0</v>
      </c>
      <c r="W2766">
        <v>0</v>
      </c>
      <c r="X2766">
        <v>0</v>
      </c>
      <c r="Y2766">
        <v>0</v>
      </c>
      <c r="Z2766">
        <v>0</v>
      </c>
      <c r="AA2766">
        <v>0</v>
      </c>
      <c r="AB2766">
        <v>0</v>
      </c>
      <c r="AC2766">
        <v>0</v>
      </c>
      <c r="AD2766">
        <v>0</v>
      </c>
      <c r="AE2766">
        <v>0</v>
      </c>
      <c r="AF2766">
        <v>0</v>
      </c>
      <c r="AG2766">
        <v>0</v>
      </c>
      <c r="AH2766">
        <v>0</v>
      </c>
      <c r="AI2766">
        <v>0</v>
      </c>
      <c r="AJ2766">
        <v>0</v>
      </c>
      <c r="AK2766">
        <v>0</v>
      </c>
      <c r="AL2766">
        <v>0</v>
      </c>
      <c r="AM2766">
        <v>0</v>
      </c>
      <c r="AN2766">
        <v>0</v>
      </c>
      <c r="AO2766">
        <v>0</v>
      </c>
      <c r="AP2766">
        <v>0</v>
      </c>
      <c r="AQ2766">
        <v>21.38</v>
      </c>
      <c r="AR2766">
        <v>0</v>
      </c>
      <c r="AS2766">
        <v>0</v>
      </c>
      <c r="AT2766">
        <v>0</v>
      </c>
      <c r="AU2766">
        <v>0</v>
      </c>
      <c r="AV2766">
        <v>0</v>
      </c>
      <c r="AW2766">
        <v>0</v>
      </c>
      <c r="AX2766">
        <v>0</v>
      </c>
      <c r="AY2766">
        <v>0</v>
      </c>
      <c r="AZ2766">
        <v>0</v>
      </c>
      <c r="BA2766">
        <v>0</v>
      </c>
      <c r="BB2766">
        <v>0</v>
      </c>
      <c r="BC2766">
        <v>0</v>
      </c>
      <c r="BD2766">
        <v>0</v>
      </c>
      <c r="BE2766">
        <v>0</v>
      </c>
      <c r="BF2766">
        <v>0</v>
      </c>
      <c r="BG2766">
        <v>0</v>
      </c>
      <c r="BH2766">
        <v>1</v>
      </c>
      <c r="BI2766">
        <v>1</v>
      </c>
      <c r="BJ2766">
        <v>0.2</v>
      </c>
      <c r="BK2766">
        <v>1</v>
      </c>
      <c r="BL2766">
        <v>69.98</v>
      </c>
      <c r="BM2766">
        <v>10.5</v>
      </c>
      <c r="BN2766">
        <v>80.48</v>
      </c>
      <c r="BO2766">
        <v>80.48</v>
      </c>
      <c r="BQ2766" t="s">
        <v>460</v>
      </c>
      <c r="BR2766" t="s">
        <v>84</v>
      </c>
      <c r="BS2766" s="3">
        <v>45799</v>
      </c>
      <c r="BT2766" s="4">
        <v>0.33611111111111114</v>
      </c>
      <c r="BU2766" t="s">
        <v>461</v>
      </c>
      <c r="BV2766" t="s">
        <v>86</v>
      </c>
      <c r="BY2766">
        <v>1240</v>
      </c>
      <c r="CA2766" t="s">
        <v>462</v>
      </c>
      <c r="CC2766" t="s">
        <v>351</v>
      </c>
      <c r="CD2766">
        <v>4051</v>
      </c>
      <c r="CE2766" t="s">
        <v>88</v>
      </c>
      <c r="CF2766" s="3">
        <v>45799</v>
      </c>
      <c r="CI2766">
        <v>1</v>
      </c>
      <c r="CJ2766">
        <v>1</v>
      </c>
      <c r="CK2766">
        <v>21</v>
      </c>
      <c r="CL2766" t="s">
        <v>89</v>
      </c>
    </row>
    <row r="2767" spans="1:90" x14ac:dyDescent="0.3">
      <c r="A2767" t="s">
        <v>72</v>
      </c>
      <c r="B2767" t="s">
        <v>73</v>
      </c>
      <c r="C2767" t="s">
        <v>74</v>
      </c>
      <c r="E2767" t="str">
        <f>"080065496784"</f>
        <v>080065496784</v>
      </c>
      <c r="F2767" s="3">
        <v>45798</v>
      </c>
      <c r="G2767">
        <v>202602</v>
      </c>
      <c r="H2767" t="s">
        <v>75</v>
      </c>
      <c r="I2767" t="s">
        <v>76</v>
      </c>
      <c r="J2767" t="s">
        <v>77</v>
      </c>
      <c r="K2767" t="s">
        <v>78</v>
      </c>
      <c r="L2767" t="s">
        <v>130</v>
      </c>
      <c r="M2767" t="s">
        <v>131</v>
      </c>
      <c r="N2767" t="s">
        <v>1066</v>
      </c>
      <c r="O2767" t="s">
        <v>82</v>
      </c>
      <c r="P2767" t="str">
        <f>"4170039996                    "</f>
        <v xml:space="preserve">4170039996                    </v>
      </c>
      <c r="Q2767">
        <v>0</v>
      </c>
      <c r="R2767">
        <v>0</v>
      </c>
      <c r="S2767">
        <v>0</v>
      </c>
      <c r="T2767">
        <v>0</v>
      </c>
      <c r="U2767">
        <v>0</v>
      </c>
      <c r="V2767">
        <v>0</v>
      </c>
      <c r="W2767">
        <v>0</v>
      </c>
      <c r="X2767">
        <v>0</v>
      </c>
      <c r="Y2767">
        <v>0</v>
      </c>
      <c r="Z2767">
        <v>0</v>
      </c>
      <c r="AA2767">
        <v>0</v>
      </c>
      <c r="AB2767">
        <v>0</v>
      </c>
      <c r="AC2767">
        <v>0</v>
      </c>
      <c r="AD2767">
        <v>0</v>
      </c>
      <c r="AE2767">
        <v>0</v>
      </c>
      <c r="AF2767">
        <v>0</v>
      </c>
      <c r="AG2767">
        <v>0</v>
      </c>
      <c r="AH2767">
        <v>0</v>
      </c>
      <c r="AI2767">
        <v>0</v>
      </c>
      <c r="AJ2767">
        <v>0</v>
      </c>
      <c r="AK2767">
        <v>0</v>
      </c>
      <c r="AL2767">
        <v>0</v>
      </c>
      <c r="AM2767">
        <v>0</v>
      </c>
      <c r="AN2767">
        <v>0</v>
      </c>
      <c r="AO2767">
        <v>0</v>
      </c>
      <c r="AP2767">
        <v>0</v>
      </c>
      <c r="AQ2767">
        <v>21.38</v>
      </c>
      <c r="AR2767">
        <v>0</v>
      </c>
      <c r="AS2767">
        <v>0</v>
      </c>
      <c r="AT2767">
        <v>0</v>
      </c>
      <c r="AU2767">
        <v>0</v>
      </c>
      <c r="AV2767">
        <v>0</v>
      </c>
      <c r="AW2767">
        <v>0</v>
      </c>
      <c r="AX2767">
        <v>0</v>
      </c>
      <c r="AY2767">
        <v>0</v>
      </c>
      <c r="AZ2767">
        <v>0</v>
      </c>
      <c r="BA2767">
        <v>0</v>
      </c>
      <c r="BB2767">
        <v>0</v>
      </c>
      <c r="BC2767">
        <v>0</v>
      </c>
      <c r="BD2767">
        <v>0</v>
      </c>
      <c r="BE2767">
        <v>0</v>
      </c>
      <c r="BF2767">
        <v>0</v>
      </c>
      <c r="BG2767">
        <v>0</v>
      </c>
      <c r="BH2767">
        <v>1</v>
      </c>
      <c r="BI2767">
        <v>1</v>
      </c>
      <c r="BJ2767">
        <v>0.2</v>
      </c>
      <c r="BK2767">
        <v>1</v>
      </c>
      <c r="BL2767">
        <v>69.98</v>
      </c>
      <c r="BM2767">
        <v>10.5</v>
      </c>
      <c r="BN2767">
        <v>80.48</v>
      </c>
      <c r="BO2767">
        <v>80.48</v>
      </c>
      <c r="BQ2767" t="s">
        <v>1067</v>
      </c>
      <c r="BR2767" t="s">
        <v>84</v>
      </c>
      <c r="BS2767" s="3">
        <v>45799</v>
      </c>
      <c r="BT2767" s="4">
        <v>0.39930555555555558</v>
      </c>
      <c r="BU2767" t="s">
        <v>1202</v>
      </c>
      <c r="BV2767" t="s">
        <v>86</v>
      </c>
      <c r="BY2767">
        <v>1200</v>
      </c>
      <c r="CA2767" t="s">
        <v>712</v>
      </c>
      <c r="CC2767" t="s">
        <v>131</v>
      </c>
      <c r="CD2767">
        <v>7561</v>
      </c>
      <c r="CE2767" t="s">
        <v>88</v>
      </c>
      <c r="CF2767" s="3">
        <v>45800</v>
      </c>
      <c r="CI2767">
        <v>1</v>
      </c>
      <c r="CJ2767">
        <v>1</v>
      </c>
      <c r="CK2767">
        <v>21</v>
      </c>
      <c r="CL2767" t="s">
        <v>89</v>
      </c>
    </row>
    <row r="2768" spans="1:90" x14ac:dyDescent="0.3">
      <c r="A2768" t="s">
        <v>72</v>
      </c>
      <c r="B2768" t="s">
        <v>73</v>
      </c>
      <c r="C2768" t="s">
        <v>74</v>
      </c>
      <c r="E2768" t="str">
        <f>"080065496792"</f>
        <v>080065496792</v>
      </c>
      <c r="F2768" s="3">
        <v>45798</v>
      </c>
      <c r="G2768">
        <v>202602</v>
      </c>
      <c r="H2768" t="s">
        <v>75</v>
      </c>
      <c r="I2768" t="s">
        <v>76</v>
      </c>
      <c r="J2768" t="s">
        <v>77</v>
      </c>
      <c r="K2768" t="s">
        <v>78</v>
      </c>
      <c r="L2768" t="s">
        <v>103</v>
      </c>
      <c r="M2768" t="s">
        <v>104</v>
      </c>
      <c r="N2768" t="s">
        <v>633</v>
      </c>
      <c r="O2768" t="s">
        <v>82</v>
      </c>
      <c r="P2768" t="str">
        <f>"4170039966                    "</f>
        <v xml:space="preserve">4170039966                    </v>
      </c>
      <c r="Q2768">
        <v>0</v>
      </c>
      <c r="R2768">
        <v>0</v>
      </c>
      <c r="S2768">
        <v>0</v>
      </c>
      <c r="T2768">
        <v>0</v>
      </c>
      <c r="U2768">
        <v>0</v>
      </c>
      <c r="V2768">
        <v>0</v>
      </c>
      <c r="W2768">
        <v>0</v>
      </c>
      <c r="X2768">
        <v>0</v>
      </c>
      <c r="Y2768">
        <v>0</v>
      </c>
      <c r="Z2768">
        <v>0</v>
      </c>
      <c r="AA2768">
        <v>0</v>
      </c>
      <c r="AB2768">
        <v>0</v>
      </c>
      <c r="AC2768">
        <v>0</v>
      </c>
      <c r="AD2768">
        <v>0</v>
      </c>
      <c r="AE2768">
        <v>0</v>
      </c>
      <c r="AF2768">
        <v>0</v>
      </c>
      <c r="AG2768">
        <v>0</v>
      </c>
      <c r="AH2768">
        <v>0</v>
      </c>
      <c r="AI2768">
        <v>0</v>
      </c>
      <c r="AJ2768">
        <v>0</v>
      </c>
      <c r="AK2768">
        <v>0</v>
      </c>
      <c r="AL2768">
        <v>0</v>
      </c>
      <c r="AM2768">
        <v>0</v>
      </c>
      <c r="AN2768">
        <v>0</v>
      </c>
      <c r="AO2768">
        <v>0</v>
      </c>
      <c r="AP2768">
        <v>0</v>
      </c>
      <c r="AQ2768">
        <v>21.38</v>
      </c>
      <c r="AR2768">
        <v>0</v>
      </c>
      <c r="AS2768">
        <v>0</v>
      </c>
      <c r="AT2768">
        <v>0</v>
      </c>
      <c r="AU2768">
        <v>0</v>
      </c>
      <c r="AV2768">
        <v>0</v>
      </c>
      <c r="AW2768">
        <v>0</v>
      </c>
      <c r="AX2768">
        <v>0</v>
      </c>
      <c r="AY2768">
        <v>0</v>
      </c>
      <c r="AZ2768">
        <v>0</v>
      </c>
      <c r="BA2768">
        <v>0</v>
      </c>
      <c r="BB2768">
        <v>0</v>
      </c>
      <c r="BC2768">
        <v>0</v>
      </c>
      <c r="BD2768">
        <v>0</v>
      </c>
      <c r="BE2768">
        <v>0</v>
      </c>
      <c r="BF2768">
        <v>0</v>
      </c>
      <c r="BG2768">
        <v>0</v>
      </c>
      <c r="BH2768">
        <v>1</v>
      </c>
      <c r="BI2768">
        <v>1</v>
      </c>
      <c r="BJ2768">
        <v>0.2</v>
      </c>
      <c r="BK2768">
        <v>1</v>
      </c>
      <c r="BL2768">
        <v>69.98</v>
      </c>
      <c r="BM2768">
        <v>10.5</v>
      </c>
      <c r="BN2768">
        <v>80.48</v>
      </c>
      <c r="BO2768">
        <v>80.48</v>
      </c>
      <c r="BQ2768" t="s">
        <v>634</v>
      </c>
      <c r="BR2768" t="s">
        <v>84</v>
      </c>
      <c r="BS2768" s="3">
        <v>45799</v>
      </c>
      <c r="BT2768" s="4">
        <v>0.5625</v>
      </c>
      <c r="BU2768" t="s">
        <v>635</v>
      </c>
      <c r="BV2768" t="s">
        <v>86</v>
      </c>
      <c r="BY2768">
        <v>1200</v>
      </c>
      <c r="CA2768" t="s">
        <v>440</v>
      </c>
      <c r="CC2768" t="s">
        <v>104</v>
      </c>
      <c r="CD2768">
        <v>3212</v>
      </c>
      <c r="CE2768" t="s">
        <v>88</v>
      </c>
      <c r="CF2768" s="3">
        <v>45800</v>
      </c>
      <c r="CI2768">
        <v>2</v>
      </c>
      <c r="CJ2768">
        <v>1</v>
      </c>
      <c r="CK2768">
        <v>21</v>
      </c>
      <c r="CL2768" t="s">
        <v>89</v>
      </c>
    </row>
    <row r="2769" spans="1:90" x14ac:dyDescent="0.3">
      <c r="A2769" t="s">
        <v>72</v>
      </c>
      <c r="B2769" t="s">
        <v>73</v>
      </c>
      <c r="C2769" t="s">
        <v>74</v>
      </c>
      <c r="E2769" t="str">
        <f>"080065496901"</f>
        <v>080065496901</v>
      </c>
      <c r="F2769" s="3">
        <v>45798</v>
      </c>
      <c r="G2769">
        <v>202602</v>
      </c>
      <c r="H2769" t="s">
        <v>75</v>
      </c>
      <c r="I2769" t="s">
        <v>76</v>
      </c>
      <c r="J2769" t="s">
        <v>77</v>
      </c>
      <c r="K2769" t="s">
        <v>78</v>
      </c>
      <c r="L2769" t="s">
        <v>360</v>
      </c>
      <c r="M2769" t="s">
        <v>361</v>
      </c>
      <c r="N2769" t="s">
        <v>362</v>
      </c>
      <c r="O2769" t="s">
        <v>82</v>
      </c>
      <c r="P2769" t="str">
        <f>"4170040003                    "</f>
        <v xml:space="preserve">4170040003                    </v>
      </c>
      <c r="Q2769">
        <v>0</v>
      </c>
      <c r="R2769">
        <v>0</v>
      </c>
      <c r="S2769">
        <v>0</v>
      </c>
      <c r="T2769">
        <v>0</v>
      </c>
      <c r="U2769">
        <v>0</v>
      </c>
      <c r="V2769">
        <v>0</v>
      </c>
      <c r="W2769">
        <v>0</v>
      </c>
      <c r="X2769">
        <v>0</v>
      </c>
      <c r="Y2769">
        <v>0</v>
      </c>
      <c r="Z2769">
        <v>0</v>
      </c>
      <c r="AA2769">
        <v>0</v>
      </c>
      <c r="AB2769">
        <v>0</v>
      </c>
      <c r="AC2769">
        <v>0</v>
      </c>
      <c r="AD2769">
        <v>0</v>
      </c>
      <c r="AE2769">
        <v>0</v>
      </c>
      <c r="AF2769">
        <v>0</v>
      </c>
      <c r="AG2769">
        <v>0</v>
      </c>
      <c r="AH2769">
        <v>0</v>
      </c>
      <c r="AI2769">
        <v>0</v>
      </c>
      <c r="AJ2769">
        <v>0</v>
      </c>
      <c r="AK2769">
        <v>0</v>
      </c>
      <c r="AL2769">
        <v>0</v>
      </c>
      <c r="AM2769">
        <v>0</v>
      </c>
      <c r="AN2769">
        <v>0</v>
      </c>
      <c r="AO2769">
        <v>0</v>
      </c>
      <c r="AP2769">
        <v>0</v>
      </c>
      <c r="AQ2769">
        <v>41.43</v>
      </c>
      <c r="AR2769">
        <v>0</v>
      </c>
      <c r="AS2769">
        <v>0</v>
      </c>
      <c r="AT2769">
        <v>0</v>
      </c>
      <c r="AU2769">
        <v>0</v>
      </c>
      <c r="AV2769">
        <v>0</v>
      </c>
      <c r="AW2769">
        <v>0</v>
      </c>
      <c r="AX2769">
        <v>0</v>
      </c>
      <c r="AY2769">
        <v>0</v>
      </c>
      <c r="AZ2769">
        <v>0</v>
      </c>
      <c r="BA2769">
        <v>0</v>
      </c>
      <c r="BB2769">
        <v>0</v>
      </c>
      <c r="BC2769">
        <v>0</v>
      </c>
      <c r="BD2769">
        <v>0</v>
      </c>
      <c r="BE2769">
        <v>0</v>
      </c>
      <c r="BF2769">
        <v>0</v>
      </c>
      <c r="BG2769">
        <v>0</v>
      </c>
      <c r="BH2769">
        <v>1</v>
      </c>
      <c r="BI2769">
        <v>1</v>
      </c>
      <c r="BJ2769">
        <v>0.2</v>
      </c>
      <c r="BK2769">
        <v>1</v>
      </c>
      <c r="BL2769">
        <v>135.59</v>
      </c>
      <c r="BM2769">
        <v>20.34</v>
      </c>
      <c r="BN2769">
        <v>155.93</v>
      </c>
      <c r="BO2769">
        <v>155.93</v>
      </c>
      <c r="BQ2769" t="s">
        <v>363</v>
      </c>
      <c r="BR2769" t="s">
        <v>84</v>
      </c>
      <c r="BS2769" s="3">
        <v>45799</v>
      </c>
      <c r="BT2769" s="4">
        <v>0.65277777777777779</v>
      </c>
      <c r="BU2769" t="s">
        <v>1246</v>
      </c>
      <c r="BV2769" t="s">
        <v>86</v>
      </c>
      <c r="BY2769">
        <v>1200</v>
      </c>
      <c r="CA2769" t="s">
        <v>365</v>
      </c>
      <c r="CC2769" t="s">
        <v>361</v>
      </c>
      <c r="CD2769">
        <v>7299</v>
      </c>
      <c r="CE2769" t="s">
        <v>88</v>
      </c>
      <c r="CF2769" s="3">
        <v>45800</v>
      </c>
      <c r="CI2769">
        <v>1</v>
      </c>
      <c r="CJ2769">
        <v>1</v>
      </c>
      <c r="CK2769">
        <v>23</v>
      </c>
      <c r="CL2769" t="s">
        <v>89</v>
      </c>
    </row>
    <row r="2770" spans="1:90" x14ac:dyDescent="0.3">
      <c r="A2770" t="s">
        <v>72</v>
      </c>
      <c r="B2770" t="s">
        <v>73</v>
      </c>
      <c r="C2770" t="s">
        <v>74</v>
      </c>
      <c r="E2770" t="str">
        <f>"080065496962"</f>
        <v>080065496962</v>
      </c>
      <c r="F2770" s="3">
        <v>45798</v>
      </c>
      <c r="G2770">
        <v>202602</v>
      </c>
      <c r="H2770" t="s">
        <v>75</v>
      </c>
      <c r="I2770" t="s">
        <v>76</v>
      </c>
      <c r="J2770" t="s">
        <v>77</v>
      </c>
      <c r="K2770" t="s">
        <v>78</v>
      </c>
      <c r="L2770" t="s">
        <v>90</v>
      </c>
      <c r="M2770" t="s">
        <v>91</v>
      </c>
      <c r="N2770" t="s">
        <v>92</v>
      </c>
      <c r="O2770" t="s">
        <v>82</v>
      </c>
      <c r="P2770" t="str">
        <f>"4170039999                    "</f>
        <v xml:space="preserve">4170039999                    </v>
      </c>
      <c r="Q2770">
        <v>0</v>
      </c>
      <c r="R2770">
        <v>0</v>
      </c>
      <c r="S2770">
        <v>0</v>
      </c>
      <c r="T2770">
        <v>0</v>
      </c>
      <c r="U2770">
        <v>0</v>
      </c>
      <c r="V2770">
        <v>0</v>
      </c>
      <c r="W2770">
        <v>0</v>
      </c>
      <c r="X2770">
        <v>0</v>
      </c>
      <c r="Y2770">
        <v>0</v>
      </c>
      <c r="Z2770">
        <v>0</v>
      </c>
      <c r="AA2770">
        <v>0</v>
      </c>
      <c r="AB2770">
        <v>0</v>
      </c>
      <c r="AC2770">
        <v>0</v>
      </c>
      <c r="AD2770">
        <v>0</v>
      </c>
      <c r="AE2770">
        <v>0</v>
      </c>
      <c r="AF2770">
        <v>0</v>
      </c>
      <c r="AG2770">
        <v>0</v>
      </c>
      <c r="AH2770">
        <v>0</v>
      </c>
      <c r="AI2770">
        <v>0</v>
      </c>
      <c r="AJ2770">
        <v>0</v>
      </c>
      <c r="AK2770">
        <v>0</v>
      </c>
      <c r="AL2770">
        <v>0</v>
      </c>
      <c r="AM2770">
        <v>0</v>
      </c>
      <c r="AN2770">
        <v>0</v>
      </c>
      <c r="AO2770">
        <v>0</v>
      </c>
      <c r="AP2770">
        <v>0</v>
      </c>
      <c r="AQ2770">
        <v>21.38</v>
      </c>
      <c r="AR2770">
        <v>0</v>
      </c>
      <c r="AS2770">
        <v>0</v>
      </c>
      <c r="AT2770">
        <v>0</v>
      </c>
      <c r="AU2770">
        <v>0</v>
      </c>
      <c r="AV2770">
        <v>0</v>
      </c>
      <c r="AW2770">
        <v>0</v>
      </c>
      <c r="AX2770">
        <v>0</v>
      </c>
      <c r="AY2770">
        <v>0</v>
      </c>
      <c r="AZ2770">
        <v>0</v>
      </c>
      <c r="BA2770">
        <v>0</v>
      </c>
      <c r="BB2770">
        <v>0</v>
      </c>
      <c r="BC2770">
        <v>0</v>
      </c>
      <c r="BD2770">
        <v>0</v>
      </c>
      <c r="BE2770">
        <v>0</v>
      </c>
      <c r="BF2770">
        <v>0</v>
      </c>
      <c r="BG2770">
        <v>0</v>
      </c>
      <c r="BH2770">
        <v>1</v>
      </c>
      <c r="BI2770">
        <v>1</v>
      </c>
      <c r="BJ2770">
        <v>0.2</v>
      </c>
      <c r="BK2770">
        <v>1</v>
      </c>
      <c r="BL2770">
        <v>69.98</v>
      </c>
      <c r="BM2770">
        <v>10.5</v>
      </c>
      <c r="BN2770">
        <v>80.48</v>
      </c>
      <c r="BO2770">
        <v>80.48</v>
      </c>
      <c r="BQ2770" t="s">
        <v>93</v>
      </c>
      <c r="BR2770" t="s">
        <v>84</v>
      </c>
      <c r="BS2770" s="3">
        <v>45799</v>
      </c>
      <c r="BT2770" s="4">
        <v>0.38680555555555557</v>
      </c>
      <c r="BU2770" t="s">
        <v>94</v>
      </c>
      <c r="BV2770" t="s">
        <v>86</v>
      </c>
      <c r="BY2770">
        <v>1200</v>
      </c>
      <c r="CA2770" t="s">
        <v>95</v>
      </c>
      <c r="CC2770" t="s">
        <v>91</v>
      </c>
      <c r="CD2770">
        <v>6001</v>
      </c>
      <c r="CE2770" t="s">
        <v>88</v>
      </c>
      <c r="CF2770" s="3">
        <v>45799</v>
      </c>
      <c r="CI2770">
        <v>1</v>
      </c>
      <c r="CJ2770">
        <v>1</v>
      </c>
      <c r="CK2770">
        <v>21</v>
      </c>
      <c r="CL2770" t="s">
        <v>89</v>
      </c>
    </row>
    <row r="2771" spans="1:90" x14ac:dyDescent="0.3">
      <c r="A2771" t="s">
        <v>72</v>
      </c>
      <c r="B2771" t="s">
        <v>73</v>
      </c>
      <c r="C2771" t="s">
        <v>74</v>
      </c>
      <c r="E2771" t="str">
        <f>"080065497045"</f>
        <v>080065497045</v>
      </c>
      <c r="F2771" s="3">
        <v>45798</v>
      </c>
      <c r="G2771">
        <v>202602</v>
      </c>
      <c r="H2771" t="s">
        <v>75</v>
      </c>
      <c r="I2771" t="s">
        <v>76</v>
      </c>
      <c r="J2771" t="s">
        <v>77</v>
      </c>
      <c r="K2771" t="s">
        <v>78</v>
      </c>
      <c r="L2771" t="s">
        <v>489</v>
      </c>
      <c r="M2771" t="s">
        <v>490</v>
      </c>
      <c r="N2771" t="s">
        <v>491</v>
      </c>
      <c r="O2771" t="s">
        <v>82</v>
      </c>
      <c r="P2771" t="str">
        <f>"4170039992                    "</f>
        <v xml:space="preserve">4170039992                    </v>
      </c>
      <c r="Q2771">
        <v>0</v>
      </c>
      <c r="R2771">
        <v>0</v>
      </c>
      <c r="S2771">
        <v>0</v>
      </c>
      <c r="T2771">
        <v>0</v>
      </c>
      <c r="U2771">
        <v>0</v>
      </c>
      <c r="V2771">
        <v>0</v>
      </c>
      <c r="W2771">
        <v>0</v>
      </c>
      <c r="X2771">
        <v>0</v>
      </c>
      <c r="Y2771">
        <v>0</v>
      </c>
      <c r="Z2771">
        <v>0</v>
      </c>
      <c r="AA2771">
        <v>0</v>
      </c>
      <c r="AB2771">
        <v>0</v>
      </c>
      <c r="AC2771">
        <v>0</v>
      </c>
      <c r="AD2771">
        <v>0</v>
      </c>
      <c r="AE2771">
        <v>0</v>
      </c>
      <c r="AF2771">
        <v>0</v>
      </c>
      <c r="AG2771">
        <v>0</v>
      </c>
      <c r="AH2771">
        <v>0</v>
      </c>
      <c r="AI2771">
        <v>0</v>
      </c>
      <c r="AJ2771">
        <v>0</v>
      </c>
      <c r="AK2771">
        <v>0</v>
      </c>
      <c r="AL2771">
        <v>0</v>
      </c>
      <c r="AM2771">
        <v>0</v>
      </c>
      <c r="AN2771">
        <v>0</v>
      </c>
      <c r="AO2771">
        <v>0</v>
      </c>
      <c r="AP2771">
        <v>0</v>
      </c>
      <c r="AQ2771">
        <v>41.43</v>
      </c>
      <c r="AR2771">
        <v>0</v>
      </c>
      <c r="AS2771">
        <v>0</v>
      </c>
      <c r="AT2771">
        <v>0</v>
      </c>
      <c r="AU2771">
        <v>0</v>
      </c>
      <c r="AV2771">
        <v>0</v>
      </c>
      <c r="AW2771">
        <v>0</v>
      </c>
      <c r="AX2771">
        <v>0</v>
      </c>
      <c r="AY2771">
        <v>0</v>
      </c>
      <c r="AZ2771">
        <v>0</v>
      </c>
      <c r="BA2771">
        <v>0</v>
      </c>
      <c r="BB2771">
        <v>0</v>
      </c>
      <c r="BC2771">
        <v>0</v>
      </c>
      <c r="BD2771">
        <v>0</v>
      </c>
      <c r="BE2771">
        <v>0</v>
      </c>
      <c r="BF2771">
        <v>0</v>
      </c>
      <c r="BG2771">
        <v>0</v>
      </c>
      <c r="BH2771">
        <v>1</v>
      </c>
      <c r="BI2771">
        <v>1</v>
      </c>
      <c r="BJ2771">
        <v>0.2</v>
      </c>
      <c r="BK2771">
        <v>1</v>
      </c>
      <c r="BL2771">
        <v>135.59</v>
      </c>
      <c r="BM2771">
        <v>20.34</v>
      </c>
      <c r="BN2771">
        <v>155.93</v>
      </c>
      <c r="BO2771">
        <v>155.93</v>
      </c>
      <c r="BQ2771" t="s">
        <v>492</v>
      </c>
      <c r="BR2771" t="s">
        <v>84</v>
      </c>
      <c r="BS2771" s="3">
        <v>45799</v>
      </c>
      <c r="BT2771" s="4">
        <v>0.36041666666666666</v>
      </c>
      <c r="BU2771" t="s">
        <v>2530</v>
      </c>
      <c r="BV2771" t="s">
        <v>86</v>
      </c>
      <c r="BY2771">
        <v>1200</v>
      </c>
      <c r="CA2771" t="s">
        <v>913</v>
      </c>
      <c r="CC2771" t="s">
        <v>490</v>
      </c>
      <c r="CD2771">
        <v>2740</v>
      </c>
      <c r="CE2771" t="s">
        <v>88</v>
      </c>
      <c r="CF2771" s="3">
        <v>45800</v>
      </c>
      <c r="CI2771">
        <v>1</v>
      </c>
      <c r="CJ2771">
        <v>1</v>
      </c>
      <c r="CK2771">
        <v>23</v>
      </c>
      <c r="CL2771" t="s">
        <v>89</v>
      </c>
    </row>
    <row r="2772" spans="1:90" x14ac:dyDescent="0.3">
      <c r="A2772" t="s">
        <v>72</v>
      </c>
      <c r="B2772" t="s">
        <v>73</v>
      </c>
      <c r="C2772" t="s">
        <v>74</v>
      </c>
      <c r="E2772" t="str">
        <f>"080065497062"</f>
        <v>080065497062</v>
      </c>
      <c r="F2772" s="3">
        <v>45798</v>
      </c>
      <c r="G2772">
        <v>202602</v>
      </c>
      <c r="H2772" t="s">
        <v>75</v>
      </c>
      <c r="I2772" t="s">
        <v>76</v>
      </c>
      <c r="J2772" t="s">
        <v>77</v>
      </c>
      <c r="K2772" t="s">
        <v>78</v>
      </c>
      <c r="L2772" t="s">
        <v>320</v>
      </c>
      <c r="M2772" t="s">
        <v>321</v>
      </c>
      <c r="N2772" t="s">
        <v>499</v>
      </c>
      <c r="O2772" t="s">
        <v>82</v>
      </c>
      <c r="P2772" t="str">
        <f>"4170040020                    "</f>
        <v xml:space="preserve">4170040020                    </v>
      </c>
      <c r="Q2772">
        <v>0</v>
      </c>
      <c r="R2772">
        <v>0</v>
      </c>
      <c r="S2772">
        <v>0</v>
      </c>
      <c r="T2772">
        <v>0</v>
      </c>
      <c r="U2772">
        <v>0</v>
      </c>
      <c r="V2772">
        <v>0</v>
      </c>
      <c r="W2772">
        <v>0</v>
      </c>
      <c r="X2772">
        <v>0</v>
      </c>
      <c r="Y2772">
        <v>0</v>
      </c>
      <c r="Z2772">
        <v>0</v>
      </c>
      <c r="AA2772">
        <v>0</v>
      </c>
      <c r="AB2772">
        <v>0</v>
      </c>
      <c r="AC2772">
        <v>0</v>
      </c>
      <c r="AD2772">
        <v>0</v>
      </c>
      <c r="AE2772">
        <v>0</v>
      </c>
      <c r="AF2772">
        <v>0</v>
      </c>
      <c r="AG2772">
        <v>0</v>
      </c>
      <c r="AH2772">
        <v>0</v>
      </c>
      <c r="AI2772">
        <v>0</v>
      </c>
      <c r="AJ2772">
        <v>0</v>
      </c>
      <c r="AK2772">
        <v>0</v>
      </c>
      <c r="AL2772">
        <v>0</v>
      </c>
      <c r="AM2772">
        <v>0</v>
      </c>
      <c r="AN2772">
        <v>0</v>
      </c>
      <c r="AO2772">
        <v>0</v>
      </c>
      <c r="AP2772">
        <v>0</v>
      </c>
      <c r="AQ2772">
        <v>37.409999999999997</v>
      </c>
      <c r="AR2772">
        <v>0</v>
      </c>
      <c r="AS2772">
        <v>0</v>
      </c>
      <c r="AT2772">
        <v>0</v>
      </c>
      <c r="AU2772">
        <v>0</v>
      </c>
      <c r="AV2772">
        <v>0</v>
      </c>
      <c r="AW2772">
        <v>0</v>
      </c>
      <c r="AX2772">
        <v>0</v>
      </c>
      <c r="AY2772">
        <v>0</v>
      </c>
      <c r="AZ2772">
        <v>0</v>
      </c>
      <c r="BA2772">
        <v>0</v>
      </c>
      <c r="BB2772">
        <v>0</v>
      </c>
      <c r="BC2772">
        <v>0</v>
      </c>
      <c r="BD2772">
        <v>0</v>
      </c>
      <c r="BE2772">
        <v>0</v>
      </c>
      <c r="BF2772">
        <v>0</v>
      </c>
      <c r="BG2772">
        <v>0</v>
      </c>
      <c r="BH2772">
        <v>1</v>
      </c>
      <c r="BI2772">
        <v>2</v>
      </c>
      <c r="BJ2772">
        <v>3.4</v>
      </c>
      <c r="BK2772">
        <v>3.5</v>
      </c>
      <c r="BL2772">
        <v>122.43</v>
      </c>
      <c r="BM2772">
        <v>18.36</v>
      </c>
      <c r="BN2772">
        <v>140.79</v>
      </c>
      <c r="BO2772">
        <v>140.79</v>
      </c>
      <c r="BQ2772" t="s">
        <v>500</v>
      </c>
      <c r="BR2772" t="s">
        <v>84</v>
      </c>
      <c r="BS2772" s="3">
        <v>45799</v>
      </c>
      <c r="BT2772" s="4">
        <v>0.50902777777777775</v>
      </c>
      <c r="BU2772" t="s">
        <v>623</v>
      </c>
      <c r="BV2772" t="s">
        <v>89</v>
      </c>
      <c r="BY2772">
        <v>16965</v>
      </c>
      <c r="CA2772" t="s">
        <v>326</v>
      </c>
      <c r="CC2772" t="s">
        <v>321</v>
      </c>
      <c r="CD2772">
        <v>4133</v>
      </c>
      <c r="CE2772" t="s">
        <v>96</v>
      </c>
      <c r="CF2772" s="3">
        <v>45800</v>
      </c>
      <c r="CI2772">
        <v>1</v>
      </c>
      <c r="CJ2772">
        <v>1</v>
      </c>
      <c r="CK2772">
        <v>21</v>
      </c>
      <c r="CL2772" t="s">
        <v>89</v>
      </c>
    </row>
    <row r="2773" spans="1:90" x14ac:dyDescent="0.3">
      <c r="A2773" t="s">
        <v>72</v>
      </c>
      <c r="B2773" t="s">
        <v>73</v>
      </c>
      <c r="C2773" t="s">
        <v>74</v>
      </c>
      <c r="E2773" t="str">
        <f>"080065497066"</f>
        <v>080065497066</v>
      </c>
      <c r="F2773" s="3">
        <v>45798</v>
      </c>
      <c r="G2773">
        <v>202602</v>
      </c>
      <c r="H2773" t="s">
        <v>75</v>
      </c>
      <c r="I2773" t="s">
        <v>76</v>
      </c>
      <c r="J2773" t="s">
        <v>77</v>
      </c>
      <c r="K2773" t="s">
        <v>78</v>
      </c>
      <c r="L2773" t="s">
        <v>350</v>
      </c>
      <c r="M2773" t="s">
        <v>351</v>
      </c>
      <c r="N2773" t="s">
        <v>459</v>
      </c>
      <c r="O2773" t="s">
        <v>82</v>
      </c>
      <c r="P2773" t="str">
        <f>"4170040016                    "</f>
        <v xml:space="preserve">4170040016                    </v>
      </c>
      <c r="Q2773">
        <v>0</v>
      </c>
      <c r="R2773">
        <v>0</v>
      </c>
      <c r="S2773">
        <v>0</v>
      </c>
      <c r="T2773">
        <v>0</v>
      </c>
      <c r="U2773">
        <v>0</v>
      </c>
      <c r="V2773">
        <v>0</v>
      </c>
      <c r="W2773">
        <v>0</v>
      </c>
      <c r="X2773">
        <v>0</v>
      </c>
      <c r="Y2773">
        <v>0</v>
      </c>
      <c r="Z2773">
        <v>0</v>
      </c>
      <c r="AA2773">
        <v>0</v>
      </c>
      <c r="AB2773">
        <v>0</v>
      </c>
      <c r="AC2773">
        <v>0</v>
      </c>
      <c r="AD2773">
        <v>0</v>
      </c>
      <c r="AE2773">
        <v>0</v>
      </c>
      <c r="AF2773">
        <v>0</v>
      </c>
      <c r="AG2773">
        <v>0</v>
      </c>
      <c r="AH2773">
        <v>0</v>
      </c>
      <c r="AI2773">
        <v>0</v>
      </c>
      <c r="AJ2773">
        <v>0</v>
      </c>
      <c r="AK2773">
        <v>0</v>
      </c>
      <c r="AL2773">
        <v>0</v>
      </c>
      <c r="AM2773">
        <v>0</v>
      </c>
      <c r="AN2773">
        <v>0</v>
      </c>
      <c r="AO2773">
        <v>0</v>
      </c>
      <c r="AP2773">
        <v>0</v>
      </c>
      <c r="AQ2773">
        <v>21.38</v>
      </c>
      <c r="AR2773">
        <v>0</v>
      </c>
      <c r="AS2773">
        <v>0</v>
      </c>
      <c r="AT2773">
        <v>0</v>
      </c>
      <c r="AU2773">
        <v>0</v>
      </c>
      <c r="AV2773">
        <v>0</v>
      </c>
      <c r="AW2773">
        <v>0</v>
      </c>
      <c r="AX2773">
        <v>0</v>
      </c>
      <c r="AY2773">
        <v>0</v>
      </c>
      <c r="AZ2773">
        <v>0</v>
      </c>
      <c r="BA2773">
        <v>0</v>
      </c>
      <c r="BB2773">
        <v>0</v>
      </c>
      <c r="BC2773">
        <v>0</v>
      </c>
      <c r="BD2773">
        <v>0</v>
      </c>
      <c r="BE2773">
        <v>0</v>
      </c>
      <c r="BF2773">
        <v>0</v>
      </c>
      <c r="BG2773">
        <v>0</v>
      </c>
      <c r="BH2773">
        <v>1</v>
      </c>
      <c r="BI2773">
        <v>1</v>
      </c>
      <c r="BJ2773">
        <v>0.2</v>
      </c>
      <c r="BK2773">
        <v>1</v>
      </c>
      <c r="BL2773">
        <v>69.98</v>
      </c>
      <c r="BM2773">
        <v>10.5</v>
      </c>
      <c r="BN2773">
        <v>80.48</v>
      </c>
      <c r="BO2773">
        <v>80.48</v>
      </c>
      <c r="BQ2773" t="s">
        <v>460</v>
      </c>
      <c r="BR2773" t="s">
        <v>84</v>
      </c>
      <c r="BS2773" s="3">
        <v>45799</v>
      </c>
      <c r="BT2773" s="4">
        <v>0.33611111111111114</v>
      </c>
      <c r="BU2773" t="s">
        <v>461</v>
      </c>
      <c r="BV2773" t="s">
        <v>86</v>
      </c>
      <c r="BY2773">
        <v>1200</v>
      </c>
      <c r="CA2773" t="s">
        <v>462</v>
      </c>
      <c r="CC2773" t="s">
        <v>351</v>
      </c>
      <c r="CD2773">
        <v>4000</v>
      </c>
      <c r="CE2773" t="s">
        <v>88</v>
      </c>
      <c r="CF2773" s="3">
        <v>45799</v>
      </c>
      <c r="CI2773">
        <v>1</v>
      </c>
      <c r="CJ2773">
        <v>1</v>
      </c>
      <c r="CK2773">
        <v>21</v>
      </c>
      <c r="CL2773" t="s">
        <v>89</v>
      </c>
    </row>
    <row r="2774" spans="1:90" x14ac:dyDescent="0.3">
      <c r="A2774" t="s">
        <v>72</v>
      </c>
      <c r="B2774" t="s">
        <v>73</v>
      </c>
      <c r="C2774" t="s">
        <v>74</v>
      </c>
      <c r="E2774" t="str">
        <f>"080065497084"</f>
        <v>080065497084</v>
      </c>
      <c r="F2774" s="3">
        <v>45798</v>
      </c>
      <c r="G2774">
        <v>202602</v>
      </c>
      <c r="H2774" t="s">
        <v>75</v>
      </c>
      <c r="I2774" t="s">
        <v>76</v>
      </c>
      <c r="J2774" t="s">
        <v>77</v>
      </c>
      <c r="K2774" t="s">
        <v>78</v>
      </c>
      <c r="L2774" t="s">
        <v>123</v>
      </c>
      <c r="M2774" t="s">
        <v>123</v>
      </c>
      <c r="N2774" t="s">
        <v>1700</v>
      </c>
      <c r="O2774" t="s">
        <v>82</v>
      </c>
      <c r="P2774" t="str">
        <f>"4170040010                    "</f>
        <v xml:space="preserve">4170040010                    </v>
      </c>
      <c r="Q2774">
        <v>0</v>
      </c>
      <c r="R2774">
        <v>0</v>
      </c>
      <c r="S2774">
        <v>0</v>
      </c>
      <c r="T2774">
        <v>0</v>
      </c>
      <c r="U2774">
        <v>0</v>
      </c>
      <c r="V2774">
        <v>0</v>
      </c>
      <c r="W2774">
        <v>0</v>
      </c>
      <c r="X2774">
        <v>0</v>
      </c>
      <c r="Y2774">
        <v>0</v>
      </c>
      <c r="Z2774">
        <v>0</v>
      </c>
      <c r="AA2774">
        <v>0</v>
      </c>
      <c r="AB2774">
        <v>0</v>
      </c>
      <c r="AC2774">
        <v>0</v>
      </c>
      <c r="AD2774">
        <v>0</v>
      </c>
      <c r="AE2774">
        <v>0</v>
      </c>
      <c r="AF2774">
        <v>0</v>
      </c>
      <c r="AG2774">
        <v>0</v>
      </c>
      <c r="AH2774">
        <v>0</v>
      </c>
      <c r="AI2774">
        <v>0</v>
      </c>
      <c r="AJ2774">
        <v>0</v>
      </c>
      <c r="AK2774">
        <v>0</v>
      </c>
      <c r="AL2774">
        <v>0</v>
      </c>
      <c r="AM2774">
        <v>0</v>
      </c>
      <c r="AN2774">
        <v>0</v>
      </c>
      <c r="AO2774">
        <v>0</v>
      </c>
      <c r="AP2774">
        <v>0</v>
      </c>
      <c r="AQ2774">
        <v>41.43</v>
      </c>
      <c r="AR2774">
        <v>0</v>
      </c>
      <c r="AS2774">
        <v>0</v>
      </c>
      <c r="AT2774">
        <v>0</v>
      </c>
      <c r="AU2774">
        <v>0</v>
      </c>
      <c r="AV2774">
        <v>0</v>
      </c>
      <c r="AW2774">
        <v>0</v>
      </c>
      <c r="AX2774">
        <v>0</v>
      </c>
      <c r="AY2774">
        <v>0</v>
      </c>
      <c r="AZ2774">
        <v>0</v>
      </c>
      <c r="BA2774">
        <v>0</v>
      </c>
      <c r="BB2774">
        <v>0</v>
      </c>
      <c r="BC2774">
        <v>0</v>
      </c>
      <c r="BD2774">
        <v>0</v>
      </c>
      <c r="BE2774">
        <v>0</v>
      </c>
      <c r="BF2774">
        <v>0</v>
      </c>
      <c r="BG2774">
        <v>0</v>
      </c>
      <c r="BH2774">
        <v>1</v>
      </c>
      <c r="BI2774">
        <v>1</v>
      </c>
      <c r="BJ2774">
        <v>0.2</v>
      </c>
      <c r="BK2774">
        <v>1</v>
      </c>
      <c r="BL2774">
        <v>135.59</v>
      </c>
      <c r="BM2774">
        <v>20.34</v>
      </c>
      <c r="BN2774">
        <v>155.93</v>
      </c>
      <c r="BO2774">
        <v>155.93</v>
      </c>
      <c r="BQ2774" t="s">
        <v>1701</v>
      </c>
      <c r="BR2774" t="s">
        <v>84</v>
      </c>
      <c r="BS2774" s="3">
        <v>45799</v>
      </c>
      <c r="BT2774" s="4">
        <v>0.5083333333333333</v>
      </c>
      <c r="BU2774" t="s">
        <v>329</v>
      </c>
      <c r="BV2774" t="s">
        <v>86</v>
      </c>
      <c r="BY2774">
        <v>1200</v>
      </c>
      <c r="CA2774" t="s">
        <v>128</v>
      </c>
      <c r="CC2774" t="s">
        <v>123</v>
      </c>
      <c r="CD2774">
        <v>7646</v>
      </c>
      <c r="CE2774" t="s">
        <v>88</v>
      </c>
      <c r="CF2774" s="3">
        <v>45800</v>
      </c>
      <c r="CI2774">
        <v>1</v>
      </c>
      <c r="CJ2774">
        <v>1</v>
      </c>
      <c r="CK2774">
        <v>23</v>
      </c>
      <c r="CL2774" t="s">
        <v>89</v>
      </c>
    </row>
    <row r="2775" spans="1:90" x14ac:dyDescent="0.3">
      <c r="A2775" t="s">
        <v>72</v>
      </c>
      <c r="B2775" t="s">
        <v>73</v>
      </c>
      <c r="C2775" t="s">
        <v>74</v>
      </c>
      <c r="E2775" t="str">
        <f>"080065497089"</f>
        <v>080065497089</v>
      </c>
      <c r="F2775" s="3">
        <v>45798</v>
      </c>
      <c r="G2775">
        <v>202602</v>
      </c>
      <c r="H2775" t="s">
        <v>75</v>
      </c>
      <c r="I2775" t="s">
        <v>76</v>
      </c>
      <c r="J2775" t="s">
        <v>77</v>
      </c>
      <c r="K2775" t="s">
        <v>78</v>
      </c>
      <c r="L2775" t="s">
        <v>350</v>
      </c>
      <c r="M2775" t="s">
        <v>351</v>
      </c>
      <c r="N2775" t="s">
        <v>404</v>
      </c>
      <c r="O2775" t="s">
        <v>300</v>
      </c>
      <c r="P2775" t="str">
        <f>"4170040018                    "</f>
        <v xml:space="preserve">4170040018                    </v>
      </c>
      <c r="Q2775">
        <v>0</v>
      </c>
      <c r="R2775">
        <v>0</v>
      </c>
      <c r="S2775">
        <v>0</v>
      </c>
      <c r="T2775">
        <v>0</v>
      </c>
      <c r="U2775">
        <v>0</v>
      </c>
      <c r="V2775">
        <v>0</v>
      </c>
      <c r="W2775">
        <v>0</v>
      </c>
      <c r="X2775">
        <v>0</v>
      </c>
      <c r="Y2775">
        <v>0</v>
      </c>
      <c r="Z2775">
        <v>0</v>
      </c>
      <c r="AA2775">
        <v>0</v>
      </c>
      <c r="AB2775">
        <v>0</v>
      </c>
      <c r="AC2775">
        <v>0</v>
      </c>
      <c r="AD2775">
        <v>0</v>
      </c>
      <c r="AE2775">
        <v>0</v>
      </c>
      <c r="AF2775">
        <v>0</v>
      </c>
      <c r="AG2775">
        <v>0</v>
      </c>
      <c r="AH2775">
        <v>0</v>
      </c>
      <c r="AI2775">
        <v>0</v>
      </c>
      <c r="AJ2775">
        <v>0</v>
      </c>
      <c r="AK2775">
        <v>0</v>
      </c>
      <c r="AL2775">
        <v>0</v>
      </c>
      <c r="AM2775">
        <v>0</v>
      </c>
      <c r="AN2775">
        <v>0</v>
      </c>
      <c r="AO2775">
        <v>0</v>
      </c>
      <c r="AP2775">
        <v>0</v>
      </c>
      <c r="AQ2775">
        <v>73.790000000000006</v>
      </c>
      <c r="AR2775">
        <v>0</v>
      </c>
      <c r="AS2775">
        <v>0</v>
      </c>
      <c r="AT2775">
        <v>0</v>
      </c>
      <c r="AU2775">
        <v>0</v>
      </c>
      <c r="AV2775">
        <v>0</v>
      </c>
      <c r="AW2775">
        <v>0</v>
      </c>
      <c r="AX2775">
        <v>0</v>
      </c>
      <c r="AY2775">
        <v>0</v>
      </c>
      <c r="AZ2775">
        <v>0</v>
      </c>
      <c r="BA2775">
        <v>0</v>
      </c>
      <c r="BB2775">
        <v>0</v>
      </c>
      <c r="BC2775">
        <v>0</v>
      </c>
      <c r="BD2775">
        <v>0</v>
      </c>
      <c r="BE2775">
        <v>0</v>
      </c>
      <c r="BF2775">
        <v>0</v>
      </c>
      <c r="BG2775">
        <v>0</v>
      </c>
      <c r="BH2775">
        <v>1</v>
      </c>
      <c r="BI2775">
        <v>34</v>
      </c>
      <c r="BJ2775">
        <v>23.1</v>
      </c>
      <c r="BK2775">
        <v>34</v>
      </c>
      <c r="BL2775">
        <v>247.06</v>
      </c>
      <c r="BM2775">
        <v>37.06</v>
      </c>
      <c r="BN2775">
        <v>284.12</v>
      </c>
      <c r="BO2775">
        <v>284.12</v>
      </c>
      <c r="BQ2775" t="s">
        <v>405</v>
      </c>
      <c r="BR2775" t="s">
        <v>84</v>
      </c>
      <c r="BS2775" s="3">
        <v>45799</v>
      </c>
      <c r="BT2775" s="4">
        <v>0.66666666666666663</v>
      </c>
      <c r="BU2775" t="s">
        <v>597</v>
      </c>
      <c r="BV2775" t="s">
        <v>86</v>
      </c>
      <c r="BY2775">
        <v>115584</v>
      </c>
      <c r="CC2775" t="s">
        <v>351</v>
      </c>
      <c r="CD2775">
        <v>4052</v>
      </c>
      <c r="CE2775" t="s">
        <v>550</v>
      </c>
      <c r="CF2775" s="3">
        <v>45799</v>
      </c>
      <c r="CI2775">
        <v>1</v>
      </c>
      <c r="CJ2775">
        <v>1</v>
      </c>
      <c r="CK2775">
        <v>41</v>
      </c>
      <c r="CL2775" t="s">
        <v>89</v>
      </c>
    </row>
    <row r="2776" spans="1:90" x14ac:dyDescent="0.3">
      <c r="A2776" t="s">
        <v>72</v>
      </c>
      <c r="B2776" t="s">
        <v>73</v>
      </c>
      <c r="C2776" t="s">
        <v>74</v>
      </c>
      <c r="E2776" t="str">
        <f>"080065497095"</f>
        <v>080065497095</v>
      </c>
      <c r="F2776" s="3">
        <v>45798</v>
      </c>
      <c r="G2776">
        <v>202602</v>
      </c>
      <c r="H2776" t="s">
        <v>75</v>
      </c>
      <c r="I2776" t="s">
        <v>76</v>
      </c>
      <c r="J2776" t="s">
        <v>77</v>
      </c>
      <c r="K2776" t="s">
        <v>78</v>
      </c>
      <c r="L2776" t="s">
        <v>90</v>
      </c>
      <c r="M2776" t="s">
        <v>91</v>
      </c>
      <c r="N2776" t="s">
        <v>515</v>
      </c>
      <c r="O2776" t="s">
        <v>82</v>
      </c>
      <c r="P2776" t="str">
        <f>"4170040011                    "</f>
        <v xml:space="preserve">4170040011                    </v>
      </c>
      <c r="Q2776">
        <v>0</v>
      </c>
      <c r="R2776">
        <v>0</v>
      </c>
      <c r="S2776">
        <v>0</v>
      </c>
      <c r="T2776">
        <v>0</v>
      </c>
      <c r="U2776">
        <v>0</v>
      </c>
      <c r="V2776">
        <v>0</v>
      </c>
      <c r="W2776">
        <v>0</v>
      </c>
      <c r="X2776">
        <v>0</v>
      </c>
      <c r="Y2776">
        <v>0</v>
      </c>
      <c r="Z2776">
        <v>0</v>
      </c>
      <c r="AA2776">
        <v>0</v>
      </c>
      <c r="AB2776">
        <v>0</v>
      </c>
      <c r="AC2776">
        <v>0</v>
      </c>
      <c r="AD2776">
        <v>0</v>
      </c>
      <c r="AE2776">
        <v>0</v>
      </c>
      <c r="AF2776">
        <v>0</v>
      </c>
      <c r="AG2776">
        <v>0</v>
      </c>
      <c r="AH2776">
        <v>0</v>
      </c>
      <c r="AI2776">
        <v>0</v>
      </c>
      <c r="AJ2776">
        <v>0</v>
      </c>
      <c r="AK2776">
        <v>0</v>
      </c>
      <c r="AL2776">
        <v>0</v>
      </c>
      <c r="AM2776">
        <v>0</v>
      </c>
      <c r="AN2776">
        <v>0</v>
      </c>
      <c r="AO2776">
        <v>0</v>
      </c>
      <c r="AP2776">
        <v>0</v>
      </c>
      <c r="AQ2776">
        <v>21.38</v>
      </c>
      <c r="AR2776">
        <v>0</v>
      </c>
      <c r="AS2776">
        <v>0</v>
      </c>
      <c r="AT2776">
        <v>0</v>
      </c>
      <c r="AU2776">
        <v>0</v>
      </c>
      <c r="AV2776">
        <v>0</v>
      </c>
      <c r="AW2776">
        <v>0</v>
      </c>
      <c r="AX2776">
        <v>0</v>
      </c>
      <c r="AY2776">
        <v>0</v>
      </c>
      <c r="AZ2776">
        <v>0</v>
      </c>
      <c r="BA2776">
        <v>0</v>
      </c>
      <c r="BB2776">
        <v>0</v>
      </c>
      <c r="BC2776">
        <v>0</v>
      </c>
      <c r="BD2776">
        <v>0</v>
      </c>
      <c r="BE2776">
        <v>0</v>
      </c>
      <c r="BF2776">
        <v>0</v>
      </c>
      <c r="BG2776">
        <v>0</v>
      </c>
      <c r="BH2776">
        <v>1</v>
      </c>
      <c r="BI2776">
        <v>1</v>
      </c>
      <c r="BJ2776">
        <v>0.2</v>
      </c>
      <c r="BK2776">
        <v>1</v>
      </c>
      <c r="BL2776">
        <v>69.98</v>
      </c>
      <c r="BM2776">
        <v>10.5</v>
      </c>
      <c r="BN2776">
        <v>80.48</v>
      </c>
      <c r="BO2776">
        <v>80.48</v>
      </c>
      <c r="BQ2776" t="s">
        <v>516</v>
      </c>
      <c r="BR2776" t="s">
        <v>84</v>
      </c>
      <c r="BS2776" s="3">
        <v>45799</v>
      </c>
      <c r="BT2776" s="4">
        <v>0.41458333333333336</v>
      </c>
      <c r="BU2776" t="s">
        <v>2022</v>
      </c>
      <c r="BV2776" t="s">
        <v>86</v>
      </c>
      <c r="BY2776">
        <v>1200</v>
      </c>
      <c r="CA2776" t="s">
        <v>271</v>
      </c>
      <c r="CC2776" t="s">
        <v>91</v>
      </c>
      <c r="CD2776">
        <v>6001</v>
      </c>
      <c r="CE2776" t="s">
        <v>88</v>
      </c>
      <c r="CF2776" s="3">
        <v>45799</v>
      </c>
      <c r="CI2776">
        <v>1</v>
      </c>
      <c r="CJ2776">
        <v>1</v>
      </c>
      <c r="CK2776">
        <v>21</v>
      </c>
      <c r="CL2776" t="s">
        <v>89</v>
      </c>
    </row>
    <row r="2777" spans="1:90" x14ac:dyDescent="0.3">
      <c r="A2777" t="s">
        <v>72</v>
      </c>
      <c r="B2777" t="s">
        <v>73</v>
      </c>
      <c r="C2777" t="s">
        <v>74</v>
      </c>
      <c r="E2777" t="str">
        <f>"080065497107"</f>
        <v>080065497107</v>
      </c>
      <c r="F2777" s="3">
        <v>45798</v>
      </c>
      <c r="G2777">
        <v>202602</v>
      </c>
      <c r="H2777" t="s">
        <v>75</v>
      </c>
      <c r="I2777" t="s">
        <v>76</v>
      </c>
      <c r="J2777" t="s">
        <v>77</v>
      </c>
      <c r="K2777" t="s">
        <v>78</v>
      </c>
      <c r="L2777" t="s">
        <v>177</v>
      </c>
      <c r="M2777" t="s">
        <v>178</v>
      </c>
      <c r="N2777" t="s">
        <v>393</v>
      </c>
      <c r="O2777" t="s">
        <v>82</v>
      </c>
      <c r="P2777" t="str">
        <f>"4170039977                    "</f>
        <v xml:space="preserve">4170039977                    </v>
      </c>
      <c r="Q2777">
        <v>0</v>
      </c>
      <c r="R2777">
        <v>0</v>
      </c>
      <c r="S2777">
        <v>0</v>
      </c>
      <c r="T2777">
        <v>0</v>
      </c>
      <c r="U2777">
        <v>0</v>
      </c>
      <c r="V2777">
        <v>0</v>
      </c>
      <c r="W2777">
        <v>0</v>
      </c>
      <c r="X2777">
        <v>0</v>
      </c>
      <c r="Y2777">
        <v>0</v>
      </c>
      <c r="Z2777">
        <v>0</v>
      </c>
      <c r="AA2777">
        <v>0</v>
      </c>
      <c r="AB2777">
        <v>0</v>
      </c>
      <c r="AC2777">
        <v>0</v>
      </c>
      <c r="AD2777">
        <v>0</v>
      </c>
      <c r="AE2777">
        <v>0</v>
      </c>
      <c r="AF2777">
        <v>0</v>
      </c>
      <c r="AG2777">
        <v>0</v>
      </c>
      <c r="AH2777">
        <v>0</v>
      </c>
      <c r="AI2777">
        <v>0</v>
      </c>
      <c r="AJ2777">
        <v>0</v>
      </c>
      <c r="AK2777">
        <v>0</v>
      </c>
      <c r="AL2777">
        <v>0</v>
      </c>
      <c r="AM2777">
        <v>0</v>
      </c>
      <c r="AN2777">
        <v>0</v>
      </c>
      <c r="AO2777">
        <v>0</v>
      </c>
      <c r="AP2777">
        <v>0</v>
      </c>
      <c r="AQ2777">
        <v>21.38</v>
      </c>
      <c r="AR2777">
        <v>0</v>
      </c>
      <c r="AS2777">
        <v>0</v>
      </c>
      <c r="AT2777">
        <v>0</v>
      </c>
      <c r="AU2777">
        <v>0</v>
      </c>
      <c r="AV2777">
        <v>0</v>
      </c>
      <c r="AW2777">
        <v>0</v>
      </c>
      <c r="AX2777">
        <v>0</v>
      </c>
      <c r="AY2777">
        <v>0</v>
      </c>
      <c r="AZ2777">
        <v>0</v>
      </c>
      <c r="BA2777">
        <v>0</v>
      </c>
      <c r="BB2777">
        <v>0</v>
      </c>
      <c r="BC2777">
        <v>0</v>
      </c>
      <c r="BD2777">
        <v>0</v>
      </c>
      <c r="BE2777">
        <v>0</v>
      </c>
      <c r="BF2777">
        <v>0</v>
      </c>
      <c r="BG2777">
        <v>0</v>
      </c>
      <c r="BH2777">
        <v>1</v>
      </c>
      <c r="BI2777">
        <v>1</v>
      </c>
      <c r="BJ2777">
        <v>0.2</v>
      </c>
      <c r="BK2777">
        <v>1</v>
      </c>
      <c r="BL2777">
        <v>69.98</v>
      </c>
      <c r="BM2777">
        <v>10.5</v>
      </c>
      <c r="BN2777">
        <v>80.48</v>
      </c>
      <c r="BO2777">
        <v>80.48</v>
      </c>
      <c r="BQ2777" t="s">
        <v>394</v>
      </c>
      <c r="BR2777" t="s">
        <v>84</v>
      </c>
      <c r="BS2777" s="3">
        <v>45799</v>
      </c>
      <c r="BT2777" s="4">
        <v>0.33333333333333331</v>
      </c>
      <c r="BU2777" t="s">
        <v>1728</v>
      </c>
      <c r="BV2777" t="s">
        <v>86</v>
      </c>
      <c r="BY2777">
        <v>1200</v>
      </c>
      <c r="CA2777" t="s">
        <v>182</v>
      </c>
      <c r="CC2777" t="s">
        <v>178</v>
      </c>
      <c r="CD2777">
        <v>6230</v>
      </c>
      <c r="CE2777" t="s">
        <v>88</v>
      </c>
      <c r="CF2777" s="3">
        <v>45799</v>
      </c>
      <c r="CI2777">
        <v>1</v>
      </c>
      <c r="CJ2777">
        <v>1</v>
      </c>
      <c r="CK2777">
        <v>21</v>
      </c>
      <c r="CL2777" t="s">
        <v>89</v>
      </c>
    </row>
    <row r="2778" spans="1:90" x14ac:dyDescent="0.3">
      <c r="A2778" t="s">
        <v>72</v>
      </c>
      <c r="B2778" t="s">
        <v>73</v>
      </c>
      <c r="C2778" t="s">
        <v>74</v>
      </c>
      <c r="E2778" t="str">
        <f>"080065497110"</f>
        <v>080065497110</v>
      </c>
      <c r="F2778" s="3">
        <v>45798</v>
      </c>
      <c r="G2778">
        <v>202602</v>
      </c>
      <c r="H2778" t="s">
        <v>75</v>
      </c>
      <c r="I2778" t="s">
        <v>76</v>
      </c>
      <c r="J2778" t="s">
        <v>77</v>
      </c>
      <c r="K2778" t="s">
        <v>78</v>
      </c>
      <c r="L2778" t="s">
        <v>75</v>
      </c>
      <c r="M2778" t="s">
        <v>76</v>
      </c>
      <c r="N2778" t="s">
        <v>601</v>
      </c>
      <c r="O2778" t="s">
        <v>82</v>
      </c>
      <c r="P2778" t="str">
        <f>"4170040009                    "</f>
        <v xml:space="preserve">4170040009                    </v>
      </c>
      <c r="Q2778">
        <v>0</v>
      </c>
      <c r="R2778">
        <v>0</v>
      </c>
      <c r="S2778">
        <v>0</v>
      </c>
      <c r="T2778">
        <v>0</v>
      </c>
      <c r="U2778">
        <v>0</v>
      </c>
      <c r="V2778">
        <v>0</v>
      </c>
      <c r="W2778">
        <v>0</v>
      </c>
      <c r="X2778">
        <v>0</v>
      </c>
      <c r="Y2778">
        <v>0</v>
      </c>
      <c r="Z2778">
        <v>0</v>
      </c>
      <c r="AA2778">
        <v>0</v>
      </c>
      <c r="AB2778">
        <v>0</v>
      </c>
      <c r="AC2778">
        <v>0</v>
      </c>
      <c r="AD2778">
        <v>0</v>
      </c>
      <c r="AE2778">
        <v>0</v>
      </c>
      <c r="AF2778">
        <v>0</v>
      </c>
      <c r="AG2778">
        <v>0</v>
      </c>
      <c r="AH2778">
        <v>0</v>
      </c>
      <c r="AI2778">
        <v>0</v>
      </c>
      <c r="AJ2778">
        <v>0</v>
      </c>
      <c r="AK2778">
        <v>0</v>
      </c>
      <c r="AL2778">
        <v>0</v>
      </c>
      <c r="AM2778">
        <v>0</v>
      </c>
      <c r="AN2778">
        <v>0</v>
      </c>
      <c r="AO2778">
        <v>0</v>
      </c>
      <c r="AP2778">
        <v>0</v>
      </c>
      <c r="AQ2778">
        <v>16.7</v>
      </c>
      <c r="AR2778">
        <v>0</v>
      </c>
      <c r="AS2778">
        <v>0</v>
      </c>
      <c r="AT2778">
        <v>0</v>
      </c>
      <c r="AU2778">
        <v>0</v>
      </c>
      <c r="AV2778">
        <v>0</v>
      </c>
      <c r="AW2778">
        <v>0</v>
      </c>
      <c r="AX2778">
        <v>0</v>
      </c>
      <c r="AY2778">
        <v>0</v>
      </c>
      <c r="AZ2778">
        <v>0</v>
      </c>
      <c r="BA2778">
        <v>0</v>
      </c>
      <c r="BB2778">
        <v>0</v>
      </c>
      <c r="BC2778">
        <v>0</v>
      </c>
      <c r="BD2778">
        <v>0</v>
      </c>
      <c r="BE2778">
        <v>0</v>
      </c>
      <c r="BF2778">
        <v>0</v>
      </c>
      <c r="BG2778">
        <v>0</v>
      </c>
      <c r="BH2778">
        <v>1</v>
      </c>
      <c r="BI2778">
        <v>1</v>
      </c>
      <c r="BJ2778">
        <v>0.2</v>
      </c>
      <c r="BK2778">
        <v>1</v>
      </c>
      <c r="BL2778">
        <v>54.66</v>
      </c>
      <c r="BM2778">
        <v>8.1999999999999993</v>
      </c>
      <c r="BN2778">
        <v>62.86</v>
      </c>
      <c r="BO2778">
        <v>62.86</v>
      </c>
      <c r="BQ2778" t="s">
        <v>603</v>
      </c>
      <c r="BR2778" t="s">
        <v>84</v>
      </c>
      <c r="BS2778" s="3">
        <v>45799</v>
      </c>
      <c r="BT2778" s="4">
        <v>0.33402777777777776</v>
      </c>
      <c r="BU2778" t="s">
        <v>604</v>
      </c>
      <c r="BV2778" t="s">
        <v>86</v>
      </c>
      <c r="BY2778">
        <v>1200</v>
      </c>
      <c r="CA2778" t="s">
        <v>605</v>
      </c>
      <c r="CC2778" t="s">
        <v>76</v>
      </c>
      <c r="CD2778">
        <v>1645</v>
      </c>
      <c r="CE2778" t="s">
        <v>88</v>
      </c>
      <c r="CF2778" s="3">
        <v>45800</v>
      </c>
      <c r="CI2778">
        <v>1</v>
      </c>
      <c r="CJ2778">
        <v>1</v>
      </c>
      <c r="CK2778">
        <v>22</v>
      </c>
      <c r="CL2778" t="s">
        <v>89</v>
      </c>
    </row>
    <row r="2779" spans="1:90" x14ac:dyDescent="0.3">
      <c r="A2779" t="s">
        <v>72</v>
      </c>
      <c r="B2779" t="s">
        <v>73</v>
      </c>
      <c r="C2779" t="s">
        <v>74</v>
      </c>
      <c r="E2779" t="str">
        <f>"080065497126"</f>
        <v>080065497126</v>
      </c>
      <c r="F2779" s="3">
        <v>45798</v>
      </c>
      <c r="G2779">
        <v>202602</v>
      </c>
      <c r="H2779" t="s">
        <v>75</v>
      </c>
      <c r="I2779" t="s">
        <v>76</v>
      </c>
      <c r="J2779" t="s">
        <v>77</v>
      </c>
      <c r="K2779" t="s">
        <v>78</v>
      </c>
      <c r="L2779" t="s">
        <v>130</v>
      </c>
      <c r="M2779" t="s">
        <v>131</v>
      </c>
      <c r="N2779" t="s">
        <v>239</v>
      </c>
      <c r="O2779" t="s">
        <v>82</v>
      </c>
      <c r="P2779" t="str">
        <f>"4170039945                    "</f>
        <v xml:space="preserve">4170039945                    </v>
      </c>
      <c r="Q2779">
        <v>0</v>
      </c>
      <c r="R2779">
        <v>0</v>
      </c>
      <c r="S2779">
        <v>0</v>
      </c>
      <c r="T2779">
        <v>0</v>
      </c>
      <c r="U2779">
        <v>0</v>
      </c>
      <c r="V2779">
        <v>0</v>
      </c>
      <c r="W2779">
        <v>0</v>
      </c>
      <c r="X2779">
        <v>0</v>
      </c>
      <c r="Y2779">
        <v>0</v>
      </c>
      <c r="Z2779">
        <v>0</v>
      </c>
      <c r="AA2779">
        <v>0</v>
      </c>
      <c r="AB2779">
        <v>0</v>
      </c>
      <c r="AC2779">
        <v>0</v>
      </c>
      <c r="AD2779">
        <v>0</v>
      </c>
      <c r="AE2779">
        <v>0</v>
      </c>
      <c r="AF2779">
        <v>0</v>
      </c>
      <c r="AG2779">
        <v>0</v>
      </c>
      <c r="AH2779">
        <v>0</v>
      </c>
      <c r="AI2779">
        <v>0</v>
      </c>
      <c r="AJ2779">
        <v>0</v>
      </c>
      <c r="AK2779">
        <v>0</v>
      </c>
      <c r="AL2779">
        <v>0</v>
      </c>
      <c r="AM2779">
        <v>0</v>
      </c>
      <c r="AN2779">
        <v>0</v>
      </c>
      <c r="AO2779">
        <v>0</v>
      </c>
      <c r="AP2779">
        <v>0</v>
      </c>
      <c r="AQ2779">
        <v>138.9</v>
      </c>
      <c r="AR2779">
        <v>0</v>
      </c>
      <c r="AS2779">
        <v>0</v>
      </c>
      <c r="AT2779">
        <v>0</v>
      </c>
      <c r="AU2779">
        <v>0</v>
      </c>
      <c r="AV2779">
        <v>0</v>
      </c>
      <c r="AW2779">
        <v>0</v>
      </c>
      <c r="AX2779">
        <v>0</v>
      </c>
      <c r="AY2779">
        <v>0</v>
      </c>
      <c r="AZ2779">
        <v>0</v>
      </c>
      <c r="BA2779">
        <v>0</v>
      </c>
      <c r="BB2779">
        <v>0</v>
      </c>
      <c r="BC2779">
        <v>0</v>
      </c>
      <c r="BD2779">
        <v>0</v>
      </c>
      <c r="BE2779">
        <v>0</v>
      </c>
      <c r="BF2779">
        <v>0</v>
      </c>
      <c r="BG2779">
        <v>0</v>
      </c>
      <c r="BH2779">
        <v>1</v>
      </c>
      <c r="BI2779">
        <v>13</v>
      </c>
      <c r="BJ2779">
        <v>4.5</v>
      </c>
      <c r="BK2779">
        <v>13</v>
      </c>
      <c r="BL2779">
        <v>454.58</v>
      </c>
      <c r="BM2779">
        <v>68.19</v>
      </c>
      <c r="BN2779">
        <v>522.77</v>
      </c>
      <c r="BO2779">
        <v>522.77</v>
      </c>
      <c r="BQ2779" t="s">
        <v>240</v>
      </c>
      <c r="BR2779" t="s">
        <v>84</v>
      </c>
      <c r="BS2779" s="3">
        <v>45799</v>
      </c>
      <c r="BT2779" s="4">
        <v>0.36805555555555558</v>
      </c>
      <c r="BU2779" t="s">
        <v>2832</v>
      </c>
      <c r="BV2779" t="s">
        <v>86</v>
      </c>
      <c r="BY2779">
        <v>22620</v>
      </c>
      <c r="CA2779" t="s">
        <v>242</v>
      </c>
      <c r="CC2779" t="s">
        <v>131</v>
      </c>
      <c r="CD2779">
        <v>7441</v>
      </c>
      <c r="CE2779" t="s">
        <v>96</v>
      </c>
      <c r="CF2779" s="3">
        <v>45800</v>
      </c>
      <c r="CI2779">
        <v>1</v>
      </c>
      <c r="CJ2779">
        <v>1</v>
      </c>
      <c r="CK2779">
        <v>21</v>
      </c>
      <c r="CL2779" t="s">
        <v>89</v>
      </c>
    </row>
    <row r="2780" spans="1:90" x14ac:dyDescent="0.3">
      <c r="A2780" t="s">
        <v>72</v>
      </c>
      <c r="B2780" t="s">
        <v>73</v>
      </c>
      <c r="C2780" t="s">
        <v>74</v>
      </c>
      <c r="E2780" t="str">
        <f>"080065497128"</f>
        <v>080065497128</v>
      </c>
      <c r="F2780" s="3">
        <v>45798</v>
      </c>
      <c r="G2780">
        <v>202602</v>
      </c>
      <c r="H2780" t="s">
        <v>75</v>
      </c>
      <c r="I2780" t="s">
        <v>76</v>
      </c>
      <c r="J2780" t="s">
        <v>77</v>
      </c>
      <c r="K2780" t="s">
        <v>78</v>
      </c>
      <c r="L2780" t="s">
        <v>320</v>
      </c>
      <c r="M2780" t="s">
        <v>321</v>
      </c>
      <c r="N2780" t="s">
        <v>322</v>
      </c>
      <c r="O2780" t="s">
        <v>82</v>
      </c>
      <c r="P2780" t="str">
        <f>"4170039993                    "</f>
        <v xml:space="preserve">4170039993                    </v>
      </c>
      <c r="Q2780">
        <v>0</v>
      </c>
      <c r="R2780">
        <v>0</v>
      </c>
      <c r="S2780">
        <v>0</v>
      </c>
      <c r="T2780">
        <v>0</v>
      </c>
      <c r="U2780">
        <v>0</v>
      </c>
      <c r="V2780">
        <v>0</v>
      </c>
      <c r="W2780">
        <v>0</v>
      </c>
      <c r="X2780">
        <v>0</v>
      </c>
      <c r="Y2780">
        <v>0</v>
      </c>
      <c r="Z2780">
        <v>0</v>
      </c>
      <c r="AA2780">
        <v>0</v>
      </c>
      <c r="AB2780">
        <v>0</v>
      </c>
      <c r="AC2780">
        <v>0</v>
      </c>
      <c r="AD2780">
        <v>0</v>
      </c>
      <c r="AE2780">
        <v>0</v>
      </c>
      <c r="AF2780">
        <v>0</v>
      </c>
      <c r="AG2780">
        <v>0</v>
      </c>
      <c r="AH2780">
        <v>0</v>
      </c>
      <c r="AI2780">
        <v>0</v>
      </c>
      <c r="AJ2780">
        <v>0</v>
      </c>
      <c r="AK2780">
        <v>0</v>
      </c>
      <c r="AL2780">
        <v>0</v>
      </c>
      <c r="AM2780">
        <v>0</v>
      </c>
      <c r="AN2780">
        <v>0</v>
      </c>
      <c r="AO2780">
        <v>0</v>
      </c>
      <c r="AP2780">
        <v>0</v>
      </c>
      <c r="AQ2780">
        <v>21.38</v>
      </c>
      <c r="AR2780">
        <v>0</v>
      </c>
      <c r="AS2780">
        <v>0</v>
      </c>
      <c r="AT2780">
        <v>0</v>
      </c>
      <c r="AU2780">
        <v>0</v>
      </c>
      <c r="AV2780">
        <v>0</v>
      </c>
      <c r="AW2780">
        <v>0</v>
      </c>
      <c r="AX2780">
        <v>0</v>
      </c>
      <c r="AY2780">
        <v>0</v>
      </c>
      <c r="AZ2780">
        <v>0</v>
      </c>
      <c r="BA2780">
        <v>0</v>
      </c>
      <c r="BB2780">
        <v>0</v>
      </c>
      <c r="BC2780">
        <v>0</v>
      </c>
      <c r="BD2780">
        <v>0</v>
      </c>
      <c r="BE2780">
        <v>0</v>
      </c>
      <c r="BF2780">
        <v>0</v>
      </c>
      <c r="BG2780">
        <v>0</v>
      </c>
      <c r="BH2780">
        <v>1</v>
      </c>
      <c r="BI2780">
        <v>1</v>
      </c>
      <c r="BJ2780">
        <v>0.2</v>
      </c>
      <c r="BK2780">
        <v>1</v>
      </c>
      <c r="BL2780">
        <v>69.98</v>
      </c>
      <c r="BM2780">
        <v>10.5</v>
      </c>
      <c r="BN2780">
        <v>80.48</v>
      </c>
      <c r="BO2780">
        <v>80.48</v>
      </c>
      <c r="BQ2780" t="s">
        <v>323</v>
      </c>
      <c r="BR2780" t="s">
        <v>84</v>
      </c>
      <c r="BS2780" s="3">
        <v>45799</v>
      </c>
      <c r="BT2780" s="4">
        <v>0.59375</v>
      </c>
      <c r="BU2780" t="s">
        <v>324</v>
      </c>
      <c r="BV2780" t="s">
        <v>89</v>
      </c>
      <c r="BY2780">
        <v>1200</v>
      </c>
      <c r="CA2780" t="s">
        <v>326</v>
      </c>
      <c r="CC2780" t="s">
        <v>321</v>
      </c>
      <c r="CD2780">
        <v>4113</v>
      </c>
      <c r="CE2780" t="s">
        <v>88</v>
      </c>
      <c r="CF2780" s="3">
        <v>45800</v>
      </c>
      <c r="CI2780">
        <v>1</v>
      </c>
      <c r="CJ2780">
        <v>1</v>
      </c>
      <c r="CK2780">
        <v>21</v>
      </c>
      <c r="CL2780" t="s">
        <v>89</v>
      </c>
    </row>
    <row r="2781" spans="1:90" x14ac:dyDescent="0.3">
      <c r="A2781" t="s">
        <v>72</v>
      </c>
      <c r="B2781" t="s">
        <v>73</v>
      </c>
      <c r="C2781" t="s">
        <v>74</v>
      </c>
      <c r="E2781" t="str">
        <f>"080065497139"</f>
        <v>080065497139</v>
      </c>
      <c r="F2781" s="3">
        <v>45798</v>
      </c>
      <c r="G2781">
        <v>202602</v>
      </c>
      <c r="H2781" t="s">
        <v>75</v>
      </c>
      <c r="I2781" t="s">
        <v>76</v>
      </c>
      <c r="J2781" t="s">
        <v>77</v>
      </c>
      <c r="K2781" t="s">
        <v>78</v>
      </c>
      <c r="L2781" t="s">
        <v>844</v>
      </c>
      <c r="M2781" t="s">
        <v>845</v>
      </c>
      <c r="N2781" t="s">
        <v>1807</v>
      </c>
      <c r="O2781" t="s">
        <v>82</v>
      </c>
      <c r="P2781" t="str">
        <f>"4170039972                    "</f>
        <v xml:space="preserve">4170039972                    </v>
      </c>
      <c r="Q2781">
        <v>0</v>
      </c>
      <c r="R2781">
        <v>0</v>
      </c>
      <c r="S2781">
        <v>0</v>
      </c>
      <c r="T2781">
        <v>0</v>
      </c>
      <c r="U2781">
        <v>0</v>
      </c>
      <c r="V2781">
        <v>0</v>
      </c>
      <c r="W2781">
        <v>0</v>
      </c>
      <c r="X2781">
        <v>0</v>
      </c>
      <c r="Y2781">
        <v>0</v>
      </c>
      <c r="Z2781">
        <v>0</v>
      </c>
      <c r="AA2781">
        <v>0</v>
      </c>
      <c r="AB2781">
        <v>0</v>
      </c>
      <c r="AC2781">
        <v>0</v>
      </c>
      <c r="AD2781">
        <v>0</v>
      </c>
      <c r="AE2781">
        <v>0</v>
      </c>
      <c r="AF2781">
        <v>0</v>
      </c>
      <c r="AG2781">
        <v>0</v>
      </c>
      <c r="AH2781">
        <v>0</v>
      </c>
      <c r="AI2781">
        <v>0</v>
      </c>
      <c r="AJ2781">
        <v>0</v>
      </c>
      <c r="AK2781">
        <v>0</v>
      </c>
      <c r="AL2781">
        <v>0</v>
      </c>
      <c r="AM2781">
        <v>0</v>
      </c>
      <c r="AN2781">
        <v>0</v>
      </c>
      <c r="AO2781">
        <v>0</v>
      </c>
      <c r="AP2781">
        <v>0</v>
      </c>
      <c r="AQ2781">
        <v>21.38</v>
      </c>
      <c r="AR2781">
        <v>0</v>
      </c>
      <c r="AS2781">
        <v>0</v>
      </c>
      <c r="AT2781">
        <v>0</v>
      </c>
      <c r="AU2781">
        <v>0</v>
      </c>
      <c r="AV2781">
        <v>0</v>
      </c>
      <c r="AW2781">
        <v>0</v>
      </c>
      <c r="AX2781">
        <v>0</v>
      </c>
      <c r="AY2781">
        <v>0</v>
      </c>
      <c r="AZ2781">
        <v>0</v>
      </c>
      <c r="BA2781">
        <v>0</v>
      </c>
      <c r="BB2781">
        <v>0</v>
      </c>
      <c r="BC2781">
        <v>0</v>
      </c>
      <c r="BD2781">
        <v>0</v>
      </c>
      <c r="BE2781">
        <v>0</v>
      </c>
      <c r="BF2781">
        <v>0</v>
      </c>
      <c r="BG2781">
        <v>0</v>
      </c>
      <c r="BH2781">
        <v>1</v>
      </c>
      <c r="BI2781">
        <v>1</v>
      </c>
      <c r="BJ2781">
        <v>1.9</v>
      </c>
      <c r="BK2781">
        <v>2</v>
      </c>
      <c r="BL2781">
        <v>69.98</v>
      </c>
      <c r="BM2781">
        <v>10.5</v>
      </c>
      <c r="BN2781">
        <v>80.48</v>
      </c>
      <c r="BO2781">
        <v>80.48</v>
      </c>
      <c r="BQ2781" t="s">
        <v>1808</v>
      </c>
      <c r="BR2781" t="s">
        <v>84</v>
      </c>
      <c r="BS2781" s="3">
        <v>45799</v>
      </c>
      <c r="BT2781" s="4">
        <v>0.37708333333333333</v>
      </c>
      <c r="BU2781" t="s">
        <v>2882</v>
      </c>
      <c r="BV2781" t="s">
        <v>86</v>
      </c>
      <c r="BY2781">
        <v>9600</v>
      </c>
      <c r="CA2781" t="s">
        <v>849</v>
      </c>
      <c r="CC2781" t="s">
        <v>845</v>
      </c>
      <c r="CD2781">
        <v>7600</v>
      </c>
      <c r="CE2781" t="s">
        <v>96</v>
      </c>
      <c r="CF2781" s="3">
        <v>45800</v>
      </c>
      <c r="CI2781">
        <v>1</v>
      </c>
      <c r="CJ2781">
        <v>1</v>
      </c>
      <c r="CK2781">
        <v>21</v>
      </c>
      <c r="CL2781" t="s">
        <v>89</v>
      </c>
    </row>
    <row r="2782" spans="1:90" x14ac:dyDescent="0.3">
      <c r="A2782" t="s">
        <v>72</v>
      </c>
      <c r="B2782" t="s">
        <v>73</v>
      </c>
      <c r="C2782" t="s">
        <v>74</v>
      </c>
      <c r="E2782" t="str">
        <f>"080065497172"</f>
        <v>080065497172</v>
      </c>
      <c r="F2782" s="3">
        <v>45798</v>
      </c>
      <c r="G2782">
        <v>202602</v>
      </c>
      <c r="H2782" t="s">
        <v>75</v>
      </c>
      <c r="I2782" t="s">
        <v>76</v>
      </c>
      <c r="J2782" t="s">
        <v>77</v>
      </c>
      <c r="K2782" t="s">
        <v>78</v>
      </c>
      <c r="L2782" t="s">
        <v>117</v>
      </c>
      <c r="M2782" t="s">
        <v>118</v>
      </c>
      <c r="N2782" t="s">
        <v>2883</v>
      </c>
      <c r="O2782" t="s">
        <v>82</v>
      </c>
      <c r="P2782" t="str">
        <f>"4170040000                    "</f>
        <v xml:space="preserve">4170040000                    </v>
      </c>
      <c r="Q2782">
        <v>0</v>
      </c>
      <c r="R2782">
        <v>0</v>
      </c>
      <c r="S2782">
        <v>0</v>
      </c>
      <c r="T2782">
        <v>0</v>
      </c>
      <c r="U2782">
        <v>0</v>
      </c>
      <c r="V2782">
        <v>0</v>
      </c>
      <c r="W2782">
        <v>0</v>
      </c>
      <c r="X2782">
        <v>0</v>
      </c>
      <c r="Y2782">
        <v>0</v>
      </c>
      <c r="Z2782">
        <v>0</v>
      </c>
      <c r="AA2782">
        <v>0</v>
      </c>
      <c r="AB2782">
        <v>0</v>
      </c>
      <c r="AC2782">
        <v>0</v>
      </c>
      <c r="AD2782">
        <v>0</v>
      </c>
      <c r="AE2782">
        <v>0</v>
      </c>
      <c r="AF2782">
        <v>0</v>
      </c>
      <c r="AG2782">
        <v>0</v>
      </c>
      <c r="AH2782">
        <v>0</v>
      </c>
      <c r="AI2782">
        <v>0</v>
      </c>
      <c r="AJ2782">
        <v>0</v>
      </c>
      <c r="AK2782">
        <v>0</v>
      </c>
      <c r="AL2782">
        <v>0</v>
      </c>
      <c r="AM2782">
        <v>0</v>
      </c>
      <c r="AN2782">
        <v>0</v>
      </c>
      <c r="AO2782">
        <v>0</v>
      </c>
      <c r="AP2782">
        <v>0</v>
      </c>
      <c r="AQ2782">
        <v>16.7</v>
      </c>
      <c r="AR2782">
        <v>0</v>
      </c>
      <c r="AS2782">
        <v>0</v>
      </c>
      <c r="AT2782">
        <v>0</v>
      </c>
      <c r="AU2782">
        <v>0</v>
      </c>
      <c r="AV2782">
        <v>0</v>
      </c>
      <c r="AW2782">
        <v>0</v>
      </c>
      <c r="AX2782">
        <v>0</v>
      </c>
      <c r="AY2782">
        <v>0</v>
      </c>
      <c r="AZ2782">
        <v>0</v>
      </c>
      <c r="BA2782">
        <v>0</v>
      </c>
      <c r="BB2782">
        <v>0</v>
      </c>
      <c r="BC2782">
        <v>0</v>
      </c>
      <c r="BD2782">
        <v>0</v>
      </c>
      <c r="BE2782">
        <v>0</v>
      </c>
      <c r="BF2782">
        <v>0</v>
      </c>
      <c r="BG2782">
        <v>0</v>
      </c>
      <c r="BH2782">
        <v>1</v>
      </c>
      <c r="BI2782">
        <v>1</v>
      </c>
      <c r="BJ2782">
        <v>0.2</v>
      </c>
      <c r="BK2782">
        <v>1</v>
      </c>
      <c r="BL2782">
        <v>54.66</v>
      </c>
      <c r="BM2782">
        <v>8.1999999999999993</v>
      </c>
      <c r="BN2782">
        <v>62.86</v>
      </c>
      <c r="BO2782">
        <v>62.86</v>
      </c>
      <c r="BQ2782" t="s">
        <v>2884</v>
      </c>
      <c r="BR2782" t="s">
        <v>84</v>
      </c>
      <c r="BS2782" s="3">
        <v>45800</v>
      </c>
      <c r="BT2782" s="4">
        <v>0.41666666666666669</v>
      </c>
      <c r="BU2782" t="s">
        <v>2885</v>
      </c>
      <c r="BV2782" t="s">
        <v>89</v>
      </c>
      <c r="BY2782">
        <v>1200</v>
      </c>
      <c r="CA2782" t="s">
        <v>231</v>
      </c>
      <c r="CC2782" t="s">
        <v>118</v>
      </c>
      <c r="CD2782">
        <v>2094</v>
      </c>
      <c r="CE2782" t="s">
        <v>88</v>
      </c>
      <c r="CF2782" s="3">
        <v>45801</v>
      </c>
      <c r="CI2782">
        <v>1</v>
      </c>
      <c r="CJ2782">
        <v>2</v>
      </c>
      <c r="CK2782">
        <v>22</v>
      </c>
      <c r="CL2782" t="s">
        <v>89</v>
      </c>
    </row>
    <row r="2783" spans="1:90" x14ac:dyDescent="0.3">
      <c r="A2783" t="s">
        <v>72</v>
      </c>
      <c r="B2783" t="s">
        <v>73</v>
      </c>
      <c r="C2783" t="s">
        <v>74</v>
      </c>
      <c r="E2783" t="str">
        <f>"080065497179"</f>
        <v>080065497179</v>
      </c>
      <c r="F2783" s="3">
        <v>45798</v>
      </c>
      <c r="G2783">
        <v>202602</v>
      </c>
      <c r="H2783" t="s">
        <v>75</v>
      </c>
      <c r="I2783" t="s">
        <v>76</v>
      </c>
      <c r="J2783" t="s">
        <v>77</v>
      </c>
      <c r="K2783" t="s">
        <v>78</v>
      </c>
      <c r="L2783" t="s">
        <v>215</v>
      </c>
      <c r="M2783" t="s">
        <v>216</v>
      </c>
      <c r="N2783" t="s">
        <v>1184</v>
      </c>
      <c r="O2783" t="s">
        <v>82</v>
      </c>
      <c r="P2783" t="str">
        <f>"4170040008                    "</f>
        <v xml:space="preserve">4170040008                    </v>
      </c>
      <c r="Q2783">
        <v>0</v>
      </c>
      <c r="R2783">
        <v>0</v>
      </c>
      <c r="S2783">
        <v>0</v>
      </c>
      <c r="T2783">
        <v>0</v>
      </c>
      <c r="U2783">
        <v>0</v>
      </c>
      <c r="V2783">
        <v>0</v>
      </c>
      <c r="W2783">
        <v>0</v>
      </c>
      <c r="X2783">
        <v>0</v>
      </c>
      <c r="Y2783">
        <v>0</v>
      </c>
      <c r="Z2783">
        <v>0</v>
      </c>
      <c r="AA2783">
        <v>0</v>
      </c>
      <c r="AB2783">
        <v>0</v>
      </c>
      <c r="AC2783">
        <v>0</v>
      </c>
      <c r="AD2783">
        <v>0</v>
      </c>
      <c r="AE2783">
        <v>0</v>
      </c>
      <c r="AF2783">
        <v>0</v>
      </c>
      <c r="AG2783">
        <v>0</v>
      </c>
      <c r="AH2783">
        <v>0</v>
      </c>
      <c r="AI2783">
        <v>0</v>
      </c>
      <c r="AJ2783">
        <v>0</v>
      </c>
      <c r="AK2783">
        <v>0</v>
      </c>
      <c r="AL2783">
        <v>0</v>
      </c>
      <c r="AM2783">
        <v>0</v>
      </c>
      <c r="AN2783">
        <v>0</v>
      </c>
      <c r="AO2783">
        <v>0</v>
      </c>
      <c r="AP2783">
        <v>0</v>
      </c>
      <c r="AQ2783">
        <v>41.43</v>
      </c>
      <c r="AR2783">
        <v>0</v>
      </c>
      <c r="AS2783">
        <v>0</v>
      </c>
      <c r="AT2783">
        <v>0</v>
      </c>
      <c r="AU2783">
        <v>0</v>
      </c>
      <c r="AV2783">
        <v>0</v>
      </c>
      <c r="AW2783">
        <v>0</v>
      </c>
      <c r="AX2783">
        <v>0</v>
      </c>
      <c r="AY2783">
        <v>0</v>
      </c>
      <c r="AZ2783">
        <v>0</v>
      </c>
      <c r="BA2783">
        <v>0</v>
      </c>
      <c r="BB2783">
        <v>0</v>
      </c>
      <c r="BC2783">
        <v>0</v>
      </c>
      <c r="BD2783">
        <v>0</v>
      </c>
      <c r="BE2783">
        <v>0</v>
      </c>
      <c r="BF2783">
        <v>0</v>
      </c>
      <c r="BG2783">
        <v>0</v>
      </c>
      <c r="BH2783">
        <v>1</v>
      </c>
      <c r="BI2783">
        <v>1</v>
      </c>
      <c r="BJ2783">
        <v>0.2</v>
      </c>
      <c r="BK2783">
        <v>1</v>
      </c>
      <c r="BL2783">
        <v>135.59</v>
      </c>
      <c r="BM2783">
        <v>20.34</v>
      </c>
      <c r="BN2783">
        <v>155.93</v>
      </c>
      <c r="BO2783">
        <v>155.93</v>
      </c>
      <c r="BQ2783" t="s">
        <v>218</v>
      </c>
      <c r="BR2783" t="s">
        <v>84</v>
      </c>
      <c r="BS2783" s="3">
        <v>45799</v>
      </c>
      <c r="BT2783" s="4">
        <v>0.55625000000000002</v>
      </c>
      <c r="BU2783" t="s">
        <v>219</v>
      </c>
      <c r="BV2783" t="s">
        <v>86</v>
      </c>
      <c r="BY2783">
        <v>1200</v>
      </c>
      <c r="CA2783" t="s">
        <v>220</v>
      </c>
      <c r="CC2783" t="s">
        <v>216</v>
      </c>
      <c r="CD2783">
        <v>4449</v>
      </c>
      <c r="CE2783" t="s">
        <v>88</v>
      </c>
      <c r="CF2783" s="3">
        <v>45800</v>
      </c>
      <c r="CI2783">
        <v>1</v>
      </c>
      <c r="CJ2783">
        <v>1</v>
      </c>
      <c r="CK2783">
        <v>23</v>
      </c>
      <c r="CL2783" t="s">
        <v>89</v>
      </c>
    </row>
    <row r="2784" spans="1:90" x14ac:dyDescent="0.3">
      <c r="A2784" t="s">
        <v>72</v>
      </c>
      <c r="B2784" t="s">
        <v>73</v>
      </c>
      <c r="C2784" t="s">
        <v>74</v>
      </c>
      <c r="E2784" t="str">
        <f>"080065497189"</f>
        <v>080065497189</v>
      </c>
      <c r="F2784" s="3">
        <v>45798</v>
      </c>
      <c r="G2784">
        <v>202602</v>
      </c>
      <c r="H2784" t="s">
        <v>75</v>
      </c>
      <c r="I2784" t="s">
        <v>76</v>
      </c>
      <c r="J2784" t="s">
        <v>77</v>
      </c>
      <c r="K2784" t="s">
        <v>78</v>
      </c>
      <c r="L2784" t="s">
        <v>331</v>
      </c>
      <c r="M2784" t="s">
        <v>332</v>
      </c>
      <c r="N2784" t="s">
        <v>2886</v>
      </c>
      <c r="O2784" t="s">
        <v>82</v>
      </c>
      <c r="P2784" t="str">
        <f>"4170040004                    "</f>
        <v xml:space="preserve">4170040004                    </v>
      </c>
      <c r="Q2784">
        <v>0</v>
      </c>
      <c r="R2784">
        <v>0</v>
      </c>
      <c r="S2784">
        <v>0</v>
      </c>
      <c r="T2784">
        <v>0</v>
      </c>
      <c r="U2784">
        <v>0</v>
      </c>
      <c r="V2784">
        <v>0</v>
      </c>
      <c r="W2784">
        <v>0</v>
      </c>
      <c r="X2784">
        <v>0</v>
      </c>
      <c r="Y2784">
        <v>0</v>
      </c>
      <c r="Z2784">
        <v>0</v>
      </c>
      <c r="AA2784">
        <v>0</v>
      </c>
      <c r="AB2784">
        <v>0</v>
      </c>
      <c r="AC2784">
        <v>0</v>
      </c>
      <c r="AD2784">
        <v>0</v>
      </c>
      <c r="AE2784">
        <v>0</v>
      </c>
      <c r="AF2784">
        <v>0</v>
      </c>
      <c r="AG2784">
        <v>0</v>
      </c>
      <c r="AH2784">
        <v>0</v>
      </c>
      <c r="AI2784">
        <v>0</v>
      </c>
      <c r="AJ2784">
        <v>0</v>
      </c>
      <c r="AK2784">
        <v>0</v>
      </c>
      <c r="AL2784">
        <v>0</v>
      </c>
      <c r="AM2784">
        <v>0</v>
      </c>
      <c r="AN2784">
        <v>0</v>
      </c>
      <c r="AO2784">
        <v>0</v>
      </c>
      <c r="AP2784">
        <v>0</v>
      </c>
      <c r="AQ2784">
        <v>16.7</v>
      </c>
      <c r="AR2784">
        <v>0</v>
      </c>
      <c r="AS2784">
        <v>0</v>
      </c>
      <c r="AT2784">
        <v>0</v>
      </c>
      <c r="AU2784">
        <v>0</v>
      </c>
      <c r="AV2784">
        <v>0</v>
      </c>
      <c r="AW2784">
        <v>0</v>
      </c>
      <c r="AX2784">
        <v>0</v>
      </c>
      <c r="AY2784">
        <v>0</v>
      </c>
      <c r="AZ2784">
        <v>0</v>
      </c>
      <c r="BA2784">
        <v>0</v>
      </c>
      <c r="BB2784">
        <v>0</v>
      </c>
      <c r="BC2784">
        <v>0</v>
      </c>
      <c r="BD2784">
        <v>0</v>
      </c>
      <c r="BE2784">
        <v>0</v>
      </c>
      <c r="BF2784">
        <v>0</v>
      </c>
      <c r="BG2784">
        <v>0</v>
      </c>
      <c r="BH2784">
        <v>1</v>
      </c>
      <c r="BI2784">
        <v>1</v>
      </c>
      <c r="BJ2784">
        <v>0.2</v>
      </c>
      <c r="BK2784">
        <v>1</v>
      </c>
      <c r="BL2784">
        <v>54.66</v>
      </c>
      <c r="BM2784">
        <v>8.1999999999999993</v>
      </c>
      <c r="BN2784">
        <v>62.86</v>
      </c>
      <c r="BO2784">
        <v>62.86</v>
      </c>
      <c r="BQ2784" t="s">
        <v>2887</v>
      </c>
      <c r="BR2784" t="s">
        <v>84</v>
      </c>
      <c r="BS2784" s="3">
        <v>45799</v>
      </c>
      <c r="BT2784" s="4">
        <v>0.34027777777777779</v>
      </c>
      <c r="BU2784" t="s">
        <v>392</v>
      </c>
      <c r="BV2784" t="s">
        <v>86</v>
      </c>
      <c r="BY2784">
        <v>1200</v>
      </c>
      <c r="CA2784" t="s">
        <v>336</v>
      </c>
      <c r="CC2784" t="s">
        <v>332</v>
      </c>
      <c r="CD2784">
        <v>1451</v>
      </c>
      <c r="CE2784" t="s">
        <v>88</v>
      </c>
      <c r="CF2784" s="3">
        <v>45800</v>
      </c>
      <c r="CI2784">
        <v>1</v>
      </c>
      <c r="CJ2784">
        <v>1</v>
      </c>
      <c r="CK2784">
        <v>22</v>
      </c>
      <c r="CL2784" t="s">
        <v>89</v>
      </c>
    </row>
    <row r="2785" spans="1:90" x14ac:dyDescent="0.3">
      <c r="A2785" t="s">
        <v>72</v>
      </c>
      <c r="B2785" t="s">
        <v>73</v>
      </c>
      <c r="C2785" t="s">
        <v>74</v>
      </c>
      <c r="E2785" t="str">
        <f>"009944473741"</f>
        <v>009944473741</v>
      </c>
      <c r="F2785" s="3">
        <v>45798</v>
      </c>
      <c r="G2785">
        <v>202602</v>
      </c>
      <c r="H2785" t="s">
        <v>130</v>
      </c>
      <c r="I2785" t="s">
        <v>131</v>
      </c>
      <c r="J2785" t="s">
        <v>1787</v>
      </c>
      <c r="K2785" t="s">
        <v>78</v>
      </c>
      <c r="L2785" t="s">
        <v>75</v>
      </c>
      <c r="M2785" t="s">
        <v>76</v>
      </c>
      <c r="N2785" t="s">
        <v>1035</v>
      </c>
      <c r="O2785" t="s">
        <v>300</v>
      </c>
      <c r="P2785" t="str">
        <f>"                              "</f>
        <v xml:space="preserve">                              </v>
      </c>
      <c r="Q2785">
        <v>0</v>
      </c>
      <c r="R2785">
        <v>0</v>
      </c>
      <c r="S2785">
        <v>0</v>
      </c>
      <c r="T2785">
        <v>0</v>
      </c>
      <c r="U2785">
        <v>0</v>
      </c>
      <c r="V2785">
        <v>0</v>
      </c>
      <c r="W2785">
        <v>0</v>
      </c>
      <c r="X2785">
        <v>0</v>
      </c>
      <c r="Y2785">
        <v>0</v>
      </c>
      <c r="Z2785">
        <v>0</v>
      </c>
      <c r="AA2785">
        <v>0</v>
      </c>
      <c r="AB2785">
        <v>0</v>
      </c>
      <c r="AC2785">
        <v>0</v>
      </c>
      <c r="AD2785">
        <v>0</v>
      </c>
      <c r="AE2785">
        <v>0</v>
      </c>
      <c r="AF2785">
        <v>0</v>
      </c>
      <c r="AG2785">
        <v>0</v>
      </c>
      <c r="AH2785">
        <v>0</v>
      </c>
      <c r="AI2785">
        <v>0</v>
      </c>
      <c r="AJ2785">
        <v>0</v>
      </c>
      <c r="AK2785">
        <v>0</v>
      </c>
      <c r="AL2785">
        <v>0</v>
      </c>
      <c r="AM2785">
        <v>0</v>
      </c>
      <c r="AN2785">
        <v>0</v>
      </c>
      <c r="AO2785">
        <v>0</v>
      </c>
      <c r="AP2785">
        <v>0</v>
      </c>
      <c r="AQ2785">
        <v>41.35</v>
      </c>
      <c r="AR2785">
        <v>0</v>
      </c>
      <c r="AS2785">
        <v>0</v>
      </c>
      <c r="AT2785">
        <v>0</v>
      </c>
      <c r="AU2785">
        <v>0</v>
      </c>
      <c r="AV2785">
        <v>0</v>
      </c>
      <c r="AW2785">
        <v>0</v>
      </c>
      <c r="AX2785">
        <v>0</v>
      </c>
      <c r="AY2785">
        <v>0</v>
      </c>
      <c r="AZ2785">
        <v>0</v>
      </c>
      <c r="BA2785">
        <v>0</v>
      </c>
      <c r="BB2785">
        <v>0</v>
      </c>
      <c r="BC2785">
        <v>0</v>
      </c>
      <c r="BD2785">
        <v>0</v>
      </c>
      <c r="BE2785">
        <v>0</v>
      </c>
      <c r="BF2785">
        <v>0</v>
      </c>
      <c r="BG2785">
        <v>0</v>
      </c>
      <c r="BH2785">
        <v>1</v>
      </c>
      <c r="BI2785">
        <v>0.2</v>
      </c>
      <c r="BJ2785">
        <v>1.5</v>
      </c>
      <c r="BK2785">
        <v>2</v>
      </c>
      <c r="BL2785">
        <v>140.9</v>
      </c>
      <c r="BM2785">
        <v>21.14</v>
      </c>
      <c r="BN2785">
        <v>162.04</v>
      </c>
      <c r="BO2785">
        <v>162.04</v>
      </c>
      <c r="BP2785" t="s">
        <v>2888</v>
      </c>
      <c r="BQ2785" t="s">
        <v>2889</v>
      </c>
      <c r="BR2785" t="s">
        <v>2890</v>
      </c>
      <c r="BS2785" s="3">
        <v>45800</v>
      </c>
      <c r="BT2785" s="4">
        <v>0.3611111111111111</v>
      </c>
      <c r="BU2785" t="s">
        <v>1039</v>
      </c>
      <c r="BV2785" t="s">
        <v>86</v>
      </c>
      <c r="BY2785">
        <v>7447.02</v>
      </c>
      <c r="BZ2785" t="s">
        <v>303</v>
      </c>
      <c r="CA2785" t="s">
        <v>484</v>
      </c>
      <c r="CC2785" t="s">
        <v>76</v>
      </c>
      <c r="CD2785">
        <v>1600</v>
      </c>
      <c r="CE2785" t="s">
        <v>176</v>
      </c>
      <c r="CF2785" s="3">
        <v>45800</v>
      </c>
      <c r="CI2785">
        <v>3</v>
      </c>
      <c r="CJ2785">
        <v>2</v>
      </c>
      <c r="CK2785">
        <v>41</v>
      </c>
      <c r="CL2785" t="s">
        <v>89</v>
      </c>
    </row>
    <row r="2786" spans="1:90" x14ac:dyDescent="0.3">
      <c r="A2786" t="s">
        <v>72</v>
      </c>
      <c r="B2786" t="s">
        <v>73</v>
      </c>
      <c r="C2786" t="s">
        <v>74</v>
      </c>
      <c r="E2786" t="str">
        <f>"R080064990676"</f>
        <v>R080064990676</v>
      </c>
      <c r="F2786" s="3">
        <v>45783</v>
      </c>
      <c r="G2786">
        <v>202602</v>
      </c>
      <c r="H2786" t="s">
        <v>75</v>
      </c>
      <c r="I2786" t="s">
        <v>76</v>
      </c>
      <c r="J2786" t="s">
        <v>1791</v>
      </c>
      <c r="K2786" t="s">
        <v>78</v>
      </c>
      <c r="L2786" t="s">
        <v>902</v>
      </c>
      <c r="M2786" t="s">
        <v>903</v>
      </c>
      <c r="N2786" t="s">
        <v>2891</v>
      </c>
      <c r="O2786" t="s">
        <v>300</v>
      </c>
      <c r="P2786" t="str">
        <f>"4170035581                    "</f>
        <v xml:space="preserve">4170035581                    </v>
      </c>
      <c r="Q2786">
        <v>0</v>
      </c>
      <c r="R2786">
        <v>0</v>
      </c>
      <c r="S2786">
        <v>0</v>
      </c>
      <c r="T2786">
        <v>0</v>
      </c>
      <c r="U2786">
        <v>0</v>
      </c>
      <c r="V2786">
        <v>0</v>
      </c>
      <c r="W2786">
        <v>0</v>
      </c>
      <c r="X2786">
        <v>0</v>
      </c>
      <c r="Y2786">
        <v>0</v>
      </c>
      <c r="Z2786">
        <v>0</v>
      </c>
      <c r="AA2786">
        <v>0</v>
      </c>
      <c r="AB2786">
        <v>0</v>
      </c>
      <c r="AC2786">
        <v>0</v>
      </c>
      <c r="AD2786">
        <v>0</v>
      </c>
      <c r="AE2786">
        <v>0</v>
      </c>
      <c r="AF2786">
        <v>0</v>
      </c>
      <c r="AG2786">
        <v>0</v>
      </c>
      <c r="AH2786">
        <v>0</v>
      </c>
      <c r="AI2786">
        <v>0</v>
      </c>
      <c r="AJ2786">
        <v>0</v>
      </c>
      <c r="AK2786">
        <v>0</v>
      </c>
      <c r="AL2786">
        <v>0</v>
      </c>
      <c r="AM2786">
        <v>0</v>
      </c>
      <c r="AN2786">
        <v>0</v>
      </c>
      <c r="AO2786">
        <v>0</v>
      </c>
      <c r="AP2786">
        <v>0</v>
      </c>
      <c r="AQ2786">
        <v>0</v>
      </c>
      <c r="AR2786">
        <v>0</v>
      </c>
      <c r="AS2786">
        <v>0</v>
      </c>
      <c r="AT2786">
        <v>0</v>
      </c>
      <c r="AU2786">
        <v>0</v>
      </c>
      <c r="AV2786">
        <v>0</v>
      </c>
      <c r="AW2786">
        <v>0</v>
      </c>
      <c r="AX2786">
        <v>0</v>
      </c>
      <c r="AY2786">
        <v>0</v>
      </c>
      <c r="AZ2786">
        <v>0</v>
      </c>
      <c r="BA2786">
        <v>0</v>
      </c>
      <c r="BB2786">
        <v>0</v>
      </c>
      <c r="BC2786">
        <v>0</v>
      </c>
      <c r="BD2786">
        <v>0</v>
      </c>
      <c r="BE2786">
        <v>0</v>
      </c>
      <c r="BF2786">
        <v>0</v>
      </c>
      <c r="BG2786">
        <v>0</v>
      </c>
      <c r="BH2786">
        <v>1</v>
      </c>
      <c r="BI2786">
        <v>1</v>
      </c>
      <c r="BJ2786">
        <v>0.2</v>
      </c>
      <c r="BK2786">
        <v>1</v>
      </c>
      <c r="BL2786">
        <v>0</v>
      </c>
      <c r="BM2786">
        <v>0</v>
      </c>
      <c r="BN2786">
        <v>0</v>
      </c>
      <c r="BO2786">
        <v>0</v>
      </c>
      <c r="BQ2786" t="s">
        <v>2892</v>
      </c>
      <c r="BR2786" t="s">
        <v>1793</v>
      </c>
      <c r="BS2786" s="3">
        <v>45796</v>
      </c>
      <c r="BT2786" s="4">
        <v>0.53749999999999998</v>
      </c>
      <c r="BU2786" t="s">
        <v>1642</v>
      </c>
      <c r="BV2786" t="s">
        <v>89</v>
      </c>
      <c r="BY2786">
        <v>1200</v>
      </c>
      <c r="BZ2786" t="s">
        <v>1664</v>
      </c>
      <c r="CA2786" t="s">
        <v>2893</v>
      </c>
      <c r="CC2786" t="s">
        <v>903</v>
      </c>
      <c r="CD2786">
        <v>1020</v>
      </c>
      <c r="CE2786" t="s">
        <v>129</v>
      </c>
      <c r="CI2786">
        <v>1</v>
      </c>
      <c r="CJ2786">
        <v>9</v>
      </c>
      <c r="CK2786">
        <v>-1</v>
      </c>
      <c r="CL2786" t="s">
        <v>89</v>
      </c>
    </row>
    <row r="2787" spans="1:90" x14ac:dyDescent="0.3">
      <c r="A2787" t="s">
        <v>72</v>
      </c>
      <c r="B2787" t="s">
        <v>73</v>
      </c>
      <c r="C2787" t="s">
        <v>74</v>
      </c>
      <c r="E2787" t="str">
        <f>"080065512786"</f>
        <v>080065512786</v>
      </c>
      <c r="F2787" s="3">
        <v>45799</v>
      </c>
      <c r="G2787">
        <v>202602</v>
      </c>
      <c r="H2787" t="s">
        <v>75</v>
      </c>
      <c r="I2787" t="s">
        <v>76</v>
      </c>
      <c r="J2787" t="s">
        <v>77</v>
      </c>
      <c r="K2787" t="s">
        <v>78</v>
      </c>
      <c r="L2787" t="s">
        <v>266</v>
      </c>
      <c r="M2787" t="s">
        <v>267</v>
      </c>
      <c r="N2787" t="s">
        <v>1750</v>
      </c>
      <c r="O2787" t="s">
        <v>82</v>
      </c>
      <c r="P2787" t="str">
        <f>"4170040173                    "</f>
        <v xml:space="preserve">4170040173                    </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0</v>
      </c>
      <c r="AL2787">
        <v>0</v>
      </c>
      <c r="AM2787">
        <v>0</v>
      </c>
      <c r="AN2787">
        <v>0</v>
      </c>
      <c r="AO2787">
        <v>0</v>
      </c>
      <c r="AP2787">
        <v>0</v>
      </c>
      <c r="AQ2787">
        <v>21.38</v>
      </c>
      <c r="AR2787">
        <v>0</v>
      </c>
      <c r="AS2787">
        <v>0</v>
      </c>
      <c r="AT2787">
        <v>0</v>
      </c>
      <c r="AU2787">
        <v>0</v>
      </c>
      <c r="AV2787">
        <v>0</v>
      </c>
      <c r="AW2787">
        <v>0</v>
      </c>
      <c r="AX2787">
        <v>0</v>
      </c>
      <c r="AY2787">
        <v>0</v>
      </c>
      <c r="AZ2787">
        <v>0</v>
      </c>
      <c r="BA2787">
        <v>0</v>
      </c>
      <c r="BB2787">
        <v>0</v>
      </c>
      <c r="BC2787">
        <v>0</v>
      </c>
      <c r="BD2787">
        <v>0</v>
      </c>
      <c r="BE2787">
        <v>0</v>
      </c>
      <c r="BF2787">
        <v>0</v>
      </c>
      <c r="BG2787">
        <v>0</v>
      </c>
      <c r="BH2787">
        <v>1</v>
      </c>
      <c r="BI2787">
        <v>1</v>
      </c>
      <c r="BJ2787">
        <v>0.2</v>
      </c>
      <c r="BK2787">
        <v>1</v>
      </c>
      <c r="BL2787">
        <v>69.98</v>
      </c>
      <c r="BM2787">
        <v>10.5</v>
      </c>
      <c r="BN2787">
        <v>80.48</v>
      </c>
      <c r="BO2787">
        <v>80.48</v>
      </c>
      <c r="BQ2787" t="s">
        <v>1751</v>
      </c>
      <c r="BR2787" t="s">
        <v>84</v>
      </c>
      <c r="BS2787" s="3">
        <v>45800</v>
      </c>
      <c r="BT2787" s="4">
        <v>0.4236111111111111</v>
      </c>
      <c r="BU2787" t="s">
        <v>2894</v>
      </c>
      <c r="BV2787" t="s">
        <v>86</v>
      </c>
      <c r="BY2787">
        <v>1200</v>
      </c>
      <c r="CA2787" t="s">
        <v>271</v>
      </c>
      <c r="CC2787" t="s">
        <v>267</v>
      </c>
      <c r="CD2787">
        <v>6220</v>
      </c>
      <c r="CE2787" t="s">
        <v>88</v>
      </c>
      <c r="CF2787" s="3">
        <v>45800</v>
      </c>
      <c r="CI2787">
        <v>1</v>
      </c>
      <c r="CJ2787">
        <v>1</v>
      </c>
      <c r="CK2787">
        <v>21</v>
      </c>
      <c r="CL2787" t="s">
        <v>89</v>
      </c>
    </row>
    <row r="2788" spans="1:90" x14ac:dyDescent="0.3">
      <c r="A2788" t="s">
        <v>72</v>
      </c>
      <c r="B2788" t="s">
        <v>73</v>
      </c>
      <c r="C2788" t="s">
        <v>74</v>
      </c>
      <c r="E2788" t="str">
        <f>"080065511687"</f>
        <v>080065511687</v>
      </c>
      <c r="F2788" s="3">
        <v>45799</v>
      </c>
      <c r="G2788">
        <v>202602</v>
      </c>
      <c r="H2788" t="s">
        <v>75</v>
      </c>
      <c r="I2788" t="s">
        <v>76</v>
      </c>
      <c r="J2788" t="s">
        <v>77</v>
      </c>
      <c r="K2788" t="s">
        <v>78</v>
      </c>
      <c r="L2788" t="s">
        <v>130</v>
      </c>
      <c r="M2788" t="s">
        <v>131</v>
      </c>
      <c r="N2788" t="s">
        <v>343</v>
      </c>
      <c r="O2788" t="s">
        <v>82</v>
      </c>
      <c r="P2788" t="str">
        <f>"4170040050                    "</f>
        <v xml:space="preserve">4170040050                    </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c r="AJ2788">
        <v>0</v>
      </c>
      <c r="AK2788">
        <v>0</v>
      </c>
      <c r="AL2788">
        <v>0</v>
      </c>
      <c r="AM2788">
        <v>0</v>
      </c>
      <c r="AN2788">
        <v>0</v>
      </c>
      <c r="AO2788">
        <v>0</v>
      </c>
      <c r="AP2788">
        <v>0</v>
      </c>
      <c r="AQ2788">
        <v>32.07</v>
      </c>
      <c r="AR2788">
        <v>0</v>
      </c>
      <c r="AS2788">
        <v>0</v>
      </c>
      <c r="AT2788">
        <v>0</v>
      </c>
      <c r="AU2788">
        <v>0</v>
      </c>
      <c r="AV2788">
        <v>0</v>
      </c>
      <c r="AW2788">
        <v>0</v>
      </c>
      <c r="AX2788">
        <v>0</v>
      </c>
      <c r="AY2788">
        <v>0</v>
      </c>
      <c r="AZ2788">
        <v>0</v>
      </c>
      <c r="BA2788">
        <v>0</v>
      </c>
      <c r="BB2788">
        <v>0</v>
      </c>
      <c r="BC2788">
        <v>0</v>
      </c>
      <c r="BD2788">
        <v>0</v>
      </c>
      <c r="BE2788">
        <v>0</v>
      </c>
      <c r="BF2788">
        <v>0</v>
      </c>
      <c r="BG2788">
        <v>0</v>
      </c>
      <c r="BH2788">
        <v>1</v>
      </c>
      <c r="BI2788">
        <v>3</v>
      </c>
      <c r="BJ2788">
        <v>1.7</v>
      </c>
      <c r="BK2788">
        <v>3</v>
      </c>
      <c r="BL2788">
        <v>104.95</v>
      </c>
      <c r="BM2788">
        <v>15.74</v>
      </c>
      <c r="BN2788">
        <v>120.69</v>
      </c>
      <c r="BO2788">
        <v>120.69</v>
      </c>
      <c r="BQ2788" t="s">
        <v>344</v>
      </c>
      <c r="BR2788" t="s">
        <v>84</v>
      </c>
      <c r="BS2788" s="3">
        <v>45800</v>
      </c>
      <c r="BT2788" s="4">
        <v>0.40069444444444446</v>
      </c>
      <c r="BU2788" t="s">
        <v>1338</v>
      </c>
      <c r="BV2788" t="s">
        <v>86</v>
      </c>
      <c r="BY2788">
        <v>8624</v>
      </c>
      <c r="CA2788" t="s">
        <v>242</v>
      </c>
      <c r="CC2788" t="s">
        <v>131</v>
      </c>
      <c r="CD2788">
        <v>7441</v>
      </c>
      <c r="CE2788" t="s">
        <v>221</v>
      </c>
      <c r="CF2788" s="3">
        <v>45803</v>
      </c>
      <c r="CI2788">
        <v>1</v>
      </c>
      <c r="CJ2788">
        <v>1</v>
      </c>
      <c r="CK2788">
        <v>21</v>
      </c>
      <c r="CL2788" t="s">
        <v>89</v>
      </c>
    </row>
    <row r="2789" spans="1:90" x14ac:dyDescent="0.3">
      <c r="A2789" t="s">
        <v>72</v>
      </c>
      <c r="B2789" t="s">
        <v>73</v>
      </c>
      <c r="C2789" t="s">
        <v>74</v>
      </c>
      <c r="E2789" t="str">
        <f>"080065511698"</f>
        <v>080065511698</v>
      </c>
      <c r="F2789" s="3">
        <v>45799</v>
      </c>
      <c r="G2789">
        <v>202602</v>
      </c>
      <c r="H2789" t="s">
        <v>75</v>
      </c>
      <c r="I2789" t="s">
        <v>76</v>
      </c>
      <c r="J2789" t="s">
        <v>77</v>
      </c>
      <c r="K2789" t="s">
        <v>78</v>
      </c>
      <c r="L2789" t="s">
        <v>136</v>
      </c>
      <c r="M2789" t="s">
        <v>137</v>
      </c>
      <c r="N2789" t="s">
        <v>192</v>
      </c>
      <c r="O2789" t="s">
        <v>82</v>
      </c>
      <c r="P2789" t="str">
        <f>"4170040109                    "</f>
        <v xml:space="preserve">4170040109                    </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c r="AI2789">
        <v>0</v>
      </c>
      <c r="AJ2789">
        <v>0</v>
      </c>
      <c r="AK2789">
        <v>0</v>
      </c>
      <c r="AL2789">
        <v>0</v>
      </c>
      <c r="AM2789">
        <v>0</v>
      </c>
      <c r="AN2789">
        <v>0</v>
      </c>
      <c r="AO2789">
        <v>0</v>
      </c>
      <c r="AP2789">
        <v>0</v>
      </c>
      <c r="AQ2789">
        <v>21.38</v>
      </c>
      <c r="AR2789">
        <v>0</v>
      </c>
      <c r="AS2789">
        <v>0</v>
      </c>
      <c r="AT2789">
        <v>0</v>
      </c>
      <c r="AU2789">
        <v>0</v>
      </c>
      <c r="AV2789">
        <v>0</v>
      </c>
      <c r="AW2789">
        <v>0</v>
      </c>
      <c r="AX2789">
        <v>0</v>
      </c>
      <c r="AY2789">
        <v>0</v>
      </c>
      <c r="AZ2789">
        <v>0</v>
      </c>
      <c r="BA2789">
        <v>0</v>
      </c>
      <c r="BB2789">
        <v>0</v>
      </c>
      <c r="BC2789">
        <v>0</v>
      </c>
      <c r="BD2789">
        <v>0</v>
      </c>
      <c r="BE2789">
        <v>0</v>
      </c>
      <c r="BF2789">
        <v>0</v>
      </c>
      <c r="BG2789">
        <v>0</v>
      </c>
      <c r="BH2789">
        <v>1</v>
      </c>
      <c r="BI2789">
        <v>1</v>
      </c>
      <c r="BJ2789">
        <v>0.2</v>
      </c>
      <c r="BK2789">
        <v>1</v>
      </c>
      <c r="BL2789">
        <v>69.98</v>
      </c>
      <c r="BM2789">
        <v>10.5</v>
      </c>
      <c r="BN2789">
        <v>80.48</v>
      </c>
      <c r="BO2789">
        <v>80.48</v>
      </c>
      <c r="BQ2789" t="s">
        <v>193</v>
      </c>
      <c r="BR2789" t="s">
        <v>84</v>
      </c>
      <c r="BS2789" s="3">
        <v>45800</v>
      </c>
      <c r="BT2789" s="4">
        <v>0.44583333333333336</v>
      </c>
      <c r="BU2789" t="s">
        <v>1605</v>
      </c>
      <c r="BV2789" t="s">
        <v>86</v>
      </c>
      <c r="BY2789">
        <v>1200</v>
      </c>
      <c r="CA2789" t="s">
        <v>2895</v>
      </c>
      <c r="CC2789" t="s">
        <v>137</v>
      </c>
      <c r="CD2789" s="5" t="s">
        <v>196</v>
      </c>
      <c r="CE2789" t="s">
        <v>88</v>
      </c>
      <c r="CF2789" s="3">
        <v>45801</v>
      </c>
      <c r="CI2789">
        <v>1</v>
      </c>
      <c r="CJ2789">
        <v>1</v>
      </c>
      <c r="CK2789">
        <v>21</v>
      </c>
      <c r="CL2789" t="s">
        <v>89</v>
      </c>
    </row>
    <row r="2790" spans="1:90" x14ac:dyDescent="0.3">
      <c r="A2790" t="s">
        <v>72</v>
      </c>
      <c r="B2790" t="s">
        <v>73</v>
      </c>
      <c r="C2790" t="s">
        <v>74</v>
      </c>
      <c r="E2790" t="str">
        <f>"080065511444"</f>
        <v>080065511444</v>
      </c>
      <c r="F2790" s="3">
        <v>45799</v>
      </c>
      <c r="G2790">
        <v>202602</v>
      </c>
      <c r="H2790" t="s">
        <v>75</v>
      </c>
      <c r="I2790" t="s">
        <v>76</v>
      </c>
      <c r="J2790" t="s">
        <v>77</v>
      </c>
      <c r="K2790" t="s">
        <v>78</v>
      </c>
      <c r="L2790" t="s">
        <v>103</v>
      </c>
      <c r="M2790" t="s">
        <v>104</v>
      </c>
      <c r="N2790" t="s">
        <v>633</v>
      </c>
      <c r="O2790" t="s">
        <v>82</v>
      </c>
      <c r="P2790" t="str">
        <f>"4170040163                    "</f>
        <v xml:space="preserve">4170040163                    </v>
      </c>
      <c r="Q2790">
        <v>0</v>
      </c>
      <c r="R2790">
        <v>0</v>
      </c>
      <c r="S2790">
        <v>0</v>
      </c>
      <c r="T2790">
        <v>0</v>
      </c>
      <c r="U2790">
        <v>0</v>
      </c>
      <c r="V2790">
        <v>0</v>
      </c>
      <c r="W2790">
        <v>0</v>
      </c>
      <c r="X2790">
        <v>0</v>
      </c>
      <c r="Y2790">
        <v>0</v>
      </c>
      <c r="Z2790">
        <v>0</v>
      </c>
      <c r="AA2790">
        <v>0</v>
      </c>
      <c r="AB2790">
        <v>0</v>
      </c>
      <c r="AC2790">
        <v>0</v>
      </c>
      <c r="AD2790">
        <v>0</v>
      </c>
      <c r="AE2790">
        <v>0</v>
      </c>
      <c r="AF2790">
        <v>0</v>
      </c>
      <c r="AG2790">
        <v>0</v>
      </c>
      <c r="AH2790">
        <v>0</v>
      </c>
      <c r="AI2790">
        <v>0</v>
      </c>
      <c r="AJ2790">
        <v>0</v>
      </c>
      <c r="AK2790">
        <v>0</v>
      </c>
      <c r="AL2790">
        <v>0</v>
      </c>
      <c r="AM2790">
        <v>0</v>
      </c>
      <c r="AN2790">
        <v>0</v>
      </c>
      <c r="AO2790">
        <v>0</v>
      </c>
      <c r="AP2790">
        <v>0</v>
      </c>
      <c r="AQ2790">
        <v>21.38</v>
      </c>
      <c r="AR2790">
        <v>0</v>
      </c>
      <c r="AS2790">
        <v>0</v>
      </c>
      <c r="AT2790">
        <v>0</v>
      </c>
      <c r="AU2790">
        <v>0</v>
      </c>
      <c r="AV2790">
        <v>0</v>
      </c>
      <c r="AW2790">
        <v>0</v>
      </c>
      <c r="AX2790">
        <v>0</v>
      </c>
      <c r="AY2790">
        <v>0</v>
      </c>
      <c r="AZ2790">
        <v>0</v>
      </c>
      <c r="BA2790">
        <v>0</v>
      </c>
      <c r="BB2790">
        <v>0</v>
      </c>
      <c r="BC2790">
        <v>0</v>
      </c>
      <c r="BD2790">
        <v>0</v>
      </c>
      <c r="BE2790">
        <v>0</v>
      </c>
      <c r="BF2790">
        <v>0</v>
      </c>
      <c r="BG2790">
        <v>0</v>
      </c>
      <c r="BH2790">
        <v>1</v>
      </c>
      <c r="BI2790">
        <v>1</v>
      </c>
      <c r="BJ2790">
        <v>0.2</v>
      </c>
      <c r="BK2790">
        <v>1</v>
      </c>
      <c r="BL2790">
        <v>69.98</v>
      </c>
      <c r="BM2790">
        <v>10.5</v>
      </c>
      <c r="BN2790">
        <v>80.48</v>
      </c>
      <c r="BO2790">
        <v>80.48</v>
      </c>
      <c r="BQ2790" t="s">
        <v>634</v>
      </c>
      <c r="BR2790" t="s">
        <v>84</v>
      </c>
      <c r="BS2790" s="3">
        <v>45800</v>
      </c>
      <c r="BT2790" s="4">
        <v>0.41666666666666669</v>
      </c>
      <c r="BU2790" t="s">
        <v>1466</v>
      </c>
      <c r="BV2790" t="s">
        <v>86</v>
      </c>
      <c r="BY2790">
        <v>1200</v>
      </c>
      <c r="CA2790" t="s">
        <v>440</v>
      </c>
      <c r="CC2790" t="s">
        <v>104</v>
      </c>
      <c r="CD2790">
        <v>3212</v>
      </c>
      <c r="CE2790" t="s">
        <v>88</v>
      </c>
      <c r="CF2790" s="3">
        <v>45800</v>
      </c>
      <c r="CI2790">
        <v>2</v>
      </c>
      <c r="CJ2790">
        <v>1</v>
      </c>
      <c r="CK2790">
        <v>21</v>
      </c>
      <c r="CL2790" t="s">
        <v>89</v>
      </c>
    </row>
    <row r="2791" spans="1:90" x14ac:dyDescent="0.3">
      <c r="A2791" t="s">
        <v>72</v>
      </c>
      <c r="B2791" t="s">
        <v>73</v>
      </c>
      <c r="C2791" t="s">
        <v>74</v>
      </c>
      <c r="E2791" t="str">
        <f>"080065501326"</f>
        <v>080065501326</v>
      </c>
      <c r="F2791" s="3">
        <v>45799</v>
      </c>
      <c r="G2791">
        <v>202602</v>
      </c>
      <c r="H2791" t="s">
        <v>75</v>
      </c>
      <c r="I2791" t="s">
        <v>76</v>
      </c>
      <c r="J2791" t="s">
        <v>77</v>
      </c>
      <c r="K2791" t="s">
        <v>78</v>
      </c>
      <c r="L2791" t="s">
        <v>136</v>
      </c>
      <c r="M2791" t="s">
        <v>137</v>
      </c>
      <c r="N2791" t="s">
        <v>1656</v>
      </c>
      <c r="O2791" t="s">
        <v>300</v>
      </c>
      <c r="P2791" t="str">
        <f>"4170040019                    "</f>
        <v xml:space="preserve">4170040019                    </v>
      </c>
      <c r="Q2791">
        <v>0</v>
      </c>
      <c r="R2791">
        <v>0</v>
      </c>
      <c r="S2791">
        <v>0</v>
      </c>
      <c r="T2791">
        <v>0</v>
      </c>
      <c r="U2791">
        <v>0</v>
      </c>
      <c r="V2791">
        <v>0</v>
      </c>
      <c r="W2791">
        <v>0</v>
      </c>
      <c r="X2791">
        <v>0</v>
      </c>
      <c r="Y2791">
        <v>0</v>
      </c>
      <c r="Z2791">
        <v>0</v>
      </c>
      <c r="AA2791">
        <v>0</v>
      </c>
      <c r="AB2791">
        <v>0</v>
      </c>
      <c r="AC2791">
        <v>0</v>
      </c>
      <c r="AD2791">
        <v>0</v>
      </c>
      <c r="AE2791">
        <v>0</v>
      </c>
      <c r="AF2791">
        <v>0</v>
      </c>
      <c r="AG2791">
        <v>0</v>
      </c>
      <c r="AH2791">
        <v>0</v>
      </c>
      <c r="AI2791">
        <v>0</v>
      </c>
      <c r="AJ2791">
        <v>0</v>
      </c>
      <c r="AK2791">
        <v>0</v>
      </c>
      <c r="AL2791">
        <v>0</v>
      </c>
      <c r="AM2791">
        <v>0</v>
      </c>
      <c r="AN2791">
        <v>0</v>
      </c>
      <c r="AO2791">
        <v>0</v>
      </c>
      <c r="AP2791">
        <v>0</v>
      </c>
      <c r="AQ2791">
        <v>94.27</v>
      </c>
      <c r="AR2791">
        <v>0</v>
      </c>
      <c r="AS2791">
        <v>0</v>
      </c>
      <c r="AT2791">
        <v>0</v>
      </c>
      <c r="AU2791">
        <v>0</v>
      </c>
      <c r="AV2791">
        <v>0</v>
      </c>
      <c r="AW2791">
        <v>0</v>
      </c>
      <c r="AX2791">
        <v>0</v>
      </c>
      <c r="AY2791">
        <v>0</v>
      </c>
      <c r="AZ2791">
        <v>0</v>
      </c>
      <c r="BA2791">
        <v>0</v>
      </c>
      <c r="BB2791">
        <v>0</v>
      </c>
      <c r="BC2791">
        <v>0</v>
      </c>
      <c r="BD2791">
        <v>0</v>
      </c>
      <c r="BE2791">
        <v>0</v>
      </c>
      <c r="BF2791">
        <v>0</v>
      </c>
      <c r="BG2791">
        <v>0</v>
      </c>
      <c r="BH2791">
        <v>1</v>
      </c>
      <c r="BI2791">
        <v>46</v>
      </c>
      <c r="BJ2791">
        <v>30.2</v>
      </c>
      <c r="BK2791">
        <v>46</v>
      </c>
      <c r="BL2791">
        <v>314.10000000000002</v>
      </c>
      <c r="BM2791">
        <v>47.12</v>
      </c>
      <c r="BN2791">
        <v>361.22</v>
      </c>
      <c r="BO2791">
        <v>361.22</v>
      </c>
      <c r="BQ2791" t="s">
        <v>1657</v>
      </c>
      <c r="BR2791" t="s">
        <v>84</v>
      </c>
      <c r="BS2791" s="3">
        <v>45800</v>
      </c>
      <c r="BT2791" s="4">
        <v>0.41249999999999998</v>
      </c>
      <c r="BU2791" t="s">
        <v>2176</v>
      </c>
      <c r="BV2791" t="s">
        <v>86</v>
      </c>
      <c r="BY2791">
        <v>151008</v>
      </c>
      <c r="CA2791" t="s">
        <v>2896</v>
      </c>
      <c r="CC2791" t="s">
        <v>137</v>
      </c>
      <c r="CD2791" s="5" t="s">
        <v>142</v>
      </c>
      <c r="CE2791" t="s">
        <v>550</v>
      </c>
      <c r="CF2791" s="3">
        <v>45801</v>
      </c>
      <c r="CI2791">
        <v>1</v>
      </c>
      <c r="CJ2791">
        <v>1</v>
      </c>
      <c r="CK2791">
        <v>41</v>
      </c>
      <c r="CL2791" t="s">
        <v>89</v>
      </c>
    </row>
    <row r="2792" spans="1:90" x14ac:dyDescent="0.3">
      <c r="A2792" t="s">
        <v>72</v>
      </c>
      <c r="B2792" t="s">
        <v>73</v>
      </c>
      <c r="C2792" t="s">
        <v>74</v>
      </c>
      <c r="E2792" t="str">
        <f>"080065506625"</f>
        <v>080065506625</v>
      </c>
      <c r="F2792" s="3">
        <v>45799</v>
      </c>
      <c r="G2792">
        <v>202602</v>
      </c>
      <c r="H2792" t="s">
        <v>75</v>
      </c>
      <c r="I2792" t="s">
        <v>76</v>
      </c>
      <c r="J2792" t="s">
        <v>77</v>
      </c>
      <c r="K2792" t="s">
        <v>78</v>
      </c>
      <c r="L2792" t="s">
        <v>1737</v>
      </c>
      <c r="M2792" t="s">
        <v>1738</v>
      </c>
      <c r="N2792" t="s">
        <v>261</v>
      </c>
      <c r="O2792" t="s">
        <v>82</v>
      </c>
      <c r="P2792" t="str">
        <f>"4170040066                    "</f>
        <v xml:space="preserve">4170040066                    </v>
      </c>
      <c r="Q2792">
        <v>0</v>
      </c>
      <c r="R2792">
        <v>0</v>
      </c>
      <c r="S2792">
        <v>0</v>
      </c>
      <c r="T2792">
        <v>0</v>
      </c>
      <c r="U2792">
        <v>0</v>
      </c>
      <c r="V2792">
        <v>0</v>
      </c>
      <c r="W2792">
        <v>0</v>
      </c>
      <c r="X2792">
        <v>0</v>
      </c>
      <c r="Y2792">
        <v>0</v>
      </c>
      <c r="Z2792">
        <v>0</v>
      </c>
      <c r="AA2792">
        <v>0</v>
      </c>
      <c r="AB2792">
        <v>0</v>
      </c>
      <c r="AC2792">
        <v>0</v>
      </c>
      <c r="AD2792">
        <v>0</v>
      </c>
      <c r="AE2792">
        <v>0</v>
      </c>
      <c r="AF2792">
        <v>0</v>
      </c>
      <c r="AG2792">
        <v>0</v>
      </c>
      <c r="AH2792">
        <v>0</v>
      </c>
      <c r="AI2792">
        <v>0</v>
      </c>
      <c r="AJ2792">
        <v>0</v>
      </c>
      <c r="AK2792">
        <v>0</v>
      </c>
      <c r="AL2792">
        <v>0</v>
      </c>
      <c r="AM2792">
        <v>0</v>
      </c>
      <c r="AN2792">
        <v>0</v>
      </c>
      <c r="AO2792">
        <v>0</v>
      </c>
      <c r="AP2792">
        <v>0</v>
      </c>
      <c r="AQ2792">
        <v>41.43</v>
      </c>
      <c r="AR2792">
        <v>0</v>
      </c>
      <c r="AS2792">
        <v>0</v>
      </c>
      <c r="AT2792">
        <v>0</v>
      </c>
      <c r="AU2792">
        <v>0</v>
      </c>
      <c r="AV2792">
        <v>0</v>
      </c>
      <c r="AW2792">
        <v>0</v>
      </c>
      <c r="AX2792">
        <v>0</v>
      </c>
      <c r="AY2792">
        <v>0</v>
      </c>
      <c r="AZ2792">
        <v>0</v>
      </c>
      <c r="BA2792">
        <v>0</v>
      </c>
      <c r="BB2792">
        <v>0</v>
      </c>
      <c r="BC2792">
        <v>0</v>
      </c>
      <c r="BD2792">
        <v>0</v>
      </c>
      <c r="BE2792">
        <v>0</v>
      </c>
      <c r="BF2792">
        <v>0</v>
      </c>
      <c r="BG2792">
        <v>0</v>
      </c>
      <c r="BH2792">
        <v>1</v>
      </c>
      <c r="BI2792">
        <v>1</v>
      </c>
      <c r="BJ2792">
        <v>0.2</v>
      </c>
      <c r="BK2792">
        <v>1</v>
      </c>
      <c r="BL2792">
        <v>135.59</v>
      </c>
      <c r="BM2792">
        <v>20.34</v>
      </c>
      <c r="BN2792">
        <v>155.93</v>
      </c>
      <c r="BO2792">
        <v>155.93</v>
      </c>
      <c r="BQ2792" t="s">
        <v>262</v>
      </c>
      <c r="BR2792" t="s">
        <v>84</v>
      </c>
      <c r="BS2792" s="3">
        <v>45800</v>
      </c>
      <c r="BT2792" s="4">
        <v>0.61388888888888893</v>
      </c>
      <c r="BU2792" t="s">
        <v>2532</v>
      </c>
      <c r="BV2792" t="s">
        <v>86</v>
      </c>
      <c r="BY2792">
        <v>1200</v>
      </c>
      <c r="CA2792" t="s">
        <v>1740</v>
      </c>
      <c r="CC2792" t="s">
        <v>1738</v>
      </c>
      <c r="CD2792">
        <v>9880</v>
      </c>
      <c r="CE2792" t="s">
        <v>88</v>
      </c>
      <c r="CF2792" s="3">
        <v>45803</v>
      </c>
      <c r="CI2792">
        <v>1</v>
      </c>
      <c r="CJ2792">
        <v>1</v>
      </c>
      <c r="CK2792">
        <v>23</v>
      </c>
      <c r="CL2792" t="s">
        <v>89</v>
      </c>
    </row>
    <row r="2793" spans="1:90" x14ac:dyDescent="0.3">
      <c r="A2793" t="s">
        <v>72</v>
      </c>
      <c r="B2793" t="s">
        <v>73</v>
      </c>
      <c r="C2793" t="s">
        <v>74</v>
      </c>
      <c r="E2793" t="str">
        <f>"080065506648"</f>
        <v>080065506648</v>
      </c>
      <c r="F2793" s="3">
        <v>45799</v>
      </c>
      <c r="G2793">
        <v>202602</v>
      </c>
      <c r="H2793" t="s">
        <v>75</v>
      </c>
      <c r="I2793" t="s">
        <v>76</v>
      </c>
      <c r="J2793" t="s">
        <v>77</v>
      </c>
      <c r="K2793" t="s">
        <v>78</v>
      </c>
      <c r="L2793" t="s">
        <v>350</v>
      </c>
      <c r="M2793" t="s">
        <v>351</v>
      </c>
      <c r="N2793" t="s">
        <v>431</v>
      </c>
      <c r="O2793" t="s">
        <v>82</v>
      </c>
      <c r="P2793" t="str">
        <f>"4170040064                    "</f>
        <v xml:space="preserve">4170040064                    </v>
      </c>
      <c r="Q2793">
        <v>0</v>
      </c>
      <c r="R2793">
        <v>0</v>
      </c>
      <c r="S2793">
        <v>0</v>
      </c>
      <c r="T2793">
        <v>0</v>
      </c>
      <c r="U2793">
        <v>0</v>
      </c>
      <c r="V2793">
        <v>0</v>
      </c>
      <c r="W2793">
        <v>0</v>
      </c>
      <c r="X2793">
        <v>0</v>
      </c>
      <c r="Y2793">
        <v>0</v>
      </c>
      <c r="Z2793">
        <v>0</v>
      </c>
      <c r="AA2793">
        <v>0</v>
      </c>
      <c r="AB2793">
        <v>0</v>
      </c>
      <c r="AC2793">
        <v>0</v>
      </c>
      <c r="AD2793">
        <v>0</v>
      </c>
      <c r="AE2793">
        <v>0</v>
      </c>
      <c r="AF2793">
        <v>0</v>
      </c>
      <c r="AG2793">
        <v>0</v>
      </c>
      <c r="AH2793">
        <v>0</v>
      </c>
      <c r="AI2793">
        <v>0</v>
      </c>
      <c r="AJ2793">
        <v>0</v>
      </c>
      <c r="AK2793">
        <v>0</v>
      </c>
      <c r="AL2793">
        <v>0</v>
      </c>
      <c r="AM2793">
        <v>0</v>
      </c>
      <c r="AN2793">
        <v>0</v>
      </c>
      <c r="AO2793">
        <v>0</v>
      </c>
      <c r="AP2793">
        <v>0</v>
      </c>
      <c r="AQ2793">
        <v>21.38</v>
      </c>
      <c r="AR2793">
        <v>0</v>
      </c>
      <c r="AS2793">
        <v>0</v>
      </c>
      <c r="AT2793">
        <v>0</v>
      </c>
      <c r="AU2793">
        <v>0</v>
      </c>
      <c r="AV2793">
        <v>0</v>
      </c>
      <c r="AW2793">
        <v>0</v>
      </c>
      <c r="AX2793">
        <v>0</v>
      </c>
      <c r="AY2793">
        <v>0</v>
      </c>
      <c r="AZ2793">
        <v>0</v>
      </c>
      <c r="BA2793">
        <v>0</v>
      </c>
      <c r="BB2793">
        <v>0</v>
      </c>
      <c r="BC2793">
        <v>0</v>
      </c>
      <c r="BD2793">
        <v>0</v>
      </c>
      <c r="BE2793">
        <v>0</v>
      </c>
      <c r="BF2793">
        <v>0</v>
      </c>
      <c r="BG2793">
        <v>0</v>
      </c>
      <c r="BH2793">
        <v>1</v>
      </c>
      <c r="BI2793">
        <v>1</v>
      </c>
      <c r="BJ2793">
        <v>0.2</v>
      </c>
      <c r="BK2793">
        <v>1</v>
      </c>
      <c r="BL2793">
        <v>69.98</v>
      </c>
      <c r="BM2793">
        <v>10.5</v>
      </c>
      <c r="BN2793">
        <v>80.48</v>
      </c>
      <c r="BO2793">
        <v>80.48</v>
      </c>
      <c r="BQ2793" t="s">
        <v>432</v>
      </c>
      <c r="BR2793" t="s">
        <v>84</v>
      </c>
      <c r="BS2793" s="3">
        <v>45800</v>
      </c>
      <c r="BT2793" s="4">
        <v>0.3888888888888889</v>
      </c>
      <c r="BU2793" t="s">
        <v>433</v>
      </c>
      <c r="BV2793" t="s">
        <v>86</v>
      </c>
      <c r="BY2793">
        <v>1200</v>
      </c>
      <c r="CA2793" t="s">
        <v>436</v>
      </c>
      <c r="CC2793" t="s">
        <v>351</v>
      </c>
      <c r="CD2793">
        <v>4052</v>
      </c>
      <c r="CE2793" t="s">
        <v>88</v>
      </c>
      <c r="CF2793" s="3">
        <v>45800</v>
      </c>
      <c r="CI2793">
        <v>1</v>
      </c>
      <c r="CJ2793">
        <v>1</v>
      </c>
      <c r="CK2793">
        <v>21</v>
      </c>
      <c r="CL2793" t="s">
        <v>89</v>
      </c>
    </row>
    <row r="2794" spans="1:90" x14ac:dyDescent="0.3">
      <c r="A2794" t="s">
        <v>72</v>
      </c>
      <c r="B2794" t="s">
        <v>73</v>
      </c>
      <c r="C2794" t="s">
        <v>74</v>
      </c>
      <c r="E2794" t="str">
        <f>"080065506678"</f>
        <v>080065506678</v>
      </c>
      <c r="F2794" s="3">
        <v>45799</v>
      </c>
      <c r="G2794">
        <v>202602</v>
      </c>
      <c r="H2794" t="s">
        <v>75</v>
      </c>
      <c r="I2794" t="s">
        <v>76</v>
      </c>
      <c r="J2794" t="s">
        <v>77</v>
      </c>
      <c r="K2794" t="s">
        <v>78</v>
      </c>
      <c r="L2794" t="s">
        <v>844</v>
      </c>
      <c r="M2794" t="s">
        <v>845</v>
      </c>
      <c r="N2794" t="s">
        <v>846</v>
      </c>
      <c r="O2794" t="s">
        <v>82</v>
      </c>
      <c r="P2794" t="str">
        <f>"4170040060                    "</f>
        <v xml:space="preserve">4170040060                    </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c r="AI2794">
        <v>0</v>
      </c>
      <c r="AJ2794">
        <v>0</v>
      </c>
      <c r="AK2794">
        <v>0</v>
      </c>
      <c r="AL2794">
        <v>0</v>
      </c>
      <c r="AM2794">
        <v>0</v>
      </c>
      <c r="AN2794">
        <v>0</v>
      </c>
      <c r="AO2794">
        <v>0</v>
      </c>
      <c r="AP2794">
        <v>0</v>
      </c>
      <c r="AQ2794">
        <v>21.38</v>
      </c>
      <c r="AR2794">
        <v>0</v>
      </c>
      <c r="AS2794">
        <v>0</v>
      </c>
      <c r="AT2794">
        <v>0</v>
      </c>
      <c r="AU2794">
        <v>0</v>
      </c>
      <c r="AV2794">
        <v>0</v>
      </c>
      <c r="AW2794">
        <v>0</v>
      </c>
      <c r="AX2794">
        <v>0</v>
      </c>
      <c r="AY2794">
        <v>0</v>
      </c>
      <c r="AZ2794">
        <v>0</v>
      </c>
      <c r="BA2794">
        <v>0</v>
      </c>
      <c r="BB2794">
        <v>0</v>
      </c>
      <c r="BC2794">
        <v>0</v>
      </c>
      <c r="BD2794">
        <v>0</v>
      </c>
      <c r="BE2794">
        <v>0</v>
      </c>
      <c r="BF2794">
        <v>0</v>
      </c>
      <c r="BG2794">
        <v>0</v>
      </c>
      <c r="BH2794">
        <v>1</v>
      </c>
      <c r="BI2794">
        <v>1</v>
      </c>
      <c r="BJ2794">
        <v>0.2</v>
      </c>
      <c r="BK2794">
        <v>1</v>
      </c>
      <c r="BL2794">
        <v>69.98</v>
      </c>
      <c r="BM2794">
        <v>10.5</v>
      </c>
      <c r="BN2794">
        <v>80.48</v>
      </c>
      <c r="BO2794">
        <v>80.48</v>
      </c>
      <c r="BQ2794" t="s">
        <v>847</v>
      </c>
      <c r="BR2794" t="s">
        <v>84</v>
      </c>
      <c r="BS2794" s="3">
        <v>45800</v>
      </c>
      <c r="BT2794" s="4">
        <v>0.33124999999999999</v>
      </c>
      <c r="BU2794" t="s">
        <v>2897</v>
      </c>
      <c r="BV2794" t="s">
        <v>86</v>
      </c>
      <c r="BY2794">
        <v>1200</v>
      </c>
      <c r="CA2794" t="s">
        <v>849</v>
      </c>
      <c r="CC2794" t="s">
        <v>845</v>
      </c>
      <c r="CD2794">
        <v>7600</v>
      </c>
      <c r="CE2794" t="s">
        <v>88</v>
      </c>
      <c r="CF2794" s="3">
        <v>45803</v>
      </c>
      <c r="CI2794">
        <v>1</v>
      </c>
      <c r="CJ2794">
        <v>1</v>
      </c>
      <c r="CK2794">
        <v>21</v>
      </c>
      <c r="CL2794" t="s">
        <v>89</v>
      </c>
    </row>
    <row r="2795" spans="1:90" x14ac:dyDescent="0.3">
      <c r="A2795" t="s">
        <v>72</v>
      </c>
      <c r="B2795" t="s">
        <v>73</v>
      </c>
      <c r="C2795" t="s">
        <v>74</v>
      </c>
      <c r="E2795" t="str">
        <f>"080065507896"</f>
        <v>080065507896</v>
      </c>
      <c r="F2795" s="3">
        <v>45799</v>
      </c>
      <c r="G2795">
        <v>202602</v>
      </c>
      <c r="H2795" t="s">
        <v>75</v>
      </c>
      <c r="I2795" t="s">
        <v>76</v>
      </c>
      <c r="J2795" t="s">
        <v>77</v>
      </c>
      <c r="K2795" t="s">
        <v>78</v>
      </c>
      <c r="L2795" t="s">
        <v>350</v>
      </c>
      <c r="M2795" t="s">
        <v>351</v>
      </c>
      <c r="N2795" t="s">
        <v>1333</v>
      </c>
      <c r="O2795" t="s">
        <v>82</v>
      </c>
      <c r="P2795" t="str">
        <f>"4170040218                    "</f>
        <v xml:space="preserve">4170040218                    </v>
      </c>
      <c r="Q2795">
        <v>0</v>
      </c>
      <c r="R2795">
        <v>0</v>
      </c>
      <c r="S2795">
        <v>0</v>
      </c>
      <c r="T2795">
        <v>0</v>
      </c>
      <c r="U2795">
        <v>0</v>
      </c>
      <c r="V2795">
        <v>0</v>
      </c>
      <c r="W2795">
        <v>0</v>
      </c>
      <c r="X2795">
        <v>0</v>
      </c>
      <c r="Y2795">
        <v>0</v>
      </c>
      <c r="Z2795">
        <v>0</v>
      </c>
      <c r="AA2795">
        <v>0</v>
      </c>
      <c r="AB2795">
        <v>0</v>
      </c>
      <c r="AC2795">
        <v>0</v>
      </c>
      <c r="AD2795">
        <v>0</v>
      </c>
      <c r="AE2795">
        <v>0</v>
      </c>
      <c r="AF2795">
        <v>0</v>
      </c>
      <c r="AG2795">
        <v>0</v>
      </c>
      <c r="AH2795">
        <v>0</v>
      </c>
      <c r="AI2795">
        <v>0</v>
      </c>
      <c r="AJ2795">
        <v>0</v>
      </c>
      <c r="AK2795">
        <v>0</v>
      </c>
      <c r="AL2795">
        <v>0</v>
      </c>
      <c r="AM2795">
        <v>0</v>
      </c>
      <c r="AN2795">
        <v>0</v>
      </c>
      <c r="AO2795">
        <v>0</v>
      </c>
      <c r="AP2795">
        <v>0</v>
      </c>
      <c r="AQ2795">
        <v>21.38</v>
      </c>
      <c r="AR2795">
        <v>0</v>
      </c>
      <c r="AS2795">
        <v>0</v>
      </c>
      <c r="AT2795">
        <v>0</v>
      </c>
      <c r="AU2795">
        <v>0</v>
      </c>
      <c r="AV2795">
        <v>0</v>
      </c>
      <c r="AW2795">
        <v>0</v>
      </c>
      <c r="AX2795">
        <v>0</v>
      </c>
      <c r="AY2795">
        <v>0</v>
      </c>
      <c r="AZ2795">
        <v>0</v>
      </c>
      <c r="BA2795">
        <v>0</v>
      </c>
      <c r="BB2795">
        <v>0</v>
      </c>
      <c r="BC2795">
        <v>0</v>
      </c>
      <c r="BD2795">
        <v>0</v>
      </c>
      <c r="BE2795">
        <v>0</v>
      </c>
      <c r="BF2795">
        <v>0</v>
      </c>
      <c r="BG2795">
        <v>0</v>
      </c>
      <c r="BH2795">
        <v>1</v>
      </c>
      <c r="BI2795">
        <v>1</v>
      </c>
      <c r="BJ2795">
        <v>0.2</v>
      </c>
      <c r="BK2795">
        <v>1</v>
      </c>
      <c r="BL2795">
        <v>69.98</v>
      </c>
      <c r="BM2795">
        <v>10.5</v>
      </c>
      <c r="BN2795">
        <v>80.48</v>
      </c>
      <c r="BO2795">
        <v>80.48</v>
      </c>
      <c r="BQ2795" t="s">
        <v>1334</v>
      </c>
      <c r="BR2795" t="s">
        <v>84</v>
      </c>
      <c r="BS2795" s="3">
        <v>45800</v>
      </c>
      <c r="BT2795" s="4">
        <v>0.41666666666666669</v>
      </c>
      <c r="BU2795" t="s">
        <v>1603</v>
      </c>
      <c r="BV2795" t="s">
        <v>86</v>
      </c>
      <c r="BY2795">
        <v>1200</v>
      </c>
      <c r="CA2795" t="s">
        <v>2898</v>
      </c>
      <c r="CC2795" t="s">
        <v>351</v>
      </c>
      <c r="CD2795">
        <v>4000</v>
      </c>
      <c r="CE2795" t="s">
        <v>88</v>
      </c>
      <c r="CF2795" s="3">
        <v>45800</v>
      </c>
      <c r="CI2795">
        <v>1</v>
      </c>
      <c r="CJ2795">
        <v>1</v>
      </c>
      <c r="CK2795">
        <v>21</v>
      </c>
      <c r="CL2795" t="s">
        <v>89</v>
      </c>
    </row>
    <row r="2796" spans="1:90" x14ac:dyDescent="0.3">
      <c r="A2796" t="s">
        <v>72</v>
      </c>
      <c r="B2796" t="s">
        <v>73</v>
      </c>
      <c r="C2796" t="s">
        <v>74</v>
      </c>
      <c r="E2796" t="str">
        <f>"080065507962"</f>
        <v>080065507962</v>
      </c>
      <c r="F2796" s="3">
        <v>45799</v>
      </c>
      <c r="G2796">
        <v>202602</v>
      </c>
      <c r="H2796" t="s">
        <v>75</v>
      </c>
      <c r="I2796" t="s">
        <v>76</v>
      </c>
      <c r="J2796" t="s">
        <v>77</v>
      </c>
      <c r="K2796" t="s">
        <v>78</v>
      </c>
      <c r="L2796" t="s">
        <v>320</v>
      </c>
      <c r="M2796" t="s">
        <v>321</v>
      </c>
      <c r="N2796" t="s">
        <v>499</v>
      </c>
      <c r="O2796" t="s">
        <v>82</v>
      </c>
      <c r="P2796" t="str">
        <f>"4170040082                    "</f>
        <v xml:space="preserve">4170040082                    </v>
      </c>
      <c r="Q2796">
        <v>0</v>
      </c>
      <c r="R2796">
        <v>0</v>
      </c>
      <c r="S2796">
        <v>0</v>
      </c>
      <c r="T2796">
        <v>0</v>
      </c>
      <c r="U2796">
        <v>0</v>
      </c>
      <c r="V2796">
        <v>0</v>
      </c>
      <c r="W2796">
        <v>0</v>
      </c>
      <c r="X2796">
        <v>0</v>
      </c>
      <c r="Y2796">
        <v>0</v>
      </c>
      <c r="Z2796">
        <v>0</v>
      </c>
      <c r="AA2796">
        <v>0</v>
      </c>
      <c r="AB2796">
        <v>0</v>
      </c>
      <c r="AC2796">
        <v>0</v>
      </c>
      <c r="AD2796">
        <v>0</v>
      </c>
      <c r="AE2796">
        <v>0</v>
      </c>
      <c r="AF2796">
        <v>0</v>
      </c>
      <c r="AG2796">
        <v>0</v>
      </c>
      <c r="AH2796">
        <v>0</v>
      </c>
      <c r="AI2796">
        <v>0</v>
      </c>
      <c r="AJ2796">
        <v>0</v>
      </c>
      <c r="AK2796">
        <v>0</v>
      </c>
      <c r="AL2796">
        <v>0</v>
      </c>
      <c r="AM2796">
        <v>0</v>
      </c>
      <c r="AN2796">
        <v>0</v>
      </c>
      <c r="AO2796">
        <v>0</v>
      </c>
      <c r="AP2796">
        <v>0</v>
      </c>
      <c r="AQ2796">
        <v>21.38</v>
      </c>
      <c r="AR2796">
        <v>0</v>
      </c>
      <c r="AS2796">
        <v>0</v>
      </c>
      <c r="AT2796">
        <v>0</v>
      </c>
      <c r="AU2796">
        <v>0</v>
      </c>
      <c r="AV2796">
        <v>0</v>
      </c>
      <c r="AW2796">
        <v>0</v>
      </c>
      <c r="AX2796">
        <v>0</v>
      </c>
      <c r="AY2796">
        <v>0</v>
      </c>
      <c r="AZ2796">
        <v>0</v>
      </c>
      <c r="BA2796">
        <v>0</v>
      </c>
      <c r="BB2796">
        <v>0</v>
      </c>
      <c r="BC2796">
        <v>0</v>
      </c>
      <c r="BD2796">
        <v>0</v>
      </c>
      <c r="BE2796">
        <v>0</v>
      </c>
      <c r="BF2796">
        <v>0</v>
      </c>
      <c r="BG2796">
        <v>0</v>
      </c>
      <c r="BH2796">
        <v>1</v>
      </c>
      <c r="BI2796">
        <v>1</v>
      </c>
      <c r="BJ2796">
        <v>0.2</v>
      </c>
      <c r="BK2796">
        <v>1</v>
      </c>
      <c r="BL2796">
        <v>69.98</v>
      </c>
      <c r="BM2796">
        <v>10.5</v>
      </c>
      <c r="BN2796">
        <v>80.48</v>
      </c>
      <c r="BO2796">
        <v>80.48</v>
      </c>
      <c r="BQ2796" t="s">
        <v>500</v>
      </c>
      <c r="BR2796" t="s">
        <v>84</v>
      </c>
      <c r="BS2796" s="3">
        <v>45800</v>
      </c>
      <c r="BT2796" s="4">
        <v>0.42152777777777778</v>
      </c>
      <c r="BU2796" t="s">
        <v>623</v>
      </c>
      <c r="BV2796" t="s">
        <v>86</v>
      </c>
      <c r="BY2796">
        <v>1200</v>
      </c>
      <c r="CA2796" t="s">
        <v>326</v>
      </c>
      <c r="CC2796" t="s">
        <v>321</v>
      </c>
      <c r="CD2796">
        <v>4133</v>
      </c>
      <c r="CE2796" t="s">
        <v>88</v>
      </c>
      <c r="CF2796" s="3">
        <v>45800</v>
      </c>
      <c r="CI2796">
        <v>1</v>
      </c>
      <c r="CJ2796">
        <v>1</v>
      </c>
      <c r="CK2796">
        <v>21</v>
      </c>
      <c r="CL2796" t="s">
        <v>89</v>
      </c>
    </row>
    <row r="2797" spans="1:90" x14ac:dyDescent="0.3">
      <c r="A2797" t="s">
        <v>72</v>
      </c>
      <c r="B2797" t="s">
        <v>73</v>
      </c>
      <c r="C2797" t="s">
        <v>74</v>
      </c>
      <c r="E2797" t="str">
        <f>"080065508005"</f>
        <v>080065508005</v>
      </c>
      <c r="F2797" s="3">
        <v>45799</v>
      </c>
      <c r="G2797">
        <v>202602</v>
      </c>
      <c r="H2797" t="s">
        <v>75</v>
      </c>
      <c r="I2797" t="s">
        <v>76</v>
      </c>
      <c r="J2797" t="s">
        <v>77</v>
      </c>
      <c r="K2797" t="s">
        <v>78</v>
      </c>
      <c r="L2797" t="s">
        <v>75</v>
      </c>
      <c r="M2797" t="s">
        <v>76</v>
      </c>
      <c r="N2797" t="s">
        <v>346</v>
      </c>
      <c r="O2797" t="s">
        <v>82</v>
      </c>
      <c r="P2797" t="str">
        <f>"4170040088                    "</f>
        <v xml:space="preserve">4170040088                    </v>
      </c>
      <c r="Q2797">
        <v>0</v>
      </c>
      <c r="R2797">
        <v>0</v>
      </c>
      <c r="S2797">
        <v>0</v>
      </c>
      <c r="T2797">
        <v>0</v>
      </c>
      <c r="U2797">
        <v>0</v>
      </c>
      <c r="V2797">
        <v>0</v>
      </c>
      <c r="W2797">
        <v>0</v>
      </c>
      <c r="X2797">
        <v>0</v>
      </c>
      <c r="Y2797">
        <v>0</v>
      </c>
      <c r="Z2797">
        <v>0</v>
      </c>
      <c r="AA2797">
        <v>0</v>
      </c>
      <c r="AB2797">
        <v>0</v>
      </c>
      <c r="AC2797">
        <v>0</v>
      </c>
      <c r="AD2797">
        <v>0</v>
      </c>
      <c r="AE2797">
        <v>0</v>
      </c>
      <c r="AF2797">
        <v>0</v>
      </c>
      <c r="AG2797">
        <v>0</v>
      </c>
      <c r="AH2797">
        <v>0</v>
      </c>
      <c r="AI2797">
        <v>0</v>
      </c>
      <c r="AJ2797">
        <v>0</v>
      </c>
      <c r="AK2797">
        <v>0</v>
      </c>
      <c r="AL2797">
        <v>0</v>
      </c>
      <c r="AM2797">
        <v>0</v>
      </c>
      <c r="AN2797">
        <v>0</v>
      </c>
      <c r="AO2797">
        <v>0</v>
      </c>
      <c r="AP2797">
        <v>0</v>
      </c>
      <c r="AQ2797">
        <v>16.7</v>
      </c>
      <c r="AR2797">
        <v>0</v>
      </c>
      <c r="AS2797">
        <v>0</v>
      </c>
      <c r="AT2797">
        <v>0</v>
      </c>
      <c r="AU2797">
        <v>0</v>
      </c>
      <c r="AV2797">
        <v>0</v>
      </c>
      <c r="AW2797">
        <v>0</v>
      </c>
      <c r="AX2797">
        <v>0</v>
      </c>
      <c r="AY2797">
        <v>0</v>
      </c>
      <c r="AZ2797">
        <v>0</v>
      </c>
      <c r="BA2797">
        <v>0</v>
      </c>
      <c r="BB2797">
        <v>0</v>
      </c>
      <c r="BC2797">
        <v>0</v>
      </c>
      <c r="BD2797">
        <v>0</v>
      </c>
      <c r="BE2797">
        <v>0</v>
      </c>
      <c r="BF2797">
        <v>0</v>
      </c>
      <c r="BG2797">
        <v>0</v>
      </c>
      <c r="BH2797">
        <v>1</v>
      </c>
      <c r="BI2797">
        <v>1</v>
      </c>
      <c r="BJ2797">
        <v>0.2</v>
      </c>
      <c r="BK2797">
        <v>1</v>
      </c>
      <c r="BL2797">
        <v>54.66</v>
      </c>
      <c r="BM2797">
        <v>8.1999999999999993</v>
      </c>
      <c r="BN2797">
        <v>62.86</v>
      </c>
      <c r="BO2797">
        <v>62.86</v>
      </c>
      <c r="BQ2797" t="s">
        <v>347</v>
      </c>
      <c r="BR2797" t="s">
        <v>84</v>
      </c>
      <c r="BS2797" s="3">
        <v>45800</v>
      </c>
      <c r="BT2797" s="4">
        <v>0.37847222222222221</v>
      </c>
      <c r="BU2797" t="s">
        <v>407</v>
      </c>
      <c r="BV2797" t="s">
        <v>86</v>
      </c>
      <c r="BY2797">
        <v>1200</v>
      </c>
      <c r="CA2797" t="s">
        <v>349</v>
      </c>
      <c r="CC2797" t="s">
        <v>76</v>
      </c>
      <c r="CD2797">
        <v>1619</v>
      </c>
      <c r="CE2797" t="s">
        <v>88</v>
      </c>
      <c r="CF2797" s="3">
        <v>45800</v>
      </c>
      <c r="CI2797">
        <v>1</v>
      </c>
      <c r="CJ2797">
        <v>1</v>
      </c>
      <c r="CK2797">
        <v>22</v>
      </c>
      <c r="CL2797" t="s">
        <v>89</v>
      </c>
    </row>
    <row r="2798" spans="1:90" x14ac:dyDescent="0.3">
      <c r="A2798" t="s">
        <v>72</v>
      </c>
      <c r="B2798" t="s">
        <v>73</v>
      </c>
      <c r="C2798" t="s">
        <v>74</v>
      </c>
      <c r="E2798" t="str">
        <f>"080065508060"</f>
        <v>080065508060</v>
      </c>
      <c r="F2798" s="3">
        <v>45799</v>
      </c>
      <c r="G2798">
        <v>202602</v>
      </c>
      <c r="H2798" t="s">
        <v>75</v>
      </c>
      <c r="I2798" t="s">
        <v>76</v>
      </c>
      <c r="J2798" t="s">
        <v>77</v>
      </c>
      <c r="K2798" t="s">
        <v>78</v>
      </c>
      <c r="L2798" t="s">
        <v>75</v>
      </c>
      <c r="M2798" t="s">
        <v>76</v>
      </c>
      <c r="N2798" t="s">
        <v>247</v>
      </c>
      <c r="O2798" t="s">
        <v>82</v>
      </c>
      <c r="P2798" t="str">
        <f>"4170040117                    "</f>
        <v xml:space="preserve">4170040117                    </v>
      </c>
      <c r="Q2798">
        <v>0</v>
      </c>
      <c r="R2798">
        <v>0</v>
      </c>
      <c r="S2798">
        <v>0</v>
      </c>
      <c r="T2798">
        <v>0</v>
      </c>
      <c r="U2798">
        <v>0</v>
      </c>
      <c r="V2798">
        <v>0</v>
      </c>
      <c r="W2798">
        <v>0</v>
      </c>
      <c r="X2798">
        <v>0</v>
      </c>
      <c r="Y2798">
        <v>0</v>
      </c>
      <c r="Z2798">
        <v>0</v>
      </c>
      <c r="AA2798">
        <v>0</v>
      </c>
      <c r="AB2798">
        <v>0</v>
      </c>
      <c r="AC2798">
        <v>0</v>
      </c>
      <c r="AD2798">
        <v>0</v>
      </c>
      <c r="AE2798">
        <v>0</v>
      </c>
      <c r="AF2798">
        <v>0</v>
      </c>
      <c r="AG2798">
        <v>0</v>
      </c>
      <c r="AH2798">
        <v>0</v>
      </c>
      <c r="AI2798">
        <v>0</v>
      </c>
      <c r="AJ2798">
        <v>0</v>
      </c>
      <c r="AK2798">
        <v>0</v>
      </c>
      <c r="AL2798">
        <v>0</v>
      </c>
      <c r="AM2798">
        <v>0</v>
      </c>
      <c r="AN2798">
        <v>0</v>
      </c>
      <c r="AO2798">
        <v>0</v>
      </c>
      <c r="AP2798">
        <v>0</v>
      </c>
      <c r="AQ2798">
        <v>16.7</v>
      </c>
      <c r="AR2798">
        <v>0</v>
      </c>
      <c r="AS2798">
        <v>0</v>
      </c>
      <c r="AT2798">
        <v>0</v>
      </c>
      <c r="AU2798">
        <v>0</v>
      </c>
      <c r="AV2798">
        <v>0</v>
      </c>
      <c r="AW2798">
        <v>0</v>
      </c>
      <c r="AX2798">
        <v>0</v>
      </c>
      <c r="AY2798">
        <v>0</v>
      </c>
      <c r="AZ2798">
        <v>0</v>
      </c>
      <c r="BA2798">
        <v>0</v>
      </c>
      <c r="BB2798">
        <v>0</v>
      </c>
      <c r="BC2798">
        <v>0</v>
      </c>
      <c r="BD2798">
        <v>0</v>
      </c>
      <c r="BE2798">
        <v>0</v>
      </c>
      <c r="BF2798">
        <v>0</v>
      </c>
      <c r="BG2798">
        <v>0</v>
      </c>
      <c r="BH2798">
        <v>1</v>
      </c>
      <c r="BI2798">
        <v>1</v>
      </c>
      <c r="BJ2798">
        <v>0.2</v>
      </c>
      <c r="BK2798">
        <v>1</v>
      </c>
      <c r="BL2798">
        <v>54.66</v>
      </c>
      <c r="BM2798">
        <v>8.1999999999999993</v>
      </c>
      <c r="BN2798">
        <v>62.86</v>
      </c>
      <c r="BO2798">
        <v>62.86</v>
      </c>
      <c r="BQ2798" t="s">
        <v>248</v>
      </c>
      <c r="BR2798" t="s">
        <v>84</v>
      </c>
      <c r="BS2798" s="3">
        <v>45800</v>
      </c>
      <c r="BT2798" s="4">
        <v>0.41666666666666669</v>
      </c>
      <c r="BU2798" t="s">
        <v>2899</v>
      </c>
      <c r="BV2798" t="s">
        <v>86</v>
      </c>
      <c r="BY2798">
        <v>1200</v>
      </c>
      <c r="CA2798" t="s">
        <v>115</v>
      </c>
      <c r="CC2798" t="s">
        <v>76</v>
      </c>
      <c r="CD2798">
        <v>1624</v>
      </c>
      <c r="CE2798" t="s">
        <v>88</v>
      </c>
      <c r="CF2798" s="3">
        <v>45800</v>
      </c>
      <c r="CI2798">
        <v>1</v>
      </c>
      <c r="CJ2798">
        <v>1</v>
      </c>
      <c r="CK2798">
        <v>22</v>
      </c>
      <c r="CL2798" t="s">
        <v>89</v>
      </c>
    </row>
    <row r="2799" spans="1:90" x14ac:dyDescent="0.3">
      <c r="A2799" t="s">
        <v>72</v>
      </c>
      <c r="B2799" t="s">
        <v>73</v>
      </c>
      <c r="C2799" t="s">
        <v>74</v>
      </c>
      <c r="E2799" t="str">
        <f>"080065508096"</f>
        <v>080065508096</v>
      </c>
      <c r="F2799" s="3">
        <v>45799</v>
      </c>
      <c r="G2799">
        <v>202602</v>
      </c>
      <c r="H2799" t="s">
        <v>75</v>
      </c>
      <c r="I2799" t="s">
        <v>76</v>
      </c>
      <c r="J2799" t="s">
        <v>77</v>
      </c>
      <c r="K2799" t="s">
        <v>78</v>
      </c>
      <c r="L2799" t="s">
        <v>350</v>
      </c>
      <c r="M2799" t="s">
        <v>351</v>
      </c>
      <c r="N2799" t="s">
        <v>678</v>
      </c>
      <c r="O2799" t="s">
        <v>82</v>
      </c>
      <c r="P2799" t="str">
        <f>"4170040205                    "</f>
        <v xml:space="preserve">4170040205                    </v>
      </c>
      <c r="Q2799">
        <v>0</v>
      </c>
      <c r="R2799">
        <v>0</v>
      </c>
      <c r="S2799">
        <v>0</v>
      </c>
      <c r="T2799">
        <v>0</v>
      </c>
      <c r="U2799">
        <v>0</v>
      </c>
      <c r="V2799">
        <v>0</v>
      </c>
      <c r="W2799">
        <v>0</v>
      </c>
      <c r="X2799">
        <v>0</v>
      </c>
      <c r="Y2799">
        <v>0</v>
      </c>
      <c r="Z2799">
        <v>0</v>
      </c>
      <c r="AA2799">
        <v>0</v>
      </c>
      <c r="AB2799">
        <v>0</v>
      </c>
      <c r="AC2799">
        <v>0</v>
      </c>
      <c r="AD2799">
        <v>0</v>
      </c>
      <c r="AE2799">
        <v>0</v>
      </c>
      <c r="AF2799">
        <v>0</v>
      </c>
      <c r="AG2799">
        <v>0</v>
      </c>
      <c r="AH2799">
        <v>0</v>
      </c>
      <c r="AI2799">
        <v>0</v>
      </c>
      <c r="AJ2799">
        <v>0</v>
      </c>
      <c r="AK2799">
        <v>0</v>
      </c>
      <c r="AL2799">
        <v>0</v>
      </c>
      <c r="AM2799">
        <v>0</v>
      </c>
      <c r="AN2799">
        <v>0</v>
      </c>
      <c r="AO2799">
        <v>0</v>
      </c>
      <c r="AP2799">
        <v>0</v>
      </c>
      <c r="AQ2799">
        <v>21.38</v>
      </c>
      <c r="AR2799">
        <v>0</v>
      </c>
      <c r="AS2799">
        <v>0</v>
      </c>
      <c r="AT2799">
        <v>0</v>
      </c>
      <c r="AU2799">
        <v>0</v>
      </c>
      <c r="AV2799">
        <v>0</v>
      </c>
      <c r="AW2799">
        <v>0</v>
      </c>
      <c r="AX2799">
        <v>0</v>
      </c>
      <c r="AY2799">
        <v>0</v>
      </c>
      <c r="AZ2799">
        <v>0</v>
      </c>
      <c r="BA2799">
        <v>0</v>
      </c>
      <c r="BB2799">
        <v>0</v>
      </c>
      <c r="BC2799">
        <v>0</v>
      </c>
      <c r="BD2799">
        <v>0</v>
      </c>
      <c r="BE2799">
        <v>0</v>
      </c>
      <c r="BF2799">
        <v>0</v>
      </c>
      <c r="BG2799">
        <v>0</v>
      </c>
      <c r="BH2799">
        <v>1</v>
      </c>
      <c r="BI2799">
        <v>1</v>
      </c>
      <c r="BJ2799">
        <v>0.2</v>
      </c>
      <c r="BK2799">
        <v>1</v>
      </c>
      <c r="BL2799">
        <v>69.98</v>
      </c>
      <c r="BM2799">
        <v>10.5</v>
      </c>
      <c r="BN2799">
        <v>80.48</v>
      </c>
      <c r="BO2799">
        <v>80.48</v>
      </c>
      <c r="BQ2799" t="s">
        <v>679</v>
      </c>
      <c r="BR2799" t="s">
        <v>84</v>
      </c>
      <c r="BS2799" s="3">
        <v>45800</v>
      </c>
      <c r="BT2799" s="4">
        <v>0.35486111111111113</v>
      </c>
      <c r="BU2799" t="s">
        <v>680</v>
      </c>
      <c r="BV2799" t="s">
        <v>86</v>
      </c>
      <c r="BY2799">
        <v>1200</v>
      </c>
      <c r="CA2799" t="s">
        <v>326</v>
      </c>
      <c r="CC2799" t="s">
        <v>351</v>
      </c>
      <c r="CD2799">
        <v>4052</v>
      </c>
      <c r="CE2799" t="s">
        <v>88</v>
      </c>
      <c r="CF2799" s="3">
        <v>45800</v>
      </c>
      <c r="CI2799">
        <v>1</v>
      </c>
      <c r="CJ2799">
        <v>1</v>
      </c>
      <c r="CK2799">
        <v>21</v>
      </c>
      <c r="CL2799" t="s">
        <v>89</v>
      </c>
    </row>
    <row r="2800" spans="1:90" x14ac:dyDescent="0.3">
      <c r="A2800" t="s">
        <v>72</v>
      </c>
      <c r="B2800" t="s">
        <v>73</v>
      </c>
      <c r="C2800" t="s">
        <v>74</v>
      </c>
      <c r="E2800" t="str">
        <f>"080065508140"</f>
        <v>080065508140</v>
      </c>
      <c r="F2800" s="3">
        <v>45799</v>
      </c>
      <c r="G2800">
        <v>202602</v>
      </c>
      <c r="H2800" t="s">
        <v>75</v>
      </c>
      <c r="I2800" t="s">
        <v>76</v>
      </c>
      <c r="J2800" t="s">
        <v>77</v>
      </c>
      <c r="K2800" t="s">
        <v>78</v>
      </c>
      <c r="L2800" t="s">
        <v>350</v>
      </c>
      <c r="M2800" t="s">
        <v>351</v>
      </c>
      <c r="N2800" t="s">
        <v>459</v>
      </c>
      <c r="O2800" t="s">
        <v>82</v>
      </c>
      <c r="P2800" t="str">
        <f>"4170040212                    "</f>
        <v xml:space="preserve">4170040212                    </v>
      </c>
      <c r="Q2800">
        <v>0</v>
      </c>
      <c r="R2800">
        <v>0</v>
      </c>
      <c r="S2800">
        <v>0</v>
      </c>
      <c r="T2800">
        <v>0</v>
      </c>
      <c r="U2800">
        <v>0</v>
      </c>
      <c r="V2800">
        <v>0</v>
      </c>
      <c r="W2800">
        <v>0</v>
      </c>
      <c r="X2800">
        <v>0</v>
      </c>
      <c r="Y2800">
        <v>0</v>
      </c>
      <c r="Z2800">
        <v>0</v>
      </c>
      <c r="AA2800">
        <v>0</v>
      </c>
      <c r="AB2800">
        <v>0</v>
      </c>
      <c r="AC2800">
        <v>0</v>
      </c>
      <c r="AD2800">
        <v>0</v>
      </c>
      <c r="AE2800">
        <v>0</v>
      </c>
      <c r="AF2800">
        <v>0</v>
      </c>
      <c r="AG2800">
        <v>0</v>
      </c>
      <c r="AH2800">
        <v>0</v>
      </c>
      <c r="AI2800">
        <v>0</v>
      </c>
      <c r="AJ2800">
        <v>0</v>
      </c>
      <c r="AK2800">
        <v>0</v>
      </c>
      <c r="AL2800">
        <v>0</v>
      </c>
      <c r="AM2800">
        <v>0</v>
      </c>
      <c r="AN2800">
        <v>0</v>
      </c>
      <c r="AO2800">
        <v>0</v>
      </c>
      <c r="AP2800">
        <v>0</v>
      </c>
      <c r="AQ2800">
        <v>21.38</v>
      </c>
      <c r="AR2800">
        <v>0</v>
      </c>
      <c r="AS2800">
        <v>0</v>
      </c>
      <c r="AT2800">
        <v>0</v>
      </c>
      <c r="AU2800">
        <v>0</v>
      </c>
      <c r="AV2800">
        <v>0</v>
      </c>
      <c r="AW2800">
        <v>0</v>
      </c>
      <c r="AX2800">
        <v>0</v>
      </c>
      <c r="AY2800">
        <v>0</v>
      </c>
      <c r="AZ2800">
        <v>0</v>
      </c>
      <c r="BA2800">
        <v>0</v>
      </c>
      <c r="BB2800">
        <v>0</v>
      </c>
      <c r="BC2800">
        <v>0</v>
      </c>
      <c r="BD2800">
        <v>0</v>
      </c>
      <c r="BE2800">
        <v>0</v>
      </c>
      <c r="BF2800">
        <v>0</v>
      </c>
      <c r="BG2800">
        <v>0</v>
      </c>
      <c r="BH2800">
        <v>1</v>
      </c>
      <c r="BI2800">
        <v>1</v>
      </c>
      <c r="BJ2800">
        <v>0.2</v>
      </c>
      <c r="BK2800">
        <v>1</v>
      </c>
      <c r="BL2800">
        <v>69.98</v>
      </c>
      <c r="BM2800">
        <v>10.5</v>
      </c>
      <c r="BN2800">
        <v>80.48</v>
      </c>
      <c r="BO2800">
        <v>80.48</v>
      </c>
      <c r="BQ2800" t="s">
        <v>460</v>
      </c>
      <c r="BR2800" t="s">
        <v>84</v>
      </c>
      <c r="BS2800" s="3">
        <v>45800</v>
      </c>
      <c r="BT2800" s="4">
        <v>0.35138888888888886</v>
      </c>
      <c r="BU2800" t="s">
        <v>1121</v>
      </c>
      <c r="BV2800" t="s">
        <v>86</v>
      </c>
      <c r="BY2800">
        <v>1200</v>
      </c>
      <c r="CA2800" t="s">
        <v>462</v>
      </c>
      <c r="CC2800" t="s">
        <v>351</v>
      </c>
      <c r="CD2800">
        <v>4051</v>
      </c>
      <c r="CE2800" t="s">
        <v>88</v>
      </c>
      <c r="CF2800" s="3">
        <v>45800</v>
      </c>
      <c r="CI2800">
        <v>1</v>
      </c>
      <c r="CJ2800">
        <v>1</v>
      </c>
      <c r="CK2800">
        <v>21</v>
      </c>
      <c r="CL2800" t="s">
        <v>89</v>
      </c>
    </row>
    <row r="2801" spans="1:90" x14ac:dyDescent="0.3">
      <c r="A2801" t="s">
        <v>72</v>
      </c>
      <c r="B2801" t="s">
        <v>73</v>
      </c>
      <c r="C2801" t="s">
        <v>74</v>
      </c>
      <c r="E2801" t="str">
        <f>"080065508180"</f>
        <v>080065508180</v>
      </c>
      <c r="F2801" s="3">
        <v>45799</v>
      </c>
      <c r="G2801">
        <v>202602</v>
      </c>
      <c r="H2801" t="s">
        <v>75</v>
      </c>
      <c r="I2801" t="s">
        <v>76</v>
      </c>
      <c r="J2801" t="s">
        <v>77</v>
      </c>
      <c r="K2801" t="s">
        <v>78</v>
      </c>
      <c r="L2801" t="s">
        <v>672</v>
      </c>
      <c r="M2801" t="s">
        <v>673</v>
      </c>
      <c r="N2801" t="s">
        <v>674</v>
      </c>
      <c r="O2801" t="s">
        <v>82</v>
      </c>
      <c r="P2801" t="str">
        <f>"4170040124                    "</f>
        <v xml:space="preserve">4170040124                    </v>
      </c>
      <c r="Q2801">
        <v>0</v>
      </c>
      <c r="R2801">
        <v>0</v>
      </c>
      <c r="S2801">
        <v>0</v>
      </c>
      <c r="T2801">
        <v>0</v>
      </c>
      <c r="U2801">
        <v>0</v>
      </c>
      <c r="V2801">
        <v>0</v>
      </c>
      <c r="W2801">
        <v>0</v>
      </c>
      <c r="X2801">
        <v>0</v>
      </c>
      <c r="Y2801">
        <v>0</v>
      </c>
      <c r="Z2801">
        <v>0</v>
      </c>
      <c r="AA2801">
        <v>0</v>
      </c>
      <c r="AB2801">
        <v>0</v>
      </c>
      <c r="AC2801">
        <v>0</v>
      </c>
      <c r="AD2801">
        <v>0</v>
      </c>
      <c r="AE2801">
        <v>0</v>
      </c>
      <c r="AF2801">
        <v>0</v>
      </c>
      <c r="AG2801">
        <v>0</v>
      </c>
      <c r="AH2801">
        <v>0</v>
      </c>
      <c r="AI2801">
        <v>0</v>
      </c>
      <c r="AJ2801">
        <v>0</v>
      </c>
      <c r="AK2801">
        <v>0</v>
      </c>
      <c r="AL2801">
        <v>0</v>
      </c>
      <c r="AM2801">
        <v>0</v>
      </c>
      <c r="AN2801">
        <v>0</v>
      </c>
      <c r="AO2801">
        <v>0</v>
      </c>
      <c r="AP2801">
        <v>0</v>
      </c>
      <c r="AQ2801">
        <v>41.43</v>
      </c>
      <c r="AR2801">
        <v>0</v>
      </c>
      <c r="AS2801">
        <v>0</v>
      </c>
      <c r="AT2801">
        <v>0</v>
      </c>
      <c r="AU2801">
        <v>0</v>
      </c>
      <c r="AV2801">
        <v>0</v>
      </c>
      <c r="AW2801">
        <v>0</v>
      </c>
      <c r="AX2801">
        <v>0</v>
      </c>
      <c r="AY2801">
        <v>0</v>
      </c>
      <c r="AZ2801">
        <v>0</v>
      </c>
      <c r="BA2801">
        <v>0</v>
      </c>
      <c r="BB2801">
        <v>0</v>
      </c>
      <c r="BC2801">
        <v>0</v>
      </c>
      <c r="BD2801">
        <v>0</v>
      </c>
      <c r="BE2801">
        <v>0</v>
      </c>
      <c r="BF2801">
        <v>0</v>
      </c>
      <c r="BG2801">
        <v>0</v>
      </c>
      <c r="BH2801">
        <v>1</v>
      </c>
      <c r="BI2801">
        <v>1</v>
      </c>
      <c r="BJ2801">
        <v>0.2</v>
      </c>
      <c r="BK2801">
        <v>1</v>
      </c>
      <c r="BL2801">
        <v>135.59</v>
      </c>
      <c r="BM2801">
        <v>20.34</v>
      </c>
      <c r="BN2801">
        <v>155.93</v>
      </c>
      <c r="BO2801">
        <v>155.93</v>
      </c>
      <c r="BQ2801" t="s">
        <v>675</v>
      </c>
      <c r="BR2801" t="s">
        <v>84</v>
      </c>
      <c r="BS2801" s="3">
        <v>45800</v>
      </c>
      <c r="BT2801" s="4">
        <v>0.44374999999999998</v>
      </c>
      <c r="BU2801" t="s">
        <v>2900</v>
      </c>
      <c r="BV2801" t="s">
        <v>86</v>
      </c>
      <c r="BY2801">
        <v>1200</v>
      </c>
      <c r="CA2801" t="s">
        <v>2901</v>
      </c>
      <c r="CC2801" t="s">
        <v>673</v>
      </c>
      <c r="CD2801">
        <v>2531</v>
      </c>
      <c r="CE2801" t="s">
        <v>88</v>
      </c>
      <c r="CF2801" s="3">
        <v>45803</v>
      </c>
      <c r="CI2801">
        <v>1</v>
      </c>
      <c r="CJ2801">
        <v>1</v>
      </c>
      <c r="CK2801">
        <v>23</v>
      </c>
      <c r="CL2801" t="s">
        <v>89</v>
      </c>
    </row>
    <row r="2802" spans="1:90" x14ac:dyDescent="0.3">
      <c r="A2802" t="s">
        <v>72</v>
      </c>
      <c r="B2802" t="s">
        <v>73</v>
      </c>
      <c r="C2802" t="s">
        <v>74</v>
      </c>
      <c r="E2802" t="str">
        <f>"080065508204"</f>
        <v>080065508204</v>
      </c>
      <c r="F2802" s="3">
        <v>45799</v>
      </c>
      <c r="G2802">
        <v>202602</v>
      </c>
      <c r="H2802" t="s">
        <v>75</v>
      </c>
      <c r="I2802" t="s">
        <v>76</v>
      </c>
      <c r="J2802" t="s">
        <v>77</v>
      </c>
      <c r="K2802" t="s">
        <v>78</v>
      </c>
      <c r="L2802" t="s">
        <v>123</v>
      </c>
      <c r="M2802" t="s">
        <v>123</v>
      </c>
      <c r="N2802" t="s">
        <v>2902</v>
      </c>
      <c r="O2802" t="s">
        <v>82</v>
      </c>
      <c r="P2802" t="str">
        <f>"4170040097                    "</f>
        <v xml:space="preserve">4170040097                    </v>
      </c>
      <c r="Q2802">
        <v>0</v>
      </c>
      <c r="R2802">
        <v>0</v>
      </c>
      <c r="S2802">
        <v>0</v>
      </c>
      <c r="T2802">
        <v>0</v>
      </c>
      <c r="U2802">
        <v>0</v>
      </c>
      <c r="V2802">
        <v>0</v>
      </c>
      <c r="W2802">
        <v>0</v>
      </c>
      <c r="X2802">
        <v>0</v>
      </c>
      <c r="Y2802">
        <v>0</v>
      </c>
      <c r="Z2802">
        <v>0</v>
      </c>
      <c r="AA2802">
        <v>0</v>
      </c>
      <c r="AB2802">
        <v>0</v>
      </c>
      <c r="AC2802">
        <v>0</v>
      </c>
      <c r="AD2802">
        <v>0</v>
      </c>
      <c r="AE2802">
        <v>0</v>
      </c>
      <c r="AF2802">
        <v>0</v>
      </c>
      <c r="AG2802">
        <v>0</v>
      </c>
      <c r="AH2802">
        <v>0</v>
      </c>
      <c r="AI2802">
        <v>0</v>
      </c>
      <c r="AJ2802">
        <v>0</v>
      </c>
      <c r="AK2802">
        <v>0</v>
      </c>
      <c r="AL2802">
        <v>0</v>
      </c>
      <c r="AM2802">
        <v>0</v>
      </c>
      <c r="AN2802">
        <v>0</v>
      </c>
      <c r="AO2802">
        <v>0</v>
      </c>
      <c r="AP2802">
        <v>0</v>
      </c>
      <c r="AQ2802">
        <v>41.43</v>
      </c>
      <c r="AR2802">
        <v>0</v>
      </c>
      <c r="AS2802">
        <v>0</v>
      </c>
      <c r="AT2802">
        <v>0</v>
      </c>
      <c r="AU2802">
        <v>0</v>
      </c>
      <c r="AV2802">
        <v>0</v>
      </c>
      <c r="AW2802">
        <v>0</v>
      </c>
      <c r="AX2802">
        <v>0</v>
      </c>
      <c r="AY2802">
        <v>0</v>
      </c>
      <c r="AZ2802">
        <v>0</v>
      </c>
      <c r="BA2802">
        <v>0</v>
      </c>
      <c r="BB2802">
        <v>0</v>
      </c>
      <c r="BC2802">
        <v>0</v>
      </c>
      <c r="BD2802">
        <v>0</v>
      </c>
      <c r="BE2802">
        <v>0</v>
      </c>
      <c r="BF2802">
        <v>0</v>
      </c>
      <c r="BG2802">
        <v>0</v>
      </c>
      <c r="BH2802">
        <v>1</v>
      </c>
      <c r="BI2802">
        <v>1</v>
      </c>
      <c r="BJ2802">
        <v>0.2</v>
      </c>
      <c r="BK2802">
        <v>1</v>
      </c>
      <c r="BL2802">
        <v>135.59</v>
      </c>
      <c r="BM2802">
        <v>20.34</v>
      </c>
      <c r="BN2802">
        <v>155.93</v>
      </c>
      <c r="BO2802">
        <v>155.93</v>
      </c>
      <c r="BQ2802" t="s">
        <v>2903</v>
      </c>
      <c r="BR2802" t="s">
        <v>84</v>
      </c>
      <c r="BS2802" s="3">
        <v>45800</v>
      </c>
      <c r="BT2802" s="4">
        <v>0.49166666666666664</v>
      </c>
      <c r="BU2802" t="s">
        <v>2904</v>
      </c>
      <c r="BV2802" t="s">
        <v>86</v>
      </c>
      <c r="BY2802">
        <v>1200</v>
      </c>
      <c r="CA2802" t="s">
        <v>128</v>
      </c>
      <c r="CC2802" t="s">
        <v>123</v>
      </c>
      <c r="CD2802">
        <v>7646</v>
      </c>
      <c r="CE2802" t="s">
        <v>88</v>
      </c>
      <c r="CF2802" s="3">
        <v>45803</v>
      </c>
      <c r="CI2802">
        <v>1</v>
      </c>
      <c r="CJ2802">
        <v>1</v>
      </c>
      <c r="CK2802">
        <v>23</v>
      </c>
      <c r="CL2802" t="s">
        <v>89</v>
      </c>
    </row>
    <row r="2803" spans="1:90" x14ac:dyDescent="0.3">
      <c r="A2803" t="s">
        <v>72</v>
      </c>
      <c r="B2803" t="s">
        <v>73</v>
      </c>
      <c r="C2803" t="s">
        <v>74</v>
      </c>
      <c r="E2803" t="str">
        <f>"080065508238"</f>
        <v>080065508238</v>
      </c>
      <c r="F2803" s="3">
        <v>45799</v>
      </c>
      <c r="G2803">
        <v>202602</v>
      </c>
      <c r="H2803" t="s">
        <v>75</v>
      </c>
      <c r="I2803" t="s">
        <v>76</v>
      </c>
      <c r="J2803" t="s">
        <v>77</v>
      </c>
      <c r="K2803" t="s">
        <v>78</v>
      </c>
      <c r="L2803" t="s">
        <v>350</v>
      </c>
      <c r="M2803" t="s">
        <v>351</v>
      </c>
      <c r="N2803" t="s">
        <v>459</v>
      </c>
      <c r="O2803" t="s">
        <v>82</v>
      </c>
      <c r="P2803" t="str">
        <f>"4170040138                    "</f>
        <v xml:space="preserve">4170040138                    </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0</v>
      </c>
      <c r="AL2803">
        <v>0</v>
      </c>
      <c r="AM2803">
        <v>0</v>
      </c>
      <c r="AN2803">
        <v>0</v>
      </c>
      <c r="AO2803">
        <v>0</v>
      </c>
      <c r="AP2803">
        <v>0</v>
      </c>
      <c r="AQ2803">
        <v>21.38</v>
      </c>
      <c r="AR2803">
        <v>0</v>
      </c>
      <c r="AS2803">
        <v>0</v>
      </c>
      <c r="AT2803">
        <v>0</v>
      </c>
      <c r="AU2803">
        <v>0</v>
      </c>
      <c r="AV2803">
        <v>0</v>
      </c>
      <c r="AW2803">
        <v>0</v>
      </c>
      <c r="AX2803">
        <v>0</v>
      </c>
      <c r="AY2803">
        <v>0</v>
      </c>
      <c r="AZ2803">
        <v>0</v>
      </c>
      <c r="BA2803">
        <v>0</v>
      </c>
      <c r="BB2803">
        <v>0</v>
      </c>
      <c r="BC2803">
        <v>0</v>
      </c>
      <c r="BD2803">
        <v>0</v>
      </c>
      <c r="BE2803">
        <v>0</v>
      </c>
      <c r="BF2803">
        <v>0</v>
      </c>
      <c r="BG2803">
        <v>0</v>
      </c>
      <c r="BH2803">
        <v>1</v>
      </c>
      <c r="BI2803">
        <v>1</v>
      </c>
      <c r="BJ2803">
        <v>0.2</v>
      </c>
      <c r="BK2803">
        <v>1</v>
      </c>
      <c r="BL2803">
        <v>69.98</v>
      </c>
      <c r="BM2803">
        <v>10.5</v>
      </c>
      <c r="BN2803">
        <v>80.48</v>
      </c>
      <c r="BO2803">
        <v>80.48</v>
      </c>
      <c r="BQ2803" t="s">
        <v>460</v>
      </c>
      <c r="BR2803" t="s">
        <v>84</v>
      </c>
      <c r="BS2803" s="3">
        <v>45800</v>
      </c>
      <c r="BT2803" s="4">
        <v>0.35138888888888886</v>
      </c>
      <c r="BU2803" t="s">
        <v>1121</v>
      </c>
      <c r="BV2803" t="s">
        <v>86</v>
      </c>
      <c r="BY2803">
        <v>1200</v>
      </c>
      <c r="CA2803" t="s">
        <v>462</v>
      </c>
      <c r="CC2803" t="s">
        <v>351</v>
      </c>
      <c r="CD2803">
        <v>4051</v>
      </c>
      <c r="CE2803" t="s">
        <v>88</v>
      </c>
      <c r="CF2803" s="3">
        <v>45800</v>
      </c>
      <c r="CI2803">
        <v>1</v>
      </c>
      <c r="CJ2803">
        <v>1</v>
      </c>
      <c r="CK2803">
        <v>21</v>
      </c>
      <c r="CL2803" t="s">
        <v>89</v>
      </c>
    </row>
    <row r="2804" spans="1:90" x14ac:dyDescent="0.3">
      <c r="A2804" t="s">
        <v>72</v>
      </c>
      <c r="B2804" t="s">
        <v>73</v>
      </c>
      <c r="C2804" t="s">
        <v>74</v>
      </c>
      <c r="E2804" t="str">
        <f>"080065508266"</f>
        <v>080065508266</v>
      </c>
      <c r="F2804" s="3">
        <v>45799</v>
      </c>
      <c r="G2804">
        <v>202602</v>
      </c>
      <c r="H2804" t="s">
        <v>75</v>
      </c>
      <c r="I2804" t="s">
        <v>76</v>
      </c>
      <c r="J2804" t="s">
        <v>77</v>
      </c>
      <c r="K2804" t="s">
        <v>78</v>
      </c>
      <c r="L2804" t="s">
        <v>130</v>
      </c>
      <c r="M2804" t="s">
        <v>131</v>
      </c>
      <c r="N2804" t="s">
        <v>343</v>
      </c>
      <c r="O2804" t="s">
        <v>82</v>
      </c>
      <c r="P2804" t="str">
        <f>"4170040146                    "</f>
        <v xml:space="preserve">4170040146                    </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c r="AJ2804">
        <v>0</v>
      </c>
      <c r="AK2804">
        <v>0</v>
      </c>
      <c r="AL2804">
        <v>0</v>
      </c>
      <c r="AM2804">
        <v>0</v>
      </c>
      <c r="AN2804">
        <v>0</v>
      </c>
      <c r="AO2804">
        <v>0</v>
      </c>
      <c r="AP2804">
        <v>0</v>
      </c>
      <c r="AQ2804">
        <v>21.38</v>
      </c>
      <c r="AR2804">
        <v>0</v>
      </c>
      <c r="AS2804">
        <v>0</v>
      </c>
      <c r="AT2804">
        <v>0</v>
      </c>
      <c r="AU2804">
        <v>0</v>
      </c>
      <c r="AV2804">
        <v>0</v>
      </c>
      <c r="AW2804">
        <v>0</v>
      </c>
      <c r="AX2804">
        <v>0</v>
      </c>
      <c r="AY2804">
        <v>0</v>
      </c>
      <c r="AZ2804">
        <v>0</v>
      </c>
      <c r="BA2804">
        <v>0</v>
      </c>
      <c r="BB2804">
        <v>0</v>
      </c>
      <c r="BC2804">
        <v>0</v>
      </c>
      <c r="BD2804">
        <v>0</v>
      </c>
      <c r="BE2804">
        <v>0</v>
      </c>
      <c r="BF2804">
        <v>0</v>
      </c>
      <c r="BG2804">
        <v>0</v>
      </c>
      <c r="BH2804">
        <v>1</v>
      </c>
      <c r="BI2804">
        <v>1</v>
      </c>
      <c r="BJ2804">
        <v>0.2</v>
      </c>
      <c r="BK2804">
        <v>1</v>
      </c>
      <c r="BL2804">
        <v>69.98</v>
      </c>
      <c r="BM2804">
        <v>10.5</v>
      </c>
      <c r="BN2804">
        <v>80.48</v>
      </c>
      <c r="BO2804">
        <v>80.48</v>
      </c>
      <c r="BQ2804" t="s">
        <v>344</v>
      </c>
      <c r="BR2804" t="s">
        <v>84</v>
      </c>
      <c r="BS2804" s="3">
        <v>45800</v>
      </c>
      <c r="BT2804" s="4">
        <v>0.40069444444444446</v>
      </c>
      <c r="BU2804" t="s">
        <v>1338</v>
      </c>
      <c r="BV2804" t="s">
        <v>86</v>
      </c>
      <c r="BY2804">
        <v>1200</v>
      </c>
      <c r="CA2804" t="s">
        <v>242</v>
      </c>
      <c r="CC2804" t="s">
        <v>131</v>
      </c>
      <c r="CD2804">
        <v>7441</v>
      </c>
      <c r="CE2804" t="s">
        <v>88</v>
      </c>
      <c r="CF2804" s="3">
        <v>45803</v>
      </c>
      <c r="CI2804">
        <v>1</v>
      </c>
      <c r="CJ2804">
        <v>1</v>
      </c>
      <c r="CK2804">
        <v>21</v>
      </c>
      <c r="CL2804" t="s">
        <v>89</v>
      </c>
    </row>
    <row r="2805" spans="1:90" x14ac:dyDescent="0.3">
      <c r="A2805" t="s">
        <v>72</v>
      </c>
      <c r="B2805" t="s">
        <v>73</v>
      </c>
      <c r="C2805" t="s">
        <v>74</v>
      </c>
      <c r="E2805" t="str">
        <f>"080065508305"</f>
        <v>080065508305</v>
      </c>
      <c r="F2805" s="3">
        <v>45799</v>
      </c>
      <c r="G2805">
        <v>202602</v>
      </c>
      <c r="H2805" t="s">
        <v>75</v>
      </c>
      <c r="I2805" t="s">
        <v>76</v>
      </c>
      <c r="J2805" t="s">
        <v>77</v>
      </c>
      <c r="K2805" t="s">
        <v>78</v>
      </c>
      <c r="L2805" t="s">
        <v>136</v>
      </c>
      <c r="M2805" t="s">
        <v>137</v>
      </c>
      <c r="N2805" t="s">
        <v>299</v>
      </c>
      <c r="O2805" t="s">
        <v>82</v>
      </c>
      <c r="P2805" t="str">
        <f>"4170040083                    "</f>
        <v xml:space="preserve">4170040083                    </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c r="AJ2805">
        <v>0</v>
      </c>
      <c r="AK2805">
        <v>0</v>
      </c>
      <c r="AL2805">
        <v>0</v>
      </c>
      <c r="AM2805">
        <v>0</v>
      </c>
      <c r="AN2805">
        <v>0</v>
      </c>
      <c r="AO2805">
        <v>0</v>
      </c>
      <c r="AP2805">
        <v>0</v>
      </c>
      <c r="AQ2805">
        <v>21.38</v>
      </c>
      <c r="AR2805">
        <v>0</v>
      </c>
      <c r="AS2805">
        <v>0</v>
      </c>
      <c r="AT2805">
        <v>0</v>
      </c>
      <c r="AU2805">
        <v>0</v>
      </c>
      <c r="AV2805">
        <v>0</v>
      </c>
      <c r="AW2805">
        <v>0</v>
      </c>
      <c r="AX2805">
        <v>0</v>
      </c>
      <c r="AY2805">
        <v>0</v>
      </c>
      <c r="AZ2805">
        <v>0</v>
      </c>
      <c r="BA2805">
        <v>0</v>
      </c>
      <c r="BB2805">
        <v>0</v>
      </c>
      <c r="BC2805">
        <v>0</v>
      </c>
      <c r="BD2805">
        <v>0</v>
      </c>
      <c r="BE2805">
        <v>0</v>
      </c>
      <c r="BF2805">
        <v>0</v>
      </c>
      <c r="BG2805">
        <v>0</v>
      </c>
      <c r="BH2805">
        <v>1</v>
      </c>
      <c r="BI2805">
        <v>1</v>
      </c>
      <c r="BJ2805">
        <v>0.2</v>
      </c>
      <c r="BK2805">
        <v>1</v>
      </c>
      <c r="BL2805">
        <v>69.98</v>
      </c>
      <c r="BM2805">
        <v>10.5</v>
      </c>
      <c r="BN2805">
        <v>80.48</v>
      </c>
      <c r="BO2805">
        <v>80.48</v>
      </c>
      <c r="BQ2805" t="s">
        <v>301</v>
      </c>
      <c r="BR2805" t="s">
        <v>84</v>
      </c>
      <c r="BS2805" s="3">
        <v>45800</v>
      </c>
      <c r="BT2805" s="4">
        <v>0.37152777777777779</v>
      </c>
      <c r="BU2805" t="s">
        <v>302</v>
      </c>
      <c r="BV2805" t="s">
        <v>86</v>
      </c>
      <c r="BY2805">
        <v>1200</v>
      </c>
      <c r="CA2805" t="s">
        <v>253</v>
      </c>
      <c r="CC2805" t="s">
        <v>137</v>
      </c>
      <c r="CD2805" s="5" t="s">
        <v>254</v>
      </c>
      <c r="CE2805" t="s">
        <v>88</v>
      </c>
      <c r="CF2805" s="3">
        <v>45800</v>
      </c>
      <c r="CI2805">
        <v>1</v>
      </c>
      <c r="CJ2805">
        <v>1</v>
      </c>
      <c r="CK2805">
        <v>21</v>
      </c>
      <c r="CL2805" t="s">
        <v>89</v>
      </c>
    </row>
    <row r="2806" spans="1:90" x14ac:dyDescent="0.3">
      <c r="A2806" t="s">
        <v>72</v>
      </c>
      <c r="B2806" t="s">
        <v>73</v>
      </c>
      <c r="C2806" t="s">
        <v>74</v>
      </c>
      <c r="E2806" t="str">
        <f>"080065508333"</f>
        <v>080065508333</v>
      </c>
      <c r="F2806" s="3">
        <v>45799</v>
      </c>
      <c r="G2806">
        <v>202602</v>
      </c>
      <c r="H2806" t="s">
        <v>75</v>
      </c>
      <c r="I2806" t="s">
        <v>76</v>
      </c>
      <c r="J2806" t="s">
        <v>77</v>
      </c>
      <c r="K2806" t="s">
        <v>78</v>
      </c>
      <c r="L2806" t="s">
        <v>445</v>
      </c>
      <c r="M2806" t="s">
        <v>446</v>
      </c>
      <c r="N2806" t="s">
        <v>2782</v>
      </c>
      <c r="O2806" t="s">
        <v>82</v>
      </c>
      <c r="P2806" t="str">
        <f>"4170040079                    "</f>
        <v xml:space="preserve">4170040079                    </v>
      </c>
      <c r="Q2806">
        <v>0</v>
      </c>
      <c r="R2806">
        <v>0</v>
      </c>
      <c r="S2806">
        <v>0</v>
      </c>
      <c r="T2806">
        <v>0</v>
      </c>
      <c r="U2806">
        <v>0</v>
      </c>
      <c r="V2806">
        <v>0</v>
      </c>
      <c r="W2806">
        <v>0</v>
      </c>
      <c r="X2806">
        <v>0</v>
      </c>
      <c r="Y2806">
        <v>0</v>
      </c>
      <c r="Z2806">
        <v>0</v>
      </c>
      <c r="AA2806">
        <v>0</v>
      </c>
      <c r="AB2806">
        <v>0</v>
      </c>
      <c r="AC2806">
        <v>0</v>
      </c>
      <c r="AD2806">
        <v>0</v>
      </c>
      <c r="AE2806">
        <v>0</v>
      </c>
      <c r="AF2806">
        <v>0</v>
      </c>
      <c r="AG2806">
        <v>0</v>
      </c>
      <c r="AH2806">
        <v>0</v>
      </c>
      <c r="AI2806">
        <v>0</v>
      </c>
      <c r="AJ2806">
        <v>0</v>
      </c>
      <c r="AK2806">
        <v>0</v>
      </c>
      <c r="AL2806">
        <v>0</v>
      </c>
      <c r="AM2806">
        <v>0</v>
      </c>
      <c r="AN2806">
        <v>0</v>
      </c>
      <c r="AO2806">
        <v>0</v>
      </c>
      <c r="AP2806">
        <v>0</v>
      </c>
      <c r="AQ2806">
        <v>41.43</v>
      </c>
      <c r="AR2806">
        <v>0</v>
      </c>
      <c r="AS2806">
        <v>0</v>
      </c>
      <c r="AT2806">
        <v>0</v>
      </c>
      <c r="AU2806">
        <v>0</v>
      </c>
      <c r="AV2806">
        <v>0</v>
      </c>
      <c r="AW2806">
        <v>0</v>
      </c>
      <c r="AX2806">
        <v>0</v>
      </c>
      <c r="AY2806">
        <v>0</v>
      </c>
      <c r="AZ2806">
        <v>0</v>
      </c>
      <c r="BA2806">
        <v>0</v>
      </c>
      <c r="BB2806">
        <v>0</v>
      </c>
      <c r="BC2806">
        <v>0</v>
      </c>
      <c r="BD2806">
        <v>0</v>
      </c>
      <c r="BE2806">
        <v>0</v>
      </c>
      <c r="BF2806">
        <v>0</v>
      </c>
      <c r="BG2806">
        <v>0</v>
      </c>
      <c r="BH2806">
        <v>1</v>
      </c>
      <c r="BI2806">
        <v>1</v>
      </c>
      <c r="BJ2806">
        <v>0.2</v>
      </c>
      <c r="BK2806">
        <v>1</v>
      </c>
      <c r="BL2806">
        <v>135.59</v>
      </c>
      <c r="BM2806">
        <v>20.34</v>
      </c>
      <c r="BN2806">
        <v>155.93</v>
      </c>
      <c r="BO2806">
        <v>155.93</v>
      </c>
      <c r="BQ2806" t="s">
        <v>2783</v>
      </c>
      <c r="BR2806" t="s">
        <v>84</v>
      </c>
      <c r="BS2806" s="3">
        <v>45800</v>
      </c>
      <c r="BT2806" s="4">
        <v>0.40347222222222223</v>
      </c>
      <c r="BU2806" t="s">
        <v>1710</v>
      </c>
      <c r="BV2806" t="s">
        <v>86</v>
      </c>
      <c r="BY2806">
        <v>1200</v>
      </c>
      <c r="CA2806" t="s">
        <v>2538</v>
      </c>
      <c r="CC2806" t="s">
        <v>446</v>
      </c>
      <c r="CD2806">
        <v>4399</v>
      </c>
      <c r="CE2806" t="s">
        <v>88</v>
      </c>
      <c r="CF2806" s="3">
        <v>45800</v>
      </c>
      <c r="CI2806">
        <v>1</v>
      </c>
      <c r="CJ2806">
        <v>1</v>
      </c>
      <c r="CK2806">
        <v>23</v>
      </c>
      <c r="CL2806" t="s">
        <v>89</v>
      </c>
    </row>
    <row r="2807" spans="1:90" x14ac:dyDescent="0.3">
      <c r="A2807" t="s">
        <v>72</v>
      </c>
      <c r="B2807" t="s">
        <v>73</v>
      </c>
      <c r="C2807" t="s">
        <v>74</v>
      </c>
      <c r="E2807" t="str">
        <f>"080065508361"</f>
        <v>080065508361</v>
      </c>
      <c r="F2807" s="3">
        <v>45799</v>
      </c>
      <c r="G2807">
        <v>202602</v>
      </c>
      <c r="H2807" t="s">
        <v>75</v>
      </c>
      <c r="I2807" t="s">
        <v>76</v>
      </c>
      <c r="J2807" t="s">
        <v>77</v>
      </c>
      <c r="K2807" t="s">
        <v>78</v>
      </c>
      <c r="L2807" t="s">
        <v>75</v>
      </c>
      <c r="M2807" t="s">
        <v>76</v>
      </c>
      <c r="N2807" t="s">
        <v>183</v>
      </c>
      <c r="O2807" t="s">
        <v>82</v>
      </c>
      <c r="P2807" t="str">
        <f>"4170040143                    "</f>
        <v xml:space="preserve">4170040143                    </v>
      </c>
      <c r="Q2807">
        <v>0</v>
      </c>
      <c r="R2807">
        <v>0</v>
      </c>
      <c r="S2807">
        <v>0</v>
      </c>
      <c r="T2807">
        <v>0</v>
      </c>
      <c r="U2807">
        <v>0</v>
      </c>
      <c r="V2807">
        <v>0</v>
      </c>
      <c r="W2807">
        <v>0</v>
      </c>
      <c r="X2807">
        <v>0</v>
      </c>
      <c r="Y2807">
        <v>0</v>
      </c>
      <c r="Z2807">
        <v>0</v>
      </c>
      <c r="AA2807">
        <v>0</v>
      </c>
      <c r="AB2807">
        <v>0</v>
      </c>
      <c r="AC2807">
        <v>0</v>
      </c>
      <c r="AD2807">
        <v>0</v>
      </c>
      <c r="AE2807">
        <v>0</v>
      </c>
      <c r="AF2807">
        <v>0</v>
      </c>
      <c r="AG2807">
        <v>0</v>
      </c>
      <c r="AH2807">
        <v>0</v>
      </c>
      <c r="AI2807">
        <v>0</v>
      </c>
      <c r="AJ2807">
        <v>0</v>
      </c>
      <c r="AK2807">
        <v>0</v>
      </c>
      <c r="AL2807">
        <v>0</v>
      </c>
      <c r="AM2807">
        <v>0</v>
      </c>
      <c r="AN2807">
        <v>0</v>
      </c>
      <c r="AO2807">
        <v>0</v>
      </c>
      <c r="AP2807">
        <v>0</v>
      </c>
      <c r="AQ2807">
        <v>16.7</v>
      </c>
      <c r="AR2807">
        <v>0</v>
      </c>
      <c r="AS2807">
        <v>0</v>
      </c>
      <c r="AT2807">
        <v>0</v>
      </c>
      <c r="AU2807">
        <v>0</v>
      </c>
      <c r="AV2807">
        <v>0</v>
      </c>
      <c r="AW2807">
        <v>0</v>
      </c>
      <c r="AX2807">
        <v>0</v>
      </c>
      <c r="AY2807">
        <v>0</v>
      </c>
      <c r="AZ2807">
        <v>0</v>
      </c>
      <c r="BA2807">
        <v>0</v>
      </c>
      <c r="BB2807">
        <v>0</v>
      </c>
      <c r="BC2807">
        <v>0</v>
      </c>
      <c r="BD2807">
        <v>0</v>
      </c>
      <c r="BE2807">
        <v>0</v>
      </c>
      <c r="BF2807">
        <v>0</v>
      </c>
      <c r="BG2807">
        <v>0</v>
      </c>
      <c r="BH2807">
        <v>1</v>
      </c>
      <c r="BI2807">
        <v>1</v>
      </c>
      <c r="BJ2807">
        <v>0.2</v>
      </c>
      <c r="BK2807">
        <v>1</v>
      </c>
      <c r="BL2807">
        <v>54.66</v>
      </c>
      <c r="BM2807">
        <v>8.1999999999999993</v>
      </c>
      <c r="BN2807">
        <v>62.86</v>
      </c>
      <c r="BO2807">
        <v>62.86</v>
      </c>
      <c r="BQ2807" t="s">
        <v>184</v>
      </c>
      <c r="BR2807" t="s">
        <v>84</v>
      </c>
      <c r="BS2807" s="3">
        <v>45800</v>
      </c>
      <c r="BT2807" s="4">
        <v>0.29166666666666669</v>
      </c>
      <c r="BU2807" t="s">
        <v>185</v>
      </c>
      <c r="BV2807" t="s">
        <v>86</v>
      </c>
      <c r="BY2807">
        <v>1200</v>
      </c>
      <c r="CA2807" t="s">
        <v>115</v>
      </c>
      <c r="CC2807" t="s">
        <v>76</v>
      </c>
      <c r="CD2807">
        <v>1600</v>
      </c>
      <c r="CE2807" t="s">
        <v>88</v>
      </c>
      <c r="CF2807" s="3">
        <v>45800</v>
      </c>
      <c r="CI2807">
        <v>1</v>
      </c>
      <c r="CJ2807">
        <v>1</v>
      </c>
      <c r="CK2807">
        <v>22</v>
      </c>
      <c r="CL2807" t="s">
        <v>89</v>
      </c>
    </row>
    <row r="2808" spans="1:90" x14ac:dyDescent="0.3">
      <c r="A2808" t="s">
        <v>72</v>
      </c>
      <c r="B2808" t="s">
        <v>73</v>
      </c>
      <c r="C2808" t="s">
        <v>74</v>
      </c>
      <c r="E2808" t="str">
        <f>"080065508385"</f>
        <v>080065508385</v>
      </c>
      <c r="F2808" s="3">
        <v>45799</v>
      </c>
      <c r="G2808">
        <v>202602</v>
      </c>
      <c r="H2808" t="s">
        <v>75</v>
      </c>
      <c r="I2808" t="s">
        <v>76</v>
      </c>
      <c r="J2808" t="s">
        <v>77</v>
      </c>
      <c r="K2808" t="s">
        <v>78</v>
      </c>
      <c r="L2808" t="s">
        <v>350</v>
      </c>
      <c r="M2808" t="s">
        <v>351</v>
      </c>
      <c r="N2808" t="s">
        <v>678</v>
      </c>
      <c r="O2808" t="s">
        <v>82</v>
      </c>
      <c r="P2808" t="str">
        <f>"4170040078                    "</f>
        <v xml:space="preserve">4170040078                    </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c r="AJ2808">
        <v>0</v>
      </c>
      <c r="AK2808">
        <v>0</v>
      </c>
      <c r="AL2808">
        <v>0</v>
      </c>
      <c r="AM2808">
        <v>0</v>
      </c>
      <c r="AN2808">
        <v>0</v>
      </c>
      <c r="AO2808">
        <v>0</v>
      </c>
      <c r="AP2808">
        <v>0</v>
      </c>
      <c r="AQ2808">
        <v>21.38</v>
      </c>
      <c r="AR2808">
        <v>0</v>
      </c>
      <c r="AS2808">
        <v>0</v>
      </c>
      <c r="AT2808">
        <v>0</v>
      </c>
      <c r="AU2808">
        <v>0</v>
      </c>
      <c r="AV2808">
        <v>0</v>
      </c>
      <c r="AW2808">
        <v>0</v>
      </c>
      <c r="AX2808">
        <v>0</v>
      </c>
      <c r="AY2808">
        <v>0</v>
      </c>
      <c r="AZ2808">
        <v>0</v>
      </c>
      <c r="BA2808">
        <v>0</v>
      </c>
      <c r="BB2808">
        <v>0</v>
      </c>
      <c r="BC2808">
        <v>0</v>
      </c>
      <c r="BD2808">
        <v>0</v>
      </c>
      <c r="BE2808">
        <v>0</v>
      </c>
      <c r="BF2808">
        <v>0</v>
      </c>
      <c r="BG2808">
        <v>0</v>
      </c>
      <c r="BH2808">
        <v>1</v>
      </c>
      <c r="BI2808">
        <v>1</v>
      </c>
      <c r="BJ2808">
        <v>0.2</v>
      </c>
      <c r="BK2808">
        <v>1</v>
      </c>
      <c r="BL2808">
        <v>69.98</v>
      </c>
      <c r="BM2808">
        <v>10.5</v>
      </c>
      <c r="BN2808">
        <v>80.48</v>
      </c>
      <c r="BO2808">
        <v>80.48</v>
      </c>
      <c r="BQ2808" t="s">
        <v>679</v>
      </c>
      <c r="BR2808" t="s">
        <v>84</v>
      </c>
      <c r="BS2808" s="3">
        <v>45800</v>
      </c>
      <c r="BT2808" s="4">
        <v>0.35486111111111113</v>
      </c>
      <c r="BU2808" t="s">
        <v>680</v>
      </c>
      <c r="BV2808" t="s">
        <v>86</v>
      </c>
      <c r="BY2808">
        <v>1200</v>
      </c>
      <c r="CA2808" t="s">
        <v>326</v>
      </c>
      <c r="CC2808" t="s">
        <v>351</v>
      </c>
      <c r="CD2808">
        <v>4052</v>
      </c>
      <c r="CE2808" t="s">
        <v>88</v>
      </c>
      <c r="CF2808" s="3">
        <v>45800</v>
      </c>
      <c r="CI2808">
        <v>1</v>
      </c>
      <c r="CJ2808">
        <v>1</v>
      </c>
      <c r="CK2808">
        <v>21</v>
      </c>
      <c r="CL2808" t="s">
        <v>89</v>
      </c>
    </row>
    <row r="2809" spans="1:90" x14ac:dyDescent="0.3">
      <c r="A2809" t="s">
        <v>72</v>
      </c>
      <c r="B2809" t="s">
        <v>73</v>
      </c>
      <c r="C2809" t="s">
        <v>74</v>
      </c>
      <c r="E2809" t="str">
        <f>"080065508419"</f>
        <v>080065508419</v>
      </c>
      <c r="F2809" s="3">
        <v>45799</v>
      </c>
      <c r="G2809">
        <v>202602</v>
      </c>
      <c r="H2809" t="s">
        <v>75</v>
      </c>
      <c r="I2809" t="s">
        <v>76</v>
      </c>
      <c r="J2809" t="s">
        <v>77</v>
      </c>
      <c r="K2809" t="s">
        <v>78</v>
      </c>
      <c r="L2809" t="s">
        <v>130</v>
      </c>
      <c r="M2809" t="s">
        <v>131</v>
      </c>
      <c r="N2809" t="s">
        <v>709</v>
      </c>
      <c r="O2809" t="s">
        <v>82</v>
      </c>
      <c r="P2809" t="str">
        <f>"4170040086                    "</f>
        <v xml:space="preserve">4170040086                    </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0</v>
      </c>
      <c r="AL2809">
        <v>0</v>
      </c>
      <c r="AM2809">
        <v>0</v>
      </c>
      <c r="AN2809">
        <v>0</v>
      </c>
      <c r="AO2809">
        <v>0</v>
      </c>
      <c r="AP2809">
        <v>0</v>
      </c>
      <c r="AQ2809">
        <v>21.38</v>
      </c>
      <c r="AR2809">
        <v>0</v>
      </c>
      <c r="AS2809">
        <v>0</v>
      </c>
      <c r="AT2809">
        <v>0</v>
      </c>
      <c r="AU2809">
        <v>0</v>
      </c>
      <c r="AV2809">
        <v>0</v>
      </c>
      <c r="AW2809">
        <v>0</v>
      </c>
      <c r="AX2809">
        <v>0</v>
      </c>
      <c r="AY2809">
        <v>0</v>
      </c>
      <c r="AZ2809">
        <v>0</v>
      </c>
      <c r="BA2809">
        <v>0</v>
      </c>
      <c r="BB2809">
        <v>0</v>
      </c>
      <c r="BC2809">
        <v>0</v>
      </c>
      <c r="BD2809">
        <v>0</v>
      </c>
      <c r="BE2809">
        <v>0</v>
      </c>
      <c r="BF2809">
        <v>0</v>
      </c>
      <c r="BG2809">
        <v>0</v>
      </c>
      <c r="BH2809">
        <v>1</v>
      </c>
      <c r="BI2809">
        <v>1</v>
      </c>
      <c r="BJ2809">
        <v>0.2</v>
      </c>
      <c r="BK2809">
        <v>1</v>
      </c>
      <c r="BL2809">
        <v>69.98</v>
      </c>
      <c r="BM2809">
        <v>10.5</v>
      </c>
      <c r="BN2809">
        <v>80.48</v>
      </c>
      <c r="BO2809">
        <v>80.48</v>
      </c>
      <c r="BQ2809" t="s">
        <v>710</v>
      </c>
      <c r="BR2809" t="s">
        <v>84</v>
      </c>
      <c r="BS2809" s="3">
        <v>45800</v>
      </c>
      <c r="BT2809" s="4">
        <v>0.32430555555555557</v>
      </c>
      <c r="BU2809" t="s">
        <v>2905</v>
      </c>
      <c r="BV2809" t="s">
        <v>86</v>
      </c>
      <c r="BY2809">
        <v>1200</v>
      </c>
      <c r="CA2809" t="s">
        <v>712</v>
      </c>
      <c r="CC2809" t="s">
        <v>131</v>
      </c>
      <c r="CD2809">
        <v>7530</v>
      </c>
      <c r="CE2809" t="s">
        <v>88</v>
      </c>
      <c r="CF2809" s="3">
        <v>45803</v>
      </c>
      <c r="CI2809">
        <v>1</v>
      </c>
      <c r="CJ2809">
        <v>1</v>
      </c>
      <c r="CK2809">
        <v>21</v>
      </c>
      <c r="CL2809" t="s">
        <v>89</v>
      </c>
    </row>
    <row r="2810" spans="1:90" x14ac:dyDescent="0.3">
      <c r="A2810" t="s">
        <v>72</v>
      </c>
      <c r="B2810" t="s">
        <v>73</v>
      </c>
      <c r="C2810" t="s">
        <v>74</v>
      </c>
      <c r="E2810" t="str">
        <f>"080065509074"</f>
        <v>080065509074</v>
      </c>
      <c r="F2810" s="3">
        <v>45799</v>
      </c>
      <c r="G2810">
        <v>202602</v>
      </c>
      <c r="H2810" t="s">
        <v>75</v>
      </c>
      <c r="I2810" t="s">
        <v>76</v>
      </c>
      <c r="J2810" t="s">
        <v>77</v>
      </c>
      <c r="K2810" t="s">
        <v>78</v>
      </c>
      <c r="L2810" t="s">
        <v>350</v>
      </c>
      <c r="M2810" t="s">
        <v>351</v>
      </c>
      <c r="N2810" t="s">
        <v>459</v>
      </c>
      <c r="O2810" t="s">
        <v>82</v>
      </c>
      <c r="P2810" t="str">
        <f>"4170040136                    "</f>
        <v xml:space="preserve">4170040136                    </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c r="AJ2810">
        <v>0</v>
      </c>
      <c r="AK2810">
        <v>0</v>
      </c>
      <c r="AL2810">
        <v>0</v>
      </c>
      <c r="AM2810">
        <v>0</v>
      </c>
      <c r="AN2810">
        <v>0</v>
      </c>
      <c r="AO2810">
        <v>0</v>
      </c>
      <c r="AP2810">
        <v>0</v>
      </c>
      <c r="AQ2810">
        <v>21.38</v>
      </c>
      <c r="AR2810">
        <v>0</v>
      </c>
      <c r="AS2810">
        <v>0</v>
      </c>
      <c r="AT2810">
        <v>0</v>
      </c>
      <c r="AU2810">
        <v>0</v>
      </c>
      <c r="AV2810">
        <v>0</v>
      </c>
      <c r="AW2810">
        <v>0</v>
      </c>
      <c r="AX2810">
        <v>0</v>
      </c>
      <c r="AY2810">
        <v>0</v>
      </c>
      <c r="AZ2810">
        <v>0</v>
      </c>
      <c r="BA2810">
        <v>0</v>
      </c>
      <c r="BB2810">
        <v>0</v>
      </c>
      <c r="BC2810">
        <v>0</v>
      </c>
      <c r="BD2810">
        <v>0</v>
      </c>
      <c r="BE2810">
        <v>0</v>
      </c>
      <c r="BF2810">
        <v>0</v>
      </c>
      <c r="BG2810">
        <v>0</v>
      </c>
      <c r="BH2810">
        <v>1</v>
      </c>
      <c r="BI2810">
        <v>1</v>
      </c>
      <c r="BJ2810">
        <v>0.2</v>
      </c>
      <c r="BK2810">
        <v>1</v>
      </c>
      <c r="BL2810">
        <v>69.98</v>
      </c>
      <c r="BM2810">
        <v>10.5</v>
      </c>
      <c r="BN2810">
        <v>80.48</v>
      </c>
      <c r="BO2810">
        <v>80.48</v>
      </c>
      <c r="BQ2810" t="s">
        <v>460</v>
      </c>
      <c r="BR2810" t="s">
        <v>84</v>
      </c>
      <c r="BS2810" s="3">
        <v>45800</v>
      </c>
      <c r="BT2810" s="4">
        <v>0.35138888888888886</v>
      </c>
      <c r="BU2810" t="s">
        <v>1121</v>
      </c>
      <c r="BV2810" t="s">
        <v>86</v>
      </c>
      <c r="BY2810">
        <v>1200</v>
      </c>
      <c r="CA2810" t="s">
        <v>462</v>
      </c>
      <c r="CC2810" t="s">
        <v>351</v>
      </c>
      <c r="CD2810">
        <v>4000</v>
      </c>
      <c r="CE2810" t="s">
        <v>88</v>
      </c>
      <c r="CF2810" s="3">
        <v>45800</v>
      </c>
      <c r="CI2810">
        <v>1</v>
      </c>
      <c r="CJ2810">
        <v>1</v>
      </c>
      <c r="CK2810">
        <v>21</v>
      </c>
      <c r="CL2810" t="s">
        <v>89</v>
      </c>
    </row>
    <row r="2811" spans="1:90" x14ac:dyDescent="0.3">
      <c r="A2811" t="s">
        <v>72</v>
      </c>
      <c r="B2811" t="s">
        <v>73</v>
      </c>
      <c r="C2811" t="s">
        <v>74</v>
      </c>
      <c r="E2811" t="str">
        <f>"080065509075"</f>
        <v>080065509075</v>
      </c>
      <c r="F2811" s="3">
        <v>45799</v>
      </c>
      <c r="G2811">
        <v>202602</v>
      </c>
      <c r="H2811" t="s">
        <v>75</v>
      </c>
      <c r="I2811" t="s">
        <v>76</v>
      </c>
      <c r="J2811" t="s">
        <v>77</v>
      </c>
      <c r="K2811" t="s">
        <v>78</v>
      </c>
      <c r="L2811" t="s">
        <v>117</v>
      </c>
      <c r="M2811" t="s">
        <v>118</v>
      </c>
      <c r="N2811" t="s">
        <v>2883</v>
      </c>
      <c r="O2811" t="s">
        <v>300</v>
      </c>
      <c r="P2811" t="str">
        <f>"4170039990                    "</f>
        <v xml:space="preserve">4170039990                    </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0</v>
      </c>
      <c r="AL2811">
        <v>0</v>
      </c>
      <c r="AM2811">
        <v>0</v>
      </c>
      <c r="AN2811">
        <v>0</v>
      </c>
      <c r="AO2811">
        <v>0</v>
      </c>
      <c r="AP2811">
        <v>0</v>
      </c>
      <c r="AQ2811">
        <v>72.02</v>
      </c>
      <c r="AR2811">
        <v>0</v>
      </c>
      <c r="AS2811">
        <v>0</v>
      </c>
      <c r="AT2811">
        <v>0</v>
      </c>
      <c r="AU2811">
        <v>0</v>
      </c>
      <c r="AV2811">
        <v>0</v>
      </c>
      <c r="AW2811">
        <v>0</v>
      </c>
      <c r="AX2811">
        <v>0</v>
      </c>
      <c r="AY2811">
        <v>0</v>
      </c>
      <c r="AZ2811">
        <v>0</v>
      </c>
      <c r="BA2811">
        <v>0</v>
      </c>
      <c r="BB2811">
        <v>0</v>
      </c>
      <c r="BC2811">
        <v>0</v>
      </c>
      <c r="BD2811">
        <v>0</v>
      </c>
      <c r="BE2811">
        <v>0</v>
      </c>
      <c r="BF2811">
        <v>0</v>
      </c>
      <c r="BG2811">
        <v>0</v>
      </c>
      <c r="BH2811">
        <v>4</v>
      </c>
      <c r="BI2811">
        <v>44</v>
      </c>
      <c r="BJ2811">
        <v>57.4</v>
      </c>
      <c r="BK2811">
        <v>58</v>
      </c>
      <c r="BL2811">
        <v>241.27</v>
      </c>
      <c r="BM2811">
        <v>36.19</v>
      </c>
      <c r="BN2811">
        <v>277.45999999999998</v>
      </c>
      <c r="BO2811">
        <v>277.45999999999998</v>
      </c>
      <c r="BQ2811" t="s">
        <v>2884</v>
      </c>
      <c r="BR2811" t="s">
        <v>84</v>
      </c>
      <c r="BS2811" s="3">
        <v>45800</v>
      </c>
      <c r="BT2811" s="4">
        <v>0.4375</v>
      </c>
      <c r="BU2811" t="s">
        <v>2906</v>
      </c>
      <c r="BV2811" t="s">
        <v>86</v>
      </c>
      <c r="BY2811">
        <v>110208</v>
      </c>
      <c r="CA2811" t="s">
        <v>2907</v>
      </c>
      <c r="CC2811" t="s">
        <v>118</v>
      </c>
      <c r="CD2811">
        <v>2094</v>
      </c>
      <c r="CE2811" t="s">
        <v>221</v>
      </c>
      <c r="CF2811" s="3">
        <v>45800</v>
      </c>
      <c r="CI2811">
        <v>1</v>
      </c>
      <c r="CJ2811">
        <v>1</v>
      </c>
      <c r="CK2811">
        <v>42</v>
      </c>
      <c r="CL2811" t="s">
        <v>89</v>
      </c>
    </row>
    <row r="2812" spans="1:90" x14ac:dyDescent="0.3">
      <c r="A2812" t="s">
        <v>72</v>
      </c>
      <c r="B2812" t="s">
        <v>73</v>
      </c>
      <c r="C2812" t="s">
        <v>74</v>
      </c>
      <c r="E2812" t="str">
        <f>"080065509114"</f>
        <v>080065509114</v>
      </c>
      <c r="F2812" s="3">
        <v>45799</v>
      </c>
      <c r="G2812">
        <v>202602</v>
      </c>
      <c r="H2812" t="s">
        <v>75</v>
      </c>
      <c r="I2812" t="s">
        <v>76</v>
      </c>
      <c r="J2812" t="s">
        <v>77</v>
      </c>
      <c r="K2812" t="s">
        <v>78</v>
      </c>
      <c r="L2812" t="s">
        <v>130</v>
      </c>
      <c r="M2812" t="s">
        <v>131</v>
      </c>
      <c r="N2812" t="s">
        <v>699</v>
      </c>
      <c r="O2812" t="s">
        <v>82</v>
      </c>
      <c r="P2812" t="str">
        <f>"4170040054                    "</f>
        <v xml:space="preserve">4170040054                    </v>
      </c>
      <c r="Q2812">
        <v>0</v>
      </c>
      <c r="R2812">
        <v>0</v>
      </c>
      <c r="S2812">
        <v>0</v>
      </c>
      <c r="T2812">
        <v>0</v>
      </c>
      <c r="U2812">
        <v>0</v>
      </c>
      <c r="V2812">
        <v>0</v>
      </c>
      <c r="W2812">
        <v>0</v>
      </c>
      <c r="X2812">
        <v>0</v>
      </c>
      <c r="Y2812">
        <v>0</v>
      </c>
      <c r="Z2812">
        <v>0</v>
      </c>
      <c r="AA2812">
        <v>0</v>
      </c>
      <c r="AB2812">
        <v>0</v>
      </c>
      <c r="AC2812">
        <v>0</v>
      </c>
      <c r="AD2812">
        <v>0</v>
      </c>
      <c r="AE2812">
        <v>0</v>
      </c>
      <c r="AF2812">
        <v>0</v>
      </c>
      <c r="AG2812">
        <v>0</v>
      </c>
      <c r="AH2812">
        <v>0</v>
      </c>
      <c r="AI2812">
        <v>0</v>
      </c>
      <c r="AJ2812">
        <v>0</v>
      </c>
      <c r="AK2812">
        <v>0</v>
      </c>
      <c r="AL2812">
        <v>0</v>
      </c>
      <c r="AM2812">
        <v>0</v>
      </c>
      <c r="AN2812">
        <v>0</v>
      </c>
      <c r="AO2812">
        <v>0</v>
      </c>
      <c r="AP2812">
        <v>0</v>
      </c>
      <c r="AQ2812">
        <v>21.38</v>
      </c>
      <c r="AR2812">
        <v>0</v>
      </c>
      <c r="AS2812">
        <v>0</v>
      </c>
      <c r="AT2812">
        <v>0</v>
      </c>
      <c r="AU2812">
        <v>0</v>
      </c>
      <c r="AV2812">
        <v>0</v>
      </c>
      <c r="AW2812">
        <v>0</v>
      </c>
      <c r="AX2812">
        <v>0</v>
      </c>
      <c r="AY2812">
        <v>0</v>
      </c>
      <c r="AZ2812">
        <v>0</v>
      </c>
      <c r="BA2812">
        <v>0</v>
      </c>
      <c r="BB2812">
        <v>0</v>
      </c>
      <c r="BC2812">
        <v>0</v>
      </c>
      <c r="BD2812">
        <v>0</v>
      </c>
      <c r="BE2812">
        <v>0</v>
      </c>
      <c r="BF2812">
        <v>0</v>
      </c>
      <c r="BG2812">
        <v>0</v>
      </c>
      <c r="BH2812">
        <v>1</v>
      </c>
      <c r="BI2812">
        <v>1</v>
      </c>
      <c r="BJ2812">
        <v>0.2</v>
      </c>
      <c r="BK2812">
        <v>1</v>
      </c>
      <c r="BL2812">
        <v>69.98</v>
      </c>
      <c r="BM2812">
        <v>10.5</v>
      </c>
      <c r="BN2812">
        <v>80.48</v>
      </c>
      <c r="BO2812">
        <v>80.48</v>
      </c>
      <c r="BQ2812" t="s">
        <v>700</v>
      </c>
      <c r="BR2812" t="s">
        <v>84</v>
      </c>
      <c r="BS2812" s="3">
        <v>45800</v>
      </c>
      <c r="BT2812" s="4">
        <v>0.39027777777777778</v>
      </c>
      <c r="BU2812" t="s">
        <v>2551</v>
      </c>
      <c r="BV2812" t="s">
        <v>86</v>
      </c>
      <c r="BY2812">
        <v>1200</v>
      </c>
      <c r="CA2812" t="s">
        <v>330</v>
      </c>
      <c r="CC2812" t="s">
        <v>131</v>
      </c>
      <c r="CD2812">
        <v>7480</v>
      </c>
      <c r="CE2812" t="s">
        <v>88</v>
      </c>
      <c r="CF2812" s="3">
        <v>45803</v>
      </c>
      <c r="CI2812">
        <v>1</v>
      </c>
      <c r="CJ2812">
        <v>1</v>
      </c>
      <c r="CK2812">
        <v>21</v>
      </c>
      <c r="CL2812" t="s">
        <v>89</v>
      </c>
    </row>
    <row r="2813" spans="1:90" x14ac:dyDescent="0.3">
      <c r="A2813" t="s">
        <v>72</v>
      </c>
      <c r="B2813" t="s">
        <v>73</v>
      </c>
      <c r="C2813" t="s">
        <v>74</v>
      </c>
      <c r="E2813" t="str">
        <f>"080065509117"</f>
        <v>080065509117</v>
      </c>
      <c r="F2813" s="3">
        <v>45799</v>
      </c>
      <c r="G2813">
        <v>202602</v>
      </c>
      <c r="H2813" t="s">
        <v>75</v>
      </c>
      <c r="I2813" t="s">
        <v>76</v>
      </c>
      <c r="J2813" t="s">
        <v>77</v>
      </c>
      <c r="K2813" t="s">
        <v>78</v>
      </c>
      <c r="L2813" t="s">
        <v>123</v>
      </c>
      <c r="M2813" t="s">
        <v>123</v>
      </c>
      <c r="N2813" t="s">
        <v>766</v>
      </c>
      <c r="O2813" t="s">
        <v>82</v>
      </c>
      <c r="P2813" t="str">
        <f>"4170040167                    "</f>
        <v xml:space="preserve">4170040167                    </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c r="AJ2813">
        <v>0</v>
      </c>
      <c r="AK2813">
        <v>0</v>
      </c>
      <c r="AL2813">
        <v>0</v>
      </c>
      <c r="AM2813">
        <v>0</v>
      </c>
      <c r="AN2813">
        <v>0</v>
      </c>
      <c r="AO2813">
        <v>0</v>
      </c>
      <c r="AP2813">
        <v>0</v>
      </c>
      <c r="AQ2813">
        <v>97.56</v>
      </c>
      <c r="AR2813">
        <v>0</v>
      </c>
      <c r="AS2813">
        <v>0</v>
      </c>
      <c r="AT2813">
        <v>0</v>
      </c>
      <c r="AU2813">
        <v>0</v>
      </c>
      <c r="AV2813">
        <v>0</v>
      </c>
      <c r="AW2813">
        <v>0</v>
      </c>
      <c r="AX2813">
        <v>0</v>
      </c>
      <c r="AY2813">
        <v>0</v>
      </c>
      <c r="AZ2813">
        <v>0</v>
      </c>
      <c r="BA2813">
        <v>0</v>
      </c>
      <c r="BB2813">
        <v>0</v>
      </c>
      <c r="BC2813">
        <v>0</v>
      </c>
      <c r="BD2813">
        <v>0</v>
      </c>
      <c r="BE2813">
        <v>0</v>
      </c>
      <c r="BF2813">
        <v>0</v>
      </c>
      <c r="BG2813">
        <v>0</v>
      </c>
      <c r="BH2813">
        <v>1</v>
      </c>
      <c r="BI2813">
        <v>5</v>
      </c>
      <c r="BJ2813">
        <v>3.4</v>
      </c>
      <c r="BK2813">
        <v>5</v>
      </c>
      <c r="BL2813">
        <v>319.27999999999997</v>
      </c>
      <c r="BM2813">
        <v>47.89</v>
      </c>
      <c r="BN2813">
        <v>367.17</v>
      </c>
      <c r="BO2813">
        <v>367.17</v>
      </c>
      <c r="BQ2813" t="s">
        <v>767</v>
      </c>
      <c r="BR2813" t="s">
        <v>84</v>
      </c>
      <c r="BS2813" s="3">
        <v>45800</v>
      </c>
      <c r="BT2813" s="4">
        <v>0.50972222222222219</v>
      </c>
      <c r="BU2813" t="s">
        <v>768</v>
      </c>
      <c r="BV2813" t="s">
        <v>86</v>
      </c>
      <c r="BY2813">
        <v>16896</v>
      </c>
      <c r="CA2813" t="s">
        <v>128</v>
      </c>
      <c r="CC2813" t="s">
        <v>123</v>
      </c>
      <c r="CD2813">
        <v>7646</v>
      </c>
      <c r="CE2813" t="s">
        <v>221</v>
      </c>
      <c r="CF2813" s="3">
        <v>45803</v>
      </c>
      <c r="CI2813">
        <v>1</v>
      </c>
      <c r="CJ2813">
        <v>1</v>
      </c>
      <c r="CK2813">
        <v>23</v>
      </c>
      <c r="CL2813" t="s">
        <v>89</v>
      </c>
    </row>
    <row r="2814" spans="1:90" x14ac:dyDescent="0.3">
      <c r="A2814" t="s">
        <v>72</v>
      </c>
      <c r="B2814" t="s">
        <v>73</v>
      </c>
      <c r="C2814" t="s">
        <v>74</v>
      </c>
      <c r="E2814" t="str">
        <f>"080065509148"</f>
        <v>080065509148</v>
      </c>
      <c r="F2814" s="3">
        <v>45799</v>
      </c>
      <c r="G2814">
        <v>202602</v>
      </c>
      <c r="H2814" t="s">
        <v>75</v>
      </c>
      <c r="I2814" t="s">
        <v>76</v>
      </c>
      <c r="J2814" t="s">
        <v>77</v>
      </c>
      <c r="K2814" t="s">
        <v>78</v>
      </c>
      <c r="L2814" t="s">
        <v>123</v>
      </c>
      <c r="M2814" t="s">
        <v>123</v>
      </c>
      <c r="N2814" t="s">
        <v>766</v>
      </c>
      <c r="O2814" t="s">
        <v>82</v>
      </c>
      <c r="P2814" t="str">
        <f>"4170040046                    "</f>
        <v xml:space="preserve">4170040046                    </v>
      </c>
      <c r="Q2814">
        <v>0</v>
      </c>
      <c r="R2814">
        <v>0</v>
      </c>
      <c r="S2814">
        <v>0</v>
      </c>
      <c r="T2814">
        <v>0</v>
      </c>
      <c r="U2814">
        <v>0</v>
      </c>
      <c r="V2814">
        <v>0</v>
      </c>
      <c r="W2814">
        <v>0</v>
      </c>
      <c r="X2814">
        <v>0</v>
      </c>
      <c r="Y2814">
        <v>0</v>
      </c>
      <c r="Z2814">
        <v>0</v>
      </c>
      <c r="AA2814">
        <v>0</v>
      </c>
      <c r="AB2814">
        <v>0</v>
      </c>
      <c r="AC2814">
        <v>0</v>
      </c>
      <c r="AD2814">
        <v>0</v>
      </c>
      <c r="AE2814">
        <v>0</v>
      </c>
      <c r="AF2814">
        <v>0</v>
      </c>
      <c r="AG2814">
        <v>0</v>
      </c>
      <c r="AH2814">
        <v>0</v>
      </c>
      <c r="AI2814">
        <v>0</v>
      </c>
      <c r="AJ2814">
        <v>0</v>
      </c>
      <c r="AK2814">
        <v>0</v>
      </c>
      <c r="AL2814">
        <v>0</v>
      </c>
      <c r="AM2814">
        <v>0</v>
      </c>
      <c r="AN2814">
        <v>0</v>
      </c>
      <c r="AO2814">
        <v>0</v>
      </c>
      <c r="AP2814">
        <v>0</v>
      </c>
      <c r="AQ2814">
        <v>41.43</v>
      </c>
      <c r="AR2814">
        <v>0</v>
      </c>
      <c r="AS2814">
        <v>0</v>
      </c>
      <c r="AT2814">
        <v>0</v>
      </c>
      <c r="AU2814">
        <v>0</v>
      </c>
      <c r="AV2814">
        <v>0</v>
      </c>
      <c r="AW2814">
        <v>0</v>
      </c>
      <c r="AX2814">
        <v>0</v>
      </c>
      <c r="AY2814">
        <v>0</v>
      </c>
      <c r="AZ2814">
        <v>0</v>
      </c>
      <c r="BA2814">
        <v>0</v>
      </c>
      <c r="BB2814">
        <v>0</v>
      </c>
      <c r="BC2814">
        <v>0</v>
      </c>
      <c r="BD2814">
        <v>0</v>
      </c>
      <c r="BE2814">
        <v>0</v>
      </c>
      <c r="BF2814">
        <v>0</v>
      </c>
      <c r="BG2814">
        <v>0</v>
      </c>
      <c r="BH2814">
        <v>1</v>
      </c>
      <c r="BI2814">
        <v>1</v>
      </c>
      <c r="BJ2814">
        <v>0.2</v>
      </c>
      <c r="BK2814">
        <v>1</v>
      </c>
      <c r="BL2814">
        <v>135.59</v>
      </c>
      <c r="BM2814">
        <v>20.34</v>
      </c>
      <c r="BN2814">
        <v>155.93</v>
      </c>
      <c r="BO2814">
        <v>155.93</v>
      </c>
      <c r="BQ2814" t="s">
        <v>767</v>
      </c>
      <c r="BR2814" t="s">
        <v>84</v>
      </c>
      <c r="BS2814" s="3">
        <v>45800</v>
      </c>
      <c r="BT2814" s="4">
        <v>0.50972222222222219</v>
      </c>
      <c r="BU2814" t="s">
        <v>768</v>
      </c>
      <c r="BV2814" t="s">
        <v>86</v>
      </c>
      <c r="BY2814">
        <v>1200</v>
      </c>
      <c r="CA2814" t="s">
        <v>128</v>
      </c>
      <c r="CC2814" t="s">
        <v>123</v>
      </c>
      <c r="CD2814">
        <v>7646</v>
      </c>
      <c r="CE2814" t="s">
        <v>88</v>
      </c>
      <c r="CF2814" s="3">
        <v>45803</v>
      </c>
      <c r="CI2814">
        <v>1</v>
      </c>
      <c r="CJ2814">
        <v>1</v>
      </c>
      <c r="CK2814">
        <v>23</v>
      </c>
      <c r="CL2814" t="s">
        <v>89</v>
      </c>
    </row>
    <row r="2815" spans="1:90" x14ac:dyDescent="0.3">
      <c r="A2815" t="s">
        <v>72</v>
      </c>
      <c r="B2815" t="s">
        <v>73</v>
      </c>
      <c r="C2815" t="s">
        <v>74</v>
      </c>
      <c r="E2815" t="str">
        <f>"080065509169"</f>
        <v>080065509169</v>
      </c>
      <c r="F2815" s="3">
        <v>45799</v>
      </c>
      <c r="G2815">
        <v>202602</v>
      </c>
      <c r="H2815" t="s">
        <v>75</v>
      </c>
      <c r="I2815" t="s">
        <v>76</v>
      </c>
      <c r="J2815" t="s">
        <v>77</v>
      </c>
      <c r="K2815" t="s">
        <v>78</v>
      </c>
      <c r="L2815" t="s">
        <v>672</v>
      </c>
      <c r="M2815" t="s">
        <v>673</v>
      </c>
      <c r="N2815" t="s">
        <v>674</v>
      </c>
      <c r="O2815" t="s">
        <v>82</v>
      </c>
      <c r="P2815" t="str">
        <f>"4170040040                    "</f>
        <v xml:space="preserve">4170040040                    </v>
      </c>
      <c r="Q2815">
        <v>0</v>
      </c>
      <c r="R2815">
        <v>0</v>
      </c>
      <c r="S2815">
        <v>0</v>
      </c>
      <c r="T2815">
        <v>0</v>
      </c>
      <c r="U2815">
        <v>0</v>
      </c>
      <c r="V2815">
        <v>0</v>
      </c>
      <c r="W2815">
        <v>0</v>
      </c>
      <c r="X2815">
        <v>0</v>
      </c>
      <c r="Y2815">
        <v>0</v>
      </c>
      <c r="Z2815">
        <v>0</v>
      </c>
      <c r="AA2815">
        <v>0</v>
      </c>
      <c r="AB2815">
        <v>0</v>
      </c>
      <c r="AC2815">
        <v>0</v>
      </c>
      <c r="AD2815">
        <v>0</v>
      </c>
      <c r="AE2815">
        <v>0</v>
      </c>
      <c r="AF2815">
        <v>0</v>
      </c>
      <c r="AG2815">
        <v>0</v>
      </c>
      <c r="AH2815">
        <v>0</v>
      </c>
      <c r="AI2815">
        <v>0</v>
      </c>
      <c r="AJ2815">
        <v>0</v>
      </c>
      <c r="AK2815">
        <v>0</v>
      </c>
      <c r="AL2815">
        <v>0</v>
      </c>
      <c r="AM2815">
        <v>0</v>
      </c>
      <c r="AN2815">
        <v>0</v>
      </c>
      <c r="AO2815">
        <v>0</v>
      </c>
      <c r="AP2815">
        <v>0</v>
      </c>
      <c r="AQ2815">
        <v>60.14</v>
      </c>
      <c r="AR2815">
        <v>0</v>
      </c>
      <c r="AS2815">
        <v>0</v>
      </c>
      <c r="AT2815">
        <v>0</v>
      </c>
      <c r="AU2815">
        <v>0</v>
      </c>
      <c r="AV2815">
        <v>0</v>
      </c>
      <c r="AW2815">
        <v>0</v>
      </c>
      <c r="AX2815">
        <v>0</v>
      </c>
      <c r="AY2815">
        <v>0</v>
      </c>
      <c r="AZ2815">
        <v>0</v>
      </c>
      <c r="BA2815">
        <v>0</v>
      </c>
      <c r="BB2815">
        <v>0</v>
      </c>
      <c r="BC2815">
        <v>0</v>
      </c>
      <c r="BD2815">
        <v>0</v>
      </c>
      <c r="BE2815">
        <v>0</v>
      </c>
      <c r="BF2815">
        <v>0</v>
      </c>
      <c r="BG2815">
        <v>0</v>
      </c>
      <c r="BH2815">
        <v>1</v>
      </c>
      <c r="BI2815">
        <v>3</v>
      </c>
      <c r="BJ2815">
        <v>0.6</v>
      </c>
      <c r="BK2815">
        <v>3</v>
      </c>
      <c r="BL2815">
        <v>196.82</v>
      </c>
      <c r="BM2815">
        <v>29.52</v>
      </c>
      <c r="BN2815">
        <v>226.34</v>
      </c>
      <c r="BO2815">
        <v>226.34</v>
      </c>
      <c r="BQ2815" t="s">
        <v>675</v>
      </c>
      <c r="BR2815" t="s">
        <v>84</v>
      </c>
      <c r="BS2815" s="3">
        <v>45800</v>
      </c>
      <c r="BT2815" s="4">
        <v>0.44305555555555554</v>
      </c>
      <c r="BU2815" t="s">
        <v>2900</v>
      </c>
      <c r="BV2815" t="s">
        <v>86</v>
      </c>
      <c r="BY2815">
        <v>3192</v>
      </c>
      <c r="CA2815" t="s">
        <v>2901</v>
      </c>
      <c r="CC2815" t="s">
        <v>673</v>
      </c>
      <c r="CD2815">
        <v>2531</v>
      </c>
      <c r="CE2815" t="s">
        <v>116</v>
      </c>
      <c r="CF2815" s="3">
        <v>45803</v>
      </c>
      <c r="CI2815">
        <v>1</v>
      </c>
      <c r="CJ2815">
        <v>1</v>
      </c>
      <c r="CK2815">
        <v>23</v>
      </c>
      <c r="CL2815" t="s">
        <v>89</v>
      </c>
    </row>
    <row r="2816" spans="1:90" x14ac:dyDescent="0.3">
      <c r="A2816" t="s">
        <v>72</v>
      </c>
      <c r="B2816" t="s">
        <v>73</v>
      </c>
      <c r="C2816" t="s">
        <v>74</v>
      </c>
      <c r="E2816" t="str">
        <f>"080065509186"</f>
        <v>080065509186</v>
      </c>
      <c r="F2816" s="3">
        <v>45799</v>
      </c>
      <c r="G2816">
        <v>202602</v>
      </c>
      <c r="H2816" t="s">
        <v>75</v>
      </c>
      <c r="I2816" t="s">
        <v>76</v>
      </c>
      <c r="J2816" t="s">
        <v>77</v>
      </c>
      <c r="K2816" t="s">
        <v>78</v>
      </c>
      <c r="L2816" t="s">
        <v>463</v>
      </c>
      <c r="M2816" t="s">
        <v>464</v>
      </c>
      <c r="N2816" t="s">
        <v>585</v>
      </c>
      <c r="O2816" t="s">
        <v>82</v>
      </c>
      <c r="P2816" t="str">
        <f>"4170040169                    "</f>
        <v xml:space="preserve">4170040169                    </v>
      </c>
      <c r="Q2816">
        <v>0</v>
      </c>
      <c r="R2816">
        <v>0</v>
      </c>
      <c r="S2816">
        <v>0</v>
      </c>
      <c r="T2816">
        <v>0</v>
      </c>
      <c r="U2816">
        <v>0</v>
      </c>
      <c r="V2816">
        <v>0</v>
      </c>
      <c r="W2816">
        <v>0</v>
      </c>
      <c r="X2816">
        <v>0</v>
      </c>
      <c r="Y2816">
        <v>0</v>
      </c>
      <c r="Z2816">
        <v>0</v>
      </c>
      <c r="AA2816">
        <v>0</v>
      </c>
      <c r="AB2816">
        <v>0</v>
      </c>
      <c r="AC2816">
        <v>0</v>
      </c>
      <c r="AD2816">
        <v>0</v>
      </c>
      <c r="AE2816">
        <v>0</v>
      </c>
      <c r="AF2816">
        <v>0</v>
      </c>
      <c r="AG2816">
        <v>0</v>
      </c>
      <c r="AH2816">
        <v>0</v>
      </c>
      <c r="AI2816">
        <v>0</v>
      </c>
      <c r="AJ2816">
        <v>0</v>
      </c>
      <c r="AK2816">
        <v>0</v>
      </c>
      <c r="AL2816">
        <v>0</v>
      </c>
      <c r="AM2816">
        <v>0</v>
      </c>
      <c r="AN2816">
        <v>0</v>
      </c>
      <c r="AO2816">
        <v>0</v>
      </c>
      <c r="AP2816">
        <v>0</v>
      </c>
      <c r="AQ2816">
        <v>21.38</v>
      </c>
      <c r="AR2816">
        <v>0</v>
      </c>
      <c r="AS2816">
        <v>0</v>
      </c>
      <c r="AT2816">
        <v>0</v>
      </c>
      <c r="AU2816">
        <v>0</v>
      </c>
      <c r="AV2816">
        <v>0</v>
      </c>
      <c r="AW2816">
        <v>0</v>
      </c>
      <c r="AX2816">
        <v>0</v>
      </c>
      <c r="AY2816">
        <v>0</v>
      </c>
      <c r="AZ2816">
        <v>0</v>
      </c>
      <c r="BA2816">
        <v>0</v>
      </c>
      <c r="BB2816">
        <v>0</v>
      </c>
      <c r="BC2816">
        <v>0</v>
      </c>
      <c r="BD2816">
        <v>0</v>
      </c>
      <c r="BE2816">
        <v>0</v>
      </c>
      <c r="BF2816">
        <v>0</v>
      </c>
      <c r="BG2816">
        <v>0</v>
      </c>
      <c r="BH2816">
        <v>1</v>
      </c>
      <c r="BI2816">
        <v>1</v>
      </c>
      <c r="BJ2816">
        <v>0.2</v>
      </c>
      <c r="BK2816">
        <v>1</v>
      </c>
      <c r="BL2816">
        <v>69.98</v>
      </c>
      <c r="BM2816">
        <v>10.5</v>
      </c>
      <c r="BN2816">
        <v>80.48</v>
      </c>
      <c r="BO2816">
        <v>80.48</v>
      </c>
      <c r="BQ2816" t="s">
        <v>586</v>
      </c>
      <c r="BR2816" t="s">
        <v>84</v>
      </c>
      <c r="BS2816" s="3">
        <v>45800</v>
      </c>
      <c r="BT2816" s="4">
        <v>0.51736111111111116</v>
      </c>
      <c r="BU2816" t="s">
        <v>587</v>
      </c>
      <c r="BV2816" t="s">
        <v>89</v>
      </c>
      <c r="BY2816">
        <v>1200</v>
      </c>
      <c r="CA2816" t="s">
        <v>588</v>
      </c>
      <c r="CC2816" t="s">
        <v>464</v>
      </c>
      <c r="CD2816">
        <v>5200</v>
      </c>
      <c r="CE2816" t="s">
        <v>88</v>
      </c>
      <c r="CF2816" s="3">
        <v>45800</v>
      </c>
      <c r="CI2816">
        <v>1</v>
      </c>
      <c r="CJ2816">
        <v>1</v>
      </c>
      <c r="CK2816">
        <v>21</v>
      </c>
      <c r="CL2816" t="s">
        <v>89</v>
      </c>
    </row>
    <row r="2817" spans="1:90" x14ac:dyDescent="0.3">
      <c r="A2817" t="s">
        <v>72</v>
      </c>
      <c r="B2817" t="s">
        <v>73</v>
      </c>
      <c r="C2817" t="s">
        <v>74</v>
      </c>
      <c r="E2817" t="str">
        <f>"080065509197"</f>
        <v>080065509197</v>
      </c>
      <c r="F2817" s="3">
        <v>45799</v>
      </c>
      <c r="G2817">
        <v>202602</v>
      </c>
      <c r="H2817" t="s">
        <v>75</v>
      </c>
      <c r="I2817" t="s">
        <v>76</v>
      </c>
      <c r="J2817" t="s">
        <v>77</v>
      </c>
      <c r="K2817" t="s">
        <v>78</v>
      </c>
      <c r="L2817" t="s">
        <v>136</v>
      </c>
      <c r="M2817" t="s">
        <v>137</v>
      </c>
      <c r="N2817" t="s">
        <v>925</v>
      </c>
      <c r="O2817" t="s">
        <v>300</v>
      </c>
      <c r="P2817" t="str">
        <f>"4170040119                    "</f>
        <v xml:space="preserve">4170040119                    </v>
      </c>
      <c r="Q2817">
        <v>0</v>
      </c>
      <c r="R2817">
        <v>0</v>
      </c>
      <c r="S2817">
        <v>0</v>
      </c>
      <c r="T2817">
        <v>0</v>
      </c>
      <c r="U2817">
        <v>0</v>
      </c>
      <c r="V2817">
        <v>0</v>
      </c>
      <c r="W2817">
        <v>0</v>
      </c>
      <c r="X2817">
        <v>0</v>
      </c>
      <c r="Y2817">
        <v>0</v>
      </c>
      <c r="Z2817">
        <v>0</v>
      </c>
      <c r="AA2817">
        <v>0</v>
      </c>
      <c r="AB2817">
        <v>0</v>
      </c>
      <c r="AC2817">
        <v>0</v>
      </c>
      <c r="AD2817">
        <v>0</v>
      </c>
      <c r="AE2817">
        <v>0</v>
      </c>
      <c r="AF2817">
        <v>0</v>
      </c>
      <c r="AG2817">
        <v>0</v>
      </c>
      <c r="AH2817">
        <v>0</v>
      </c>
      <c r="AI2817">
        <v>0</v>
      </c>
      <c r="AJ2817">
        <v>0</v>
      </c>
      <c r="AK2817">
        <v>0</v>
      </c>
      <c r="AL2817">
        <v>0</v>
      </c>
      <c r="AM2817">
        <v>0</v>
      </c>
      <c r="AN2817">
        <v>0</v>
      </c>
      <c r="AO2817">
        <v>0</v>
      </c>
      <c r="AP2817">
        <v>0</v>
      </c>
      <c r="AQ2817">
        <v>41.35</v>
      </c>
      <c r="AR2817">
        <v>0</v>
      </c>
      <c r="AS2817">
        <v>0</v>
      </c>
      <c r="AT2817">
        <v>0</v>
      </c>
      <c r="AU2817">
        <v>0</v>
      </c>
      <c r="AV2817">
        <v>0</v>
      </c>
      <c r="AW2817">
        <v>0</v>
      </c>
      <c r="AX2817">
        <v>0</v>
      </c>
      <c r="AY2817">
        <v>0</v>
      </c>
      <c r="AZ2817">
        <v>0</v>
      </c>
      <c r="BA2817">
        <v>0</v>
      </c>
      <c r="BB2817">
        <v>0</v>
      </c>
      <c r="BC2817">
        <v>0</v>
      </c>
      <c r="BD2817">
        <v>0</v>
      </c>
      <c r="BE2817">
        <v>0</v>
      </c>
      <c r="BF2817">
        <v>0</v>
      </c>
      <c r="BG2817">
        <v>0</v>
      </c>
      <c r="BH2817">
        <v>1</v>
      </c>
      <c r="BI2817">
        <v>4</v>
      </c>
      <c r="BJ2817">
        <v>8.9</v>
      </c>
      <c r="BK2817">
        <v>9</v>
      </c>
      <c r="BL2817">
        <v>140.9</v>
      </c>
      <c r="BM2817">
        <v>21.14</v>
      </c>
      <c r="BN2817">
        <v>162.04</v>
      </c>
      <c r="BO2817">
        <v>162.04</v>
      </c>
      <c r="BQ2817" t="s">
        <v>926</v>
      </c>
      <c r="BR2817" t="s">
        <v>84</v>
      </c>
      <c r="BS2817" s="3">
        <v>45800</v>
      </c>
      <c r="BT2817" s="4">
        <v>0.46250000000000002</v>
      </c>
      <c r="BU2817" t="s">
        <v>302</v>
      </c>
      <c r="BV2817" t="s">
        <v>86</v>
      </c>
      <c r="BY2817">
        <v>44640</v>
      </c>
      <c r="CA2817" t="s">
        <v>141</v>
      </c>
      <c r="CC2817" t="s">
        <v>137</v>
      </c>
      <c r="CD2817" s="5" t="s">
        <v>142</v>
      </c>
      <c r="CE2817" t="s">
        <v>96</v>
      </c>
      <c r="CF2817" s="3">
        <v>45800</v>
      </c>
      <c r="CI2817">
        <v>1</v>
      </c>
      <c r="CJ2817">
        <v>1</v>
      </c>
      <c r="CK2817">
        <v>41</v>
      </c>
      <c r="CL2817" t="s">
        <v>89</v>
      </c>
    </row>
    <row r="2818" spans="1:90" x14ac:dyDescent="0.3">
      <c r="A2818" t="s">
        <v>72</v>
      </c>
      <c r="B2818" t="s">
        <v>73</v>
      </c>
      <c r="C2818" t="s">
        <v>74</v>
      </c>
      <c r="E2818" t="str">
        <f>"080065509207"</f>
        <v>080065509207</v>
      </c>
      <c r="F2818" s="3">
        <v>45799</v>
      </c>
      <c r="G2818">
        <v>202602</v>
      </c>
      <c r="H2818" t="s">
        <v>75</v>
      </c>
      <c r="I2818" t="s">
        <v>76</v>
      </c>
      <c r="J2818" t="s">
        <v>77</v>
      </c>
      <c r="K2818" t="s">
        <v>78</v>
      </c>
      <c r="L2818" t="s">
        <v>117</v>
      </c>
      <c r="M2818" t="s">
        <v>118</v>
      </c>
      <c r="N2818" t="s">
        <v>2226</v>
      </c>
      <c r="O2818" t="s">
        <v>82</v>
      </c>
      <c r="P2818" t="str">
        <f>"4170040063                    "</f>
        <v xml:space="preserve">4170040063                    </v>
      </c>
      <c r="Q2818">
        <v>0</v>
      </c>
      <c r="R2818">
        <v>0</v>
      </c>
      <c r="S2818">
        <v>0</v>
      </c>
      <c r="T2818">
        <v>0</v>
      </c>
      <c r="U2818">
        <v>0</v>
      </c>
      <c r="V2818">
        <v>0</v>
      </c>
      <c r="W2818">
        <v>0</v>
      </c>
      <c r="X2818">
        <v>0</v>
      </c>
      <c r="Y2818">
        <v>0</v>
      </c>
      <c r="Z2818">
        <v>0</v>
      </c>
      <c r="AA2818">
        <v>0</v>
      </c>
      <c r="AB2818">
        <v>0</v>
      </c>
      <c r="AC2818">
        <v>0</v>
      </c>
      <c r="AD2818">
        <v>0</v>
      </c>
      <c r="AE2818">
        <v>0</v>
      </c>
      <c r="AF2818">
        <v>0</v>
      </c>
      <c r="AG2818">
        <v>0</v>
      </c>
      <c r="AH2818">
        <v>0</v>
      </c>
      <c r="AI2818">
        <v>0</v>
      </c>
      <c r="AJ2818">
        <v>0</v>
      </c>
      <c r="AK2818">
        <v>0</v>
      </c>
      <c r="AL2818">
        <v>0</v>
      </c>
      <c r="AM2818">
        <v>0</v>
      </c>
      <c r="AN2818">
        <v>0</v>
      </c>
      <c r="AO2818">
        <v>0</v>
      </c>
      <c r="AP2818">
        <v>0</v>
      </c>
      <c r="AQ2818">
        <v>16.7</v>
      </c>
      <c r="AR2818">
        <v>0</v>
      </c>
      <c r="AS2818">
        <v>0</v>
      </c>
      <c r="AT2818">
        <v>0</v>
      </c>
      <c r="AU2818">
        <v>0</v>
      </c>
      <c r="AV2818">
        <v>0</v>
      </c>
      <c r="AW2818">
        <v>0</v>
      </c>
      <c r="AX2818">
        <v>0</v>
      </c>
      <c r="AY2818">
        <v>0</v>
      </c>
      <c r="AZ2818">
        <v>0</v>
      </c>
      <c r="BA2818">
        <v>0</v>
      </c>
      <c r="BB2818">
        <v>0</v>
      </c>
      <c r="BC2818">
        <v>0</v>
      </c>
      <c r="BD2818">
        <v>0</v>
      </c>
      <c r="BE2818">
        <v>0</v>
      </c>
      <c r="BF2818">
        <v>0</v>
      </c>
      <c r="BG2818">
        <v>0</v>
      </c>
      <c r="BH2818">
        <v>1</v>
      </c>
      <c r="BI2818">
        <v>1</v>
      </c>
      <c r="BJ2818">
        <v>0.2</v>
      </c>
      <c r="BK2818">
        <v>1</v>
      </c>
      <c r="BL2818">
        <v>54.66</v>
      </c>
      <c r="BM2818">
        <v>8.1999999999999993</v>
      </c>
      <c r="BN2818">
        <v>62.86</v>
      </c>
      <c r="BO2818">
        <v>62.86</v>
      </c>
      <c r="BQ2818" t="s">
        <v>2227</v>
      </c>
      <c r="BR2818" t="s">
        <v>84</v>
      </c>
      <c r="BS2818" s="3">
        <v>45800</v>
      </c>
      <c r="BT2818" s="4">
        <v>0.4236111111111111</v>
      </c>
      <c r="BU2818" t="s">
        <v>2228</v>
      </c>
      <c r="BV2818" t="s">
        <v>86</v>
      </c>
      <c r="BY2818">
        <v>1200</v>
      </c>
      <c r="CA2818" t="s">
        <v>535</v>
      </c>
      <c r="CC2818" t="s">
        <v>118</v>
      </c>
      <c r="CD2818">
        <v>2197</v>
      </c>
      <c r="CE2818" t="s">
        <v>88</v>
      </c>
      <c r="CF2818" s="3">
        <v>45801</v>
      </c>
      <c r="CI2818">
        <v>1</v>
      </c>
      <c r="CJ2818">
        <v>1</v>
      </c>
      <c r="CK2818">
        <v>22</v>
      </c>
      <c r="CL2818" t="s">
        <v>89</v>
      </c>
    </row>
    <row r="2819" spans="1:90" x14ac:dyDescent="0.3">
      <c r="A2819" t="s">
        <v>72</v>
      </c>
      <c r="B2819" t="s">
        <v>73</v>
      </c>
      <c r="C2819" t="s">
        <v>74</v>
      </c>
      <c r="E2819" t="str">
        <f>"080065509230"</f>
        <v>080065509230</v>
      </c>
      <c r="F2819" s="3">
        <v>45799</v>
      </c>
      <c r="G2819">
        <v>202602</v>
      </c>
      <c r="H2819" t="s">
        <v>75</v>
      </c>
      <c r="I2819" t="s">
        <v>76</v>
      </c>
      <c r="J2819" t="s">
        <v>77</v>
      </c>
      <c r="K2819" t="s">
        <v>78</v>
      </c>
      <c r="L2819" t="s">
        <v>75</v>
      </c>
      <c r="M2819" t="s">
        <v>76</v>
      </c>
      <c r="N2819" t="s">
        <v>390</v>
      </c>
      <c r="O2819" t="s">
        <v>82</v>
      </c>
      <c r="P2819" t="str">
        <f>"4170040107                    "</f>
        <v xml:space="preserve">4170040107                    </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0</v>
      </c>
      <c r="AJ2819">
        <v>0</v>
      </c>
      <c r="AK2819">
        <v>0</v>
      </c>
      <c r="AL2819">
        <v>0</v>
      </c>
      <c r="AM2819">
        <v>0</v>
      </c>
      <c r="AN2819">
        <v>0</v>
      </c>
      <c r="AO2819">
        <v>0</v>
      </c>
      <c r="AP2819">
        <v>0</v>
      </c>
      <c r="AQ2819">
        <v>16.7</v>
      </c>
      <c r="AR2819">
        <v>0</v>
      </c>
      <c r="AS2819">
        <v>0</v>
      </c>
      <c r="AT2819">
        <v>0</v>
      </c>
      <c r="AU2819">
        <v>0</v>
      </c>
      <c r="AV2819">
        <v>0</v>
      </c>
      <c r="AW2819">
        <v>0</v>
      </c>
      <c r="AX2819">
        <v>0</v>
      </c>
      <c r="AY2819">
        <v>0</v>
      </c>
      <c r="AZ2819">
        <v>0</v>
      </c>
      <c r="BA2819">
        <v>0</v>
      </c>
      <c r="BB2819">
        <v>0</v>
      </c>
      <c r="BC2819">
        <v>0</v>
      </c>
      <c r="BD2819">
        <v>0</v>
      </c>
      <c r="BE2819">
        <v>0</v>
      </c>
      <c r="BF2819">
        <v>0</v>
      </c>
      <c r="BG2819">
        <v>0</v>
      </c>
      <c r="BH2819">
        <v>1</v>
      </c>
      <c r="BI2819">
        <v>1</v>
      </c>
      <c r="BJ2819">
        <v>0.2</v>
      </c>
      <c r="BK2819">
        <v>1</v>
      </c>
      <c r="BL2819">
        <v>54.66</v>
      </c>
      <c r="BM2819">
        <v>8.1999999999999993</v>
      </c>
      <c r="BN2819">
        <v>62.86</v>
      </c>
      <c r="BO2819">
        <v>62.86</v>
      </c>
      <c r="BQ2819" t="s">
        <v>391</v>
      </c>
      <c r="BR2819" t="s">
        <v>84</v>
      </c>
      <c r="BS2819" s="3">
        <v>45800</v>
      </c>
      <c r="BT2819" s="4">
        <v>0.35208333333333336</v>
      </c>
      <c r="BU2819" t="s">
        <v>1660</v>
      </c>
      <c r="BV2819" t="s">
        <v>86</v>
      </c>
      <c r="BY2819">
        <v>1200</v>
      </c>
      <c r="CA2819" t="s">
        <v>115</v>
      </c>
      <c r="CC2819" t="s">
        <v>76</v>
      </c>
      <c r="CD2819">
        <v>1600</v>
      </c>
      <c r="CE2819" t="s">
        <v>88</v>
      </c>
      <c r="CF2819" s="3">
        <v>45800</v>
      </c>
      <c r="CI2819">
        <v>1</v>
      </c>
      <c r="CJ2819">
        <v>1</v>
      </c>
      <c r="CK2819">
        <v>22</v>
      </c>
      <c r="CL2819" t="s">
        <v>89</v>
      </c>
    </row>
    <row r="2820" spans="1:90" x14ac:dyDescent="0.3">
      <c r="A2820" t="s">
        <v>72</v>
      </c>
      <c r="B2820" t="s">
        <v>73</v>
      </c>
      <c r="C2820" t="s">
        <v>74</v>
      </c>
      <c r="E2820" t="str">
        <f>"080065509256"</f>
        <v>080065509256</v>
      </c>
      <c r="F2820" s="3">
        <v>45799</v>
      </c>
      <c r="G2820">
        <v>202602</v>
      </c>
      <c r="H2820" t="s">
        <v>75</v>
      </c>
      <c r="I2820" t="s">
        <v>76</v>
      </c>
      <c r="J2820" t="s">
        <v>77</v>
      </c>
      <c r="K2820" t="s">
        <v>78</v>
      </c>
      <c r="L2820" t="s">
        <v>136</v>
      </c>
      <c r="M2820" t="s">
        <v>137</v>
      </c>
      <c r="N2820" t="s">
        <v>1307</v>
      </c>
      <c r="O2820" t="s">
        <v>82</v>
      </c>
      <c r="P2820" t="str">
        <f>"4170040165                    "</f>
        <v xml:space="preserve">4170040165                    </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c r="AI2820">
        <v>0</v>
      </c>
      <c r="AJ2820">
        <v>0</v>
      </c>
      <c r="AK2820">
        <v>0</v>
      </c>
      <c r="AL2820">
        <v>0</v>
      </c>
      <c r="AM2820">
        <v>0</v>
      </c>
      <c r="AN2820">
        <v>0</v>
      </c>
      <c r="AO2820">
        <v>0</v>
      </c>
      <c r="AP2820">
        <v>0</v>
      </c>
      <c r="AQ2820">
        <v>21.38</v>
      </c>
      <c r="AR2820">
        <v>0</v>
      </c>
      <c r="AS2820">
        <v>0</v>
      </c>
      <c r="AT2820">
        <v>0</v>
      </c>
      <c r="AU2820">
        <v>0</v>
      </c>
      <c r="AV2820">
        <v>0</v>
      </c>
      <c r="AW2820">
        <v>0</v>
      </c>
      <c r="AX2820">
        <v>0</v>
      </c>
      <c r="AY2820">
        <v>0</v>
      </c>
      <c r="AZ2820">
        <v>0</v>
      </c>
      <c r="BA2820">
        <v>0</v>
      </c>
      <c r="BB2820">
        <v>0</v>
      </c>
      <c r="BC2820">
        <v>0</v>
      </c>
      <c r="BD2820">
        <v>0</v>
      </c>
      <c r="BE2820">
        <v>0</v>
      </c>
      <c r="BF2820">
        <v>0</v>
      </c>
      <c r="BG2820">
        <v>0</v>
      </c>
      <c r="BH2820">
        <v>1</v>
      </c>
      <c r="BI2820">
        <v>1</v>
      </c>
      <c r="BJ2820">
        <v>0.2</v>
      </c>
      <c r="BK2820">
        <v>1</v>
      </c>
      <c r="BL2820">
        <v>69.98</v>
      </c>
      <c r="BM2820">
        <v>10.5</v>
      </c>
      <c r="BN2820">
        <v>80.48</v>
      </c>
      <c r="BO2820">
        <v>80.48</v>
      </c>
      <c r="BQ2820" t="s">
        <v>1308</v>
      </c>
      <c r="BR2820" t="s">
        <v>84</v>
      </c>
      <c r="BS2820" s="3">
        <v>45800</v>
      </c>
      <c r="BT2820" s="4">
        <v>0.37638888888888888</v>
      </c>
      <c r="BU2820" t="s">
        <v>1309</v>
      </c>
      <c r="BV2820" t="s">
        <v>86</v>
      </c>
      <c r="BY2820">
        <v>1200</v>
      </c>
      <c r="CA2820" t="s">
        <v>141</v>
      </c>
      <c r="CC2820" t="s">
        <v>137</v>
      </c>
      <c r="CD2820" s="5" t="s">
        <v>142</v>
      </c>
      <c r="CE2820" t="s">
        <v>88</v>
      </c>
      <c r="CF2820" s="3">
        <v>45805</v>
      </c>
      <c r="CI2820">
        <v>1</v>
      </c>
      <c r="CJ2820">
        <v>1</v>
      </c>
      <c r="CK2820">
        <v>21</v>
      </c>
      <c r="CL2820" t="s">
        <v>89</v>
      </c>
    </row>
    <row r="2821" spans="1:90" x14ac:dyDescent="0.3">
      <c r="A2821" t="s">
        <v>72</v>
      </c>
      <c r="B2821" t="s">
        <v>73</v>
      </c>
      <c r="C2821" t="s">
        <v>74</v>
      </c>
      <c r="E2821" t="str">
        <f>"080065509272"</f>
        <v>080065509272</v>
      </c>
      <c r="F2821" s="3">
        <v>45799</v>
      </c>
      <c r="G2821">
        <v>202602</v>
      </c>
      <c r="H2821" t="s">
        <v>75</v>
      </c>
      <c r="I2821" t="s">
        <v>76</v>
      </c>
      <c r="J2821" t="s">
        <v>77</v>
      </c>
      <c r="K2821" t="s">
        <v>78</v>
      </c>
      <c r="L2821" t="s">
        <v>177</v>
      </c>
      <c r="M2821" t="s">
        <v>178</v>
      </c>
      <c r="N2821" t="s">
        <v>2713</v>
      </c>
      <c r="O2821" t="s">
        <v>82</v>
      </c>
      <c r="P2821" t="str">
        <f>"4170040111                    "</f>
        <v xml:space="preserve">4170040111                    </v>
      </c>
      <c r="Q2821">
        <v>0</v>
      </c>
      <c r="R2821">
        <v>0</v>
      </c>
      <c r="S2821">
        <v>0</v>
      </c>
      <c r="T2821">
        <v>0</v>
      </c>
      <c r="U2821">
        <v>0</v>
      </c>
      <c r="V2821">
        <v>0</v>
      </c>
      <c r="W2821">
        <v>0</v>
      </c>
      <c r="X2821">
        <v>0</v>
      </c>
      <c r="Y2821">
        <v>0</v>
      </c>
      <c r="Z2821">
        <v>0</v>
      </c>
      <c r="AA2821">
        <v>0</v>
      </c>
      <c r="AB2821">
        <v>0</v>
      </c>
      <c r="AC2821">
        <v>0</v>
      </c>
      <c r="AD2821">
        <v>0</v>
      </c>
      <c r="AE2821">
        <v>0</v>
      </c>
      <c r="AF2821">
        <v>0</v>
      </c>
      <c r="AG2821">
        <v>0</v>
      </c>
      <c r="AH2821">
        <v>0</v>
      </c>
      <c r="AI2821">
        <v>0</v>
      </c>
      <c r="AJ2821">
        <v>0</v>
      </c>
      <c r="AK2821">
        <v>0</v>
      </c>
      <c r="AL2821">
        <v>0</v>
      </c>
      <c r="AM2821">
        <v>0</v>
      </c>
      <c r="AN2821">
        <v>0</v>
      </c>
      <c r="AO2821">
        <v>0</v>
      </c>
      <c r="AP2821">
        <v>0</v>
      </c>
      <c r="AQ2821">
        <v>21.38</v>
      </c>
      <c r="AR2821">
        <v>0</v>
      </c>
      <c r="AS2821">
        <v>0</v>
      </c>
      <c r="AT2821">
        <v>0</v>
      </c>
      <c r="AU2821">
        <v>0</v>
      </c>
      <c r="AV2821">
        <v>0</v>
      </c>
      <c r="AW2821">
        <v>0</v>
      </c>
      <c r="AX2821">
        <v>0</v>
      </c>
      <c r="AY2821">
        <v>0</v>
      </c>
      <c r="AZ2821">
        <v>0</v>
      </c>
      <c r="BA2821">
        <v>0</v>
      </c>
      <c r="BB2821">
        <v>0</v>
      </c>
      <c r="BC2821">
        <v>0</v>
      </c>
      <c r="BD2821">
        <v>0</v>
      </c>
      <c r="BE2821">
        <v>0</v>
      </c>
      <c r="BF2821">
        <v>0</v>
      </c>
      <c r="BG2821">
        <v>0</v>
      </c>
      <c r="BH2821">
        <v>1</v>
      </c>
      <c r="BI2821">
        <v>1</v>
      </c>
      <c r="BJ2821">
        <v>0.2</v>
      </c>
      <c r="BK2821">
        <v>1</v>
      </c>
      <c r="BL2821">
        <v>69.98</v>
      </c>
      <c r="BM2821">
        <v>10.5</v>
      </c>
      <c r="BN2821">
        <v>80.48</v>
      </c>
      <c r="BO2821">
        <v>80.48</v>
      </c>
      <c r="BQ2821" t="s">
        <v>2714</v>
      </c>
      <c r="BR2821" t="s">
        <v>84</v>
      </c>
      <c r="BS2821" s="3">
        <v>45800</v>
      </c>
      <c r="BT2821" s="4">
        <v>0.43402777777777779</v>
      </c>
      <c r="BU2821" t="s">
        <v>2836</v>
      </c>
      <c r="BV2821" t="s">
        <v>86</v>
      </c>
      <c r="BY2821">
        <v>1200</v>
      </c>
      <c r="CA2821" t="s">
        <v>182</v>
      </c>
      <c r="CC2821" t="s">
        <v>178</v>
      </c>
      <c r="CD2821">
        <v>6230</v>
      </c>
      <c r="CE2821" t="s">
        <v>88</v>
      </c>
      <c r="CF2821" s="3">
        <v>45800</v>
      </c>
      <c r="CI2821">
        <v>1</v>
      </c>
      <c r="CJ2821">
        <v>1</v>
      </c>
      <c r="CK2821">
        <v>21</v>
      </c>
      <c r="CL2821" t="s">
        <v>89</v>
      </c>
    </row>
    <row r="2822" spans="1:90" x14ac:dyDescent="0.3">
      <c r="A2822" t="s">
        <v>72</v>
      </c>
      <c r="B2822" t="s">
        <v>73</v>
      </c>
      <c r="C2822" t="s">
        <v>74</v>
      </c>
      <c r="E2822" t="str">
        <f>"080065509287"</f>
        <v>080065509287</v>
      </c>
      <c r="F2822" s="3">
        <v>45799</v>
      </c>
      <c r="G2822">
        <v>202602</v>
      </c>
      <c r="H2822" t="s">
        <v>75</v>
      </c>
      <c r="I2822" t="s">
        <v>76</v>
      </c>
      <c r="J2822" t="s">
        <v>77</v>
      </c>
      <c r="K2822" t="s">
        <v>78</v>
      </c>
      <c r="L2822" t="s">
        <v>90</v>
      </c>
      <c r="M2822" t="s">
        <v>91</v>
      </c>
      <c r="N2822" t="s">
        <v>371</v>
      </c>
      <c r="O2822" t="s">
        <v>82</v>
      </c>
      <c r="P2822" t="str">
        <f>"4170040092                    "</f>
        <v xml:space="preserve">4170040092                    </v>
      </c>
      <c r="Q2822">
        <v>0</v>
      </c>
      <c r="R2822">
        <v>0</v>
      </c>
      <c r="S2822">
        <v>0</v>
      </c>
      <c r="T2822">
        <v>0</v>
      </c>
      <c r="U2822">
        <v>0</v>
      </c>
      <c r="V2822">
        <v>0</v>
      </c>
      <c r="W2822">
        <v>0</v>
      </c>
      <c r="X2822">
        <v>0</v>
      </c>
      <c r="Y2822">
        <v>0</v>
      </c>
      <c r="Z2822">
        <v>0</v>
      </c>
      <c r="AA2822">
        <v>0</v>
      </c>
      <c r="AB2822">
        <v>0</v>
      </c>
      <c r="AC2822">
        <v>0</v>
      </c>
      <c r="AD2822">
        <v>0</v>
      </c>
      <c r="AE2822">
        <v>0</v>
      </c>
      <c r="AF2822">
        <v>0</v>
      </c>
      <c r="AG2822">
        <v>0</v>
      </c>
      <c r="AH2822">
        <v>0</v>
      </c>
      <c r="AI2822">
        <v>0</v>
      </c>
      <c r="AJ2822">
        <v>0</v>
      </c>
      <c r="AK2822">
        <v>0</v>
      </c>
      <c r="AL2822">
        <v>0</v>
      </c>
      <c r="AM2822">
        <v>0</v>
      </c>
      <c r="AN2822">
        <v>0</v>
      </c>
      <c r="AO2822">
        <v>0</v>
      </c>
      <c r="AP2822">
        <v>0</v>
      </c>
      <c r="AQ2822">
        <v>21.38</v>
      </c>
      <c r="AR2822">
        <v>0</v>
      </c>
      <c r="AS2822">
        <v>0</v>
      </c>
      <c r="AT2822">
        <v>0</v>
      </c>
      <c r="AU2822">
        <v>0</v>
      </c>
      <c r="AV2822">
        <v>0</v>
      </c>
      <c r="AW2822">
        <v>0</v>
      </c>
      <c r="AX2822">
        <v>0</v>
      </c>
      <c r="AY2822">
        <v>0</v>
      </c>
      <c r="AZ2822">
        <v>0</v>
      </c>
      <c r="BA2822">
        <v>0</v>
      </c>
      <c r="BB2822">
        <v>0</v>
      </c>
      <c r="BC2822">
        <v>0</v>
      </c>
      <c r="BD2822">
        <v>0</v>
      </c>
      <c r="BE2822">
        <v>0</v>
      </c>
      <c r="BF2822">
        <v>0</v>
      </c>
      <c r="BG2822">
        <v>0</v>
      </c>
      <c r="BH2822">
        <v>1</v>
      </c>
      <c r="BI2822">
        <v>1</v>
      </c>
      <c r="BJ2822">
        <v>0.2</v>
      </c>
      <c r="BK2822">
        <v>1</v>
      </c>
      <c r="BL2822">
        <v>69.98</v>
      </c>
      <c r="BM2822">
        <v>10.5</v>
      </c>
      <c r="BN2822">
        <v>80.48</v>
      </c>
      <c r="BO2822">
        <v>80.48</v>
      </c>
      <c r="BQ2822" t="s">
        <v>372</v>
      </c>
      <c r="BR2822" t="s">
        <v>84</v>
      </c>
      <c r="BS2822" s="3">
        <v>45800</v>
      </c>
      <c r="BT2822" s="4">
        <v>0.38194444444444442</v>
      </c>
      <c r="BU2822" t="s">
        <v>373</v>
      </c>
      <c r="BV2822" t="s">
        <v>86</v>
      </c>
      <c r="BY2822">
        <v>1200</v>
      </c>
      <c r="CA2822" t="s">
        <v>298</v>
      </c>
      <c r="CC2822" t="s">
        <v>91</v>
      </c>
      <c r="CD2822">
        <v>6001</v>
      </c>
      <c r="CE2822" t="s">
        <v>88</v>
      </c>
      <c r="CF2822" s="3">
        <v>45800</v>
      </c>
      <c r="CI2822">
        <v>1</v>
      </c>
      <c r="CJ2822">
        <v>1</v>
      </c>
      <c r="CK2822">
        <v>21</v>
      </c>
      <c r="CL2822" t="s">
        <v>89</v>
      </c>
    </row>
    <row r="2823" spans="1:90" x14ac:dyDescent="0.3">
      <c r="A2823" t="s">
        <v>72</v>
      </c>
      <c r="B2823" t="s">
        <v>73</v>
      </c>
      <c r="C2823" t="s">
        <v>74</v>
      </c>
      <c r="E2823" t="str">
        <f>"080065509303"</f>
        <v>080065509303</v>
      </c>
      <c r="F2823" s="3">
        <v>45799</v>
      </c>
      <c r="G2823">
        <v>202602</v>
      </c>
      <c r="H2823" t="s">
        <v>75</v>
      </c>
      <c r="I2823" t="s">
        <v>76</v>
      </c>
      <c r="J2823" t="s">
        <v>77</v>
      </c>
      <c r="K2823" t="s">
        <v>78</v>
      </c>
      <c r="L2823" t="s">
        <v>374</v>
      </c>
      <c r="M2823" t="s">
        <v>375</v>
      </c>
      <c r="N2823" t="s">
        <v>376</v>
      </c>
      <c r="O2823" t="s">
        <v>82</v>
      </c>
      <c r="P2823" t="str">
        <f>"4170040132                    "</f>
        <v xml:space="preserve">4170040132                    </v>
      </c>
      <c r="Q2823">
        <v>0</v>
      </c>
      <c r="R2823">
        <v>0</v>
      </c>
      <c r="S2823">
        <v>0</v>
      </c>
      <c r="T2823">
        <v>0</v>
      </c>
      <c r="U2823">
        <v>0</v>
      </c>
      <c r="V2823">
        <v>0</v>
      </c>
      <c r="W2823">
        <v>0</v>
      </c>
      <c r="X2823">
        <v>0</v>
      </c>
      <c r="Y2823">
        <v>0</v>
      </c>
      <c r="Z2823">
        <v>0</v>
      </c>
      <c r="AA2823">
        <v>0</v>
      </c>
      <c r="AB2823">
        <v>0</v>
      </c>
      <c r="AC2823">
        <v>0</v>
      </c>
      <c r="AD2823">
        <v>0</v>
      </c>
      <c r="AE2823">
        <v>0</v>
      </c>
      <c r="AF2823">
        <v>0</v>
      </c>
      <c r="AG2823">
        <v>0</v>
      </c>
      <c r="AH2823">
        <v>0</v>
      </c>
      <c r="AI2823">
        <v>0</v>
      </c>
      <c r="AJ2823">
        <v>0</v>
      </c>
      <c r="AK2823">
        <v>0</v>
      </c>
      <c r="AL2823">
        <v>0</v>
      </c>
      <c r="AM2823">
        <v>0</v>
      </c>
      <c r="AN2823">
        <v>0</v>
      </c>
      <c r="AO2823">
        <v>0</v>
      </c>
      <c r="AP2823">
        <v>0</v>
      </c>
      <c r="AQ2823">
        <v>41.43</v>
      </c>
      <c r="AR2823">
        <v>0</v>
      </c>
      <c r="AS2823">
        <v>0</v>
      </c>
      <c r="AT2823">
        <v>0</v>
      </c>
      <c r="AU2823">
        <v>0</v>
      </c>
      <c r="AV2823">
        <v>0</v>
      </c>
      <c r="AW2823">
        <v>0</v>
      </c>
      <c r="AX2823">
        <v>0</v>
      </c>
      <c r="AY2823">
        <v>0</v>
      </c>
      <c r="AZ2823">
        <v>0</v>
      </c>
      <c r="BA2823">
        <v>0</v>
      </c>
      <c r="BB2823">
        <v>0</v>
      </c>
      <c r="BC2823">
        <v>0</v>
      </c>
      <c r="BD2823">
        <v>0</v>
      </c>
      <c r="BE2823">
        <v>0</v>
      </c>
      <c r="BF2823">
        <v>0</v>
      </c>
      <c r="BG2823">
        <v>0</v>
      </c>
      <c r="BH2823">
        <v>1</v>
      </c>
      <c r="BI2823">
        <v>1</v>
      </c>
      <c r="BJ2823">
        <v>0.2</v>
      </c>
      <c r="BK2823">
        <v>1</v>
      </c>
      <c r="BL2823">
        <v>135.59</v>
      </c>
      <c r="BM2823">
        <v>20.34</v>
      </c>
      <c r="BN2823">
        <v>155.93</v>
      </c>
      <c r="BO2823">
        <v>155.93</v>
      </c>
      <c r="BQ2823" t="s">
        <v>377</v>
      </c>
      <c r="BR2823" t="s">
        <v>84</v>
      </c>
      <c r="BS2823" s="3">
        <v>45800</v>
      </c>
      <c r="BT2823" s="4">
        <v>0.4236111111111111</v>
      </c>
      <c r="BU2823" t="s">
        <v>2288</v>
      </c>
      <c r="BV2823" t="s">
        <v>86</v>
      </c>
      <c r="BY2823">
        <v>1200</v>
      </c>
      <c r="CA2823" t="s">
        <v>379</v>
      </c>
      <c r="CC2823" t="s">
        <v>375</v>
      </c>
      <c r="CD2823">
        <v>7130</v>
      </c>
      <c r="CE2823" t="s">
        <v>88</v>
      </c>
      <c r="CF2823" s="3">
        <v>45803</v>
      </c>
      <c r="CI2823">
        <v>1</v>
      </c>
      <c r="CJ2823">
        <v>1</v>
      </c>
      <c r="CK2823">
        <v>23</v>
      </c>
      <c r="CL2823" t="s">
        <v>89</v>
      </c>
    </row>
    <row r="2824" spans="1:90" x14ac:dyDescent="0.3">
      <c r="A2824" t="s">
        <v>72</v>
      </c>
      <c r="B2824" t="s">
        <v>73</v>
      </c>
      <c r="C2824" t="s">
        <v>74</v>
      </c>
      <c r="E2824" t="str">
        <f>"080065509321"</f>
        <v>080065509321</v>
      </c>
      <c r="F2824" s="3">
        <v>45799</v>
      </c>
      <c r="G2824">
        <v>202602</v>
      </c>
      <c r="H2824" t="s">
        <v>75</v>
      </c>
      <c r="I2824" t="s">
        <v>76</v>
      </c>
      <c r="J2824" t="s">
        <v>77</v>
      </c>
      <c r="K2824" t="s">
        <v>78</v>
      </c>
      <c r="L2824" t="s">
        <v>360</v>
      </c>
      <c r="M2824" t="s">
        <v>361</v>
      </c>
      <c r="N2824" t="s">
        <v>362</v>
      </c>
      <c r="O2824" t="s">
        <v>82</v>
      </c>
      <c r="P2824" t="str">
        <f>"4170040094                    "</f>
        <v xml:space="preserve">4170040094                    </v>
      </c>
      <c r="Q2824">
        <v>0</v>
      </c>
      <c r="R2824">
        <v>0</v>
      </c>
      <c r="S2824">
        <v>0</v>
      </c>
      <c r="T2824">
        <v>0</v>
      </c>
      <c r="U2824">
        <v>0</v>
      </c>
      <c r="V2824">
        <v>0</v>
      </c>
      <c r="W2824">
        <v>0</v>
      </c>
      <c r="X2824">
        <v>0</v>
      </c>
      <c r="Y2824">
        <v>0</v>
      </c>
      <c r="Z2824">
        <v>0</v>
      </c>
      <c r="AA2824">
        <v>0</v>
      </c>
      <c r="AB2824">
        <v>0</v>
      </c>
      <c r="AC2824">
        <v>0</v>
      </c>
      <c r="AD2824">
        <v>0</v>
      </c>
      <c r="AE2824">
        <v>0</v>
      </c>
      <c r="AF2824">
        <v>0</v>
      </c>
      <c r="AG2824">
        <v>0</v>
      </c>
      <c r="AH2824">
        <v>0</v>
      </c>
      <c r="AI2824">
        <v>0</v>
      </c>
      <c r="AJ2824">
        <v>0</v>
      </c>
      <c r="AK2824">
        <v>0</v>
      </c>
      <c r="AL2824">
        <v>0</v>
      </c>
      <c r="AM2824">
        <v>0</v>
      </c>
      <c r="AN2824">
        <v>0</v>
      </c>
      <c r="AO2824">
        <v>0</v>
      </c>
      <c r="AP2824">
        <v>0</v>
      </c>
      <c r="AQ2824">
        <v>41.43</v>
      </c>
      <c r="AR2824">
        <v>0</v>
      </c>
      <c r="AS2824">
        <v>0</v>
      </c>
      <c r="AT2824">
        <v>0</v>
      </c>
      <c r="AU2824">
        <v>0</v>
      </c>
      <c r="AV2824">
        <v>0</v>
      </c>
      <c r="AW2824">
        <v>0</v>
      </c>
      <c r="AX2824">
        <v>0</v>
      </c>
      <c r="AY2824">
        <v>0</v>
      </c>
      <c r="AZ2824">
        <v>0</v>
      </c>
      <c r="BA2824">
        <v>0</v>
      </c>
      <c r="BB2824">
        <v>0</v>
      </c>
      <c r="BC2824">
        <v>0</v>
      </c>
      <c r="BD2824">
        <v>0</v>
      </c>
      <c r="BE2824">
        <v>0</v>
      </c>
      <c r="BF2824">
        <v>0</v>
      </c>
      <c r="BG2824">
        <v>0</v>
      </c>
      <c r="BH2824">
        <v>1</v>
      </c>
      <c r="BI2824">
        <v>1</v>
      </c>
      <c r="BJ2824">
        <v>0.2</v>
      </c>
      <c r="BK2824">
        <v>1</v>
      </c>
      <c r="BL2824">
        <v>135.59</v>
      </c>
      <c r="BM2824">
        <v>20.34</v>
      </c>
      <c r="BN2824">
        <v>155.93</v>
      </c>
      <c r="BO2824">
        <v>155.93</v>
      </c>
      <c r="BQ2824" t="s">
        <v>363</v>
      </c>
      <c r="BR2824" t="s">
        <v>84</v>
      </c>
      <c r="BS2824" s="3">
        <v>45800</v>
      </c>
      <c r="BT2824" s="4">
        <v>0.60416666666666663</v>
      </c>
      <c r="BU2824" t="s">
        <v>1008</v>
      </c>
      <c r="BV2824" t="s">
        <v>86</v>
      </c>
      <c r="BY2824">
        <v>1200</v>
      </c>
      <c r="CA2824" t="s">
        <v>365</v>
      </c>
      <c r="CC2824" t="s">
        <v>361</v>
      </c>
      <c r="CD2824">
        <v>7299</v>
      </c>
      <c r="CE2824" t="s">
        <v>88</v>
      </c>
      <c r="CF2824" s="3">
        <v>45803</v>
      </c>
      <c r="CI2824">
        <v>1</v>
      </c>
      <c r="CJ2824">
        <v>1</v>
      </c>
      <c r="CK2824">
        <v>23</v>
      </c>
      <c r="CL2824" t="s">
        <v>89</v>
      </c>
    </row>
    <row r="2825" spans="1:90" x14ac:dyDescent="0.3">
      <c r="A2825" t="s">
        <v>72</v>
      </c>
      <c r="B2825" t="s">
        <v>73</v>
      </c>
      <c r="C2825" t="s">
        <v>74</v>
      </c>
      <c r="E2825" t="str">
        <f>"080065509350"</f>
        <v>080065509350</v>
      </c>
      <c r="F2825" s="3">
        <v>45799</v>
      </c>
      <c r="G2825">
        <v>202602</v>
      </c>
      <c r="H2825" t="s">
        <v>75</v>
      </c>
      <c r="I2825" t="s">
        <v>76</v>
      </c>
      <c r="J2825" t="s">
        <v>77</v>
      </c>
      <c r="K2825" t="s">
        <v>78</v>
      </c>
      <c r="L2825" t="s">
        <v>90</v>
      </c>
      <c r="M2825" t="s">
        <v>91</v>
      </c>
      <c r="N2825" t="s">
        <v>1586</v>
      </c>
      <c r="O2825" t="s">
        <v>82</v>
      </c>
      <c r="P2825" t="str">
        <f>"4170040108                    "</f>
        <v xml:space="preserve">4170040108                    </v>
      </c>
      <c r="Q2825">
        <v>0</v>
      </c>
      <c r="R2825">
        <v>0</v>
      </c>
      <c r="S2825">
        <v>0</v>
      </c>
      <c r="T2825">
        <v>0</v>
      </c>
      <c r="U2825">
        <v>0</v>
      </c>
      <c r="V2825">
        <v>0</v>
      </c>
      <c r="W2825">
        <v>0</v>
      </c>
      <c r="X2825">
        <v>0</v>
      </c>
      <c r="Y2825">
        <v>0</v>
      </c>
      <c r="Z2825">
        <v>0</v>
      </c>
      <c r="AA2825">
        <v>0</v>
      </c>
      <c r="AB2825">
        <v>0</v>
      </c>
      <c r="AC2825">
        <v>0</v>
      </c>
      <c r="AD2825">
        <v>0</v>
      </c>
      <c r="AE2825">
        <v>0</v>
      </c>
      <c r="AF2825">
        <v>0</v>
      </c>
      <c r="AG2825">
        <v>0</v>
      </c>
      <c r="AH2825">
        <v>0</v>
      </c>
      <c r="AI2825">
        <v>0</v>
      </c>
      <c r="AJ2825">
        <v>0</v>
      </c>
      <c r="AK2825">
        <v>0</v>
      </c>
      <c r="AL2825">
        <v>0</v>
      </c>
      <c r="AM2825">
        <v>0</v>
      </c>
      <c r="AN2825">
        <v>0</v>
      </c>
      <c r="AO2825">
        <v>0</v>
      </c>
      <c r="AP2825">
        <v>0</v>
      </c>
      <c r="AQ2825">
        <v>21.38</v>
      </c>
      <c r="AR2825">
        <v>0</v>
      </c>
      <c r="AS2825">
        <v>0</v>
      </c>
      <c r="AT2825">
        <v>0</v>
      </c>
      <c r="AU2825">
        <v>0</v>
      </c>
      <c r="AV2825">
        <v>0</v>
      </c>
      <c r="AW2825">
        <v>0</v>
      </c>
      <c r="AX2825">
        <v>0</v>
      </c>
      <c r="AY2825">
        <v>0</v>
      </c>
      <c r="AZ2825">
        <v>0</v>
      </c>
      <c r="BA2825">
        <v>0</v>
      </c>
      <c r="BB2825">
        <v>0</v>
      </c>
      <c r="BC2825">
        <v>0</v>
      </c>
      <c r="BD2825">
        <v>0</v>
      </c>
      <c r="BE2825">
        <v>0</v>
      </c>
      <c r="BF2825">
        <v>0</v>
      </c>
      <c r="BG2825">
        <v>0</v>
      </c>
      <c r="BH2825">
        <v>1</v>
      </c>
      <c r="BI2825">
        <v>1</v>
      </c>
      <c r="BJ2825">
        <v>0.2</v>
      </c>
      <c r="BK2825">
        <v>1</v>
      </c>
      <c r="BL2825">
        <v>69.98</v>
      </c>
      <c r="BM2825">
        <v>10.5</v>
      </c>
      <c r="BN2825">
        <v>80.48</v>
      </c>
      <c r="BO2825">
        <v>80.48</v>
      </c>
      <c r="BQ2825" t="s">
        <v>1587</v>
      </c>
      <c r="BR2825" t="s">
        <v>84</v>
      </c>
      <c r="BS2825" s="3">
        <v>45800</v>
      </c>
      <c r="BT2825" s="4">
        <v>0.43402777777777779</v>
      </c>
      <c r="BU2825" t="s">
        <v>742</v>
      </c>
      <c r="BV2825" t="s">
        <v>86</v>
      </c>
      <c r="BY2825">
        <v>1200</v>
      </c>
      <c r="CA2825" t="s">
        <v>298</v>
      </c>
      <c r="CC2825" t="s">
        <v>91</v>
      </c>
      <c r="CD2825">
        <v>6001</v>
      </c>
      <c r="CE2825" t="s">
        <v>88</v>
      </c>
      <c r="CF2825" s="3">
        <v>45800</v>
      </c>
      <c r="CI2825">
        <v>1</v>
      </c>
      <c r="CJ2825">
        <v>1</v>
      </c>
      <c r="CK2825">
        <v>21</v>
      </c>
      <c r="CL2825" t="s">
        <v>89</v>
      </c>
    </row>
    <row r="2826" spans="1:90" x14ac:dyDescent="0.3">
      <c r="A2826" t="s">
        <v>72</v>
      </c>
      <c r="B2826" t="s">
        <v>73</v>
      </c>
      <c r="C2826" t="s">
        <v>74</v>
      </c>
      <c r="E2826" t="str">
        <f>"080065509369"</f>
        <v>080065509369</v>
      </c>
      <c r="F2826" s="3">
        <v>45799</v>
      </c>
      <c r="G2826">
        <v>202602</v>
      </c>
      <c r="H2826" t="s">
        <v>75</v>
      </c>
      <c r="I2826" t="s">
        <v>76</v>
      </c>
      <c r="J2826" t="s">
        <v>77</v>
      </c>
      <c r="K2826" t="s">
        <v>78</v>
      </c>
      <c r="L2826" t="s">
        <v>130</v>
      </c>
      <c r="M2826" t="s">
        <v>131</v>
      </c>
      <c r="N2826" t="s">
        <v>327</v>
      </c>
      <c r="O2826" t="s">
        <v>82</v>
      </c>
      <c r="P2826" t="str">
        <f>"4170040065                    "</f>
        <v xml:space="preserve">4170040065                    </v>
      </c>
      <c r="Q2826">
        <v>0</v>
      </c>
      <c r="R2826">
        <v>0</v>
      </c>
      <c r="S2826">
        <v>0</v>
      </c>
      <c r="T2826">
        <v>0</v>
      </c>
      <c r="U2826">
        <v>0</v>
      </c>
      <c r="V2826">
        <v>0</v>
      </c>
      <c r="W2826">
        <v>0</v>
      </c>
      <c r="X2826">
        <v>0</v>
      </c>
      <c r="Y2826">
        <v>0</v>
      </c>
      <c r="Z2826">
        <v>0</v>
      </c>
      <c r="AA2826">
        <v>0</v>
      </c>
      <c r="AB2826">
        <v>0</v>
      </c>
      <c r="AC2826">
        <v>0</v>
      </c>
      <c r="AD2826">
        <v>0</v>
      </c>
      <c r="AE2826">
        <v>0</v>
      </c>
      <c r="AF2826">
        <v>0</v>
      </c>
      <c r="AG2826">
        <v>0</v>
      </c>
      <c r="AH2826">
        <v>0</v>
      </c>
      <c r="AI2826">
        <v>0</v>
      </c>
      <c r="AJ2826">
        <v>0</v>
      </c>
      <c r="AK2826">
        <v>0</v>
      </c>
      <c r="AL2826">
        <v>0</v>
      </c>
      <c r="AM2826">
        <v>0</v>
      </c>
      <c r="AN2826">
        <v>0</v>
      </c>
      <c r="AO2826">
        <v>0</v>
      </c>
      <c r="AP2826">
        <v>0</v>
      </c>
      <c r="AQ2826">
        <v>21.38</v>
      </c>
      <c r="AR2826">
        <v>0</v>
      </c>
      <c r="AS2826">
        <v>0</v>
      </c>
      <c r="AT2826">
        <v>0</v>
      </c>
      <c r="AU2826">
        <v>0</v>
      </c>
      <c r="AV2826">
        <v>0</v>
      </c>
      <c r="AW2826">
        <v>0</v>
      </c>
      <c r="AX2826">
        <v>0</v>
      </c>
      <c r="AY2826">
        <v>0</v>
      </c>
      <c r="AZ2826">
        <v>0</v>
      </c>
      <c r="BA2826">
        <v>0</v>
      </c>
      <c r="BB2826">
        <v>0</v>
      </c>
      <c r="BC2826">
        <v>0</v>
      </c>
      <c r="BD2826">
        <v>0</v>
      </c>
      <c r="BE2826">
        <v>0</v>
      </c>
      <c r="BF2826">
        <v>0</v>
      </c>
      <c r="BG2826">
        <v>0</v>
      </c>
      <c r="BH2826">
        <v>1</v>
      </c>
      <c r="BI2826">
        <v>1</v>
      </c>
      <c r="BJ2826">
        <v>0.2</v>
      </c>
      <c r="BK2826">
        <v>1</v>
      </c>
      <c r="BL2826">
        <v>69.98</v>
      </c>
      <c r="BM2826">
        <v>10.5</v>
      </c>
      <c r="BN2826">
        <v>80.48</v>
      </c>
      <c r="BO2826">
        <v>80.48</v>
      </c>
      <c r="BQ2826" t="s">
        <v>328</v>
      </c>
      <c r="BR2826" t="s">
        <v>84</v>
      </c>
      <c r="BS2826" s="3">
        <v>45800</v>
      </c>
      <c r="BT2826" s="4">
        <v>0.3527777777777778</v>
      </c>
      <c r="BU2826" t="s">
        <v>2465</v>
      </c>
      <c r="BV2826" t="s">
        <v>86</v>
      </c>
      <c r="BY2826">
        <v>1200</v>
      </c>
      <c r="CA2826" t="s">
        <v>330</v>
      </c>
      <c r="CC2826" t="s">
        <v>131</v>
      </c>
      <c r="CD2826">
        <v>7480</v>
      </c>
      <c r="CE2826" t="s">
        <v>88</v>
      </c>
      <c r="CF2826" s="3">
        <v>45803</v>
      </c>
      <c r="CI2826">
        <v>1</v>
      </c>
      <c r="CJ2826">
        <v>1</v>
      </c>
      <c r="CK2826">
        <v>21</v>
      </c>
      <c r="CL2826" t="s">
        <v>89</v>
      </c>
    </row>
    <row r="2827" spans="1:90" x14ac:dyDescent="0.3">
      <c r="A2827" t="s">
        <v>72</v>
      </c>
      <c r="B2827" t="s">
        <v>73</v>
      </c>
      <c r="C2827" t="s">
        <v>74</v>
      </c>
      <c r="E2827" t="str">
        <f>"080065509389"</f>
        <v>080065509389</v>
      </c>
      <c r="F2827" s="3">
        <v>45799</v>
      </c>
      <c r="G2827">
        <v>202602</v>
      </c>
      <c r="H2827" t="s">
        <v>75</v>
      </c>
      <c r="I2827" t="s">
        <v>76</v>
      </c>
      <c r="J2827" t="s">
        <v>77</v>
      </c>
      <c r="K2827" t="s">
        <v>78</v>
      </c>
      <c r="L2827" t="s">
        <v>350</v>
      </c>
      <c r="M2827" t="s">
        <v>351</v>
      </c>
      <c r="N2827" t="s">
        <v>678</v>
      </c>
      <c r="O2827" t="s">
        <v>82</v>
      </c>
      <c r="P2827" t="str">
        <f>"4170040198                    "</f>
        <v xml:space="preserve">4170040198                    </v>
      </c>
      <c r="Q2827">
        <v>0</v>
      </c>
      <c r="R2827">
        <v>0</v>
      </c>
      <c r="S2827">
        <v>0</v>
      </c>
      <c r="T2827">
        <v>0</v>
      </c>
      <c r="U2827">
        <v>0</v>
      </c>
      <c r="V2827">
        <v>0</v>
      </c>
      <c r="W2827">
        <v>0</v>
      </c>
      <c r="X2827">
        <v>0</v>
      </c>
      <c r="Y2827">
        <v>0</v>
      </c>
      <c r="Z2827">
        <v>0</v>
      </c>
      <c r="AA2827">
        <v>0</v>
      </c>
      <c r="AB2827">
        <v>0</v>
      </c>
      <c r="AC2827">
        <v>0</v>
      </c>
      <c r="AD2827">
        <v>0</v>
      </c>
      <c r="AE2827">
        <v>0</v>
      </c>
      <c r="AF2827">
        <v>0</v>
      </c>
      <c r="AG2827">
        <v>0</v>
      </c>
      <c r="AH2827">
        <v>0</v>
      </c>
      <c r="AI2827">
        <v>0</v>
      </c>
      <c r="AJ2827">
        <v>0</v>
      </c>
      <c r="AK2827">
        <v>0</v>
      </c>
      <c r="AL2827">
        <v>0</v>
      </c>
      <c r="AM2827">
        <v>0</v>
      </c>
      <c r="AN2827">
        <v>0</v>
      </c>
      <c r="AO2827">
        <v>0</v>
      </c>
      <c r="AP2827">
        <v>0</v>
      </c>
      <c r="AQ2827">
        <v>21.38</v>
      </c>
      <c r="AR2827">
        <v>0</v>
      </c>
      <c r="AS2827">
        <v>0</v>
      </c>
      <c r="AT2827">
        <v>0</v>
      </c>
      <c r="AU2827">
        <v>0</v>
      </c>
      <c r="AV2827">
        <v>0</v>
      </c>
      <c r="AW2827">
        <v>0</v>
      </c>
      <c r="AX2827">
        <v>0</v>
      </c>
      <c r="AY2827">
        <v>0</v>
      </c>
      <c r="AZ2827">
        <v>0</v>
      </c>
      <c r="BA2827">
        <v>0</v>
      </c>
      <c r="BB2827">
        <v>0</v>
      </c>
      <c r="BC2827">
        <v>0</v>
      </c>
      <c r="BD2827">
        <v>0</v>
      </c>
      <c r="BE2827">
        <v>0</v>
      </c>
      <c r="BF2827">
        <v>0</v>
      </c>
      <c r="BG2827">
        <v>0</v>
      </c>
      <c r="BH2827">
        <v>1</v>
      </c>
      <c r="BI2827">
        <v>1</v>
      </c>
      <c r="BJ2827">
        <v>0.2</v>
      </c>
      <c r="BK2827">
        <v>1</v>
      </c>
      <c r="BL2827">
        <v>69.98</v>
      </c>
      <c r="BM2827">
        <v>10.5</v>
      </c>
      <c r="BN2827">
        <v>80.48</v>
      </c>
      <c r="BO2827">
        <v>80.48</v>
      </c>
      <c r="BQ2827" t="s">
        <v>679</v>
      </c>
      <c r="BR2827" t="s">
        <v>84</v>
      </c>
      <c r="BS2827" s="3">
        <v>45800</v>
      </c>
      <c r="BT2827" s="4">
        <v>0.34097222222222223</v>
      </c>
      <c r="BU2827" t="s">
        <v>680</v>
      </c>
      <c r="BV2827" t="s">
        <v>86</v>
      </c>
      <c r="BY2827">
        <v>1200</v>
      </c>
      <c r="CA2827" t="s">
        <v>326</v>
      </c>
      <c r="CC2827" t="s">
        <v>351</v>
      </c>
      <c r="CD2827">
        <v>4052</v>
      </c>
      <c r="CE2827" t="s">
        <v>88</v>
      </c>
      <c r="CF2827" s="3">
        <v>45800</v>
      </c>
      <c r="CI2827">
        <v>1</v>
      </c>
      <c r="CJ2827">
        <v>1</v>
      </c>
      <c r="CK2827">
        <v>21</v>
      </c>
      <c r="CL2827" t="s">
        <v>89</v>
      </c>
    </row>
    <row r="2828" spans="1:90" x14ac:dyDescent="0.3">
      <c r="A2828" t="s">
        <v>72</v>
      </c>
      <c r="B2828" t="s">
        <v>73</v>
      </c>
      <c r="C2828" t="s">
        <v>74</v>
      </c>
      <c r="E2828" t="str">
        <f>"080065509401"</f>
        <v>080065509401</v>
      </c>
      <c r="F2828" s="3">
        <v>45799</v>
      </c>
      <c r="G2828">
        <v>202602</v>
      </c>
      <c r="H2828" t="s">
        <v>75</v>
      </c>
      <c r="I2828" t="s">
        <v>76</v>
      </c>
      <c r="J2828" t="s">
        <v>77</v>
      </c>
      <c r="K2828" t="s">
        <v>78</v>
      </c>
      <c r="L2828" t="s">
        <v>75</v>
      </c>
      <c r="M2828" t="s">
        <v>76</v>
      </c>
      <c r="N2828" t="s">
        <v>390</v>
      </c>
      <c r="O2828" t="s">
        <v>82</v>
      </c>
      <c r="P2828" t="str">
        <f>"4170040075                    "</f>
        <v xml:space="preserve">4170040075                    </v>
      </c>
      <c r="Q2828">
        <v>0</v>
      </c>
      <c r="R2828">
        <v>0</v>
      </c>
      <c r="S2828">
        <v>0</v>
      </c>
      <c r="T2828">
        <v>0</v>
      </c>
      <c r="U2828">
        <v>0</v>
      </c>
      <c r="V2828">
        <v>0</v>
      </c>
      <c r="W2828">
        <v>0</v>
      </c>
      <c r="X2828">
        <v>0</v>
      </c>
      <c r="Y2828">
        <v>0</v>
      </c>
      <c r="Z2828">
        <v>0</v>
      </c>
      <c r="AA2828">
        <v>0</v>
      </c>
      <c r="AB2828">
        <v>0</v>
      </c>
      <c r="AC2828">
        <v>0</v>
      </c>
      <c r="AD2828">
        <v>0</v>
      </c>
      <c r="AE2828">
        <v>0</v>
      </c>
      <c r="AF2828">
        <v>0</v>
      </c>
      <c r="AG2828">
        <v>0</v>
      </c>
      <c r="AH2828">
        <v>0</v>
      </c>
      <c r="AI2828">
        <v>0</v>
      </c>
      <c r="AJ2828">
        <v>0</v>
      </c>
      <c r="AK2828">
        <v>0</v>
      </c>
      <c r="AL2828">
        <v>0</v>
      </c>
      <c r="AM2828">
        <v>0</v>
      </c>
      <c r="AN2828">
        <v>0</v>
      </c>
      <c r="AO2828">
        <v>0</v>
      </c>
      <c r="AP2828">
        <v>0</v>
      </c>
      <c r="AQ2828">
        <v>16.7</v>
      </c>
      <c r="AR2828">
        <v>0</v>
      </c>
      <c r="AS2828">
        <v>0</v>
      </c>
      <c r="AT2828">
        <v>0</v>
      </c>
      <c r="AU2828">
        <v>0</v>
      </c>
      <c r="AV2828">
        <v>0</v>
      </c>
      <c r="AW2828">
        <v>0</v>
      </c>
      <c r="AX2828">
        <v>0</v>
      </c>
      <c r="AY2828">
        <v>0</v>
      </c>
      <c r="AZ2828">
        <v>0</v>
      </c>
      <c r="BA2828">
        <v>0</v>
      </c>
      <c r="BB2828">
        <v>0</v>
      </c>
      <c r="BC2828">
        <v>0</v>
      </c>
      <c r="BD2828">
        <v>0</v>
      </c>
      <c r="BE2828">
        <v>0</v>
      </c>
      <c r="BF2828">
        <v>0</v>
      </c>
      <c r="BG2828">
        <v>0</v>
      </c>
      <c r="BH2828">
        <v>1</v>
      </c>
      <c r="BI2828">
        <v>1</v>
      </c>
      <c r="BJ2828">
        <v>0.2</v>
      </c>
      <c r="BK2828">
        <v>1</v>
      </c>
      <c r="BL2828">
        <v>54.66</v>
      </c>
      <c r="BM2828">
        <v>8.1999999999999993</v>
      </c>
      <c r="BN2828">
        <v>62.86</v>
      </c>
      <c r="BO2828">
        <v>62.86</v>
      </c>
      <c r="BQ2828" t="s">
        <v>391</v>
      </c>
      <c r="BR2828" t="s">
        <v>84</v>
      </c>
      <c r="BS2828" s="3">
        <v>45800</v>
      </c>
      <c r="BT2828" s="4">
        <v>0.35208333333333336</v>
      </c>
      <c r="BU2828" t="s">
        <v>1660</v>
      </c>
      <c r="BV2828" t="s">
        <v>86</v>
      </c>
      <c r="BY2828">
        <v>1200</v>
      </c>
      <c r="CA2828" t="s">
        <v>115</v>
      </c>
      <c r="CC2828" t="s">
        <v>76</v>
      </c>
      <c r="CD2828">
        <v>1600</v>
      </c>
      <c r="CE2828" t="s">
        <v>88</v>
      </c>
      <c r="CF2828" s="3">
        <v>45800</v>
      </c>
      <c r="CI2828">
        <v>1</v>
      </c>
      <c r="CJ2828">
        <v>1</v>
      </c>
      <c r="CK2828">
        <v>22</v>
      </c>
      <c r="CL2828" t="s">
        <v>89</v>
      </c>
    </row>
    <row r="2829" spans="1:90" x14ac:dyDescent="0.3">
      <c r="A2829" t="s">
        <v>72</v>
      </c>
      <c r="B2829" t="s">
        <v>73</v>
      </c>
      <c r="C2829" t="s">
        <v>74</v>
      </c>
      <c r="E2829" t="str">
        <f>"080065509446"</f>
        <v>080065509446</v>
      </c>
      <c r="F2829" s="3">
        <v>45799</v>
      </c>
      <c r="G2829">
        <v>202602</v>
      </c>
      <c r="H2829" t="s">
        <v>75</v>
      </c>
      <c r="I2829" t="s">
        <v>76</v>
      </c>
      <c r="J2829" t="s">
        <v>77</v>
      </c>
      <c r="K2829" t="s">
        <v>78</v>
      </c>
      <c r="L2829" t="s">
        <v>97</v>
      </c>
      <c r="M2829" t="s">
        <v>98</v>
      </c>
      <c r="N2829" t="s">
        <v>934</v>
      </c>
      <c r="O2829" t="s">
        <v>82</v>
      </c>
      <c r="P2829" t="str">
        <f>"4170040036                    "</f>
        <v xml:space="preserve">4170040036                    </v>
      </c>
      <c r="Q2829">
        <v>0</v>
      </c>
      <c r="R2829">
        <v>0</v>
      </c>
      <c r="S2829">
        <v>0</v>
      </c>
      <c r="T2829">
        <v>0</v>
      </c>
      <c r="U2829">
        <v>0</v>
      </c>
      <c r="V2829">
        <v>0</v>
      </c>
      <c r="W2829">
        <v>0</v>
      </c>
      <c r="X2829">
        <v>0</v>
      </c>
      <c r="Y2829">
        <v>0</v>
      </c>
      <c r="Z2829">
        <v>0</v>
      </c>
      <c r="AA2829">
        <v>0</v>
      </c>
      <c r="AB2829">
        <v>0</v>
      </c>
      <c r="AC2829">
        <v>0</v>
      </c>
      <c r="AD2829">
        <v>0</v>
      </c>
      <c r="AE2829">
        <v>0</v>
      </c>
      <c r="AF2829">
        <v>0</v>
      </c>
      <c r="AG2829">
        <v>0</v>
      </c>
      <c r="AH2829">
        <v>0</v>
      </c>
      <c r="AI2829">
        <v>0</v>
      </c>
      <c r="AJ2829">
        <v>0</v>
      </c>
      <c r="AK2829">
        <v>0</v>
      </c>
      <c r="AL2829">
        <v>0</v>
      </c>
      <c r="AM2829">
        <v>0</v>
      </c>
      <c r="AN2829">
        <v>0</v>
      </c>
      <c r="AO2829">
        <v>0</v>
      </c>
      <c r="AP2829">
        <v>0</v>
      </c>
      <c r="AQ2829">
        <v>16.7</v>
      </c>
      <c r="AR2829">
        <v>0</v>
      </c>
      <c r="AS2829">
        <v>0</v>
      </c>
      <c r="AT2829">
        <v>0</v>
      </c>
      <c r="AU2829">
        <v>0</v>
      </c>
      <c r="AV2829">
        <v>0</v>
      </c>
      <c r="AW2829">
        <v>0</v>
      </c>
      <c r="AX2829">
        <v>0</v>
      </c>
      <c r="AY2829">
        <v>0</v>
      </c>
      <c r="AZ2829">
        <v>0</v>
      </c>
      <c r="BA2829">
        <v>0</v>
      </c>
      <c r="BB2829">
        <v>0</v>
      </c>
      <c r="BC2829">
        <v>0</v>
      </c>
      <c r="BD2829">
        <v>0</v>
      </c>
      <c r="BE2829">
        <v>0</v>
      </c>
      <c r="BF2829">
        <v>0</v>
      </c>
      <c r="BG2829">
        <v>0</v>
      </c>
      <c r="BH2829">
        <v>1</v>
      </c>
      <c r="BI2829">
        <v>1</v>
      </c>
      <c r="BJ2829">
        <v>0.2</v>
      </c>
      <c r="BK2829">
        <v>1</v>
      </c>
      <c r="BL2829">
        <v>54.66</v>
      </c>
      <c r="BM2829">
        <v>8.1999999999999993</v>
      </c>
      <c r="BN2829">
        <v>62.86</v>
      </c>
      <c r="BO2829">
        <v>62.86</v>
      </c>
      <c r="BQ2829" t="s">
        <v>935</v>
      </c>
      <c r="BR2829" t="s">
        <v>84</v>
      </c>
      <c r="BS2829" s="3">
        <v>45800</v>
      </c>
      <c r="BT2829" s="4">
        <v>0.38472222222222224</v>
      </c>
      <c r="BU2829" t="s">
        <v>1249</v>
      </c>
      <c r="BV2829" t="s">
        <v>86</v>
      </c>
      <c r="BY2829">
        <v>1200</v>
      </c>
      <c r="CA2829" t="s">
        <v>175</v>
      </c>
      <c r="CC2829" t="s">
        <v>98</v>
      </c>
      <c r="CD2829">
        <v>1459</v>
      </c>
      <c r="CE2829" t="s">
        <v>88</v>
      </c>
      <c r="CF2829" s="3">
        <v>45801</v>
      </c>
      <c r="CI2829">
        <v>1</v>
      </c>
      <c r="CJ2829">
        <v>1</v>
      </c>
      <c r="CK2829">
        <v>22</v>
      </c>
      <c r="CL2829" t="s">
        <v>89</v>
      </c>
    </row>
    <row r="2830" spans="1:90" x14ac:dyDescent="0.3">
      <c r="A2830" t="s">
        <v>72</v>
      </c>
      <c r="B2830" t="s">
        <v>73</v>
      </c>
      <c r="C2830" t="s">
        <v>74</v>
      </c>
      <c r="E2830" t="str">
        <f>"080065509456"</f>
        <v>080065509456</v>
      </c>
      <c r="F2830" s="3">
        <v>45799</v>
      </c>
      <c r="G2830">
        <v>202602</v>
      </c>
      <c r="H2830" t="s">
        <v>75</v>
      </c>
      <c r="I2830" t="s">
        <v>76</v>
      </c>
      <c r="J2830" t="s">
        <v>77</v>
      </c>
      <c r="K2830" t="s">
        <v>78</v>
      </c>
      <c r="L2830" t="s">
        <v>672</v>
      </c>
      <c r="M2830" t="s">
        <v>673</v>
      </c>
      <c r="N2830" t="s">
        <v>674</v>
      </c>
      <c r="O2830" t="s">
        <v>82</v>
      </c>
      <c r="P2830" t="str">
        <f>"4170040069                    "</f>
        <v xml:space="preserve">4170040069                    </v>
      </c>
      <c r="Q2830">
        <v>0</v>
      </c>
      <c r="R2830">
        <v>0</v>
      </c>
      <c r="S2830">
        <v>0</v>
      </c>
      <c r="T2830">
        <v>0</v>
      </c>
      <c r="U2830">
        <v>0</v>
      </c>
      <c r="V2830">
        <v>0</v>
      </c>
      <c r="W2830">
        <v>0</v>
      </c>
      <c r="X2830">
        <v>0</v>
      </c>
      <c r="Y2830">
        <v>0</v>
      </c>
      <c r="Z2830">
        <v>0</v>
      </c>
      <c r="AA2830">
        <v>0</v>
      </c>
      <c r="AB2830">
        <v>0</v>
      </c>
      <c r="AC2830">
        <v>0</v>
      </c>
      <c r="AD2830">
        <v>0</v>
      </c>
      <c r="AE2830">
        <v>0</v>
      </c>
      <c r="AF2830">
        <v>0</v>
      </c>
      <c r="AG2830">
        <v>0</v>
      </c>
      <c r="AH2830">
        <v>0</v>
      </c>
      <c r="AI2830">
        <v>0</v>
      </c>
      <c r="AJ2830">
        <v>0</v>
      </c>
      <c r="AK2830">
        <v>0</v>
      </c>
      <c r="AL2830">
        <v>0</v>
      </c>
      <c r="AM2830">
        <v>0</v>
      </c>
      <c r="AN2830">
        <v>0</v>
      </c>
      <c r="AO2830">
        <v>0</v>
      </c>
      <c r="AP2830">
        <v>0</v>
      </c>
      <c r="AQ2830">
        <v>41.43</v>
      </c>
      <c r="AR2830">
        <v>0</v>
      </c>
      <c r="AS2830">
        <v>0</v>
      </c>
      <c r="AT2830">
        <v>0</v>
      </c>
      <c r="AU2830">
        <v>0</v>
      </c>
      <c r="AV2830">
        <v>0</v>
      </c>
      <c r="AW2830">
        <v>0</v>
      </c>
      <c r="AX2830">
        <v>0</v>
      </c>
      <c r="AY2830">
        <v>0</v>
      </c>
      <c r="AZ2830">
        <v>0</v>
      </c>
      <c r="BA2830">
        <v>0</v>
      </c>
      <c r="BB2830">
        <v>0</v>
      </c>
      <c r="BC2830">
        <v>0</v>
      </c>
      <c r="BD2830">
        <v>0</v>
      </c>
      <c r="BE2830">
        <v>0</v>
      </c>
      <c r="BF2830">
        <v>0</v>
      </c>
      <c r="BG2830">
        <v>0</v>
      </c>
      <c r="BH2830">
        <v>1</v>
      </c>
      <c r="BI2830">
        <v>1</v>
      </c>
      <c r="BJ2830">
        <v>0.2</v>
      </c>
      <c r="BK2830">
        <v>1</v>
      </c>
      <c r="BL2830">
        <v>135.59</v>
      </c>
      <c r="BM2830">
        <v>20.34</v>
      </c>
      <c r="BN2830">
        <v>155.93</v>
      </c>
      <c r="BO2830">
        <v>155.93</v>
      </c>
      <c r="BQ2830" t="s">
        <v>675</v>
      </c>
      <c r="BR2830" t="s">
        <v>84</v>
      </c>
      <c r="BS2830" s="3">
        <v>45800</v>
      </c>
      <c r="BT2830" s="4">
        <v>0.44374999999999998</v>
      </c>
      <c r="BU2830" t="s">
        <v>2900</v>
      </c>
      <c r="BV2830" t="s">
        <v>86</v>
      </c>
      <c r="BY2830">
        <v>1200</v>
      </c>
      <c r="CA2830" t="s">
        <v>2901</v>
      </c>
      <c r="CC2830" t="s">
        <v>673</v>
      </c>
      <c r="CD2830">
        <v>2531</v>
      </c>
      <c r="CE2830" t="s">
        <v>88</v>
      </c>
      <c r="CF2830" s="3">
        <v>45803</v>
      </c>
      <c r="CI2830">
        <v>1</v>
      </c>
      <c r="CJ2830">
        <v>1</v>
      </c>
      <c r="CK2830">
        <v>23</v>
      </c>
      <c r="CL2830" t="s">
        <v>89</v>
      </c>
    </row>
    <row r="2831" spans="1:90" x14ac:dyDescent="0.3">
      <c r="A2831" t="s">
        <v>72</v>
      </c>
      <c r="B2831" t="s">
        <v>73</v>
      </c>
      <c r="C2831" t="s">
        <v>74</v>
      </c>
      <c r="E2831" t="str">
        <f>"080065509479"</f>
        <v>080065509479</v>
      </c>
      <c r="F2831" s="3">
        <v>45799</v>
      </c>
      <c r="G2831">
        <v>202602</v>
      </c>
      <c r="H2831" t="s">
        <v>75</v>
      </c>
      <c r="I2831" t="s">
        <v>76</v>
      </c>
      <c r="J2831" t="s">
        <v>77</v>
      </c>
      <c r="K2831" t="s">
        <v>78</v>
      </c>
      <c r="L2831" t="s">
        <v>103</v>
      </c>
      <c r="M2831" t="s">
        <v>104</v>
      </c>
      <c r="N2831" t="s">
        <v>686</v>
      </c>
      <c r="O2831" t="s">
        <v>82</v>
      </c>
      <c r="P2831" t="str">
        <f>"4170040156                    "</f>
        <v xml:space="preserve">4170040156                    </v>
      </c>
      <c r="Q2831">
        <v>0</v>
      </c>
      <c r="R2831">
        <v>0</v>
      </c>
      <c r="S2831">
        <v>0</v>
      </c>
      <c r="T2831">
        <v>0</v>
      </c>
      <c r="U2831">
        <v>0</v>
      </c>
      <c r="V2831">
        <v>0</v>
      </c>
      <c r="W2831">
        <v>0</v>
      </c>
      <c r="X2831">
        <v>0</v>
      </c>
      <c r="Y2831">
        <v>0</v>
      </c>
      <c r="Z2831">
        <v>0</v>
      </c>
      <c r="AA2831">
        <v>0</v>
      </c>
      <c r="AB2831">
        <v>0</v>
      </c>
      <c r="AC2831">
        <v>0</v>
      </c>
      <c r="AD2831">
        <v>0</v>
      </c>
      <c r="AE2831">
        <v>0</v>
      </c>
      <c r="AF2831">
        <v>0</v>
      </c>
      <c r="AG2831">
        <v>0</v>
      </c>
      <c r="AH2831">
        <v>0</v>
      </c>
      <c r="AI2831">
        <v>0</v>
      </c>
      <c r="AJ2831">
        <v>0</v>
      </c>
      <c r="AK2831">
        <v>0</v>
      </c>
      <c r="AL2831">
        <v>0</v>
      </c>
      <c r="AM2831">
        <v>0</v>
      </c>
      <c r="AN2831">
        <v>0</v>
      </c>
      <c r="AO2831">
        <v>0</v>
      </c>
      <c r="AP2831">
        <v>0</v>
      </c>
      <c r="AQ2831">
        <v>21.38</v>
      </c>
      <c r="AR2831">
        <v>0</v>
      </c>
      <c r="AS2831">
        <v>0</v>
      </c>
      <c r="AT2831">
        <v>0</v>
      </c>
      <c r="AU2831">
        <v>0</v>
      </c>
      <c r="AV2831">
        <v>0</v>
      </c>
      <c r="AW2831">
        <v>0</v>
      </c>
      <c r="AX2831">
        <v>0</v>
      </c>
      <c r="AY2831">
        <v>0</v>
      </c>
      <c r="AZ2831">
        <v>0</v>
      </c>
      <c r="BA2831">
        <v>0</v>
      </c>
      <c r="BB2831">
        <v>0</v>
      </c>
      <c r="BC2831">
        <v>0</v>
      </c>
      <c r="BD2831">
        <v>0</v>
      </c>
      <c r="BE2831">
        <v>0</v>
      </c>
      <c r="BF2831">
        <v>0</v>
      </c>
      <c r="BG2831">
        <v>0</v>
      </c>
      <c r="BH2831">
        <v>1</v>
      </c>
      <c r="BI2831">
        <v>1</v>
      </c>
      <c r="BJ2831">
        <v>0.2</v>
      </c>
      <c r="BK2831">
        <v>1</v>
      </c>
      <c r="BL2831">
        <v>69.98</v>
      </c>
      <c r="BM2831">
        <v>10.5</v>
      </c>
      <c r="BN2831">
        <v>80.48</v>
      </c>
      <c r="BO2831">
        <v>80.48</v>
      </c>
      <c r="BQ2831" t="s">
        <v>687</v>
      </c>
      <c r="BR2831" t="s">
        <v>84</v>
      </c>
      <c r="BS2831" s="3">
        <v>45800</v>
      </c>
      <c r="BT2831" s="4">
        <v>0.39374999999999999</v>
      </c>
      <c r="BU2831" t="s">
        <v>1210</v>
      </c>
      <c r="BV2831" t="s">
        <v>86</v>
      </c>
      <c r="BY2831">
        <v>1200</v>
      </c>
      <c r="CA2831" t="s">
        <v>1169</v>
      </c>
      <c r="CC2831" t="s">
        <v>104</v>
      </c>
      <c r="CD2831">
        <v>3201</v>
      </c>
      <c r="CE2831" t="s">
        <v>88</v>
      </c>
      <c r="CF2831" s="3">
        <v>45801</v>
      </c>
      <c r="CI2831">
        <v>1</v>
      </c>
      <c r="CJ2831">
        <v>1</v>
      </c>
      <c r="CK2831">
        <v>21</v>
      </c>
      <c r="CL2831" t="s">
        <v>89</v>
      </c>
    </row>
    <row r="2832" spans="1:90" x14ac:dyDescent="0.3">
      <c r="A2832" t="s">
        <v>72</v>
      </c>
      <c r="B2832" t="s">
        <v>73</v>
      </c>
      <c r="C2832" t="s">
        <v>74</v>
      </c>
      <c r="E2832" t="str">
        <f>"080065509512"</f>
        <v>080065509512</v>
      </c>
      <c r="F2832" s="3">
        <v>45799</v>
      </c>
      <c r="G2832">
        <v>202602</v>
      </c>
      <c r="H2832" t="s">
        <v>75</v>
      </c>
      <c r="I2832" t="s">
        <v>76</v>
      </c>
      <c r="J2832" t="s">
        <v>77</v>
      </c>
      <c r="K2832" t="s">
        <v>78</v>
      </c>
      <c r="L2832" t="s">
        <v>75</v>
      </c>
      <c r="M2832" t="s">
        <v>76</v>
      </c>
      <c r="N2832" t="s">
        <v>390</v>
      </c>
      <c r="O2832" t="s">
        <v>82</v>
      </c>
      <c r="P2832" t="str">
        <f>"4170040115                    "</f>
        <v xml:space="preserve">4170040115                    </v>
      </c>
      <c r="Q2832">
        <v>0</v>
      </c>
      <c r="R2832">
        <v>0</v>
      </c>
      <c r="S2832">
        <v>0</v>
      </c>
      <c r="T2832">
        <v>0</v>
      </c>
      <c r="U2832">
        <v>0</v>
      </c>
      <c r="V2832">
        <v>0</v>
      </c>
      <c r="W2832">
        <v>0</v>
      </c>
      <c r="X2832">
        <v>0</v>
      </c>
      <c r="Y2832">
        <v>0</v>
      </c>
      <c r="Z2832">
        <v>0</v>
      </c>
      <c r="AA2832">
        <v>0</v>
      </c>
      <c r="AB2832">
        <v>0</v>
      </c>
      <c r="AC2832">
        <v>0</v>
      </c>
      <c r="AD2832">
        <v>0</v>
      </c>
      <c r="AE2832">
        <v>0</v>
      </c>
      <c r="AF2832">
        <v>0</v>
      </c>
      <c r="AG2832">
        <v>0</v>
      </c>
      <c r="AH2832">
        <v>0</v>
      </c>
      <c r="AI2832">
        <v>0</v>
      </c>
      <c r="AJ2832">
        <v>0</v>
      </c>
      <c r="AK2832">
        <v>0</v>
      </c>
      <c r="AL2832">
        <v>0</v>
      </c>
      <c r="AM2832">
        <v>0</v>
      </c>
      <c r="AN2832">
        <v>0</v>
      </c>
      <c r="AO2832">
        <v>0</v>
      </c>
      <c r="AP2832">
        <v>0</v>
      </c>
      <c r="AQ2832">
        <v>16.7</v>
      </c>
      <c r="AR2832">
        <v>0</v>
      </c>
      <c r="AS2832">
        <v>0</v>
      </c>
      <c r="AT2832">
        <v>0</v>
      </c>
      <c r="AU2832">
        <v>0</v>
      </c>
      <c r="AV2832">
        <v>0</v>
      </c>
      <c r="AW2832">
        <v>0</v>
      </c>
      <c r="AX2832">
        <v>0</v>
      </c>
      <c r="AY2832">
        <v>0</v>
      </c>
      <c r="AZ2832">
        <v>0</v>
      </c>
      <c r="BA2832">
        <v>0</v>
      </c>
      <c r="BB2832">
        <v>0</v>
      </c>
      <c r="BC2832">
        <v>0</v>
      </c>
      <c r="BD2832">
        <v>0</v>
      </c>
      <c r="BE2832">
        <v>0</v>
      </c>
      <c r="BF2832">
        <v>0</v>
      </c>
      <c r="BG2832">
        <v>0</v>
      </c>
      <c r="BH2832">
        <v>1</v>
      </c>
      <c r="BI2832">
        <v>1</v>
      </c>
      <c r="BJ2832">
        <v>0.2</v>
      </c>
      <c r="BK2832">
        <v>1</v>
      </c>
      <c r="BL2832">
        <v>54.66</v>
      </c>
      <c r="BM2832">
        <v>8.1999999999999993</v>
      </c>
      <c r="BN2832">
        <v>62.86</v>
      </c>
      <c r="BO2832">
        <v>62.86</v>
      </c>
      <c r="BQ2832" t="s">
        <v>391</v>
      </c>
      <c r="BR2832" t="s">
        <v>84</v>
      </c>
      <c r="BS2832" s="3">
        <v>45800</v>
      </c>
      <c r="BT2832" s="4">
        <v>0.37222222222222223</v>
      </c>
      <c r="BU2832" t="s">
        <v>2908</v>
      </c>
      <c r="BV2832" t="s">
        <v>86</v>
      </c>
      <c r="BY2832">
        <v>1200</v>
      </c>
      <c r="CA2832" t="s">
        <v>1450</v>
      </c>
      <c r="CC2832" t="s">
        <v>76</v>
      </c>
      <c r="CD2832">
        <v>1600</v>
      </c>
      <c r="CE2832" t="s">
        <v>88</v>
      </c>
      <c r="CF2832" s="3">
        <v>45800</v>
      </c>
      <c r="CI2832">
        <v>1</v>
      </c>
      <c r="CJ2832">
        <v>1</v>
      </c>
      <c r="CK2832">
        <v>22</v>
      </c>
      <c r="CL2832" t="s">
        <v>89</v>
      </c>
    </row>
    <row r="2833" spans="1:90" x14ac:dyDescent="0.3">
      <c r="A2833" t="s">
        <v>72</v>
      </c>
      <c r="B2833" t="s">
        <v>73</v>
      </c>
      <c r="C2833" t="s">
        <v>74</v>
      </c>
      <c r="E2833" t="str">
        <f>"080065509546"</f>
        <v>080065509546</v>
      </c>
      <c r="F2833" s="3">
        <v>45799</v>
      </c>
      <c r="G2833">
        <v>202602</v>
      </c>
      <c r="H2833" t="s">
        <v>75</v>
      </c>
      <c r="I2833" t="s">
        <v>76</v>
      </c>
      <c r="J2833" t="s">
        <v>77</v>
      </c>
      <c r="K2833" t="s">
        <v>78</v>
      </c>
      <c r="L2833" t="s">
        <v>75</v>
      </c>
      <c r="M2833" t="s">
        <v>76</v>
      </c>
      <c r="N2833" t="s">
        <v>346</v>
      </c>
      <c r="O2833" t="s">
        <v>300</v>
      </c>
      <c r="P2833" t="str">
        <f>"4170040049                    "</f>
        <v xml:space="preserve">4170040049                    </v>
      </c>
      <c r="Q2833">
        <v>0</v>
      </c>
      <c r="R2833">
        <v>0</v>
      </c>
      <c r="S2833">
        <v>0</v>
      </c>
      <c r="T2833">
        <v>0</v>
      </c>
      <c r="U2833">
        <v>0</v>
      </c>
      <c r="V2833">
        <v>0</v>
      </c>
      <c r="W2833">
        <v>0</v>
      </c>
      <c r="X2833">
        <v>0</v>
      </c>
      <c r="Y2833">
        <v>0</v>
      </c>
      <c r="Z2833">
        <v>0</v>
      </c>
      <c r="AA2833">
        <v>0</v>
      </c>
      <c r="AB2833">
        <v>0</v>
      </c>
      <c r="AC2833">
        <v>0</v>
      </c>
      <c r="AD2833">
        <v>0</v>
      </c>
      <c r="AE2833">
        <v>0</v>
      </c>
      <c r="AF2833">
        <v>0</v>
      </c>
      <c r="AG2833">
        <v>0</v>
      </c>
      <c r="AH2833">
        <v>0</v>
      </c>
      <c r="AI2833">
        <v>0</v>
      </c>
      <c r="AJ2833">
        <v>0</v>
      </c>
      <c r="AK2833">
        <v>0</v>
      </c>
      <c r="AL2833">
        <v>0</v>
      </c>
      <c r="AM2833">
        <v>0</v>
      </c>
      <c r="AN2833">
        <v>0</v>
      </c>
      <c r="AO2833">
        <v>0</v>
      </c>
      <c r="AP2833">
        <v>0</v>
      </c>
      <c r="AQ2833">
        <v>59.89</v>
      </c>
      <c r="AR2833">
        <v>0</v>
      </c>
      <c r="AS2833">
        <v>0</v>
      </c>
      <c r="AT2833">
        <v>0</v>
      </c>
      <c r="AU2833">
        <v>0</v>
      </c>
      <c r="AV2833">
        <v>0</v>
      </c>
      <c r="AW2833">
        <v>0</v>
      </c>
      <c r="AX2833">
        <v>0</v>
      </c>
      <c r="AY2833">
        <v>0</v>
      </c>
      <c r="AZ2833">
        <v>0</v>
      </c>
      <c r="BA2833">
        <v>0</v>
      </c>
      <c r="BB2833">
        <v>0</v>
      </c>
      <c r="BC2833">
        <v>0</v>
      </c>
      <c r="BD2833">
        <v>0</v>
      </c>
      <c r="BE2833">
        <v>0</v>
      </c>
      <c r="BF2833">
        <v>0</v>
      </c>
      <c r="BG2833">
        <v>0</v>
      </c>
      <c r="BH2833">
        <v>3</v>
      </c>
      <c r="BI2833">
        <v>45</v>
      </c>
      <c r="BJ2833">
        <v>10.199999999999999</v>
      </c>
      <c r="BK2833">
        <v>45</v>
      </c>
      <c r="BL2833">
        <v>201.58</v>
      </c>
      <c r="BM2833">
        <v>30.24</v>
      </c>
      <c r="BN2833">
        <v>231.82</v>
      </c>
      <c r="BO2833">
        <v>231.82</v>
      </c>
      <c r="BQ2833" t="s">
        <v>347</v>
      </c>
      <c r="BR2833" t="s">
        <v>84</v>
      </c>
      <c r="BS2833" s="3">
        <v>45800</v>
      </c>
      <c r="BT2833" s="4">
        <v>0.37777777777777777</v>
      </c>
      <c r="BU2833" t="s">
        <v>407</v>
      </c>
      <c r="BV2833" t="s">
        <v>86</v>
      </c>
      <c r="BY2833">
        <v>16965</v>
      </c>
      <c r="CA2833" t="s">
        <v>349</v>
      </c>
      <c r="CC2833" t="s">
        <v>76</v>
      </c>
      <c r="CD2833">
        <v>1619</v>
      </c>
      <c r="CE2833" t="s">
        <v>1494</v>
      </c>
      <c r="CF2833" s="3">
        <v>45800</v>
      </c>
      <c r="CI2833">
        <v>1</v>
      </c>
      <c r="CJ2833">
        <v>1</v>
      </c>
      <c r="CK2833">
        <v>42</v>
      </c>
      <c r="CL2833" t="s">
        <v>89</v>
      </c>
    </row>
    <row r="2834" spans="1:90" x14ac:dyDescent="0.3">
      <c r="A2834" t="s">
        <v>72</v>
      </c>
      <c r="B2834" t="s">
        <v>73</v>
      </c>
      <c r="C2834" t="s">
        <v>74</v>
      </c>
      <c r="E2834" t="str">
        <f>"080065509728"</f>
        <v>080065509728</v>
      </c>
      <c r="F2834" s="3">
        <v>45799</v>
      </c>
      <c r="G2834">
        <v>202602</v>
      </c>
      <c r="H2834" t="s">
        <v>75</v>
      </c>
      <c r="I2834" t="s">
        <v>76</v>
      </c>
      <c r="J2834" t="s">
        <v>77</v>
      </c>
      <c r="K2834" t="s">
        <v>78</v>
      </c>
      <c r="L2834" t="s">
        <v>266</v>
      </c>
      <c r="M2834" t="s">
        <v>267</v>
      </c>
      <c r="N2834" t="s">
        <v>663</v>
      </c>
      <c r="O2834" t="s">
        <v>82</v>
      </c>
      <c r="P2834" t="str">
        <f>"4170040014                    "</f>
        <v xml:space="preserve">4170040014                    </v>
      </c>
      <c r="Q2834">
        <v>0</v>
      </c>
      <c r="R2834">
        <v>0</v>
      </c>
      <c r="S2834">
        <v>0</v>
      </c>
      <c r="T2834">
        <v>0</v>
      </c>
      <c r="U2834">
        <v>0</v>
      </c>
      <c r="V2834">
        <v>0</v>
      </c>
      <c r="W2834">
        <v>0</v>
      </c>
      <c r="X2834">
        <v>0</v>
      </c>
      <c r="Y2834">
        <v>0</v>
      </c>
      <c r="Z2834">
        <v>0</v>
      </c>
      <c r="AA2834">
        <v>0</v>
      </c>
      <c r="AB2834">
        <v>0</v>
      </c>
      <c r="AC2834">
        <v>0</v>
      </c>
      <c r="AD2834">
        <v>0</v>
      </c>
      <c r="AE2834">
        <v>0</v>
      </c>
      <c r="AF2834">
        <v>0</v>
      </c>
      <c r="AG2834">
        <v>0</v>
      </c>
      <c r="AH2834">
        <v>0</v>
      </c>
      <c r="AI2834">
        <v>0</v>
      </c>
      <c r="AJ2834">
        <v>0</v>
      </c>
      <c r="AK2834">
        <v>0</v>
      </c>
      <c r="AL2834">
        <v>0</v>
      </c>
      <c r="AM2834">
        <v>0</v>
      </c>
      <c r="AN2834">
        <v>0</v>
      </c>
      <c r="AO2834">
        <v>0</v>
      </c>
      <c r="AP2834">
        <v>0</v>
      </c>
      <c r="AQ2834">
        <v>69.459999999999994</v>
      </c>
      <c r="AR2834">
        <v>0</v>
      </c>
      <c r="AS2834">
        <v>0</v>
      </c>
      <c r="AT2834">
        <v>0</v>
      </c>
      <c r="AU2834">
        <v>0</v>
      </c>
      <c r="AV2834">
        <v>0</v>
      </c>
      <c r="AW2834">
        <v>0</v>
      </c>
      <c r="AX2834">
        <v>0</v>
      </c>
      <c r="AY2834">
        <v>0</v>
      </c>
      <c r="AZ2834">
        <v>0</v>
      </c>
      <c r="BA2834">
        <v>0</v>
      </c>
      <c r="BB2834">
        <v>0</v>
      </c>
      <c r="BC2834">
        <v>0</v>
      </c>
      <c r="BD2834">
        <v>0</v>
      </c>
      <c r="BE2834">
        <v>0</v>
      </c>
      <c r="BF2834">
        <v>0</v>
      </c>
      <c r="BG2834">
        <v>0</v>
      </c>
      <c r="BH2834">
        <v>2</v>
      </c>
      <c r="BI2834">
        <v>5</v>
      </c>
      <c r="BJ2834">
        <v>6.2</v>
      </c>
      <c r="BK2834">
        <v>6.5</v>
      </c>
      <c r="BL2834">
        <v>227.32</v>
      </c>
      <c r="BM2834">
        <v>34.1</v>
      </c>
      <c r="BN2834">
        <v>261.42</v>
      </c>
      <c r="BO2834">
        <v>261.42</v>
      </c>
      <c r="BQ2834" t="s">
        <v>664</v>
      </c>
      <c r="BR2834" t="s">
        <v>84</v>
      </c>
      <c r="BS2834" s="3">
        <v>45800</v>
      </c>
      <c r="BT2834" s="4">
        <v>0.43055555555555558</v>
      </c>
      <c r="BU2834" t="s">
        <v>2909</v>
      </c>
      <c r="BV2834" t="s">
        <v>86</v>
      </c>
      <c r="BY2834">
        <v>31170</v>
      </c>
      <c r="CA2834" t="s">
        <v>271</v>
      </c>
      <c r="CC2834" t="s">
        <v>267</v>
      </c>
      <c r="CD2834">
        <v>6220</v>
      </c>
      <c r="CE2834" t="s">
        <v>96</v>
      </c>
      <c r="CF2834" s="3">
        <v>45800</v>
      </c>
      <c r="CI2834">
        <v>1</v>
      </c>
      <c r="CJ2834">
        <v>1</v>
      </c>
      <c r="CK2834">
        <v>21</v>
      </c>
      <c r="CL2834" t="s">
        <v>89</v>
      </c>
    </row>
    <row r="2835" spans="1:90" x14ac:dyDescent="0.3">
      <c r="A2835" t="s">
        <v>72</v>
      </c>
      <c r="B2835" t="s">
        <v>73</v>
      </c>
      <c r="C2835" t="s">
        <v>74</v>
      </c>
      <c r="E2835" t="str">
        <f>"080065509756"</f>
        <v>080065509756</v>
      </c>
      <c r="F2835" s="3">
        <v>45799</v>
      </c>
      <c r="G2835">
        <v>202602</v>
      </c>
      <c r="H2835" t="s">
        <v>75</v>
      </c>
      <c r="I2835" t="s">
        <v>76</v>
      </c>
      <c r="J2835" t="s">
        <v>77</v>
      </c>
      <c r="K2835" t="s">
        <v>78</v>
      </c>
      <c r="L2835" t="s">
        <v>130</v>
      </c>
      <c r="M2835" t="s">
        <v>131</v>
      </c>
      <c r="N2835" t="s">
        <v>343</v>
      </c>
      <c r="O2835" t="s">
        <v>82</v>
      </c>
      <c r="P2835" t="str">
        <f>"4170040171                    "</f>
        <v xml:space="preserve">4170040171                    </v>
      </c>
      <c r="Q2835">
        <v>0</v>
      </c>
      <c r="R2835">
        <v>0</v>
      </c>
      <c r="S2835">
        <v>0</v>
      </c>
      <c r="T2835">
        <v>0</v>
      </c>
      <c r="U2835">
        <v>0</v>
      </c>
      <c r="V2835">
        <v>0</v>
      </c>
      <c r="W2835">
        <v>0</v>
      </c>
      <c r="X2835">
        <v>0</v>
      </c>
      <c r="Y2835">
        <v>0</v>
      </c>
      <c r="Z2835">
        <v>0</v>
      </c>
      <c r="AA2835">
        <v>0</v>
      </c>
      <c r="AB2835">
        <v>0</v>
      </c>
      <c r="AC2835">
        <v>0</v>
      </c>
      <c r="AD2835">
        <v>0</v>
      </c>
      <c r="AE2835">
        <v>0</v>
      </c>
      <c r="AF2835">
        <v>0</v>
      </c>
      <c r="AG2835">
        <v>0</v>
      </c>
      <c r="AH2835">
        <v>0</v>
      </c>
      <c r="AI2835">
        <v>0</v>
      </c>
      <c r="AJ2835">
        <v>0</v>
      </c>
      <c r="AK2835">
        <v>0</v>
      </c>
      <c r="AL2835">
        <v>0</v>
      </c>
      <c r="AM2835">
        <v>0</v>
      </c>
      <c r="AN2835">
        <v>0</v>
      </c>
      <c r="AO2835">
        <v>0</v>
      </c>
      <c r="AP2835">
        <v>0</v>
      </c>
      <c r="AQ2835">
        <v>21.38</v>
      </c>
      <c r="AR2835">
        <v>0</v>
      </c>
      <c r="AS2835">
        <v>0</v>
      </c>
      <c r="AT2835">
        <v>0</v>
      </c>
      <c r="AU2835">
        <v>0</v>
      </c>
      <c r="AV2835">
        <v>0</v>
      </c>
      <c r="AW2835">
        <v>0</v>
      </c>
      <c r="AX2835">
        <v>0</v>
      </c>
      <c r="AY2835">
        <v>0</v>
      </c>
      <c r="AZ2835">
        <v>0</v>
      </c>
      <c r="BA2835">
        <v>0</v>
      </c>
      <c r="BB2835">
        <v>0</v>
      </c>
      <c r="BC2835">
        <v>0</v>
      </c>
      <c r="BD2835">
        <v>0</v>
      </c>
      <c r="BE2835">
        <v>0</v>
      </c>
      <c r="BF2835">
        <v>0</v>
      </c>
      <c r="BG2835">
        <v>0</v>
      </c>
      <c r="BH2835">
        <v>1</v>
      </c>
      <c r="BI2835">
        <v>1</v>
      </c>
      <c r="BJ2835">
        <v>0.6</v>
      </c>
      <c r="BK2835">
        <v>1</v>
      </c>
      <c r="BL2835">
        <v>69.98</v>
      </c>
      <c r="BM2835">
        <v>10.5</v>
      </c>
      <c r="BN2835">
        <v>80.48</v>
      </c>
      <c r="BO2835">
        <v>80.48</v>
      </c>
      <c r="BQ2835" t="s">
        <v>344</v>
      </c>
      <c r="BR2835" t="s">
        <v>84</v>
      </c>
      <c r="BS2835" s="3">
        <v>45800</v>
      </c>
      <c r="BT2835" s="4">
        <v>0.40069444444444446</v>
      </c>
      <c r="BU2835" t="s">
        <v>1338</v>
      </c>
      <c r="BV2835" t="s">
        <v>86</v>
      </c>
      <c r="BY2835">
        <v>3192</v>
      </c>
      <c r="CA2835" t="s">
        <v>242</v>
      </c>
      <c r="CC2835" t="s">
        <v>131</v>
      </c>
      <c r="CD2835">
        <v>7441</v>
      </c>
      <c r="CE2835" t="s">
        <v>116</v>
      </c>
      <c r="CF2835" s="3">
        <v>45803</v>
      </c>
      <c r="CI2835">
        <v>1</v>
      </c>
      <c r="CJ2835">
        <v>1</v>
      </c>
      <c r="CK2835">
        <v>21</v>
      </c>
      <c r="CL2835" t="s">
        <v>89</v>
      </c>
    </row>
    <row r="2836" spans="1:90" x14ac:dyDescent="0.3">
      <c r="A2836" t="s">
        <v>72</v>
      </c>
      <c r="B2836" t="s">
        <v>73</v>
      </c>
      <c r="C2836" t="s">
        <v>74</v>
      </c>
      <c r="E2836" t="str">
        <f>"080065509784"</f>
        <v>080065509784</v>
      </c>
      <c r="F2836" s="3">
        <v>45799</v>
      </c>
      <c r="G2836">
        <v>202602</v>
      </c>
      <c r="H2836" t="s">
        <v>75</v>
      </c>
      <c r="I2836" t="s">
        <v>76</v>
      </c>
      <c r="J2836" t="s">
        <v>77</v>
      </c>
      <c r="K2836" t="s">
        <v>78</v>
      </c>
      <c r="L2836" t="s">
        <v>463</v>
      </c>
      <c r="M2836" t="s">
        <v>464</v>
      </c>
      <c r="N2836" t="s">
        <v>585</v>
      </c>
      <c r="O2836" t="s">
        <v>82</v>
      </c>
      <c r="P2836" t="str">
        <f>"4170040145                    "</f>
        <v xml:space="preserve">4170040145                    </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c r="AK2836">
        <v>0</v>
      </c>
      <c r="AL2836">
        <v>0</v>
      </c>
      <c r="AM2836">
        <v>0</v>
      </c>
      <c r="AN2836">
        <v>0</v>
      </c>
      <c r="AO2836">
        <v>0</v>
      </c>
      <c r="AP2836">
        <v>0</v>
      </c>
      <c r="AQ2836">
        <v>21.38</v>
      </c>
      <c r="AR2836">
        <v>0</v>
      </c>
      <c r="AS2836">
        <v>0</v>
      </c>
      <c r="AT2836">
        <v>0</v>
      </c>
      <c r="AU2836">
        <v>0</v>
      </c>
      <c r="AV2836">
        <v>0</v>
      </c>
      <c r="AW2836">
        <v>0</v>
      </c>
      <c r="AX2836">
        <v>0</v>
      </c>
      <c r="AY2836">
        <v>0</v>
      </c>
      <c r="AZ2836">
        <v>0</v>
      </c>
      <c r="BA2836">
        <v>0</v>
      </c>
      <c r="BB2836">
        <v>0</v>
      </c>
      <c r="BC2836">
        <v>0</v>
      </c>
      <c r="BD2836">
        <v>0</v>
      </c>
      <c r="BE2836">
        <v>0</v>
      </c>
      <c r="BF2836">
        <v>0</v>
      </c>
      <c r="BG2836">
        <v>0</v>
      </c>
      <c r="BH2836">
        <v>1</v>
      </c>
      <c r="BI2836">
        <v>1</v>
      </c>
      <c r="BJ2836">
        <v>0.2</v>
      </c>
      <c r="BK2836">
        <v>1</v>
      </c>
      <c r="BL2836">
        <v>69.98</v>
      </c>
      <c r="BM2836">
        <v>10.5</v>
      </c>
      <c r="BN2836">
        <v>80.48</v>
      </c>
      <c r="BO2836">
        <v>80.48</v>
      </c>
      <c r="BQ2836" t="s">
        <v>586</v>
      </c>
      <c r="BR2836" t="s">
        <v>84</v>
      </c>
      <c r="BS2836" s="3">
        <v>45800</v>
      </c>
      <c r="BT2836" s="4">
        <v>0.51736111111111116</v>
      </c>
      <c r="BU2836" t="s">
        <v>587</v>
      </c>
      <c r="BV2836" t="s">
        <v>89</v>
      </c>
      <c r="BY2836">
        <v>1200</v>
      </c>
      <c r="CA2836" t="s">
        <v>588</v>
      </c>
      <c r="CC2836" t="s">
        <v>464</v>
      </c>
      <c r="CD2836">
        <v>5201</v>
      </c>
      <c r="CE2836" t="s">
        <v>88</v>
      </c>
      <c r="CF2836" s="3">
        <v>45800</v>
      </c>
      <c r="CI2836">
        <v>1</v>
      </c>
      <c r="CJ2836">
        <v>1</v>
      </c>
      <c r="CK2836">
        <v>21</v>
      </c>
      <c r="CL2836" t="s">
        <v>89</v>
      </c>
    </row>
    <row r="2837" spans="1:90" x14ac:dyDescent="0.3">
      <c r="A2837" t="s">
        <v>72</v>
      </c>
      <c r="B2837" t="s">
        <v>73</v>
      </c>
      <c r="C2837" t="s">
        <v>74</v>
      </c>
      <c r="E2837" t="str">
        <f>"080065509826"</f>
        <v>080065509826</v>
      </c>
      <c r="F2837" s="3">
        <v>45799</v>
      </c>
      <c r="G2837">
        <v>202602</v>
      </c>
      <c r="H2837" t="s">
        <v>75</v>
      </c>
      <c r="I2837" t="s">
        <v>76</v>
      </c>
      <c r="J2837" t="s">
        <v>77</v>
      </c>
      <c r="K2837" t="s">
        <v>78</v>
      </c>
      <c r="L2837" t="s">
        <v>90</v>
      </c>
      <c r="M2837" t="s">
        <v>91</v>
      </c>
      <c r="N2837" t="s">
        <v>914</v>
      </c>
      <c r="O2837" t="s">
        <v>82</v>
      </c>
      <c r="P2837" t="str">
        <f>"4170040151                    "</f>
        <v xml:space="preserve">4170040151                    </v>
      </c>
      <c r="Q2837">
        <v>0</v>
      </c>
      <c r="R2837">
        <v>0</v>
      </c>
      <c r="S2837">
        <v>0</v>
      </c>
      <c r="T2837">
        <v>0</v>
      </c>
      <c r="U2837">
        <v>0</v>
      </c>
      <c r="V2837">
        <v>0</v>
      </c>
      <c r="W2837">
        <v>0</v>
      </c>
      <c r="X2837">
        <v>0</v>
      </c>
      <c r="Y2837">
        <v>0</v>
      </c>
      <c r="Z2837">
        <v>0</v>
      </c>
      <c r="AA2837">
        <v>0</v>
      </c>
      <c r="AB2837">
        <v>0</v>
      </c>
      <c r="AC2837">
        <v>0</v>
      </c>
      <c r="AD2837">
        <v>0</v>
      </c>
      <c r="AE2837">
        <v>0</v>
      </c>
      <c r="AF2837">
        <v>0</v>
      </c>
      <c r="AG2837">
        <v>0</v>
      </c>
      <c r="AH2837">
        <v>0</v>
      </c>
      <c r="AI2837">
        <v>0</v>
      </c>
      <c r="AJ2837">
        <v>0</v>
      </c>
      <c r="AK2837">
        <v>0</v>
      </c>
      <c r="AL2837">
        <v>0</v>
      </c>
      <c r="AM2837">
        <v>0</v>
      </c>
      <c r="AN2837">
        <v>0</v>
      </c>
      <c r="AO2837">
        <v>0</v>
      </c>
      <c r="AP2837">
        <v>0</v>
      </c>
      <c r="AQ2837">
        <v>21.38</v>
      </c>
      <c r="AR2837">
        <v>0</v>
      </c>
      <c r="AS2837">
        <v>0</v>
      </c>
      <c r="AT2837">
        <v>0</v>
      </c>
      <c r="AU2837">
        <v>0</v>
      </c>
      <c r="AV2837">
        <v>0</v>
      </c>
      <c r="AW2837">
        <v>0</v>
      </c>
      <c r="AX2837">
        <v>0</v>
      </c>
      <c r="AY2837">
        <v>0</v>
      </c>
      <c r="AZ2837">
        <v>0</v>
      </c>
      <c r="BA2837">
        <v>0</v>
      </c>
      <c r="BB2837">
        <v>0</v>
      </c>
      <c r="BC2837">
        <v>0</v>
      </c>
      <c r="BD2837">
        <v>0</v>
      </c>
      <c r="BE2837">
        <v>0</v>
      </c>
      <c r="BF2837">
        <v>0</v>
      </c>
      <c r="BG2837">
        <v>0</v>
      </c>
      <c r="BH2837">
        <v>1</v>
      </c>
      <c r="BI2837">
        <v>1</v>
      </c>
      <c r="BJ2837">
        <v>0.2</v>
      </c>
      <c r="BK2837">
        <v>1</v>
      </c>
      <c r="BL2837">
        <v>69.98</v>
      </c>
      <c r="BM2837">
        <v>10.5</v>
      </c>
      <c r="BN2837">
        <v>80.48</v>
      </c>
      <c r="BO2837">
        <v>80.48</v>
      </c>
      <c r="BQ2837" t="s">
        <v>915</v>
      </c>
      <c r="BR2837" t="s">
        <v>84</v>
      </c>
      <c r="BS2837" s="3">
        <v>45800</v>
      </c>
      <c r="BT2837" s="4">
        <v>0.41041666666666665</v>
      </c>
      <c r="BU2837" t="s">
        <v>1926</v>
      </c>
      <c r="BV2837" t="s">
        <v>86</v>
      </c>
      <c r="BY2837">
        <v>1200</v>
      </c>
      <c r="CA2837" t="s">
        <v>95</v>
      </c>
      <c r="CC2837" t="s">
        <v>91</v>
      </c>
      <c r="CD2837">
        <v>6001</v>
      </c>
      <c r="CE2837" t="s">
        <v>88</v>
      </c>
      <c r="CF2837" s="3">
        <v>45800</v>
      </c>
      <c r="CI2837">
        <v>1</v>
      </c>
      <c r="CJ2837">
        <v>1</v>
      </c>
      <c r="CK2837">
        <v>21</v>
      </c>
      <c r="CL2837" t="s">
        <v>89</v>
      </c>
    </row>
    <row r="2838" spans="1:90" x14ac:dyDescent="0.3">
      <c r="A2838" t="s">
        <v>72</v>
      </c>
      <c r="B2838" t="s">
        <v>73</v>
      </c>
      <c r="C2838" t="s">
        <v>74</v>
      </c>
      <c r="E2838" t="str">
        <f>"080065509871"</f>
        <v>080065509871</v>
      </c>
      <c r="F2838" s="3">
        <v>45799</v>
      </c>
      <c r="G2838">
        <v>202602</v>
      </c>
      <c r="H2838" t="s">
        <v>75</v>
      </c>
      <c r="I2838" t="s">
        <v>76</v>
      </c>
      <c r="J2838" t="s">
        <v>77</v>
      </c>
      <c r="K2838" t="s">
        <v>78</v>
      </c>
      <c r="L2838" t="s">
        <v>463</v>
      </c>
      <c r="M2838" t="s">
        <v>464</v>
      </c>
      <c r="N2838" t="s">
        <v>744</v>
      </c>
      <c r="O2838" t="s">
        <v>82</v>
      </c>
      <c r="P2838" t="str">
        <f>"4170040059                    "</f>
        <v xml:space="preserve">4170040059                    </v>
      </c>
      <c r="Q2838">
        <v>0</v>
      </c>
      <c r="R2838">
        <v>0</v>
      </c>
      <c r="S2838">
        <v>0</v>
      </c>
      <c r="T2838">
        <v>0</v>
      </c>
      <c r="U2838">
        <v>0</v>
      </c>
      <c r="V2838">
        <v>0</v>
      </c>
      <c r="W2838">
        <v>0</v>
      </c>
      <c r="X2838">
        <v>0</v>
      </c>
      <c r="Y2838">
        <v>0</v>
      </c>
      <c r="Z2838">
        <v>0</v>
      </c>
      <c r="AA2838">
        <v>0</v>
      </c>
      <c r="AB2838">
        <v>0</v>
      </c>
      <c r="AC2838">
        <v>0</v>
      </c>
      <c r="AD2838">
        <v>0</v>
      </c>
      <c r="AE2838">
        <v>0</v>
      </c>
      <c r="AF2838">
        <v>0</v>
      </c>
      <c r="AG2838">
        <v>0</v>
      </c>
      <c r="AH2838">
        <v>0</v>
      </c>
      <c r="AI2838">
        <v>0</v>
      </c>
      <c r="AJ2838">
        <v>0</v>
      </c>
      <c r="AK2838">
        <v>0</v>
      </c>
      <c r="AL2838">
        <v>0</v>
      </c>
      <c r="AM2838">
        <v>0</v>
      </c>
      <c r="AN2838">
        <v>0</v>
      </c>
      <c r="AO2838">
        <v>0</v>
      </c>
      <c r="AP2838">
        <v>0</v>
      </c>
      <c r="AQ2838">
        <v>21.38</v>
      </c>
      <c r="AR2838">
        <v>0</v>
      </c>
      <c r="AS2838">
        <v>0</v>
      </c>
      <c r="AT2838">
        <v>0</v>
      </c>
      <c r="AU2838">
        <v>0</v>
      </c>
      <c r="AV2838">
        <v>0</v>
      </c>
      <c r="AW2838">
        <v>0</v>
      </c>
      <c r="AX2838">
        <v>0</v>
      </c>
      <c r="AY2838">
        <v>0</v>
      </c>
      <c r="AZ2838">
        <v>0</v>
      </c>
      <c r="BA2838">
        <v>0</v>
      </c>
      <c r="BB2838">
        <v>0</v>
      </c>
      <c r="BC2838">
        <v>0</v>
      </c>
      <c r="BD2838">
        <v>0</v>
      </c>
      <c r="BE2838">
        <v>0</v>
      </c>
      <c r="BF2838">
        <v>0</v>
      </c>
      <c r="BG2838">
        <v>0</v>
      </c>
      <c r="BH2838">
        <v>1</v>
      </c>
      <c r="BI2838">
        <v>1</v>
      </c>
      <c r="BJ2838">
        <v>0.2</v>
      </c>
      <c r="BK2838">
        <v>1</v>
      </c>
      <c r="BL2838">
        <v>69.98</v>
      </c>
      <c r="BM2838">
        <v>10.5</v>
      </c>
      <c r="BN2838">
        <v>80.48</v>
      </c>
      <c r="BO2838">
        <v>80.48</v>
      </c>
      <c r="BQ2838" t="s">
        <v>745</v>
      </c>
      <c r="BR2838" t="s">
        <v>84</v>
      </c>
      <c r="BS2838" s="3">
        <v>45800</v>
      </c>
      <c r="BT2838" s="4">
        <v>0.57222222222222219</v>
      </c>
      <c r="BU2838" t="s">
        <v>2910</v>
      </c>
      <c r="BV2838" t="s">
        <v>89</v>
      </c>
      <c r="BY2838">
        <v>1200</v>
      </c>
      <c r="CA2838" t="s">
        <v>588</v>
      </c>
      <c r="CC2838" t="s">
        <v>464</v>
      </c>
      <c r="CD2838">
        <v>5201</v>
      </c>
      <c r="CE2838" t="s">
        <v>88</v>
      </c>
      <c r="CF2838" s="3">
        <v>45800</v>
      </c>
      <c r="CI2838">
        <v>1</v>
      </c>
      <c r="CJ2838">
        <v>1</v>
      </c>
      <c r="CK2838">
        <v>21</v>
      </c>
      <c r="CL2838" t="s">
        <v>89</v>
      </c>
    </row>
    <row r="2839" spans="1:90" x14ac:dyDescent="0.3">
      <c r="A2839" t="s">
        <v>72</v>
      </c>
      <c r="B2839" t="s">
        <v>73</v>
      </c>
      <c r="C2839" t="s">
        <v>74</v>
      </c>
      <c r="E2839" t="str">
        <f>"080065509991"</f>
        <v>080065509991</v>
      </c>
      <c r="F2839" s="3">
        <v>45799</v>
      </c>
      <c r="G2839">
        <v>202602</v>
      </c>
      <c r="H2839" t="s">
        <v>75</v>
      </c>
      <c r="I2839" t="s">
        <v>76</v>
      </c>
      <c r="J2839" t="s">
        <v>77</v>
      </c>
      <c r="K2839" t="s">
        <v>78</v>
      </c>
      <c r="L2839" t="s">
        <v>136</v>
      </c>
      <c r="M2839" t="s">
        <v>137</v>
      </c>
      <c r="N2839" t="s">
        <v>735</v>
      </c>
      <c r="O2839" t="s">
        <v>82</v>
      </c>
      <c r="P2839" t="str">
        <f>"4170040026                    "</f>
        <v xml:space="preserve">4170040026                    </v>
      </c>
      <c r="Q2839">
        <v>0</v>
      </c>
      <c r="R2839">
        <v>0</v>
      </c>
      <c r="S2839">
        <v>0</v>
      </c>
      <c r="T2839">
        <v>0</v>
      </c>
      <c r="U2839">
        <v>0</v>
      </c>
      <c r="V2839">
        <v>0</v>
      </c>
      <c r="W2839">
        <v>0</v>
      </c>
      <c r="X2839">
        <v>0</v>
      </c>
      <c r="Y2839">
        <v>0</v>
      </c>
      <c r="Z2839">
        <v>0</v>
      </c>
      <c r="AA2839">
        <v>0</v>
      </c>
      <c r="AB2839">
        <v>0</v>
      </c>
      <c r="AC2839">
        <v>0</v>
      </c>
      <c r="AD2839">
        <v>0</v>
      </c>
      <c r="AE2839">
        <v>0</v>
      </c>
      <c r="AF2839">
        <v>0</v>
      </c>
      <c r="AG2839">
        <v>0</v>
      </c>
      <c r="AH2839">
        <v>0</v>
      </c>
      <c r="AI2839">
        <v>0</v>
      </c>
      <c r="AJ2839">
        <v>0</v>
      </c>
      <c r="AK2839">
        <v>0</v>
      </c>
      <c r="AL2839">
        <v>0</v>
      </c>
      <c r="AM2839">
        <v>0</v>
      </c>
      <c r="AN2839">
        <v>0</v>
      </c>
      <c r="AO2839">
        <v>0</v>
      </c>
      <c r="AP2839">
        <v>0</v>
      </c>
      <c r="AQ2839">
        <v>21.38</v>
      </c>
      <c r="AR2839">
        <v>0</v>
      </c>
      <c r="AS2839">
        <v>0</v>
      </c>
      <c r="AT2839">
        <v>0</v>
      </c>
      <c r="AU2839">
        <v>0</v>
      </c>
      <c r="AV2839">
        <v>0</v>
      </c>
      <c r="AW2839">
        <v>0</v>
      </c>
      <c r="AX2839">
        <v>0</v>
      </c>
      <c r="AY2839">
        <v>0</v>
      </c>
      <c r="AZ2839">
        <v>0</v>
      </c>
      <c r="BA2839">
        <v>0</v>
      </c>
      <c r="BB2839">
        <v>0</v>
      </c>
      <c r="BC2839">
        <v>0</v>
      </c>
      <c r="BD2839">
        <v>0</v>
      </c>
      <c r="BE2839">
        <v>0</v>
      </c>
      <c r="BF2839">
        <v>0</v>
      </c>
      <c r="BG2839">
        <v>0</v>
      </c>
      <c r="BH2839">
        <v>1</v>
      </c>
      <c r="BI2839">
        <v>1</v>
      </c>
      <c r="BJ2839">
        <v>2</v>
      </c>
      <c r="BK2839">
        <v>2</v>
      </c>
      <c r="BL2839">
        <v>69.98</v>
      </c>
      <c r="BM2839">
        <v>10.5</v>
      </c>
      <c r="BN2839">
        <v>80.48</v>
      </c>
      <c r="BO2839">
        <v>80.48</v>
      </c>
      <c r="BQ2839" t="s">
        <v>736</v>
      </c>
      <c r="BR2839" t="s">
        <v>84</v>
      </c>
      <c r="BS2839" s="3">
        <v>45800</v>
      </c>
      <c r="BT2839" s="4">
        <v>0.34722222222222221</v>
      </c>
      <c r="BU2839" t="s">
        <v>1699</v>
      </c>
      <c r="BV2839" t="s">
        <v>86</v>
      </c>
      <c r="BY2839">
        <v>9918</v>
      </c>
      <c r="CA2839" t="s">
        <v>258</v>
      </c>
      <c r="CC2839" t="s">
        <v>137</v>
      </c>
      <c r="CD2839" s="5" t="s">
        <v>738</v>
      </c>
      <c r="CE2839" t="s">
        <v>96</v>
      </c>
      <c r="CF2839" s="3">
        <v>45801</v>
      </c>
      <c r="CI2839">
        <v>1</v>
      </c>
      <c r="CJ2839">
        <v>1</v>
      </c>
      <c r="CK2839">
        <v>21</v>
      </c>
      <c r="CL2839" t="s">
        <v>89</v>
      </c>
    </row>
    <row r="2840" spans="1:90" x14ac:dyDescent="0.3">
      <c r="A2840" t="s">
        <v>72</v>
      </c>
      <c r="B2840" t="s">
        <v>73</v>
      </c>
      <c r="C2840" t="s">
        <v>74</v>
      </c>
      <c r="E2840" t="str">
        <f>"080065510075"</f>
        <v>080065510075</v>
      </c>
      <c r="F2840" s="3">
        <v>45799</v>
      </c>
      <c r="G2840">
        <v>202602</v>
      </c>
      <c r="H2840" t="s">
        <v>75</v>
      </c>
      <c r="I2840" t="s">
        <v>76</v>
      </c>
      <c r="J2840" t="s">
        <v>77</v>
      </c>
      <c r="K2840" t="s">
        <v>78</v>
      </c>
      <c r="L2840" t="s">
        <v>117</v>
      </c>
      <c r="M2840" t="s">
        <v>118</v>
      </c>
      <c r="N2840" t="s">
        <v>1533</v>
      </c>
      <c r="O2840" t="s">
        <v>82</v>
      </c>
      <c r="P2840" t="str">
        <f>"4170040068                    "</f>
        <v xml:space="preserve">4170040068                    </v>
      </c>
      <c r="Q2840">
        <v>0</v>
      </c>
      <c r="R2840">
        <v>0</v>
      </c>
      <c r="S2840">
        <v>0</v>
      </c>
      <c r="T2840">
        <v>0</v>
      </c>
      <c r="U2840">
        <v>0</v>
      </c>
      <c r="V2840">
        <v>0</v>
      </c>
      <c r="W2840">
        <v>0</v>
      </c>
      <c r="X2840">
        <v>0</v>
      </c>
      <c r="Y2840">
        <v>0</v>
      </c>
      <c r="Z2840">
        <v>0</v>
      </c>
      <c r="AA2840">
        <v>0</v>
      </c>
      <c r="AB2840">
        <v>0</v>
      </c>
      <c r="AC2840">
        <v>0</v>
      </c>
      <c r="AD2840">
        <v>0</v>
      </c>
      <c r="AE2840">
        <v>0</v>
      </c>
      <c r="AF2840">
        <v>0</v>
      </c>
      <c r="AG2840">
        <v>0</v>
      </c>
      <c r="AH2840">
        <v>0</v>
      </c>
      <c r="AI2840">
        <v>0</v>
      </c>
      <c r="AJ2840">
        <v>0</v>
      </c>
      <c r="AK2840">
        <v>0</v>
      </c>
      <c r="AL2840">
        <v>0</v>
      </c>
      <c r="AM2840">
        <v>0</v>
      </c>
      <c r="AN2840">
        <v>0</v>
      </c>
      <c r="AO2840">
        <v>0</v>
      </c>
      <c r="AP2840">
        <v>0</v>
      </c>
      <c r="AQ2840">
        <v>16.7</v>
      </c>
      <c r="AR2840">
        <v>0</v>
      </c>
      <c r="AS2840">
        <v>0</v>
      </c>
      <c r="AT2840">
        <v>0</v>
      </c>
      <c r="AU2840">
        <v>0</v>
      </c>
      <c r="AV2840">
        <v>0</v>
      </c>
      <c r="AW2840">
        <v>0</v>
      </c>
      <c r="AX2840">
        <v>0</v>
      </c>
      <c r="AY2840">
        <v>0</v>
      </c>
      <c r="AZ2840">
        <v>0</v>
      </c>
      <c r="BA2840">
        <v>0</v>
      </c>
      <c r="BB2840">
        <v>0</v>
      </c>
      <c r="BC2840">
        <v>0</v>
      </c>
      <c r="BD2840">
        <v>0</v>
      </c>
      <c r="BE2840">
        <v>0</v>
      </c>
      <c r="BF2840">
        <v>0</v>
      </c>
      <c r="BG2840">
        <v>0</v>
      </c>
      <c r="BH2840">
        <v>1</v>
      </c>
      <c r="BI2840">
        <v>1</v>
      </c>
      <c r="BJ2840">
        <v>0.2</v>
      </c>
      <c r="BK2840">
        <v>1</v>
      </c>
      <c r="BL2840">
        <v>54.66</v>
      </c>
      <c r="BM2840">
        <v>8.1999999999999993</v>
      </c>
      <c r="BN2840">
        <v>62.86</v>
      </c>
      <c r="BO2840">
        <v>62.86</v>
      </c>
      <c r="BQ2840" t="s">
        <v>1534</v>
      </c>
      <c r="BR2840" t="s">
        <v>84</v>
      </c>
      <c r="BS2840" s="3">
        <v>45800</v>
      </c>
      <c r="BT2840" s="4">
        <v>0.34027777777777779</v>
      </c>
      <c r="BU2840" t="s">
        <v>1535</v>
      </c>
      <c r="BV2840" t="s">
        <v>86</v>
      </c>
      <c r="BY2840">
        <v>1200</v>
      </c>
      <c r="CA2840" t="s">
        <v>275</v>
      </c>
      <c r="CC2840" t="s">
        <v>118</v>
      </c>
      <c r="CD2840">
        <v>2091</v>
      </c>
      <c r="CE2840" t="s">
        <v>88</v>
      </c>
      <c r="CF2840" s="3">
        <v>45800</v>
      </c>
      <c r="CI2840">
        <v>1</v>
      </c>
      <c r="CJ2840">
        <v>1</v>
      </c>
      <c r="CK2840">
        <v>22</v>
      </c>
      <c r="CL2840" t="s">
        <v>89</v>
      </c>
    </row>
    <row r="2841" spans="1:90" x14ac:dyDescent="0.3">
      <c r="A2841" t="s">
        <v>72</v>
      </c>
      <c r="B2841" t="s">
        <v>73</v>
      </c>
      <c r="C2841" t="s">
        <v>74</v>
      </c>
      <c r="E2841" t="str">
        <f>"080065510149"</f>
        <v>080065510149</v>
      </c>
      <c r="F2841" s="3">
        <v>45799</v>
      </c>
      <c r="G2841">
        <v>202602</v>
      </c>
      <c r="H2841" t="s">
        <v>75</v>
      </c>
      <c r="I2841" t="s">
        <v>76</v>
      </c>
      <c r="J2841" t="s">
        <v>77</v>
      </c>
      <c r="K2841" t="s">
        <v>78</v>
      </c>
      <c r="L2841" t="s">
        <v>902</v>
      </c>
      <c r="M2841" t="s">
        <v>903</v>
      </c>
      <c r="N2841" t="s">
        <v>2527</v>
      </c>
      <c r="O2841" t="s">
        <v>82</v>
      </c>
      <c r="P2841" t="str">
        <f>"4170040067                    "</f>
        <v xml:space="preserve">4170040067                    </v>
      </c>
      <c r="Q2841">
        <v>0</v>
      </c>
      <c r="R2841">
        <v>0</v>
      </c>
      <c r="S2841">
        <v>0</v>
      </c>
      <c r="T2841">
        <v>0</v>
      </c>
      <c r="U2841">
        <v>0</v>
      </c>
      <c r="V2841">
        <v>0</v>
      </c>
      <c r="W2841">
        <v>0</v>
      </c>
      <c r="X2841">
        <v>0</v>
      </c>
      <c r="Y2841">
        <v>0</v>
      </c>
      <c r="Z2841">
        <v>0</v>
      </c>
      <c r="AA2841">
        <v>0</v>
      </c>
      <c r="AB2841">
        <v>0</v>
      </c>
      <c r="AC2841">
        <v>0</v>
      </c>
      <c r="AD2841">
        <v>0</v>
      </c>
      <c r="AE2841">
        <v>0</v>
      </c>
      <c r="AF2841">
        <v>0</v>
      </c>
      <c r="AG2841">
        <v>0</v>
      </c>
      <c r="AH2841">
        <v>0</v>
      </c>
      <c r="AI2841">
        <v>0</v>
      </c>
      <c r="AJ2841">
        <v>0</v>
      </c>
      <c r="AK2841">
        <v>0</v>
      </c>
      <c r="AL2841">
        <v>0</v>
      </c>
      <c r="AM2841">
        <v>0</v>
      </c>
      <c r="AN2841">
        <v>0</v>
      </c>
      <c r="AO2841">
        <v>0</v>
      </c>
      <c r="AP2841">
        <v>0</v>
      </c>
      <c r="AQ2841">
        <v>41.43</v>
      </c>
      <c r="AR2841">
        <v>0</v>
      </c>
      <c r="AS2841">
        <v>0</v>
      </c>
      <c r="AT2841">
        <v>0</v>
      </c>
      <c r="AU2841">
        <v>0</v>
      </c>
      <c r="AV2841">
        <v>0</v>
      </c>
      <c r="AW2841">
        <v>0</v>
      </c>
      <c r="AX2841">
        <v>0</v>
      </c>
      <c r="AY2841">
        <v>0</v>
      </c>
      <c r="AZ2841">
        <v>0</v>
      </c>
      <c r="BA2841">
        <v>0</v>
      </c>
      <c r="BB2841">
        <v>0</v>
      </c>
      <c r="BC2841">
        <v>0</v>
      </c>
      <c r="BD2841">
        <v>0</v>
      </c>
      <c r="BE2841">
        <v>0</v>
      </c>
      <c r="BF2841">
        <v>0</v>
      </c>
      <c r="BG2841">
        <v>0</v>
      </c>
      <c r="BH2841">
        <v>1</v>
      </c>
      <c r="BI2841">
        <v>1</v>
      </c>
      <c r="BJ2841">
        <v>0.2</v>
      </c>
      <c r="BK2841">
        <v>1</v>
      </c>
      <c r="BL2841">
        <v>135.59</v>
      </c>
      <c r="BM2841">
        <v>20.34</v>
      </c>
      <c r="BN2841">
        <v>155.93</v>
      </c>
      <c r="BO2841">
        <v>155.93</v>
      </c>
      <c r="BQ2841" t="s">
        <v>2528</v>
      </c>
      <c r="BR2841" t="s">
        <v>84</v>
      </c>
      <c r="BS2841" s="3">
        <v>45800</v>
      </c>
      <c r="BT2841" s="4">
        <v>0.56527777777777777</v>
      </c>
      <c r="BU2841" t="s">
        <v>2911</v>
      </c>
      <c r="BV2841" t="s">
        <v>86</v>
      </c>
      <c r="BY2841">
        <v>1200</v>
      </c>
      <c r="CA2841" t="s">
        <v>907</v>
      </c>
      <c r="CC2841" t="s">
        <v>903</v>
      </c>
      <c r="CD2841">
        <v>1020</v>
      </c>
      <c r="CE2841" t="s">
        <v>88</v>
      </c>
      <c r="CF2841" s="3">
        <v>45800</v>
      </c>
      <c r="CI2841">
        <v>1</v>
      </c>
      <c r="CJ2841">
        <v>1</v>
      </c>
      <c r="CK2841">
        <v>23</v>
      </c>
      <c r="CL2841" t="s">
        <v>89</v>
      </c>
    </row>
    <row r="2842" spans="1:90" x14ac:dyDescent="0.3">
      <c r="A2842" t="s">
        <v>72</v>
      </c>
      <c r="B2842" t="s">
        <v>73</v>
      </c>
      <c r="C2842" t="s">
        <v>74</v>
      </c>
      <c r="E2842" t="str">
        <f>"080065510208"</f>
        <v>080065510208</v>
      </c>
      <c r="F2842" s="3">
        <v>45799</v>
      </c>
      <c r="G2842">
        <v>202602</v>
      </c>
      <c r="H2842" t="s">
        <v>75</v>
      </c>
      <c r="I2842" t="s">
        <v>76</v>
      </c>
      <c r="J2842" t="s">
        <v>77</v>
      </c>
      <c r="K2842" t="s">
        <v>78</v>
      </c>
      <c r="L2842" t="s">
        <v>75</v>
      </c>
      <c r="M2842" t="s">
        <v>76</v>
      </c>
      <c r="N2842" t="s">
        <v>601</v>
      </c>
      <c r="O2842" t="s">
        <v>82</v>
      </c>
      <c r="P2842" t="str">
        <f>"4170040044                    "</f>
        <v xml:space="preserve">4170040044                    </v>
      </c>
      <c r="Q2842">
        <v>0</v>
      </c>
      <c r="R2842">
        <v>0</v>
      </c>
      <c r="S2842">
        <v>0</v>
      </c>
      <c r="T2842">
        <v>0</v>
      </c>
      <c r="U2842">
        <v>0</v>
      </c>
      <c r="V2842">
        <v>0</v>
      </c>
      <c r="W2842">
        <v>0</v>
      </c>
      <c r="X2842">
        <v>0</v>
      </c>
      <c r="Y2842">
        <v>0</v>
      </c>
      <c r="Z2842">
        <v>0</v>
      </c>
      <c r="AA2842">
        <v>0</v>
      </c>
      <c r="AB2842">
        <v>0</v>
      </c>
      <c r="AC2842">
        <v>0</v>
      </c>
      <c r="AD2842">
        <v>0</v>
      </c>
      <c r="AE2842">
        <v>0</v>
      </c>
      <c r="AF2842">
        <v>0</v>
      </c>
      <c r="AG2842">
        <v>0</v>
      </c>
      <c r="AH2842">
        <v>0</v>
      </c>
      <c r="AI2842">
        <v>0</v>
      </c>
      <c r="AJ2842">
        <v>0</v>
      </c>
      <c r="AK2842">
        <v>0</v>
      </c>
      <c r="AL2842">
        <v>0</v>
      </c>
      <c r="AM2842">
        <v>0</v>
      </c>
      <c r="AN2842">
        <v>0</v>
      </c>
      <c r="AO2842">
        <v>0</v>
      </c>
      <c r="AP2842">
        <v>0</v>
      </c>
      <c r="AQ2842">
        <v>16.7</v>
      </c>
      <c r="AR2842">
        <v>0</v>
      </c>
      <c r="AS2842">
        <v>0</v>
      </c>
      <c r="AT2842">
        <v>0</v>
      </c>
      <c r="AU2842">
        <v>0</v>
      </c>
      <c r="AV2842">
        <v>0</v>
      </c>
      <c r="AW2842">
        <v>0</v>
      </c>
      <c r="AX2842">
        <v>0</v>
      </c>
      <c r="AY2842">
        <v>0</v>
      </c>
      <c r="AZ2842">
        <v>0</v>
      </c>
      <c r="BA2842">
        <v>0</v>
      </c>
      <c r="BB2842">
        <v>0</v>
      </c>
      <c r="BC2842">
        <v>0</v>
      </c>
      <c r="BD2842">
        <v>0</v>
      </c>
      <c r="BE2842">
        <v>0</v>
      </c>
      <c r="BF2842">
        <v>0</v>
      </c>
      <c r="BG2842">
        <v>0</v>
      </c>
      <c r="BH2842">
        <v>1</v>
      </c>
      <c r="BI2842">
        <v>1</v>
      </c>
      <c r="BJ2842">
        <v>0.2</v>
      </c>
      <c r="BK2842">
        <v>1</v>
      </c>
      <c r="BL2842">
        <v>54.66</v>
      </c>
      <c r="BM2842">
        <v>8.1999999999999993</v>
      </c>
      <c r="BN2842">
        <v>62.86</v>
      </c>
      <c r="BO2842">
        <v>62.86</v>
      </c>
      <c r="BQ2842" t="s">
        <v>603</v>
      </c>
      <c r="BR2842" t="s">
        <v>84</v>
      </c>
      <c r="BS2842" s="3">
        <v>45800</v>
      </c>
      <c r="BT2842" s="4">
        <v>0.33333333333333331</v>
      </c>
      <c r="BU2842" t="s">
        <v>2912</v>
      </c>
      <c r="BV2842" t="s">
        <v>86</v>
      </c>
      <c r="BY2842">
        <v>1200</v>
      </c>
      <c r="CA2842" t="s">
        <v>605</v>
      </c>
      <c r="CC2842" t="s">
        <v>76</v>
      </c>
      <c r="CD2842">
        <v>1645</v>
      </c>
      <c r="CE2842" t="s">
        <v>88</v>
      </c>
      <c r="CF2842" s="3">
        <v>45800</v>
      </c>
      <c r="CI2842">
        <v>1</v>
      </c>
      <c r="CJ2842">
        <v>1</v>
      </c>
      <c r="CK2842">
        <v>22</v>
      </c>
      <c r="CL2842" t="s">
        <v>89</v>
      </c>
    </row>
    <row r="2843" spans="1:90" x14ac:dyDescent="0.3">
      <c r="A2843" t="s">
        <v>72</v>
      </c>
      <c r="B2843" t="s">
        <v>73</v>
      </c>
      <c r="C2843" t="s">
        <v>74</v>
      </c>
      <c r="E2843" t="str">
        <f>"080065510217"</f>
        <v>080065510217</v>
      </c>
      <c r="F2843" s="3">
        <v>45799</v>
      </c>
      <c r="G2843">
        <v>202602</v>
      </c>
      <c r="H2843" t="s">
        <v>75</v>
      </c>
      <c r="I2843" t="s">
        <v>76</v>
      </c>
      <c r="J2843" t="s">
        <v>77</v>
      </c>
      <c r="K2843" t="s">
        <v>78</v>
      </c>
      <c r="L2843" t="s">
        <v>232</v>
      </c>
      <c r="M2843" t="s">
        <v>233</v>
      </c>
      <c r="N2843" t="s">
        <v>834</v>
      </c>
      <c r="O2843" t="s">
        <v>82</v>
      </c>
      <c r="P2843" t="str">
        <f>"4170040116                    "</f>
        <v xml:space="preserve">4170040116                    </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0</v>
      </c>
      <c r="AJ2843">
        <v>0</v>
      </c>
      <c r="AK2843">
        <v>0</v>
      </c>
      <c r="AL2843">
        <v>0</v>
      </c>
      <c r="AM2843">
        <v>0</v>
      </c>
      <c r="AN2843">
        <v>0</v>
      </c>
      <c r="AO2843">
        <v>0</v>
      </c>
      <c r="AP2843">
        <v>0</v>
      </c>
      <c r="AQ2843">
        <v>21.38</v>
      </c>
      <c r="AR2843">
        <v>0</v>
      </c>
      <c r="AS2843">
        <v>0</v>
      </c>
      <c r="AT2843">
        <v>0</v>
      </c>
      <c r="AU2843">
        <v>0</v>
      </c>
      <c r="AV2843">
        <v>0</v>
      </c>
      <c r="AW2843">
        <v>0</v>
      </c>
      <c r="AX2843">
        <v>0</v>
      </c>
      <c r="AY2843">
        <v>0</v>
      </c>
      <c r="AZ2843">
        <v>0</v>
      </c>
      <c r="BA2843">
        <v>0</v>
      </c>
      <c r="BB2843">
        <v>0</v>
      </c>
      <c r="BC2843">
        <v>0</v>
      </c>
      <c r="BD2843">
        <v>0</v>
      </c>
      <c r="BE2843">
        <v>0</v>
      </c>
      <c r="BF2843">
        <v>0</v>
      </c>
      <c r="BG2843">
        <v>0</v>
      </c>
      <c r="BH2843">
        <v>1</v>
      </c>
      <c r="BI2843">
        <v>2</v>
      </c>
      <c r="BJ2843">
        <v>0.6</v>
      </c>
      <c r="BK2843">
        <v>2</v>
      </c>
      <c r="BL2843">
        <v>69.98</v>
      </c>
      <c r="BM2843">
        <v>10.5</v>
      </c>
      <c r="BN2843">
        <v>80.48</v>
      </c>
      <c r="BO2843">
        <v>80.48</v>
      </c>
      <c r="BQ2843" t="s">
        <v>835</v>
      </c>
      <c r="BR2843" t="s">
        <v>84</v>
      </c>
      <c r="BS2843" s="3">
        <v>45800</v>
      </c>
      <c r="BT2843" s="4">
        <v>0.34722222222222221</v>
      </c>
      <c r="BU2843" t="s">
        <v>2913</v>
      </c>
      <c r="BV2843" t="s">
        <v>86</v>
      </c>
      <c r="BY2843">
        <v>3192</v>
      </c>
      <c r="CA2843" t="s">
        <v>258</v>
      </c>
      <c r="CC2843" t="s">
        <v>233</v>
      </c>
      <c r="CD2843" s="5" t="s">
        <v>238</v>
      </c>
      <c r="CE2843" t="s">
        <v>116</v>
      </c>
      <c r="CF2843" s="3">
        <v>45801</v>
      </c>
      <c r="CI2843">
        <v>1</v>
      </c>
      <c r="CJ2843">
        <v>1</v>
      </c>
      <c r="CK2843">
        <v>21</v>
      </c>
      <c r="CL2843" t="s">
        <v>89</v>
      </c>
    </row>
    <row r="2844" spans="1:90" x14ac:dyDescent="0.3">
      <c r="A2844" t="s">
        <v>72</v>
      </c>
      <c r="B2844" t="s">
        <v>73</v>
      </c>
      <c r="C2844" t="s">
        <v>74</v>
      </c>
      <c r="E2844" t="str">
        <f>"080065510275"</f>
        <v>080065510275</v>
      </c>
      <c r="F2844" s="3">
        <v>45799</v>
      </c>
      <c r="G2844">
        <v>202602</v>
      </c>
      <c r="H2844" t="s">
        <v>75</v>
      </c>
      <c r="I2844" t="s">
        <v>76</v>
      </c>
      <c r="J2844" t="s">
        <v>77</v>
      </c>
      <c r="K2844" t="s">
        <v>78</v>
      </c>
      <c r="L2844" t="s">
        <v>130</v>
      </c>
      <c r="M2844" t="s">
        <v>131</v>
      </c>
      <c r="N2844" t="s">
        <v>665</v>
      </c>
      <c r="O2844" t="s">
        <v>82</v>
      </c>
      <c r="P2844" t="str">
        <f>"4170040052                    "</f>
        <v xml:space="preserve">4170040052                    </v>
      </c>
      <c r="Q2844">
        <v>0</v>
      </c>
      <c r="R2844">
        <v>0</v>
      </c>
      <c r="S2844">
        <v>0</v>
      </c>
      <c r="T2844">
        <v>0</v>
      </c>
      <c r="U2844">
        <v>0</v>
      </c>
      <c r="V2844">
        <v>0</v>
      </c>
      <c r="W2844">
        <v>0</v>
      </c>
      <c r="X2844">
        <v>0</v>
      </c>
      <c r="Y2844">
        <v>0</v>
      </c>
      <c r="Z2844">
        <v>0</v>
      </c>
      <c r="AA2844">
        <v>0</v>
      </c>
      <c r="AB2844">
        <v>0</v>
      </c>
      <c r="AC2844">
        <v>0</v>
      </c>
      <c r="AD2844">
        <v>0</v>
      </c>
      <c r="AE2844">
        <v>0</v>
      </c>
      <c r="AF2844">
        <v>0</v>
      </c>
      <c r="AG2844">
        <v>0</v>
      </c>
      <c r="AH2844">
        <v>0</v>
      </c>
      <c r="AI2844">
        <v>0</v>
      </c>
      <c r="AJ2844">
        <v>0</v>
      </c>
      <c r="AK2844">
        <v>0</v>
      </c>
      <c r="AL2844">
        <v>0</v>
      </c>
      <c r="AM2844">
        <v>0</v>
      </c>
      <c r="AN2844">
        <v>0</v>
      </c>
      <c r="AO2844">
        <v>0</v>
      </c>
      <c r="AP2844">
        <v>0</v>
      </c>
      <c r="AQ2844">
        <v>21.38</v>
      </c>
      <c r="AR2844">
        <v>0</v>
      </c>
      <c r="AS2844">
        <v>0</v>
      </c>
      <c r="AT2844">
        <v>0</v>
      </c>
      <c r="AU2844">
        <v>0</v>
      </c>
      <c r="AV2844">
        <v>0</v>
      </c>
      <c r="AW2844">
        <v>0</v>
      </c>
      <c r="AX2844">
        <v>0</v>
      </c>
      <c r="AY2844">
        <v>0</v>
      </c>
      <c r="AZ2844">
        <v>0</v>
      </c>
      <c r="BA2844">
        <v>0</v>
      </c>
      <c r="BB2844">
        <v>0</v>
      </c>
      <c r="BC2844">
        <v>0</v>
      </c>
      <c r="BD2844">
        <v>0</v>
      </c>
      <c r="BE2844">
        <v>0</v>
      </c>
      <c r="BF2844">
        <v>0</v>
      </c>
      <c r="BG2844">
        <v>0</v>
      </c>
      <c r="BH2844">
        <v>1</v>
      </c>
      <c r="BI2844">
        <v>1</v>
      </c>
      <c r="BJ2844">
        <v>0.2</v>
      </c>
      <c r="BK2844">
        <v>1</v>
      </c>
      <c r="BL2844">
        <v>69.98</v>
      </c>
      <c r="BM2844">
        <v>10.5</v>
      </c>
      <c r="BN2844">
        <v>80.48</v>
      </c>
      <c r="BO2844">
        <v>80.48</v>
      </c>
      <c r="BQ2844" t="s">
        <v>666</v>
      </c>
      <c r="BR2844" t="s">
        <v>84</v>
      </c>
      <c r="BS2844" s="3">
        <v>45800</v>
      </c>
      <c r="BT2844" s="4">
        <v>0.37430555555555556</v>
      </c>
      <c r="BU2844" t="s">
        <v>2914</v>
      </c>
      <c r="BV2844" t="s">
        <v>86</v>
      </c>
      <c r="BY2844">
        <v>1200</v>
      </c>
      <c r="CA2844" t="s">
        <v>389</v>
      </c>
      <c r="CC2844" t="s">
        <v>131</v>
      </c>
      <c r="CD2844">
        <v>7535</v>
      </c>
      <c r="CE2844" t="s">
        <v>88</v>
      </c>
      <c r="CF2844" s="3">
        <v>45803</v>
      </c>
      <c r="CI2844">
        <v>1</v>
      </c>
      <c r="CJ2844">
        <v>1</v>
      </c>
      <c r="CK2844">
        <v>21</v>
      </c>
      <c r="CL2844" t="s">
        <v>89</v>
      </c>
    </row>
    <row r="2845" spans="1:90" x14ac:dyDescent="0.3">
      <c r="A2845" t="s">
        <v>72</v>
      </c>
      <c r="B2845" t="s">
        <v>73</v>
      </c>
      <c r="C2845" t="s">
        <v>74</v>
      </c>
      <c r="E2845" t="str">
        <f>"080065510302"</f>
        <v>080065510302</v>
      </c>
      <c r="F2845" s="3">
        <v>45799</v>
      </c>
      <c r="G2845">
        <v>202602</v>
      </c>
      <c r="H2845" t="s">
        <v>75</v>
      </c>
      <c r="I2845" t="s">
        <v>76</v>
      </c>
      <c r="J2845" t="s">
        <v>77</v>
      </c>
      <c r="K2845" t="s">
        <v>78</v>
      </c>
      <c r="L2845" t="s">
        <v>1099</v>
      </c>
      <c r="M2845" t="s">
        <v>1100</v>
      </c>
      <c r="N2845" t="s">
        <v>1430</v>
      </c>
      <c r="O2845" t="s">
        <v>82</v>
      </c>
      <c r="P2845" t="str">
        <f>"4170040085                    "</f>
        <v xml:space="preserve">4170040085                    </v>
      </c>
      <c r="Q2845">
        <v>0</v>
      </c>
      <c r="R2845">
        <v>0</v>
      </c>
      <c r="S2845">
        <v>0</v>
      </c>
      <c r="T2845">
        <v>0</v>
      </c>
      <c r="U2845">
        <v>0</v>
      </c>
      <c r="V2845">
        <v>0</v>
      </c>
      <c r="W2845">
        <v>0</v>
      </c>
      <c r="X2845">
        <v>0</v>
      </c>
      <c r="Y2845">
        <v>0</v>
      </c>
      <c r="Z2845">
        <v>0</v>
      </c>
      <c r="AA2845">
        <v>0</v>
      </c>
      <c r="AB2845">
        <v>0</v>
      </c>
      <c r="AC2845">
        <v>0</v>
      </c>
      <c r="AD2845">
        <v>0</v>
      </c>
      <c r="AE2845">
        <v>0</v>
      </c>
      <c r="AF2845">
        <v>0</v>
      </c>
      <c r="AG2845">
        <v>0</v>
      </c>
      <c r="AH2845">
        <v>0</v>
      </c>
      <c r="AI2845">
        <v>0</v>
      </c>
      <c r="AJ2845">
        <v>0</v>
      </c>
      <c r="AK2845">
        <v>0</v>
      </c>
      <c r="AL2845">
        <v>0</v>
      </c>
      <c r="AM2845">
        <v>0</v>
      </c>
      <c r="AN2845">
        <v>0</v>
      </c>
      <c r="AO2845">
        <v>0</v>
      </c>
      <c r="AP2845">
        <v>0</v>
      </c>
      <c r="AQ2845">
        <v>41.43</v>
      </c>
      <c r="AR2845">
        <v>0</v>
      </c>
      <c r="AS2845">
        <v>0</v>
      </c>
      <c r="AT2845">
        <v>0</v>
      </c>
      <c r="AU2845">
        <v>0</v>
      </c>
      <c r="AV2845">
        <v>0</v>
      </c>
      <c r="AW2845">
        <v>0</v>
      </c>
      <c r="AX2845">
        <v>0</v>
      </c>
      <c r="AY2845">
        <v>0</v>
      </c>
      <c r="AZ2845">
        <v>0</v>
      </c>
      <c r="BA2845">
        <v>0</v>
      </c>
      <c r="BB2845">
        <v>0</v>
      </c>
      <c r="BC2845">
        <v>0</v>
      </c>
      <c r="BD2845">
        <v>0</v>
      </c>
      <c r="BE2845">
        <v>0</v>
      </c>
      <c r="BF2845">
        <v>0</v>
      </c>
      <c r="BG2845">
        <v>0</v>
      </c>
      <c r="BH2845">
        <v>1</v>
      </c>
      <c r="BI2845">
        <v>1</v>
      </c>
      <c r="BJ2845">
        <v>0.2</v>
      </c>
      <c r="BK2845">
        <v>1</v>
      </c>
      <c r="BL2845">
        <v>135.59</v>
      </c>
      <c r="BM2845">
        <v>20.34</v>
      </c>
      <c r="BN2845">
        <v>155.93</v>
      </c>
      <c r="BO2845">
        <v>155.93</v>
      </c>
      <c r="BQ2845" t="s">
        <v>1431</v>
      </c>
      <c r="BR2845" t="s">
        <v>84</v>
      </c>
      <c r="BS2845" s="3">
        <v>45800</v>
      </c>
      <c r="BT2845" s="4">
        <v>0.40347222222222223</v>
      </c>
      <c r="BU2845" t="s">
        <v>2915</v>
      </c>
      <c r="BV2845" t="s">
        <v>86</v>
      </c>
      <c r="BY2845">
        <v>1200</v>
      </c>
      <c r="CA2845" t="s">
        <v>2085</v>
      </c>
      <c r="CC2845" t="s">
        <v>1100</v>
      </c>
      <c r="CD2845" s="5" t="s">
        <v>1291</v>
      </c>
      <c r="CE2845" t="s">
        <v>88</v>
      </c>
      <c r="CF2845" s="3">
        <v>45803</v>
      </c>
      <c r="CI2845">
        <v>1</v>
      </c>
      <c r="CJ2845">
        <v>1</v>
      </c>
      <c r="CK2845">
        <v>23</v>
      </c>
      <c r="CL2845" t="s">
        <v>89</v>
      </c>
    </row>
    <row r="2846" spans="1:90" x14ac:dyDescent="0.3">
      <c r="A2846" t="s">
        <v>72</v>
      </c>
      <c r="B2846" t="s">
        <v>73</v>
      </c>
      <c r="C2846" t="s">
        <v>74</v>
      </c>
      <c r="E2846" t="str">
        <f>"080065510342"</f>
        <v>080065510342</v>
      </c>
      <c r="F2846" s="3">
        <v>45799</v>
      </c>
      <c r="G2846">
        <v>202602</v>
      </c>
      <c r="H2846" t="s">
        <v>75</v>
      </c>
      <c r="I2846" t="s">
        <v>76</v>
      </c>
      <c r="J2846" t="s">
        <v>77</v>
      </c>
      <c r="K2846" t="s">
        <v>78</v>
      </c>
      <c r="L2846" t="s">
        <v>143</v>
      </c>
      <c r="M2846" t="s">
        <v>144</v>
      </c>
      <c r="N2846" t="s">
        <v>2916</v>
      </c>
      <c r="O2846" t="s">
        <v>82</v>
      </c>
      <c r="P2846" t="str">
        <f>"4170040098                    "</f>
        <v xml:space="preserve">4170040098                    </v>
      </c>
      <c r="Q2846">
        <v>0</v>
      </c>
      <c r="R2846">
        <v>0</v>
      </c>
      <c r="S2846">
        <v>0</v>
      </c>
      <c r="T2846">
        <v>0</v>
      </c>
      <c r="U2846">
        <v>0</v>
      </c>
      <c r="V2846">
        <v>0</v>
      </c>
      <c r="W2846">
        <v>0</v>
      </c>
      <c r="X2846">
        <v>0</v>
      </c>
      <c r="Y2846">
        <v>0</v>
      </c>
      <c r="Z2846">
        <v>0</v>
      </c>
      <c r="AA2846">
        <v>0</v>
      </c>
      <c r="AB2846">
        <v>0</v>
      </c>
      <c r="AC2846">
        <v>0</v>
      </c>
      <c r="AD2846">
        <v>0</v>
      </c>
      <c r="AE2846">
        <v>0</v>
      </c>
      <c r="AF2846">
        <v>0</v>
      </c>
      <c r="AG2846">
        <v>0</v>
      </c>
      <c r="AH2846">
        <v>0</v>
      </c>
      <c r="AI2846">
        <v>0</v>
      </c>
      <c r="AJ2846">
        <v>0</v>
      </c>
      <c r="AK2846">
        <v>0</v>
      </c>
      <c r="AL2846">
        <v>0</v>
      </c>
      <c r="AM2846">
        <v>0</v>
      </c>
      <c r="AN2846">
        <v>0</v>
      </c>
      <c r="AO2846">
        <v>0</v>
      </c>
      <c r="AP2846">
        <v>0</v>
      </c>
      <c r="AQ2846">
        <v>16.7</v>
      </c>
      <c r="AR2846">
        <v>0</v>
      </c>
      <c r="AS2846">
        <v>0</v>
      </c>
      <c r="AT2846">
        <v>0</v>
      </c>
      <c r="AU2846">
        <v>0</v>
      </c>
      <c r="AV2846">
        <v>0</v>
      </c>
      <c r="AW2846">
        <v>0</v>
      </c>
      <c r="AX2846">
        <v>0</v>
      </c>
      <c r="AY2846">
        <v>0</v>
      </c>
      <c r="AZ2846">
        <v>0</v>
      </c>
      <c r="BA2846">
        <v>0</v>
      </c>
      <c r="BB2846">
        <v>0</v>
      </c>
      <c r="BC2846">
        <v>0</v>
      </c>
      <c r="BD2846">
        <v>0</v>
      </c>
      <c r="BE2846">
        <v>0</v>
      </c>
      <c r="BF2846">
        <v>0</v>
      </c>
      <c r="BG2846">
        <v>0</v>
      </c>
      <c r="BH2846">
        <v>1</v>
      </c>
      <c r="BI2846">
        <v>1</v>
      </c>
      <c r="BJ2846">
        <v>0.2</v>
      </c>
      <c r="BK2846">
        <v>1</v>
      </c>
      <c r="BL2846">
        <v>54.66</v>
      </c>
      <c r="BM2846">
        <v>8.1999999999999993</v>
      </c>
      <c r="BN2846">
        <v>62.86</v>
      </c>
      <c r="BO2846">
        <v>62.86</v>
      </c>
      <c r="BQ2846" t="s">
        <v>2917</v>
      </c>
      <c r="BR2846" t="s">
        <v>84</v>
      </c>
      <c r="BS2846" s="3">
        <v>45800</v>
      </c>
      <c r="BT2846" s="4">
        <v>0.42152777777777778</v>
      </c>
      <c r="BU2846" t="s">
        <v>2918</v>
      </c>
      <c r="BV2846" t="s">
        <v>86</v>
      </c>
      <c r="BY2846">
        <v>1200</v>
      </c>
      <c r="CC2846" t="s">
        <v>144</v>
      </c>
      <c r="CD2846">
        <v>1406</v>
      </c>
      <c r="CE2846" t="s">
        <v>88</v>
      </c>
      <c r="CF2846" s="3">
        <v>45800</v>
      </c>
      <c r="CI2846">
        <v>1</v>
      </c>
      <c r="CJ2846">
        <v>1</v>
      </c>
      <c r="CK2846">
        <v>22</v>
      </c>
      <c r="CL2846" t="s">
        <v>89</v>
      </c>
    </row>
    <row r="2847" spans="1:90" x14ac:dyDescent="0.3">
      <c r="A2847" t="s">
        <v>72</v>
      </c>
      <c r="B2847" t="s">
        <v>73</v>
      </c>
      <c r="C2847" t="s">
        <v>74</v>
      </c>
      <c r="E2847" t="str">
        <f>"080065510644"</f>
        <v>080065510644</v>
      </c>
      <c r="F2847" s="3">
        <v>45799</v>
      </c>
      <c r="G2847">
        <v>202602</v>
      </c>
      <c r="H2847" t="s">
        <v>75</v>
      </c>
      <c r="I2847" t="s">
        <v>76</v>
      </c>
      <c r="J2847" t="s">
        <v>77</v>
      </c>
      <c r="K2847" t="s">
        <v>78</v>
      </c>
      <c r="L2847" t="s">
        <v>103</v>
      </c>
      <c r="M2847" t="s">
        <v>104</v>
      </c>
      <c r="N2847" t="s">
        <v>633</v>
      </c>
      <c r="O2847" t="s">
        <v>82</v>
      </c>
      <c r="P2847" t="str">
        <f>"4170040131                    "</f>
        <v xml:space="preserve">4170040131                    </v>
      </c>
      <c r="Q2847">
        <v>0</v>
      </c>
      <c r="R2847">
        <v>0</v>
      </c>
      <c r="S2847">
        <v>0</v>
      </c>
      <c r="T2847">
        <v>0</v>
      </c>
      <c r="U2847">
        <v>0</v>
      </c>
      <c r="V2847">
        <v>0</v>
      </c>
      <c r="W2847">
        <v>0</v>
      </c>
      <c r="X2847">
        <v>0</v>
      </c>
      <c r="Y2847">
        <v>0</v>
      </c>
      <c r="Z2847">
        <v>0</v>
      </c>
      <c r="AA2847">
        <v>0</v>
      </c>
      <c r="AB2847">
        <v>0</v>
      </c>
      <c r="AC2847">
        <v>0</v>
      </c>
      <c r="AD2847">
        <v>0</v>
      </c>
      <c r="AE2847">
        <v>0</v>
      </c>
      <c r="AF2847">
        <v>0</v>
      </c>
      <c r="AG2847">
        <v>0</v>
      </c>
      <c r="AH2847">
        <v>0</v>
      </c>
      <c r="AI2847">
        <v>0</v>
      </c>
      <c r="AJ2847">
        <v>0</v>
      </c>
      <c r="AK2847">
        <v>0</v>
      </c>
      <c r="AL2847">
        <v>0</v>
      </c>
      <c r="AM2847">
        <v>0</v>
      </c>
      <c r="AN2847">
        <v>0</v>
      </c>
      <c r="AO2847">
        <v>0</v>
      </c>
      <c r="AP2847">
        <v>0</v>
      </c>
      <c r="AQ2847">
        <v>106.85</v>
      </c>
      <c r="AR2847">
        <v>0</v>
      </c>
      <c r="AS2847">
        <v>0</v>
      </c>
      <c r="AT2847">
        <v>0</v>
      </c>
      <c r="AU2847">
        <v>0</v>
      </c>
      <c r="AV2847">
        <v>0</v>
      </c>
      <c r="AW2847">
        <v>0</v>
      </c>
      <c r="AX2847">
        <v>0</v>
      </c>
      <c r="AY2847">
        <v>0</v>
      </c>
      <c r="AZ2847">
        <v>0</v>
      </c>
      <c r="BA2847">
        <v>0</v>
      </c>
      <c r="BB2847">
        <v>0</v>
      </c>
      <c r="BC2847">
        <v>0</v>
      </c>
      <c r="BD2847">
        <v>0</v>
      </c>
      <c r="BE2847">
        <v>0</v>
      </c>
      <c r="BF2847">
        <v>0</v>
      </c>
      <c r="BG2847">
        <v>0</v>
      </c>
      <c r="BH2847">
        <v>1</v>
      </c>
      <c r="BI2847">
        <v>10</v>
      </c>
      <c r="BJ2847">
        <v>4.0999999999999996</v>
      </c>
      <c r="BK2847">
        <v>10</v>
      </c>
      <c r="BL2847">
        <v>349.69</v>
      </c>
      <c r="BM2847">
        <v>52.45</v>
      </c>
      <c r="BN2847">
        <v>402.14</v>
      </c>
      <c r="BO2847">
        <v>402.14</v>
      </c>
      <c r="BQ2847" t="s">
        <v>634</v>
      </c>
      <c r="BR2847" t="s">
        <v>84</v>
      </c>
      <c r="BS2847" s="3">
        <v>45800</v>
      </c>
      <c r="BT2847" s="4">
        <v>0.41666666666666669</v>
      </c>
      <c r="BU2847" t="s">
        <v>1466</v>
      </c>
      <c r="BV2847" t="s">
        <v>86</v>
      </c>
      <c r="BY2847">
        <v>20358</v>
      </c>
      <c r="CA2847" t="s">
        <v>440</v>
      </c>
      <c r="CC2847" t="s">
        <v>104</v>
      </c>
      <c r="CD2847">
        <v>3212</v>
      </c>
      <c r="CE2847" t="s">
        <v>176</v>
      </c>
      <c r="CF2847" s="3">
        <v>45800</v>
      </c>
      <c r="CI2847">
        <v>2</v>
      </c>
      <c r="CJ2847">
        <v>1</v>
      </c>
      <c r="CK2847">
        <v>21</v>
      </c>
      <c r="CL2847" t="s">
        <v>89</v>
      </c>
    </row>
    <row r="2848" spans="1:90" x14ac:dyDescent="0.3">
      <c r="A2848" t="s">
        <v>72</v>
      </c>
      <c r="B2848" t="s">
        <v>73</v>
      </c>
      <c r="C2848" t="s">
        <v>74</v>
      </c>
      <c r="E2848" t="str">
        <f>"080065510664"</f>
        <v>080065510664</v>
      </c>
      <c r="F2848" s="3">
        <v>45799</v>
      </c>
      <c r="G2848">
        <v>202602</v>
      </c>
      <c r="H2848" t="s">
        <v>75</v>
      </c>
      <c r="I2848" t="s">
        <v>76</v>
      </c>
      <c r="J2848" t="s">
        <v>77</v>
      </c>
      <c r="K2848" t="s">
        <v>78</v>
      </c>
      <c r="L2848" t="s">
        <v>1203</v>
      </c>
      <c r="M2848" t="s">
        <v>1204</v>
      </c>
      <c r="N2848" t="s">
        <v>1205</v>
      </c>
      <c r="O2848" t="s">
        <v>82</v>
      </c>
      <c r="P2848" t="str">
        <f>"4170040172                    "</f>
        <v xml:space="preserve">4170040172                    </v>
      </c>
      <c r="Q2848">
        <v>0</v>
      </c>
      <c r="R2848">
        <v>0</v>
      </c>
      <c r="S2848">
        <v>0</v>
      </c>
      <c r="T2848">
        <v>0</v>
      </c>
      <c r="U2848">
        <v>0</v>
      </c>
      <c r="V2848">
        <v>0</v>
      </c>
      <c r="W2848">
        <v>0</v>
      </c>
      <c r="X2848">
        <v>0</v>
      </c>
      <c r="Y2848">
        <v>0</v>
      </c>
      <c r="Z2848">
        <v>0</v>
      </c>
      <c r="AA2848">
        <v>0</v>
      </c>
      <c r="AB2848">
        <v>0</v>
      </c>
      <c r="AC2848">
        <v>0</v>
      </c>
      <c r="AD2848">
        <v>0</v>
      </c>
      <c r="AE2848">
        <v>0</v>
      </c>
      <c r="AF2848">
        <v>0</v>
      </c>
      <c r="AG2848">
        <v>0</v>
      </c>
      <c r="AH2848">
        <v>0</v>
      </c>
      <c r="AI2848">
        <v>0</v>
      </c>
      <c r="AJ2848">
        <v>0</v>
      </c>
      <c r="AK2848">
        <v>0</v>
      </c>
      <c r="AL2848">
        <v>0</v>
      </c>
      <c r="AM2848">
        <v>0</v>
      </c>
      <c r="AN2848">
        <v>0</v>
      </c>
      <c r="AO2848">
        <v>0</v>
      </c>
      <c r="AP2848">
        <v>0</v>
      </c>
      <c r="AQ2848">
        <v>41.43</v>
      </c>
      <c r="AR2848">
        <v>0</v>
      </c>
      <c r="AS2848">
        <v>0</v>
      </c>
      <c r="AT2848">
        <v>0</v>
      </c>
      <c r="AU2848">
        <v>0</v>
      </c>
      <c r="AV2848">
        <v>0</v>
      </c>
      <c r="AW2848">
        <v>0</v>
      </c>
      <c r="AX2848">
        <v>0</v>
      </c>
      <c r="AY2848">
        <v>0</v>
      </c>
      <c r="AZ2848">
        <v>0</v>
      </c>
      <c r="BA2848">
        <v>0</v>
      </c>
      <c r="BB2848">
        <v>0</v>
      </c>
      <c r="BC2848">
        <v>0</v>
      </c>
      <c r="BD2848">
        <v>0</v>
      </c>
      <c r="BE2848">
        <v>0</v>
      </c>
      <c r="BF2848">
        <v>0</v>
      </c>
      <c r="BG2848">
        <v>0</v>
      </c>
      <c r="BH2848">
        <v>1</v>
      </c>
      <c r="BI2848">
        <v>1</v>
      </c>
      <c r="BJ2848">
        <v>1.9</v>
      </c>
      <c r="BK2848">
        <v>2</v>
      </c>
      <c r="BL2848">
        <v>135.59</v>
      </c>
      <c r="BM2848">
        <v>20.34</v>
      </c>
      <c r="BN2848">
        <v>155.93</v>
      </c>
      <c r="BO2848">
        <v>155.93</v>
      </c>
      <c r="BQ2848" t="s">
        <v>1206</v>
      </c>
      <c r="BR2848" t="s">
        <v>84</v>
      </c>
      <c r="BS2848" s="3">
        <v>45800</v>
      </c>
      <c r="BT2848" s="4">
        <v>0.58888888888888891</v>
      </c>
      <c r="BU2848" t="s">
        <v>1207</v>
      </c>
      <c r="BV2848" t="s">
        <v>86</v>
      </c>
      <c r="BY2848">
        <v>9600</v>
      </c>
      <c r="CA2848" t="s">
        <v>1208</v>
      </c>
      <c r="CC2848" t="s">
        <v>1204</v>
      </c>
      <c r="CD2848">
        <v>6500</v>
      </c>
      <c r="CE2848" t="s">
        <v>176</v>
      </c>
      <c r="CF2848" s="3">
        <v>45803</v>
      </c>
      <c r="CI2848">
        <v>1</v>
      </c>
      <c r="CJ2848">
        <v>1</v>
      </c>
      <c r="CK2848">
        <v>23</v>
      </c>
      <c r="CL2848" t="s">
        <v>89</v>
      </c>
    </row>
    <row r="2849" spans="1:90" x14ac:dyDescent="0.3">
      <c r="A2849" t="s">
        <v>72</v>
      </c>
      <c r="B2849" t="s">
        <v>73</v>
      </c>
      <c r="C2849" t="s">
        <v>74</v>
      </c>
      <c r="E2849" t="str">
        <f>"080065510694"</f>
        <v>080065510694</v>
      </c>
      <c r="F2849" s="3">
        <v>45799</v>
      </c>
      <c r="G2849">
        <v>202602</v>
      </c>
      <c r="H2849" t="s">
        <v>75</v>
      </c>
      <c r="I2849" t="s">
        <v>76</v>
      </c>
      <c r="J2849" t="s">
        <v>77</v>
      </c>
      <c r="K2849" t="s">
        <v>78</v>
      </c>
      <c r="L2849" t="s">
        <v>136</v>
      </c>
      <c r="M2849" t="s">
        <v>137</v>
      </c>
      <c r="N2849" t="s">
        <v>2919</v>
      </c>
      <c r="O2849" t="s">
        <v>82</v>
      </c>
      <c r="P2849" t="str">
        <f>"4170040103                    "</f>
        <v xml:space="preserve">4170040103                    </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0</v>
      </c>
      <c r="AJ2849">
        <v>0</v>
      </c>
      <c r="AK2849">
        <v>0</v>
      </c>
      <c r="AL2849">
        <v>0</v>
      </c>
      <c r="AM2849">
        <v>0</v>
      </c>
      <c r="AN2849">
        <v>0</v>
      </c>
      <c r="AO2849">
        <v>0</v>
      </c>
      <c r="AP2849">
        <v>0</v>
      </c>
      <c r="AQ2849">
        <v>21.38</v>
      </c>
      <c r="AR2849">
        <v>0</v>
      </c>
      <c r="AS2849">
        <v>0</v>
      </c>
      <c r="AT2849">
        <v>0</v>
      </c>
      <c r="AU2849">
        <v>0</v>
      </c>
      <c r="AV2849">
        <v>0</v>
      </c>
      <c r="AW2849">
        <v>0</v>
      </c>
      <c r="AX2849">
        <v>0</v>
      </c>
      <c r="AY2849">
        <v>0</v>
      </c>
      <c r="AZ2849">
        <v>0</v>
      </c>
      <c r="BA2849">
        <v>0</v>
      </c>
      <c r="BB2849">
        <v>0</v>
      </c>
      <c r="BC2849">
        <v>0</v>
      </c>
      <c r="BD2849">
        <v>0</v>
      </c>
      <c r="BE2849">
        <v>0</v>
      </c>
      <c r="BF2849">
        <v>0</v>
      </c>
      <c r="BG2849">
        <v>0</v>
      </c>
      <c r="BH2849">
        <v>1</v>
      </c>
      <c r="BI2849">
        <v>1</v>
      </c>
      <c r="BJ2849">
        <v>0.2</v>
      </c>
      <c r="BK2849">
        <v>1</v>
      </c>
      <c r="BL2849">
        <v>69.98</v>
      </c>
      <c r="BM2849">
        <v>10.5</v>
      </c>
      <c r="BN2849">
        <v>80.48</v>
      </c>
      <c r="BO2849">
        <v>80.48</v>
      </c>
      <c r="BQ2849" t="s">
        <v>2920</v>
      </c>
      <c r="BR2849" t="s">
        <v>84</v>
      </c>
      <c r="BS2849" s="3">
        <v>45800</v>
      </c>
      <c r="BT2849" s="4">
        <v>0.40486111111111112</v>
      </c>
      <c r="BU2849" t="s">
        <v>2921</v>
      </c>
      <c r="BV2849" t="s">
        <v>86</v>
      </c>
      <c r="BY2849">
        <v>1200</v>
      </c>
      <c r="CA2849" t="s">
        <v>141</v>
      </c>
      <c r="CC2849" t="s">
        <v>137</v>
      </c>
      <c r="CD2849" s="5" t="s">
        <v>142</v>
      </c>
      <c r="CE2849" t="s">
        <v>176</v>
      </c>
      <c r="CF2849" s="3">
        <v>45800</v>
      </c>
      <c r="CI2849">
        <v>1</v>
      </c>
      <c r="CJ2849">
        <v>1</v>
      </c>
      <c r="CK2849">
        <v>21</v>
      </c>
      <c r="CL2849" t="s">
        <v>89</v>
      </c>
    </row>
    <row r="2850" spans="1:90" x14ac:dyDescent="0.3">
      <c r="A2850" t="s">
        <v>72</v>
      </c>
      <c r="B2850" t="s">
        <v>73</v>
      </c>
      <c r="C2850" t="s">
        <v>74</v>
      </c>
      <c r="E2850" t="str">
        <f>"080065510707"</f>
        <v>080065510707</v>
      </c>
      <c r="F2850" s="3">
        <v>45799</v>
      </c>
      <c r="G2850">
        <v>202602</v>
      </c>
      <c r="H2850" t="s">
        <v>75</v>
      </c>
      <c r="I2850" t="s">
        <v>76</v>
      </c>
      <c r="J2850" t="s">
        <v>77</v>
      </c>
      <c r="K2850" t="s">
        <v>78</v>
      </c>
      <c r="L2850" t="s">
        <v>143</v>
      </c>
      <c r="M2850" t="s">
        <v>144</v>
      </c>
      <c r="N2850" t="s">
        <v>1965</v>
      </c>
      <c r="O2850" t="s">
        <v>82</v>
      </c>
      <c r="P2850" t="str">
        <f>"4170040042                    "</f>
        <v xml:space="preserve">4170040042                    </v>
      </c>
      <c r="Q2850">
        <v>0</v>
      </c>
      <c r="R2850">
        <v>0</v>
      </c>
      <c r="S2850">
        <v>0</v>
      </c>
      <c r="T2850">
        <v>0</v>
      </c>
      <c r="U2850">
        <v>0</v>
      </c>
      <c r="V2850">
        <v>0</v>
      </c>
      <c r="W2850">
        <v>0</v>
      </c>
      <c r="X2850">
        <v>0</v>
      </c>
      <c r="Y2850">
        <v>0</v>
      </c>
      <c r="Z2850">
        <v>0</v>
      </c>
      <c r="AA2850">
        <v>0</v>
      </c>
      <c r="AB2850">
        <v>0</v>
      </c>
      <c r="AC2850">
        <v>0</v>
      </c>
      <c r="AD2850">
        <v>0</v>
      </c>
      <c r="AE2850">
        <v>0</v>
      </c>
      <c r="AF2850">
        <v>0</v>
      </c>
      <c r="AG2850">
        <v>0</v>
      </c>
      <c r="AH2850">
        <v>0</v>
      </c>
      <c r="AI2850">
        <v>0</v>
      </c>
      <c r="AJ2850">
        <v>0</v>
      </c>
      <c r="AK2850">
        <v>0</v>
      </c>
      <c r="AL2850">
        <v>0</v>
      </c>
      <c r="AM2850">
        <v>0</v>
      </c>
      <c r="AN2850">
        <v>0</v>
      </c>
      <c r="AO2850">
        <v>0</v>
      </c>
      <c r="AP2850">
        <v>0</v>
      </c>
      <c r="AQ2850">
        <v>16.7</v>
      </c>
      <c r="AR2850">
        <v>0</v>
      </c>
      <c r="AS2850">
        <v>0</v>
      </c>
      <c r="AT2850">
        <v>0</v>
      </c>
      <c r="AU2850">
        <v>0</v>
      </c>
      <c r="AV2850">
        <v>0</v>
      </c>
      <c r="AW2850">
        <v>0</v>
      </c>
      <c r="AX2850">
        <v>0</v>
      </c>
      <c r="AY2850">
        <v>0</v>
      </c>
      <c r="AZ2850">
        <v>0</v>
      </c>
      <c r="BA2850">
        <v>0</v>
      </c>
      <c r="BB2850">
        <v>0</v>
      </c>
      <c r="BC2850">
        <v>0</v>
      </c>
      <c r="BD2850">
        <v>0</v>
      </c>
      <c r="BE2850">
        <v>0</v>
      </c>
      <c r="BF2850">
        <v>0</v>
      </c>
      <c r="BG2850">
        <v>0</v>
      </c>
      <c r="BH2850">
        <v>1</v>
      </c>
      <c r="BI2850">
        <v>1</v>
      </c>
      <c r="BJ2850">
        <v>0.2</v>
      </c>
      <c r="BK2850">
        <v>1</v>
      </c>
      <c r="BL2850">
        <v>54.66</v>
      </c>
      <c r="BM2850">
        <v>8.1999999999999993</v>
      </c>
      <c r="BN2850">
        <v>62.86</v>
      </c>
      <c r="BO2850">
        <v>62.86</v>
      </c>
      <c r="BQ2850" t="s">
        <v>1966</v>
      </c>
      <c r="BR2850" t="s">
        <v>84</v>
      </c>
      <c r="BS2850" s="3">
        <v>45804</v>
      </c>
      <c r="BT2850" s="4">
        <v>0.41666666666666669</v>
      </c>
      <c r="BU2850" t="s">
        <v>407</v>
      </c>
      <c r="BV2850" t="s">
        <v>89</v>
      </c>
      <c r="BW2850" t="s">
        <v>148</v>
      </c>
      <c r="BX2850" t="s">
        <v>149</v>
      </c>
      <c r="BY2850">
        <v>1200</v>
      </c>
      <c r="CA2850" t="s">
        <v>765</v>
      </c>
      <c r="CC2850" t="s">
        <v>144</v>
      </c>
      <c r="CD2850">
        <v>1401</v>
      </c>
      <c r="CE2850" t="s">
        <v>176</v>
      </c>
      <c r="CF2850" s="3">
        <v>45805</v>
      </c>
      <c r="CI2850">
        <v>1</v>
      </c>
      <c r="CJ2850">
        <v>3</v>
      </c>
      <c r="CK2850">
        <v>22</v>
      </c>
      <c r="CL2850" t="s">
        <v>89</v>
      </c>
    </row>
    <row r="2851" spans="1:90" x14ac:dyDescent="0.3">
      <c r="A2851" t="s">
        <v>72</v>
      </c>
      <c r="B2851" t="s">
        <v>73</v>
      </c>
      <c r="C2851" t="s">
        <v>74</v>
      </c>
      <c r="E2851" t="str">
        <f>"080065510743"</f>
        <v>080065510743</v>
      </c>
      <c r="F2851" s="3">
        <v>45799</v>
      </c>
      <c r="G2851">
        <v>202602</v>
      </c>
      <c r="H2851" t="s">
        <v>75</v>
      </c>
      <c r="I2851" t="s">
        <v>76</v>
      </c>
      <c r="J2851" t="s">
        <v>77</v>
      </c>
      <c r="K2851" t="s">
        <v>78</v>
      </c>
      <c r="L2851" t="s">
        <v>287</v>
      </c>
      <c r="M2851" t="s">
        <v>288</v>
      </c>
      <c r="N2851" t="s">
        <v>289</v>
      </c>
      <c r="O2851" t="s">
        <v>82</v>
      </c>
      <c r="P2851" t="str">
        <f>"4170040147                    "</f>
        <v xml:space="preserve">4170040147                    </v>
      </c>
      <c r="Q2851">
        <v>0</v>
      </c>
      <c r="R2851">
        <v>0</v>
      </c>
      <c r="S2851">
        <v>0</v>
      </c>
      <c r="T2851">
        <v>0</v>
      </c>
      <c r="U2851">
        <v>0</v>
      </c>
      <c r="V2851">
        <v>0</v>
      </c>
      <c r="W2851">
        <v>0</v>
      </c>
      <c r="X2851">
        <v>0</v>
      </c>
      <c r="Y2851">
        <v>0</v>
      </c>
      <c r="Z2851">
        <v>0</v>
      </c>
      <c r="AA2851">
        <v>0</v>
      </c>
      <c r="AB2851">
        <v>0</v>
      </c>
      <c r="AC2851">
        <v>0</v>
      </c>
      <c r="AD2851">
        <v>0</v>
      </c>
      <c r="AE2851">
        <v>0</v>
      </c>
      <c r="AF2851">
        <v>0</v>
      </c>
      <c r="AG2851">
        <v>0</v>
      </c>
      <c r="AH2851">
        <v>0</v>
      </c>
      <c r="AI2851">
        <v>0</v>
      </c>
      <c r="AJ2851">
        <v>0</v>
      </c>
      <c r="AK2851">
        <v>0</v>
      </c>
      <c r="AL2851">
        <v>0</v>
      </c>
      <c r="AM2851">
        <v>0</v>
      </c>
      <c r="AN2851">
        <v>0</v>
      </c>
      <c r="AO2851">
        <v>0</v>
      </c>
      <c r="AP2851">
        <v>0</v>
      </c>
      <c r="AQ2851">
        <v>41.43</v>
      </c>
      <c r="AR2851">
        <v>0</v>
      </c>
      <c r="AS2851">
        <v>0</v>
      </c>
      <c r="AT2851">
        <v>0</v>
      </c>
      <c r="AU2851">
        <v>0</v>
      </c>
      <c r="AV2851">
        <v>0</v>
      </c>
      <c r="AW2851">
        <v>0</v>
      </c>
      <c r="AX2851">
        <v>0</v>
      </c>
      <c r="AY2851">
        <v>0</v>
      </c>
      <c r="AZ2851">
        <v>0</v>
      </c>
      <c r="BA2851">
        <v>0</v>
      </c>
      <c r="BB2851">
        <v>0</v>
      </c>
      <c r="BC2851">
        <v>0</v>
      </c>
      <c r="BD2851">
        <v>0</v>
      </c>
      <c r="BE2851">
        <v>0</v>
      </c>
      <c r="BF2851">
        <v>0</v>
      </c>
      <c r="BG2851">
        <v>0</v>
      </c>
      <c r="BH2851">
        <v>1</v>
      </c>
      <c r="BI2851">
        <v>1</v>
      </c>
      <c r="BJ2851">
        <v>0.2</v>
      </c>
      <c r="BK2851">
        <v>1</v>
      </c>
      <c r="BL2851">
        <v>135.59</v>
      </c>
      <c r="BM2851">
        <v>20.34</v>
      </c>
      <c r="BN2851">
        <v>155.93</v>
      </c>
      <c r="BO2851">
        <v>155.93</v>
      </c>
      <c r="BQ2851" t="s">
        <v>290</v>
      </c>
      <c r="BR2851" t="s">
        <v>84</v>
      </c>
      <c r="BS2851" s="3">
        <v>45800</v>
      </c>
      <c r="BT2851" s="4">
        <v>0.50208333333333333</v>
      </c>
      <c r="BU2851" t="s">
        <v>291</v>
      </c>
      <c r="BV2851" t="s">
        <v>86</v>
      </c>
      <c r="BY2851">
        <v>1200</v>
      </c>
      <c r="CA2851" t="s">
        <v>292</v>
      </c>
      <c r="CC2851" t="s">
        <v>288</v>
      </c>
      <c r="CD2851">
        <v>6715</v>
      </c>
      <c r="CE2851" t="s">
        <v>88</v>
      </c>
      <c r="CF2851" s="3">
        <v>45803</v>
      </c>
      <c r="CI2851">
        <v>2</v>
      </c>
      <c r="CJ2851">
        <v>1</v>
      </c>
      <c r="CK2851">
        <v>23</v>
      </c>
      <c r="CL2851" t="s">
        <v>89</v>
      </c>
    </row>
    <row r="2852" spans="1:90" x14ac:dyDescent="0.3">
      <c r="A2852" t="s">
        <v>72</v>
      </c>
      <c r="B2852" t="s">
        <v>73</v>
      </c>
      <c r="C2852" t="s">
        <v>74</v>
      </c>
      <c r="E2852" t="str">
        <f>"080065510784"</f>
        <v>080065510784</v>
      </c>
      <c r="F2852" s="3">
        <v>45799</v>
      </c>
      <c r="G2852">
        <v>202602</v>
      </c>
      <c r="H2852" t="s">
        <v>75</v>
      </c>
      <c r="I2852" t="s">
        <v>76</v>
      </c>
      <c r="J2852" t="s">
        <v>77</v>
      </c>
      <c r="K2852" t="s">
        <v>78</v>
      </c>
      <c r="L2852" t="s">
        <v>902</v>
      </c>
      <c r="M2852" t="s">
        <v>903</v>
      </c>
      <c r="N2852" t="s">
        <v>904</v>
      </c>
      <c r="O2852" t="s">
        <v>82</v>
      </c>
      <c r="P2852" t="str">
        <f>"4170040118                    "</f>
        <v xml:space="preserve">4170040118                    </v>
      </c>
      <c r="Q2852">
        <v>0</v>
      </c>
      <c r="R2852">
        <v>0</v>
      </c>
      <c r="S2852">
        <v>0</v>
      </c>
      <c r="T2852">
        <v>0</v>
      </c>
      <c r="U2852">
        <v>0</v>
      </c>
      <c r="V2852">
        <v>0</v>
      </c>
      <c r="W2852">
        <v>0</v>
      </c>
      <c r="X2852">
        <v>0</v>
      </c>
      <c r="Y2852">
        <v>0</v>
      </c>
      <c r="Z2852">
        <v>0</v>
      </c>
      <c r="AA2852">
        <v>0</v>
      </c>
      <c r="AB2852">
        <v>0</v>
      </c>
      <c r="AC2852">
        <v>0</v>
      </c>
      <c r="AD2852">
        <v>0</v>
      </c>
      <c r="AE2852">
        <v>0</v>
      </c>
      <c r="AF2852">
        <v>0</v>
      </c>
      <c r="AG2852">
        <v>0</v>
      </c>
      <c r="AH2852">
        <v>0</v>
      </c>
      <c r="AI2852">
        <v>0</v>
      </c>
      <c r="AJ2852">
        <v>0</v>
      </c>
      <c r="AK2852">
        <v>0</v>
      </c>
      <c r="AL2852">
        <v>0</v>
      </c>
      <c r="AM2852">
        <v>0</v>
      </c>
      <c r="AN2852">
        <v>0</v>
      </c>
      <c r="AO2852">
        <v>0</v>
      </c>
      <c r="AP2852">
        <v>0</v>
      </c>
      <c r="AQ2852">
        <v>41.43</v>
      </c>
      <c r="AR2852">
        <v>0</v>
      </c>
      <c r="AS2852">
        <v>0</v>
      </c>
      <c r="AT2852">
        <v>0</v>
      </c>
      <c r="AU2852">
        <v>0</v>
      </c>
      <c r="AV2852">
        <v>0</v>
      </c>
      <c r="AW2852">
        <v>0</v>
      </c>
      <c r="AX2852">
        <v>0</v>
      </c>
      <c r="AY2852">
        <v>0</v>
      </c>
      <c r="AZ2852">
        <v>0</v>
      </c>
      <c r="BA2852">
        <v>0</v>
      </c>
      <c r="BB2852">
        <v>0</v>
      </c>
      <c r="BC2852">
        <v>0</v>
      </c>
      <c r="BD2852">
        <v>0</v>
      </c>
      <c r="BE2852">
        <v>0</v>
      </c>
      <c r="BF2852">
        <v>0</v>
      </c>
      <c r="BG2852">
        <v>0</v>
      </c>
      <c r="BH2852">
        <v>1</v>
      </c>
      <c r="BI2852">
        <v>1</v>
      </c>
      <c r="BJ2852">
        <v>0.2</v>
      </c>
      <c r="BK2852">
        <v>1</v>
      </c>
      <c r="BL2852">
        <v>135.59</v>
      </c>
      <c r="BM2852">
        <v>20.34</v>
      </c>
      <c r="BN2852">
        <v>155.93</v>
      </c>
      <c r="BO2852">
        <v>155.93</v>
      </c>
      <c r="BQ2852" t="s">
        <v>905</v>
      </c>
      <c r="BR2852" t="s">
        <v>84</v>
      </c>
      <c r="BS2852" s="3">
        <v>45800</v>
      </c>
      <c r="BT2852" s="4">
        <v>0.51597222222222228</v>
      </c>
      <c r="BU2852" t="s">
        <v>906</v>
      </c>
      <c r="BV2852" t="s">
        <v>86</v>
      </c>
      <c r="BY2852">
        <v>1200</v>
      </c>
      <c r="CA2852" t="s">
        <v>907</v>
      </c>
      <c r="CC2852" t="s">
        <v>903</v>
      </c>
      <c r="CD2852">
        <v>1028</v>
      </c>
      <c r="CE2852" t="s">
        <v>88</v>
      </c>
      <c r="CF2852" s="3">
        <v>45800</v>
      </c>
      <c r="CI2852">
        <v>1</v>
      </c>
      <c r="CJ2852">
        <v>1</v>
      </c>
      <c r="CK2852">
        <v>23</v>
      </c>
      <c r="CL2852" t="s">
        <v>89</v>
      </c>
    </row>
    <row r="2853" spans="1:90" x14ac:dyDescent="0.3">
      <c r="A2853" t="s">
        <v>72</v>
      </c>
      <c r="B2853" t="s">
        <v>73</v>
      </c>
      <c r="C2853" t="s">
        <v>74</v>
      </c>
      <c r="E2853" t="str">
        <f>"080065510798"</f>
        <v>080065510798</v>
      </c>
      <c r="F2853" s="3">
        <v>45799</v>
      </c>
      <c r="G2853">
        <v>202602</v>
      </c>
      <c r="H2853" t="s">
        <v>75</v>
      </c>
      <c r="I2853" t="s">
        <v>76</v>
      </c>
      <c r="J2853" t="s">
        <v>77</v>
      </c>
      <c r="K2853" t="s">
        <v>78</v>
      </c>
      <c r="L2853" t="s">
        <v>103</v>
      </c>
      <c r="M2853" t="s">
        <v>104</v>
      </c>
      <c r="N2853" t="s">
        <v>686</v>
      </c>
      <c r="O2853" t="s">
        <v>82</v>
      </c>
      <c r="P2853" t="str">
        <f>"4170040161                    "</f>
        <v xml:space="preserve">4170040161                    </v>
      </c>
      <c r="Q2853">
        <v>0</v>
      </c>
      <c r="R2853">
        <v>0</v>
      </c>
      <c r="S2853">
        <v>0</v>
      </c>
      <c r="T2853">
        <v>0</v>
      </c>
      <c r="U2853">
        <v>0</v>
      </c>
      <c r="V2853">
        <v>0</v>
      </c>
      <c r="W2853">
        <v>0</v>
      </c>
      <c r="X2853">
        <v>0</v>
      </c>
      <c r="Y2853">
        <v>0</v>
      </c>
      <c r="Z2853">
        <v>0</v>
      </c>
      <c r="AA2853">
        <v>0</v>
      </c>
      <c r="AB2853">
        <v>0</v>
      </c>
      <c r="AC2853">
        <v>0</v>
      </c>
      <c r="AD2853">
        <v>0</v>
      </c>
      <c r="AE2853">
        <v>0</v>
      </c>
      <c r="AF2853">
        <v>0</v>
      </c>
      <c r="AG2853">
        <v>0</v>
      </c>
      <c r="AH2853">
        <v>0</v>
      </c>
      <c r="AI2853">
        <v>0</v>
      </c>
      <c r="AJ2853">
        <v>0</v>
      </c>
      <c r="AK2853">
        <v>0</v>
      </c>
      <c r="AL2853">
        <v>0</v>
      </c>
      <c r="AM2853">
        <v>0</v>
      </c>
      <c r="AN2853">
        <v>0</v>
      </c>
      <c r="AO2853">
        <v>0</v>
      </c>
      <c r="AP2853">
        <v>0</v>
      </c>
      <c r="AQ2853">
        <v>21.38</v>
      </c>
      <c r="AR2853">
        <v>0</v>
      </c>
      <c r="AS2853">
        <v>0</v>
      </c>
      <c r="AT2853">
        <v>0</v>
      </c>
      <c r="AU2853">
        <v>0</v>
      </c>
      <c r="AV2853">
        <v>0</v>
      </c>
      <c r="AW2853">
        <v>0</v>
      </c>
      <c r="AX2853">
        <v>0</v>
      </c>
      <c r="AY2853">
        <v>0</v>
      </c>
      <c r="AZ2853">
        <v>0</v>
      </c>
      <c r="BA2853">
        <v>0</v>
      </c>
      <c r="BB2853">
        <v>0</v>
      </c>
      <c r="BC2853">
        <v>0</v>
      </c>
      <c r="BD2853">
        <v>0</v>
      </c>
      <c r="BE2853">
        <v>0</v>
      </c>
      <c r="BF2853">
        <v>0</v>
      </c>
      <c r="BG2853">
        <v>0</v>
      </c>
      <c r="BH2853">
        <v>1</v>
      </c>
      <c r="BI2853">
        <v>1</v>
      </c>
      <c r="BJ2853">
        <v>0.2</v>
      </c>
      <c r="BK2853">
        <v>1</v>
      </c>
      <c r="BL2853">
        <v>69.98</v>
      </c>
      <c r="BM2853">
        <v>10.5</v>
      </c>
      <c r="BN2853">
        <v>80.48</v>
      </c>
      <c r="BO2853">
        <v>80.48</v>
      </c>
      <c r="BQ2853" t="s">
        <v>687</v>
      </c>
      <c r="BR2853" t="s">
        <v>84</v>
      </c>
      <c r="BS2853" s="3">
        <v>45800</v>
      </c>
      <c r="BT2853" s="4">
        <v>0.39374999999999999</v>
      </c>
      <c r="BU2853" t="s">
        <v>1210</v>
      </c>
      <c r="BV2853" t="s">
        <v>86</v>
      </c>
      <c r="BY2853">
        <v>1200</v>
      </c>
      <c r="CA2853" t="s">
        <v>1169</v>
      </c>
      <c r="CC2853" t="s">
        <v>104</v>
      </c>
      <c r="CD2853">
        <v>3201</v>
      </c>
      <c r="CE2853" t="s">
        <v>88</v>
      </c>
      <c r="CF2853" s="3">
        <v>45801</v>
      </c>
      <c r="CI2853">
        <v>1</v>
      </c>
      <c r="CJ2853">
        <v>1</v>
      </c>
      <c r="CK2853">
        <v>21</v>
      </c>
      <c r="CL2853" t="s">
        <v>89</v>
      </c>
    </row>
    <row r="2854" spans="1:90" x14ac:dyDescent="0.3">
      <c r="A2854" t="s">
        <v>72</v>
      </c>
      <c r="B2854" t="s">
        <v>73</v>
      </c>
      <c r="C2854" t="s">
        <v>74</v>
      </c>
      <c r="E2854" t="str">
        <f>"080065511396"</f>
        <v>080065511396</v>
      </c>
      <c r="F2854" s="3">
        <v>45799</v>
      </c>
      <c r="G2854">
        <v>202602</v>
      </c>
      <c r="H2854" t="s">
        <v>75</v>
      </c>
      <c r="I2854" t="s">
        <v>76</v>
      </c>
      <c r="J2854" t="s">
        <v>77</v>
      </c>
      <c r="K2854" t="s">
        <v>78</v>
      </c>
      <c r="L2854" t="s">
        <v>79</v>
      </c>
      <c r="M2854" t="s">
        <v>80</v>
      </c>
      <c r="N2854" t="s">
        <v>157</v>
      </c>
      <c r="O2854" t="s">
        <v>82</v>
      </c>
      <c r="P2854" t="str">
        <f>"4170040077                    "</f>
        <v xml:space="preserve">4170040077                    </v>
      </c>
      <c r="Q2854">
        <v>0</v>
      </c>
      <c r="R2854">
        <v>0</v>
      </c>
      <c r="S2854">
        <v>0</v>
      </c>
      <c r="T2854">
        <v>0</v>
      </c>
      <c r="U2854">
        <v>0</v>
      </c>
      <c r="V2854">
        <v>0</v>
      </c>
      <c r="W2854">
        <v>0</v>
      </c>
      <c r="X2854">
        <v>0</v>
      </c>
      <c r="Y2854">
        <v>0</v>
      </c>
      <c r="Z2854">
        <v>0</v>
      </c>
      <c r="AA2854">
        <v>0</v>
      </c>
      <c r="AB2854">
        <v>0</v>
      </c>
      <c r="AC2854">
        <v>0</v>
      </c>
      <c r="AD2854">
        <v>0</v>
      </c>
      <c r="AE2854">
        <v>0</v>
      </c>
      <c r="AF2854">
        <v>0</v>
      </c>
      <c r="AG2854">
        <v>0</v>
      </c>
      <c r="AH2854">
        <v>0</v>
      </c>
      <c r="AI2854">
        <v>0</v>
      </c>
      <c r="AJ2854">
        <v>0</v>
      </c>
      <c r="AK2854">
        <v>0</v>
      </c>
      <c r="AL2854">
        <v>0</v>
      </c>
      <c r="AM2854">
        <v>0</v>
      </c>
      <c r="AN2854">
        <v>0</v>
      </c>
      <c r="AO2854">
        <v>0</v>
      </c>
      <c r="AP2854">
        <v>0</v>
      </c>
      <c r="AQ2854">
        <v>21.38</v>
      </c>
      <c r="AR2854">
        <v>0</v>
      </c>
      <c r="AS2854">
        <v>0</v>
      </c>
      <c r="AT2854">
        <v>0</v>
      </c>
      <c r="AU2854">
        <v>0</v>
      </c>
      <c r="AV2854">
        <v>0</v>
      </c>
      <c r="AW2854">
        <v>0</v>
      </c>
      <c r="AX2854">
        <v>0</v>
      </c>
      <c r="AY2854">
        <v>0</v>
      </c>
      <c r="AZ2854">
        <v>0</v>
      </c>
      <c r="BA2854">
        <v>0</v>
      </c>
      <c r="BB2854">
        <v>0</v>
      </c>
      <c r="BC2854">
        <v>0</v>
      </c>
      <c r="BD2854">
        <v>0</v>
      </c>
      <c r="BE2854">
        <v>0</v>
      </c>
      <c r="BF2854">
        <v>0</v>
      </c>
      <c r="BG2854">
        <v>0</v>
      </c>
      <c r="BH2854">
        <v>1</v>
      </c>
      <c r="BI2854">
        <v>2</v>
      </c>
      <c r="BJ2854">
        <v>1.9</v>
      </c>
      <c r="BK2854">
        <v>2</v>
      </c>
      <c r="BL2854">
        <v>69.98</v>
      </c>
      <c r="BM2854">
        <v>10.5</v>
      </c>
      <c r="BN2854">
        <v>80.48</v>
      </c>
      <c r="BO2854">
        <v>80.48</v>
      </c>
      <c r="BQ2854" t="s">
        <v>158</v>
      </c>
      <c r="BR2854" t="s">
        <v>84</v>
      </c>
      <c r="BS2854" s="3">
        <v>45800</v>
      </c>
      <c r="BT2854" s="4">
        <v>0.38541666666666669</v>
      </c>
      <c r="BU2854" t="s">
        <v>159</v>
      </c>
      <c r="BV2854" t="s">
        <v>86</v>
      </c>
      <c r="BY2854">
        <v>9600</v>
      </c>
      <c r="CA2854" t="s">
        <v>160</v>
      </c>
      <c r="CC2854" t="s">
        <v>80</v>
      </c>
      <c r="CD2854">
        <v>3610</v>
      </c>
      <c r="CE2854" t="s">
        <v>96</v>
      </c>
      <c r="CF2854" s="3">
        <v>45801</v>
      </c>
      <c r="CI2854">
        <v>1</v>
      </c>
      <c r="CJ2854">
        <v>1</v>
      </c>
      <c r="CK2854">
        <v>21</v>
      </c>
      <c r="CL2854" t="s">
        <v>89</v>
      </c>
    </row>
    <row r="2855" spans="1:90" x14ac:dyDescent="0.3">
      <c r="A2855" t="s">
        <v>72</v>
      </c>
      <c r="B2855" t="s">
        <v>73</v>
      </c>
      <c r="C2855" t="s">
        <v>74</v>
      </c>
      <c r="E2855" t="str">
        <f>"080065511496"</f>
        <v>080065511496</v>
      </c>
      <c r="F2855" s="3">
        <v>45799</v>
      </c>
      <c r="G2855">
        <v>202602</v>
      </c>
      <c r="H2855" t="s">
        <v>75</v>
      </c>
      <c r="I2855" t="s">
        <v>76</v>
      </c>
      <c r="J2855" t="s">
        <v>77</v>
      </c>
      <c r="K2855" t="s">
        <v>78</v>
      </c>
      <c r="L2855" t="s">
        <v>350</v>
      </c>
      <c r="M2855" t="s">
        <v>351</v>
      </c>
      <c r="N2855" t="s">
        <v>459</v>
      </c>
      <c r="O2855" t="s">
        <v>82</v>
      </c>
      <c r="P2855" t="str">
        <f>"4170040137                    "</f>
        <v xml:space="preserve">4170040137                    </v>
      </c>
      <c r="Q2855">
        <v>0</v>
      </c>
      <c r="R2855">
        <v>0</v>
      </c>
      <c r="S2855">
        <v>0</v>
      </c>
      <c r="T2855">
        <v>0</v>
      </c>
      <c r="U2855">
        <v>0</v>
      </c>
      <c r="V2855">
        <v>0</v>
      </c>
      <c r="W2855">
        <v>0</v>
      </c>
      <c r="X2855">
        <v>0</v>
      </c>
      <c r="Y2855">
        <v>0</v>
      </c>
      <c r="Z2855">
        <v>0</v>
      </c>
      <c r="AA2855">
        <v>0</v>
      </c>
      <c r="AB2855">
        <v>0</v>
      </c>
      <c r="AC2855">
        <v>0</v>
      </c>
      <c r="AD2855">
        <v>0</v>
      </c>
      <c r="AE2855">
        <v>0</v>
      </c>
      <c r="AF2855">
        <v>0</v>
      </c>
      <c r="AG2855">
        <v>0</v>
      </c>
      <c r="AH2855">
        <v>0</v>
      </c>
      <c r="AI2855">
        <v>0</v>
      </c>
      <c r="AJ2855">
        <v>0</v>
      </c>
      <c r="AK2855">
        <v>0</v>
      </c>
      <c r="AL2855">
        <v>0</v>
      </c>
      <c r="AM2855">
        <v>0</v>
      </c>
      <c r="AN2855">
        <v>0</v>
      </c>
      <c r="AO2855">
        <v>0</v>
      </c>
      <c r="AP2855">
        <v>0</v>
      </c>
      <c r="AQ2855">
        <v>32.07</v>
      </c>
      <c r="AR2855">
        <v>0</v>
      </c>
      <c r="AS2855">
        <v>0</v>
      </c>
      <c r="AT2855">
        <v>0</v>
      </c>
      <c r="AU2855">
        <v>0</v>
      </c>
      <c r="AV2855">
        <v>0</v>
      </c>
      <c r="AW2855">
        <v>0</v>
      </c>
      <c r="AX2855">
        <v>0</v>
      </c>
      <c r="AY2855">
        <v>0</v>
      </c>
      <c r="AZ2855">
        <v>0</v>
      </c>
      <c r="BA2855">
        <v>0</v>
      </c>
      <c r="BB2855">
        <v>0</v>
      </c>
      <c r="BC2855">
        <v>0</v>
      </c>
      <c r="BD2855">
        <v>0</v>
      </c>
      <c r="BE2855">
        <v>0</v>
      </c>
      <c r="BF2855">
        <v>0</v>
      </c>
      <c r="BG2855">
        <v>0</v>
      </c>
      <c r="BH2855">
        <v>1</v>
      </c>
      <c r="BI2855">
        <v>3</v>
      </c>
      <c r="BJ2855">
        <v>1.9</v>
      </c>
      <c r="BK2855">
        <v>3</v>
      </c>
      <c r="BL2855">
        <v>104.95</v>
      </c>
      <c r="BM2855">
        <v>15.74</v>
      </c>
      <c r="BN2855">
        <v>120.69</v>
      </c>
      <c r="BO2855">
        <v>120.69</v>
      </c>
      <c r="BQ2855" t="s">
        <v>460</v>
      </c>
      <c r="BR2855" t="s">
        <v>84</v>
      </c>
      <c r="BS2855" s="3">
        <v>45800</v>
      </c>
      <c r="BT2855" s="4">
        <v>0.35138888888888886</v>
      </c>
      <c r="BU2855" t="s">
        <v>1121</v>
      </c>
      <c r="BV2855" t="s">
        <v>86</v>
      </c>
      <c r="BY2855">
        <v>9600</v>
      </c>
      <c r="CA2855" t="s">
        <v>462</v>
      </c>
      <c r="CC2855" t="s">
        <v>351</v>
      </c>
      <c r="CD2855">
        <v>4051</v>
      </c>
      <c r="CE2855" t="s">
        <v>96</v>
      </c>
      <c r="CF2855" s="3">
        <v>45800</v>
      </c>
      <c r="CI2855">
        <v>1</v>
      </c>
      <c r="CJ2855">
        <v>1</v>
      </c>
      <c r="CK2855">
        <v>21</v>
      </c>
      <c r="CL2855" t="s">
        <v>89</v>
      </c>
    </row>
    <row r="2856" spans="1:90" x14ac:dyDescent="0.3">
      <c r="A2856" t="s">
        <v>72</v>
      </c>
      <c r="B2856" t="s">
        <v>73</v>
      </c>
      <c r="C2856" t="s">
        <v>74</v>
      </c>
      <c r="E2856" t="str">
        <f>"080065511530"</f>
        <v>080065511530</v>
      </c>
      <c r="F2856" s="3">
        <v>45799</v>
      </c>
      <c r="G2856">
        <v>202602</v>
      </c>
      <c r="H2856" t="s">
        <v>75</v>
      </c>
      <c r="I2856" t="s">
        <v>76</v>
      </c>
      <c r="J2856" t="s">
        <v>77</v>
      </c>
      <c r="K2856" t="s">
        <v>78</v>
      </c>
      <c r="L2856" t="s">
        <v>463</v>
      </c>
      <c r="M2856" t="s">
        <v>464</v>
      </c>
      <c r="N2856" t="s">
        <v>585</v>
      </c>
      <c r="O2856" t="s">
        <v>82</v>
      </c>
      <c r="P2856" t="str">
        <f>"4170040070                    "</f>
        <v xml:space="preserve">4170040070                    </v>
      </c>
      <c r="Q2856">
        <v>0</v>
      </c>
      <c r="R2856">
        <v>0</v>
      </c>
      <c r="S2856">
        <v>0</v>
      </c>
      <c r="T2856">
        <v>0</v>
      </c>
      <c r="U2856">
        <v>0</v>
      </c>
      <c r="V2856">
        <v>0</v>
      </c>
      <c r="W2856">
        <v>0</v>
      </c>
      <c r="X2856">
        <v>0</v>
      </c>
      <c r="Y2856">
        <v>0</v>
      </c>
      <c r="Z2856">
        <v>0</v>
      </c>
      <c r="AA2856">
        <v>0</v>
      </c>
      <c r="AB2856">
        <v>0</v>
      </c>
      <c r="AC2856">
        <v>0</v>
      </c>
      <c r="AD2856">
        <v>0</v>
      </c>
      <c r="AE2856">
        <v>0</v>
      </c>
      <c r="AF2856">
        <v>0</v>
      </c>
      <c r="AG2856">
        <v>0</v>
      </c>
      <c r="AH2856">
        <v>0</v>
      </c>
      <c r="AI2856">
        <v>0</v>
      </c>
      <c r="AJ2856">
        <v>0</v>
      </c>
      <c r="AK2856">
        <v>0</v>
      </c>
      <c r="AL2856">
        <v>0</v>
      </c>
      <c r="AM2856">
        <v>0</v>
      </c>
      <c r="AN2856">
        <v>0</v>
      </c>
      <c r="AO2856">
        <v>0</v>
      </c>
      <c r="AP2856">
        <v>0</v>
      </c>
      <c r="AQ2856">
        <v>21.38</v>
      </c>
      <c r="AR2856">
        <v>0</v>
      </c>
      <c r="AS2856">
        <v>0</v>
      </c>
      <c r="AT2856">
        <v>0</v>
      </c>
      <c r="AU2856">
        <v>0</v>
      </c>
      <c r="AV2856">
        <v>0</v>
      </c>
      <c r="AW2856">
        <v>0</v>
      </c>
      <c r="AX2856">
        <v>0</v>
      </c>
      <c r="AY2856">
        <v>0</v>
      </c>
      <c r="AZ2856">
        <v>0</v>
      </c>
      <c r="BA2856">
        <v>0</v>
      </c>
      <c r="BB2856">
        <v>0</v>
      </c>
      <c r="BC2856">
        <v>0</v>
      </c>
      <c r="BD2856">
        <v>0</v>
      </c>
      <c r="BE2856">
        <v>0</v>
      </c>
      <c r="BF2856">
        <v>0</v>
      </c>
      <c r="BG2856">
        <v>0</v>
      </c>
      <c r="BH2856">
        <v>1</v>
      </c>
      <c r="BI2856">
        <v>1</v>
      </c>
      <c r="BJ2856">
        <v>0.2</v>
      </c>
      <c r="BK2856">
        <v>1</v>
      </c>
      <c r="BL2856">
        <v>69.98</v>
      </c>
      <c r="BM2856">
        <v>10.5</v>
      </c>
      <c r="BN2856">
        <v>80.48</v>
      </c>
      <c r="BO2856">
        <v>80.48</v>
      </c>
      <c r="BQ2856" t="s">
        <v>586</v>
      </c>
      <c r="BR2856" t="s">
        <v>84</v>
      </c>
      <c r="BS2856" s="3">
        <v>45800</v>
      </c>
      <c r="BT2856" s="4">
        <v>0.51736111111111116</v>
      </c>
      <c r="BU2856" t="s">
        <v>587</v>
      </c>
      <c r="BV2856" t="s">
        <v>89</v>
      </c>
      <c r="BY2856">
        <v>1200</v>
      </c>
      <c r="CA2856" t="s">
        <v>588</v>
      </c>
      <c r="CC2856" t="s">
        <v>464</v>
      </c>
      <c r="CD2856">
        <v>5200</v>
      </c>
      <c r="CE2856" t="s">
        <v>88</v>
      </c>
      <c r="CF2856" s="3">
        <v>45800</v>
      </c>
      <c r="CI2856">
        <v>1</v>
      </c>
      <c r="CJ2856">
        <v>1</v>
      </c>
      <c r="CK2856">
        <v>21</v>
      </c>
      <c r="CL2856" t="s">
        <v>89</v>
      </c>
    </row>
    <row r="2857" spans="1:90" x14ac:dyDescent="0.3">
      <c r="A2857" t="s">
        <v>72</v>
      </c>
      <c r="B2857" t="s">
        <v>73</v>
      </c>
      <c r="C2857" t="s">
        <v>74</v>
      </c>
      <c r="E2857" t="str">
        <f>"080065511583"</f>
        <v>080065511583</v>
      </c>
      <c r="F2857" s="3">
        <v>45799</v>
      </c>
      <c r="G2857">
        <v>202602</v>
      </c>
      <c r="H2857" t="s">
        <v>75</v>
      </c>
      <c r="I2857" t="s">
        <v>76</v>
      </c>
      <c r="J2857" t="s">
        <v>77</v>
      </c>
      <c r="K2857" t="s">
        <v>78</v>
      </c>
      <c r="L2857" t="s">
        <v>287</v>
      </c>
      <c r="M2857" t="s">
        <v>288</v>
      </c>
      <c r="N2857" t="s">
        <v>289</v>
      </c>
      <c r="O2857" t="s">
        <v>82</v>
      </c>
      <c r="P2857" t="str">
        <f>"4170040096                    "</f>
        <v xml:space="preserve">4170040096                    </v>
      </c>
      <c r="Q2857">
        <v>0</v>
      </c>
      <c r="R2857">
        <v>0</v>
      </c>
      <c r="S2857">
        <v>0</v>
      </c>
      <c r="T2857">
        <v>0</v>
      </c>
      <c r="U2857">
        <v>0</v>
      </c>
      <c r="V2857">
        <v>0</v>
      </c>
      <c r="W2857">
        <v>0</v>
      </c>
      <c r="X2857">
        <v>0</v>
      </c>
      <c r="Y2857">
        <v>0</v>
      </c>
      <c r="Z2857">
        <v>0</v>
      </c>
      <c r="AA2857">
        <v>0</v>
      </c>
      <c r="AB2857">
        <v>0</v>
      </c>
      <c r="AC2857">
        <v>0</v>
      </c>
      <c r="AD2857">
        <v>0</v>
      </c>
      <c r="AE2857">
        <v>0</v>
      </c>
      <c r="AF2857">
        <v>0</v>
      </c>
      <c r="AG2857">
        <v>0</v>
      </c>
      <c r="AH2857">
        <v>0</v>
      </c>
      <c r="AI2857">
        <v>0</v>
      </c>
      <c r="AJ2857">
        <v>0</v>
      </c>
      <c r="AK2857">
        <v>0</v>
      </c>
      <c r="AL2857">
        <v>0</v>
      </c>
      <c r="AM2857">
        <v>0</v>
      </c>
      <c r="AN2857">
        <v>0</v>
      </c>
      <c r="AO2857">
        <v>0</v>
      </c>
      <c r="AP2857">
        <v>0</v>
      </c>
      <c r="AQ2857">
        <v>41.43</v>
      </c>
      <c r="AR2857">
        <v>0</v>
      </c>
      <c r="AS2857">
        <v>0</v>
      </c>
      <c r="AT2857">
        <v>0</v>
      </c>
      <c r="AU2857">
        <v>0</v>
      </c>
      <c r="AV2857">
        <v>0</v>
      </c>
      <c r="AW2857">
        <v>0</v>
      </c>
      <c r="AX2857">
        <v>0</v>
      </c>
      <c r="AY2857">
        <v>0</v>
      </c>
      <c r="AZ2857">
        <v>0</v>
      </c>
      <c r="BA2857">
        <v>0</v>
      </c>
      <c r="BB2857">
        <v>0</v>
      </c>
      <c r="BC2857">
        <v>0</v>
      </c>
      <c r="BD2857">
        <v>0</v>
      </c>
      <c r="BE2857">
        <v>0</v>
      </c>
      <c r="BF2857">
        <v>0</v>
      </c>
      <c r="BG2857">
        <v>0</v>
      </c>
      <c r="BH2857">
        <v>1</v>
      </c>
      <c r="BI2857">
        <v>1</v>
      </c>
      <c r="BJ2857">
        <v>0.6</v>
      </c>
      <c r="BK2857">
        <v>1</v>
      </c>
      <c r="BL2857">
        <v>135.59</v>
      </c>
      <c r="BM2857">
        <v>20.34</v>
      </c>
      <c r="BN2857">
        <v>155.93</v>
      </c>
      <c r="BO2857">
        <v>155.93</v>
      </c>
      <c r="BQ2857" t="s">
        <v>290</v>
      </c>
      <c r="BR2857" t="s">
        <v>84</v>
      </c>
      <c r="BS2857" s="3">
        <v>45800</v>
      </c>
      <c r="BT2857" s="4">
        <v>0.50208333333333333</v>
      </c>
      <c r="BU2857" t="s">
        <v>291</v>
      </c>
      <c r="BV2857" t="s">
        <v>86</v>
      </c>
      <c r="BY2857">
        <v>3192</v>
      </c>
      <c r="CA2857" t="s">
        <v>292</v>
      </c>
      <c r="CC2857" t="s">
        <v>288</v>
      </c>
      <c r="CD2857">
        <v>6715</v>
      </c>
      <c r="CE2857" t="s">
        <v>116</v>
      </c>
      <c r="CF2857" s="3">
        <v>45803</v>
      </c>
      <c r="CI2857">
        <v>2</v>
      </c>
      <c r="CJ2857">
        <v>1</v>
      </c>
      <c r="CK2857">
        <v>23</v>
      </c>
      <c r="CL2857" t="s">
        <v>89</v>
      </c>
    </row>
    <row r="2858" spans="1:90" x14ac:dyDescent="0.3">
      <c r="A2858" t="s">
        <v>72</v>
      </c>
      <c r="B2858" t="s">
        <v>73</v>
      </c>
      <c r="C2858" t="s">
        <v>74</v>
      </c>
      <c r="E2858" t="str">
        <f>"080065511593"</f>
        <v>080065511593</v>
      </c>
      <c r="F2858" s="3">
        <v>45799</v>
      </c>
      <c r="G2858">
        <v>202602</v>
      </c>
      <c r="H2858" t="s">
        <v>75</v>
      </c>
      <c r="I2858" t="s">
        <v>76</v>
      </c>
      <c r="J2858" t="s">
        <v>77</v>
      </c>
      <c r="K2858" t="s">
        <v>78</v>
      </c>
      <c r="L2858" t="s">
        <v>75</v>
      </c>
      <c r="M2858" t="s">
        <v>76</v>
      </c>
      <c r="N2858" t="s">
        <v>1776</v>
      </c>
      <c r="O2858" t="s">
        <v>82</v>
      </c>
      <c r="P2858" t="str">
        <f>"4170040045                    "</f>
        <v xml:space="preserve">4170040045                    </v>
      </c>
      <c r="Q2858">
        <v>0</v>
      </c>
      <c r="R2858">
        <v>0</v>
      </c>
      <c r="S2858">
        <v>0</v>
      </c>
      <c r="T2858">
        <v>0</v>
      </c>
      <c r="U2858">
        <v>0</v>
      </c>
      <c r="V2858">
        <v>0</v>
      </c>
      <c r="W2858">
        <v>0</v>
      </c>
      <c r="X2858">
        <v>0</v>
      </c>
      <c r="Y2858">
        <v>0</v>
      </c>
      <c r="Z2858">
        <v>0</v>
      </c>
      <c r="AA2858">
        <v>0</v>
      </c>
      <c r="AB2858">
        <v>0</v>
      </c>
      <c r="AC2858">
        <v>0</v>
      </c>
      <c r="AD2858">
        <v>0</v>
      </c>
      <c r="AE2858">
        <v>0</v>
      </c>
      <c r="AF2858">
        <v>0</v>
      </c>
      <c r="AG2858">
        <v>0</v>
      </c>
      <c r="AH2858">
        <v>0</v>
      </c>
      <c r="AI2858">
        <v>0</v>
      </c>
      <c r="AJ2858">
        <v>0</v>
      </c>
      <c r="AK2858">
        <v>0</v>
      </c>
      <c r="AL2858">
        <v>0</v>
      </c>
      <c r="AM2858">
        <v>0</v>
      </c>
      <c r="AN2858">
        <v>0</v>
      </c>
      <c r="AO2858">
        <v>0</v>
      </c>
      <c r="AP2858">
        <v>0</v>
      </c>
      <c r="AQ2858">
        <v>16.7</v>
      </c>
      <c r="AR2858">
        <v>0</v>
      </c>
      <c r="AS2858">
        <v>0</v>
      </c>
      <c r="AT2858">
        <v>0</v>
      </c>
      <c r="AU2858">
        <v>0</v>
      </c>
      <c r="AV2858">
        <v>0</v>
      </c>
      <c r="AW2858">
        <v>0</v>
      </c>
      <c r="AX2858">
        <v>0</v>
      </c>
      <c r="AY2858">
        <v>0</v>
      </c>
      <c r="AZ2858">
        <v>0</v>
      </c>
      <c r="BA2858">
        <v>0</v>
      </c>
      <c r="BB2858">
        <v>0</v>
      </c>
      <c r="BC2858">
        <v>0</v>
      </c>
      <c r="BD2858">
        <v>0</v>
      </c>
      <c r="BE2858">
        <v>0</v>
      </c>
      <c r="BF2858">
        <v>0</v>
      </c>
      <c r="BG2858">
        <v>0</v>
      </c>
      <c r="BH2858">
        <v>1</v>
      </c>
      <c r="BI2858">
        <v>1</v>
      </c>
      <c r="BJ2858">
        <v>0.2</v>
      </c>
      <c r="BK2858">
        <v>1</v>
      </c>
      <c r="BL2858">
        <v>54.66</v>
      </c>
      <c r="BM2858">
        <v>8.1999999999999993</v>
      </c>
      <c r="BN2858">
        <v>62.86</v>
      </c>
      <c r="BO2858">
        <v>62.86</v>
      </c>
      <c r="BQ2858" t="s">
        <v>1777</v>
      </c>
      <c r="BR2858" t="s">
        <v>84</v>
      </c>
      <c r="BS2858" s="3">
        <v>45800</v>
      </c>
      <c r="BT2858" s="4">
        <v>0.32291666666666669</v>
      </c>
      <c r="BU2858" t="s">
        <v>746</v>
      </c>
      <c r="BV2858" t="s">
        <v>86</v>
      </c>
      <c r="BY2858">
        <v>1200</v>
      </c>
      <c r="CA2858" t="s">
        <v>853</v>
      </c>
      <c r="CC2858" t="s">
        <v>76</v>
      </c>
      <c r="CD2858">
        <v>1665</v>
      </c>
      <c r="CE2858" t="s">
        <v>88</v>
      </c>
      <c r="CF2858" s="3">
        <v>45800</v>
      </c>
      <c r="CI2858">
        <v>1</v>
      </c>
      <c r="CJ2858">
        <v>1</v>
      </c>
      <c r="CK2858">
        <v>22</v>
      </c>
      <c r="CL2858" t="s">
        <v>89</v>
      </c>
    </row>
    <row r="2859" spans="1:90" x14ac:dyDescent="0.3">
      <c r="A2859" t="s">
        <v>72</v>
      </c>
      <c r="B2859" t="s">
        <v>73</v>
      </c>
      <c r="C2859" t="s">
        <v>74</v>
      </c>
      <c r="E2859" t="str">
        <f>"080065511628"</f>
        <v>080065511628</v>
      </c>
      <c r="F2859" s="3">
        <v>45799</v>
      </c>
      <c r="G2859">
        <v>202602</v>
      </c>
      <c r="H2859" t="s">
        <v>75</v>
      </c>
      <c r="I2859" t="s">
        <v>76</v>
      </c>
      <c r="J2859" t="s">
        <v>77</v>
      </c>
      <c r="K2859" t="s">
        <v>78</v>
      </c>
      <c r="L2859" t="s">
        <v>123</v>
      </c>
      <c r="M2859" t="s">
        <v>123</v>
      </c>
      <c r="N2859" t="s">
        <v>593</v>
      </c>
      <c r="O2859" t="s">
        <v>82</v>
      </c>
      <c r="P2859" t="str">
        <f>"4170040087                    "</f>
        <v xml:space="preserve">4170040087                    </v>
      </c>
      <c r="Q2859">
        <v>0</v>
      </c>
      <c r="R2859">
        <v>0</v>
      </c>
      <c r="S2859">
        <v>0</v>
      </c>
      <c r="T2859">
        <v>0</v>
      </c>
      <c r="U2859">
        <v>0</v>
      </c>
      <c r="V2859">
        <v>0</v>
      </c>
      <c r="W2859">
        <v>0</v>
      </c>
      <c r="X2859">
        <v>0</v>
      </c>
      <c r="Y2859">
        <v>0</v>
      </c>
      <c r="Z2859">
        <v>0</v>
      </c>
      <c r="AA2859">
        <v>0</v>
      </c>
      <c r="AB2859">
        <v>0</v>
      </c>
      <c r="AC2859">
        <v>0</v>
      </c>
      <c r="AD2859">
        <v>0</v>
      </c>
      <c r="AE2859">
        <v>0</v>
      </c>
      <c r="AF2859">
        <v>0</v>
      </c>
      <c r="AG2859">
        <v>0</v>
      </c>
      <c r="AH2859">
        <v>0</v>
      </c>
      <c r="AI2859">
        <v>0</v>
      </c>
      <c r="AJ2859">
        <v>0</v>
      </c>
      <c r="AK2859">
        <v>0</v>
      </c>
      <c r="AL2859">
        <v>0</v>
      </c>
      <c r="AM2859">
        <v>0</v>
      </c>
      <c r="AN2859">
        <v>0</v>
      </c>
      <c r="AO2859">
        <v>0</v>
      </c>
      <c r="AP2859">
        <v>0</v>
      </c>
      <c r="AQ2859">
        <v>41.43</v>
      </c>
      <c r="AR2859">
        <v>0</v>
      </c>
      <c r="AS2859">
        <v>0</v>
      </c>
      <c r="AT2859">
        <v>0</v>
      </c>
      <c r="AU2859">
        <v>0</v>
      </c>
      <c r="AV2859">
        <v>0</v>
      </c>
      <c r="AW2859">
        <v>0</v>
      </c>
      <c r="AX2859">
        <v>0</v>
      </c>
      <c r="AY2859">
        <v>0</v>
      </c>
      <c r="AZ2859">
        <v>0</v>
      </c>
      <c r="BA2859">
        <v>0</v>
      </c>
      <c r="BB2859">
        <v>0</v>
      </c>
      <c r="BC2859">
        <v>0</v>
      </c>
      <c r="BD2859">
        <v>0</v>
      </c>
      <c r="BE2859">
        <v>0</v>
      </c>
      <c r="BF2859">
        <v>0</v>
      </c>
      <c r="BG2859">
        <v>0</v>
      </c>
      <c r="BH2859">
        <v>1</v>
      </c>
      <c r="BI2859">
        <v>1</v>
      </c>
      <c r="BJ2859">
        <v>0.2</v>
      </c>
      <c r="BK2859">
        <v>1</v>
      </c>
      <c r="BL2859">
        <v>135.59</v>
      </c>
      <c r="BM2859">
        <v>20.34</v>
      </c>
      <c r="BN2859">
        <v>155.93</v>
      </c>
      <c r="BO2859">
        <v>155.93</v>
      </c>
      <c r="BQ2859" t="s">
        <v>594</v>
      </c>
      <c r="BR2859" t="s">
        <v>84</v>
      </c>
      <c r="BS2859" s="3">
        <v>45800</v>
      </c>
      <c r="BT2859" s="4">
        <v>0.42777777777777776</v>
      </c>
      <c r="BU2859" t="s">
        <v>595</v>
      </c>
      <c r="BV2859" t="s">
        <v>86</v>
      </c>
      <c r="BY2859">
        <v>1200</v>
      </c>
      <c r="CA2859" t="s">
        <v>128</v>
      </c>
      <c r="CC2859" t="s">
        <v>123</v>
      </c>
      <c r="CD2859">
        <v>7646</v>
      </c>
      <c r="CE2859" t="s">
        <v>88</v>
      </c>
      <c r="CF2859" s="3">
        <v>45803</v>
      </c>
      <c r="CI2859">
        <v>1</v>
      </c>
      <c r="CJ2859">
        <v>1</v>
      </c>
      <c r="CK2859">
        <v>23</v>
      </c>
      <c r="CL2859" t="s">
        <v>89</v>
      </c>
    </row>
    <row r="2860" spans="1:90" x14ac:dyDescent="0.3">
      <c r="A2860" t="s">
        <v>72</v>
      </c>
      <c r="B2860" t="s">
        <v>73</v>
      </c>
      <c r="C2860" t="s">
        <v>74</v>
      </c>
      <c r="E2860" t="str">
        <f>"080065511631"</f>
        <v>080065511631</v>
      </c>
      <c r="F2860" s="3">
        <v>45799</v>
      </c>
      <c r="G2860">
        <v>202602</v>
      </c>
      <c r="H2860" t="s">
        <v>75</v>
      </c>
      <c r="I2860" t="s">
        <v>76</v>
      </c>
      <c r="J2860" t="s">
        <v>77</v>
      </c>
      <c r="K2860" t="s">
        <v>78</v>
      </c>
      <c r="L2860" t="s">
        <v>902</v>
      </c>
      <c r="M2860" t="s">
        <v>903</v>
      </c>
      <c r="N2860" t="s">
        <v>904</v>
      </c>
      <c r="O2860" t="s">
        <v>82</v>
      </c>
      <c r="P2860" t="str">
        <f>"4170040207                    "</f>
        <v xml:space="preserve">4170040207                    </v>
      </c>
      <c r="Q2860">
        <v>0</v>
      </c>
      <c r="R2860">
        <v>0</v>
      </c>
      <c r="S2860">
        <v>0</v>
      </c>
      <c r="T2860">
        <v>0</v>
      </c>
      <c r="U2860">
        <v>0</v>
      </c>
      <c r="V2860">
        <v>0</v>
      </c>
      <c r="W2860">
        <v>0</v>
      </c>
      <c r="X2860">
        <v>0</v>
      </c>
      <c r="Y2860">
        <v>0</v>
      </c>
      <c r="Z2860">
        <v>0</v>
      </c>
      <c r="AA2860">
        <v>0</v>
      </c>
      <c r="AB2860">
        <v>0</v>
      </c>
      <c r="AC2860">
        <v>0</v>
      </c>
      <c r="AD2860">
        <v>0</v>
      </c>
      <c r="AE2860">
        <v>0</v>
      </c>
      <c r="AF2860">
        <v>0</v>
      </c>
      <c r="AG2860">
        <v>0</v>
      </c>
      <c r="AH2860">
        <v>0</v>
      </c>
      <c r="AI2860">
        <v>0</v>
      </c>
      <c r="AJ2860">
        <v>0</v>
      </c>
      <c r="AK2860">
        <v>0</v>
      </c>
      <c r="AL2860">
        <v>0</v>
      </c>
      <c r="AM2860">
        <v>0</v>
      </c>
      <c r="AN2860">
        <v>0</v>
      </c>
      <c r="AO2860">
        <v>0</v>
      </c>
      <c r="AP2860">
        <v>0</v>
      </c>
      <c r="AQ2860">
        <v>50.78</v>
      </c>
      <c r="AR2860">
        <v>0</v>
      </c>
      <c r="AS2860">
        <v>0</v>
      </c>
      <c r="AT2860">
        <v>0</v>
      </c>
      <c r="AU2860">
        <v>0</v>
      </c>
      <c r="AV2860">
        <v>0</v>
      </c>
      <c r="AW2860">
        <v>0</v>
      </c>
      <c r="AX2860">
        <v>0</v>
      </c>
      <c r="AY2860">
        <v>0</v>
      </c>
      <c r="AZ2860">
        <v>0</v>
      </c>
      <c r="BA2860">
        <v>0</v>
      </c>
      <c r="BB2860">
        <v>0</v>
      </c>
      <c r="BC2860">
        <v>0</v>
      </c>
      <c r="BD2860">
        <v>0</v>
      </c>
      <c r="BE2860">
        <v>0</v>
      </c>
      <c r="BF2860">
        <v>0</v>
      </c>
      <c r="BG2860">
        <v>0</v>
      </c>
      <c r="BH2860">
        <v>1</v>
      </c>
      <c r="BI2860">
        <v>2</v>
      </c>
      <c r="BJ2860">
        <v>2.4</v>
      </c>
      <c r="BK2860">
        <v>2.5</v>
      </c>
      <c r="BL2860">
        <v>166.2</v>
      </c>
      <c r="BM2860">
        <v>24.93</v>
      </c>
      <c r="BN2860">
        <v>191.13</v>
      </c>
      <c r="BO2860">
        <v>191.13</v>
      </c>
      <c r="BQ2860" t="s">
        <v>905</v>
      </c>
      <c r="BR2860" t="s">
        <v>84</v>
      </c>
      <c r="BS2860" s="3">
        <v>45800</v>
      </c>
      <c r="BT2860" s="4">
        <v>0.51597222222222228</v>
      </c>
      <c r="BU2860" t="s">
        <v>906</v>
      </c>
      <c r="BV2860" t="s">
        <v>86</v>
      </c>
      <c r="BY2860">
        <v>12152</v>
      </c>
      <c r="CA2860" t="s">
        <v>907</v>
      </c>
      <c r="CC2860" t="s">
        <v>903</v>
      </c>
      <c r="CD2860">
        <v>1028</v>
      </c>
      <c r="CE2860" t="s">
        <v>221</v>
      </c>
      <c r="CF2860" s="3">
        <v>45800</v>
      </c>
      <c r="CI2860">
        <v>1</v>
      </c>
      <c r="CJ2860">
        <v>1</v>
      </c>
      <c r="CK2860">
        <v>23</v>
      </c>
      <c r="CL2860" t="s">
        <v>89</v>
      </c>
    </row>
    <row r="2861" spans="1:90" x14ac:dyDescent="0.3">
      <c r="A2861" t="s">
        <v>72</v>
      </c>
      <c r="B2861" t="s">
        <v>73</v>
      </c>
      <c r="C2861" t="s">
        <v>74</v>
      </c>
      <c r="E2861" t="str">
        <f>"080065511654"</f>
        <v>080065511654</v>
      </c>
      <c r="F2861" s="3">
        <v>45799</v>
      </c>
      <c r="G2861">
        <v>202602</v>
      </c>
      <c r="H2861" t="s">
        <v>75</v>
      </c>
      <c r="I2861" t="s">
        <v>76</v>
      </c>
      <c r="J2861" t="s">
        <v>77</v>
      </c>
      <c r="K2861" t="s">
        <v>78</v>
      </c>
      <c r="L2861" t="s">
        <v>130</v>
      </c>
      <c r="M2861" t="s">
        <v>131</v>
      </c>
      <c r="N2861" t="s">
        <v>709</v>
      </c>
      <c r="O2861" t="s">
        <v>82</v>
      </c>
      <c r="P2861" t="str">
        <f>"4170040110                    "</f>
        <v xml:space="preserve">4170040110                    </v>
      </c>
      <c r="Q2861">
        <v>0</v>
      </c>
      <c r="R2861">
        <v>0</v>
      </c>
      <c r="S2861">
        <v>0</v>
      </c>
      <c r="T2861">
        <v>0</v>
      </c>
      <c r="U2861">
        <v>0</v>
      </c>
      <c r="V2861">
        <v>0</v>
      </c>
      <c r="W2861">
        <v>0</v>
      </c>
      <c r="X2861">
        <v>0</v>
      </c>
      <c r="Y2861">
        <v>0</v>
      </c>
      <c r="Z2861">
        <v>0</v>
      </c>
      <c r="AA2861">
        <v>0</v>
      </c>
      <c r="AB2861">
        <v>0</v>
      </c>
      <c r="AC2861">
        <v>0</v>
      </c>
      <c r="AD2861">
        <v>0</v>
      </c>
      <c r="AE2861">
        <v>0</v>
      </c>
      <c r="AF2861">
        <v>0</v>
      </c>
      <c r="AG2861">
        <v>0</v>
      </c>
      <c r="AH2861">
        <v>0</v>
      </c>
      <c r="AI2861">
        <v>0</v>
      </c>
      <c r="AJ2861">
        <v>0</v>
      </c>
      <c r="AK2861">
        <v>0</v>
      </c>
      <c r="AL2861">
        <v>0</v>
      </c>
      <c r="AM2861">
        <v>0</v>
      </c>
      <c r="AN2861">
        <v>0</v>
      </c>
      <c r="AO2861">
        <v>0</v>
      </c>
      <c r="AP2861">
        <v>0</v>
      </c>
      <c r="AQ2861">
        <v>21.38</v>
      </c>
      <c r="AR2861">
        <v>0</v>
      </c>
      <c r="AS2861">
        <v>0</v>
      </c>
      <c r="AT2861">
        <v>0</v>
      </c>
      <c r="AU2861">
        <v>0</v>
      </c>
      <c r="AV2861">
        <v>0</v>
      </c>
      <c r="AW2861">
        <v>0</v>
      </c>
      <c r="AX2861">
        <v>0</v>
      </c>
      <c r="AY2861">
        <v>0</v>
      </c>
      <c r="AZ2861">
        <v>0</v>
      </c>
      <c r="BA2861">
        <v>0</v>
      </c>
      <c r="BB2861">
        <v>0</v>
      </c>
      <c r="BC2861">
        <v>0</v>
      </c>
      <c r="BD2861">
        <v>0</v>
      </c>
      <c r="BE2861">
        <v>0</v>
      </c>
      <c r="BF2861">
        <v>0</v>
      </c>
      <c r="BG2861">
        <v>0</v>
      </c>
      <c r="BH2861">
        <v>1</v>
      </c>
      <c r="BI2861">
        <v>1</v>
      </c>
      <c r="BJ2861">
        <v>0.2</v>
      </c>
      <c r="BK2861">
        <v>1</v>
      </c>
      <c r="BL2861">
        <v>69.98</v>
      </c>
      <c r="BM2861">
        <v>10.5</v>
      </c>
      <c r="BN2861">
        <v>80.48</v>
      </c>
      <c r="BO2861">
        <v>80.48</v>
      </c>
      <c r="BQ2861" t="s">
        <v>710</v>
      </c>
      <c r="BR2861" t="s">
        <v>84</v>
      </c>
      <c r="BS2861" s="3">
        <v>45800</v>
      </c>
      <c r="BT2861" s="4">
        <v>0.32430555555555557</v>
      </c>
      <c r="BU2861" t="s">
        <v>2905</v>
      </c>
      <c r="BV2861" t="s">
        <v>86</v>
      </c>
      <c r="BY2861">
        <v>1200</v>
      </c>
      <c r="CA2861" t="s">
        <v>712</v>
      </c>
      <c r="CC2861" t="s">
        <v>131</v>
      </c>
      <c r="CD2861">
        <v>7530</v>
      </c>
      <c r="CE2861" t="s">
        <v>88</v>
      </c>
      <c r="CF2861" s="3">
        <v>45803</v>
      </c>
      <c r="CI2861">
        <v>1</v>
      </c>
      <c r="CJ2861">
        <v>1</v>
      </c>
      <c r="CK2861">
        <v>21</v>
      </c>
      <c r="CL2861" t="s">
        <v>89</v>
      </c>
    </row>
    <row r="2862" spans="1:90" x14ac:dyDescent="0.3">
      <c r="A2862" t="s">
        <v>72</v>
      </c>
      <c r="B2862" t="s">
        <v>73</v>
      </c>
      <c r="C2862" t="s">
        <v>74</v>
      </c>
      <c r="E2862" t="str">
        <f>"080065511762"</f>
        <v>080065511762</v>
      </c>
      <c r="F2862" s="3">
        <v>45799</v>
      </c>
      <c r="G2862">
        <v>202602</v>
      </c>
      <c r="H2862" t="s">
        <v>75</v>
      </c>
      <c r="I2862" t="s">
        <v>76</v>
      </c>
      <c r="J2862" t="s">
        <v>77</v>
      </c>
      <c r="K2862" t="s">
        <v>78</v>
      </c>
      <c r="L2862" t="s">
        <v>90</v>
      </c>
      <c r="M2862" t="s">
        <v>91</v>
      </c>
      <c r="N2862" t="s">
        <v>639</v>
      </c>
      <c r="O2862" t="s">
        <v>82</v>
      </c>
      <c r="P2862" t="str">
        <f>"4170040204                    "</f>
        <v xml:space="preserve">4170040204                    </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c r="AK2862">
        <v>0</v>
      </c>
      <c r="AL2862">
        <v>0</v>
      </c>
      <c r="AM2862">
        <v>0</v>
      </c>
      <c r="AN2862">
        <v>0</v>
      </c>
      <c r="AO2862">
        <v>0</v>
      </c>
      <c r="AP2862">
        <v>0</v>
      </c>
      <c r="AQ2862">
        <v>21.38</v>
      </c>
      <c r="AR2862">
        <v>0</v>
      </c>
      <c r="AS2862">
        <v>0</v>
      </c>
      <c r="AT2862">
        <v>0</v>
      </c>
      <c r="AU2862">
        <v>0</v>
      </c>
      <c r="AV2862">
        <v>0</v>
      </c>
      <c r="AW2862">
        <v>0</v>
      </c>
      <c r="AX2862">
        <v>0</v>
      </c>
      <c r="AY2862">
        <v>0</v>
      </c>
      <c r="AZ2862">
        <v>0</v>
      </c>
      <c r="BA2862">
        <v>0</v>
      </c>
      <c r="BB2862">
        <v>0</v>
      </c>
      <c r="BC2862">
        <v>0</v>
      </c>
      <c r="BD2862">
        <v>0</v>
      </c>
      <c r="BE2862">
        <v>0</v>
      </c>
      <c r="BF2862">
        <v>0</v>
      </c>
      <c r="BG2862">
        <v>0</v>
      </c>
      <c r="BH2862">
        <v>1</v>
      </c>
      <c r="BI2862">
        <v>1</v>
      </c>
      <c r="BJ2862">
        <v>0.2</v>
      </c>
      <c r="BK2862">
        <v>1</v>
      </c>
      <c r="BL2862">
        <v>69.98</v>
      </c>
      <c r="BM2862">
        <v>10.5</v>
      </c>
      <c r="BN2862">
        <v>80.48</v>
      </c>
      <c r="BO2862">
        <v>80.48</v>
      </c>
      <c r="BQ2862" t="s">
        <v>640</v>
      </c>
      <c r="BR2862" t="s">
        <v>84</v>
      </c>
      <c r="BS2862" s="3">
        <v>45800</v>
      </c>
      <c r="BT2862" s="4">
        <v>0.3972222222222222</v>
      </c>
      <c r="BU2862" t="s">
        <v>2820</v>
      </c>
      <c r="BV2862" t="s">
        <v>86</v>
      </c>
      <c r="BY2862">
        <v>1200</v>
      </c>
      <c r="CA2862" t="s">
        <v>271</v>
      </c>
      <c r="CC2862" t="s">
        <v>91</v>
      </c>
      <c r="CD2862">
        <v>6001</v>
      </c>
      <c r="CE2862" t="s">
        <v>88</v>
      </c>
      <c r="CF2862" s="3">
        <v>45800</v>
      </c>
      <c r="CI2862">
        <v>1</v>
      </c>
      <c r="CJ2862">
        <v>1</v>
      </c>
      <c r="CK2862">
        <v>21</v>
      </c>
      <c r="CL2862" t="s">
        <v>89</v>
      </c>
    </row>
    <row r="2863" spans="1:90" x14ac:dyDescent="0.3">
      <c r="A2863" t="s">
        <v>72</v>
      </c>
      <c r="B2863" t="s">
        <v>73</v>
      </c>
      <c r="C2863" t="s">
        <v>74</v>
      </c>
      <c r="E2863" t="str">
        <f>"080065511807"</f>
        <v>080065511807</v>
      </c>
      <c r="F2863" s="3">
        <v>45799</v>
      </c>
      <c r="G2863">
        <v>202602</v>
      </c>
      <c r="H2863" t="s">
        <v>75</v>
      </c>
      <c r="I2863" t="s">
        <v>76</v>
      </c>
      <c r="J2863" t="s">
        <v>77</v>
      </c>
      <c r="K2863" t="s">
        <v>78</v>
      </c>
      <c r="L2863" t="s">
        <v>320</v>
      </c>
      <c r="M2863" t="s">
        <v>321</v>
      </c>
      <c r="N2863" t="s">
        <v>499</v>
      </c>
      <c r="O2863" t="s">
        <v>82</v>
      </c>
      <c r="P2863" t="str">
        <f>"4170040089                    "</f>
        <v xml:space="preserve">4170040089                    </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c r="AK2863">
        <v>0</v>
      </c>
      <c r="AL2863">
        <v>0</v>
      </c>
      <c r="AM2863">
        <v>0</v>
      </c>
      <c r="AN2863">
        <v>0</v>
      </c>
      <c r="AO2863">
        <v>0</v>
      </c>
      <c r="AP2863">
        <v>0</v>
      </c>
      <c r="AQ2863">
        <v>21.38</v>
      </c>
      <c r="AR2863">
        <v>0</v>
      </c>
      <c r="AS2863">
        <v>0</v>
      </c>
      <c r="AT2863">
        <v>0</v>
      </c>
      <c r="AU2863">
        <v>0</v>
      </c>
      <c r="AV2863">
        <v>0</v>
      </c>
      <c r="AW2863">
        <v>0</v>
      </c>
      <c r="AX2863">
        <v>0</v>
      </c>
      <c r="AY2863">
        <v>0</v>
      </c>
      <c r="AZ2863">
        <v>0</v>
      </c>
      <c r="BA2863">
        <v>0</v>
      </c>
      <c r="BB2863">
        <v>0</v>
      </c>
      <c r="BC2863">
        <v>0</v>
      </c>
      <c r="BD2863">
        <v>0</v>
      </c>
      <c r="BE2863">
        <v>0</v>
      </c>
      <c r="BF2863">
        <v>0</v>
      </c>
      <c r="BG2863">
        <v>0</v>
      </c>
      <c r="BH2863">
        <v>1</v>
      </c>
      <c r="BI2863">
        <v>1</v>
      </c>
      <c r="BJ2863">
        <v>0.2</v>
      </c>
      <c r="BK2863">
        <v>1</v>
      </c>
      <c r="BL2863">
        <v>69.98</v>
      </c>
      <c r="BM2863">
        <v>10.5</v>
      </c>
      <c r="BN2863">
        <v>80.48</v>
      </c>
      <c r="BO2863">
        <v>80.48</v>
      </c>
      <c r="BQ2863" t="s">
        <v>500</v>
      </c>
      <c r="BR2863" t="s">
        <v>84</v>
      </c>
      <c r="BS2863" s="3">
        <v>45800</v>
      </c>
      <c r="BT2863" s="4">
        <v>0.42152777777777778</v>
      </c>
      <c r="BU2863" t="s">
        <v>623</v>
      </c>
      <c r="BV2863" t="s">
        <v>86</v>
      </c>
      <c r="BY2863">
        <v>1200</v>
      </c>
      <c r="CA2863" t="s">
        <v>326</v>
      </c>
      <c r="CC2863" t="s">
        <v>321</v>
      </c>
      <c r="CD2863">
        <v>4133</v>
      </c>
      <c r="CE2863" t="s">
        <v>88</v>
      </c>
      <c r="CF2863" s="3">
        <v>45800</v>
      </c>
      <c r="CI2863">
        <v>1</v>
      </c>
      <c r="CJ2863">
        <v>1</v>
      </c>
      <c r="CK2863">
        <v>21</v>
      </c>
      <c r="CL2863" t="s">
        <v>89</v>
      </c>
    </row>
    <row r="2864" spans="1:90" x14ac:dyDescent="0.3">
      <c r="A2864" t="s">
        <v>72</v>
      </c>
      <c r="B2864" t="s">
        <v>73</v>
      </c>
      <c r="C2864" t="s">
        <v>74</v>
      </c>
      <c r="E2864" t="str">
        <f>"080065511839"</f>
        <v>080065511839</v>
      </c>
      <c r="F2864" s="3">
        <v>45799</v>
      </c>
      <c r="G2864">
        <v>202602</v>
      </c>
      <c r="H2864" t="s">
        <v>75</v>
      </c>
      <c r="I2864" t="s">
        <v>76</v>
      </c>
      <c r="J2864" t="s">
        <v>77</v>
      </c>
      <c r="K2864" t="s">
        <v>78</v>
      </c>
      <c r="L2864" t="s">
        <v>844</v>
      </c>
      <c r="M2864" t="s">
        <v>845</v>
      </c>
      <c r="N2864" t="s">
        <v>846</v>
      </c>
      <c r="O2864" t="s">
        <v>82</v>
      </c>
      <c r="P2864" t="str">
        <f>"4170040175                    "</f>
        <v xml:space="preserve">4170040175                    </v>
      </c>
      <c r="Q2864">
        <v>0</v>
      </c>
      <c r="R2864">
        <v>0</v>
      </c>
      <c r="S2864">
        <v>0</v>
      </c>
      <c r="T2864">
        <v>0</v>
      </c>
      <c r="U2864">
        <v>0</v>
      </c>
      <c r="V2864">
        <v>0</v>
      </c>
      <c r="W2864">
        <v>0</v>
      </c>
      <c r="X2864">
        <v>0</v>
      </c>
      <c r="Y2864">
        <v>0</v>
      </c>
      <c r="Z2864">
        <v>0</v>
      </c>
      <c r="AA2864">
        <v>0</v>
      </c>
      <c r="AB2864">
        <v>0</v>
      </c>
      <c r="AC2864">
        <v>0</v>
      </c>
      <c r="AD2864">
        <v>0</v>
      </c>
      <c r="AE2864">
        <v>0</v>
      </c>
      <c r="AF2864">
        <v>0</v>
      </c>
      <c r="AG2864">
        <v>0</v>
      </c>
      <c r="AH2864">
        <v>0</v>
      </c>
      <c r="AI2864">
        <v>0</v>
      </c>
      <c r="AJ2864">
        <v>0</v>
      </c>
      <c r="AK2864">
        <v>0</v>
      </c>
      <c r="AL2864">
        <v>0</v>
      </c>
      <c r="AM2864">
        <v>0</v>
      </c>
      <c r="AN2864">
        <v>0</v>
      </c>
      <c r="AO2864">
        <v>0</v>
      </c>
      <c r="AP2864">
        <v>0</v>
      </c>
      <c r="AQ2864">
        <v>21.38</v>
      </c>
      <c r="AR2864">
        <v>0</v>
      </c>
      <c r="AS2864">
        <v>0</v>
      </c>
      <c r="AT2864">
        <v>0</v>
      </c>
      <c r="AU2864">
        <v>0</v>
      </c>
      <c r="AV2864">
        <v>0</v>
      </c>
      <c r="AW2864">
        <v>0</v>
      </c>
      <c r="AX2864">
        <v>0</v>
      </c>
      <c r="AY2864">
        <v>0</v>
      </c>
      <c r="AZ2864">
        <v>0</v>
      </c>
      <c r="BA2864">
        <v>0</v>
      </c>
      <c r="BB2864">
        <v>0</v>
      </c>
      <c r="BC2864">
        <v>0</v>
      </c>
      <c r="BD2864">
        <v>0</v>
      </c>
      <c r="BE2864">
        <v>0</v>
      </c>
      <c r="BF2864">
        <v>0</v>
      </c>
      <c r="BG2864">
        <v>0</v>
      </c>
      <c r="BH2864">
        <v>1</v>
      </c>
      <c r="BI2864">
        <v>1</v>
      </c>
      <c r="BJ2864">
        <v>0.2</v>
      </c>
      <c r="BK2864">
        <v>1</v>
      </c>
      <c r="BL2864">
        <v>69.98</v>
      </c>
      <c r="BM2864">
        <v>10.5</v>
      </c>
      <c r="BN2864">
        <v>80.48</v>
      </c>
      <c r="BO2864">
        <v>80.48</v>
      </c>
      <c r="BQ2864" t="s">
        <v>847</v>
      </c>
      <c r="BR2864" t="s">
        <v>84</v>
      </c>
      <c r="BS2864" s="3">
        <v>45800</v>
      </c>
      <c r="BT2864" s="4">
        <v>0.33124999999999999</v>
      </c>
      <c r="BU2864" t="s">
        <v>2897</v>
      </c>
      <c r="BV2864" t="s">
        <v>86</v>
      </c>
      <c r="BY2864">
        <v>1200</v>
      </c>
      <c r="CA2864" t="s">
        <v>849</v>
      </c>
      <c r="CC2864" t="s">
        <v>845</v>
      </c>
      <c r="CD2864">
        <v>7600</v>
      </c>
      <c r="CE2864" t="s">
        <v>88</v>
      </c>
      <c r="CF2864" s="3">
        <v>45803</v>
      </c>
      <c r="CI2864">
        <v>1</v>
      </c>
      <c r="CJ2864">
        <v>1</v>
      </c>
      <c r="CK2864">
        <v>21</v>
      </c>
      <c r="CL2864" t="s">
        <v>89</v>
      </c>
    </row>
    <row r="2865" spans="1:90" x14ac:dyDescent="0.3">
      <c r="A2865" t="s">
        <v>72</v>
      </c>
      <c r="B2865" t="s">
        <v>73</v>
      </c>
      <c r="C2865" t="s">
        <v>74</v>
      </c>
      <c r="E2865" t="str">
        <f>"080065511855"</f>
        <v>080065511855</v>
      </c>
      <c r="F2865" s="3">
        <v>45799</v>
      </c>
      <c r="G2865">
        <v>202602</v>
      </c>
      <c r="H2865" t="s">
        <v>75</v>
      </c>
      <c r="I2865" t="s">
        <v>76</v>
      </c>
      <c r="J2865" t="s">
        <v>77</v>
      </c>
      <c r="K2865" t="s">
        <v>78</v>
      </c>
      <c r="L2865" t="s">
        <v>479</v>
      </c>
      <c r="M2865" t="s">
        <v>480</v>
      </c>
      <c r="N2865" t="s">
        <v>1686</v>
      </c>
      <c r="O2865" t="s">
        <v>82</v>
      </c>
      <c r="P2865" t="str">
        <f>"4170038560                    "</f>
        <v xml:space="preserve">4170038560                    </v>
      </c>
      <c r="Q2865">
        <v>0</v>
      </c>
      <c r="R2865">
        <v>0</v>
      </c>
      <c r="S2865">
        <v>0</v>
      </c>
      <c r="T2865">
        <v>0</v>
      </c>
      <c r="U2865">
        <v>0</v>
      </c>
      <c r="V2865">
        <v>0</v>
      </c>
      <c r="W2865">
        <v>0</v>
      </c>
      <c r="X2865">
        <v>0</v>
      </c>
      <c r="Y2865">
        <v>0</v>
      </c>
      <c r="Z2865">
        <v>0</v>
      </c>
      <c r="AA2865">
        <v>0</v>
      </c>
      <c r="AB2865">
        <v>0</v>
      </c>
      <c r="AC2865">
        <v>0</v>
      </c>
      <c r="AD2865">
        <v>0</v>
      </c>
      <c r="AE2865">
        <v>0</v>
      </c>
      <c r="AF2865">
        <v>0</v>
      </c>
      <c r="AG2865">
        <v>0</v>
      </c>
      <c r="AH2865">
        <v>0</v>
      </c>
      <c r="AI2865">
        <v>0</v>
      </c>
      <c r="AJ2865">
        <v>0</v>
      </c>
      <c r="AK2865">
        <v>0</v>
      </c>
      <c r="AL2865">
        <v>0</v>
      </c>
      <c r="AM2865">
        <v>0</v>
      </c>
      <c r="AN2865">
        <v>0</v>
      </c>
      <c r="AO2865">
        <v>0</v>
      </c>
      <c r="AP2865">
        <v>0</v>
      </c>
      <c r="AQ2865">
        <v>16.7</v>
      </c>
      <c r="AR2865">
        <v>0</v>
      </c>
      <c r="AS2865">
        <v>0</v>
      </c>
      <c r="AT2865">
        <v>0</v>
      </c>
      <c r="AU2865">
        <v>0</v>
      </c>
      <c r="AV2865">
        <v>0</v>
      </c>
      <c r="AW2865">
        <v>0</v>
      </c>
      <c r="AX2865">
        <v>0</v>
      </c>
      <c r="AY2865">
        <v>0</v>
      </c>
      <c r="AZ2865">
        <v>0</v>
      </c>
      <c r="BA2865">
        <v>0</v>
      </c>
      <c r="BB2865">
        <v>0</v>
      </c>
      <c r="BC2865">
        <v>0</v>
      </c>
      <c r="BD2865">
        <v>0</v>
      </c>
      <c r="BE2865">
        <v>0</v>
      </c>
      <c r="BF2865">
        <v>0</v>
      </c>
      <c r="BG2865">
        <v>0</v>
      </c>
      <c r="BH2865">
        <v>1</v>
      </c>
      <c r="BI2865">
        <v>1</v>
      </c>
      <c r="BJ2865">
        <v>0.2</v>
      </c>
      <c r="BK2865">
        <v>1</v>
      </c>
      <c r="BL2865">
        <v>54.66</v>
      </c>
      <c r="BM2865">
        <v>8.1999999999999993</v>
      </c>
      <c r="BN2865">
        <v>62.86</v>
      </c>
      <c r="BO2865">
        <v>62.86</v>
      </c>
      <c r="BQ2865" t="s">
        <v>1687</v>
      </c>
      <c r="BR2865" t="s">
        <v>84</v>
      </c>
      <c r="BS2865" s="3">
        <v>45800</v>
      </c>
      <c r="BT2865" s="4">
        <v>0.41736111111111113</v>
      </c>
      <c r="BU2865" t="s">
        <v>2922</v>
      </c>
      <c r="BV2865" t="s">
        <v>86</v>
      </c>
      <c r="BY2865">
        <v>1200</v>
      </c>
      <c r="CA2865" t="s">
        <v>2923</v>
      </c>
      <c r="CC2865" t="s">
        <v>480</v>
      </c>
      <c r="CD2865">
        <v>2163</v>
      </c>
      <c r="CE2865" t="s">
        <v>88</v>
      </c>
      <c r="CF2865" s="3">
        <v>45801</v>
      </c>
      <c r="CI2865">
        <v>1</v>
      </c>
      <c r="CJ2865">
        <v>1</v>
      </c>
      <c r="CK2865">
        <v>22</v>
      </c>
      <c r="CL2865" t="s">
        <v>89</v>
      </c>
    </row>
    <row r="2866" spans="1:90" x14ac:dyDescent="0.3">
      <c r="A2866" t="s">
        <v>72</v>
      </c>
      <c r="B2866" t="s">
        <v>73</v>
      </c>
      <c r="C2866" t="s">
        <v>74</v>
      </c>
      <c r="E2866" t="str">
        <f>"080065511891"</f>
        <v>080065511891</v>
      </c>
      <c r="F2866" s="3">
        <v>45799</v>
      </c>
      <c r="G2866">
        <v>202602</v>
      </c>
      <c r="H2866" t="s">
        <v>75</v>
      </c>
      <c r="I2866" t="s">
        <v>76</v>
      </c>
      <c r="J2866" t="s">
        <v>77</v>
      </c>
      <c r="K2866" t="s">
        <v>78</v>
      </c>
      <c r="L2866" t="s">
        <v>143</v>
      </c>
      <c r="M2866" t="s">
        <v>144</v>
      </c>
      <c r="N2866" t="s">
        <v>2127</v>
      </c>
      <c r="O2866" t="s">
        <v>82</v>
      </c>
      <c r="P2866" t="str">
        <f>"4170040033                    "</f>
        <v xml:space="preserve">4170040033                    </v>
      </c>
      <c r="Q2866">
        <v>0</v>
      </c>
      <c r="R2866">
        <v>0</v>
      </c>
      <c r="S2866">
        <v>0</v>
      </c>
      <c r="T2866">
        <v>0</v>
      </c>
      <c r="U2866">
        <v>0</v>
      </c>
      <c r="V2866">
        <v>0</v>
      </c>
      <c r="W2866">
        <v>0</v>
      </c>
      <c r="X2866">
        <v>0</v>
      </c>
      <c r="Y2866">
        <v>0</v>
      </c>
      <c r="Z2866">
        <v>0</v>
      </c>
      <c r="AA2866">
        <v>0</v>
      </c>
      <c r="AB2866">
        <v>0</v>
      </c>
      <c r="AC2866">
        <v>0</v>
      </c>
      <c r="AD2866">
        <v>0</v>
      </c>
      <c r="AE2866">
        <v>0</v>
      </c>
      <c r="AF2866">
        <v>0</v>
      </c>
      <c r="AG2866">
        <v>0</v>
      </c>
      <c r="AH2866">
        <v>0</v>
      </c>
      <c r="AI2866">
        <v>0</v>
      </c>
      <c r="AJ2866">
        <v>0</v>
      </c>
      <c r="AK2866">
        <v>0</v>
      </c>
      <c r="AL2866">
        <v>0</v>
      </c>
      <c r="AM2866">
        <v>0</v>
      </c>
      <c r="AN2866">
        <v>0</v>
      </c>
      <c r="AO2866">
        <v>0</v>
      </c>
      <c r="AP2866">
        <v>0</v>
      </c>
      <c r="AQ2866">
        <v>16.7</v>
      </c>
      <c r="AR2866">
        <v>0</v>
      </c>
      <c r="AS2866">
        <v>0</v>
      </c>
      <c r="AT2866">
        <v>0</v>
      </c>
      <c r="AU2866">
        <v>0</v>
      </c>
      <c r="AV2866">
        <v>0</v>
      </c>
      <c r="AW2866">
        <v>0</v>
      </c>
      <c r="AX2866">
        <v>0</v>
      </c>
      <c r="AY2866">
        <v>0</v>
      </c>
      <c r="AZ2866">
        <v>0</v>
      </c>
      <c r="BA2866">
        <v>0</v>
      </c>
      <c r="BB2866">
        <v>0</v>
      </c>
      <c r="BC2866">
        <v>0</v>
      </c>
      <c r="BD2866">
        <v>0</v>
      </c>
      <c r="BE2866">
        <v>0</v>
      </c>
      <c r="BF2866">
        <v>0</v>
      </c>
      <c r="BG2866">
        <v>0</v>
      </c>
      <c r="BH2866">
        <v>1</v>
      </c>
      <c r="BI2866">
        <v>1</v>
      </c>
      <c r="BJ2866">
        <v>0.2</v>
      </c>
      <c r="BK2866">
        <v>1</v>
      </c>
      <c r="BL2866">
        <v>54.66</v>
      </c>
      <c r="BM2866">
        <v>8.1999999999999993</v>
      </c>
      <c r="BN2866">
        <v>62.86</v>
      </c>
      <c r="BO2866">
        <v>62.86</v>
      </c>
      <c r="BQ2866" t="s">
        <v>2128</v>
      </c>
      <c r="BR2866" t="s">
        <v>84</v>
      </c>
      <c r="BS2866" s="3">
        <v>45800</v>
      </c>
      <c r="BT2866" s="4">
        <v>0.37152777777777779</v>
      </c>
      <c r="BU2866" t="s">
        <v>335</v>
      </c>
      <c r="BV2866" t="s">
        <v>86</v>
      </c>
      <c r="BY2866">
        <v>1200</v>
      </c>
      <c r="CA2866" t="s">
        <v>2230</v>
      </c>
      <c r="CC2866" t="s">
        <v>144</v>
      </c>
      <c r="CD2866">
        <v>1401</v>
      </c>
      <c r="CE2866" t="s">
        <v>88</v>
      </c>
      <c r="CF2866" s="3">
        <v>45800</v>
      </c>
      <c r="CI2866">
        <v>1</v>
      </c>
      <c r="CJ2866">
        <v>1</v>
      </c>
      <c r="CK2866">
        <v>22</v>
      </c>
      <c r="CL2866" t="s">
        <v>89</v>
      </c>
    </row>
    <row r="2867" spans="1:90" x14ac:dyDescent="0.3">
      <c r="A2867" t="s">
        <v>72</v>
      </c>
      <c r="B2867" t="s">
        <v>73</v>
      </c>
      <c r="C2867" t="s">
        <v>74</v>
      </c>
      <c r="E2867" t="str">
        <f>"080065511907"</f>
        <v>080065511907</v>
      </c>
      <c r="F2867" s="3">
        <v>45799</v>
      </c>
      <c r="G2867">
        <v>202602</v>
      </c>
      <c r="H2867" t="s">
        <v>75</v>
      </c>
      <c r="I2867" t="s">
        <v>76</v>
      </c>
      <c r="J2867" t="s">
        <v>77</v>
      </c>
      <c r="K2867" t="s">
        <v>78</v>
      </c>
      <c r="L2867" t="s">
        <v>672</v>
      </c>
      <c r="M2867" t="s">
        <v>673</v>
      </c>
      <c r="N2867" t="s">
        <v>674</v>
      </c>
      <c r="O2867" t="s">
        <v>82</v>
      </c>
      <c r="P2867" t="str">
        <f>"4170040028                    "</f>
        <v xml:space="preserve">4170040028                    </v>
      </c>
      <c r="Q2867">
        <v>0</v>
      </c>
      <c r="R2867">
        <v>0</v>
      </c>
      <c r="S2867">
        <v>0</v>
      </c>
      <c r="T2867">
        <v>0</v>
      </c>
      <c r="U2867">
        <v>0</v>
      </c>
      <c r="V2867">
        <v>0</v>
      </c>
      <c r="W2867">
        <v>0</v>
      </c>
      <c r="X2867">
        <v>0</v>
      </c>
      <c r="Y2867">
        <v>0</v>
      </c>
      <c r="Z2867">
        <v>0</v>
      </c>
      <c r="AA2867">
        <v>0</v>
      </c>
      <c r="AB2867">
        <v>0</v>
      </c>
      <c r="AC2867">
        <v>0</v>
      </c>
      <c r="AD2867">
        <v>0</v>
      </c>
      <c r="AE2867">
        <v>0</v>
      </c>
      <c r="AF2867">
        <v>0</v>
      </c>
      <c r="AG2867">
        <v>0</v>
      </c>
      <c r="AH2867">
        <v>0</v>
      </c>
      <c r="AI2867">
        <v>0</v>
      </c>
      <c r="AJ2867">
        <v>0</v>
      </c>
      <c r="AK2867">
        <v>0</v>
      </c>
      <c r="AL2867">
        <v>0</v>
      </c>
      <c r="AM2867">
        <v>0</v>
      </c>
      <c r="AN2867">
        <v>0</v>
      </c>
      <c r="AO2867">
        <v>0</v>
      </c>
      <c r="AP2867">
        <v>0</v>
      </c>
      <c r="AQ2867">
        <v>69.489999999999995</v>
      </c>
      <c r="AR2867">
        <v>0</v>
      </c>
      <c r="AS2867">
        <v>0</v>
      </c>
      <c r="AT2867">
        <v>0</v>
      </c>
      <c r="AU2867">
        <v>0</v>
      </c>
      <c r="AV2867">
        <v>0</v>
      </c>
      <c r="AW2867">
        <v>0</v>
      </c>
      <c r="AX2867">
        <v>0</v>
      </c>
      <c r="AY2867">
        <v>0</v>
      </c>
      <c r="AZ2867">
        <v>0</v>
      </c>
      <c r="BA2867">
        <v>0</v>
      </c>
      <c r="BB2867">
        <v>0</v>
      </c>
      <c r="BC2867">
        <v>0</v>
      </c>
      <c r="BD2867">
        <v>0</v>
      </c>
      <c r="BE2867">
        <v>0</v>
      </c>
      <c r="BF2867">
        <v>0</v>
      </c>
      <c r="BG2867">
        <v>0</v>
      </c>
      <c r="BH2867">
        <v>1</v>
      </c>
      <c r="BI2867">
        <v>1</v>
      </c>
      <c r="BJ2867">
        <v>3.5</v>
      </c>
      <c r="BK2867">
        <v>3.5</v>
      </c>
      <c r="BL2867">
        <v>227.43</v>
      </c>
      <c r="BM2867">
        <v>34.11</v>
      </c>
      <c r="BN2867">
        <v>261.54000000000002</v>
      </c>
      <c r="BO2867">
        <v>261.54000000000002</v>
      </c>
      <c r="BQ2867" t="s">
        <v>675</v>
      </c>
      <c r="BR2867" t="s">
        <v>84</v>
      </c>
      <c r="BS2867" s="3">
        <v>45800</v>
      </c>
      <c r="BT2867" s="4">
        <v>0.44444444444444442</v>
      </c>
      <c r="BU2867" t="s">
        <v>2900</v>
      </c>
      <c r="BV2867" t="s">
        <v>86</v>
      </c>
      <c r="BY2867">
        <v>17568</v>
      </c>
      <c r="CA2867" t="s">
        <v>2901</v>
      </c>
      <c r="CC2867" t="s">
        <v>673</v>
      </c>
      <c r="CD2867">
        <v>2531</v>
      </c>
      <c r="CE2867" t="s">
        <v>550</v>
      </c>
      <c r="CF2867" s="3">
        <v>45803</v>
      </c>
      <c r="CI2867">
        <v>1</v>
      </c>
      <c r="CJ2867">
        <v>1</v>
      </c>
      <c r="CK2867">
        <v>23</v>
      </c>
      <c r="CL2867" t="s">
        <v>89</v>
      </c>
    </row>
    <row r="2868" spans="1:90" x14ac:dyDescent="0.3">
      <c r="A2868" t="s">
        <v>72</v>
      </c>
      <c r="B2868" t="s">
        <v>73</v>
      </c>
      <c r="C2868" t="s">
        <v>74</v>
      </c>
      <c r="E2868" t="str">
        <f>"080065511912"</f>
        <v>080065511912</v>
      </c>
      <c r="F2868" s="3">
        <v>45799</v>
      </c>
      <c r="G2868">
        <v>202602</v>
      </c>
      <c r="H2868" t="s">
        <v>75</v>
      </c>
      <c r="I2868" t="s">
        <v>76</v>
      </c>
      <c r="J2868" t="s">
        <v>77</v>
      </c>
      <c r="K2868" t="s">
        <v>78</v>
      </c>
      <c r="L2868" t="s">
        <v>130</v>
      </c>
      <c r="M2868" t="s">
        <v>131</v>
      </c>
      <c r="N2868" t="s">
        <v>665</v>
      </c>
      <c r="O2868" t="s">
        <v>82</v>
      </c>
      <c r="P2868" t="str">
        <f>"4170040076                    "</f>
        <v xml:space="preserve">4170040076                    </v>
      </c>
      <c r="Q2868">
        <v>0</v>
      </c>
      <c r="R2868">
        <v>0</v>
      </c>
      <c r="S2868">
        <v>0</v>
      </c>
      <c r="T2868">
        <v>0</v>
      </c>
      <c r="U2868">
        <v>0</v>
      </c>
      <c r="V2868">
        <v>0</v>
      </c>
      <c r="W2868">
        <v>0</v>
      </c>
      <c r="X2868">
        <v>0</v>
      </c>
      <c r="Y2868">
        <v>0</v>
      </c>
      <c r="Z2868">
        <v>0</v>
      </c>
      <c r="AA2868">
        <v>0</v>
      </c>
      <c r="AB2868">
        <v>0</v>
      </c>
      <c r="AC2868">
        <v>0</v>
      </c>
      <c r="AD2868">
        <v>0</v>
      </c>
      <c r="AE2868">
        <v>0</v>
      </c>
      <c r="AF2868">
        <v>0</v>
      </c>
      <c r="AG2868">
        <v>0</v>
      </c>
      <c r="AH2868">
        <v>0</v>
      </c>
      <c r="AI2868">
        <v>0</v>
      </c>
      <c r="AJ2868">
        <v>0</v>
      </c>
      <c r="AK2868">
        <v>0</v>
      </c>
      <c r="AL2868">
        <v>0</v>
      </c>
      <c r="AM2868">
        <v>0</v>
      </c>
      <c r="AN2868">
        <v>0</v>
      </c>
      <c r="AO2868">
        <v>0</v>
      </c>
      <c r="AP2868">
        <v>0</v>
      </c>
      <c r="AQ2868">
        <v>21.38</v>
      </c>
      <c r="AR2868">
        <v>0</v>
      </c>
      <c r="AS2868">
        <v>0</v>
      </c>
      <c r="AT2868">
        <v>0</v>
      </c>
      <c r="AU2868">
        <v>0</v>
      </c>
      <c r="AV2868">
        <v>0</v>
      </c>
      <c r="AW2868">
        <v>0</v>
      </c>
      <c r="AX2868">
        <v>0</v>
      </c>
      <c r="AY2868">
        <v>0</v>
      </c>
      <c r="AZ2868">
        <v>0</v>
      </c>
      <c r="BA2868">
        <v>0</v>
      </c>
      <c r="BB2868">
        <v>0</v>
      </c>
      <c r="BC2868">
        <v>0</v>
      </c>
      <c r="BD2868">
        <v>0</v>
      </c>
      <c r="BE2868">
        <v>0</v>
      </c>
      <c r="BF2868">
        <v>0</v>
      </c>
      <c r="BG2868">
        <v>0</v>
      </c>
      <c r="BH2868">
        <v>1</v>
      </c>
      <c r="BI2868">
        <v>1</v>
      </c>
      <c r="BJ2868">
        <v>0.2</v>
      </c>
      <c r="BK2868">
        <v>1</v>
      </c>
      <c r="BL2868">
        <v>69.98</v>
      </c>
      <c r="BM2868">
        <v>10.5</v>
      </c>
      <c r="BN2868">
        <v>80.48</v>
      </c>
      <c r="BO2868">
        <v>80.48</v>
      </c>
      <c r="BQ2868" t="s">
        <v>666</v>
      </c>
      <c r="BR2868" t="s">
        <v>84</v>
      </c>
      <c r="BS2868" s="3">
        <v>45800</v>
      </c>
      <c r="BT2868" s="4">
        <v>0.37430555555555556</v>
      </c>
      <c r="BU2868" t="s">
        <v>2914</v>
      </c>
      <c r="BV2868" t="s">
        <v>86</v>
      </c>
      <c r="BY2868">
        <v>1200</v>
      </c>
      <c r="CA2868" t="s">
        <v>389</v>
      </c>
      <c r="CC2868" t="s">
        <v>131</v>
      </c>
      <c r="CD2868">
        <v>7535</v>
      </c>
      <c r="CE2868" t="s">
        <v>88</v>
      </c>
      <c r="CF2868" s="3">
        <v>45803</v>
      </c>
      <c r="CI2868">
        <v>1</v>
      </c>
      <c r="CJ2868">
        <v>1</v>
      </c>
      <c r="CK2868">
        <v>21</v>
      </c>
      <c r="CL2868" t="s">
        <v>89</v>
      </c>
    </row>
    <row r="2869" spans="1:90" x14ac:dyDescent="0.3">
      <c r="A2869" t="s">
        <v>72</v>
      </c>
      <c r="B2869" t="s">
        <v>73</v>
      </c>
      <c r="C2869" t="s">
        <v>74</v>
      </c>
      <c r="E2869" t="str">
        <f>"080065511936"</f>
        <v>080065511936</v>
      </c>
      <c r="F2869" s="3">
        <v>45799</v>
      </c>
      <c r="G2869">
        <v>202602</v>
      </c>
      <c r="H2869" t="s">
        <v>75</v>
      </c>
      <c r="I2869" t="s">
        <v>76</v>
      </c>
      <c r="J2869" t="s">
        <v>77</v>
      </c>
      <c r="K2869" t="s">
        <v>78</v>
      </c>
      <c r="L2869" t="s">
        <v>117</v>
      </c>
      <c r="M2869" t="s">
        <v>118</v>
      </c>
      <c r="N2869" t="s">
        <v>2924</v>
      </c>
      <c r="O2869" t="s">
        <v>82</v>
      </c>
      <c r="P2869" t="str">
        <f>"4170040140                    "</f>
        <v xml:space="preserve">4170040140                    </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c r="AK2869">
        <v>0</v>
      </c>
      <c r="AL2869">
        <v>0</v>
      </c>
      <c r="AM2869">
        <v>0</v>
      </c>
      <c r="AN2869">
        <v>0</v>
      </c>
      <c r="AO2869">
        <v>0</v>
      </c>
      <c r="AP2869">
        <v>0</v>
      </c>
      <c r="AQ2869">
        <v>16.7</v>
      </c>
      <c r="AR2869">
        <v>0</v>
      </c>
      <c r="AS2869">
        <v>0</v>
      </c>
      <c r="AT2869">
        <v>0</v>
      </c>
      <c r="AU2869">
        <v>0</v>
      </c>
      <c r="AV2869">
        <v>0</v>
      </c>
      <c r="AW2869">
        <v>0</v>
      </c>
      <c r="AX2869">
        <v>0</v>
      </c>
      <c r="AY2869">
        <v>0</v>
      </c>
      <c r="AZ2869">
        <v>0</v>
      </c>
      <c r="BA2869">
        <v>0</v>
      </c>
      <c r="BB2869">
        <v>0</v>
      </c>
      <c r="BC2869">
        <v>0</v>
      </c>
      <c r="BD2869">
        <v>0</v>
      </c>
      <c r="BE2869">
        <v>0</v>
      </c>
      <c r="BF2869">
        <v>0</v>
      </c>
      <c r="BG2869">
        <v>0</v>
      </c>
      <c r="BH2869">
        <v>1</v>
      </c>
      <c r="BI2869">
        <v>1</v>
      </c>
      <c r="BJ2869">
        <v>0.2</v>
      </c>
      <c r="BK2869">
        <v>1</v>
      </c>
      <c r="BL2869">
        <v>54.66</v>
      </c>
      <c r="BM2869">
        <v>8.1999999999999993</v>
      </c>
      <c r="BN2869">
        <v>62.86</v>
      </c>
      <c r="BO2869">
        <v>62.86</v>
      </c>
      <c r="BQ2869" t="s">
        <v>2925</v>
      </c>
      <c r="BR2869" t="s">
        <v>84</v>
      </c>
      <c r="BS2869" s="3">
        <v>45800</v>
      </c>
      <c r="BT2869" s="4">
        <v>0.41805555555555557</v>
      </c>
      <c r="BU2869" t="s">
        <v>2587</v>
      </c>
      <c r="BV2869" t="s">
        <v>86</v>
      </c>
      <c r="BY2869">
        <v>1200</v>
      </c>
      <c r="CA2869" t="s">
        <v>275</v>
      </c>
      <c r="CC2869" t="s">
        <v>118</v>
      </c>
      <c r="CD2869">
        <v>2190</v>
      </c>
      <c r="CE2869" t="s">
        <v>88</v>
      </c>
      <c r="CF2869" s="3">
        <v>45800</v>
      </c>
      <c r="CI2869">
        <v>1</v>
      </c>
      <c r="CJ2869">
        <v>1</v>
      </c>
      <c r="CK2869">
        <v>22</v>
      </c>
      <c r="CL2869" t="s">
        <v>89</v>
      </c>
    </row>
    <row r="2870" spans="1:90" x14ac:dyDescent="0.3">
      <c r="A2870" t="s">
        <v>72</v>
      </c>
      <c r="B2870" t="s">
        <v>73</v>
      </c>
      <c r="C2870" t="s">
        <v>74</v>
      </c>
      <c r="E2870" t="str">
        <f>"080065511946"</f>
        <v>080065511946</v>
      </c>
      <c r="F2870" s="3">
        <v>45799</v>
      </c>
      <c r="G2870">
        <v>202602</v>
      </c>
      <c r="H2870" t="s">
        <v>75</v>
      </c>
      <c r="I2870" t="s">
        <v>76</v>
      </c>
      <c r="J2870" t="s">
        <v>77</v>
      </c>
      <c r="K2870" t="s">
        <v>78</v>
      </c>
      <c r="L2870" t="s">
        <v>117</v>
      </c>
      <c r="M2870" t="s">
        <v>118</v>
      </c>
      <c r="N2870" t="s">
        <v>2926</v>
      </c>
      <c r="O2870" t="s">
        <v>82</v>
      </c>
      <c r="P2870" t="str">
        <f>"4170040186                    "</f>
        <v xml:space="preserve">4170040186                    </v>
      </c>
      <c r="Q2870">
        <v>0</v>
      </c>
      <c r="R2870">
        <v>0</v>
      </c>
      <c r="S2870">
        <v>0</v>
      </c>
      <c r="T2870">
        <v>0</v>
      </c>
      <c r="U2870">
        <v>0</v>
      </c>
      <c r="V2870">
        <v>0</v>
      </c>
      <c r="W2870">
        <v>0</v>
      </c>
      <c r="X2870">
        <v>0</v>
      </c>
      <c r="Y2870">
        <v>0</v>
      </c>
      <c r="Z2870">
        <v>0</v>
      </c>
      <c r="AA2870">
        <v>0</v>
      </c>
      <c r="AB2870">
        <v>0</v>
      </c>
      <c r="AC2870">
        <v>0</v>
      </c>
      <c r="AD2870">
        <v>0</v>
      </c>
      <c r="AE2870">
        <v>0</v>
      </c>
      <c r="AF2870">
        <v>0</v>
      </c>
      <c r="AG2870">
        <v>0</v>
      </c>
      <c r="AH2870">
        <v>0</v>
      </c>
      <c r="AI2870">
        <v>0</v>
      </c>
      <c r="AJ2870">
        <v>0</v>
      </c>
      <c r="AK2870">
        <v>0</v>
      </c>
      <c r="AL2870">
        <v>0</v>
      </c>
      <c r="AM2870">
        <v>0</v>
      </c>
      <c r="AN2870">
        <v>0</v>
      </c>
      <c r="AO2870">
        <v>0</v>
      </c>
      <c r="AP2870">
        <v>0</v>
      </c>
      <c r="AQ2870">
        <v>16.7</v>
      </c>
      <c r="AR2870">
        <v>0</v>
      </c>
      <c r="AS2870">
        <v>0</v>
      </c>
      <c r="AT2870">
        <v>0</v>
      </c>
      <c r="AU2870">
        <v>0</v>
      </c>
      <c r="AV2870">
        <v>0</v>
      </c>
      <c r="AW2870">
        <v>0</v>
      </c>
      <c r="AX2870">
        <v>0</v>
      </c>
      <c r="AY2870">
        <v>0</v>
      </c>
      <c r="AZ2870">
        <v>0</v>
      </c>
      <c r="BA2870">
        <v>0</v>
      </c>
      <c r="BB2870">
        <v>0</v>
      </c>
      <c r="BC2870">
        <v>0</v>
      </c>
      <c r="BD2870">
        <v>0</v>
      </c>
      <c r="BE2870">
        <v>0</v>
      </c>
      <c r="BF2870">
        <v>0</v>
      </c>
      <c r="BG2870">
        <v>0</v>
      </c>
      <c r="BH2870">
        <v>1</v>
      </c>
      <c r="BI2870">
        <v>1</v>
      </c>
      <c r="BJ2870">
        <v>0.2</v>
      </c>
      <c r="BK2870">
        <v>1</v>
      </c>
      <c r="BL2870">
        <v>54.66</v>
      </c>
      <c r="BM2870">
        <v>8.1999999999999993</v>
      </c>
      <c r="BN2870">
        <v>62.86</v>
      </c>
      <c r="BO2870">
        <v>62.86</v>
      </c>
      <c r="BQ2870" t="s">
        <v>2927</v>
      </c>
      <c r="BR2870" t="s">
        <v>84</v>
      </c>
      <c r="BS2870" s="3">
        <v>45803</v>
      </c>
      <c r="BT2870" s="4">
        <v>0.3611111111111111</v>
      </c>
      <c r="BU2870" t="s">
        <v>2928</v>
      </c>
      <c r="BV2870" t="s">
        <v>89</v>
      </c>
      <c r="BW2870" t="s">
        <v>148</v>
      </c>
      <c r="BX2870" t="s">
        <v>1064</v>
      </c>
      <c r="BY2870">
        <v>1200</v>
      </c>
      <c r="CA2870" t="s">
        <v>2929</v>
      </c>
      <c r="CC2870" t="s">
        <v>118</v>
      </c>
      <c r="CD2870">
        <v>2000</v>
      </c>
      <c r="CE2870" t="s">
        <v>88</v>
      </c>
      <c r="CF2870" s="3">
        <v>45803</v>
      </c>
      <c r="CI2870">
        <v>1</v>
      </c>
      <c r="CJ2870">
        <v>2</v>
      </c>
      <c r="CK2870">
        <v>22</v>
      </c>
      <c r="CL2870" t="s">
        <v>89</v>
      </c>
    </row>
    <row r="2871" spans="1:90" x14ac:dyDescent="0.3">
      <c r="A2871" t="s">
        <v>72</v>
      </c>
      <c r="B2871" t="s">
        <v>73</v>
      </c>
      <c r="C2871" t="s">
        <v>74</v>
      </c>
      <c r="E2871" t="str">
        <f>"080065511986"</f>
        <v>080065511986</v>
      </c>
      <c r="F2871" s="3">
        <v>45799</v>
      </c>
      <c r="G2871">
        <v>202602</v>
      </c>
      <c r="H2871" t="s">
        <v>75</v>
      </c>
      <c r="I2871" t="s">
        <v>76</v>
      </c>
      <c r="J2871" t="s">
        <v>77</v>
      </c>
      <c r="K2871" t="s">
        <v>78</v>
      </c>
      <c r="L2871" t="s">
        <v>90</v>
      </c>
      <c r="M2871" t="s">
        <v>91</v>
      </c>
      <c r="N2871" t="s">
        <v>563</v>
      </c>
      <c r="O2871" t="s">
        <v>82</v>
      </c>
      <c r="P2871" t="str">
        <f>"4170040192                    "</f>
        <v xml:space="preserve">4170040192                    </v>
      </c>
      <c r="Q2871">
        <v>0</v>
      </c>
      <c r="R2871">
        <v>0</v>
      </c>
      <c r="S2871">
        <v>0</v>
      </c>
      <c r="T2871">
        <v>0</v>
      </c>
      <c r="U2871">
        <v>0</v>
      </c>
      <c r="V2871">
        <v>0</v>
      </c>
      <c r="W2871">
        <v>0</v>
      </c>
      <c r="X2871">
        <v>0</v>
      </c>
      <c r="Y2871">
        <v>0</v>
      </c>
      <c r="Z2871">
        <v>0</v>
      </c>
      <c r="AA2871">
        <v>0</v>
      </c>
      <c r="AB2871">
        <v>0</v>
      </c>
      <c r="AC2871">
        <v>0</v>
      </c>
      <c r="AD2871">
        <v>0</v>
      </c>
      <c r="AE2871">
        <v>0</v>
      </c>
      <c r="AF2871">
        <v>0</v>
      </c>
      <c r="AG2871">
        <v>0</v>
      </c>
      <c r="AH2871">
        <v>0</v>
      </c>
      <c r="AI2871">
        <v>0</v>
      </c>
      <c r="AJ2871">
        <v>0</v>
      </c>
      <c r="AK2871">
        <v>0</v>
      </c>
      <c r="AL2871">
        <v>0</v>
      </c>
      <c r="AM2871">
        <v>0</v>
      </c>
      <c r="AN2871">
        <v>0</v>
      </c>
      <c r="AO2871">
        <v>0</v>
      </c>
      <c r="AP2871">
        <v>0</v>
      </c>
      <c r="AQ2871">
        <v>21.38</v>
      </c>
      <c r="AR2871">
        <v>0</v>
      </c>
      <c r="AS2871">
        <v>0</v>
      </c>
      <c r="AT2871">
        <v>0</v>
      </c>
      <c r="AU2871">
        <v>0</v>
      </c>
      <c r="AV2871">
        <v>0</v>
      </c>
      <c r="AW2871">
        <v>0</v>
      </c>
      <c r="AX2871">
        <v>0</v>
      </c>
      <c r="AY2871">
        <v>0</v>
      </c>
      <c r="AZ2871">
        <v>0</v>
      </c>
      <c r="BA2871">
        <v>0</v>
      </c>
      <c r="BB2871">
        <v>0</v>
      </c>
      <c r="BC2871">
        <v>0</v>
      </c>
      <c r="BD2871">
        <v>0</v>
      </c>
      <c r="BE2871">
        <v>0</v>
      </c>
      <c r="BF2871">
        <v>0</v>
      </c>
      <c r="BG2871">
        <v>0</v>
      </c>
      <c r="BH2871">
        <v>1</v>
      </c>
      <c r="BI2871">
        <v>1</v>
      </c>
      <c r="BJ2871">
        <v>0.2</v>
      </c>
      <c r="BK2871">
        <v>1</v>
      </c>
      <c r="BL2871">
        <v>69.98</v>
      </c>
      <c r="BM2871">
        <v>10.5</v>
      </c>
      <c r="BN2871">
        <v>80.48</v>
      </c>
      <c r="BO2871">
        <v>80.48</v>
      </c>
      <c r="BQ2871" t="s">
        <v>564</v>
      </c>
      <c r="BR2871" t="s">
        <v>84</v>
      </c>
      <c r="BS2871" s="3">
        <v>45800</v>
      </c>
      <c r="BT2871" s="4">
        <v>0.34722222222222221</v>
      </c>
      <c r="BU2871" t="s">
        <v>565</v>
      </c>
      <c r="BV2871" t="s">
        <v>86</v>
      </c>
      <c r="BY2871">
        <v>1200</v>
      </c>
      <c r="CA2871" t="s">
        <v>566</v>
      </c>
      <c r="CC2871" t="s">
        <v>91</v>
      </c>
      <c r="CD2871">
        <v>6001</v>
      </c>
      <c r="CE2871" t="s">
        <v>88</v>
      </c>
      <c r="CF2871" s="3">
        <v>45800</v>
      </c>
      <c r="CI2871">
        <v>1</v>
      </c>
      <c r="CJ2871">
        <v>1</v>
      </c>
      <c r="CK2871">
        <v>21</v>
      </c>
      <c r="CL2871" t="s">
        <v>89</v>
      </c>
    </row>
    <row r="2872" spans="1:90" x14ac:dyDescent="0.3">
      <c r="A2872" t="s">
        <v>72</v>
      </c>
      <c r="B2872" t="s">
        <v>73</v>
      </c>
      <c r="C2872" t="s">
        <v>74</v>
      </c>
      <c r="E2872" t="str">
        <f>"080065512004"</f>
        <v>080065512004</v>
      </c>
      <c r="F2872" s="3">
        <v>45799</v>
      </c>
      <c r="G2872">
        <v>202602</v>
      </c>
      <c r="H2872" t="s">
        <v>75</v>
      </c>
      <c r="I2872" t="s">
        <v>76</v>
      </c>
      <c r="J2872" t="s">
        <v>77</v>
      </c>
      <c r="K2872" t="s">
        <v>78</v>
      </c>
      <c r="L2872" t="s">
        <v>130</v>
      </c>
      <c r="M2872" t="s">
        <v>131</v>
      </c>
      <c r="N2872" t="s">
        <v>239</v>
      </c>
      <c r="O2872" t="s">
        <v>82</v>
      </c>
      <c r="P2872" t="str">
        <f>"4170040051                    "</f>
        <v xml:space="preserve">4170040051                    </v>
      </c>
      <c r="Q2872">
        <v>0</v>
      </c>
      <c r="R2872">
        <v>0</v>
      </c>
      <c r="S2872">
        <v>0</v>
      </c>
      <c r="T2872">
        <v>0</v>
      </c>
      <c r="U2872">
        <v>0</v>
      </c>
      <c r="V2872">
        <v>0</v>
      </c>
      <c r="W2872">
        <v>0</v>
      </c>
      <c r="X2872">
        <v>0</v>
      </c>
      <c r="Y2872">
        <v>0</v>
      </c>
      <c r="Z2872">
        <v>0</v>
      </c>
      <c r="AA2872">
        <v>0</v>
      </c>
      <c r="AB2872">
        <v>0</v>
      </c>
      <c r="AC2872">
        <v>0</v>
      </c>
      <c r="AD2872">
        <v>0</v>
      </c>
      <c r="AE2872">
        <v>0</v>
      </c>
      <c r="AF2872">
        <v>0</v>
      </c>
      <c r="AG2872">
        <v>0</v>
      </c>
      <c r="AH2872">
        <v>0</v>
      </c>
      <c r="AI2872">
        <v>0</v>
      </c>
      <c r="AJ2872">
        <v>0</v>
      </c>
      <c r="AK2872">
        <v>0</v>
      </c>
      <c r="AL2872">
        <v>0</v>
      </c>
      <c r="AM2872">
        <v>0</v>
      </c>
      <c r="AN2872">
        <v>0</v>
      </c>
      <c r="AO2872">
        <v>0</v>
      </c>
      <c r="AP2872">
        <v>0</v>
      </c>
      <c r="AQ2872">
        <v>21.38</v>
      </c>
      <c r="AR2872">
        <v>0</v>
      </c>
      <c r="AS2872">
        <v>0</v>
      </c>
      <c r="AT2872">
        <v>0</v>
      </c>
      <c r="AU2872">
        <v>0</v>
      </c>
      <c r="AV2872">
        <v>0</v>
      </c>
      <c r="AW2872">
        <v>0</v>
      </c>
      <c r="AX2872">
        <v>0</v>
      </c>
      <c r="AY2872">
        <v>0</v>
      </c>
      <c r="AZ2872">
        <v>0</v>
      </c>
      <c r="BA2872">
        <v>0</v>
      </c>
      <c r="BB2872">
        <v>0</v>
      </c>
      <c r="BC2872">
        <v>0</v>
      </c>
      <c r="BD2872">
        <v>0</v>
      </c>
      <c r="BE2872">
        <v>0</v>
      </c>
      <c r="BF2872">
        <v>0</v>
      </c>
      <c r="BG2872">
        <v>0</v>
      </c>
      <c r="BH2872">
        <v>1</v>
      </c>
      <c r="BI2872">
        <v>1</v>
      </c>
      <c r="BJ2872">
        <v>0.2</v>
      </c>
      <c r="BK2872">
        <v>1</v>
      </c>
      <c r="BL2872">
        <v>69.98</v>
      </c>
      <c r="BM2872">
        <v>10.5</v>
      </c>
      <c r="BN2872">
        <v>80.48</v>
      </c>
      <c r="BO2872">
        <v>80.48</v>
      </c>
      <c r="BQ2872" t="s">
        <v>240</v>
      </c>
      <c r="BR2872" t="s">
        <v>84</v>
      </c>
      <c r="BS2872" s="3">
        <v>45800</v>
      </c>
      <c r="BT2872" s="4">
        <v>0.375</v>
      </c>
      <c r="BU2872" t="s">
        <v>2930</v>
      </c>
      <c r="BV2872" t="s">
        <v>86</v>
      </c>
      <c r="BY2872">
        <v>1200</v>
      </c>
      <c r="CA2872" t="s">
        <v>242</v>
      </c>
      <c r="CC2872" t="s">
        <v>131</v>
      </c>
      <c r="CD2872">
        <v>7441</v>
      </c>
      <c r="CE2872" t="s">
        <v>88</v>
      </c>
      <c r="CF2872" s="3">
        <v>45803</v>
      </c>
      <c r="CI2872">
        <v>1</v>
      </c>
      <c r="CJ2872">
        <v>1</v>
      </c>
      <c r="CK2872">
        <v>21</v>
      </c>
      <c r="CL2872" t="s">
        <v>89</v>
      </c>
    </row>
    <row r="2873" spans="1:90" x14ac:dyDescent="0.3">
      <c r="A2873" t="s">
        <v>72</v>
      </c>
      <c r="B2873" t="s">
        <v>73</v>
      </c>
      <c r="C2873" t="s">
        <v>74</v>
      </c>
      <c r="E2873" t="str">
        <f>"080065512380"</f>
        <v>080065512380</v>
      </c>
      <c r="F2873" s="3">
        <v>45799</v>
      </c>
      <c r="G2873">
        <v>202602</v>
      </c>
      <c r="H2873" t="s">
        <v>75</v>
      </c>
      <c r="I2873" t="s">
        <v>76</v>
      </c>
      <c r="J2873" t="s">
        <v>77</v>
      </c>
      <c r="K2873" t="s">
        <v>78</v>
      </c>
      <c r="L2873" t="s">
        <v>90</v>
      </c>
      <c r="M2873" t="s">
        <v>91</v>
      </c>
      <c r="N2873" t="s">
        <v>2348</v>
      </c>
      <c r="O2873" t="s">
        <v>82</v>
      </c>
      <c r="P2873" t="str">
        <f>"4170040191                    "</f>
        <v xml:space="preserve">4170040191                    </v>
      </c>
      <c r="Q2873">
        <v>0</v>
      </c>
      <c r="R2873">
        <v>0</v>
      </c>
      <c r="S2873">
        <v>0</v>
      </c>
      <c r="T2873">
        <v>0</v>
      </c>
      <c r="U2873">
        <v>0</v>
      </c>
      <c r="V2873">
        <v>0</v>
      </c>
      <c r="W2873">
        <v>0</v>
      </c>
      <c r="X2873">
        <v>0</v>
      </c>
      <c r="Y2873">
        <v>0</v>
      </c>
      <c r="Z2873">
        <v>0</v>
      </c>
      <c r="AA2873">
        <v>0</v>
      </c>
      <c r="AB2873">
        <v>0</v>
      </c>
      <c r="AC2873">
        <v>0</v>
      </c>
      <c r="AD2873">
        <v>0</v>
      </c>
      <c r="AE2873">
        <v>0</v>
      </c>
      <c r="AF2873">
        <v>0</v>
      </c>
      <c r="AG2873">
        <v>0</v>
      </c>
      <c r="AH2873">
        <v>0</v>
      </c>
      <c r="AI2873">
        <v>0</v>
      </c>
      <c r="AJ2873">
        <v>0</v>
      </c>
      <c r="AK2873">
        <v>0</v>
      </c>
      <c r="AL2873">
        <v>0</v>
      </c>
      <c r="AM2873">
        <v>0</v>
      </c>
      <c r="AN2873">
        <v>0</v>
      </c>
      <c r="AO2873">
        <v>0</v>
      </c>
      <c r="AP2873">
        <v>0</v>
      </c>
      <c r="AQ2873">
        <v>165.61</v>
      </c>
      <c r="AR2873">
        <v>0</v>
      </c>
      <c r="AS2873">
        <v>0</v>
      </c>
      <c r="AT2873">
        <v>0</v>
      </c>
      <c r="AU2873">
        <v>0</v>
      </c>
      <c r="AV2873">
        <v>0</v>
      </c>
      <c r="AW2873">
        <v>0</v>
      </c>
      <c r="AX2873">
        <v>0</v>
      </c>
      <c r="AY2873">
        <v>0</v>
      </c>
      <c r="AZ2873">
        <v>0</v>
      </c>
      <c r="BA2873">
        <v>0</v>
      </c>
      <c r="BB2873">
        <v>0</v>
      </c>
      <c r="BC2873">
        <v>0</v>
      </c>
      <c r="BD2873">
        <v>0</v>
      </c>
      <c r="BE2873">
        <v>0</v>
      </c>
      <c r="BF2873">
        <v>0</v>
      </c>
      <c r="BG2873">
        <v>0</v>
      </c>
      <c r="BH2873">
        <v>1</v>
      </c>
      <c r="BI2873">
        <v>7</v>
      </c>
      <c r="BJ2873">
        <v>15.4</v>
      </c>
      <c r="BK2873">
        <v>15.5</v>
      </c>
      <c r="BL2873">
        <v>541.99</v>
      </c>
      <c r="BM2873">
        <v>81.3</v>
      </c>
      <c r="BN2873">
        <v>623.29</v>
      </c>
      <c r="BO2873">
        <v>623.29</v>
      </c>
      <c r="BQ2873" t="s">
        <v>2349</v>
      </c>
      <c r="BR2873" t="s">
        <v>84</v>
      </c>
      <c r="BS2873" s="3">
        <v>45800</v>
      </c>
      <c r="BT2873" s="4">
        <v>0.40625</v>
      </c>
      <c r="BU2873" t="s">
        <v>916</v>
      </c>
      <c r="BV2873" t="s">
        <v>86</v>
      </c>
      <c r="BY2873">
        <v>77025</v>
      </c>
      <c r="CA2873" t="s">
        <v>95</v>
      </c>
      <c r="CC2873" t="s">
        <v>91</v>
      </c>
      <c r="CD2873">
        <v>6056</v>
      </c>
      <c r="CE2873" t="s">
        <v>96</v>
      </c>
      <c r="CF2873" s="3">
        <v>45800</v>
      </c>
      <c r="CI2873">
        <v>1</v>
      </c>
      <c r="CJ2873">
        <v>1</v>
      </c>
      <c r="CK2873">
        <v>21</v>
      </c>
      <c r="CL2873" t="s">
        <v>89</v>
      </c>
    </row>
    <row r="2874" spans="1:90" x14ac:dyDescent="0.3">
      <c r="A2874" t="s">
        <v>72</v>
      </c>
      <c r="B2874" t="s">
        <v>73</v>
      </c>
      <c r="C2874" t="s">
        <v>74</v>
      </c>
      <c r="E2874" t="str">
        <f>"080065512402"</f>
        <v>080065512402</v>
      </c>
      <c r="F2874" s="3">
        <v>45799</v>
      </c>
      <c r="G2874">
        <v>202602</v>
      </c>
      <c r="H2874" t="s">
        <v>75</v>
      </c>
      <c r="I2874" t="s">
        <v>76</v>
      </c>
      <c r="J2874" t="s">
        <v>77</v>
      </c>
      <c r="K2874" t="s">
        <v>78</v>
      </c>
      <c r="L2874" t="s">
        <v>489</v>
      </c>
      <c r="M2874" t="s">
        <v>490</v>
      </c>
      <c r="N2874" t="s">
        <v>491</v>
      </c>
      <c r="O2874" t="s">
        <v>82</v>
      </c>
      <c r="P2874" t="str">
        <f>"4170040174                    "</f>
        <v xml:space="preserve">4170040174                    </v>
      </c>
      <c r="Q2874">
        <v>0</v>
      </c>
      <c r="R2874">
        <v>0</v>
      </c>
      <c r="S2874">
        <v>0</v>
      </c>
      <c r="T2874">
        <v>0</v>
      </c>
      <c r="U2874">
        <v>0</v>
      </c>
      <c r="V2874">
        <v>0</v>
      </c>
      <c r="W2874">
        <v>0</v>
      </c>
      <c r="X2874">
        <v>0</v>
      </c>
      <c r="Y2874">
        <v>0</v>
      </c>
      <c r="Z2874">
        <v>0</v>
      </c>
      <c r="AA2874">
        <v>0</v>
      </c>
      <c r="AB2874">
        <v>0</v>
      </c>
      <c r="AC2874">
        <v>0</v>
      </c>
      <c r="AD2874">
        <v>0</v>
      </c>
      <c r="AE2874">
        <v>0</v>
      </c>
      <c r="AF2874">
        <v>0</v>
      </c>
      <c r="AG2874">
        <v>0</v>
      </c>
      <c r="AH2874">
        <v>0</v>
      </c>
      <c r="AI2874">
        <v>0</v>
      </c>
      <c r="AJ2874">
        <v>0</v>
      </c>
      <c r="AK2874">
        <v>0</v>
      </c>
      <c r="AL2874">
        <v>0</v>
      </c>
      <c r="AM2874">
        <v>0</v>
      </c>
      <c r="AN2874">
        <v>0</v>
      </c>
      <c r="AO2874">
        <v>0</v>
      </c>
      <c r="AP2874">
        <v>0</v>
      </c>
      <c r="AQ2874">
        <v>41.43</v>
      </c>
      <c r="AR2874">
        <v>0</v>
      </c>
      <c r="AS2874">
        <v>0</v>
      </c>
      <c r="AT2874">
        <v>0</v>
      </c>
      <c r="AU2874">
        <v>0</v>
      </c>
      <c r="AV2874">
        <v>0</v>
      </c>
      <c r="AW2874">
        <v>0</v>
      </c>
      <c r="AX2874">
        <v>0</v>
      </c>
      <c r="AY2874">
        <v>0</v>
      </c>
      <c r="AZ2874">
        <v>0</v>
      </c>
      <c r="BA2874">
        <v>0</v>
      </c>
      <c r="BB2874">
        <v>0</v>
      </c>
      <c r="BC2874">
        <v>0</v>
      </c>
      <c r="BD2874">
        <v>0</v>
      </c>
      <c r="BE2874">
        <v>0</v>
      </c>
      <c r="BF2874">
        <v>0</v>
      </c>
      <c r="BG2874">
        <v>0</v>
      </c>
      <c r="BH2874">
        <v>1</v>
      </c>
      <c r="BI2874">
        <v>1</v>
      </c>
      <c r="BJ2874">
        <v>1.9</v>
      </c>
      <c r="BK2874">
        <v>2</v>
      </c>
      <c r="BL2874">
        <v>135.59</v>
      </c>
      <c r="BM2874">
        <v>20.34</v>
      </c>
      <c r="BN2874">
        <v>155.93</v>
      </c>
      <c r="BO2874">
        <v>155.93</v>
      </c>
      <c r="BQ2874" t="s">
        <v>492</v>
      </c>
      <c r="BR2874" t="s">
        <v>84</v>
      </c>
      <c r="BS2874" s="3">
        <v>45800</v>
      </c>
      <c r="BT2874" s="4">
        <v>0.4201388888888889</v>
      </c>
      <c r="BU2874" t="s">
        <v>2931</v>
      </c>
      <c r="BV2874" t="s">
        <v>86</v>
      </c>
      <c r="BY2874">
        <v>9600</v>
      </c>
      <c r="CA2874" t="s">
        <v>913</v>
      </c>
      <c r="CC2874" t="s">
        <v>490</v>
      </c>
      <c r="CD2874">
        <v>2740</v>
      </c>
      <c r="CE2874" t="s">
        <v>96</v>
      </c>
      <c r="CF2874" s="3">
        <v>45803</v>
      </c>
      <c r="CI2874">
        <v>1</v>
      </c>
      <c r="CJ2874">
        <v>1</v>
      </c>
      <c r="CK2874">
        <v>23</v>
      </c>
      <c r="CL2874" t="s">
        <v>89</v>
      </c>
    </row>
    <row r="2875" spans="1:90" x14ac:dyDescent="0.3">
      <c r="A2875" t="s">
        <v>72</v>
      </c>
      <c r="B2875" t="s">
        <v>73</v>
      </c>
      <c r="C2875" t="s">
        <v>74</v>
      </c>
      <c r="E2875" t="str">
        <f>"080065512420"</f>
        <v>080065512420</v>
      </c>
      <c r="F2875" s="3">
        <v>45799</v>
      </c>
      <c r="G2875">
        <v>202602</v>
      </c>
      <c r="H2875" t="s">
        <v>75</v>
      </c>
      <c r="I2875" t="s">
        <v>76</v>
      </c>
      <c r="J2875" t="s">
        <v>77</v>
      </c>
      <c r="K2875" t="s">
        <v>78</v>
      </c>
      <c r="L2875" t="s">
        <v>489</v>
      </c>
      <c r="M2875" t="s">
        <v>490</v>
      </c>
      <c r="N2875" t="s">
        <v>491</v>
      </c>
      <c r="O2875" t="s">
        <v>82</v>
      </c>
      <c r="P2875" t="str">
        <f>"4170040170                    "</f>
        <v xml:space="preserve">4170040170                    </v>
      </c>
      <c r="Q2875">
        <v>0</v>
      </c>
      <c r="R2875">
        <v>0</v>
      </c>
      <c r="S2875">
        <v>0</v>
      </c>
      <c r="T2875">
        <v>0</v>
      </c>
      <c r="U2875">
        <v>0</v>
      </c>
      <c r="V2875">
        <v>0</v>
      </c>
      <c r="W2875">
        <v>0</v>
      </c>
      <c r="X2875">
        <v>0</v>
      </c>
      <c r="Y2875">
        <v>0</v>
      </c>
      <c r="Z2875">
        <v>0</v>
      </c>
      <c r="AA2875">
        <v>0</v>
      </c>
      <c r="AB2875">
        <v>0</v>
      </c>
      <c r="AC2875">
        <v>0</v>
      </c>
      <c r="AD2875">
        <v>0</v>
      </c>
      <c r="AE2875">
        <v>0</v>
      </c>
      <c r="AF2875">
        <v>0</v>
      </c>
      <c r="AG2875">
        <v>0</v>
      </c>
      <c r="AH2875">
        <v>0</v>
      </c>
      <c r="AI2875">
        <v>0</v>
      </c>
      <c r="AJ2875">
        <v>0</v>
      </c>
      <c r="AK2875">
        <v>0</v>
      </c>
      <c r="AL2875">
        <v>0</v>
      </c>
      <c r="AM2875">
        <v>0</v>
      </c>
      <c r="AN2875">
        <v>0</v>
      </c>
      <c r="AO2875">
        <v>0</v>
      </c>
      <c r="AP2875">
        <v>0</v>
      </c>
      <c r="AQ2875">
        <v>41.43</v>
      </c>
      <c r="AR2875">
        <v>0</v>
      </c>
      <c r="AS2875">
        <v>0</v>
      </c>
      <c r="AT2875">
        <v>0</v>
      </c>
      <c r="AU2875">
        <v>0</v>
      </c>
      <c r="AV2875">
        <v>0</v>
      </c>
      <c r="AW2875">
        <v>0</v>
      </c>
      <c r="AX2875">
        <v>0</v>
      </c>
      <c r="AY2875">
        <v>0</v>
      </c>
      <c r="AZ2875">
        <v>0</v>
      </c>
      <c r="BA2875">
        <v>0</v>
      </c>
      <c r="BB2875">
        <v>0</v>
      </c>
      <c r="BC2875">
        <v>0</v>
      </c>
      <c r="BD2875">
        <v>0</v>
      </c>
      <c r="BE2875">
        <v>0</v>
      </c>
      <c r="BF2875">
        <v>0</v>
      </c>
      <c r="BG2875">
        <v>0</v>
      </c>
      <c r="BH2875">
        <v>1</v>
      </c>
      <c r="BI2875">
        <v>1</v>
      </c>
      <c r="BJ2875">
        <v>0.6</v>
      </c>
      <c r="BK2875">
        <v>1</v>
      </c>
      <c r="BL2875">
        <v>135.59</v>
      </c>
      <c r="BM2875">
        <v>20.34</v>
      </c>
      <c r="BN2875">
        <v>155.93</v>
      </c>
      <c r="BO2875">
        <v>155.93</v>
      </c>
      <c r="BQ2875" t="s">
        <v>492</v>
      </c>
      <c r="BR2875" t="s">
        <v>84</v>
      </c>
      <c r="BS2875" s="3">
        <v>45800</v>
      </c>
      <c r="BT2875" s="4">
        <v>0.41944444444444445</v>
      </c>
      <c r="BU2875" t="s">
        <v>2931</v>
      </c>
      <c r="BV2875" t="s">
        <v>86</v>
      </c>
      <c r="BY2875">
        <v>3192</v>
      </c>
      <c r="CA2875" t="s">
        <v>913</v>
      </c>
      <c r="CC2875" t="s">
        <v>490</v>
      </c>
      <c r="CD2875">
        <v>2740</v>
      </c>
      <c r="CE2875" t="s">
        <v>116</v>
      </c>
      <c r="CF2875" s="3">
        <v>45803</v>
      </c>
      <c r="CI2875">
        <v>1</v>
      </c>
      <c r="CJ2875">
        <v>1</v>
      </c>
      <c r="CK2875">
        <v>23</v>
      </c>
      <c r="CL2875" t="s">
        <v>89</v>
      </c>
    </row>
    <row r="2876" spans="1:90" x14ac:dyDescent="0.3">
      <c r="A2876" t="s">
        <v>72</v>
      </c>
      <c r="B2876" t="s">
        <v>73</v>
      </c>
      <c r="C2876" t="s">
        <v>74</v>
      </c>
      <c r="E2876" t="str">
        <f>"080065512522"</f>
        <v>080065512522</v>
      </c>
      <c r="F2876" s="3">
        <v>45799</v>
      </c>
      <c r="G2876">
        <v>202602</v>
      </c>
      <c r="H2876" t="s">
        <v>75</v>
      </c>
      <c r="I2876" t="s">
        <v>76</v>
      </c>
      <c r="J2876" t="s">
        <v>77</v>
      </c>
      <c r="K2876" t="s">
        <v>78</v>
      </c>
      <c r="L2876" t="s">
        <v>130</v>
      </c>
      <c r="M2876" t="s">
        <v>131</v>
      </c>
      <c r="N2876" t="s">
        <v>239</v>
      </c>
      <c r="O2876" t="s">
        <v>82</v>
      </c>
      <c r="P2876" t="str">
        <f>"4170040190                    "</f>
        <v xml:space="preserve">4170040190                    </v>
      </c>
      <c r="Q2876">
        <v>0</v>
      </c>
      <c r="R2876">
        <v>0</v>
      </c>
      <c r="S2876">
        <v>0</v>
      </c>
      <c r="T2876">
        <v>0</v>
      </c>
      <c r="U2876">
        <v>0</v>
      </c>
      <c r="V2876">
        <v>0</v>
      </c>
      <c r="W2876">
        <v>0</v>
      </c>
      <c r="X2876">
        <v>0</v>
      </c>
      <c r="Y2876">
        <v>0</v>
      </c>
      <c r="Z2876">
        <v>0</v>
      </c>
      <c r="AA2876">
        <v>0</v>
      </c>
      <c r="AB2876">
        <v>0</v>
      </c>
      <c r="AC2876">
        <v>0</v>
      </c>
      <c r="AD2876">
        <v>0</v>
      </c>
      <c r="AE2876">
        <v>0</v>
      </c>
      <c r="AF2876">
        <v>0</v>
      </c>
      <c r="AG2876">
        <v>0</v>
      </c>
      <c r="AH2876">
        <v>0</v>
      </c>
      <c r="AI2876">
        <v>0</v>
      </c>
      <c r="AJ2876">
        <v>0</v>
      </c>
      <c r="AK2876">
        <v>0</v>
      </c>
      <c r="AL2876">
        <v>0</v>
      </c>
      <c r="AM2876">
        <v>0</v>
      </c>
      <c r="AN2876">
        <v>0</v>
      </c>
      <c r="AO2876">
        <v>0</v>
      </c>
      <c r="AP2876">
        <v>0</v>
      </c>
      <c r="AQ2876">
        <v>53.43</v>
      </c>
      <c r="AR2876">
        <v>0</v>
      </c>
      <c r="AS2876">
        <v>0</v>
      </c>
      <c r="AT2876">
        <v>0</v>
      </c>
      <c r="AU2876">
        <v>0</v>
      </c>
      <c r="AV2876">
        <v>0</v>
      </c>
      <c r="AW2876">
        <v>0</v>
      </c>
      <c r="AX2876">
        <v>0</v>
      </c>
      <c r="AY2876">
        <v>0</v>
      </c>
      <c r="AZ2876">
        <v>0</v>
      </c>
      <c r="BA2876">
        <v>0</v>
      </c>
      <c r="BB2876">
        <v>0</v>
      </c>
      <c r="BC2876">
        <v>0</v>
      </c>
      <c r="BD2876">
        <v>0</v>
      </c>
      <c r="BE2876">
        <v>0</v>
      </c>
      <c r="BF2876">
        <v>0</v>
      </c>
      <c r="BG2876">
        <v>0</v>
      </c>
      <c r="BH2876">
        <v>1</v>
      </c>
      <c r="BI2876">
        <v>5</v>
      </c>
      <c r="BJ2876">
        <v>3.1</v>
      </c>
      <c r="BK2876">
        <v>5</v>
      </c>
      <c r="BL2876">
        <v>174.87</v>
      </c>
      <c r="BM2876">
        <v>26.23</v>
      </c>
      <c r="BN2876">
        <v>201.1</v>
      </c>
      <c r="BO2876">
        <v>201.1</v>
      </c>
      <c r="BQ2876" t="s">
        <v>240</v>
      </c>
      <c r="BR2876" t="s">
        <v>84</v>
      </c>
      <c r="BS2876" s="3">
        <v>45800</v>
      </c>
      <c r="BT2876" s="4">
        <v>0.375</v>
      </c>
      <c r="BU2876" t="s">
        <v>2932</v>
      </c>
      <c r="BV2876" t="s">
        <v>86</v>
      </c>
      <c r="BY2876">
        <v>15360</v>
      </c>
      <c r="CA2876" t="s">
        <v>242</v>
      </c>
      <c r="CC2876" t="s">
        <v>131</v>
      </c>
      <c r="CD2876">
        <v>7441</v>
      </c>
      <c r="CE2876" t="s">
        <v>96</v>
      </c>
      <c r="CF2876" s="3">
        <v>45803</v>
      </c>
      <c r="CI2876">
        <v>1</v>
      </c>
      <c r="CJ2876">
        <v>1</v>
      </c>
      <c r="CK2876">
        <v>21</v>
      </c>
      <c r="CL2876" t="s">
        <v>89</v>
      </c>
    </row>
    <row r="2877" spans="1:90" x14ac:dyDescent="0.3">
      <c r="A2877" t="s">
        <v>72</v>
      </c>
      <c r="B2877" t="s">
        <v>73</v>
      </c>
      <c r="C2877" t="s">
        <v>74</v>
      </c>
      <c r="E2877" t="str">
        <f>"080065512539"</f>
        <v>080065512539</v>
      </c>
      <c r="F2877" s="3">
        <v>45799</v>
      </c>
      <c r="G2877">
        <v>202602</v>
      </c>
      <c r="H2877" t="s">
        <v>75</v>
      </c>
      <c r="I2877" t="s">
        <v>76</v>
      </c>
      <c r="J2877" t="s">
        <v>77</v>
      </c>
      <c r="K2877" t="s">
        <v>78</v>
      </c>
      <c r="L2877" t="s">
        <v>672</v>
      </c>
      <c r="M2877" t="s">
        <v>673</v>
      </c>
      <c r="N2877" t="s">
        <v>674</v>
      </c>
      <c r="O2877" t="s">
        <v>82</v>
      </c>
      <c r="P2877" t="str">
        <f>"4170040176                    "</f>
        <v xml:space="preserve">4170040176                    </v>
      </c>
      <c r="Q2877">
        <v>0</v>
      </c>
      <c r="R2877">
        <v>0</v>
      </c>
      <c r="S2877">
        <v>0</v>
      </c>
      <c r="T2877">
        <v>0</v>
      </c>
      <c r="U2877">
        <v>0</v>
      </c>
      <c r="V2877">
        <v>0</v>
      </c>
      <c r="W2877">
        <v>0</v>
      </c>
      <c r="X2877">
        <v>0</v>
      </c>
      <c r="Y2877">
        <v>0</v>
      </c>
      <c r="Z2877">
        <v>0</v>
      </c>
      <c r="AA2877">
        <v>0</v>
      </c>
      <c r="AB2877">
        <v>0</v>
      </c>
      <c r="AC2877">
        <v>0</v>
      </c>
      <c r="AD2877">
        <v>0</v>
      </c>
      <c r="AE2877">
        <v>0</v>
      </c>
      <c r="AF2877">
        <v>0</v>
      </c>
      <c r="AG2877">
        <v>0</v>
      </c>
      <c r="AH2877">
        <v>0</v>
      </c>
      <c r="AI2877">
        <v>0</v>
      </c>
      <c r="AJ2877">
        <v>0</v>
      </c>
      <c r="AK2877">
        <v>0</v>
      </c>
      <c r="AL2877">
        <v>0</v>
      </c>
      <c r="AM2877">
        <v>0</v>
      </c>
      <c r="AN2877">
        <v>0</v>
      </c>
      <c r="AO2877">
        <v>0</v>
      </c>
      <c r="AP2877">
        <v>0</v>
      </c>
      <c r="AQ2877">
        <v>69.489999999999995</v>
      </c>
      <c r="AR2877">
        <v>0</v>
      </c>
      <c r="AS2877">
        <v>0</v>
      </c>
      <c r="AT2877">
        <v>0</v>
      </c>
      <c r="AU2877">
        <v>0</v>
      </c>
      <c r="AV2877">
        <v>0</v>
      </c>
      <c r="AW2877">
        <v>0</v>
      </c>
      <c r="AX2877">
        <v>0</v>
      </c>
      <c r="AY2877">
        <v>0</v>
      </c>
      <c r="AZ2877">
        <v>0</v>
      </c>
      <c r="BA2877">
        <v>0</v>
      </c>
      <c r="BB2877">
        <v>0</v>
      </c>
      <c r="BC2877">
        <v>0</v>
      </c>
      <c r="BD2877">
        <v>0</v>
      </c>
      <c r="BE2877">
        <v>0</v>
      </c>
      <c r="BF2877">
        <v>0</v>
      </c>
      <c r="BG2877">
        <v>0</v>
      </c>
      <c r="BH2877">
        <v>1</v>
      </c>
      <c r="BI2877">
        <v>2</v>
      </c>
      <c r="BJ2877">
        <v>3.1</v>
      </c>
      <c r="BK2877">
        <v>3.5</v>
      </c>
      <c r="BL2877">
        <v>227.43</v>
      </c>
      <c r="BM2877">
        <v>34.11</v>
      </c>
      <c r="BN2877">
        <v>261.54000000000002</v>
      </c>
      <c r="BO2877">
        <v>261.54000000000002</v>
      </c>
      <c r="BQ2877" t="s">
        <v>675</v>
      </c>
      <c r="BR2877" t="s">
        <v>84</v>
      </c>
      <c r="BS2877" s="3">
        <v>45800</v>
      </c>
      <c r="BT2877" s="4">
        <v>0.44236111111111109</v>
      </c>
      <c r="BU2877" t="s">
        <v>2900</v>
      </c>
      <c r="BV2877" t="s">
        <v>86</v>
      </c>
      <c r="BY2877">
        <v>15360</v>
      </c>
      <c r="CA2877" t="s">
        <v>2901</v>
      </c>
      <c r="CC2877" t="s">
        <v>673</v>
      </c>
      <c r="CD2877">
        <v>2531</v>
      </c>
      <c r="CE2877" t="s">
        <v>96</v>
      </c>
      <c r="CF2877" s="3">
        <v>45803</v>
      </c>
      <c r="CI2877">
        <v>1</v>
      </c>
      <c r="CJ2877">
        <v>1</v>
      </c>
      <c r="CK2877">
        <v>23</v>
      </c>
      <c r="CL2877" t="s">
        <v>89</v>
      </c>
    </row>
    <row r="2878" spans="1:90" x14ac:dyDescent="0.3">
      <c r="A2878" t="s">
        <v>72</v>
      </c>
      <c r="B2878" t="s">
        <v>73</v>
      </c>
      <c r="C2878" t="s">
        <v>74</v>
      </c>
      <c r="E2878" t="str">
        <f>"080065512807"</f>
        <v>080065512807</v>
      </c>
      <c r="F2878" s="3">
        <v>45799</v>
      </c>
      <c r="G2878">
        <v>202602</v>
      </c>
      <c r="H2878" t="s">
        <v>75</v>
      </c>
      <c r="I2878" t="s">
        <v>76</v>
      </c>
      <c r="J2878" t="s">
        <v>77</v>
      </c>
      <c r="K2878" t="s">
        <v>78</v>
      </c>
      <c r="L2878" t="s">
        <v>75</v>
      </c>
      <c r="M2878" t="s">
        <v>76</v>
      </c>
      <c r="N2878" t="s">
        <v>390</v>
      </c>
      <c r="O2878" t="s">
        <v>82</v>
      </c>
      <c r="P2878" t="str">
        <f>"4170040209                    "</f>
        <v xml:space="preserve">4170040209                    </v>
      </c>
      <c r="Q2878">
        <v>0</v>
      </c>
      <c r="R2878">
        <v>0</v>
      </c>
      <c r="S2878">
        <v>0</v>
      </c>
      <c r="T2878">
        <v>0</v>
      </c>
      <c r="U2878">
        <v>0</v>
      </c>
      <c r="V2878">
        <v>0</v>
      </c>
      <c r="W2878">
        <v>0</v>
      </c>
      <c r="X2878">
        <v>0</v>
      </c>
      <c r="Y2878">
        <v>0</v>
      </c>
      <c r="Z2878">
        <v>0</v>
      </c>
      <c r="AA2878">
        <v>0</v>
      </c>
      <c r="AB2878">
        <v>0</v>
      </c>
      <c r="AC2878">
        <v>0</v>
      </c>
      <c r="AD2878">
        <v>0</v>
      </c>
      <c r="AE2878">
        <v>0</v>
      </c>
      <c r="AF2878">
        <v>0</v>
      </c>
      <c r="AG2878">
        <v>0</v>
      </c>
      <c r="AH2878">
        <v>0</v>
      </c>
      <c r="AI2878">
        <v>0</v>
      </c>
      <c r="AJ2878">
        <v>0</v>
      </c>
      <c r="AK2878">
        <v>0</v>
      </c>
      <c r="AL2878">
        <v>0</v>
      </c>
      <c r="AM2878">
        <v>0</v>
      </c>
      <c r="AN2878">
        <v>0</v>
      </c>
      <c r="AO2878">
        <v>0</v>
      </c>
      <c r="AP2878">
        <v>0</v>
      </c>
      <c r="AQ2878">
        <v>16.7</v>
      </c>
      <c r="AR2878">
        <v>0</v>
      </c>
      <c r="AS2878">
        <v>0</v>
      </c>
      <c r="AT2878">
        <v>0</v>
      </c>
      <c r="AU2878">
        <v>0</v>
      </c>
      <c r="AV2878">
        <v>0</v>
      </c>
      <c r="AW2878">
        <v>0</v>
      </c>
      <c r="AX2878">
        <v>0</v>
      </c>
      <c r="AY2878">
        <v>0</v>
      </c>
      <c r="AZ2878">
        <v>0</v>
      </c>
      <c r="BA2878">
        <v>0</v>
      </c>
      <c r="BB2878">
        <v>0</v>
      </c>
      <c r="BC2878">
        <v>0</v>
      </c>
      <c r="BD2878">
        <v>0</v>
      </c>
      <c r="BE2878">
        <v>0</v>
      </c>
      <c r="BF2878">
        <v>0</v>
      </c>
      <c r="BG2878">
        <v>0</v>
      </c>
      <c r="BH2878">
        <v>1</v>
      </c>
      <c r="BI2878">
        <v>1</v>
      </c>
      <c r="BJ2878">
        <v>0.2</v>
      </c>
      <c r="BK2878">
        <v>1</v>
      </c>
      <c r="BL2878">
        <v>54.66</v>
      </c>
      <c r="BM2878">
        <v>8.1999999999999993</v>
      </c>
      <c r="BN2878">
        <v>62.86</v>
      </c>
      <c r="BO2878">
        <v>62.86</v>
      </c>
      <c r="BQ2878" t="s">
        <v>391</v>
      </c>
      <c r="BR2878" t="s">
        <v>84</v>
      </c>
      <c r="BS2878" s="3">
        <v>45800</v>
      </c>
      <c r="BT2878" s="4">
        <v>0.35208333333333336</v>
      </c>
      <c r="BU2878" t="s">
        <v>1660</v>
      </c>
      <c r="BV2878" t="s">
        <v>86</v>
      </c>
      <c r="BY2878">
        <v>1200</v>
      </c>
      <c r="CA2878" t="s">
        <v>115</v>
      </c>
      <c r="CC2878" t="s">
        <v>76</v>
      </c>
      <c r="CD2878">
        <v>1600</v>
      </c>
      <c r="CE2878" t="s">
        <v>88</v>
      </c>
      <c r="CF2878" s="3">
        <v>45800</v>
      </c>
      <c r="CI2878">
        <v>1</v>
      </c>
      <c r="CJ2878">
        <v>1</v>
      </c>
      <c r="CK2878">
        <v>22</v>
      </c>
      <c r="CL2878" t="s">
        <v>89</v>
      </c>
    </row>
    <row r="2879" spans="1:90" x14ac:dyDescent="0.3">
      <c r="A2879" t="s">
        <v>72</v>
      </c>
      <c r="B2879" t="s">
        <v>73</v>
      </c>
      <c r="C2879" t="s">
        <v>74</v>
      </c>
      <c r="E2879" t="str">
        <f>"080065512814"</f>
        <v>080065512814</v>
      </c>
      <c r="F2879" s="3">
        <v>45799</v>
      </c>
      <c r="G2879">
        <v>202602</v>
      </c>
      <c r="H2879" t="s">
        <v>75</v>
      </c>
      <c r="I2879" t="s">
        <v>76</v>
      </c>
      <c r="J2879" t="s">
        <v>77</v>
      </c>
      <c r="K2879" t="s">
        <v>78</v>
      </c>
      <c r="L2879" t="s">
        <v>79</v>
      </c>
      <c r="M2879" t="s">
        <v>80</v>
      </c>
      <c r="N2879" t="s">
        <v>880</v>
      </c>
      <c r="O2879" t="s">
        <v>82</v>
      </c>
      <c r="P2879" t="str">
        <f>"4170040178                    "</f>
        <v xml:space="preserve">4170040178                    </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0</v>
      </c>
      <c r="AL2879">
        <v>0</v>
      </c>
      <c r="AM2879">
        <v>0</v>
      </c>
      <c r="AN2879">
        <v>0</v>
      </c>
      <c r="AO2879">
        <v>0</v>
      </c>
      <c r="AP2879">
        <v>0</v>
      </c>
      <c r="AQ2879">
        <v>96.17</v>
      </c>
      <c r="AR2879">
        <v>0</v>
      </c>
      <c r="AS2879">
        <v>0</v>
      </c>
      <c r="AT2879">
        <v>0</v>
      </c>
      <c r="AU2879">
        <v>0</v>
      </c>
      <c r="AV2879">
        <v>0</v>
      </c>
      <c r="AW2879">
        <v>0</v>
      </c>
      <c r="AX2879">
        <v>0</v>
      </c>
      <c r="AY2879">
        <v>0</v>
      </c>
      <c r="AZ2879">
        <v>0</v>
      </c>
      <c r="BA2879">
        <v>0</v>
      </c>
      <c r="BB2879">
        <v>0</v>
      </c>
      <c r="BC2879">
        <v>0</v>
      </c>
      <c r="BD2879">
        <v>0</v>
      </c>
      <c r="BE2879">
        <v>0</v>
      </c>
      <c r="BF2879">
        <v>0</v>
      </c>
      <c r="BG2879">
        <v>0</v>
      </c>
      <c r="BH2879">
        <v>1</v>
      </c>
      <c r="BI2879">
        <v>5</v>
      </c>
      <c r="BJ2879">
        <v>8.9</v>
      </c>
      <c r="BK2879">
        <v>9</v>
      </c>
      <c r="BL2879">
        <v>314.73</v>
      </c>
      <c r="BM2879">
        <v>47.21</v>
      </c>
      <c r="BN2879">
        <v>361.94</v>
      </c>
      <c r="BO2879">
        <v>361.94</v>
      </c>
      <c r="BQ2879" t="s">
        <v>881</v>
      </c>
      <c r="BR2879" t="s">
        <v>84</v>
      </c>
      <c r="BS2879" s="3">
        <v>45800</v>
      </c>
      <c r="BT2879" s="4">
        <v>0.39652777777777776</v>
      </c>
      <c r="BU2879" t="s">
        <v>882</v>
      </c>
      <c r="BV2879" t="s">
        <v>86</v>
      </c>
      <c r="BY2879">
        <v>44460</v>
      </c>
      <c r="CA2879" t="s">
        <v>160</v>
      </c>
      <c r="CC2879" t="s">
        <v>80</v>
      </c>
      <c r="CD2879">
        <v>3620</v>
      </c>
      <c r="CE2879" t="s">
        <v>550</v>
      </c>
      <c r="CF2879" s="3">
        <v>45801</v>
      </c>
      <c r="CI2879">
        <v>1</v>
      </c>
      <c r="CJ2879">
        <v>1</v>
      </c>
      <c r="CK2879">
        <v>21</v>
      </c>
      <c r="CL2879" t="s">
        <v>89</v>
      </c>
    </row>
    <row r="2880" spans="1:90" x14ac:dyDescent="0.3">
      <c r="A2880" t="s">
        <v>72</v>
      </c>
      <c r="B2880" t="s">
        <v>73</v>
      </c>
      <c r="C2880" t="s">
        <v>74</v>
      </c>
      <c r="E2880" t="str">
        <f>"080065512821"</f>
        <v>080065512821</v>
      </c>
      <c r="F2880" s="3">
        <v>45799</v>
      </c>
      <c r="G2880">
        <v>202602</v>
      </c>
      <c r="H2880" t="s">
        <v>75</v>
      </c>
      <c r="I2880" t="s">
        <v>76</v>
      </c>
      <c r="J2880" t="s">
        <v>77</v>
      </c>
      <c r="K2880" t="s">
        <v>78</v>
      </c>
      <c r="L2880" t="s">
        <v>143</v>
      </c>
      <c r="M2880" t="s">
        <v>144</v>
      </c>
      <c r="N2880" t="s">
        <v>1312</v>
      </c>
      <c r="O2880" t="s">
        <v>82</v>
      </c>
      <c r="P2880" t="str">
        <f>"4170040144                    "</f>
        <v xml:space="preserve">4170040144                    </v>
      </c>
      <c r="Q2880">
        <v>0</v>
      </c>
      <c r="R2880">
        <v>0</v>
      </c>
      <c r="S2880">
        <v>0</v>
      </c>
      <c r="T2880">
        <v>0</v>
      </c>
      <c r="U2880">
        <v>0</v>
      </c>
      <c r="V2880">
        <v>0</v>
      </c>
      <c r="W2880">
        <v>0</v>
      </c>
      <c r="X2880">
        <v>0</v>
      </c>
      <c r="Y2880">
        <v>0</v>
      </c>
      <c r="Z2880">
        <v>0</v>
      </c>
      <c r="AA2880">
        <v>0</v>
      </c>
      <c r="AB2880">
        <v>0</v>
      </c>
      <c r="AC2880">
        <v>0</v>
      </c>
      <c r="AD2880">
        <v>0</v>
      </c>
      <c r="AE2880">
        <v>0</v>
      </c>
      <c r="AF2880">
        <v>0</v>
      </c>
      <c r="AG2880">
        <v>0</v>
      </c>
      <c r="AH2880">
        <v>0</v>
      </c>
      <c r="AI2880">
        <v>0</v>
      </c>
      <c r="AJ2880">
        <v>0</v>
      </c>
      <c r="AK2880">
        <v>0</v>
      </c>
      <c r="AL2880">
        <v>0</v>
      </c>
      <c r="AM2880">
        <v>0</v>
      </c>
      <c r="AN2880">
        <v>0</v>
      </c>
      <c r="AO2880">
        <v>0</v>
      </c>
      <c r="AP2880">
        <v>0</v>
      </c>
      <c r="AQ2880">
        <v>16.7</v>
      </c>
      <c r="AR2880">
        <v>0</v>
      </c>
      <c r="AS2880">
        <v>0</v>
      </c>
      <c r="AT2880">
        <v>0</v>
      </c>
      <c r="AU2880">
        <v>0</v>
      </c>
      <c r="AV2880">
        <v>0</v>
      </c>
      <c r="AW2880">
        <v>0</v>
      </c>
      <c r="AX2880">
        <v>0</v>
      </c>
      <c r="AY2880">
        <v>0</v>
      </c>
      <c r="AZ2880">
        <v>0</v>
      </c>
      <c r="BA2880">
        <v>0</v>
      </c>
      <c r="BB2880">
        <v>0</v>
      </c>
      <c r="BC2880">
        <v>0</v>
      </c>
      <c r="BD2880">
        <v>0</v>
      </c>
      <c r="BE2880">
        <v>0</v>
      </c>
      <c r="BF2880">
        <v>0</v>
      </c>
      <c r="BG2880">
        <v>0</v>
      </c>
      <c r="BH2880">
        <v>1</v>
      </c>
      <c r="BI2880">
        <v>1</v>
      </c>
      <c r="BJ2880">
        <v>0.2</v>
      </c>
      <c r="BK2880">
        <v>1</v>
      </c>
      <c r="BL2880">
        <v>54.66</v>
      </c>
      <c r="BM2880">
        <v>8.1999999999999993</v>
      </c>
      <c r="BN2880">
        <v>62.86</v>
      </c>
      <c r="BO2880">
        <v>62.86</v>
      </c>
      <c r="BQ2880" t="s">
        <v>1313</v>
      </c>
      <c r="BR2880" t="s">
        <v>84</v>
      </c>
      <c r="BS2880" s="3">
        <v>45800</v>
      </c>
      <c r="BT2880" s="4">
        <v>0.44791666666666669</v>
      </c>
      <c r="BU2880" t="s">
        <v>2933</v>
      </c>
      <c r="BV2880" t="s">
        <v>89</v>
      </c>
      <c r="BW2880" t="s">
        <v>148</v>
      </c>
      <c r="BX2880" t="s">
        <v>1130</v>
      </c>
      <c r="BY2880">
        <v>1200</v>
      </c>
      <c r="CA2880" t="s">
        <v>150</v>
      </c>
      <c r="CC2880" t="s">
        <v>144</v>
      </c>
      <c r="CD2880">
        <v>1429</v>
      </c>
      <c r="CE2880" t="s">
        <v>88</v>
      </c>
      <c r="CF2880" s="3">
        <v>45800</v>
      </c>
      <c r="CI2880">
        <v>1</v>
      </c>
      <c r="CJ2880">
        <v>1</v>
      </c>
      <c r="CK2880">
        <v>22</v>
      </c>
      <c r="CL2880" t="s">
        <v>89</v>
      </c>
    </row>
    <row r="2881" spans="1:90" x14ac:dyDescent="0.3">
      <c r="A2881" t="s">
        <v>72</v>
      </c>
      <c r="B2881" t="s">
        <v>73</v>
      </c>
      <c r="C2881" t="s">
        <v>74</v>
      </c>
      <c r="E2881" t="str">
        <f>"080065512858"</f>
        <v>080065512858</v>
      </c>
      <c r="F2881" s="3">
        <v>45799</v>
      </c>
      <c r="G2881">
        <v>202602</v>
      </c>
      <c r="H2881" t="s">
        <v>75</v>
      </c>
      <c r="I2881" t="s">
        <v>76</v>
      </c>
      <c r="J2881" t="s">
        <v>77</v>
      </c>
      <c r="K2881" t="s">
        <v>78</v>
      </c>
      <c r="L2881" t="s">
        <v>311</v>
      </c>
      <c r="M2881" t="s">
        <v>312</v>
      </c>
      <c r="N2881" t="s">
        <v>1317</v>
      </c>
      <c r="O2881" t="s">
        <v>82</v>
      </c>
      <c r="P2881" t="str">
        <f>"4170040202                    "</f>
        <v xml:space="preserve">4170040202                    </v>
      </c>
      <c r="Q2881">
        <v>0</v>
      </c>
      <c r="R2881">
        <v>0</v>
      </c>
      <c r="S2881">
        <v>0</v>
      </c>
      <c r="T2881">
        <v>0</v>
      </c>
      <c r="U2881">
        <v>0</v>
      </c>
      <c r="V2881">
        <v>0</v>
      </c>
      <c r="W2881">
        <v>0</v>
      </c>
      <c r="X2881">
        <v>0</v>
      </c>
      <c r="Y2881">
        <v>0</v>
      </c>
      <c r="Z2881">
        <v>0</v>
      </c>
      <c r="AA2881">
        <v>0</v>
      </c>
      <c r="AB2881">
        <v>0</v>
      </c>
      <c r="AC2881">
        <v>0</v>
      </c>
      <c r="AD2881">
        <v>0</v>
      </c>
      <c r="AE2881">
        <v>0</v>
      </c>
      <c r="AF2881">
        <v>0</v>
      </c>
      <c r="AG2881">
        <v>0</v>
      </c>
      <c r="AH2881">
        <v>0</v>
      </c>
      <c r="AI2881">
        <v>0</v>
      </c>
      <c r="AJ2881">
        <v>0</v>
      </c>
      <c r="AK2881">
        <v>0</v>
      </c>
      <c r="AL2881">
        <v>0</v>
      </c>
      <c r="AM2881">
        <v>0</v>
      </c>
      <c r="AN2881">
        <v>0</v>
      </c>
      <c r="AO2881">
        <v>0</v>
      </c>
      <c r="AP2881">
        <v>0</v>
      </c>
      <c r="AQ2881">
        <v>16.7</v>
      </c>
      <c r="AR2881">
        <v>0</v>
      </c>
      <c r="AS2881">
        <v>0</v>
      </c>
      <c r="AT2881">
        <v>0</v>
      </c>
      <c r="AU2881">
        <v>0</v>
      </c>
      <c r="AV2881">
        <v>0</v>
      </c>
      <c r="AW2881">
        <v>0</v>
      </c>
      <c r="AX2881">
        <v>0</v>
      </c>
      <c r="AY2881">
        <v>0</v>
      </c>
      <c r="AZ2881">
        <v>0</v>
      </c>
      <c r="BA2881">
        <v>0</v>
      </c>
      <c r="BB2881">
        <v>0</v>
      </c>
      <c r="BC2881">
        <v>0</v>
      </c>
      <c r="BD2881">
        <v>0</v>
      </c>
      <c r="BE2881">
        <v>0</v>
      </c>
      <c r="BF2881">
        <v>0</v>
      </c>
      <c r="BG2881">
        <v>0</v>
      </c>
      <c r="BH2881">
        <v>1</v>
      </c>
      <c r="BI2881">
        <v>1</v>
      </c>
      <c r="BJ2881">
        <v>0.2</v>
      </c>
      <c r="BK2881">
        <v>1</v>
      </c>
      <c r="BL2881">
        <v>54.66</v>
      </c>
      <c r="BM2881">
        <v>8.1999999999999993</v>
      </c>
      <c r="BN2881">
        <v>62.86</v>
      </c>
      <c r="BO2881">
        <v>62.86</v>
      </c>
      <c r="BQ2881" t="s">
        <v>1318</v>
      </c>
      <c r="BR2881" t="s">
        <v>84</v>
      </c>
      <c r="BS2881" s="3">
        <v>45800</v>
      </c>
      <c r="BT2881" s="4">
        <v>0.43125000000000002</v>
      </c>
      <c r="BU2881" t="s">
        <v>2934</v>
      </c>
      <c r="BV2881" t="s">
        <v>86</v>
      </c>
      <c r="BY2881">
        <v>1200</v>
      </c>
      <c r="CA2881" t="s">
        <v>1320</v>
      </c>
      <c r="CC2881" t="s">
        <v>312</v>
      </c>
      <c r="CD2881">
        <v>1501</v>
      </c>
      <c r="CE2881" t="s">
        <v>88</v>
      </c>
      <c r="CF2881" s="3">
        <v>45800</v>
      </c>
      <c r="CI2881">
        <v>1</v>
      </c>
      <c r="CJ2881">
        <v>1</v>
      </c>
      <c r="CK2881">
        <v>22</v>
      </c>
      <c r="CL2881" t="s">
        <v>89</v>
      </c>
    </row>
    <row r="2882" spans="1:90" x14ac:dyDescent="0.3">
      <c r="A2882" t="s">
        <v>72</v>
      </c>
      <c r="B2882" t="s">
        <v>73</v>
      </c>
      <c r="C2882" t="s">
        <v>74</v>
      </c>
      <c r="E2882" t="str">
        <f>"080065512881"</f>
        <v>080065512881</v>
      </c>
      <c r="F2882" s="3">
        <v>45799</v>
      </c>
      <c r="G2882">
        <v>202602</v>
      </c>
      <c r="H2882" t="s">
        <v>75</v>
      </c>
      <c r="I2882" t="s">
        <v>76</v>
      </c>
      <c r="J2882" t="s">
        <v>77</v>
      </c>
      <c r="K2882" t="s">
        <v>78</v>
      </c>
      <c r="L2882" t="s">
        <v>75</v>
      </c>
      <c r="M2882" t="s">
        <v>76</v>
      </c>
      <c r="N2882" t="s">
        <v>2016</v>
      </c>
      <c r="O2882" t="s">
        <v>82</v>
      </c>
      <c r="P2882" t="str">
        <f>"4170040093                    "</f>
        <v xml:space="preserve">4170040093                    </v>
      </c>
      <c r="Q2882">
        <v>0</v>
      </c>
      <c r="R2882">
        <v>0</v>
      </c>
      <c r="S2882">
        <v>0</v>
      </c>
      <c r="T2882">
        <v>0</v>
      </c>
      <c r="U2882">
        <v>0</v>
      </c>
      <c r="V2882">
        <v>0</v>
      </c>
      <c r="W2882">
        <v>0</v>
      </c>
      <c r="X2882">
        <v>0</v>
      </c>
      <c r="Y2882">
        <v>0</v>
      </c>
      <c r="Z2882">
        <v>0</v>
      </c>
      <c r="AA2882">
        <v>0</v>
      </c>
      <c r="AB2882">
        <v>0</v>
      </c>
      <c r="AC2882">
        <v>0</v>
      </c>
      <c r="AD2882">
        <v>0</v>
      </c>
      <c r="AE2882">
        <v>0</v>
      </c>
      <c r="AF2882">
        <v>0</v>
      </c>
      <c r="AG2882">
        <v>0</v>
      </c>
      <c r="AH2882">
        <v>0</v>
      </c>
      <c r="AI2882">
        <v>0</v>
      </c>
      <c r="AJ2882">
        <v>0</v>
      </c>
      <c r="AK2882">
        <v>0</v>
      </c>
      <c r="AL2882">
        <v>0</v>
      </c>
      <c r="AM2882">
        <v>0</v>
      </c>
      <c r="AN2882">
        <v>0</v>
      </c>
      <c r="AO2882">
        <v>0</v>
      </c>
      <c r="AP2882">
        <v>0</v>
      </c>
      <c r="AQ2882">
        <v>16.7</v>
      </c>
      <c r="AR2882">
        <v>0</v>
      </c>
      <c r="AS2882">
        <v>0</v>
      </c>
      <c r="AT2882">
        <v>0</v>
      </c>
      <c r="AU2882">
        <v>0</v>
      </c>
      <c r="AV2882">
        <v>0</v>
      </c>
      <c r="AW2882">
        <v>0</v>
      </c>
      <c r="AX2882">
        <v>0</v>
      </c>
      <c r="AY2882">
        <v>0</v>
      </c>
      <c r="AZ2882">
        <v>0</v>
      </c>
      <c r="BA2882">
        <v>0</v>
      </c>
      <c r="BB2882">
        <v>0</v>
      </c>
      <c r="BC2882">
        <v>0</v>
      </c>
      <c r="BD2882">
        <v>0</v>
      </c>
      <c r="BE2882">
        <v>0</v>
      </c>
      <c r="BF2882">
        <v>0</v>
      </c>
      <c r="BG2882">
        <v>0</v>
      </c>
      <c r="BH2882">
        <v>1</v>
      </c>
      <c r="BI2882">
        <v>2</v>
      </c>
      <c r="BJ2882">
        <v>0.6</v>
      </c>
      <c r="BK2882">
        <v>2</v>
      </c>
      <c r="BL2882">
        <v>54.66</v>
      </c>
      <c r="BM2882">
        <v>8.1999999999999993</v>
      </c>
      <c r="BN2882">
        <v>62.86</v>
      </c>
      <c r="BO2882">
        <v>62.86</v>
      </c>
      <c r="BQ2882" t="s">
        <v>2017</v>
      </c>
      <c r="BR2882" t="s">
        <v>84</v>
      </c>
      <c r="BS2882" s="3">
        <v>45800</v>
      </c>
      <c r="BT2882" s="4">
        <v>0.3923611111111111</v>
      </c>
      <c r="BU2882" t="s">
        <v>2935</v>
      </c>
      <c r="BV2882" t="s">
        <v>86</v>
      </c>
      <c r="BY2882">
        <v>3192</v>
      </c>
      <c r="CA2882" t="s">
        <v>115</v>
      </c>
      <c r="CC2882" t="s">
        <v>76</v>
      </c>
      <c r="CD2882">
        <v>1619</v>
      </c>
      <c r="CE2882" t="s">
        <v>116</v>
      </c>
      <c r="CF2882" s="3">
        <v>45800</v>
      </c>
      <c r="CI2882">
        <v>1</v>
      </c>
      <c r="CJ2882">
        <v>1</v>
      </c>
      <c r="CK2882">
        <v>22</v>
      </c>
      <c r="CL2882" t="s">
        <v>89</v>
      </c>
    </row>
    <row r="2883" spans="1:90" x14ac:dyDescent="0.3">
      <c r="A2883" t="s">
        <v>72</v>
      </c>
      <c r="B2883" t="s">
        <v>73</v>
      </c>
      <c r="C2883" t="s">
        <v>74</v>
      </c>
      <c r="E2883" t="str">
        <f>"080065512910"</f>
        <v>080065512910</v>
      </c>
      <c r="F2883" s="3">
        <v>45799</v>
      </c>
      <c r="G2883">
        <v>202602</v>
      </c>
      <c r="H2883" t="s">
        <v>75</v>
      </c>
      <c r="I2883" t="s">
        <v>76</v>
      </c>
      <c r="J2883" t="s">
        <v>77</v>
      </c>
      <c r="K2883" t="s">
        <v>78</v>
      </c>
      <c r="L2883" t="s">
        <v>136</v>
      </c>
      <c r="M2883" t="s">
        <v>137</v>
      </c>
      <c r="N2883" t="s">
        <v>2936</v>
      </c>
      <c r="O2883" t="s">
        <v>300</v>
      </c>
      <c r="P2883" t="str">
        <f>"4170040203                    "</f>
        <v xml:space="preserve">4170040203                    </v>
      </c>
      <c r="Q2883">
        <v>0</v>
      </c>
      <c r="R2883">
        <v>0</v>
      </c>
      <c r="S2883">
        <v>0</v>
      </c>
      <c r="T2883">
        <v>0</v>
      </c>
      <c r="U2883">
        <v>0</v>
      </c>
      <c r="V2883">
        <v>0</v>
      </c>
      <c r="W2883">
        <v>0</v>
      </c>
      <c r="X2883">
        <v>0</v>
      </c>
      <c r="Y2883">
        <v>0</v>
      </c>
      <c r="Z2883">
        <v>0</v>
      </c>
      <c r="AA2883">
        <v>0</v>
      </c>
      <c r="AB2883">
        <v>0</v>
      </c>
      <c r="AC2883">
        <v>0</v>
      </c>
      <c r="AD2883">
        <v>0</v>
      </c>
      <c r="AE2883">
        <v>0</v>
      </c>
      <c r="AF2883">
        <v>0</v>
      </c>
      <c r="AG2883">
        <v>0</v>
      </c>
      <c r="AH2883">
        <v>0</v>
      </c>
      <c r="AI2883">
        <v>0</v>
      </c>
      <c r="AJ2883">
        <v>0</v>
      </c>
      <c r="AK2883">
        <v>0</v>
      </c>
      <c r="AL2883">
        <v>0</v>
      </c>
      <c r="AM2883">
        <v>0</v>
      </c>
      <c r="AN2883">
        <v>0</v>
      </c>
      <c r="AO2883">
        <v>0</v>
      </c>
      <c r="AP2883">
        <v>0</v>
      </c>
      <c r="AQ2883">
        <v>41.35</v>
      </c>
      <c r="AR2883">
        <v>0</v>
      </c>
      <c r="AS2883">
        <v>0</v>
      </c>
      <c r="AT2883">
        <v>0</v>
      </c>
      <c r="AU2883">
        <v>0</v>
      </c>
      <c r="AV2883">
        <v>0</v>
      </c>
      <c r="AW2883">
        <v>0</v>
      </c>
      <c r="AX2883">
        <v>0</v>
      </c>
      <c r="AY2883">
        <v>0</v>
      </c>
      <c r="AZ2883">
        <v>0</v>
      </c>
      <c r="BA2883">
        <v>0</v>
      </c>
      <c r="BB2883">
        <v>0</v>
      </c>
      <c r="BC2883">
        <v>0</v>
      </c>
      <c r="BD2883">
        <v>0</v>
      </c>
      <c r="BE2883">
        <v>0</v>
      </c>
      <c r="BF2883">
        <v>0</v>
      </c>
      <c r="BG2883">
        <v>0</v>
      </c>
      <c r="BH2883">
        <v>2</v>
      </c>
      <c r="BI2883">
        <v>6</v>
      </c>
      <c r="BJ2883">
        <v>6.1</v>
      </c>
      <c r="BK2883">
        <v>7</v>
      </c>
      <c r="BL2883">
        <v>140.9</v>
      </c>
      <c r="BM2883">
        <v>21.14</v>
      </c>
      <c r="BN2883">
        <v>162.04</v>
      </c>
      <c r="BO2883">
        <v>162.04</v>
      </c>
      <c r="BQ2883" t="s">
        <v>2937</v>
      </c>
      <c r="BR2883" t="s">
        <v>84</v>
      </c>
      <c r="BS2883" s="3">
        <v>45800</v>
      </c>
      <c r="BT2883" s="4">
        <v>0.44305555555555554</v>
      </c>
      <c r="BU2883" t="s">
        <v>2938</v>
      </c>
      <c r="BV2883" t="s">
        <v>86</v>
      </c>
      <c r="BY2883">
        <v>30726</v>
      </c>
      <c r="CA2883" t="s">
        <v>253</v>
      </c>
      <c r="CC2883" t="s">
        <v>137</v>
      </c>
      <c r="CD2883" s="5" t="s">
        <v>895</v>
      </c>
      <c r="CE2883" t="s">
        <v>221</v>
      </c>
      <c r="CF2883" s="3">
        <v>45800</v>
      </c>
      <c r="CI2883">
        <v>1</v>
      </c>
      <c r="CJ2883">
        <v>1</v>
      </c>
      <c r="CK2883">
        <v>41</v>
      </c>
      <c r="CL2883" t="s">
        <v>89</v>
      </c>
    </row>
    <row r="2884" spans="1:90" x14ac:dyDescent="0.3">
      <c r="A2884" t="s">
        <v>72</v>
      </c>
      <c r="B2884" t="s">
        <v>73</v>
      </c>
      <c r="C2884" t="s">
        <v>74</v>
      </c>
      <c r="E2884" t="str">
        <f>"080065512931"</f>
        <v>080065512931</v>
      </c>
      <c r="F2884" s="3">
        <v>45799</v>
      </c>
      <c r="G2884">
        <v>202602</v>
      </c>
      <c r="H2884" t="s">
        <v>75</v>
      </c>
      <c r="I2884" t="s">
        <v>76</v>
      </c>
      <c r="J2884" t="s">
        <v>77</v>
      </c>
      <c r="K2884" t="s">
        <v>78</v>
      </c>
      <c r="L2884" t="s">
        <v>136</v>
      </c>
      <c r="M2884" t="s">
        <v>137</v>
      </c>
      <c r="N2884" t="s">
        <v>2939</v>
      </c>
      <c r="O2884" t="s">
        <v>82</v>
      </c>
      <c r="P2884" t="str">
        <f>"4170040181                    "</f>
        <v xml:space="preserve">4170040181                    </v>
      </c>
      <c r="Q2884">
        <v>0</v>
      </c>
      <c r="R2884">
        <v>0</v>
      </c>
      <c r="S2884">
        <v>0</v>
      </c>
      <c r="T2884">
        <v>0</v>
      </c>
      <c r="U2884">
        <v>0</v>
      </c>
      <c r="V2884">
        <v>0</v>
      </c>
      <c r="W2884">
        <v>0</v>
      </c>
      <c r="X2884">
        <v>0</v>
      </c>
      <c r="Y2884">
        <v>0</v>
      </c>
      <c r="Z2884">
        <v>0</v>
      </c>
      <c r="AA2884">
        <v>0</v>
      </c>
      <c r="AB2884">
        <v>0</v>
      </c>
      <c r="AC2884">
        <v>0</v>
      </c>
      <c r="AD2884">
        <v>0</v>
      </c>
      <c r="AE2884">
        <v>0</v>
      </c>
      <c r="AF2884">
        <v>0</v>
      </c>
      <c r="AG2884">
        <v>0</v>
      </c>
      <c r="AH2884">
        <v>0</v>
      </c>
      <c r="AI2884">
        <v>0</v>
      </c>
      <c r="AJ2884">
        <v>0</v>
      </c>
      <c r="AK2884">
        <v>0</v>
      </c>
      <c r="AL2884">
        <v>0</v>
      </c>
      <c r="AM2884">
        <v>0</v>
      </c>
      <c r="AN2884">
        <v>0</v>
      </c>
      <c r="AO2884">
        <v>0</v>
      </c>
      <c r="AP2884">
        <v>0</v>
      </c>
      <c r="AQ2884">
        <v>37.409999999999997</v>
      </c>
      <c r="AR2884">
        <v>0</v>
      </c>
      <c r="AS2884">
        <v>0</v>
      </c>
      <c r="AT2884">
        <v>0</v>
      </c>
      <c r="AU2884">
        <v>0</v>
      </c>
      <c r="AV2884">
        <v>0</v>
      </c>
      <c r="AW2884">
        <v>0</v>
      </c>
      <c r="AX2884">
        <v>0</v>
      </c>
      <c r="AY2884">
        <v>0</v>
      </c>
      <c r="AZ2884">
        <v>0</v>
      </c>
      <c r="BA2884">
        <v>0</v>
      </c>
      <c r="BB2884">
        <v>0</v>
      </c>
      <c r="BC2884">
        <v>0</v>
      </c>
      <c r="BD2884">
        <v>0</v>
      </c>
      <c r="BE2884">
        <v>0</v>
      </c>
      <c r="BF2884">
        <v>0</v>
      </c>
      <c r="BG2884">
        <v>0</v>
      </c>
      <c r="BH2884">
        <v>1</v>
      </c>
      <c r="BI2884">
        <v>2</v>
      </c>
      <c r="BJ2884">
        <v>3.2</v>
      </c>
      <c r="BK2884">
        <v>3.5</v>
      </c>
      <c r="BL2884">
        <v>122.43</v>
      </c>
      <c r="BM2884">
        <v>18.36</v>
      </c>
      <c r="BN2884">
        <v>140.79</v>
      </c>
      <c r="BO2884">
        <v>140.79</v>
      </c>
      <c r="BQ2884" t="s">
        <v>2940</v>
      </c>
      <c r="BR2884" t="s">
        <v>84</v>
      </c>
      <c r="BS2884" s="3">
        <v>45800</v>
      </c>
      <c r="BT2884" s="4">
        <v>0.42083333333333334</v>
      </c>
      <c r="BU2884" t="s">
        <v>2941</v>
      </c>
      <c r="BV2884" t="s">
        <v>86</v>
      </c>
      <c r="BY2884">
        <v>16128</v>
      </c>
      <c r="CA2884" t="s">
        <v>889</v>
      </c>
      <c r="CC2884" t="s">
        <v>137</v>
      </c>
      <c r="CD2884" s="5" t="s">
        <v>165</v>
      </c>
      <c r="CE2884" t="s">
        <v>96</v>
      </c>
      <c r="CF2884" s="3">
        <v>45801</v>
      </c>
      <c r="CI2884">
        <v>1</v>
      </c>
      <c r="CJ2884">
        <v>1</v>
      </c>
      <c r="CK2884">
        <v>21</v>
      </c>
      <c r="CL2884" t="s">
        <v>89</v>
      </c>
    </row>
    <row r="2885" spans="1:90" x14ac:dyDescent="0.3">
      <c r="A2885" t="s">
        <v>72</v>
      </c>
      <c r="B2885" t="s">
        <v>73</v>
      </c>
      <c r="C2885" t="s">
        <v>74</v>
      </c>
      <c r="E2885" t="str">
        <f>"080065512982"</f>
        <v>080065512982</v>
      </c>
      <c r="F2885" s="3">
        <v>45799</v>
      </c>
      <c r="G2885">
        <v>202602</v>
      </c>
      <c r="H2885" t="s">
        <v>75</v>
      </c>
      <c r="I2885" t="s">
        <v>76</v>
      </c>
      <c r="J2885" t="s">
        <v>77</v>
      </c>
      <c r="K2885" t="s">
        <v>78</v>
      </c>
      <c r="L2885" t="s">
        <v>1273</v>
      </c>
      <c r="M2885" t="s">
        <v>1274</v>
      </c>
      <c r="N2885" t="s">
        <v>2942</v>
      </c>
      <c r="O2885" t="s">
        <v>82</v>
      </c>
      <c r="P2885" t="str">
        <f>"4170040122                    "</f>
        <v xml:space="preserve">4170040122                    </v>
      </c>
      <c r="Q2885">
        <v>0</v>
      </c>
      <c r="R2885">
        <v>0</v>
      </c>
      <c r="S2885">
        <v>0</v>
      </c>
      <c r="T2885">
        <v>0</v>
      </c>
      <c r="U2885">
        <v>0</v>
      </c>
      <c r="V2885">
        <v>0</v>
      </c>
      <c r="W2885">
        <v>0</v>
      </c>
      <c r="X2885">
        <v>0</v>
      </c>
      <c r="Y2885">
        <v>0</v>
      </c>
      <c r="Z2885">
        <v>0</v>
      </c>
      <c r="AA2885">
        <v>0</v>
      </c>
      <c r="AB2885">
        <v>0</v>
      </c>
      <c r="AC2885">
        <v>0</v>
      </c>
      <c r="AD2885">
        <v>0</v>
      </c>
      <c r="AE2885">
        <v>0</v>
      </c>
      <c r="AF2885">
        <v>0</v>
      </c>
      <c r="AG2885">
        <v>0</v>
      </c>
      <c r="AH2885">
        <v>0</v>
      </c>
      <c r="AI2885">
        <v>0</v>
      </c>
      <c r="AJ2885">
        <v>0</v>
      </c>
      <c r="AK2885">
        <v>0</v>
      </c>
      <c r="AL2885">
        <v>0</v>
      </c>
      <c r="AM2885">
        <v>0</v>
      </c>
      <c r="AN2885">
        <v>0</v>
      </c>
      <c r="AO2885">
        <v>0</v>
      </c>
      <c r="AP2885">
        <v>0</v>
      </c>
      <c r="AQ2885">
        <v>60.14</v>
      </c>
      <c r="AR2885">
        <v>0</v>
      </c>
      <c r="AS2885">
        <v>0</v>
      </c>
      <c r="AT2885">
        <v>0</v>
      </c>
      <c r="AU2885">
        <v>0</v>
      </c>
      <c r="AV2885">
        <v>0</v>
      </c>
      <c r="AW2885">
        <v>0</v>
      </c>
      <c r="AX2885">
        <v>0</v>
      </c>
      <c r="AY2885">
        <v>0</v>
      </c>
      <c r="AZ2885">
        <v>0</v>
      </c>
      <c r="BA2885">
        <v>0</v>
      </c>
      <c r="BB2885">
        <v>0</v>
      </c>
      <c r="BC2885">
        <v>0</v>
      </c>
      <c r="BD2885">
        <v>0</v>
      </c>
      <c r="BE2885">
        <v>0</v>
      </c>
      <c r="BF2885">
        <v>0</v>
      </c>
      <c r="BG2885">
        <v>0</v>
      </c>
      <c r="BH2885">
        <v>1</v>
      </c>
      <c r="BI2885">
        <v>3</v>
      </c>
      <c r="BJ2885">
        <v>2.7</v>
      </c>
      <c r="BK2885">
        <v>3</v>
      </c>
      <c r="BL2885">
        <v>196.82</v>
      </c>
      <c r="BM2885">
        <v>29.52</v>
      </c>
      <c r="BN2885">
        <v>226.34</v>
      </c>
      <c r="BO2885">
        <v>226.34</v>
      </c>
      <c r="BQ2885" t="s">
        <v>2943</v>
      </c>
      <c r="BR2885" t="s">
        <v>84</v>
      </c>
      <c r="BS2885" t="s">
        <v>1540</v>
      </c>
      <c r="BY2885">
        <v>13440</v>
      </c>
      <c r="CC2885" t="s">
        <v>1274</v>
      </c>
      <c r="CD2885">
        <v>1120</v>
      </c>
      <c r="CE2885" t="s">
        <v>221</v>
      </c>
      <c r="CF2885" s="3">
        <v>45804</v>
      </c>
      <c r="CI2885">
        <v>1</v>
      </c>
      <c r="CJ2885" t="s">
        <v>1540</v>
      </c>
      <c r="CK2885">
        <v>23</v>
      </c>
      <c r="CL2885" t="s">
        <v>89</v>
      </c>
    </row>
    <row r="2886" spans="1:90" x14ac:dyDescent="0.3">
      <c r="A2886" t="s">
        <v>72</v>
      </c>
      <c r="B2886" t="s">
        <v>73</v>
      </c>
      <c r="C2886" t="s">
        <v>74</v>
      </c>
      <c r="E2886" t="str">
        <f>"080065513004"</f>
        <v>080065513004</v>
      </c>
      <c r="F2886" s="3">
        <v>45799</v>
      </c>
      <c r="G2886">
        <v>202602</v>
      </c>
      <c r="H2886" t="s">
        <v>75</v>
      </c>
      <c r="I2886" t="s">
        <v>76</v>
      </c>
      <c r="J2886" t="s">
        <v>77</v>
      </c>
      <c r="K2886" t="s">
        <v>78</v>
      </c>
      <c r="L2886" t="s">
        <v>130</v>
      </c>
      <c r="M2886" t="s">
        <v>131</v>
      </c>
      <c r="N2886" t="s">
        <v>426</v>
      </c>
      <c r="O2886" t="s">
        <v>82</v>
      </c>
      <c r="P2886" t="str">
        <f>"4170040185                    "</f>
        <v xml:space="preserve">4170040185                    </v>
      </c>
      <c r="Q2886">
        <v>0</v>
      </c>
      <c r="R2886">
        <v>0</v>
      </c>
      <c r="S2886">
        <v>0</v>
      </c>
      <c r="T2886">
        <v>0</v>
      </c>
      <c r="U2886">
        <v>0</v>
      </c>
      <c r="V2886">
        <v>0</v>
      </c>
      <c r="W2886">
        <v>0</v>
      </c>
      <c r="X2886">
        <v>0</v>
      </c>
      <c r="Y2886">
        <v>0</v>
      </c>
      <c r="Z2886">
        <v>0</v>
      </c>
      <c r="AA2886">
        <v>0</v>
      </c>
      <c r="AB2886">
        <v>0</v>
      </c>
      <c r="AC2886">
        <v>0</v>
      </c>
      <c r="AD2886">
        <v>0</v>
      </c>
      <c r="AE2886">
        <v>0</v>
      </c>
      <c r="AF2886">
        <v>0</v>
      </c>
      <c r="AG2886">
        <v>0</v>
      </c>
      <c r="AH2886">
        <v>0</v>
      </c>
      <c r="AI2886">
        <v>0</v>
      </c>
      <c r="AJ2886">
        <v>0</v>
      </c>
      <c r="AK2886">
        <v>0</v>
      </c>
      <c r="AL2886">
        <v>0</v>
      </c>
      <c r="AM2886">
        <v>0</v>
      </c>
      <c r="AN2886">
        <v>0</v>
      </c>
      <c r="AO2886">
        <v>0</v>
      </c>
      <c r="AP2886">
        <v>0</v>
      </c>
      <c r="AQ2886">
        <v>21.38</v>
      </c>
      <c r="AR2886">
        <v>0</v>
      </c>
      <c r="AS2886">
        <v>0</v>
      </c>
      <c r="AT2886">
        <v>0</v>
      </c>
      <c r="AU2886">
        <v>0</v>
      </c>
      <c r="AV2886">
        <v>0</v>
      </c>
      <c r="AW2886">
        <v>0</v>
      </c>
      <c r="AX2886">
        <v>0</v>
      </c>
      <c r="AY2886">
        <v>0</v>
      </c>
      <c r="AZ2886">
        <v>0</v>
      </c>
      <c r="BA2886">
        <v>0</v>
      </c>
      <c r="BB2886">
        <v>0</v>
      </c>
      <c r="BC2886">
        <v>0</v>
      </c>
      <c r="BD2886">
        <v>0</v>
      </c>
      <c r="BE2886">
        <v>0</v>
      </c>
      <c r="BF2886">
        <v>0</v>
      </c>
      <c r="BG2886">
        <v>0</v>
      </c>
      <c r="BH2886">
        <v>1</v>
      </c>
      <c r="BI2886">
        <v>1</v>
      </c>
      <c r="BJ2886">
        <v>1.7</v>
      </c>
      <c r="BK2886">
        <v>2</v>
      </c>
      <c r="BL2886">
        <v>69.98</v>
      </c>
      <c r="BM2886">
        <v>10.5</v>
      </c>
      <c r="BN2886">
        <v>80.48</v>
      </c>
      <c r="BO2886">
        <v>80.48</v>
      </c>
      <c r="BQ2886" t="s">
        <v>427</v>
      </c>
      <c r="BR2886" t="s">
        <v>84</v>
      </c>
      <c r="BS2886" s="3">
        <v>45800</v>
      </c>
      <c r="BT2886" s="4">
        <v>0.37569444444444444</v>
      </c>
      <c r="BU2886" t="s">
        <v>2944</v>
      </c>
      <c r="BV2886" t="s">
        <v>86</v>
      </c>
      <c r="BY2886">
        <v>8550</v>
      </c>
      <c r="CA2886" t="s">
        <v>429</v>
      </c>
      <c r="CC2886" t="s">
        <v>131</v>
      </c>
      <c r="CD2886">
        <v>7945</v>
      </c>
      <c r="CE2886" t="s">
        <v>116</v>
      </c>
      <c r="CF2886" s="3">
        <v>45803</v>
      </c>
      <c r="CI2886">
        <v>1</v>
      </c>
      <c r="CJ2886">
        <v>1</v>
      </c>
      <c r="CK2886">
        <v>21</v>
      </c>
      <c r="CL2886" t="s">
        <v>89</v>
      </c>
    </row>
    <row r="2887" spans="1:90" x14ac:dyDescent="0.3">
      <c r="A2887" t="s">
        <v>72</v>
      </c>
      <c r="B2887" t="s">
        <v>73</v>
      </c>
      <c r="C2887" t="s">
        <v>74</v>
      </c>
      <c r="E2887" t="str">
        <f>"080065513029"</f>
        <v>080065513029</v>
      </c>
      <c r="F2887" s="3">
        <v>45799</v>
      </c>
      <c r="G2887">
        <v>202602</v>
      </c>
      <c r="H2887" t="s">
        <v>75</v>
      </c>
      <c r="I2887" t="s">
        <v>76</v>
      </c>
      <c r="J2887" t="s">
        <v>77</v>
      </c>
      <c r="K2887" t="s">
        <v>78</v>
      </c>
      <c r="L2887" t="s">
        <v>136</v>
      </c>
      <c r="M2887" t="s">
        <v>137</v>
      </c>
      <c r="N2887" t="s">
        <v>299</v>
      </c>
      <c r="O2887" t="s">
        <v>82</v>
      </c>
      <c r="P2887" t="str">
        <f>"4170040084                    "</f>
        <v xml:space="preserve">4170040084                    </v>
      </c>
      <c r="Q2887">
        <v>0</v>
      </c>
      <c r="R2887">
        <v>0</v>
      </c>
      <c r="S2887">
        <v>0</v>
      </c>
      <c r="T2887">
        <v>0</v>
      </c>
      <c r="U2887">
        <v>0</v>
      </c>
      <c r="V2887">
        <v>0</v>
      </c>
      <c r="W2887">
        <v>0</v>
      </c>
      <c r="X2887">
        <v>0</v>
      </c>
      <c r="Y2887">
        <v>0</v>
      </c>
      <c r="Z2887">
        <v>0</v>
      </c>
      <c r="AA2887">
        <v>0</v>
      </c>
      <c r="AB2887">
        <v>0</v>
      </c>
      <c r="AC2887">
        <v>0</v>
      </c>
      <c r="AD2887">
        <v>0</v>
      </c>
      <c r="AE2887">
        <v>0</v>
      </c>
      <c r="AF2887">
        <v>0</v>
      </c>
      <c r="AG2887">
        <v>0</v>
      </c>
      <c r="AH2887">
        <v>0</v>
      </c>
      <c r="AI2887">
        <v>0</v>
      </c>
      <c r="AJ2887">
        <v>0</v>
      </c>
      <c r="AK2887">
        <v>0</v>
      </c>
      <c r="AL2887">
        <v>0</v>
      </c>
      <c r="AM2887">
        <v>0</v>
      </c>
      <c r="AN2887">
        <v>0</v>
      </c>
      <c r="AO2887">
        <v>0</v>
      </c>
      <c r="AP2887">
        <v>0</v>
      </c>
      <c r="AQ2887">
        <v>21.38</v>
      </c>
      <c r="AR2887">
        <v>0</v>
      </c>
      <c r="AS2887">
        <v>0</v>
      </c>
      <c r="AT2887">
        <v>0</v>
      </c>
      <c r="AU2887">
        <v>0</v>
      </c>
      <c r="AV2887">
        <v>0</v>
      </c>
      <c r="AW2887">
        <v>0</v>
      </c>
      <c r="AX2887">
        <v>0</v>
      </c>
      <c r="AY2887">
        <v>0</v>
      </c>
      <c r="AZ2887">
        <v>0</v>
      </c>
      <c r="BA2887">
        <v>0</v>
      </c>
      <c r="BB2887">
        <v>0</v>
      </c>
      <c r="BC2887">
        <v>0</v>
      </c>
      <c r="BD2887">
        <v>0</v>
      </c>
      <c r="BE2887">
        <v>0</v>
      </c>
      <c r="BF2887">
        <v>0</v>
      </c>
      <c r="BG2887">
        <v>0</v>
      </c>
      <c r="BH2887">
        <v>1</v>
      </c>
      <c r="BI2887">
        <v>1</v>
      </c>
      <c r="BJ2887">
        <v>0.2</v>
      </c>
      <c r="BK2887">
        <v>1</v>
      </c>
      <c r="BL2887">
        <v>69.98</v>
      </c>
      <c r="BM2887">
        <v>10.5</v>
      </c>
      <c r="BN2887">
        <v>80.48</v>
      </c>
      <c r="BO2887">
        <v>80.48</v>
      </c>
      <c r="BQ2887" t="s">
        <v>301</v>
      </c>
      <c r="BR2887" t="s">
        <v>84</v>
      </c>
      <c r="BS2887" s="3">
        <v>45800</v>
      </c>
      <c r="BT2887" s="4">
        <v>0.37152777777777779</v>
      </c>
      <c r="BU2887" t="s">
        <v>302</v>
      </c>
      <c r="BV2887" t="s">
        <v>86</v>
      </c>
      <c r="BY2887">
        <v>1200</v>
      </c>
      <c r="CA2887" t="s">
        <v>253</v>
      </c>
      <c r="CC2887" t="s">
        <v>137</v>
      </c>
      <c r="CD2887" s="5" t="s">
        <v>254</v>
      </c>
      <c r="CE2887" t="s">
        <v>88</v>
      </c>
      <c r="CF2887" s="3">
        <v>45800</v>
      </c>
      <c r="CI2887">
        <v>1</v>
      </c>
      <c r="CJ2887">
        <v>1</v>
      </c>
      <c r="CK2887">
        <v>21</v>
      </c>
      <c r="CL2887" t="s">
        <v>89</v>
      </c>
    </row>
    <row r="2888" spans="1:90" x14ac:dyDescent="0.3">
      <c r="A2888" t="s">
        <v>72</v>
      </c>
      <c r="B2888" t="s">
        <v>73</v>
      </c>
      <c r="C2888" t="s">
        <v>74</v>
      </c>
      <c r="E2888" t="str">
        <f>"080065513334"</f>
        <v>080065513334</v>
      </c>
      <c r="F2888" s="3">
        <v>45799</v>
      </c>
      <c r="G2888">
        <v>202602</v>
      </c>
      <c r="H2888" t="s">
        <v>75</v>
      </c>
      <c r="I2888" t="s">
        <v>76</v>
      </c>
      <c r="J2888" t="s">
        <v>77</v>
      </c>
      <c r="K2888" t="s">
        <v>78</v>
      </c>
      <c r="L2888" t="s">
        <v>2945</v>
      </c>
      <c r="M2888" t="s">
        <v>2946</v>
      </c>
      <c r="N2888" t="s">
        <v>2947</v>
      </c>
      <c r="O2888" t="s">
        <v>82</v>
      </c>
      <c r="P2888" t="str">
        <f>"4170040095                    "</f>
        <v xml:space="preserve">4170040095                    </v>
      </c>
      <c r="Q2888">
        <v>0</v>
      </c>
      <c r="R2888">
        <v>0</v>
      </c>
      <c r="S2888">
        <v>0</v>
      </c>
      <c r="T2888">
        <v>0</v>
      </c>
      <c r="U2888">
        <v>0</v>
      </c>
      <c r="V2888">
        <v>0</v>
      </c>
      <c r="W2888">
        <v>0</v>
      </c>
      <c r="X2888">
        <v>0</v>
      </c>
      <c r="Y2888">
        <v>0</v>
      </c>
      <c r="Z2888">
        <v>0</v>
      </c>
      <c r="AA2888">
        <v>0</v>
      </c>
      <c r="AB2888">
        <v>0</v>
      </c>
      <c r="AC2888">
        <v>0</v>
      </c>
      <c r="AD2888">
        <v>0</v>
      </c>
      <c r="AE2888">
        <v>0</v>
      </c>
      <c r="AF2888">
        <v>0</v>
      </c>
      <c r="AG2888">
        <v>0</v>
      </c>
      <c r="AH2888">
        <v>0</v>
      </c>
      <c r="AI2888">
        <v>0</v>
      </c>
      <c r="AJ2888">
        <v>0</v>
      </c>
      <c r="AK2888">
        <v>0</v>
      </c>
      <c r="AL2888">
        <v>0</v>
      </c>
      <c r="AM2888">
        <v>0</v>
      </c>
      <c r="AN2888">
        <v>0</v>
      </c>
      <c r="AO2888">
        <v>0</v>
      </c>
      <c r="AP2888">
        <v>0</v>
      </c>
      <c r="AQ2888">
        <v>60.14</v>
      </c>
      <c r="AR2888">
        <v>0</v>
      </c>
      <c r="AS2888">
        <v>0</v>
      </c>
      <c r="AT2888">
        <v>0</v>
      </c>
      <c r="AU2888">
        <v>0</v>
      </c>
      <c r="AV2888">
        <v>0</v>
      </c>
      <c r="AW2888">
        <v>0</v>
      </c>
      <c r="AX2888">
        <v>0</v>
      </c>
      <c r="AY2888">
        <v>0</v>
      </c>
      <c r="AZ2888">
        <v>0</v>
      </c>
      <c r="BA2888">
        <v>0</v>
      </c>
      <c r="BB2888">
        <v>0</v>
      </c>
      <c r="BC2888">
        <v>0</v>
      </c>
      <c r="BD2888">
        <v>0</v>
      </c>
      <c r="BE2888">
        <v>0</v>
      </c>
      <c r="BF2888">
        <v>0</v>
      </c>
      <c r="BG2888">
        <v>0</v>
      </c>
      <c r="BH2888">
        <v>1</v>
      </c>
      <c r="BI2888">
        <v>2</v>
      </c>
      <c r="BJ2888">
        <v>2.8</v>
      </c>
      <c r="BK2888">
        <v>3</v>
      </c>
      <c r="BL2888">
        <v>196.82</v>
      </c>
      <c r="BM2888">
        <v>29.52</v>
      </c>
      <c r="BN2888">
        <v>226.34</v>
      </c>
      <c r="BO2888">
        <v>226.34</v>
      </c>
      <c r="BQ2888" t="s">
        <v>2948</v>
      </c>
      <c r="BR2888" t="s">
        <v>84</v>
      </c>
      <c r="BS2888" s="3">
        <v>45800</v>
      </c>
      <c r="BT2888" s="4">
        <v>0.56180555555555556</v>
      </c>
      <c r="BU2888" t="s">
        <v>2339</v>
      </c>
      <c r="BV2888" t="s">
        <v>86</v>
      </c>
      <c r="BY2888">
        <v>14157</v>
      </c>
      <c r="CA2888" t="s">
        <v>2949</v>
      </c>
      <c r="CC2888" t="s">
        <v>2946</v>
      </c>
      <c r="CD2888" s="5" t="s">
        <v>2950</v>
      </c>
      <c r="CE2888" t="s">
        <v>1296</v>
      </c>
      <c r="CF2888" s="3">
        <v>45803</v>
      </c>
      <c r="CI2888">
        <v>2</v>
      </c>
      <c r="CJ2888">
        <v>1</v>
      </c>
      <c r="CK2888">
        <v>23</v>
      </c>
      <c r="CL2888" t="s">
        <v>89</v>
      </c>
    </row>
    <row r="2889" spans="1:90" x14ac:dyDescent="0.3">
      <c r="A2889" t="s">
        <v>72</v>
      </c>
      <c r="B2889" t="s">
        <v>73</v>
      </c>
      <c r="C2889" t="s">
        <v>74</v>
      </c>
      <c r="E2889" t="str">
        <f>"080011522630"</f>
        <v>080011522630</v>
      </c>
      <c r="F2889" s="3">
        <v>45799</v>
      </c>
      <c r="G2889">
        <v>202602</v>
      </c>
      <c r="H2889" t="s">
        <v>97</v>
      </c>
      <c r="I2889" t="s">
        <v>98</v>
      </c>
      <c r="J2889" t="s">
        <v>2951</v>
      </c>
      <c r="K2889" t="s">
        <v>78</v>
      </c>
      <c r="L2889" t="s">
        <v>75</v>
      </c>
      <c r="M2889" t="s">
        <v>76</v>
      </c>
      <c r="N2889" t="s">
        <v>1035</v>
      </c>
      <c r="O2889" t="s">
        <v>300</v>
      </c>
      <c r="P2889" t="str">
        <f>"ZA1001383998 ZA1001384533     "</f>
        <v xml:space="preserve">ZA1001383998 ZA1001384533     </v>
      </c>
      <c r="Q2889">
        <v>0</v>
      </c>
      <c r="R2889">
        <v>0</v>
      </c>
      <c r="S2889">
        <v>0</v>
      </c>
      <c r="T2889">
        <v>0</v>
      </c>
      <c r="U2889">
        <v>0</v>
      </c>
      <c r="V2889">
        <v>0</v>
      </c>
      <c r="W2889">
        <v>0</v>
      </c>
      <c r="X2889">
        <v>0</v>
      </c>
      <c r="Y2889">
        <v>0</v>
      </c>
      <c r="Z2889">
        <v>0</v>
      </c>
      <c r="AA2889">
        <v>0</v>
      </c>
      <c r="AB2889">
        <v>0</v>
      </c>
      <c r="AC2889">
        <v>0</v>
      </c>
      <c r="AD2889">
        <v>0</v>
      </c>
      <c r="AE2889">
        <v>0</v>
      </c>
      <c r="AF2889">
        <v>0</v>
      </c>
      <c r="AG2889">
        <v>0</v>
      </c>
      <c r="AH2889">
        <v>0</v>
      </c>
      <c r="AI2889">
        <v>0</v>
      </c>
      <c r="AJ2889">
        <v>0</v>
      </c>
      <c r="AK2889">
        <v>0</v>
      </c>
      <c r="AL2889">
        <v>0</v>
      </c>
      <c r="AM2889">
        <v>0</v>
      </c>
      <c r="AN2889">
        <v>0</v>
      </c>
      <c r="AO2889">
        <v>0</v>
      </c>
      <c r="AP2889">
        <v>0</v>
      </c>
      <c r="AQ2889">
        <v>31.91</v>
      </c>
      <c r="AR2889">
        <v>0</v>
      </c>
      <c r="AS2889">
        <v>0</v>
      </c>
      <c r="AT2889">
        <v>0</v>
      </c>
      <c r="AU2889">
        <v>0</v>
      </c>
      <c r="AV2889">
        <v>0</v>
      </c>
      <c r="AW2889">
        <v>0</v>
      </c>
      <c r="AX2889">
        <v>0</v>
      </c>
      <c r="AY2889">
        <v>0</v>
      </c>
      <c r="AZ2889">
        <v>0</v>
      </c>
      <c r="BA2889">
        <v>0</v>
      </c>
      <c r="BB2889">
        <v>0</v>
      </c>
      <c r="BC2889">
        <v>0</v>
      </c>
      <c r="BD2889">
        <v>0</v>
      </c>
      <c r="BE2889">
        <v>0</v>
      </c>
      <c r="BF2889">
        <v>0</v>
      </c>
      <c r="BG2889">
        <v>0</v>
      </c>
      <c r="BH2889">
        <v>1</v>
      </c>
      <c r="BI2889">
        <v>1.4</v>
      </c>
      <c r="BJ2889">
        <v>3</v>
      </c>
      <c r="BK2889">
        <v>3</v>
      </c>
      <c r="BL2889">
        <v>110</v>
      </c>
      <c r="BM2889">
        <v>16.5</v>
      </c>
      <c r="BN2889">
        <v>126.5</v>
      </c>
      <c r="BO2889">
        <v>126.5</v>
      </c>
      <c r="BP2889" t="s">
        <v>1540</v>
      </c>
      <c r="BQ2889" t="s">
        <v>1037</v>
      </c>
      <c r="BR2889" t="s">
        <v>2952</v>
      </c>
      <c r="BS2889" s="3">
        <v>45800</v>
      </c>
      <c r="BT2889" s="4">
        <v>0.3611111111111111</v>
      </c>
      <c r="BU2889" t="s">
        <v>1039</v>
      </c>
      <c r="BV2889" t="s">
        <v>86</v>
      </c>
      <c r="BY2889">
        <v>14775</v>
      </c>
      <c r="BZ2889" t="s">
        <v>303</v>
      </c>
      <c r="CA2889" t="s">
        <v>484</v>
      </c>
      <c r="CC2889" t="s">
        <v>76</v>
      </c>
      <c r="CD2889">
        <v>1619</v>
      </c>
      <c r="CE2889" t="s">
        <v>2953</v>
      </c>
      <c r="CF2889" s="3">
        <v>45800</v>
      </c>
      <c r="CI2889">
        <v>1</v>
      </c>
      <c r="CJ2889">
        <v>1</v>
      </c>
      <c r="CK2889">
        <v>42</v>
      </c>
      <c r="CL2889" t="s">
        <v>89</v>
      </c>
    </row>
    <row r="2890" spans="1:90" x14ac:dyDescent="0.3">
      <c r="A2890" t="s">
        <v>72</v>
      </c>
      <c r="B2890" t="s">
        <v>73</v>
      </c>
      <c r="C2890" t="s">
        <v>74</v>
      </c>
      <c r="E2890" t="str">
        <f>"080011522680"</f>
        <v>080011522680</v>
      </c>
      <c r="F2890" s="3">
        <v>45799</v>
      </c>
      <c r="G2890">
        <v>202602</v>
      </c>
      <c r="H2890" t="s">
        <v>90</v>
      </c>
      <c r="I2890" t="s">
        <v>91</v>
      </c>
      <c r="J2890" t="s">
        <v>2954</v>
      </c>
      <c r="K2890" t="s">
        <v>78</v>
      </c>
      <c r="L2890" t="s">
        <v>75</v>
      </c>
      <c r="M2890" t="s">
        <v>76</v>
      </c>
      <c r="N2890" t="s">
        <v>1035</v>
      </c>
      <c r="O2890" t="s">
        <v>300</v>
      </c>
      <c r="P2890" t="str">
        <f>"ZA1001384462                  "</f>
        <v xml:space="preserve">ZA1001384462                  </v>
      </c>
      <c r="Q2890">
        <v>0</v>
      </c>
      <c r="R2890">
        <v>0</v>
      </c>
      <c r="S2890">
        <v>0</v>
      </c>
      <c r="T2890">
        <v>0</v>
      </c>
      <c r="U2890">
        <v>0</v>
      </c>
      <c r="V2890">
        <v>0</v>
      </c>
      <c r="W2890">
        <v>0</v>
      </c>
      <c r="X2890">
        <v>0</v>
      </c>
      <c r="Y2890">
        <v>0</v>
      </c>
      <c r="Z2890">
        <v>0</v>
      </c>
      <c r="AA2890">
        <v>0</v>
      </c>
      <c r="AB2890">
        <v>0</v>
      </c>
      <c r="AC2890">
        <v>0</v>
      </c>
      <c r="AD2890">
        <v>0</v>
      </c>
      <c r="AE2890">
        <v>0</v>
      </c>
      <c r="AF2890">
        <v>0</v>
      </c>
      <c r="AG2890">
        <v>0</v>
      </c>
      <c r="AH2890">
        <v>0</v>
      </c>
      <c r="AI2890">
        <v>0</v>
      </c>
      <c r="AJ2890">
        <v>0</v>
      </c>
      <c r="AK2890">
        <v>0</v>
      </c>
      <c r="AL2890">
        <v>0</v>
      </c>
      <c r="AM2890">
        <v>0</v>
      </c>
      <c r="AN2890">
        <v>0</v>
      </c>
      <c r="AO2890">
        <v>0</v>
      </c>
      <c r="AP2890">
        <v>0</v>
      </c>
      <c r="AQ2890">
        <v>41.35</v>
      </c>
      <c r="AR2890">
        <v>0</v>
      </c>
      <c r="AS2890">
        <v>0</v>
      </c>
      <c r="AT2890">
        <v>0</v>
      </c>
      <c r="AU2890">
        <v>0</v>
      </c>
      <c r="AV2890">
        <v>0</v>
      </c>
      <c r="AW2890">
        <v>0</v>
      </c>
      <c r="AX2890">
        <v>0</v>
      </c>
      <c r="AY2890">
        <v>0</v>
      </c>
      <c r="AZ2890">
        <v>0</v>
      </c>
      <c r="BA2890">
        <v>0</v>
      </c>
      <c r="BB2890">
        <v>0</v>
      </c>
      <c r="BC2890">
        <v>0</v>
      </c>
      <c r="BD2890">
        <v>0</v>
      </c>
      <c r="BE2890">
        <v>0</v>
      </c>
      <c r="BF2890">
        <v>0</v>
      </c>
      <c r="BG2890">
        <v>0</v>
      </c>
      <c r="BH2890">
        <v>1</v>
      </c>
      <c r="BI2890">
        <v>5</v>
      </c>
      <c r="BJ2890">
        <v>9.6</v>
      </c>
      <c r="BK2890">
        <v>10</v>
      </c>
      <c r="BL2890">
        <v>140.9</v>
      </c>
      <c r="BM2890">
        <v>21.14</v>
      </c>
      <c r="BN2890">
        <v>162.04</v>
      </c>
      <c r="BO2890">
        <v>162.04</v>
      </c>
      <c r="BP2890" t="s">
        <v>1540</v>
      </c>
      <c r="BQ2890" t="s">
        <v>1037</v>
      </c>
      <c r="BR2890" t="s">
        <v>2955</v>
      </c>
      <c r="BS2890" s="3">
        <v>45803</v>
      </c>
      <c r="BT2890" s="4">
        <v>0.3659722222222222</v>
      </c>
      <c r="BU2890" t="s">
        <v>1899</v>
      </c>
      <c r="BV2890" t="s">
        <v>86</v>
      </c>
      <c r="BY2890">
        <v>48000</v>
      </c>
      <c r="BZ2890" t="s">
        <v>303</v>
      </c>
      <c r="CA2890" t="s">
        <v>2655</v>
      </c>
      <c r="CC2890" t="s">
        <v>76</v>
      </c>
      <c r="CD2890">
        <v>1619</v>
      </c>
      <c r="CE2890" t="s">
        <v>1904</v>
      </c>
      <c r="CF2890" s="3">
        <v>45803</v>
      </c>
      <c r="CI2890">
        <v>3</v>
      </c>
      <c r="CJ2890">
        <v>2</v>
      </c>
      <c r="CK2890">
        <v>41</v>
      </c>
      <c r="CL2890" t="s">
        <v>89</v>
      </c>
    </row>
    <row r="2891" spans="1:90" x14ac:dyDescent="0.3">
      <c r="A2891" t="s">
        <v>72</v>
      </c>
      <c r="B2891" t="s">
        <v>73</v>
      </c>
      <c r="C2891" t="s">
        <v>74</v>
      </c>
      <c r="E2891" t="str">
        <f>"080065513046"</f>
        <v>080065513046</v>
      </c>
      <c r="F2891" s="3">
        <v>45799</v>
      </c>
      <c r="G2891">
        <v>202602</v>
      </c>
      <c r="H2891" t="s">
        <v>75</v>
      </c>
      <c r="I2891" t="s">
        <v>76</v>
      </c>
      <c r="J2891" t="s">
        <v>77</v>
      </c>
      <c r="K2891" t="s">
        <v>78</v>
      </c>
      <c r="L2891" t="s">
        <v>103</v>
      </c>
      <c r="M2891" t="s">
        <v>104</v>
      </c>
      <c r="N2891" t="s">
        <v>105</v>
      </c>
      <c r="O2891" t="s">
        <v>82</v>
      </c>
      <c r="P2891" t="str">
        <f>"4170040142                    "</f>
        <v xml:space="preserve">4170040142                    </v>
      </c>
      <c r="Q2891">
        <v>0</v>
      </c>
      <c r="R2891">
        <v>0</v>
      </c>
      <c r="S2891">
        <v>0</v>
      </c>
      <c r="T2891">
        <v>0</v>
      </c>
      <c r="U2891">
        <v>0</v>
      </c>
      <c r="V2891">
        <v>0</v>
      </c>
      <c r="W2891">
        <v>0</v>
      </c>
      <c r="X2891">
        <v>0</v>
      </c>
      <c r="Y2891">
        <v>0</v>
      </c>
      <c r="Z2891">
        <v>0</v>
      </c>
      <c r="AA2891">
        <v>0</v>
      </c>
      <c r="AB2891">
        <v>0</v>
      </c>
      <c r="AC2891">
        <v>0</v>
      </c>
      <c r="AD2891">
        <v>0</v>
      </c>
      <c r="AE2891">
        <v>0</v>
      </c>
      <c r="AF2891">
        <v>0</v>
      </c>
      <c r="AG2891">
        <v>0</v>
      </c>
      <c r="AH2891">
        <v>0</v>
      </c>
      <c r="AI2891">
        <v>0</v>
      </c>
      <c r="AJ2891">
        <v>0</v>
      </c>
      <c r="AK2891">
        <v>0</v>
      </c>
      <c r="AL2891">
        <v>0</v>
      </c>
      <c r="AM2891">
        <v>0</v>
      </c>
      <c r="AN2891">
        <v>0</v>
      </c>
      <c r="AO2891">
        <v>0</v>
      </c>
      <c r="AP2891">
        <v>0</v>
      </c>
      <c r="AQ2891">
        <v>21.38</v>
      </c>
      <c r="AR2891">
        <v>0</v>
      </c>
      <c r="AS2891">
        <v>0</v>
      </c>
      <c r="AT2891">
        <v>0</v>
      </c>
      <c r="AU2891">
        <v>0</v>
      </c>
      <c r="AV2891">
        <v>0</v>
      </c>
      <c r="AW2891">
        <v>0</v>
      </c>
      <c r="AX2891">
        <v>0</v>
      </c>
      <c r="AY2891">
        <v>0</v>
      </c>
      <c r="AZ2891">
        <v>0</v>
      </c>
      <c r="BA2891">
        <v>0</v>
      </c>
      <c r="BB2891">
        <v>0</v>
      </c>
      <c r="BC2891">
        <v>0</v>
      </c>
      <c r="BD2891">
        <v>0</v>
      </c>
      <c r="BE2891">
        <v>0</v>
      </c>
      <c r="BF2891">
        <v>0</v>
      </c>
      <c r="BG2891">
        <v>0</v>
      </c>
      <c r="BH2891">
        <v>1</v>
      </c>
      <c r="BI2891">
        <v>1</v>
      </c>
      <c r="BJ2891">
        <v>0.2</v>
      </c>
      <c r="BK2891">
        <v>1</v>
      </c>
      <c r="BL2891">
        <v>69.98</v>
      </c>
      <c r="BM2891">
        <v>10.5</v>
      </c>
      <c r="BN2891">
        <v>80.48</v>
      </c>
      <c r="BO2891">
        <v>80.48</v>
      </c>
      <c r="BQ2891" t="s">
        <v>106</v>
      </c>
      <c r="BR2891" t="s">
        <v>84</v>
      </c>
      <c r="BS2891" s="3">
        <v>45800</v>
      </c>
      <c r="BT2891" s="4">
        <v>0.43611111111111112</v>
      </c>
      <c r="BU2891" t="s">
        <v>107</v>
      </c>
      <c r="BV2891" t="s">
        <v>86</v>
      </c>
      <c r="BY2891">
        <v>1200</v>
      </c>
      <c r="CA2891" t="s">
        <v>108</v>
      </c>
      <c r="CC2891" t="s">
        <v>104</v>
      </c>
      <c r="CD2891">
        <v>3201</v>
      </c>
      <c r="CE2891" t="s">
        <v>176</v>
      </c>
      <c r="CF2891" s="3">
        <v>45800</v>
      </c>
      <c r="CI2891">
        <v>1</v>
      </c>
      <c r="CJ2891">
        <v>1</v>
      </c>
      <c r="CK2891">
        <v>21</v>
      </c>
      <c r="CL2891" t="s">
        <v>89</v>
      </c>
    </row>
    <row r="2892" spans="1:90" x14ac:dyDescent="0.3">
      <c r="A2892" t="s">
        <v>72</v>
      </c>
      <c r="B2892" t="s">
        <v>73</v>
      </c>
      <c r="C2892" t="s">
        <v>74</v>
      </c>
      <c r="E2892" t="str">
        <f>"080065513065"</f>
        <v>080065513065</v>
      </c>
      <c r="F2892" s="3">
        <v>45799</v>
      </c>
      <c r="G2892">
        <v>202602</v>
      </c>
      <c r="H2892" t="s">
        <v>75</v>
      </c>
      <c r="I2892" t="s">
        <v>76</v>
      </c>
      <c r="J2892" t="s">
        <v>77</v>
      </c>
      <c r="K2892" t="s">
        <v>78</v>
      </c>
      <c r="L2892" t="s">
        <v>130</v>
      </c>
      <c r="M2892" t="s">
        <v>131</v>
      </c>
      <c r="N2892" t="s">
        <v>2204</v>
      </c>
      <c r="O2892" t="s">
        <v>300</v>
      </c>
      <c r="P2892" t="str">
        <f>"4170040106                    "</f>
        <v xml:space="preserve">4170040106                    </v>
      </c>
      <c r="Q2892">
        <v>0</v>
      </c>
      <c r="R2892">
        <v>0</v>
      </c>
      <c r="S2892">
        <v>0</v>
      </c>
      <c r="T2892">
        <v>0</v>
      </c>
      <c r="U2892">
        <v>0</v>
      </c>
      <c r="V2892">
        <v>0</v>
      </c>
      <c r="W2892">
        <v>0</v>
      </c>
      <c r="X2892">
        <v>0</v>
      </c>
      <c r="Y2892">
        <v>0</v>
      </c>
      <c r="Z2892">
        <v>0</v>
      </c>
      <c r="AA2892">
        <v>0</v>
      </c>
      <c r="AB2892">
        <v>0</v>
      </c>
      <c r="AC2892">
        <v>0</v>
      </c>
      <c r="AD2892">
        <v>0</v>
      </c>
      <c r="AE2892">
        <v>0</v>
      </c>
      <c r="AF2892">
        <v>0</v>
      </c>
      <c r="AG2892">
        <v>0</v>
      </c>
      <c r="AH2892">
        <v>0</v>
      </c>
      <c r="AI2892">
        <v>0</v>
      </c>
      <c r="AJ2892">
        <v>0</v>
      </c>
      <c r="AK2892">
        <v>0</v>
      </c>
      <c r="AL2892">
        <v>0</v>
      </c>
      <c r="AM2892">
        <v>0</v>
      </c>
      <c r="AN2892">
        <v>0</v>
      </c>
      <c r="AO2892">
        <v>0</v>
      </c>
      <c r="AP2892">
        <v>0</v>
      </c>
      <c r="AQ2892">
        <v>70.37</v>
      </c>
      <c r="AR2892">
        <v>0</v>
      </c>
      <c r="AS2892">
        <v>0</v>
      </c>
      <c r="AT2892">
        <v>0</v>
      </c>
      <c r="AU2892">
        <v>0</v>
      </c>
      <c r="AV2892">
        <v>0</v>
      </c>
      <c r="AW2892">
        <v>0</v>
      </c>
      <c r="AX2892">
        <v>0</v>
      </c>
      <c r="AY2892">
        <v>0</v>
      </c>
      <c r="AZ2892">
        <v>0</v>
      </c>
      <c r="BA2892">
        <v>0</v>
      </c>
      <c r="BB2892">
        <v>0</v>
      </c>
      <c r="BC2892">
        <v>0</v>
      </c>
      <c r="BD2892">
        <v>0</v>
      </c>
      <c r="BE2892">
        <v>0</v>
      </c>
      <c r="BF2892">
        <v>0</v>
      </c>
      <c r="BG2892">
        <v>0</v>
      </c>
      <c r="BH2892">
        <v>1</v>
      </c>
      <c r="BI2892">
        <v>12</v>
      </c>
      <c r="BJ2892">
        <v>31.6</v>
      </c>
      <c r="BK2892">
        <v>32</v>
      </c>
      <c r="BL2892">
        <v>235.88</v>
      </c>
      <c r="BM2892">
        <v>35.380000000000003</v>
      </c>
      <c r="BN2892">
        <v>271.26</v>
      </c>
      <c r="BO2892">
        <v>271.26</v>
      </c>
      <c r="BQ2892" t="s">
        <v>2291</v>
      </c>
      <c r="BR2892" t="s">
        <v>84</v>
      </c>
      <c r="BS2892" s="3">
        <v>45803</v>
      </c>
      <c r="BT2892" s="4">
        <v>0.47916666666666669</v>
      </c>
      <c r="BU2892" t="s">
        <v>2956</v>
      </c>
      <c r="BV2892" t="s">
        <v>86</v>
      </c>
      <c r="BY2892">
        <v>157920</v>
      </c>
      <c r="CA2892" t="s">
        <v>330</v>
      </c>
      <c r="CC2892" t="s">
        <v>131</v>
      </c>
      <c r="CD2892">
        <v>7460</v>
      </c>
      <c r="CE2892" t="s">
        <v>96</v>
      </c>
      <c r="CF2892" s="3">
        <v>45804</v>
      </c>
      <c r="CI2892">
        <v>3</v>
      </c>
      <c r="CJ2892">
        <v>2</v>
      </c>
      <c r="CK2892">
        <v>41</v>
      </c>
      <c r="CL2892" t="s">
        <v>89</v>
      </c>
    </row>
    <row r="2893" spans="1:90" x14ac:dyDescent="0.3">
      <c r="A2893" t="s">
        <v>72</v>
      </c>
      <c r="B2893" t="s">
        <v>73</v>
      </c>
      <c r="C2893" t="s">
        <v>74</v>
      </c>
      <c r="E2893" t="str">
        <f>"080065513072"</f>
        <v>080065513072</v>
      </c>
      <c r="F2893" s="3">
        <v>45799</v>
      </c>
      <c r="G2893">
        <v>202602</v>
      </c>
      <c r="H2893" t="s">
        <v>75</v>
      </c>
      <c r="I2893" t="s">
        <v>76</v>
      </c>
      <c r="J2893" t="s">
        <v>77</v>
      </c>
      <c r="K2893" t="s">
        <v>78</v>
      </c>
      <c r="L2893" t="s">
        <v>177</v>
      </c>
      <c r="M2893" t="s">
        <v>178</v>
      </c>
      <c r="N2893" t="s">
        <v>212</v>
      </c>
      <c r="O2893" t="s">
        <v>82</v>
      </c>
      <c r="P2893" t="str">
        <f>"4170040041                    "</f>
        <v xml:space="preserve">4170040041                    </v>
      </c>
      <c r="Q2893">
        <v>0</v>
      </c>
      <c r="R2893">
        <v>0</v>
      </c>
      <c r="S2893">
        <v>0</v>
      </c>
      <c r="T2893">
        <v>0</v>
      </c>
      <c r="U2893">
        <v>0</v>
      </c>
      <c r="V2893">
        <v>0</v>
      </c>
      <c r="W2893">
        <v>0</v>
      </c>
      <c r="X2893">
        <v>0</v>
      </c>
      <c r="Y2893">
        <v>0</v>
      </c>
      <c r="Z2893">
        <v>0</v>
      </c>
      <c r="AA2893">
        <v>0</v>
      </c>
      <c r="AB2893">
        <v>0</v>
      </c>
      <c r="AC2893">
        <v>0</v>
      </c>
      <c r="AD2893">
        <v>0</v>
      </c>
      <c r="AE2893">
        <v>0</v>
      </c>
      <c r="AF2893">
        <v>0</v>
      </c>
      <c r="AG2893">
        <v>0</v>
      </c>
      <c r="AH2893">
        <v>0</v>
      </c>
      <c r="AI2893">
        <v>0</v>
      </c>
      <c r="AJ2893">
        <v>0</v>
      </c>
      <c r="AK2893">
        <v>0</v>
      </c>
      <c r="AL2893">
        <v>0</v>
      </c>
      <c r="AM2893">
        <v>0</v>
      </c>
      <c r="AN2893">
        <v>0</v>
      </c>
      <c r="AO2893">
        <v>0</v>
      </c>
      <c r="AP2893">
        <v>0</v>
      </c>
      <c r="AQ2893">
        <v>21.38</v>
      </c>
      <c r="AR2893">
        <v>0</v>
      </c>
      <c r="AS2893">
        <v>0</v>
      </c>
      <c r="AT2893">
        <v>0</v>
      </c>
      <c r="AU2893">
        <v>0</v>
      </c>
      <c r="AV2893">
        <v>0</v>
      </c>
      <c r="AW2893">
        <v>0</v>
      </c>
      <c r="AX2893">
        <v>0</v>
      </c>
      <c r="AY2893">
        <v>0</v>
      </c>
      <c r="AZ2893">
        <v>0</v>
      </c>
      <c r="BA2893">
        <v>0</v>
      </c>
      <c r="BB2893">
        <v>0</v>
      </c>
      <c r="BC2893">
        <v>0</v>
      </c>
      <c r="BD2893">
        <v>0</v>
      </c>
      <c r="BE2893">
        <v>0</v>
      </c>
      <c r="BF2893">
        <v>0</v>
      </c>
      <c r="BG2893">
        <v>0</v>
      </c>
      <c r="BH2893">
        <v>1</v>
      </c>
      <c r="BI2893">
        <v>1</v>
      </c>
      <c r="BJ2893">
        <v>0.2</v>
      </c>
      <c r="BK2893">
        <v>1</v>
      </c>
      <c r="BL2893">
        <v>69.98</v>
      </c>
      <c r="BM2893">
        <v>10.5</v>
      </c>
      <c r="BN2893">
        <v>80.48</v>
      </c>
      <c r="BO2893">
        <v>80.48</v>
      </c>
      <c r="BQ2893" t="s">
        <v>213</v>
      </c>
      <c r="BR2893" t="s">
        <v>84</v>
      </c>
      <c r="BS2893" s="3">
        <v>45800</v>
      </c>
      <c r="BT2893" s="4">
        <v>0.41666666666666669</v>
      </c>
      <c r="BU2893" t="s">
        <v>2826</v>
      </c>
      <c r="BV2893" t="s">
        <v>86</v>
      </c>
      <c r="BY2893">
        <v>1200</v>
      </c>
      <c r="CA2893" t="s">
        <v>2957</v>
      </c>
      <c r="CC2893" t="s">
        <v>178</v>
      </c>
      <c r="CD2893">
        <v>6229</v>
      </c>
      <c r="CE2893" t="s">
        <v>88</v>
      </c>
      <c r="CF2893" s="3">
        <v>45800</v>
      </c>
      <c r="CI2893">
        <v>1</v>
      </c>
      <c r="CJ2893">
        <v>1</v>
      </c>
      <c r="CK2893">
        <v>21</v>
      </c>
      <c r="CL2893" t="s">
        <v>89</v>
      </c>
    </row>
    <row r="2894" spans="1:90" x14ac:dyDescent="0.3">
      <c r="A2894" t="s">
        <v>72</v>
      </c>
      <c r="B2894" t="s">
        <v>73</v>
      </c>
      <c r="C2894" t="s">
        <v>74</v>
      </c>
      <c r="E2894" t="str">
        <f>"080065513119"</f>
        <v>080065513119</v>
      </c>
      <c r="F2894" s="3">
        <v>45799</v>
      </c>
      <c r="G2894">
        <v>202602</v>
      </c>
      <c r="H2894" t="s">
        <v>75</v>
      </c>
      <c r="I2894" t="s">
        <v>76</v>
      </c>
      <c r="J2894" t="s">
        <v>77</v>
      </c>
      <c r="K2894" t="s">
        <v>78</v>
      </c>
      <c r="L2894" t="s">
        <v>136</v>
      </c>
      <c r="M2894" t="s">
        <v>137</v>
      </c>
      <c r="N2894" t="s">
        <v>2958</v>
      </c>
      <c r="O2894" t="s">
        <v>82</v>
      </c>
      <c r="P2894" t="str">
        <f>"4170040141                    "</f>
        <v xml:space="preserve">4170040141                    </v>
      </c>
      <c r="Q2894">
        <v>0</v>
      </c>
      <c r="R2894">
        <v>0</v>
      </c>
      <c r="S2894">
        <v>0</v>
      </c>
      <c r="T2894">
        <v>0</v>
      </c>
      <c r="U2894">
        <v>0</v>
      </c>
      <c r="V2894">
        <v>0</v>
      </c>
      <c r="W2894">
        <v>0</v>
      </c>
      <c r="X2894">
        <v>0</v>
      </c>
      <c r="Y2894">
        <v>0</v>
      </c>
      <c r="Z2894">
        <v>0</v>
      </c>
      <c r="AA2894">
        <v>0</v>
      </c>
      <c r="AB2894">
        <v>0</v>
      </c>
      <c r="AC2894">
        <v>0</v>
      </c>
      <c r="AD2894">
        <v>0</v>
      </c>
      <c r="AE2894">
        <v>0</v>
      </c>
      <c r="AF2894">
        <v>0</v>
      </c>
      <c r="AG2894">
        <v>0</v>
      </c>
      <c r="AH2894">
        <v>0</v>
      </c>
      <c r="AI2894">
        <v>0</v>
      </c>
      <c r="AJ2894">
        <v>0</v>
      </c>
      <c r="AK2894">
        <v>0</v>
      </c>
      <c r="AL2894">
        <v>0</v>
      </c>
      <c r="AM2894">
        <v>0</v>
      </c>
      <c r="AN2894">
        <v>0</v>
      </c>
      <c r="AO2894">
        <v>0</v>
      </c>
      <c r="AP2894">
        <v>0</v>
      </c>
      <c r="AQ2894">
        <v>21.38</v>
      </c>
      <c r="AR2894">
        <v>0</v>
      </c>
      <c r="AS2894">
        <v>0</v>
      </c>
      <c r="AT2894">
        <v>0</v>
      </c>
      <c r="AU2894">
        <v>0</v>
      </c>
      <c r="AV2894">
        <v>0</v>
      </c>
      <c r="AW2894">
        <v>0</v>
      </c>
      <c r="AX2894">
        <v>0</v>
      </c>
      <c r="AY2894">
        <v>0</v>
      </c>
      <c r="AZ2894">
        <v>0</v>
      </c>
      <c r="BA2894">
        <v>0</v>
      </c>
      <c r="BB2894">
        <v>0</v>
      </c>
      <c r="BC2894">
        <v>0</v>
      </c>
      <c r="BD2894">
        <v>0</v>
      </c>
      <c r="BE2894">
        <v>0</v>
      </c>
      <c r="BF2894">
        <v>0</v>
      </c>
      <c r="BG2894">
        <v>0</v>
      </c>
      <c r="BH2894">
        <v>1</v>
      </c>
      <c r="BI2894">
        <v>1</v>
      </c>
      <c r="BJ2894">
        <v>0.2</v>
      </c>
      <c r="BK2894">
        <v>1</v>
      </c>
      <c r="BL2894">
        <v>69.98</v>
      </c>
      <c r="BM2894">
        <v>10.5</v>
      </c>
      <c r="BN2894">
        <v>80.48</v>
      </c>
      <c r="BO2894">
        <v>80.48</v>
      </c>
      <c r="BQ2894" t="s">
        <v>2959</v>
      </c>
      <c r="BR2894" t="s">
        <v>84</v>
      </c>
      <c r="BS2894" s="3">
        <v>45800</v>
      </c>
      <c r="BT2894" s="4">
        <v>0.39583333333333331</v>
      </c>
      <c r="BU2894" t="s">
        <v>1060</v>
      </c>
      <c r="BV2894" t="s">
        <v>86</v>
      </c>
      <c r="BY2894">
        <v>1200</v>
      </c>
      <c r="CA2894" t="s">
        <v>141</v>
      </c>
      <c r="CC2894" t="s">
        <v>137</v>
      </c>
      <c r="CD2894" s="5" t="s">
        <v>142</v>
      </c>
      <c r="CE2894" t="s">
        <v>88</v>
      </c>
      <c r="CF2894" s="3">
        <v>45800</v>
      </c>
      <c r="CI2894">
        <v>1</v>
      </c>
      <c r="CJ2894">
        <v>1</v>
      </c>
      <c r="CK2894">
        <v>21</v>
      </c>
      <c r="CL2894" t="s">
        <v>89</v>
      </c>
    </row>
    <row r="2895" spans="1:90" x14ac:dyDescent="0.3">
      <c r="A2895" t="s">
        <v>72</v>
      </c>
      <c r="B2895" t="s">
        <v>73</v>
      </c>
      <c r="C2895" t="s">
        <v>74</v>
      </c>
      <c r="E2895" t="str">
        <f>"080065513164"</f>
        <v>080065513164</v>
      </c>
      <c r="F2895" s="3">
        <v>45799</v>
      </c>
      <c r="G2895">
        <v>202602</v>
      </c>
      <c r="H2895" t="s">
        <v>75</v>
      </c>
      <c r="I2895" t="s">
        <v>76</v>
      </c>
      <c r="J2895" t="s">
        <v>77</v>
      </c>
      <c r="K2895" t="s">
        <v>78</v>
      </c>
      <c r="L2895" t="s">
        <v>1002</v>
      </c>
      <c r="M2895" t="s">
        <v>1003</v>
      </c>
      <c r="N2895" t="s">
        <v>1004</v>
      </c>
      <c r="O2895" t="s">
        <v>82</v>
      </c>
      <c r="P2895" t="str">
        <f>"4170040047                    "</f>
        <v xml:space="preserve">4170040047                    </v>
      </c>
      <c r="Q2895">
        <v>0</v>
      </c>
      <c r="R2895">
        <v>0</v>
      </c>
      <c r="S2895">
        <v>0</v>
      </c>
      <c r="T2895">
        <v>0</v>
      </c>
      <c r="U2895">
        <v>0</v>
      </c>
      <c r="V2895">
        <v>0</v>
      </c>
      <c r="W2895">
        <v>0</v>
      </c>
      <c r="X2895">
        <v>0</v>
      </c>
      <c r="Y2895">
        <v>0</v>
      </c>
      <c r="Z2895">
        <v>0</v>
      </c>
      <c r="AA2895">
        <v>0</v>
      </c>
      <c r="AB2895">
        <v>0</v>
      </c>
      <c r="AC2895">
        <v>0</v>
      </c>
      <c r="AD2895">
        <v>0</v>
      </c>
      <c r="AE2895">
        <v>0</v>
      </c>
      <c r="AF2895">
        <v>0</v>
      </c>
      <c r="AG2895">
        <v>0</v>
      </c>
      <c r="AH2895">
        <v>0</v>
      </c>
      <c r="AI2895">
        <v>0</v>
      </c>
      <c r="AJ2895">
        <v>0</v>
      </c>
      <c r="AK2895">
        <v>0</v>
      </c>
      <c r="AL2895">
        <v>0</v>
      </c>
      <c r="AM2895">
        <v>0</v>
      </c>
      <c r="AN2895">
        <v>0</v>
      </c>
      <c r="AO2895">
        <v>0</v>
      </c>
      <c r="AP2895">
        <v>0</v>
      </c>
      <c r="AQ2895">
        <v>41.43</v>
      </c>
      <c r="AR2895">
        <v>0</v>
      </c>
      <c r="AS2895">
        <v>0</v>
      </c>
      <c r="AT2895">
        <v>0</v>
      </c>
      <c r="AU2895">
        <v>0</v>
      </c>
      <c r="AV2895">
        <v>0</v>
      </c>
      <c r="AW2895">
        <v>0</v>
      </c>
      <c r="AX2895">
        <v>0</v>
      </c>
      <c r="AY2895">
        <v>0</v>
      </c>
      <c r="AZ2895">
        <v>0</v>
      </c>
      <c r="BA2895">
        <v>0</v>
      </c>
      <c r="BB2895">
        <v>0</v>
      </c>
      <c r="BC2895">
        <v>0</v>
      </c>
      <c r="BD2895">
        <v>0</v>
      </c>
      <c r="BE2895">
        <v>0</v>
      </c>
      <c r="BF2895">
        <v>0</v>
      </c>
      <c r="BG2895">
        <v>0</v>
      </c>
      <c r="BH2895">
        <v>1</v>
      </c>
      <c r="BI2895">
        <v>1</v>
      </c>
      <c r="BJ2895">
        <v>0.2</v>
      </c>
      <c r="BK2895">
        <v>1</v>
      </c>
      <c r="BL2895">
        <v>135.59</v>
      </c>
      <c r="BM2895">
        <v>20.34</v>
      </c>
      <c r="BN2895">
        <v>155.93</v>
      </c>
      <c r="BO2895">
        <v>155.93</v>
      </c>
      <c r="BQ2895" t="s">
        <v>1005</v>
      </c>
      <c r="BR2895" t="s">
        <v>84</v>
      </c>
      <c r="BS2895" s="3">
        <v>45800</v>
      </c>
      <c r="BT2895" s="4">
        <v>0.39583333333333331</v>
      </c>
      <c r="BU2895" t="s">
        <v>2960</v>
      </c>
      <c r="BV2895" t="s">
        <v>86</v>
      </c>
      <c r="BY2895">
        <v>1200</v>
      </c>
      <c r="CA2895" t="s">
        <v>2187</v>
      </c>
      <c r="CC2895" t="s">
        <v>1003</v>
      </c>
      <c r="CD2895">
        <v>5257</v>
      </c>
      <c r="CE2895" t="s">
        <v>88</v>
      </c>
      <c r="CF2895" s="3">
        <v>45800</v>
      </c>
      <c r="CI2895">
        <v>1</v>
      </c>
      <c r="CJ2895">
        <v>1</v>
      </c>
      <c r="CK2895">
        <v>23</v>
      </c>
      <c r="CL2895" t="s">
        <v>89</v>
      </c>
    </row>
    <row r="2896" spans="1:90" x14ac:dyDescent="0.3">
      <c r="A2896" t="s">
        <v>72</v>
      </c>
      <c r="B2896" t="s">
        <v>73</v>
      </c>
      <c r="C2896" t="s">
        <v>74</v>
      </c>
      <c r="E2896" t="str">
        <f>"080065513367"</f>
        <v>080065513367</v>
      </c>
      <c r="F2896" s="3">
        <v>45799</v>
      </c>
      <c r="G2896">
        <v>202602</v>
      </c>
      <c r="H2896" t="s">
        <v>75</v>
      </c>
      <c r="I2896" t="s">
        <v>76</v>
      </c>
      <c r="J2896" t="s">
        <v>77</v>
      </c>
      <c r="K2896" t="s">
        <v>78</v>
      </c>
      <c r="L2896" t="s">
        <v>136</v>
      </c>
      <c r="M2896" t="s">
        <v>137</v>
      </c>
      <c r="N2896" t="s">
        <v>776</v>
      </c>
      <c r="O2896" t="s">
        <v>300</v>
      </c>
      <c r="P2896" t="str">
        <f>"4170040195                    "</f>
        <v xml:space="preserve">4170040195                    </v>
      </c>
      <c r="Q2896">
        <v>0</v>
      </c>
      <c r="R2896">
        <v>0</v>
      </c>
      <c r="S2896">
        <v>0</v>
      </c>
      <c r="T2896">
        <v>0</v>
      </c>
      <c r="U2896">
        <v>0</v>
      </c>
      <c r="V2896">
        <v>0</v>
      </c>
      <c r="W2896">
        <v>0</v>
      </c>
      <c r="X2896">
        <v>0</v>
      </c>
      <c r="Y2896">
        <v>0</v>
      </c>
      <c r="Z2896">
        <v>0</v>
      </c>
      <c r="AA2896">
        <v>0</v>
      </c>
      <c r="AB2896">
        <v>0</v>
      </c>
      <c r="AC2896">
        <v>0</v>
      </c>
      <c r="AD2896">
        <v>0</v>
      </c>
      <c r="AE2896">
        <v>0</v>
      </c>
      <c r="AF2896">
        <v>0</v>
      </c>
      <c r="AG2896">
        <v>0</v>
      </c>
      <c r="AH2896">
        <v>0</v>
      </c>
      <c r="AI2896">
        <v>0</v>
      </c>
      <c r="AJ2896">
        <v>0</v>
      </c>
      <c r="AK2896">
        <v>0</v>
      </c>
      <c r="AL2896">
        <v>0</v>
      </c>
      <c r="AM2896">
        <v>0</v>
      </c>
      <c r="AN2896">
        <v>0</v>
      </c>
      <c r="AO2896">
        <v>0</v>
      </c>
      <c r="AP2896">
        <v>0</v>
      </c>
      <c r="AQ2896">
        <v>41.35</v>
      </c>
      <c r="AR2896">
        <v>0</v>
      </c>
      <c r="AS2896">
        <v>0</v>
      </c>
      <c r="AT2896">
        <v>0</v>
      </c>
      <c r="AU2896">
        <v>0</v>
      </c>
      <c r="AV2896">
        <v>0</v>
      </c>
      <c r="AW2896">
        <v>0</v>
      </c>
      <c r="AX2896">
        <v>0</v>
      </c>
      <c r="AY2896">
        <v>0</v>
      </c>
      <c r="AZ2896">
        <v>0</v>
      </c>
      <c r="BA2896">
        <v>0</v>
      </c>
      <c r="BB2896">
        <v>0</v>
      </c>
      <c r="BC2896">
        <v>0</v>
      </c>
      <c r="BD2896">
        <v>0</v>
      </c>
      <c r="BE2896">
        <v>0</v>
      </c>
      <c r="BF2896">
        <v>0</v>
      </c>
      <c r="BG2896">
        <v>0</v>
      </c>
      <c r="BH2896">
        <v>1</v>
      </c>
      <c r="BI2896">
        <v>5</v>
      </c>
      <c r="BJ2896">
        <v>10.8</v>
      </c>
      <c r="BK2896">
        <v>11</v>
      </c>
      <c r="BL2896">
        <v>140.9</v>
      </c>
      <c r="BM2896">
        <v>21.14</v>
      </c>
      <c r="BN2896">
        <v>162.04</v>
      </c>
      <c r="BO2896">
        <v>162.04</v>
      </c>
      <c r="BQ2896" t="s">
        <v>777</v>
      </c>
      <c r="BR2896" t="s">
        <v>84</v>
      </c>
      <c r="BS2896" s="3">
        <v>45800</v>
      </c>
      <c r="BT2896" s="4">
        <v>0.33611111111111114</v>
      </c>
      <c r="BU2896" t="s">
        <v>778</v>
      </c>
      <c r="BV2896" t="s">
        <v>86</v>
      </c>
      <c r="BY2896">
        <v>53824</v>
      </c>
      <c r="CA2896" t="s">
        <v>907</v>
      </c>
      <c r="CC2896" t="s">
        <v>137</v>
      </c>
      <c r="CD2896" s="5" t="s">
        <v>738</v>
      </c>
      <c r="CE2896" t="s">
        <v>176</v>
      </c>
      <c r="CF2896" s="3">
        <v>45800</v>
      </c>
      <c r="CI2896">
        <v>1</v>
      </c>
      <c r="CJ2896">
        <v>1</v>
      </c>
      <c r="CK2896">
        <v>41</v>
      </c>
      <c r="CL2896" t="s">
        <v>89</v>
      </c>
    </row>
    <row r="2897" spans="1:90" x14ac:dyDescent="0.3">
      <c r="A2897" t="s">
        <v>72</v>
      </c>
      <c r="B2897" t="s">
        <v>73</v>
      </c>
      <c r="C2897" t="s">
        <v>74</v>
      </c>
      <c r="E2897" t="str">
        <f>"080065513391"</f>
        <v>080065513391</v>
      </c>
      <c r="F2897" s="3">
        <v>45799</v>
      </c>
      <c r="G2897">
        <v>202602</v>
      </c>
      <c r="H2897" t="s">
        <v>75</v>
      </c>
      <c r="I2897" t="s">
        <v>76</v>
      </c>
      <c r="J2897" t="s">
        <v>77</v>
      </c>
      <c r="K2897" t="s">
        <v>78</v>
      </c>
      <c r="L2897" t="s">
        <v>90</v>
      </c>
      <c r="M2897" t="s">
        <v>91</v>
      </c>
      <c r="N2897" t="s">
        <v>385</v>
      </c>
      <c r="O2897" t="s">
        <v>82</v>
      </c>
      <c r="P2897" t="str">
        <f>"4170040189                    "</f>
        <v xml:space="preserve">4170040189                    </v>
      </c>
      <c r="Q2897">
        <v>0</v>
      </c>
      <c r="R2897">
        <v>0</v>
      </c>
      <c r="S2897">
        <v>0</v>
      </c>
      <c r="T2897">
        <v>0</v>
      </c>
      <c r="U2897">
        <v>0</v>
      </c>
      <c r="V2897">
        <v>0</v>
      </c>
      <c r="W2897">
        <v>0</v>
      </c>
      <c r="X2897">
        <v>0</v>
      </c>
      <c r="Y2897">
        <v>0</v>
      </c>
      <c r="Z2897">
        <v>0</v>
      </c>
      <c r="AA2897">
        <v>0</v>
      </c>
      <c r="AB2897">
        <v>0</v>
      </c>
      <c r="AC2897">
        <v>0</v>
      </c>
      <c r="AD2897">
        <v>0</v>
      </c>
      <c r="AE2897">
        <v>0</v>
      </c>
      <c r="AF2897">
        <v>0</v>
      </c>
      <c r="AG2897">
        <v>0</v>
      </c>
      <c r="AH2897">
        <v>0</v>
      </c>
      <c r="AI2897">
        <v>0</v>
      </c>
      <c r="AJ2897">
        <v>0</v>
      </c>
      <c r="AK2897">
        <v>0</v>
      </c>
      <c r="AL2897">
        <v>0</v>
      </c>
      <c r="AM2897">
        <v>0</v>
      </c>
      <c r="AN2897">
        <v>0</v>
      </c>
      <c r="AO2897">
        <v>0</v>
      </c>
      <c r="AP2897">
        <v>0</v>
      </c>
      <c r="AQ2897">
        <v>48.09</v>
      </c>
      <c r="AR2897">
        <v>0</v>
      </c>
      <c r="AS2897">
        <v>0</v>
      </c>
      <c r="AT2897">
        <v>0</v>
      </c>
      <c r="AU2897">
        <v>0</v>
      </c>
      <c r="AV2897">
        <v>0</v>
      </c>
      <c r="AW2897">
        <v>0</v>
      </c>
      <c r="AX2897">
        <v>0</v>
      </c>
      <c r="AY2897">
        <v>0</v>
      </c>
      <c r="AZ2897">
        <v>0</v>
      </c>
      <c r="BA2897">
        <v>0</v>
      </c>
      <c r="BB2897">
        <v>0</v>
      </c>
      <c r="BC2897">
        <v>0</v>
      </c>
      <c r="BD2897">
        <v>0</v>
      </c>
      <c r="BE2897">
        <v>0</v>
      </c>
      <c r="BF2897">
        <v>0</v>
      </c>
      <c r="BG2897">
        <v>0</v>
      </c>
      <c r="BH2897">
        <v>1</v>
      </c>
      <c r="BI2897">
        <v>3</v>
      </c>
      <c r="BJ2897">
        <v>4.0999999999999996</v>
      </c>
      <c r="BK2897">
        <v>4.5</v>
      </c>
      <c r="BL2897">
        <v>157.38999999999999</v>
      </c>
      <c r="BM2897">
        <v>23.61</v>
      </c>
      <c r="BN2897">
        <v>181</v>
      </c>
      <c r="BO2897">
        <v>181</v>
      </c>
      <c r="BQ2897" t="s">
        <v>386</v>
      </c>
      <c r="BR2897" t="s">
        <v>84</v>
      </c>
      <c r="BS2897" s="3">
        <v>45800</v>
      </c>
      <c r="BT2897" s="4">
        <v>0.42291666666666666</v>
      </c>
      <c r="BU2897" t="s">
        <v>2961</v>
      </c>
      <c r="BV2897" t="s">
        <v>86</v>
      </c>
      <c r="BY2897">
        <v>20358</v>
      </c>
      <c r="CA2897" t="s">
        <v>95</v>
      </c>
      <c r="CC2897" t="s">
        <v>91</v>
      </c>
      <c r="CD2897">
        <v>6056</v>
      </c>
      <c r="CE2897" t="s">
        <v>176</v>
      </c>
      <c r="CF2897" s="3">
        <v>45800</v>
      </c>
      <c r="CI2897">
        <v>1</v>
      </c>
      <c r="CJ2897">
        <v>1</v>
      </c>
      <c r="CK2897">
        <v>21</v>
      </c>
      <c r="CL2897" t="s">
        <v>89</v>
      </c>
    </row>
    <row r="2898" spans="1:90" x14ac:dyDescent="0.3">
      <c r="A2898" t="s">
        <v>72</v>
      </c>
      <c r="B2898" t="s">
        <v>73</v>
      </c>
      <c r="C2898" t="s">
        <v>74</v>
      </c>
      <c r="E2898" t="str">
        <f>"080065513433"</f>
        <v>080065513433</v>
      </c>
      <c r="F2898" s="3">
        <v>45799</v>
      </c>
      <c r="G2898">
        <v>202602</v>
      </c>
      <c r="H2898" t="s">
        <v>75</v>
      </c>
      <c r="I2898" t="s">
        <v>76</v>
      </c>
      <c r="J2898" t="s">
        <v>77</v>
      </c>
      <c r="K2898" t="s">
        <v>78</v>
      </c>
      <c r="L2898" t="s">
        <v>136</v>
      </c>
      <c r="M2898" t="s">
        <v>137</v>
      </c>
      <c r="N2898" t="s">
        <v>1297</v>
      </c>
      <c r="O2898" t="s">
        <v>300</v>
      </c>
      <c r="P2898" t="str">
        <f>"4170040128                    "</f>
        <v xml:space="preserve">4170040128                    </v>
      </c>
      <c r="Q2898">
        <v>0</v>
      </c>
      <c r="R2898">
        <v>0</v>
      </c>
      <c r="S2898">
        <v>0</v>
      </c>
      <c r="T2898">
        <v>0</v>
      </c>
      <c r="U2898">
        <v>0</v>
      </c>
      <c r="V2898">
        <v>0</v>
      </c>
      <c r="W2898">
        <v>0</v>
      </c>
      <c r="X2898">
        <v>0</v>
      </c>
      <c r="Y2898">
        <v>0</v>
      </c>
      <c r="Z2898">
        <v>0</v>
      </c>
      <c r="AA2898">
        <v>0</v>
      </c>
      <c r="AB2898">
        <v>0</v>
      </c>
      <c r="AC2898">
        <v>0</v>
      </c>
      <c r="AD2898">
        <v>0</v>
      </c>
      <c r="AE2898">
        <v>0</v>
      </c>
      <c r="AF2898">
        <v>0</v>
      </c>
      <c r="AG2898">
        <v>0</v>
      </c>
      <c r="AH2898">
        <v>0</v>
      </c>
      <c r="AI2898">
        <v>0</v>
      </c>
      <c r="AJ2898">
        <v>0</v>
      </c>
      <c r="AK2898">
        <v>0</v>
      </c>
      <c r="AL2898">
        <v>0</v>
      </c>
      <c r="AM2898">
        <v>0</v>
      </c>
      <c r="AN2898">
        <v>0</v>
      </c>
      <c r="AO2898">
        <v>0</v>
      </c>
      <c r="AP2898">
        <v>0</v>
      </c>
      <c r="AQ2898">
        <v>41.35</v>
      </c>
      <c r="AR2898">
        <v>0</v>
      </c>
      <c r="AS2898">
        <v>0</v>
      </c>
      <c r="AT2898">
        <v>0</v>
      </c>
      <c r="AU2898">
        <v>0</v>
      </c>
      <c r="AV2898">
        <v>0</v>
      </c>
      <c r="AW2898">
        <v>0</v>
      </c>
      <c r="AX2898">
        <v>0</v>
      </c>
      <c r="AY2898">
        <v>0</v>
      </c>
      <c r="AZ2898">
        <v>0</v>
      </c>
      <c r="BA2898">
        <v>0</v>
      </c>
      <c r="BB2898">
        <v>0</v>
      </c>
      <c r="BC2898">
        <v>0</v>
      </c>
      <c r="BD2898">
        <v>0</v>
      </c>
      <c r="BE2898">
        <v>0</v>
      </c>
      <c r="BF2898">
        <v>0</v>
      </c>
      <c r="BG2898">
        <v>0</v>
      </c>
      <c r="BH2898">
        <v>1</v>
      </c>
      <c r="BI2898">
        <v>9</v>
      </c>
      <c r="BJ2898">
        <v>4.0999999999999996</v>
      </c>
      <c r="BK2898">
        <v>9</v>
      </c>
      <c r="BL2898">
        <v>140.9</v>
      </c>
      <c r="BM2898">
        <v>21.14</v>
      </c>
      <c r="BN2898">
        <v>162.04</v>
      </c>
      <c r="BO2898">
        <v>162.04</v>
      </c>
      <c r="BQ2898" t="s">
        <v>1298</v>
      </c>
      <c r="BR2898" t="s">
        <v>84</v>
      </c>
      <c r="BS2898" s="3">
        <v>45800</v>
      </c>
      <c r="BT2898" s="4">
        <v>0.50277777777777777</v>
      </c>
      <c r="BU2898" t="s">
        <v>2962</v>
      </c>
      <c r="BV2898" t="s">
        <v>86</v>
      </c>
      <c r="BY2898">
        <v>20358</v>
      </c>
      <c r="CA2898" t="s">
        <v>141</v>
      </c>
      <c r="CC2898" t="s">
        <v>137</v>
      </c>
      <c r="CD2898" s="5" t="s">
        <v>1239</v>
      </c>
      <c r="CE2898" t="s">
        <v>176</v>
      </c>
      <c r="CF2898" s="3">
        <v>45800</v>
      </c>
      <c r="CI2898">
        <v>1</v>
      </c>
      <c r="CJ2898">
        <v>1</v>
      </c>
      <c r="CK2898">
        <v>41</v>
      </c>
      <c r="CL2898" t="s">
        <v>89</v>
      </c>
    </row>
    <row r="2899" spans="1:90" x14ac:dyDescent="0.3">
      <c r="A2899" t="s">
        <v>72</v>
      </c>
      <c r="B2899" t="s">
        <v>73</v>
      </c>
      <c r="C2899" t="s">
        <v>74</v>
      </c>
      <c r="E2899" t="str">
        <f>"080065513463"</f>
        <v>080065513463</v>
      </c>
      <c r="F2899" s="3">
        <v>45799</v>
      </c>
      <c r="G2899">
        <v>202602</v>
      </c>
      <c r="H2899" t="s">
        <v>75</v>
      </c>
      <c r="I2899" t="s">
        <v>76</v>
      </c>
      <c r="J2899" t="s">
        <v>77</v>
      </c>
      <c r="K2899" t="s">
        <v>78</v>
      </c>
      <c r="L2899" t="s">
        <v>103</v>
      </c>
      <c r="M2899" t="s">
        <v>104</v>
      </c>
      <c r="N2899" t="s">
        <v>1372</v>
      </c>
      <c r="O2899" t="s">
        <v>82</v>
      </c>
      <c r="P2899" t="str">
        <f>"4170040080                    "</f>
        <v xml:space="preserve">4170040080                    </v>
      </c>
      <c r="Q2899">
        <v>0</v>
      </c>
      <c r="R2899">
        <v>0</v>
      </c>
      <c r="S2899">
        <v>0</v>
      </c>
      <c r="T2899">
        <v>0</v>
      </c>
      <c r="U2899">
        <v>0</v>
      </c>
      <c r="V2899">
        <v>0</v>
      </c>
      <c r="W2899">
        <v>0</v>
      </c>
      <c r="X2899">
        <v>0</v>
      </c>
      <c r="Y2899">
        <v>0</v>
      </c>
      <c r="Z2899">
        <v>0</v>
      </c>
      <c r="AA2899">
        <v>0</v>
      </c>
      <c r="AB2899">
        <v>0</v>
      </c>
      <c r="AC2899">
        <v>0</v>
      </c>
      <c r="AD2899">
        <v>0</v>
      </c>
      <c r="AE2899">
        <v>0</v>
      </c>
      <c r="AF2899">
        <v>0</v>
      </c>
      <c r="AG2899">
        <v>0</v>
      </c>
      <c r="AH2899">
        <v>0</v>
      </c>
      <c r="AI2899">
        <v>0</v>
      </c>
      <c r="AJ2899">
        <v>0</v>
      </c>
      <c r="AK2899">
        <v>0</v>
      </c>
      <c r="AL2899">
        <v>0</v>
      </c>
      <c r="AM2899">
        <v>0</v>
      </c>
      <c r="AN2899">
        <v>0</v>
      </c>
      <c r="AO2899">
        <v>0</v>
      </c>
      <c r="AP2899">
        <v>0</v>
      </c>
      <c r="AQ2899">
        <v>21.38</v>
      </c>
      <c r="AR2899">
        <v>0</v>
      </c>
      <c r="AS2899">
        <v>0</v>
      </c>
      <c r="AT2899">
        <v>0</v>
      </c>
      <c r="AU2899">
        <v>0</v>
      </c>
      <c r="AV2899">
        <v>0</v>
      </c>
      <c r="AW2899">
        <v>0</v>
      </c>
      <c r="AX2899">
        <v>0</v>
      </c>
      <c r="AY2899">
        <v>0</v>
      </c>
      <c r="AZ2899">
        <v>0</v>
      </c>
      <c r="BA2899">
        <v>0</v>
      </c>
      <c r="BB2899">
        <v>0</v>
      </c>
      <c r="BC2899">
        <v>0</v>
      </c>
      <c r="BD2899">
        <v>0</v>
      </c>
      <c r="BE2899">
        <v>0</v>
      </c>
      <c r="BF2899">
        <v>0</v>
      </c>
      <c r="BG2899">
        <v>0</v>
      </c>
      <c r="BH2899">
        <v>1</v>
      </c>
      <c r="BI2899">
        <v>1</v>
      </c>
      <c r="BJ2899">
        <v>0.2</v>
      </c>
      <c r="BK2899">
        <v>1</v>
      </c>
      <c r="BL2899">
        <v>69.98</v>
      </c>
      <c r="BM2899">
        <v>10.5</v>
      </c>
      <c r="BN2899">
        <v>80.48</v>
      </c>
      <c r="BO2899">
        <v>80.48</v>
      </c>
      <c r="BQ2899" t="s">
        <v>1373</v>
      </c>
      <c r="BR2899" t="s">
        <v>84</v>
      </c>
      <c r="BS2899" s="3">
        <v>45800</v>
      </c>
      <c r="BT2899" s="4">
        <v>0.41666666666666669</v>
      </c>
      <c r="BU2899" t="s">
        <v>2963</v>
      </c>
      <c r="BV2899" t="s">
        <v>86</v>
      </c>
      <c r="BY2899">
        <v>1200</v>
      </c>
      <c r="CA2899" t="s">
        <v>1375</v>
      </c>
      <c r="CC2899" t="s">
        <v>104</v>
      </c>
      <c r="CD2899">
        <v>3201</v>
      </c>
      <c r="CE2899" t="s">
        <v>88</v>
      </c>
      <c r="CF2899" s="3">
        <v>45801</v>
      </c>
      <c r="CI2899">
        <v>1</v>
      </c>
      <c r="CJ2899">
        <v>1</v>
      </c>
      <c r="CK2899">
        <v>21</v>
      </c>
      <c r="CL2899" t="s">
        <v>89</v>
      </c>
    </row>
    <row r="2900" spans="1:90" x14ac:dyDescent="0.3">
      <c r="A2900" t="s">
        <v>72</v>
      </c>
      <c r="B2900" t="s">
        <v>73</v>
      </c>
      <c r="C2900" t="s">
        <v>74</v>
      </c>
      <c r="E2900" t="str">
        <f>"080065513469"</f>
        <v>080065513469</v>
      </c>
      <c r="F2900" s="3">
        <v>45799</v>
      </c>
      <c r="G2900">
        <v>202602</v>
      </c>
      <c r="H2900" t="s">
        <v>75</v>
      </c>
      <c r="I2900" t="s">
        <v>76</v>
      </c>
      <c r="J2900" t="s">
        <v>77</v>
      </c>
      <c r="K2900" t="s">
        <v>78</v>
      </c>
      <c r="L2900" t="s">
        <v>103</v>
      </c>
      <c r="M2900" t="s">
        <v>104</v>
      </c>
      <c r="N2900" t="s">
        <v>2067</v>
      </c>
      <c r="O2900" t="s">
        <v>300</v>
      </c>
      <c r="P2900" t="str">
        <f>"4170040179                    "</f>
        <v xml:space="preserve">4170040179                    </v>
      </c>
      <c r="Q2900">
        <v>0</v>
      </c>
      <c r="R2900">
        <v>0</v>
      </c>
      <c r="S2900">
        <v>0</v>
      </c>
      <c r="T2900">
        <v>0</v>
      </c>
      <c r="U2900">
        <v>0</v>
      </c>
      <c r="V2900">
        <v>0</v>
      </c>
      <c r="W2900">
        <v>0</v>
      </c>
      <c r="X2900">
        <v>0</v>
      </c>
      <c r="Y2900">
        <v>0</v>
      </c>
      <c r="Z2900">
        <v>0</v>
      </c>
      <c r="AA2900">
        <v>0</v>
      </c>
      <c r="AB2900">
        <v>0</v>
      </c>
      <c r="AC2900">
        <v>0</v>
      </c>
      <c r="AD2900">
        <v>0</v>
      </c>
      <c r="AE2900">
        <v>0</v>
      </c>
      <c r="AF2900">
        <v>0</v>
      </c>
      <c r="AG2900">
        <v>0</v>
      </c>
      <c r="AH2900">
        <v>0</v>
      </c>
      <c r="AI2900">
        <v>0</v>
      </c>
      <c r="AJ2900">
        <v>0</v>
      </c>
      <c r="AK2900">
        <v>0</v>
      </c>
      <c r="AL2900">
        <v>0</v>
      </c>
      <c r="AM2900">
        <v>0</v>
      </c>
      <c r="AN2900">
        <v>0</v>
      </c>
      <c r="AO2900">
        <v>0</v>
      </c>
      <c r="AP2900">
        <v>0</v>
      </c>
      <c r="AQ2900">
        <v>43.06</v>
      </c>
      <c r="AR2900">
        <v>0</v>
      </c>
      <c r="AS2900">
        <v>0</v>
      </c>
      <c r="AT2900">
        <v>0</v>
      </c>
      <c r="AU2900">
        <v>0</v>
      </c>
      <c r="AV2900">
        <v>0</v>
      </c>
      <c r="AW2900">
        <v>0</v>
      </c>
      <c r="AX2900">
        <v>0</v>
      </c>
      <c r="AY2900">
        <v>0</v>
      </c>
      <c r="AZ2900">
        <v>0</v>
      </c>
      <c r="BA2900">
        <v>0</v>
      </c>
      <c r="BB2900">
        <v>0</v>
      </c>
      <c r="BC2900">
        <v>0</v>
      </c>
      <c r="BD2900">
        <v>0</v>
      </c>
      <c r="BE2900">
        <v>0</v>
      </c>
      <c r="BF2900">
        <v>0</v>
      </c>
      <c r="BG2900">
        <v>0</v>
      </c>
      <c r="BH2900">
        <v>1</v>
      </c>
      <c r="BI2900">
        <v>5</v>
      </c>
      <c r="BJ2900">
        <v>16</v>
      </c>
      <c r="BK2900">
        <v>16</v>
      </c>
      <c r="BL2900">
        <v>146.49</v>
      </c>
      <c r="BM2900">
        <v>21.97</v>
      </c>
      <c r="BN2900">
        <v>168.46</v>
      </c>
      <c r="BO2900">
        <v>168.46</v>
      </c>
      <c r="BQ2900" t="s">
        <v>2068</v>
      </c>
      <c r="BR2900" t="s">
        <v>84</v>
      </c>
      <c r="BS2900" s="3">
        <v>45800</v>
      </c>
      <c r="BT2900" s="4">
        <v>0.41875000000000001</v>
      </c>
      <c r="BU2900" t="s">
        <v>2964</v>
      </c>
      <c r="BV2900" t="s">
        <v>86</v>
      </c>
      <c r="BY2900">
        <v>80000</v>
      </c>
      <c r="CA2900" t="s">
        <v>1375</v>
      </c>
      <c r="CC2900" t="s">
        <v>104</v>
      </c>
      <c r="CD2900">
        <v>3201</v>
      </c>
      <c r="CE2900" t="s">
        <v>96</v>
      </c>
      <c r="CF2900" s="3">
        <v>45801</v>
      </c>
      <c r="CI2900">
        <v>2</v>
      </c>
      <c r="CJ2900">
        <v>1</v>
      </c>
      <c r="CK2900">
        <v>41</v>
      </c>
      <c r="CL2900" t="s">
        <v>89</v>
      </c>
    </row>
    <row r="2901" spans="1:90" x14ac:dyDescent="0.3">
      <c r="A2901" t="s">
        <v>72</v>
      </c>
      <c r="B2901" t="s">
        <v>73</v>
      </c>
      <c r="C2901" t="s">
        <v>74</v>
      </c>
      <c r="E2901" t="str">
        <f>"080065513541"</f>
        <v>080065513541</v>
      </c>
      <c r="F2901" s="3">
        <v>45799</v>
      </c>
      <c r="G2901">
        <v>202602</v>
      </c>
      <c r="H2901" t="s">
        <v>75</v>
      </c>
      <c r="I2901" t="s">
        <v>76</v>
      </c>
      <c r="J2901" t="s">
        <v>77</v>
      </c>
      <c r="K2901" t="s">
        <v>78</v>
      </c>
      <c r="L2901" t="s">
        <v>75</v>
      </c>
      <c r="M2901" t="s">
        <v>76</v>
      </c>
      <c r="N2901" t="s">
        <v>850</v>
      </c>
      <c r="O2901" t="s">
        <v>300</v>
      </c>
      <c r="P2901" t="str">
        <f>"4170040125                    "</f>
        <v xml:space="preserve">4170040125                    </v>
      </c>
      <c r="Q2901">
        <v>0</v>
      </c>
      <c r="R2901">
        <v>0</v>
      </c>
      <c r="S2901">
        <v>0</v>
      </c>
      <c r="T2901">
        <v>0</v>
      </c>
      <c r="U2901">
        <v>0</v>
      </c>
      <c r="V2901">
        <v>0</v>
      </c>
      <c r="W2901">
        <v>0</v>
      </c>
      <c r="X2901">
        <v>0</v>
      </c>
      <c r="Y2901">
        <v>0</v>
      </c>
      <c r="Z2901">
        <v>0</v>
      </c>
      <c r="AA2901">
        <v>0</v>
      </c>
      <c r="AB2901">
        <v>0</v>
      </c>
      <c r="AC2901">
        <v>0</v>
      </c>
      <c r="AD2901">
        <v>0</v>
      </c>
      <c r="AE2901">
        <v>0</v>
      </c>
      <c r="AF2901">
        <v>0</v>
      </c>
      <c r="AG2901">
        <v>0</v>
      </c>
      <c r="AH2901">
        <v>0</v>
      </c>
      <c r="AI2901">
        <v>0</v>
      </c>
      <c r="AJ2901">
        <v>0</v>
      </c>
      <c r="AK2901">
        <v>0</v>
      </c>
      <c r="AL2901">
        <v>0</v>
      </c>
      <c r="AM2901">
        <v>0</v>
      </c>
      <c r="AN2901">
        <v>0</v>
      </c>
      <c r="AO2901">
        <v>0</v>
      </c>
      <c r="AP2901">
        <v>0</v>
      </c>
      <c r="AQ2901">
        <v>31.91</v>
      </c>
      <c r="AR2901">
        <v>0</v>
      </c>
      <c r="AS2901">
        <v>0</v>
      </c>
      <c r="AT2901">
        <v>0</v>
      </c>
      <c r="AU2901">
        <v>0</v>
      </c>
      <c r="AV2901">
        <v>0</v>
      </c>
      <c r="AW2901">
        <v>0</v>
      </c>
      <c r="AX2901">
        <v>0</v>
      </c>
      <c r="AY2901">
        <v>0</v>
      </c>
      <c r="AZ2901">
        <v>0</v>
      </c>
      <c r="BA2901">
        <v>0</v>
      </c>
      <c r="BB2901">
        <v>0</v>
      </c>
      <c r="BC2901">
        <v>0</v>
      </c>
      <c r="BD2901">
        <v>0</v>
      </c>
      <c r="BE2901">
        <v>0</v>
      </c>
      <c r="BF2901">
        <v>0</v>
      </c>
      <c r="BG2901">
        <v>0</v>
      </c>
      <c r="BH2901">
        <v>2</v>
      </c>
      <c r="BI2901">
        <v>9</v>
      </c>
      <c r="BJ2901">
        <v>3.5</v>
      </c>
      <c r="BK2901">
        <v>9</v>
      </c>
      <c r="BL2901">
        <v>110</v>
      </c>
      <c r="BM2901">
        <v>16.5</v>
      </c>
      <c r="BN2901">
        <v>126.5</v>
      </c>
      <c r="BO2901">
        <v>126.5</v>
      </c>
      <c r="BQ2901" t="s">
        <v>851</v>
      </c>
      <c r="BR2901" t="s">
        <v>84</v>
      </c>
      <c r="BS2901" s="3">
        <v>45800</v>
      </c>
      <c r="BT2901" s="4">
        <v>0.31180555555555556</v>
      </c>
      <c r="BU2901" t="s">
        <v>2248</v>
      </c>
      <c r="BV2901" t="s">
        <v>86</v>
      </c>
      <c r="BY2901">
        <v>17494</v>
      </c>
      <c r="CA2901" t="s">
        <v>853</v>
      </c>
      <c r="CC2901" t="s">
        <v>76</v>
      </c>
      <c r="CD2901">
        <v>1666</v>
      </c>
      <c r="CE2901" t="s">
        <v>221</v>
      </c>
      <c r="CF2901" s="3">
        <v>45800</v>
      </c>
      <c r="CI2901">
        <v>1</v>
      </c>
      <c r="CJ2901">
        <v>1</v>
      </c>
      <c r="CK2901">
        <v>42</v>
      </c>
      <c r="CL2901" t="s">
        <v>89</v>
      </c>
    </row>
    <row r="2902" spans="1:90" x14ac:dyDescent="0.3">
      <c r="A2902" t="s">
        <v>72</v>
      </c>
      <c r="B2902" t="s">
        <v>73</v>
      </c>
      <c r="C2902" t="s">
        <v>74</v>
      </c>
      <c r="E2902" t="str">
        <f>"080065513572"</f>
        <v>080065513572</v>
      </c>
      <c r="F2902" s="3">
        <v>45799</v>
      </c>
      <c r="G2902">
        <v>202602</v>
      </c>
      <c r="H2902" t="s">
        <v>75</v>
      </c>
      <c r="I2902" t="s">
        <v>76</v>
      </c>
      <c r="J2902" t="s">
        <v>77</v>
      </c>
      <c r="K2902" t="s">
        <v>78</v>
      </c>
      <c r="L2902" t="s">
        <v>103</v>
      </c>
      <c r="M2902" t="s">
        <v>104</v>
      </c>
      <c r="N2902" t="s">
        <v>686</v>
      </c>
      <c r="O2902" t="s">
        <v>82</v>
      </c>
      <c r="P2902" t="str">
        <f>"4170040159                    "</f>
        <v xml:space="preserve">4170040159                    </v>
      </c>
      <c r="Q2902">
        <v>0</v>
      </c>
      <c r="R2902">
        <v>0</v>
      </c>
      <c r="S2902">
        <v>0</v>
      </c>
      <c r="T2902">
        <v>0</v>
      </c>
      <c r="U2902">
        <v>0</v>
      </c>
      <c r="V2902">
        <v>0</v>
      </c>
      <c r="W2902">
        <v>0</v>
      </c>
      <c r="X2902">
        <v>0</v>
      </c>
      <c r="Y2902">
        <v>0</v>
      </c>
      <c r="Z2902">
        <v>0</v>
      </c>
      <c r="AA2902">
        <v>0</v>
      </c>
      <c r="AB2902">
        <v>0</v>
      </c>
      <c r="AC2902">
        <v>0</v>
      </c>
      <c r="AD2902">
        <v>0</v>
      </c>
      <c r="AE2902">
        <v>0</v>
      </c>
      <c r="AF2902">
        <v>0</v>
      </c>
      <c r="AG2902">
        <v>0</v>
      </c>
      <c r="AH2902">
        <v>0</v>
      </c>
      <c r="AI2902">
        <v>0</v>
      </c>
      <c r="AJ2902">
        <v>0</v>
      </c>
      <c r="AK2902">
        <v>0</v>
      </c>
      <c r="AL2902">
        <v>0</v>
      </c>
      <c r="AM2902">
        <v>0</v>
      </c>
      <c r="AN2902">
        <v>0</v>
      </c>
      <c r="AO2902">
        <v>0</v>
      </c>
      <c r="AP2902">
        <v>0</v>
      </c>
      <c r="AQ2902">
        <v>21.38</v>
      </c>
      <c r="AR2902">
        <v>0</v>
      </c>
      <c r="AS2902">
        <v>0</v>
      </c>
      <c r="AT2902">
        <v>0</v>
      </c>
      <c r="AU2902">
        <v>0</v>
      </c>
      <c r="AV2902">
        <v>0</v>
      </c>
      <c r="AW2902">
        <v>0</v>
      </c>
      <c r="AX2902">
        <v>0</v>
      </c>
      <c r="AY2902">
        <v>0</v>
      </c>
      <c r="AZ2902">
        <v>0</v>
      </c>
      <c r="BA2902">
        <v>0</v>
      </c>
      <c r="BB2902">
        <v>0</v>
      </c>
      <c r="BC2902">
        <v>0</v>
      </c>
      <c r="BD2902">
        <v>0</v>
      </c>
      <c r="BE2902">
        <v>0</v>
      </c>
      <c r="BF2902">
        <v>0</v>
      </c>
      <c r="BG2902">
        <v>0</v>
      </c>
      <c r="BH2902">
        <v>1</v>
      </c>
      <c r="BI2902">
        <v>1</v>
      </c>
      <c r="BJ2902">
        <v>1.9</v>
      </c>
      <c r="BK2902">
        <v>2</v>
      </c>
      <c r="BL2902">
        <v>69.98</v>
      </c>
      <c r="BM2902">
        <v>10.5</v>
      </c>
      <c r="BN2902">
        <v>80.48</v>
      </c>
      <c r="BO2902">
        <v>80.48</v>
      </c>
      <c r="BQ2902" t="s">
        <v>687</v>
      </c>
      <c r="BR2902" t="s">
        <v>84</v>
      </c>
      <c r="BS2902" s="3">
        <v>45800</v>
      </c>
      <c r="BT2902" s="4">
        <v>0.39374999999999999</v>
      </c>
      <c r="BU2902" t="s">
        <v>1210</v>
      </c>
      <c r="BV2902" t="s">
        <v>86</v>
      </c>
      <c r="BY2902">
        <v>9600</v>
      </c>
      <c r="CA2902" t="s">
        <v>1169</v>
      </c>
      <c r="CC2902" t="s">
        <v>104</v>
      </c>
      <c r="CD2902">
        <v>3201</v>
      </c>
      <c r="CE2902" t="s">
        <v>96</v>
      </c>
      <c r="CF2902" s="3">
        <v>45801</v>
      </c>
      <c r="CI2902">
        <v>1</v>
      </c>
      <c r="CJ2902">
        <v>1</v>
      </c>
      <c r="CK2902">
        <v>21</v>
      </c>
      <c r="CL2902" t="s">
        <v>89</v>
      </c>
    </row>
    <row r="2903" spans="1:90" x14ac:dyDescent="0.3">
      <c r="A2903" t="s">
        <v>72</v>
      </c>
      <c r="B2903" t="s">
        <v>73</v>
      </c>
      <c r="C2903" t="s">
        <v>74</v>
      </c>
      <c r="E2903" t="str">
        <f>"080065513602"</f>
        <v>080065513602</v>
      </c>
      <c r="F2903" s="3">
        <v>45799</v>
      </c>
      <c r="G2903">
        <v>202602</v>
      </c>
      <c r="H2903" t="s">
        <v>75</v>
      </c>
      <c r="I2903" t="s">
        <v>76</v>
      </c>
      <c r="J2903" t="s">
        <v>77</v>
      </c>
      <c r="K2903" t="s">
        <v>78</v>
      </c>
      <c r="L2903" t="s">
        <v>130</v>
      </c>
      <c r="M2903" t="s">
        <v>131</v>
      </c>
      <c r="N2903" t="s">
        <v>343</v>
      </c>
      <c r="O2903" t="s">
        <v>82</v>
      </c>
      <c r="P2903" t="str">
        <f>"4170040061                    "</f>
        <v xml:space="preserve">4170040061                    </v>
      </c>
      <c r="Q2903">
        <v>0</v>
      </c>
      <c r="R2903">
        <v>0</v>
      </c>
      <c r="S2903">
        <v>0</v>
      </c>
      <c r="T2903">
        <v>0</v>
      </c>
      <c r="U2903">
        <v>0</v>
      </c>
      <c r="V2903">
        <v>0</v>
      </c>
      <c r="W2903">
        <v>0</v>
      </c>
      <c r="X2903">
        <v>0</v>
      </c>
      <c r="Y2903">
        <v>0</v>
      </c>
      <c r="Z2903">
        <v>0</v>
      </c>
      <c r="AA2903">
        <v>0</v>
      </c>
      <c r="AB2903">
        <v>0</v>
      </c>
      <c r="AC2903">
        <v>0</v>
      </c>
      <c r="AD2903">
        <v>0</v>
      </c>
      <c r="AE2903">
        <v>0</v>
      </c>
      <c r="AF2903">
        <v>0</v>
      </c>
      <c r="AG2903">
        <v>0</v>
      </c>
      <c r="AH2903">
        <v>0</v>
      </c>
      <c r="AI2903">
        <v>0</v>
      </c>
      <c r="AJ2903">
        <v>0</v>
      </c>
      <c r="AK2903">
        <v>0</v>
      </c>
      <c r="AL2903">
        <v>0</v>
      </c>
      <c r="AM2903">
        <v>0</v>
      </c>
      <c r="AN2903">
        <v>0</v>
      </c>
      <c r="AO2903">
        <v>0</v>
      </c>
      <c r="AP2903">
        <v>0</v>
      </c>
      <c r="AQ2903">
        <v>42.75</v>
      </c>
      <c r="AR2903">
        <v>0</v>
      </c>
      <c r="AS2903">
        <v>0</v>
      </c>
      <c r="AT2903">
        <v>0</v>
      </c>
      <c r="AU2903">
        <v>0</v>
      </c>
      <c r="AV2903">
        <v>0</v>
      </c>
      <c r="AW2903">
        <v>0</v>
      </c>
      <c r="AX2903">
        <v>0</v>
      </c>
      <c r="AY2903">
        <v>0</v>
      </c>
      <c r="AZ2903">
        <v>0</v>
      </c>
      <c r="BA2903">
        <v>0</v>
      </c>
      <c r="BB2903">
        <v>0</v>
      </c>
      <c r="BC2903">
        <v>0</v>
      </c>
      <c r="BD2903">
        <v>0</v>
      </c>
      <c r="BE2903">
        <v>0</v>
      </c>
      <c r="BF2903">
        <v>0</v>
      </c>
      <c r="BG2903">
        <v>0</v>
      </c>
      <c r="BH2903">
        <v>1</v>
      </c>
      <c r="BI2903">
        <v>2</v>
      </c>
      <c r="BJ2903">
        <v>3.8</v>
      </c>
      <c r="BK2903">
        <v>4</v>
      </c>
      <c r="BL2903">
        <v>139.91</v>
      </c>
      <c r="BM2903">
        <v>20.99</v>
      </c>
      <c r="BN2903">
        <v>160.9</v>
      </c>
      <c r="BO2903">
        <v>160.9</v>
      </c>
      <c r="BQ2903" t="s">
        <v>344</v>
      </c>
      <c r="BR2903" t="s">
        <v>84</v>
      </c>
      <c r="BS2903" s="3">
        <v>45800</v>
      </c>
      <c r="BT2903" s="4">
        <v>0.40069444444444446</v>
      </c>
      <c r="BU2903" t="s">
        <v>1338</v>
      </c>
      <c r="BV2903" t="s">
        <v>86</v>
      </c>
      <c r="BY2903">
        <v>19040</v>
      </c>
      <c r="CA2903" t="s">
        <v>242</v>
      </c>
      <c r="CC2903" t="s">
        <v>131</v>
      </c>
      <c r="CD2903">
        <v>7441</v>
      </c>
      <c r="CE2903" t="s">
        <v>221</v>
      </c>
      <c r="CF2903" s="3">
        <v>45803</v>
      </c>
      <c r="CI2903">
        <v>1</v>
      </c>
      <c r="CJ2903">
        <v>1</v>
      </c>
      <c r="CK2903">
        <v>21</v>
      </c>
      <c r="CL2903" t="s">
        <v>89</v>
      </c>
    </row>
    <row r="2904" spans="1:90" x14ac:dyDescent="0.3">
      <c r="A2904" t="s">
        <v>72</v>
      </c>
      <c r="B2904" t="s">
        <v>73</v>
      </c>
      <c r="C2904" t="s">
        <v>74</v>
      </c>
      <c r="E2904" t="str">
        <f>"080065513638"</f>
        <v>080065513638</v>
      </c>
      <c r="F2904" s="3">
        <v>45799</v>
      </c>
      <c r="G2904">
        <v>202602</v>
      </c>
      <c r="H2904" t="s">
        <v>75</v>
      </c>
      <c r="I2904" t="s">
        <v>76</v>
      </c>
      <c r="J2904" t="s">
        <v>77</v>
      </c>
      <c r="K2904" t="s">
        <v>78</v>
      </c>
      <c r="L2904" t="s">
        <v>75</v>
      </c>
      <c r="M2904" t="s">
        <v>76</v>
      </c>
      <c r="N2904" t="s">
        <v>822</v>
      </c>
      <c r="O2904" t="s">
        <v>300</v>
      </c>
      <c r="P2904" t="str">
        <f>"4170040038                    "</f>
        <v xml:space="preserve">4170040038                    </v>
      </c>
      <c r="Q2904">
        <v>0</v>
      </c>
      <c r="R2904">
        <v>0</v>
      </c>
      <c r="S2904">
        <v>0</v>
      </c>
      <c r="T2904">
        <v>0</v>
      </c>
      <c r="U2904">
        <v>0</v>
      </c>
      <c r="V2904">
        <v>0</v>
      </c>
      <c r="W2904">
        <v>0</v>
      </c>
      <c r="X2904">
        <v>0</v>
      </c>
      <c r="Y2904">
        <v>0</v>
      </c>
      <c r="Z2904">
        <v>0</v>
      </c>
      <c r="AA2904">
        <v>0</v>
      </c>
      <c r="AB2904">
        <v>0</v>
      </c>
      <c r="AC2904">
        <v>0</v>
      </c>
      <c r="AD2904">
        <v>0</v>
      </c>
      <c r="AE2904">
        <v>0</v>
      </c>
      <c r="AF2904">
        <v>0</v>
      </c>
      <c r="AG2904">
        <v>0</v>
      </c>
      <c r="AH2904">
        <v>0</v>
      </c>
      <c r="AI2904">
        <v>0</v>
      </c>
      <c r="AJ2904">
        <v>0</v>
      </c>
      <c r="AK2904">
        <v>0</v>
      </c>
      <c r="AL2904">
        <v>0</v>
      </c>
      <c r="AM2904">
        <v>0</v>
      </c>
      <c r="AN2904">
        <v>0</v>
      </c>
      <c r="AO2904">
        <v>0</v>
      </c>
      <c r="AP2904">
        <v>0</v>
      </c>
      <c r="AQ2904">
        <v>36.57</v>
      </c>
      <c r="AR2904">
        <v>0</v>
      </c>
      <c r="AS2904">
        <v>0</v>
      </c>
      <c r="AT2904">
        <v>0</v>
      </c>
      <c r="AU2904">
        <v>0</v>
      </c>
      <c r="AV2904">
        <v>0</v>
      </c>
      <c r="AW2904">
        <v>0</v>
      </c>
      <c r="AX2904">
        <v>0</v>
      </c>
      <c r="AY2904">
        <v>0</v>
      </c>
      <c r="AZ2904">
        <v>0</v>
      </c>
      <c r="BA2904">
        <v>0</v>
      </c>
      <c r="BB2904">
        <v>0</v>
      </c>
      <c r="BC2904">
        <v>0</v>
      </c>
      <c r="BD2904">
        <v>0</v>
      </c>
      <c r="BE2904">
        <v>0</v>
      </c>
      <c r="BF2904">
        <v>0</v>
      </c>
      <c r="BG2904">
        <v>0</v>
      </c>
      <c r="BH2904">
        <v>1</v>
      </c>
      <c r="BI2904">
        <v>20</v>
      </c>
      <c r="BJ2904">
        <v>17.7</v>
      </c>
      <c r="BK2904">
        <v>20</v>
      </c>
      <c r="BL2904">
        <v>125.26</v>
      </c>
      <c r="BM2904">
        <v>18.79</v>
      </c>
      <c r="BN2904">
        <v>144.05000000000001</v>
      </c>
      <c r="BO2904">
        <v>144.05000000000001</v>
      </c>
      <c r="BQ2904" t="s">
        <v>823</v>
      </c>
      <c r="BR2904" t="s">
        <v>84</v>
      </c>
      <c r="BS2904" s="3">
        <v>45800</v>
      </c>
      <c r="BT2904" s="4">
        <v>0.41249999999999998</v>
      </c>
      <c r="BU2904" t="s">
        <v>671</v>
      </c>
      <c r="BV2904" t="s">
        <v>86</v>
      </c>
      <c r="BY2904">
        <v>88320</v>
      </c>
      <c r="CA2904" t="s">
        <v>150</v>
      </c>
      <c r="CC2904" t="s">
        <v>76</v>
      </c>
      <c r="CD2904">
        <v>1614</v>
      </c>
      <c r="CE2904" t="s">
        <v>96</v>
      </c>
      <c r="CF2904" s="3">
        <v>45800</v>
      </c>
      <c r="CI2904">
        <v>1</v>
      </c>
      <c r="CJ2904">
        <v>1</v>
      </c>
      <c r="CK2904">
        <v>42</v>
      </c>
      <c r="CL2904" t="s">
        <v>89</v>
      </c>
    </row>
    <row r="2905" spans="1:90" x14ac:dyDescent="0.3">
      <c r="A2905" t="s">
        <v>72</v>
      </c>
      <c r="B2905" t="s">
        <v>73</v>
      </c>
      <c r="C2905" t="s">
        <v>74</v>
      </c>
      <c r="E2905" t="str">
        <f>"080065513669"</f>
        <v>080065513669</v>
      </c>
      <c r="F2905" s="3">
        <v>45799</v>
      </c>
      <c r="G2905">
        <v>202602</v>
      </c>
      <c r="H2905" t="s">
        <v>75</v>
      </c>
      <c r="I2905" t="s">
        <v>76</v>
      </c>
      <c r="J2905" t="s">
        <v>77</v>
      </c>
      <c r="K2905" t="s">
        <v>78</v>
      </c>
      <c r="L2905" t="s">
        <v>75</v>
      </c>
      <c r="M2905" t="s">
        <v>76</v>
      </c>
      <c r="N2905" t="s">
        <v>601</v>
      </c>
      <c r="O2905" t="s">
        <v>82</v>
      </c>
      <c r="P2905" t="str">
        <f>"4170040073                    "</f>
        <v xml:space="preserve">4170040073                    </v>
      </c>
      <c r="Q2905">
        <v>0</v>
      </c>
      <c r="R2905">
        <v>0</v>
      </c>
      <c r="S2905">
        <v>0</v>
      </c>
      <c r="T2905">
        <v>0</v>
      </c>
      <c r="U2905">
        <v>0</v>
      </c>
      <c r="V2905">
        <v>0</v>
      </c>
      <c r="W2905">
        <v>0</v>
      </c>
      <c r="X2905">
        <v>0</v>
      </c>
      <c r="Y2905">
        <v>0</v>
      </c>
      <c r="Z2905">
        <v>0</v>
      </c>
      <c r="AA2905">
        <v>0</v>
      </c>
      <c r="AB2905">
        <v>0</v>
      </c>
      <c r="AC2905">
        <v>0</v>
      </c>
      <c r="AD2905">
        <v>0</v>
      </c>
      <c r="AE2905">
        <v>0</v>
      </c>
      <c r="AF2905">
        <v>0</v>
      </c>
      <c r="AG2905">
        <v>0</v>
      </c>
      <c r="AH2905">
        <v>0</v>
      </c>
      <c r="AI2905">
        <v>0</v>
      </c>
      <c r="AJ2905">
        <v>0</v>
      </c>
      <c r="AK2905">
        <v>0</v>
      </c>
      <c r="AL2905">
        <v>0</v>
      </c>
      <c r="AM2905">
        <v>0</v>
      </c>
      <c r="AN2905">
        <v>0</v>
      </c>
      <c r="AO2905">
        <v>0</v>
      </c>
      <c r="AP2905">
        <v>0</v>
      </c>
      <c r="AQ2905">
        <v>16.7</v>
      </c>
      <c r="AR2905">
        <v>0</v>
      </c>
      <c r="AS2905">
        <v>0</v>
      </c>
      <c r="AT2905">
        <v>0</v>
      </c>
      <c r="AU2905">
        <v>0</v>
      </c>
      <c r="AV2905">
        <v>0</v>
      </c>
      <c r="AW2905">
        <v>0</v>
      </c>
      <c r="AX2905">
        <v>0</v>
      </c>
      <c r="AY2905">
        <v>0</v>
      </c>
      <c r="AZ2905">
        <v>0</v>
      </c>
      <c r="BA2905">
        <v>0</v>
      </c>
      <c r="BB2905">
        <v>0</v>
      </c>
      <c r="BC2905">
        <v>0</v>
      </c>
      <c r="BD2905">
        <v>0</v>
      </c>
      <c r="BE2905">
        <v>0</v>
      </c>
      <c r="BF2905">
        <v>0</v>
      </c>
      <c r="BG2905">
        <v>0</v>
      </c>
      <c r="BH2905">
        <v>1</v>
      </c>
      <c r="BI2905">
        <v>1</v>
      </c>
      <c r="BJ2905">
        <v>0.2</v>
      </c>
      <c r="BK2905">
        <v>1</v>
      </c>
      <c r="BL2905">
        <v>54.66</v>
      </c>
      <c r="BM2905">
        <v>8.1999999999999993</v>
      </c>
      <c r="BN2905">
        <v>62.86</v>
      </c>
      <c r="BO2905">
        <v>62.86</v>
      </c>
      <c r="BQ2905" t="s">
        <v>603</v>
      </c>
      <c r="BR2905" t="s">
        <v>84</v>
      </c>
      <c r="BS2905" s="3">
        <v>45800</v>
      </c>
      <c r="BT2905" s="4">
        <v>0.3611111111111111</v>
      </c>
      <c r="BU2905" t="s">
        <v>2965</v>
      </c>
      <c r="BV2905" t="s">
        <v>86</v>
      </c>
      <c r="BY2905">
        <v>1200</v>
      </c>
      <c r="CA2905" t="s">
        <v>605</v>
      </c>
      <c r="CC2905" t="s">
        <v>76</v>
      </c>
      <c r="CD2905">
        <v>1645</v>
      </c>
      <c r="CE2905" t="s">
        <v>88</v>
      </c>
      <c r="CF2905" s="3">
        <v>45800</v>
      </c>
      <c r="CI2905">
        <v>1</v>
      </c>
      <c r="CJ2905">
        <v>1</v>
      </c>
      <c r="CK2905">
        <v>22</v>
      </c>
      <c r="CL2905" t="s">
        <v>89</v>
      </c>
    </row>
    <row r="2906" spans="1:90" x14ac:dyDescent="0.3">
      <c r="A2906" t="s">
        <v>72</v>
      </c>
      <c r="B2906" t="s">
        <v>73</v>
      </c>
      <c r="C2906" t="s">
        <v>74</v>
      </c>
      <c r="E2906" t="str">
        <f>"080065513686"</f>
        <v>080065513686</v>
      </c>
      <c r="F2906" s="3">
        <v>45799</v>
      </c>
      <c r="G2906">
        <v>202602</v>
      </c>
      <c r="H2906" t="s">
        <v>75</v>
      </c>
      <c r="I2906" t="s">
        <v>76</v>
      </c>
      <c r="J2906" t="s">
        <v>77</v>
      </c>
      <c r="K2906" t="s">
        <v>78</v>
      </c>
      <c r="L2906" t="s">
        <v>287</v>
      </c>
      <c r="M2906" t="s">
        <v>288</v>
      </c>
      <c r="N2906" t="s">
        <v>289</v>
      </c>
      <c r="O2906" t="s">
        <v>82</v>
      </c>
      <c r="P2906" t="str">
        <f>"4170040162                    "</f>
        <v xml:space="preserve">4170040162                    </v>
      </c>
      <c r="Q2906">
        <v>0</v>
      </c>
      <c r="R2906">
        <v>0</v>
      </c>
      <c r="S2906">
        <v>0</v>
      </c>
      <c r="T2906">
        <v>0</v>
      </c>
      <c r="U2906">
        <v>0</v>
      </c>
      <c r="V2906">
        <v>0</v>
      </c>
      <c r="W2906">
        <v>0</v>
      </c>
      <c r="X2906">
        <v>0</v>
      </c>
      <c r="Y2906">
        <v>0</v>
      </c>
      <c r="Z2906">
        <v>0</v>
      </c>
      <c r="AA2906">
        <v>0</v>
      </c>
      <c r="AB2906">
        <v>0</v>
      </c>
      <c r="AC2906">
        <v>0</v>
      </c>
      <c r="AD2906">
        <v>0</v>
      </c>
      <c r="AE2906">
        <v>0</v>
      </c>
      <c r="AF2906">
        <v>0</v>
      </c>
      <c r="AG2906">
        <v>0</v>
      </c>
      <c r="AH2906">
        <v>0</v>
      </c>
      <c r="AI2906">
        <v>0</v>
      </c>
      <c r="AJ2906">
        <v>0</v>
      </c>
      <c r="AK2906">
        <v>0</v>
      </c>
      <c r="AL2906">
        <v>0</v>
      </c>
      <c r="AM2906">
        <v>0</v>
      </c>
      <c r="AN2906">
        <v>0</v>
      </c>
      <c r="AO2906">
        <v>0</v>
      </c>
      <c r="AP2906">
        <v>0</v>
      </c>
      <c r="AQ2906">
        <v>41.43</v>
      </c>
      <c r="AR2906">
        <v>0</v>
      </c>
      <c r="AS2906">
        <v>0</v>
      </c>
      <c r="AT2906">
        <v>0</v>
      </c>
      <c r="AU2906">
        <v>0</v>
      </c>
      <c r="AV2906">
        <v>0</v>
      </c>
      <c r="AW2906">
        <v>0</v>
      </c>
      <c r="AX2906">
        <v>0</v>
      </c>
      <c r="AY2906">
        <v>0</v>
      </c>
      <c r="AZ2906">
        <v>0</v>
      </c>
      <c r="BA2906">
        <v>0</v>
      </c>
      <c r="BB2906">
        <v>0</v>
      </c>
      <c r="BC2906">
        <v>0</v>
      </c>
      <c r="BD2906">
        <v>0</v>
      </c>
      <c r="BE2906">
        <v>0</v>
      </c>
      <c r="BF2906">
        <v>0</v>
      </c>
      <c r="BG2906">
        <v>0</v>
      </c>
      <c r="BH2906">
        <v>1</v>
      </c>
      <c r="BI2906">
        <v>1</v>
      </c>
      <c r="BJ2906">
        <v>0.2</v>
      </c>
      <c r="BK2906">
        <v>1</v>
      </c>
      <c r="BL2906">
        <v>135.59</v>
      </c>
      <c r="BM2906">
        <v>20.34</v>
      </c>
      <c r="BN2906">
        <v>155.93</v>
      </c>
      <c r="BO2906">
        <v>155.93</v>
      </c>
      <c r="BQ2906" t="s">
        <v>290</v>
      </c>
      <c r="BR2906" t="s">
        <v>84</v>
      </c>
      <c r="BS2906" s="3">
        <v>45800</v>
      </c>
      <c r="BT2906" s="4">
        <v>0.50208333333333333</v>
      </c>
      <c r="BU2906" t="s">
        <v>291</v>
      </c>
      <c r="BV2906" t="s">
        <v>86</v>
      </c>
      <c r="BY2906">
        <v>1200</v>
      </c>
      <c r="CA2906" t="s">
        <v>292</v>
      </c>
      <c r="CC2906" t="s">
        <v>288</v>
      </c>
      <c r="CD2906">
        <v>6715</v>
      </c>
      <c r="CE2906" t="s">
        <v>88</v>
      </c>
      <c r="CF2906" s="3">
        <v>45803</v>
      </c>
      <c r="CI2906">
        <v>2</v>
      </c>
      <c r="CJ2906">
        <v>1</v>
      </c>
      <c r="CK2906">
        <v>23</v>
      </c>
      <c r="CL2906" t="s">
        <v>89</v>
      </c>
    </row>
    <row r="2907" spans="1:90" x14ac:dyDescent="0.3">
      <c r="A2907" t="s">
        <v>72</v>
      </c>
      <c r="B2907" t="s">
        <v>73</v>
      </c>
      <c r="C2907" t="s">
        <v>74</v>
      </c>
      <c r="E2907" t="str">
        <f>"080065513711"</f>
        <v>080065513711</v>
      </c>
      <c r="F2907" s="3">
        <v>45799</v>
      </c>
      <c r="G2907">
        <v>202602</v>
      </c>
      <c r="H2907" t="s">
        <v>75</v>
      </c>
      <c r="I2907" t="s">
        <v>76</v>
      </c>
      <c r="J2907" t="s">
        <v>77</v>
      </c>
      <c r="K2907" t="s">
        <v>78</v>
      </c>
      <c r="L2907" t="s">
        <v>79</v>
      </c>
      <c r="M2907" t="s">
        <v>80</v>
      </c>
      <c r="N2907" t="s">
        <v>357</v>
      </c>
      <c r="O2907" t="s">
        <v>82</v>
      </c>
      <c r="P2907" t="str">
        <f>"4170040168                    "</f>
        <v xml:space="preserve">4170040168                    </v>
      </c>
      <c r="Q2907">
        <v>0</v>
      </c>
      <c r="R2907">
        <v>0</v>
      </c>
      <c r="S2907">
        <v>0</v>
      </c>
      <c r="T2907">
        <v>0</v>
      </c>
      <c r="U2907">
        <v>0</v>
      </c>
      <c r="V2907">
        <v>0</v>
      </c>
      <c r="W2907">
        <v>0</v>
      </c>
      <c r="X2907">
        <v>0</v>
      </c>
      <c r="Y2907">
        <v>0</v>
      </c>
      <c r="Z2907">
        <v>0</v>
      </c>
      <c r="AA2907">
        <v>0</v>
      </c>
      <c r="AB2907">
        <v>0</v>
      </c>
      <c r="AC2907">
        <v>0</v>
      </c>
      <c r="AD2907">
        <v>0</v>
      </c>
      <c r="AE2907">
        <v>0</v>
      </c>
      <c r="AF2907">
        <v>0</v>
      </c>
      <c r="AG2907">
        <v>0</v>
      </c>
      <c r="AH2907">
        <v>0</v>
      </c>
      <c r="AI2907">
        <v>0</v>
      </c>
      <c r="AJ2907">
        <v>0</v>
      </c>
      <c r="AK2907">
        <v>0</v>
      </c>
      <c r="AL2907">
        <v>0</v>
      </c>
      <c r="AM2907">
        <v>0</v>
      </c>
      <c r="AN2907">
        <v>0</v>
      </c>
      <c r="AO2907">
        <v>0</v>
      </c>
      <c r="AP2907">
        <v>0</v>
      </c>
      <c r="AQ2907">
        <v>74.8</v>
      </c>
      <c r="AR2907">
        <v>0</v>
      </c>
      <c r="AS2907">
        <v>0</v>
      </c>
      <c r="AT2907">
        <v>0</v>
      </c>
      <c r="AU2907">
        <v>0</v>
      </c>
      <c r="AV2907">
        <v>0</v>
      </c>
      <c r="AW2907">
        <v>0</v>
      </c>
      <c r="AX2907">
        <v>0</v>
      </c>
      <c r="AY2907">
        <v>0</v>
      </c>
      <c r="AZ2907">
        <v>0</v>
      </c>
      <c r="BA2907">
        <v>0</v>
      </c>
      <c r="BB2907">
        <v>0</v>
      </c>
      <c r="BC2907">
        <v>0</v>
      </c>
      <c r="BD2907">
        <v>0</v>
      </c>
      <c r="BE2907">
        <v>0</v>
      </c>
      <c r="BF2907">
        <v>0</v>
      </c>
      <c r="BG2907">
        <v>0</v>
      </c>
      <c r="BH2907">
        <v>1</v>
      </c>
      <c r="BI2907">
        <v>7</v>
      </c>
      <c r="BJ2907">
        <v>3.6</v>
      </c>
      <c r="BK2907">
        <v>7</v>
      </c>
      <c r="BL2907">
        <v>244.8</v>
      </c>
      <c r="BM2907">
        <v>36.72</v>
      </c>
      <c r="BN2907">
        <v>281.52</v>
      </c>
      <c r="BO2907">
        <v>281.52</v>
      </c>
      <c r="BQ2907" t="s">
        <v>358</v>
      </c>
      <c r="BR2907" t="s">
        <v>84</v>
      </c>
      <c r="BS2907" s="3">
        <v>45800</v>
      </c>
      <c r="BT2907" s="4">
        <v>0.43055555555555558</v>
      </c>
      <c r="BU2907" t="s">
        <v>2643</v>
      </c>
      <c r="BV2907" t="s">
        <v>86</v>
      </c>
      <c r="BY2907">
        <v>18096</v>
      </c>
      <c r="CA2907" t="s">
        <v>87</v>
      </c>
      <c r="CC2907" t="s">
        <v>80</v>
      </c>
      <c r="CD2907">
        <v>3608</v>
      </c>
      <c r="CE2907" t="s">
        <v>96</v>
      </c>
      <c r="CF2907" s="3">
        <v>45800</v>
      </c>
      <c r="CI2907">
        <v>1</v>
      </c>
      <c r="CJ2907">
        <v>1</v>
      </c>
      <c r="CK2907">
        <v>21</v>
      </c>
      <c r="CL2907" t="s">
        <v>89</v>
      </c>
    </row>
    <row r="2908" spans="1:90" x14ac:dyDescent="0.3">
      <c r="A2908" t="s">
        <v>72</v>
      </c>
      <c r="B2908" t="s">
        <v>73</v>
      </c>
      <c r="C2908" t="s">
        <v>74</v>
      </c>
      <c r="E2908" t="str">
        <f>"080065513767"</f>
        <v>080065513767</v>
      </c>
      <c r="F2908" s="3">
        <v>45799</v>
      </c>
      <c r="G2908">
        <v>202602</v>
      </c>
      <c r="H2908" t="s">
        <v>75</v>
      </c>
      <c r="I2908" t="s">
        <v>76</v>
      </c>
      <c r="J2908" t="s">
        <v>77</v>
      </c>
      <c r="K2908" t="s">
        <v>78</v>
      </c>
      <c r="L2908" t="s">
        <v>136</v>
      </c>
      <c r="M2908" t="s">
        <v>137</v>
      </c>
      <c r="N2908" t="s">
        <v>1090</v>
      </c>
      <c r="O2908" t="s">
        <v>300</v>
      </c>
      <c r="P2908" t="str">
        <f>"4170039600                    "</f>
        <v xml:space="preserve">4170039600                    </v>
      </c>
      <c r="Q2908">
        <v>0</v>
      </c>
      <c r="R2908">
        <v>0</v>
      </c>
      <c r="S2908">
        <v>0</v>
      </c>
      <c r="T2908">
        <v>0</v>
      </c>
      <c r="U2908">
        <v>0</v>
      </c>
      <c r="V2908">
        <v>0</v>
      </c>
      <c r="W2908">
        <v>0</v>
      </c>
      <c r="X2908">
        <v>0</v>
      </c>
      <c r="Y2908">
        <v>0</v>
      </c>
      <c r="Z2908">
        <v>0</v>
      </c>
      <c r="AA2908">
        <v>0</v>
      </c>
      <c r="AB2908">
        <v>0</v>
      </c>
      <c r="AC2908">
        <v>0</v>
      </c>
      <c r="AD2908">
        <v>0</v>
      </c>
      <c r="AE2908">
        <v>0</v>
      </c>
      <c r="AF2908">
        <v>0</v>
      </c>
      <c r="AG2908">
        <v>0</v>
      </c>
      <c r="AH2908">
        <v>0</v>
      </c>
      <c r="AI2908">
        <v>0</v>
      </c>
      <c r="AJ2908">
        <v>0</v>
      </c>
      <c r="AK2908">
        <v>0</v>
      </c>
      <c r="AL2908">
        <v>0</v>
      </c>
      <c r="AM2908">
        <v>0</v>
      </c>
      <c r="AN2908">
        <v>0</v>
      </c>
      <c r="AO2908">
        <v>0</v>
      </c>
      <c r="AP2908">
        <v>0</v>
      </c>
      <c r="AQ2908">
        <v>41.35</v>
      </c>
      <c r="AR2908">
        <v>0</v>
      </c>
      <c r="AS2908">
        <v>0</v>
      </c>
      <c r="AT2908">
        <v>0</v>
      </c>
      <c r="AU2908">
        <v>0</v>
      </c>
      <c r="AV2908">
        <v>0</v>
      </c>
      <c r="AW2908">
        <v>0</v>
      </c>
      <c r="AX2908">
        <v>0</v>
      </c>
      <c r="AY2908">
        <v>0</v>
      </c>
      <c r="AZ2908">
        <v>0</v>
      </c>
      <c r="BA2908">
        <v>0</v>
      </c>
      <c r="BB2908">
        <v>0</v>
      </c>
      <c r="BC2908">
        <v>0</v>
      </c>
      <c r="BD2908">
        <v>0</v>
      </c>
      <c r="BE2908">
        <v>0</v>
      </c>
      <c r="BF2908">
        <v>0</v>
      </c>
      <c r="BG2908">
        <v>0</v>
      </c>
      <c r="BH2908">
        <v>1</v>
      </c>
      <c r="BI2908">
        <v>5</v>
      </c>
      <c r="BJ2908">
        <v>1.7</v>
      </c>
      <c r="BK2908">
        <v>5</v>
      </c>
      <c r="BL2908">
        <v>140.9</v>
      </c>
      <c r="BM2908">
        <v>21.14</v>
      </c>
      <c r="BN2908">
        <v>162.04</v>
      </c>
      <c r="BO2908">
        <v>162.04</v>
      </c>
      <c r="BQ2908" t="s">
        <v>1091</v>
      </c>
      <c r="BR2908" t="s">
        <v>84</v>
      </c>
      <c r="BS2908" s="3">
        <v>45800</v>
      </c>
      <c r="BT2908" s="4">
        <v>0.43263888888888891</v>
      </c>
      <c r="BU2908" t="s">
        <v>1719</v>
      </c>
      <c r="BV2908" t="s">
        <v>86</v>
      </c>
      <c r="BY2908">
        <v>8512</v>
      </c>
      <c r="CA2908" t="s">
        <v>2966</v>
      </c>
      <c r="CC2908" t="s">
        <v>137</v>
      </c>
      <c r="CD2908" s="5" t="s">
        <v>738</v>
      </c>
      <c r="CE2908" t="s">
        <v>96</v>
      </c>
      <c r="CF2908" s="3">
        <v>45801</v>
      </c>
      <c r="CI2908">
        <v>1</v>
      </c>
      <c r="CJ2908">
        <v>1</v>
      </c>
      <c r="CK2908">
        <v>41</v>
      </c>
      <c r="CL2908" t="s">
        <v>89</v>
      </c>
    </row>
    <row r="2909" spans="1:90" x14ac:dyDescent="0.3">
      <c r="A2909" t="s">
        <v>72</v>
      </c>
      <c r="B2909" t="s">
        <v>73</v>
      </c>
      <c r="C2909" t="s">
        <v>74</v>
      </c>
      <c r="E2909" t="str">
        <f>"080065513794"</f>
        <v>080065513794</v>
      </c>
      <c r="F2909" s="3">
        <v>45799</v>
      </c>
      <c r="G2909">
        <v>202602</v>
      </c>
      <c r="H2909" t="s">
        <v>75</v>
      </c>
      <c r="I2909" t="s">
        <v>76</v>
      </c>
      <c r="J2909" t="s">
        <v>77</v>
      </c>
      <c r="K2909" t="s">
        <v>78</v>
      </c>
      <c r="L2909" t="s">
        <v>130</v>
      </c>
      <c r="M2909" t="s">
        <v>131</v>
      </c>
      <c r="N2909" t="s">
        <v>897</v>
      </c>
      <c r="O2909" t="s">
        <v>82</v>
      </c>
      <c r="P2909" t="str">
        <f>"4170040071                    "</f>
        <v xml:space="preserve">4170040071                    </v>
      </c>
      <c r="Q2909">
        <v>0</v>
      </c>
      <c r="R2909">
        <v>0</v>
      </c>
      <c r="S2909">
        <v>0</v>
      </c>
      <c r="T2909">
        <v>0</v>
      </c>
      <c r="U2909">
        <v>0</v>
      </c>
      <c r="V2909">
        <v>0</v>
      </c>
      <c r="W2909">
        <v>0</v>
      </c>
      <c r="X2909">
        <v>0</v>
      </c>
      <c r="Y2909">
        <v>0</v>
      </c>
      <c r="Z2909">
        <v>0</v>
      </c>
      <c r="AA2909">
        <v>0</v>
      </c>
      <c r="AB2909">
        <v>0</v>
      </c>
      <c r="AC2909">
        <v>0</v>
      </c>
      <c r="AD2909">
        <v>0</v>
      </c>
      <c r="AE2909">
        <v>0</v>
      </c>
      <c r="AF2909">
        <v>0</v>
      </c>
      <c r="AG2909">
        <v>0</v>
      </c>
      <c r="AH2909">
        <v>0</v>
      </c>
      <c r="AI2909">
        <v>0</v>
      </c>
      <c r="AJ2909">
        <v>0</v>
      </c>
      <c r="AK2909">
        <v>0</v>
      </c>
      <c r="AL2909">
        <v>0</v>
      </c>
      <c r="AM2909">
        <v>0</v>
      </c>
      <c r="AN2909">
        <v>0</v>
      </c>
      <c r="AO2909">
        <v>0</v>
      </c>
      <c r="AP2909">
        <v>0</v>
      </c>
      <c r="AQ2909">
        <v>21.38</v>
      </c>
      <c r="AR2909">
        <v>0</v>
      </c>
      <c r="AS2909">
        <v>0</v>
      </c>
      <c r="AT2909">
        <v>0</v>
      </c>
      <c r="AU2909">
        <v>0</v>
      </c>
      <c r="AV2909">
        <v>0</v>
      </c>
      <c r="AW2909">
        <v>0</v>
      </c>
      <c r="AX2909">
        <v>0</v>
      </c>
      <c r="AY2909">
        <v>0</v>
      </c>
      <c r="AZ2909">
        <v>0</v>
      </c>
      <c r="BA2909">
        <v>0</v>
      </c>
      <c r="BB2909">
        <v>0</v>
      </c>
      <c r="BC2909">
        <v>0</v>
      </c>
      <c r="BD2909">
        <v>0</v>
      </c>
      <c r="BE2909">
        <v>0</v>
      </c>
      <c r="BF2909">
        <v>0</v>
      </c>
      <c r="BG2909">
        <v>0</v>
      </c>
      <c r="BH2909">
        <v>1</v>
      </c>
      <c r="BI2909">
        <v>2</v>
      </c>
      <c r="BJ2909">
        <v>0.6</v>
      </c>
      <c r="BK2909">
        <v>2</v>
      </c>
      <c r="BL2909">
        <v>69.98</v>
      </c>
      <c r="BM2909">
        <v>10.5</v>
      </c>
      <c r="BN2909">
        <v>80.48</v>
      </c>
      <c r="BO2909">
        <v>80.48</v>
      </c>
      <c r="BQ2909" t="s">
        <v>898</v>
      </c>
      <c r="BR2909" t="s">
        <v>84</v>
      </c>
      <c r="BS2909" s="3">
        <v>45800</v>
      </c>
      <c r="BT2909" s="4">
        <v>0.4375</v>
      </c>
      <c r="BU2909" t="s">
        <v>899</v>
      </c>
      <c r="BV2909" t="s">
        <v>86</v>
      </c>
      <c r="BY2909">
        <v>3192</v>
      </c>
      <c r="CC2909" t="s">
        <v>131</v>
      </c>
      <c r="CD2909">
        <v>7550</v>
      </c>
      <c r="CE2909" t="s">
        <v>116</v>
      </c>
      <c r="CF2909" s="3">
        <v>45803</v>
      </c>
      <c r="CI2909">
        <v>1</v>
      </c>
      <c r="CJ2909">
        <v>1</v>
      </c>
      <c r="CK2909">
        <v>21</v>
      </c>
      <c r="CL2909" t="s">
        <v>89</v>
      </c>
    </row>
    <row r="2910" spans="1:90" x14ac:dyDescent="0.3">
      <c r="A2910" t="s">
        <v>72</v>
      </c>
      <c r="B2910" t="s">
        <v>73</v>
      </c>
      <c r="C2910" t="s">
        <v>74</v>
      </c>
      <c r="E2910" t="str">
        <f>"080065513820"</f>
        <v>080065513820</v>
      </c>
      <c r="F2910" s="3">
        <v>45799</v>
      </c>
      <c r="G2910">
        <v>202602</v>
      </c>
      <c r="H2910" t="s">
        <v>75</v>
      </c>
      <c r="I2910" t="s">
        <v>76</v>
      </c>
      <c r="J2910" t="s">
        <v>77</v>
      </c>
      <c r="K2910" t="s">
        <v>78</v>
      </c>
      <c r="L2910" t="s">
        <v>123</v>
      </c>
      <c r="M2910" t="s">
        <v>123</v>
      </c>
      <c r="N2910" t="s">
        <v>766</v>
      </c>
      <c r="O2910" t="s">
        <v>82</v>
      </c>
      <c r="P2910" t="str">
        <f>"4170040130                    "</f>
        <v xml:space="preserve">4170040130                    </v>
      </c>
      <c r="Q2910">
        <v>0</v>
      </c>
      <c r="R2910">
        <v>0</v>
      </c>
      <c r="S2910">
        <v>0</v>
      </c>
      <c r="T2910">
        <v>0</v>
      </c>
      <c r="U2910">
        <v>0</v>
      </c>
      <c r="V2910">
        <v>0</v>
      </c>
      <c r="W2910">
        <v>0</v>
      </c>
      <c r="X2910">
        <v>0</v>
      </c>
      <c r="Y2910">
        <v>0</v>
      </c>
      <c r="Z2910">
        <v>0</v>
      </c>
      <c r="AA2910">
        <v>0</v>
      </c>
      <c r="AB2910">
        <v>0</v>
      </c>
      <c r="AC2910">
        <v>0</v>
      </c>
      <c r="AD2910">
        <v>0</v>
      </c>
      <c r="AE2910">
        <v>0</v>
      </c>
      <c r="AF2910">
        <v>0</v>
      </c>
      <c r="AG2910">
        <v>0</v>
      </c>
      <c r="AH2910">
        <v>0</v>
      </c>
      <c r="AI2910">
        <v>0</v>
      </c>
      <c r="AJ2910">
        <v>0</v>
      </c>
      <c r="AK2910">
        <v>0</v>
      </c>
      <c r="AL2910">
        <v>0</v>
      </c>
      <c r="AM2910">
        <v>0</v>
      </c>
      <c r="AN2910">
        <v>0</v>
      </c>
      <c r="AO2910">
        <v>0</v>
      </c>
      <c r="AP2910">
        <v>0</v>
      </c>
      <c r="AQ2910">
        <v>78.849999999999994</v>
      </c>
      <c r="AR2910">
        <v>0</v>
      </c>
      <c r="AS2910">
        <v>0</v>
      </c>
      <c r="AT2910">
        <v>0</v>
      </c>
      <c r="AU2910">
        <v>0</v>
      </c>
      <c r="AV2910">
        <v>0</v>
      </c>
      <c r="AW2910">
        <v>0</v>
      </c>
      <c r="AX2910">
        <v>0</v>
      </c>
      <c r="AY2910">
        <v>0</v>
      </c>
      <c r="AZ2910">
        <v>0</v>
      </c>
      <c r="BA2910">
        <v>0</v>
      </c>
      <c r="BB2910">
        <v>0</v>
      </c>
      <c r="BC2910">
        <v>0</v>
      </c>
      <c r="BD2910">
        <v>0</v>
      </c>
      <c r="BE2910">
        <v>0</v>
      </c>
      <c r="BF2910">
        <v>0</v>
      </c>
      <c r="BG2910">
        <v>0</v>
      </c>
      <c r="BH2910">
        <v>1</v>
      </c>
      <c r="BI2910">
        <v>4</v>
      </c>
      <c r="BJ2910">
        <v>1.7</v>
      </c>
      <c r="BK2910">
        <v>4</v>
      </c>
      <c r="BL2910">
        <v>258.05</v>
      </c>
      <c r="BM2910">
        <v>38.71</v>
      </c>
      <c r="BN2910">
        <v>296.76</v>
      </c>
      <c r="BO2910">
        <v>296.76</v>
      </c>
      <c r="BQ2910" t="s">
        <v>767</v>
      </c>
      <c r="BR2910" t="s">
        <v>84</v>
      </c>
      <c r="BS2910" s="3">
        <v>45800</v>
      </c>
      <c r="BT2910" s="4">
        <v>0.50972222222222219</v>
      </c>
      <c r="BU2910" t="s">
        <v>768</v>
      </c>
      <c r="BV2910" t="s">
        <v>86</v>
      </c>
      <c r="BY2910">
        <v>8512</v>
      </c>
      <c r="CA2910" t="s">
        <v>128</v>
      </c>
      <c r="CC2910" t="s">
        <v>123</v>
      </c>
      <c r="CD2910">
        <v>7646</v>
      </c>
      <c r="CE2910" t="s">
        <v>116</v>
      </c>
      <c r="CF2910" s="3">
        <v>45803</v>
      </c>
      <c r="CI2910">
        <v>1</v>
      </c>
      <c r="CJ2910">
        <v>1</v>
      </c>
      <c r="CK2910">
        <v>23</v>
      </c>
      <c r="CL2910" t="s">
        <v>89</v>
      </c>
    </row>
    <row r="2911" spans="1:90" x14ac:dyDescent="0.3">
      <c r="A2911" t="s">
        <v>72</v>
      </c>
      <c r="B2911" t="s">
        <v>73</v>
      </c>
      <c r="C2911" t="s">
        <v>74</v>
      </c>
      <c r="E2911" t="str">
        <f>"080065513847"</f>
        <v>080065513847</v>
      </c>
      <c r="F2911" s="3">
        <v>45799</v>
      </c>
      <c r="G2911">
        <v>202602</v>
      </c>
      <c r="H2911" t="s">
        <v>75</v>
      </c>
      <c r="I2911" t="s">
        <v>76</v>
      </c>
      <c r="J2911" t="s">
        <v>77</v>
      </c>
      <c r="K2911" t="s">
        <v>78</v>
      </c>
      <c r="L2911" t="s">
        <v>103</v>
      </c>
      <c r="M2911" t="s">
        <v>104</v>
      </c>
      <c r="N2911" t="s">
        <v>228</v>
      </c>
      <c r="O2911" t="s">
        <v>82</v>
      </c>
      <c r="P2911" t="str">
        <f>"4170040074                    "</f>
        <v xml:space="preserve">4170040074                    </v>
      </c>
      <c r="Q2911">
        <v>0</v>
      </c>
      <c r="R2911">
        <v>0</v>
      </c>
      <c r="S2911">
        <v>0</v>
      </c>
      <c r="T2911">
        <v>0</v>
      </c>
      <c r="U2911">
        <v>0</v>
      </c>
      <c r="V2911">
        <v>0</v>
      </c>
      <c r="W2911">
        <v>0</v>
      </c>
      <c r="X2911">
        <v>0</v>
      </c>
      <c r="Y2911">
        <v>0</v>
      </c>
      <c r="Z2911">
        <v>0</v>
      </c>
      <c r="AA2911">
        <v>0</v>
      </c>
      <c r="AB2911">
        <v>0</v>
      </c>
      <c r="AC2911">
        <v>0</v>
      </c>
      <c r="AD2911">
        <v>0</v>
      </c>
      <c r="AE2911">
        <v>0</v>
      </c>
      <c r="AF2911">
        <v>0</v>
      </c>
      <c r="AG2911">
        <v>0</v>
      </c>
      <c r="AH2911">
        <v>0</v>
      </c>
      <c r="AI2911">
        <v>0</v>
      </c>
      <c r="AJ2911">
        <v>0</v>
      </c>
      <c r="AK2911">
        <v>0</v>
      </c>
      <c r="AL2911">
        <v>0</v>
      </c>
      <c r="AM2911">
        <v>0</v>
      </c>
      <c r="AN2911">
        <v>0</v>
      </c>
      <c r="AO2911">
        <v>0</v>
      </c>
      <c r="AP2911">
        <v>0</v>
      </c>
      <c r="AQ2911">
        <v>21.38</v>
      </c>
      <c r="AR2911">
        <v>0</v>
      </c>
      <c r="AS2911">
        <v>0</v>
      </c>
      <c r="AT2911">
        <v>0</v>
      </c>
      <c r="AU2911">
        <v>0</v>
      </c>
      <c r="AV2911">
        <v>0</v>
      </c>
      <c r="AW2911">
        <v>16.739999999999998</v>
      </c>
      <c r="AX2911">
        <v>0</v>
      </c>
      <c r="AY2911">
        <v>0</v>
      </c>
      <c r="AZ2911">
        <v>0</v>
      </c>
      <c r="BA2911">
        <v>0</v>
      </c>
      <c r="BB2911">
        <v>0</v>
      </c>
      <c r="BC2911">
        <v>0</v>
      </c>
      <c r="BD2911">
        <v>0</v>
      </c>
      <c r="BE2911">
        <v>0</v>
      </c>
      <c r="BF2911">
        <v>0</v>
      </c>
      <c r="BG2911">
        <v>0</v>
      </c>
      <c r="BH2911">
        <v>1</v>
      </c>
      <c r="BI2911">
        <v>2</v>
      </c>
      <c r="BJ2911">
        <v>1.1000000000000001</v>
      </c>
      <c r="BK2911">
        <v>2</v>
      </c>
      <c r="BL2911">
        <v>86.72</v>
      </c>
      <c r="BM2911">
        <v>13.01</v>
      </c>
      <c r="BN2911">
        <v>99.73</v>
      </c>
      <c r="BO2911">
        <v>99.73</v>
      </c>
      <c r="BQ2911" t="s">
        <v>229</v>
      </c>
      <c r="BR2911" t="s">
        <v>84</v>
      </c>
      <c r="BS2911" s="3">
        <v>45800</v>
      </c>
      <c r="BT2911" s="4">
        <v>0.41666666666666669</v>
      </c>
      <c r="BU2911" t="s">
        <v>324</v>
      </c>
      <c r="BV2911" t="s">
        <v>86</v>
      </c>
      <c r="BY2911">
        <v>5640</v>
      </c>
      <c r="BZ2911" t="s">
        <v>30</v>
      </c>
      <c r="CA2911" t="s">
        <v>945</v>
      </c>
      <c r="CC2911" t="s">
        <v>104</v>
      </c>
      <c r="CD2911">
        <v>3699</v>
      </c>
      <c r="CE2911" t="s">
        <v>116</v>
      </c>
      <c r="CF2911" s="3">
        <v>45800</v>
      </c>
      <c r="CI2911">
        <v>1</v>
      </c>
      <c r="CJ2911">
        <v>1</v>
      </c>
      <c r="CK2911">
        <v>21</v>
      </c>
      <c r="CL2911" t="s">
        <v>89</v>
      </c>
    </row>
    <row r="2912" spans="1:90" x14ac:dyDescent="0.3">
      <c r="A2912" t="s">
        <v>72</v>
      </c>
      <c r="B2912" t="s">
        <v>73</v>
      </c>
      <c r="C2912" t="s">
        <v>74</v>
      </c>
      <c r="E2912" t="str">
        <f>"080065513884"</f>
        <v>080065513884</v>
      </c>
      <c r="F2912" s="3">
        <v>45799</v>
      </c>
      <c r="G2912">
        <v>202602</v>
      </c>
      <c r="H2912" t="s">
        <v>75</v>
      </c>
      <c r="I2912" t="s">
        <v>76</v>
      </c>
      <c r="J2912" t="s">
        <v>77</v>
      </c>
      <c r="K2912" t="s">
        <v>78</v>
      </c>
      <c r="L2912" t="s">
        <v>90</v>
      </c>
      <c r="M2912" t="s">
        <v>91</v>
      </c>
      <c r="N2912" t="s">
        <v>543</v>
      </c>
      <c r="O2912" t="s">
        <v>82</v>
      </c>
      <c r="P2912" t="str">
        <f>"4170040139                    "</f>
        <v xml:space="preserve">4170040139                    </v>
      </c>
      <c r="Q2912">
        <v>0</v>
      </c>
      <c r="R2912">
        <v>0</v>
      </c>
      <c r="S2912">
        <v>0</v>
      </c>
      <c r="T2912">
        <v>0</v>
      </c>
      <c r="U2912">
        <v>0</v>
      </c>
      <c r="V2912">
        <v>0</v>
      </c>
      <c r="W2912">
        <v>0</v>
      </c>
      <c r="X2912">
        <v>0</v>
      </c>
      <c r="Y2912">
        <v>0</v>
      </c>
      <c r="Z2912">
        <v>0</v>
      </c>
      <c r="AA2912">
        <v>0</v>
      </c>
      <c r="AB2912">
        <v>0</v>
      </c>
      <c r="AC2912">
        <v>0</v>
      </c>
      <c r="AD2912">
        <v>0</v>
      </c>
      <c r="AE2912">
        <v>0</v>
      </c>
      <c r="AF2912">
        <v>0</v>
      </c>
      <c r="AG2912">
        <v>0</v>
      </c>
      <c r="AH2912">
        <v>0</v>
      </c>
      <c r="AI2912">
        <v>0</v>
      </c>
      <c r="AJ2912">
        <v>0</v>
      </c>
      <c r="AK2912">
        <v>0</v>
      </c>
      <c r="AL2912">
        <v>0</v>
      </c>
      <c r="AM2912">
        <v>0</v>
      </c>
      <c r="AN2912">
        <v>0</v>
      </c>
      <c r="AO2912">
        <v>0</v>
      </c>
      <c r="AP2912">
        <v>0</v>
      </c>
      <c r="AQ2912">
        <v>21.38</v>
      </c>
      <c r="AR2912">
        <v>0</v>
      </c>
      <c r="AS2912">
        <v>0</v>
      </c>
      <c r="AT2912">
        <v>0</v>
      </c>
      <c r="AU2912">
        <v>0</v>
      </c>
      <c r="AV2912">
        <v>0</v>
      </c>
      <c r="AW2912">
        <v>0</v>
      </c>
      <c r="AX2912">
        <v>0</v>
      </c>
      <c r="AY2912">
        <v>0</v>
      </c>
      <c r="AZ2912">
        <v>0</v>
      </c>
      <c r="BA2912">
        <v>0</v>
      </c>
      <c r="BB2912">
        <v>0</v>
      </c>
      <c r="BC2912">
        <v>0</v>
      </c>
      <c r="BD2912">
        <v>0</v>
      </c>
      <c r="BE2912">
        <v>0</v>
      </c>
      <c r="BF2912">
        <v>0</v>
      </c>
      <c r="BG2912">
        <v>0</v>
      </c>
      <c r="BH2912">
        <v>1</v>
      </c>
      <c r="BI2912">
        <v>1</v>
      </c>
      <c r="BJ2912">
        <v>1.9</v>
      </c>
      <c r="BK2912">
        <v>2</v>
      </c>
      <c r="BL2912">
        <v>69.98</v>
      </c>
      <c r="BM2912">
        <v>10.5</v>
      </c>
      <c r="BN2912">
        <v>80.48</v>
      </c>
      <c r="BO2912">
        <v>80.48</v>
      </c>
      <c r="BQ2912" t="s">
        <v>544</v>
      </c>
      <c r="BR2912" t="s">
        <v>84</v>
      </c>
      <c r="BS2912" s="3">
        <v>45800</v>
      </c>
      <c r="BT2912" s="4">
        <v>0.35347222222222224</v>
      </c>
      <c r="BU2912" t="s">
        <v>1764</v>
      </c>
      <c r="BV2912" t="s">
        <v>86</v>
      </c>
      <c r="BY2912">
        <v>9600</v>
      </c>
      <c r="CA2912" t="s">
        <v>283</v>
      </c>
      <c r="CC2912" t="s">
        <v>91</v>
      </c>
      <c r="CD2912">
        <v>6001</v>
      </c>
      <c r="CE2912" t="s">
        <v>96</v>
      </c>
      <c r="CF2912" s="3">
        <v>45800</v>
      </c>
      <c r="CI2912">
        <v>1</v>
      </c>
      <c r="CJ2912">
        <v>1</v>
      </c>
      <c r="CK2912">
        <v>21</v>
      </c>
      <c r="CL2912" t="s">
        <v>89</v>
      </c>
    </row>
    <row r="2913" spans="1:90" x14ac:dyDescent="0.3">
      <c r="A2913" t="s">
        <v>72</v>
      </c>
      <c r="B2913" t="s">
        <v>73</v>
      </c>
      <c r="C2913" t="s">
        <v>74</v>
      </c>
      <c r="E2913" t="str">
        <f>"080065513927"</f>
        <v>080065513927</v>
      </c>
      <c r="F2913" s="3">
        <v>45799</v>
      </c>
      <c r="G2913">
        <v>202602</v>
      </c>
      <c r="H2913" t="s">
        <v>75</v>
      </c>
      <c r="I2913" t="s">
        <v>76</v>
      </c>
      <c r="J2913" t="s">
        <v>77</v>
      </c>
      <c r="K2913" t="s">
        <v>78</v>
      </c>
      <c r="L2913" t="s">
        <v>350</v>
      </c>
      <c r="M2913" t="s">
        <v>351</v>
      </c>
      <c r="N2913" t="s">
        <v>678</v>
      </c>
      <c r="O2913" t="s">
        <v>82</v>
      </c>
      <c r="P2913" t="str">
        <f>"4170040196                    "</f>
        <v xml:space="preserve">4170040196                    </v>
      </c>
      <c r="Q2913">
        <v>0</v>
      </c>
      <c r="R2913">
        <v>0</v>
      </c>
      <c r="S2913">
        <v>0</v>
      </c>
      <c r="T2913">
        <v>0</v>
      </c>
      <c r="U2913">
        <v>0</v>
      </c>
      <c r="V2913">
        <v>0</v>
      </c>
      <c r="W2913">
        <v>0</v>
      </c>
      <c r="X2913">
        <v>0</v>
      </c>
      <c r="Y2913">
        <v>0</v>
      </c>
      <c r="Z2913">
        <v>0</v>
      </c>
      <c r="AA2913">
        <v>0</v>
      </c>
      <c r="AB2913">
        <v>0</v>
      </c>
      <c r="AC2913">
        <v>0</v>
      </c>
      <c r="AD2913">
        <v>0</v>
      </c>
      <c r="AE2913">
        <v>0</v>
      </c>
      <c r="AF2913">
        <v>0</v>
      </c>
      <c r="AG2913">
        <v>0</v>
      </c>
      <c r="AH2913">
        <v>0</v>
      </c>
      <c r="AI2913">
        <v>0</v>
      </c>
      <c r="AJ2913">
        <v>0</v>
      </c>
      <c r="AK2913">
        <v>0</v>
      </c>
      <c r="AL2913">
        <v>0</v>
      </c>
      <c r="AM2913">
        <v>0</v>
      </c>
      <c r="AN2913">
        <v>0</v>
      </c>
      <c r="AO2913">
        <v>0</v>
      </c>
      <c r="AP2913">
        <v>0</v>
      </c>
      <c r="AQ2913">
        <v>32.07</v>
      </c>
      <c r="AR2913">
        <v>0</v>
      </c>
      <c r="AS2913">
        <v>0</v>
      </c>
      <c r="AT2913">
        <v>0</v>
      </c>
      <c r="AU2913">
        <v>0</v>
      </c>
      <c r="AV2913">
        <v>0</v>
      </c>
      <c r="AW2913">
        <v>0</v>
      </c>
      <c r="AX2913">
        <v>0</v>
      </c>
      <c r="AY2913">
        <v>0</v>
      </c>
      <c r="AZ2913">
        <v>0</v>
      </c>
      <c r="BA2913">
        <v>0</v>
      </c>
      <c r="BB2913">
        <v>0</v>
      </c>
      <c r="BC2913">
        <v>0</v>
      </c>
      <c r="BD2913">
        <v>0</v>
      </c>
      <c r="BE2913">
        <v>0</v>
      </c>
      <c r="BF2913">
        <v>0</v>
      </c>
      <c r="BG2913">
        <v>0</v>
      </c>
      <c r="BH2913">
        <v>1</v>
      </c>
      <c r="BI2913">
        <v>3</v>
      </c>
      <c r="BJ2913">
        <v>2.4</v>
      </c>
      <c r="BK2913">
        <v>3</v>
      </c>
      <c r="BL2913">
        <v>104.95</v>
      </c>
      <c r="BM2913">
        <v>15.74</v>
      </c>
      <c r="BN2913">
        <v>120.69</v>
      </c>
      <c r="BO2913">
        <v>120.69</v>
      </c>
      <c r="BQ2913" t="s">
        <v>679</v>
      </c>
      <c r="BR2913" t="s">
        <v>84</v>
      </c>
      <c r="BS2913" s="3">
        <v>45800</v>
      </c>
      <c r="BT2913" s="4">
        <v>0.34513888888888888</v>
      </c>
      <c r="BU2913" t="s">
        <v>680</v>
      </c>
      <c r="BV2913" t="s">
        <v>86</v>
      </c>
      <c r="BY2913">
        <v>11760</v>
      </c>
      <c r="CA2913" t="s">
        <v>326</v>
      </c>
      <c r="CC2913" t="s">
        <v>351</v>
      </c>
      <c r="CD2913">
        <v>4052</v>
      </c>
      <c r="CE2913" t="s">
        <v>221</v>
      </c>
      <c r="CF2913" s="3">
        <v>45800</v>
      </c>
      <c r="CI2913">
        <v>1</v>
      </c>
      <c r="CJ2913">
        <v>1</v>
      </c>
      <c r="CK2913">
        <v>21</v>
      </c>
      <c r="CL2913" t="s">
        <v>89</v>
      </c>
    </row>
    <row r="2914" spans="1:90" x14ac:dyDescent="0.3">
      <c r="A2914" t="s">
        <v>72</v>
      </c>
      <c r="B2914" t="s">
        <v>73</v>
      </c>
      <c r="C2914" t="s">
        <v>74</v>
      </c>
      <c r="E2914" t="str">
        <f>"080065514390"</f>
        <v>080065514390</v>
      </c>
      <c r="F2914" s="3">
        <v>45799</v>
      </c>
      <c r="G2914">
        <v>202602</v>
      </c>
      <c r="H2914" t="s">
        <v>75</v>
      </c>
      <c r="I2914" t="s">
        <v>76</v>
      </c>
      <c r="J2914" t="s">
        <v>77</v>
      </c>
      <c r="K2914" t="s">
        <v>78</v>
      </c>
      <c r="L2914" t="s">
        <v>90</v>
      </c>
      <c r="M2914" t="s">
        <v>91</v>
      </c>
      <c r="N2914" t="s">
        <v>92</v>
      </c>
      <c r="O2914" t="s">
        <v>300</v>
      </c>
      <c r="P2914" t="str">
        <f>"4170040180                    "</f>
        <v xml:space="preserve">4170040180                    </v>
      </c>
      <c r="Q2914">
        <v>0</v>
      </c>
      <c r="R2914">
        <v>0</v>
      </c>
      <c r="S2914">
        <v>0</v>
      </c>
      <c r="T2914">
        <v>0</v>
      </c>
      <c r="U2914">
        <v>0</v>
      </c>
      <c r="V2914">
        <v>0</v>
      </c>
      <c r="W2914">
        <v>0</v>
      </c>
      <c r="X2914">
        <v>0</v>
      </c>
      <c r="Y2914">
        <v>0</v>
      </c>
      <c r="Z2914">
        <v>0</v>
      </c>
      <c r="AA2914">
        <v>0</v>
      </c>
      <c r="AB2914">
        <v>0</v>
      </c>
      <c r="AC2914">
        <v>0</v>
      </c>
      <c r="AD2914">
        <v>0</v>
      </c>
      <c r="AE2914">
        <v>0</v>
      </c>
      <c r="AF2914">
        <v>0</v>
      </c>
      <c r="AG2914">
        <v>0</v>
      </c>
      <c r="AH2914">
        <v>0</v>
      </c>
      <c r="AI2914">
        <v>0</v>
      </c>
      <c r="AJ2914">
        <v>0</v>
      </c>
      <c r="AK2914">
        <v>0</v>
      </c>
      <c r="AL2914">
        <v>0</v>
      </c>
      <c r="AM2914">
        <v>0</v>
      </c>
      <c r="AN2914">
        <v>0</v>
      </c>
      <c r="AO2914">
        <v>0</v>
      </c>
      <c r="AP2914">
        <v>0</v>
      </c>
      <c r="AQ2914">
        <v>60.13</v>
      </c>
      <c r="AR2914">
        <v>0</v>
      </c>
      <c r="AS2914">
        <v>0</v>
      </c>
      <c r="AT2914">
        <v>0</v>
      </c>
      <c r="AU2914">
        <v>0</v>
      </c>
      <c r="AV2914">
        <v>0</v>
      </c>
      <c r="AW2914">
        <v>0</v>
      </c>
      <c r="AX2914">
        <v>0</v>
      </c>
      <c r="AY2914">
        <v>0</v>
      </c>
      <c r="AZ2914">
        <v>0</v>
      </c>
      <c r="BA2914">
        <v>0</v>
      </c>
      <c r="BB2914">
        <v>0</v>
      </c>
      <c r="BC2914">
        <v>0</v>
      </c>
      <c r="BD2914">
        <v>0</v>
      </c>
      <c r="BE2914">
        <v>0</v>
      </c>
      <c r="BF2914">
        <v>0</v>
      </c>
      <c r="BG2914">
        <v>0</v>
      </c>
      <c r="BH2914">
        <v>2</v>
      </c>
      <c r="BI2914">
        <v>11</v>
      </c>
      <c r="BJ2914">
        <v>25.1</v>
      </c>
      <c r="BK2914">
        <v>26</v>
      </c>
      <c r="BL2914">
        <v>202.36</v>
      </c>
      <c r="BM2914">
        <v>30.35</v>
      </c>
      <c r="BN2914">
        <v>232.71</v>
      </c>
      <c r="BO2914">
        <v>232.71</v>
      </c>
      <c r="BQ2914" t="s">
        <v>93</v>
      </c>
      <c r="BR2914" t="s">
        <v>84</v>
      </c>
      <c r="BS2914" s="3">
        <v>45802</v>
      </c>
      <c r="BT2914" s="4">
        <v>0.44236111111111109</v>
      </c>
      <c r="BU2914" t="s">
        <v>2967</v>
      </c>
      <c r="BV2914" t="s">
        <v>86</v>
      </c>
      <c r="BY2914">
        <v>125353</v>
      </c>
      <c r="CC2914" t="s">
        <v>91</v>
      </c>
      <c r="CD2914">
        <v>6001</v>
      </c>
      <c r="CE2914" t="s">
        <v>96</v>
      </c>
      <c r="CF2914" s="3">
        <v>45803</v>
      </c>
      <c r="CI2914">
        <v>3</v>
      </c>
      <c r="CJ2914">
        <v>1</v>
      </c>
      <c r="CK2914">
        <v>41</v>
      </c>
      <c r="CL2914" t="s">
        <v>89</v>
      </c>
    </row>
    <row r="2915" spans="1:90" x14ac:dyDescent="0.3">
      <c r="A2915" t="s">
        <v>72</v>
      </c>
      <c r="B2915" t="s">
        <v>73</v>
      </c>
      <c r="C2915" t="s">
        <v>74</v>
      </c>
      <c r="E2915" t="str">
        <f>"080065514456"</f>
        <v>080065514456</v>
      </c>
      <c r="F2915" s="3">
        <v>45799</v>
      </c>
      <c r="G2915">
        <v>202602</v>
      </c>
      <c r="H2915" t="s">
        <v>75</v>
      </c>
      <c r="I2915" t="s">
        <v>76</v>
      </c>
      <c r="J2915" t="s">
        <v>77</v>
      </c>
      <c r="K2915" t="s">
        <v>78</v>
      </c>
      <c r="L2915" t="s">
        <v>90</v>
      </c>
      <c r="M2915" t="s">
        <v>91</v>
      </c>
      <c r="N2915" t="s">
        <v>92</v>
      </c>
      <c r="O2915" t="s">
        <v>300</v>
      </c>
      <c r="P2915" t="str">
        <f>"4170040182                    "</f>
        <v xml:space="preserve">4170040182                    </v>
      </c>
      <c r="Q2915">
        <v>0</v>
      </c>
      <c r="R2915">
        <v>0</v>
      </c>
      <c r="S2915">
        <v>0</v>
      </c>
      <c r="T2915">
        <v>0</v>
      </c>
      <c r="U2915">
        <v>0</v>
      </c>
      <c r="V2915">
        <v>0</v>
      </c>
      <c r="W2915">
        <v>0</v>
      </c>
      <c r="X2915">
        <v>0</v>
      </c>
      <c r="Y2915">
        <v>0</v>
      </c>
      <c r="Z2915">
        <v>0</v>
      </c>
      <c r="AA2915">
        <v>0</v>
      </c>
      <c r="AB2915">
        <v>0</v>
      </c>
      <c r="AC2915">
        <v>0</v>
      </c>
      <c r="AD2915">
        <v>0</v>
      </c>
      <c r="AE2915">
        <v>0</v>
      </c>
      <c r="AF2915">
        <v>0</v>
      </c>
      <c r="AG2915">
        <v>0</v>
      </c>
      <c r="AH2915">
        <v>0</v>
      </c>
      <c r="AI2915">
        <v>0</v>
      </c>
      <c r="AJ2915">
        <v>0</v>
      </c>
      <c r="AK2915">
        <v>0</v>
      </c>
      <c r="AL2915">
        <v>0</v>
      </c>
      <c r="AM2915">
        <v>0</v>
      </c>
      <c r="AN2915">
        <v>0</v>
      </c>
      <c r="AO2915">
        <v>0</v>
      </c>
      <c r="AP2915">
        <v>0</v>
      </c>
      <c r="AQ2915">
        <v>53.3</v>
      </c>
      <c r="AR2915">
        <v>0</v>
      </c>
      <c r="AS2915">
        <v>0</v>
      </c>
      <c r="AT2915">
        <v>0</v>
      </c>
      <c r="AU2915">
        <v>0</v>
      </c>
      <c r="AV2915">
        <v>0</v>
      </c>
      <c r="AW2915">
        <v>0</v>
      </c>
      <c r="AX2915">
        <v>0</v>
      </c>
      <c r="AY2915">
        <v>0</v>
      </c>
      <c r="AZ2915">
        <v>0</v>
      </c>
      <c r="BA2915">
        <v>0</v>
      </c>
      <c r="BB2915">
        <v>0</v>
      </c>
      <c r="BC2915">
        <v>0</v>
      </c>
      <c r="BD2915">
        <v>0</v>
      </c>
      <c r="BE2915">
        <v>0</v>
      </c>
      <c r="BF2915">
        <v>0</v>
      </c>
      <c r="BG2915">
        <v>0</v>
      </c>
      <c r="BH2915">
        <v>1</v>
      </c>
      <c r="BI2915">
        <v>9</v>
      </c>
      <c r="BJ2915">
        <v>21.7</v>
      </c>
      <c r="BK2915">
        <v>22</v>
      </c>
      <c r="BL2915">
        <v>180.01</v>
      </c>
      <c r="BM2915">
        <v>27</v>
      </c>
      <c r="BN2915">
        <v>207.01</v>
      </c>
      <c r="BO2915">
        <v>207.01</v>
      </c>
      <c r="BQ2915" t="s">
        <v>93</v>
      </c>
      <c r="BR2915" t="s">
        <v>84</v>
      </c>
      <c r="BS2915" s="3">
        <v>45802</v>
      </c>
      <c r="BT2915" s="4">
        <v>0.44236111111111109</v>
      </c>
      <c r="BU2915" t="s">
        <v>2967</v>
      </c>
      <c r="BV2915" t="s">
        <v>86</v>
      </c>
      <c r="BY2915">
        <v>108388</v>
      </c>
      <c r="CC2915" t="s">
        <v>91</v>
      </c>
      <c r="CD2915">
        <v>6001</v>
      </c>
      <c r="CE2915" t="s">
        <v>96</v>
      </c>
      <c r="CF2915" s="3">
        <v>45803</v>
      </c>
      <c r="CI2915">
        <v>3</v>
      </c>
      <c r="CJ2915">
        <v>1</v>
      </c>
      <c r="CK2915">
        <v>41</v>
      </c>
      <c r="CL2915" t="s">
        <v>89</v>
      </c>
    </row>
    <row r="2916" spans="1:90" x14ac:dyDescent="0.3">
      <c r="A2916" t="s">
        <v>72</v>
      </c>
      <c r="B2916" t="s">
        <v>73</v>
      </c>
      <c r="C2916" t="s">
        <v>74</v>
      </c>
      <c r="E2916" t="str">
        <f>"080065514489"</f>
        <v>080065514489</v>
      </c>
      <c r="F2916" s="3">
        <v>45799</v>
      </c>
      <c r="G2916">
        <v>202602</v>
      </c>
      <c r="H2916" t="s">
        <v>75</v>
      </c>
      <c r="I2916" t="s">
        <v>76</v>
      </c>
      <c r="J2916" t="s">
        <v>77</v>
      </c>
      <c r="K2916" t="s">
        <v>78</v>
      </c>
      <c r="L2916" t="s">
        <v>130</v>
      </c>
      <c r="M2916" t="s">
        <v>131</v>
      </c>
      <c r="N2916" t="s">
        <v>865</v>
      </c>
      <c r="O2916" t="s">
        <v>82</v>
      </c>
      <c r="P2916" t="str">
        <f>"4170040193                    "</f>
        <v xml:space="preserve">4170040193                    </v>
      </c>
      <c r="Q2916">
        <v>0</v>
      </c>
      <c r="R2916">
        <v>0</v>
      </c>
      <c r="S2916">
        <v>0</v>
      </c>
      <c r="T2916">
        <v>0</v>
      </c>
      <c r="U2916">
        <v>0</v>
      </c>
      <c r="V2916">
        <v>0</v>
      </c>
      <c r="W2916">
        <v>0</v>
      </c>
      <c r="X2916">
        <v>0</v>
      </c>
      <c r="Y2916">
        <v>0</v>
      </c>
      <c r="Z2916">
        <v>0</v>
      </c>
      <c r="AA2916">
        <v>0</v>
      </c>
      <c r="AB2916">
        <v>0</v>
      </c>
      <c r="AC2916">
        <v>0</v>
      </c>
      <c r="AD2916">
        <v>0</v>
      </c>
      <c r="AE2916">
        <v>0</v>
      </c>
      <c r="AF2916">
        <v>0</v>
      </c>
      <c r="AG2916">
        <v>0</v>
      </c>
      <c r="AH2916">
        <v>0</v>
      </c>
      <c r="AI2916">
        <v>0</v>
      </c>
      <c r="AJ2916">
        <v>0</v>
      </c>
      <c r="AK2916">
        <v>0</v>
      </c>
      <c r="AL2916">
        <v>0</v>
      </c>
      <c r="AM2916">
        <v>0</v>
      </c>
      <c r="AN2916">
        <v>0</v>
      </c>
      <c r="AO2916">
        <v>0</v>
      </c>
      <c r="AP2916">
        <v>0</v>
      </c>
      <c r="AQ2916">
        <v>117.53</v>
      </c>
      <c r="AR2916">
        <v>0</v>
      </c>
      <c r="AS2916">
        <v>0</v>
      </c>
      <c r="AT2916">
        <v>0</v>
      </c>
      <c r="AU2916">
        <v>0</v>
      </c>
      <c r="AV2916">
        <v>0</v>
      </c>
      <c r="AW2916">
        <v>0</v>
      </c>
      <c r="AX2916">
        <v>0</v>
      </c>
      <c r="AY2916">
        <v>0</v>
      </c>
      <c r="AZ2916">
        <v>0</v>
      </c>
      <c r="BA2916">
        <v>0</v>
      </c>
      <c r="BB2916">
        <v>0</v>
      </c>
      <c r="BC2916">
        <v>0</v>
      </c>
      <c r="BD2916">
        <v>0</v>
      </c>
      <c r="BE2916">
        <v>0</v>
      </c>
      <c r="BF2916">
        <v>0</v>
      </c>
      <c r="BG2916">
        <v>0</v>
      </c>
      <c r="BH2916">
        <v>1</v>
      </c>
      <c r="BI2916">
        <v>11</v>
      </c>
      <c r="BJ2916">
        <v>8.9</v>
      </c>
      <c r="BK2916">
        <v>11</v>
      </c>
      <c r="BL2916">
        <v>384.65</v>
      </c>
      <c r="BM2916">
        <v>57.7</v>
      </c>
      <c r="BN2916">
        <v>442.35</v>
      </c>
      <c r="BO2916">
        <v>442.35</v>
      </c>
      <c r="BQ2916" t="s">
        <v>866</v>
      </c>
      <c r="BR2916" t="s">
        <v>84</v>
      </c>
      <c r="BS2916" s="3">
        <v>45800</v>
      </c>
      <c r="BT2916" s="4">
        <v>0.41805555555555557</v>
      </c>
      <c r="BU2916" t="s">
        <v>2968</v>
      </c>
      <c r="BV2916" t="s">
        <v>86</v>
      </c>
      <c r="BY2916">
        <v>44460</v>
      </c>
      <c r="CA2916" t="s">
        <v>429</v>
      </c>
      <c r="CC2916" t="s">
        <v>131</v>
      </c>
      <c r="CD2916">
        <v>7945</v>
      </c>
      <c r="CE2916" t="s">
        <v>550</v>
      </c>
      <c r="CF2916" s="3">
        <v>45803</v>
      </c>
      <c r="CI2916">
        <v>1</v>
      </c>
      <c r="CJ2916">
        <v>1</v>
      </c>
      <c r="CK2916">
        <v>21</v>
      </c>
      <c r="CL2916" t="s">
        <v>89</v>
      </c>
    </row>
    <row r="2917" spans="1:90" x14ac:dyDescent="0.3">
      <c r="A2917" t="s">
        <v>72</v>
      </c>
      <c r="B2917" t="s">
        <v>73</v>
      </c>
      <c r="C2917" t="s">
        <v>74</v>
      </c>
      <c r="E2917" t="str">
        <f>"080065514753"</f>
        <v>080065514753</v>
      </c>
      <c r="F2917" s="3">
        <v>45799</v>
      </c>
      <c r="G2917">
        <v>202602</v>
      </c>
      <c r="H2917" t="s">
        <v>75</v>
      </c>
      <c r="I2917" t="s">
        <v>76</v>
      </c>
      <c r="J2917" t="s">
        <v>77</v>
      </c>
      <c r="K2917" t="s">
        <v>78</v>
      </c>
      <c r="L2917" t="s">
        <v>103</v>
      </c>
      <c r="M2917" t="s">
        <v>104</v>
      </c>
      <c r="N2917" t="s">
        <v>396</v>
      </c>
      <c r="O2917" t="s">
        <v>82</v>
      </c>
      <c r="P2917" t="str">
        <f>"4170040201                    "</f>
        <v xml:space="preserve">4170040201                    </v>
      </c>
      <c r="Q2917">
        <v>0</v>
      </c>
      <c r="R2917">
        <v>0</v>
      </c>
      <c r="S2917">
        <v>0</v>
      </c>
      <c r="T2917">
        <v>0</v>
      </c>
      <c r="U2917">
        <v>0</v>
      </c>
      <c r="V2917">
        <v>0</v>
      </c>
      <c r="W2917">
        <v>0</v>
      </c>
      <c r="X2917">
        <v>0</v>
      </c>
      <c r="Y2917">
        <v>0</v>
      </c>
      <c r="Z2917">
        <v>0</v>
      </c>
      <c r="AA2917">
        <v>0</v>
      </c>
      <c r="AB2917">
        <v>0</v>
      </c>
      <c r="AC2917">
        <v>0</v>
      </c>
      <c r="AD2917">
        <v>0</v>
      </c>
      <c r="AE2917">
        <v>0</v>
      </c>
      <c r="AF2917">
        <v>0</v>
      </c>
      <c r="AG2917">
        <v>0</v>
      </c>
      <c r="AH2917">
        <v>0</v>
      </c>
      <c r="AI2917">
        <v>0</v>
      </c>
      <c r="AJ2917">
        <v>0</v>
      </c>
      <c r="AK2917">
        <v>0</v>
      </c>
      <c r="AL2917">
        <v>0</v>
      </c>
      <c r="AM2917">
        <v>0</v>
      </c>
      <c r="AN2917">
        <v>0</v>
      </c>
      <c r="AO2917">
        <v>0</v>
      </c>
      <c r="AP2917">
        <v>0</v>
      </c>
      <c r="AQ2917">
        <v>74.8</v>
      </c>
      <c r="AR2917">
        <v>0</v>
      </c>
      <c r="AS2917">
        <v>0</v>
      </c>
      <c r="AT2917">
        <v>0</v>
      </c>
      <c r="AU2917">
        <v>0</v>
      </c>
      <c r="AV2917">
        <v>0</v>
      </c>
      <c r="AW2917">
        <v>16.739999999999998</v>
      </c>
      <c r="AX2917">
        <v>0</v>
      </c>
      <c r="AY2917">
        <v>0</v>
      </c>
      <c r="AZ2917">
        <v>0</v>
      </c>
      <c r="BA2917">
        <v>0</v>
      </c>
      <c r="BB2917">
        <v>0</v>
      </c>
      <c r="BC2917">
        <v>0</v>
      </c>
      <c r="BD2917">
        <v>0</v>
      </c>
      <c r="BE2917">
        <v>0</v>
      </c>
      <c r="BF2917">
        <v>0</v>
      </c>
      <c r="BG2917">
        <v>0</v>
      </c>
      <c r="BH2917">
        <v>1</v>
      </c>
      <c r="BI2917">
        <v>7</v>
      </c>
      <c r="BJ2917">
        <v>4.3</v>
      </c>
      <c r="BK2917">
        <v>7</v>
      </c>
      <c r="BL2917">
        <v>261.54000000000002</v>
      </c>
      <c r="BM2917">
        <v>39.229999999999997</v>
      </c>
      <c r="BN2917">
        <v>300.77</v>
      </c>
      <c r="BO2917">
        <v>300.77</v>
      </c>
      <c r="BQ2917" t="s">
        <v>397</v>
      </c>
      <c r="BR2917" t="s">
        <v>84</v>
      </c>
      <c r="BS2917" s="3">
        <v>45800</v>
      </c>
      <c r="BT2917" s="4">
        <v>0.40625</v>
      </c>
      <c r="BU2917" t="s">
        <v>398</v>
      </c>
      <c r="BV2917" t="s">
        <v>86</v>
      </c>
      <c r="BY2917">
        <v>21384</v>
      </c>
      <c r="BZ2917" t="s">
        <v>30</v>
      </c>
      <c r="CA2917" t="s">
        <v>945</v>
      </c>
      <c r="CC2917" t="s">
        <v>104</v>
      </c>
      <c r="CD2917">
        <v>3699</v>
      </c>
      <c r="CE2917" t="s">
        <v>221</v>
      </c>
      <c r="CF2917" s="3">
        <v>45800</v>
      </c>
      <c r="CI2917">
        <v>1</v>
      </c>
      <c r="CJ2917">
        <v>1</v>
      </c>
      <c r="CK2917">
        <v>21</v>
      </c>
      <c r="CL2917" t="s">
        <v>89</v>
      </c>
    </row>
    <row r="2918" spans="1:90" x14ac:dyDescent="0.3">
      <c r="A2918" t="s">
        <v>72</v>
      </c>
      <c r="B2918" t="s">
        <v>73</v>
      </c>
      <c r="C2918" t="s">
        <v>74</v>
      </c>
      <c r="E2918" t="str">
        <f>"080065514758"</f>
        <v>080065514758</v>
      </c>
      <c r="F2918" s="3">
        <v>45799</v>
      </c>
      <c r="G2918">
        <v>202602</v>
      </c>
      <c r="H2918" t="s">
        <v>75</v>
      </c>
      <c r="I2918" t="s">
        <v>76</v>
      </c>
      <c r="J2918" t="s">
        <v>77</v>
      </c>
      <c r="K2918" t="s">
        <v>78</v>
      </c>
      <c r="L2918" t="s">
        <v>130</v>
      </c>
      <c r="M2918" t="s">
        <v>131</v>
      </c>
      <c r="N2918" t="s">
        <v>239</v>
      </c>
      <c r="O2918" t="s">
        <v>82</v>
      </c>
      <c r="P2918" t="str">
        <f>"4170040226                    "</f>
        <v xml:space="preserve">4170040226                    </v>
      </c>
      <c r="Q2918">
        <v>0</v>
      </c>
      <c r="R2918">
        <v>0</v>
      </c>
      <c r="S2918">
        <v>0</v>
      </c>
      <c r="T2918">
        <v>0</v>
      </c>
      <c r="U2918">
        <v>0</v>
      </c>
      <c r="V2918">
        <v>0</v>
      </c>
      <c r="W2918">
        <v>0</v>
      </c>
      <c r="X2918">
        <v>0</v>
      </c>
      <c r="Y2918">
        <v>0</v>
      </c>
      <c r="Z2918">
        <v>0</v>
      </c>
      <c r="AA2918">
        <v>0</v>
      </c>
      <c r="AB2918">
        <v>0</v>
      </c>
      <c r="AC2918">
        <v>0</v>
      </c>
      <c r="AD2918">
        <v>0</v>
      </c>
      <c r="AE2918">
        <v>0</v>
      </c>
      <c r="AF2918">
        <v>0</v>
      </c>
      <c r="AG2918">
        <v>0</v>
      </c>
      <c r="AH2918">
        <v>0</v>
      </c>
      <c r="AI2918">
        <v>0</v>
      </c>
      <c r="AJ2918">
        <v>0</v>
      </c>
      <c r="AK2918">
        <v>0</v>
      </c>
      <c r="AL2918">
        <v>0</v>
      </c>
      <c r="AM2918">
        <v>0</v>
      </c>
      <c r="AN2918">
        <v>0</v>
      </c>
      <c r="AO2918">
        <v>0</v>
      </c>
      <c r="AP2918">
        <v>0</v>
      </c>
      <c r="AQ2918">
        <v>21.38</v>
      </c>
      <c r="AR2918">
        <v>0</v>
      </c>
      <c r="AS2918">
        <v>0</v>
      </c>
      <c r="AT2918">
        <v>0</v>
      </c>
      <c r="AU2918">
        <v>0</v>
      </c>
      <c r="AV2918">
        <v>0</v>
      </c>
      <c r="AW2918">
        <v>0</v>
      </c>
      <c r="AX2918">
        <v>0</v>
      </c>
      <c r="AY2918">
        <v>0</v>
      </c>
      <c r="AZ2918">
        <v>0</v>
      </c>
      <c r="BA2918">
        <v>0</v>
      </c>
      <c r="BB2918">
        <v>0</v>
      </c>
      <c r="BC2918">
        <v>0</v>
      </c>
      <c r="BD2918">
        <v>0</v>
      </c>
      <c r="BE2918">
        <v>0</v>
      </c>
      <c r="BF2918">
        <v>0</v>
      </c>
      <c r="BG2918">
        <v>0</v>
      </c>
      <c r="BH2918">
        <v>1</v>
      </c>
      <c r="BI2918">
        <v>1</v>
      </c>
      <c r="BJ2918">
        <v>0.2</v>
      </c>
      <c r="BK2918">
        <v>1</v>
      </c>
      <c r="BL2918">
        <v>69.98</v>
      </c>
      <c r="BM2918">
        <v>10.5</v>
      </c>
      <c r="BN2918">
        <v>80.48</v>
      </c>
      <c r="BO2918">
        <v>80.48</v>
      </c>
      <c r="BQ2918" t="s">
        <v>240</v>
      </c>
      <c r="BR2918" t="s">
        <v>84</v>
      </c>
      <c r="BS2918" s="3">
        <v>45800</v>
      </c>
      <c r="BT2918" s="4">
        <v>0.375</v>
      </c>
      <c r="BU2918" t="s">
        <v>2932</v>
      </c>
      <c r="BV2918" t="s">
        <v>86</v>
      </c>
      <c r="BY2918">
        <v>1200</v>
      </c>
      <c r="CA2918" t="s">
        <v>242</v>
      </c>
      <c r="CC2918" t="s">
        <v>131</v>
      </c>
      <c r="CD2918">
        <v>7441</v>
      </c>
      <c r="CE2918" t="s">
        <v>88</v>
      </c>
      <c r="CF2918" s="3">
        <v>45803</v>
      </c>
      <c r="CI2918">
        <v>1</v>
      </c>
      <c r="CJ2918">
        <v>1</v>
      </c>
      <c r="CK2918">
        <v>21</v>
      </c>
      <c r="CL2918" t="s">
        <v>89</v>
      </c>
    </row>
    <row r="2919" spans="1:90" x14ac:dyDescent="0.3">
      <c r="A2919" t="s">
        <v>72</v>
      </c>
      <c r="B2919" t="s">
        <v>73</v>
      </c>
      <c r="C2919" t="s">
        <v>74</v>
      </c>
      <c r="E2919" t="str">
        <f>"080065514773"</f>
        <v>080065514773</v>
      </c>
      <c r="F2919" s="3">
        <v>45799</v>
      </c>
      <c r="G2919">
        <v>202602</v>
      </c>
      <c r="H2919" t="s">
        <v>75</v>
      </c>
      <c r="I2919" t="s">
        <v>76</v>
      </c>
      <c r="J2919" t="s">
        <v>77</v>
      </c>
      <c r="K2919" t="s">
        <v>78</v>
      </c>
      <c r="L2919" t="s">
        <v>90</v>
      </c>
      <c r="M2919" t="s">
        <v>91</v>
      </c>
      <c r="N2919" t="s">
        <v>2796</v>
      </c>
      <c r="O2919" t="s">
        <v>82</v>
      </c>
      <c r="P2919" t="str">
        <f>"4170040153                    "</f>
        <v xml:space="preserve">4170040153                    </v>
      </c>
      <c r="Q2919">
        <v>0</v>
      </c>
      <c r="R2919">
        <v>0</v>
      </c>
      <c r="S2919">
        <v>0</v>
      </c>
      <c r="T2919">
        <v>0</v>
      </c>
      <c r="U2919">
        <v>0</v>
      </c>
      <c r="V2919">
        <v>0</v>
      </c>
      <c r="W2919">
        <v>0</v>
      </c>
      <c r="X2919">
        <v>0</v>
      </c>
      <c r="Y2919">
        <v>0</v>
      </c>
      <c r="Z2919">
        <v>0</v>
      </c>
      <c r="AA2919">
        <v>0</v>
      </c>
      <c r="AB2919">
        <v>0</v>
      </c>
      <c r="AC2919">
        <v>0</v>
      </c>
      <c r="AD2919">
        <v>0</v>
      </c>
      <c r="AE2919">
        <v>0</v>
      </c>
      <c r="AF2919">
        <v>0</v>
      </c>
      <c r="AG2919">
        <v>0</v>
      </c>
      <c r="AH2919">
        <v>0</v>
      </c>
      <c r="AI2919">
        <v>0</v>
      </c>
      <c r="AJ2919">
        <v>0</v>
      </c>
      <c r="AK2919">
        <v>0</v>
      </c>
      <c r="AL2919">
        <v>0</v>
      </c>
      <c r="AM2919">
        <v>0</v>
      </c>
      <c r="AN2919">
        <v>0</v>
      </c>
      <c r="AO2919">
        <v>0</v>
      </c>
      <c r="AP2919">
        <v>0</v>
      </c>
      <c r="AQ2919">
        <v>64.12</v>
      </c>
      <c r="AR2919">
        <v>0</v>
      </c>
      <c r="AS2919">
        <v>0</v>
      </c>
      <c r="AT2919">
        <v>0</v>
      </c>
      <c r="AU2919">
        <v>0</v>
      </c>
      <c r="AV2919">
        <v>0</v>
      </c>
      <c r="AW2919">
        <v>0</v>
      </c>
      <c r="AX2919">
        <v>0</v>
      </c>
      <c r="AY2919">
        <v>0</v>
      </c>
      <c r="AZ2919">
        <v>0</v>
      </c>
      <c r="BA2919">
        <v>0</v>
      </c>
      <c r="BB2919">
        <v>0</v>
      </c>
      <c r="BC2919">
        <v>0</v>
      </c>
      <c r="BD2919">
        <v>0</v>
      </c>
      <c r="BE2919">
        <v>0</v>
      </c>
      <c r="BF2919">
        <v>0</v>
      </c>
      <c r="BG2919">
        <v>0</v>
      </c>
      <c r="BH2919">
        <v>1</v>
      </c>
      <c r="BI2919">
        <v>6</v>
      </c>
      <c r="BJ2919">
        <v>3.4</v>
      </c>
      <c r="BK2919">
        <v>6</v>
      </c>
      <c r="BL2919">
        <v>209.84</v>
      </c>
      <c r="BM2919">
        <v>31.48</v>
      </c>
      <c r="BN2919">
        <v>241.32</v>
      </c>
      <c r="BO2919">
        <v>241.32</v>
      </c>
      <c r="BQ2919" t="s">
        <v>2797</v>
      </c>
      <c r="BR2919" t="s">
        <v>84</v>
      </c>
      <c r="BS2919" s="3">
        <v>45800</v>
      </c>
      <c r="BT2919" s="4">
        <v>0.3972222222222222</v>
      </c>
      <c r="BU2919" t="s">
        <v>2969</v>
      </c>
      <c r="BV2919" t="s">
        <v>86</v>
      </c>
      <c r="BY2919">
        <v>16965</v>
      </c>
      <c r="CA2919" t="s">
        <v>824</v>
      </c>
      <c r="CC2919" t="s">
        <v>91</v>
      </c>
      <c r="CD2919">
        <v>6000</v>
      </c>
      <c r="CE2919" t="s">
        <v>96</v>
      </c>
      <c r="CF2919" s="3">
        <v>45800</v>
      </c>
      <c r="CI2919">
        <v>1</v>
      </c>
      <c r="CJ2919">
        <v>1</v>
      </c>
      <c r="CK2919">
        <v>21</v>
      </c>
      <c r="CL2919" t="s">
        <v>89</v>
      </c>
    </row>
    <row r="2920" spans="1:90" x14ac:dyDescent="0.3">
      <c r="A2920" t="s">
        <v>72</v>
      </c>
      <c r="B2920" t="s">
        <v>73</v>
      </c>
      <c r="C2920" t="s">
        <v>74</v>
      </c>
      <c r="E2920" t="str">
        <f>"080065514804"</f>
        <v>080065514804</v>
      </c>
      <c r="F2920" s="3">
        <v>45799</v>
      </c>
      <c r="G2920">
        <v>202602</v>
      </c>
      <c r="H2920" t="s">
        <v>75</v>
      </c>
      <c r="I2920" t="s">
        <v>76</v>
      </c>
      <c r="J2920" t="s">
        <v>77</v>
      </c>
      <c r="K2920" t="s">
        <v>78</v>
      </c>
      <c r="L2920" t="s">
        <v>130</v>
      </c>
      <c r="M2920" t="s">
        <v>131</v>
      </c>
      <c r="N2920" t="s">
        <v>1533</v>
      </c>
      <c r="O2920" t="s">
        <v>82</v>
      </c>
      <c r="P2920" t="str">
        <f>"4170040155                    "</f>
        <v xml:space="preserve">4170040155                    </v>
      </c>
      <c r="Q2920">
        <v>0</v>
      </c>
      <c r="R2920">
        <v>0</v>
      </c>
      <c r="S2920">
        <v>0</v>
      </c>
      <c r="T2920">
        <v>0</v>
      </c>
      <c r="U2920">
        <v>0</v>
      </c>
      <c r="V2920">
        <v>0</v>
      </c>
      <c r="W2920">
        <v>0</v>
      </c>
      <c r="X2920">
        <v>0</v>
      </c>
      <c r="Y2920">
        <v>0</v>
      </c>
      <c r="Z2920">
        <v>0</v>
      </c>
      <c r="AA2920">
        <v>0</v>
      </c>
      <c r="AB2920">
        <v>0</v>
      </c>
      <c r="AC2920">
        <v>0</v>
      </c>
      <c r="AD2920">
        <v>0</v>
      </c>
      <c r="AE2920">
        <v>0</v>
      </c>
      <c r="AF2920">
        <v>0</v>
      </c>
      <c r="AG2920">
        <v>0</v>
      </c>
      <c r="AH2920">
        <v>0</v>
      </c>
      <c r="AI2920">
        <v>0</v>
      </c>
      <c r="AJ2920">
        <v>0</v>
      </c>
      <c r="AK2920">
        <v>0</v>
      </c>
      <c r="AL2920">
        <v>0</v>
      </c>
      <c r="AM2920">
        <v>0</v>
      </c>
      <c r="AN2920">
        <v>0</v>
      </c>
      <c r="AO2920">
        <v>0</v>
      </c>
      <c r="AP2920">
        <v>0</v>
      </c>
      <c r="AQ2920">
        <v>21.38</v>
      </c>
      <c r="AR2920">
        <v>0</v>
      </c>
      <c r="AS2920">
        <v>0</v>
      </c>
      <c r="AT2920">
        <v>0</v>
      </c>
      <c r="AU2920">
        <v>0</v>
      </c>
      <c r="AV2920">
        <v>0</v>
      </c>
      <c r="AW2920">
        <v>0</v>
      </c>
      <c r="AX2920">
        <v>0</v>
      </c>
      <c r="AY2920">
        <v>0</v>
      </c>
      <c r="AZ2920">
        <v>0</v>
      </c>
      <c r="BA2920">
        <v>0</v>
      </c>
      <c r="BB2920">
        <v>0</v>
      </c>
      <c r="BC2920">
        <v>0</v>
      </c>
      <c r="BD2920">
        <v>0</v>
      </c>
      <c r="BE2920">
        <v>0</v>
      </c>
      <c r="BF2920">
        <v>0</v>
      </c>
      <c r="BG2920">
        <v>0</v>
      </c>
      <c r="BH2920">
        <v>1</v>
      </c>
      <c r="BI2920">
        <v>1</v>
      </c>
      <c r="BJ2920">
        <v>0.2</v>
      </c>
      <c r="BK2920">
        <v>1</v>
      </c>
      <c r="BL2920">
        <v>69.98</v>
      </c>
      <c r="BM2920">
        <v>10.5</v>
      </c>
      <c r="BN2920">
        <v>80.48</v>
      </c>
      <c r="BO2920">
        <v>80.48</v>
      </c>
      <c r="BQ2920" t="s">
        <v>1534</v>
      </c>
      <c r="BR2920" t="s">
        <v>84</v>
      </c>
      <c r="BS2920" s="3">
        <v>45800</v>
      </c>
      <c r="BT2920" s="4">
        <v>0.40972222222222221</v>
      </c>
      <c r="BU2920" t="s">
        <v>2970</v>
      </c>
      <c r="BV2920" t="s">
        <v>86</v>
      </c>
      <c r="BY2920">
        <v>1200</v>
      </c>
      <c r="CA2920" t="s">
        <v>2971</v>
      </c>
      <c r="CC2920" t="s">
        <v>131</v>
      </c>
      <c r="CD2920">
        <v>7490</v>
      </c>
      <c r="CE2920" t="s">
        <v>176</v>
      </c>
      <c r="CF2920" s="3">
        <v>45803</v>
      </c>
      <c r="CI2920">
        <v>1</v>
      </c>
      <c r="CJ2920">
        <v>1</v>
      </c>
      <c r="CK2920">
        <v>21</v>
      </c>
      <c r="CL2920" t="s">
        <v>89</v>
      </c>
    </row>
    <row r="2921" spans="1:90" x14ac:dyDescent="0.3">
      <c r="A2921" t="s">
        <v>72</v>
      </c>
      <c r="B2921" t="s">
        <v>73</v>
      </c>
      <c r="C2921" t="s">
        <v>74</v>
      </c>
      <c r="E2921" t="str">
        <f>"080065514816"</f>
        <v>080065514816</v>
      </c>
      <c r="F2921" s="3">
        <v>45799</v>
      </c>
      <c r="G2921">
        <v>202602</v>
      </c>
      <c r="H2921" t="s">
        <v>75</v>
      </c>
      <c r="I2921" t="s">
        <v>76</v>
      </c>
      <c r="J2921" t="s">
        <v>77</v>
      </c>
      <c r="K2921" t="s">
        <v>78</v>
      </c>
      <c r="L2921" t="s">
        <v>136</v>
      </c>
      <c r="M2921" t="s">
        <v>137</v>
      </c>
      <c r="N2921" t="s">
        <v>1139</v>
      </c>
      <c r="O2921" t="s">
        <v>82</v>
      </c>
      <c r="P2921" t="str">
        <f>"4170040157                    "</f>
        <v xml:space="preserve">4170040157                    </v>
      </c>
      <c r="Q2921">
        <v>0</v>
      </c>
      <c r="R2921">
        <v>0</v>
      </c>
      <c r="S2921">
        <v>0</v>
      </c>
      <c r="T2921">
        <v>0</v>
      </c>
      <c r="U2921">
        <v>0</v>
      </c>
      <c r="V2921">
        <v>0</v>
      </c>
      <c r="W2921">
        <v>0</v>
      </c>
      <c r="X2921">
        <v>0</v>
      </c>
      <c r="Y2921">
        <v>0</v>
      </c>
      <c r="Z2921">
        <v>0</v>
      </c>
      <c r="AA2921">
        <v>0</v>
      </c>
      <c r="AB2921">
        <v>0</v>
      </c>
      <c r="AC2921">
        <v>0</v>
      </c>
      <c r="AD2921">
        <v>0</v>
      </c>
      <c r="AE2921">
        <v>0</v>
      </c>
      <c r="AF2921">
        <v>0</v>
      </c>
      <c r="AG2921">
        <v>0</v>
      </c>
      <c r="AH2921">
        <v>0</v>
      </c>
      <c r="AI2921">
        <v>0</v>
      </c>
      <c r="AJ2921">
        <v>0</v>
      </c>
      <c r="AK2921">
        <v>0</v>
      </c>
      <c r="AL2921">
        <v>0</v>
      </c>
      <c r="AM2921">
        <v>0</v>
      </c>
      <c r="AN2921">
        <v>0</v>
      </c>
      <c r="AO2921">
        <v>0</v>
      </c>
      <c r="AP2921">
        <v>0</v>
      </c>
      <c r="AQ2921">
        <v>21.38</v>
      </c>
      <c r="AR2921">
        <v>0</v>
      </c>
      <c r="AS2921">
        <v>0</v>
      </c>
      <c r="AT2921">
        <v>0</v>
      </c>
      <c r="AU2921">
        <v>0</v>
      </c>
      <c r="AV2921">
        <v>0</v>
      </c>
      <c r="AW2921">
        <v>0</v>
      </c>
      <c r="AX2921">
        <v>0</v>
      </c>
      <c r="AY2921">
        <v>0</v>
      </c>
      <c r="AZ2921">
        <v>0</v>
      </c>
      <c r="BA2921">
        <v>0</v>
      </c>
      <c r="BB2921">
        <v>0</v>
      </c>
      <c r="BC2921">
        <v>0</v>
      </c>
      <c r="BD2921">
        <v>0</v>
      </c>
      <c r="BE2921">
        <v>0</v>
      </c>
      <c r="BF2921">
        <v>0</v>
      </c>
      <c r="BG2921">
        <v>0</v>
      </c>
      <c r="BH2921">
        <v>1</v>
      </c>
      <c r="BI2921">
        <v>1</v>
      </c>
      <c r="BJ2921">
        <v>0.2</v>
      </c>
      <c r="BK2921">
        <v>1</v>
      </c>
      <c r="BL2921">
        <v>69.98</v>
      </c>
      <c r="BM2921">
        <v>10.5</v>
      </c>
      <c r="BN2921">
        <v>80.48</v>
      </c>
      <c r="BO2921">
        <v>80.48</v>
      </c>
      <c r="BQ2921" t="s">
        <v>1140</v>
      </c>
      <c r="BR2921" t="s">
        <v>84</v>
      </c>
      <c r="BS2921" s="3">
        <v>45800</v>
      </c>
      <c r="BT2921" s="4">
        <v>0.37291666666666667</v>
      </c>
      <c r="BU2921" t="s">
        <v>1141</v>
      </c>
      <c r="BV2921" t="s">
        <v>86</v>
      </c>
      <c r="BY2921">
        <v>1200</v>
      </c>
      <c r="CA2921" t="s">
        <v>141</v>
      </c>
      <c r="CC2921" t="s">
        <v>137</v>
      </c>
      <c r="CD2921" s="5" t="s">
        <v>142</v>
      </c>
      <c r="CE2921" t="s">
        <v>176</v>
      </c>
      <c r="CF2921" s="3">
        <v>45800</v>
      </c>
      <c r="CI2921">
        <v>1</v>
      </c>
      <c r="CJ2921">
        <v>1</v>
      </c>
      <c r="CK2921">
        <v>21</v>
      </c>
      <c r="CL2921" t="s">
        <v>89</v>
      </c>
    </row>
    <row r="2922" spans="1:90" x14ac:dyDescent="0.3">
      <c r="A2922" t="s">
        <v>72</v>
      </c>
      <c r="B2922" t="s">
        <v>73</v>
      </c>
      <c r="C2922" t="s">
        <v>74</v>
      </c>
      <c r="E2922" t="str">
        <f>"080065514827"</f>
        <v>080065514827</v>
      </c>
      <c r="F2922" s="3">
        <v>45799</v>
      </c>
      <c r="G2922">
        <v>202602</v>
      </c>
      <c r="H2922" t="s">
        <v>75</v>
      </c>
      <c r="I2922" t="s">
        <v>76</v>
      </c>
      <c r="J2922" t="s">
        <v>77</v>
      </c>
      <c r="K2922" t="s">
        <v>78</v>
      </c>
      <c r="L2922" t="s">
        <v>75</v>
      </c>
      <c r="M2922" t="s">
        <v>76</v>
      </c>
      <c r="N2922" t="s">
        <v>1404</v>
      </c>
      <c r="O2922" t="s">
        <v>602</v>
      </c>
      <c r="P2922" t="str">
        <f>"4170040200                    "</f>
        <v xml:space="preserve">4170040200                    </v>
      </c>
      <c r="Q2922">
        <v>0</v>
      </c>
      <c r="R2922">
        <v>0</v>
      </c>
      <c r="S2922">
        <v>0</v>
      </c>
      <c r="T2922">
        <v>0</v>
      </c>
      <c r="U2922">
        <v>0</v>
      </c>
      <c r="V2922">
        <v>0</v>
      </c>
      <c r="W2922">
        <v>0</v>
      </c>
      <c r="X2922">
        <v>0</v>
      </c>
      <c r="Y2922">
        <v>0</v>
      </c>
      <c r="Z2922">
        <v>0</v>
      </c>
      <c r="AA2922">
        <v>0</v>
      </c>
      <c r="AB2922">
        <v>0</v>
      </c>
      <c r="AC2922">
        <v>0</v>
      </c>
      <c r="AD2922">
        <v>0</v>
      </c>
      <c r="AE2922">
        <v>0</v>
      </c>
      <c r="AF2922">
        <v>0</v>
      </c>
      <c r="AG2922">
        <v>0</v>
      </c>
      <c r="AH2922">
        <v>0</v>
      </c>
      <c r="AI2922">
        <v>0</v>
      </c>
      <c r="AJ2922">
        <v>0</v>
      </c>
      <c r="AK2922">
        <v>0</v>
      </c>
      <c r="AL2922">
        <v>0</v>
      </c>
      <c r="AM2922">
        <v>0</v>
      </c>
      <c r="AN2922">
        <v>0</v>
      </c>
      <c r="AO2922">
        <v>0</v>
      </c>
      <c r="AP2922">
        <v>0</v>
      </c>
      <c r="AQ2922">
        <v>27.95</v>
      </c>
      <c r="AR2922">
        <v>0</v>
      </c>
      <c r="AS2922">
        <v>0</v>
      </c>
      <c r="AT2922">
        <v>0</v>
      </c>
      <c r="AU2922">
        <v>0</v>
      </c>
      <c r="AV2922">
        <v>0</v>
      </c>
      <c r="AW2922">
        <v>0</v>
      </c>
      <c r="AX2922">
        <v>0</v>
      </c>
      <c r="AY2922">
        <v>0</v>
      </c>
      <c r="AZ2922">
        <v>0</v>
      </c>
      <c r="BA2922">
        <v>0</v>
      </c>
      <c r="BB2922">
        <v>0</v>
      </c>
      <c r="BC2922">
        <v>0</v>
      </c>
      <c r="BD2922">
        <v>0</v>
      </c>
      <c r="BE2922">
        <v>0</v>
      </c>
      <c r="BF2922">
        <v>0</v>
      </c>
      <c r="BG2922">
        <v>0</v>
      </c>
      <c r="BH2922">
        <v>1</v>
      </c>
      <c r="BI2922">
        <v>14</v>
      </c>
      <c r="BJ2922">
        <v>4.0999999999999996</v>
      </c>
      <c r="BK2922">
        <v>14</v>
      </c>
      <c r="BL2922">
        <v>91.48</v>
      </c>
      <c r="BM2922">
        <v>13.72</v>
      </c>
      <c r="BN2922">
        <v>105.2</v>
      </c>
      <c r="BO2922">
        <v>105.2</v>
      </c>
      <c r="BQ2922" t="s">
        <v>1405</v>
      </c>
      <c r="BR2922" t="s">
        <v>84</v>
      </c>
      <c r="BS2922" s="3">
        <v>45800</v>
      </c>
      <c r="BT2922" s="4">
        <v>0.3972222222222222</v>
      </c>
      <c r="BU2922" t="s">
        <v>1351</v>
      </c>
      <c r="BV2922" t="s">
        <v>86</v>
      </c>
      <c r="BY2922">
        <v>20358</v>
      </c>
      <c r="CA2922" t="s">
        <v>484</v>
      </c>
      <c r="CC2922" t="s">
        <v>76</v>
      </c>
      <c r="CD2922">
        <v>1601</v>
      </c>
      <c r="CE2922" t="s">
        <v>176</v>
      </c>
      <c r="CF2922" s="3">
        <v>45800</v>
      </c>
      <c r="CI2922">
        <v>1</v>
      </c>
      <c r="CJ2922">
        <v>1</v>
      </c>
      <c r="CK2922">
        <v>32</v>
      </c>
      <c r="CL2922" t="s">
        <v>89</v>
      </c>
    </row>
    <row r="2923" spans="1:90" x14ac:dyDescent="0.3">
      <c r="A2923" t="s">
        <v>72</v>
      </c>
      <c r="B2923" t="s">
        <v>73</v>
      </c>
      <c r="C2923" t="s">
        <v>74</v>
      </c>
      <c r="E2923" t="str">
        <f>"080065514830"</f>
        <v>080065514830</v>
      </c>
      <c r="F2923" s="3">
        <v>45799</v>
      </c>
      <c r="G2923">
        <v>202602</v>
      </c>
      <c r="H2923" t="s">
        <v>75</v>
      </c>
      <c r="I2923" t="s">
        <v>76</v>
      </c>
      <c r="J2923" t="s">
        <v>77</v>
      </c>
      <c r="K2923" t="s">
        <v>78</v>
      </c>
      <c r="L2923" t="s">
        <v>79</v>
      </c>
      <c r="M2923" t="s">
        <v>80</v>
      </c>
      <c r="N2923" t="s">
        <v>452</v>
      </c>
      <c r="O2923" t="s">
        <v>82</v>
      </c>
      <c r="P2923" t="str">
        <f>"4170040039                    "</f>
        <v xml:space="preserve">4170040039                    </v>
      </c>
      <c r="Q2923">
        <v>0</v>
      </c>
      <c r="R2923">
        <v>0</v>
      </c>
      <c r="S2923">
        <v>0</v>
      </c>
      <c r="T2923">
        <v>0</v>
      </c>
      <c r="U2923">
        <v>0</v>
      </c>
      <c r="V2923">
        <v>0</v>
      </c>
      <c r="W2923">
        <v>0</v>
      </c>
      <c r="X2923">
        <v>0</v>
      </c>
      <c r="Y2923">
        <v>0</v>
      </c>
      <c r="Z2923">
        <v>0</v>
      </c>
      <c r="AA2923">
        <v>0</v>
      </c>
      <c r="AB2923">
        <v>0</v>
      </c>
      <c r="AC2923">
        <v>0</v>
      </c>
      <c r="AD2923">
        <v>0</v>
      </c>
      <c r="AE2923">
        <v>0</v>
      </c>
      <c r="AF2923">
        <v>0</v>
      </c>
      <c r="AG2923">
        <v>0</v>
      </c>
      <c r="AH2923">
        <v>0</v>
      </c>
      <c r="AI2923">
        <v>0</v>
      </c>
      <c r="AJ2923">
        <v>0</v>
      </c>
      <c r="AK2923">
        <v>0</v>
      </c>
      <c r="AL2923">
        <v>0</v>
      </c>
      <c r="AM2923">
        <v>0</v>
      </c>
      <c r="AN2923">
        <v>0</v>
      </c>
      <c r="AO2923">
        <v>0</v>
      </c>
      <c r="AP2923">
        <v>0</v>
      </c>
      <c r="AQ2923">
        <v>21.38</v>
      </c>
      <c r="AR2923">
        <v>0</v>
      </c>
      <c r="AS2923">
        <v>0</v>
      </c>
      <c r="AT2923">
        <v>0</v>
      </c>
      <c r="AU2923">
        <v>0</v>
      </c>
      <c r="AV2923">
        <v>0</v>
      </c>
      <c r="AW2923">
        <v>0</v>
      </c>
      <c r="AX2923">
        <v>0</v>
      </c>
      <c r="AY2923">
        <v>0</v>
      </c>
      <c r="AZ2923">
        <v>0</v>
      </c>
      <c r="BA2923">
        <v>0</v>
      </c>
      <c r="BB2923">
        <v>0</v>
      </c>
      <c r="BC2923">
        <v>0</v>
      </c>
      <c r="BD2923">
        <v>0</v>
      </c>
      <c r="BE2923">
        <v>0</v>
      </c>
      <c r="BF2923">
        <v>0</v>
      </c>
      <c r="BG2923">
        <v>0</v>
      </c>
      <c r="BH2923">
        <v>1</v>
      </c>
      <c r="BI2923">
        <v>1</v>
      </c>
      <c r="BJ2923">
        <v>0.2</v>
      </c>
      <c r="BK2923">
        <v>1</v>
      </c>
      <c r="BL2923">
        <v>69.98</v>
      </c>
      <c r="BM2923">
        <v>10.5</v>
      </c>
      <c r="BN2923">
        <v>80.48</v>
      </c>
      <c r="BO2923">
        <v>80.48</v>
      </c>
      <c r="BQ2923" t="s">
        <v>453</v>
      </c>
      <c r="BR2923" t="s">
        <v>84</v>
      </c>
      <c r="BS2923" s="3">
        <v>45800</v>
      </c>
      <c r="BT2923" s="4">
        <v>0.37569444444444444</v>
      </c>
      <c r="BU2923" t="s">
        <v>454</v>
      </c>
      <c r="BV2923" t="s">
        <v>86</v>
      </c>
      <c r="BY2923">
        <v>1200</v>
      </c>
      <c r="CA2923" t="s">
        <v>160</v>
      </c>
      <c r="CC2923" t="s">
        <v>80</v>
      </c>
      <c r="CD2923">
        <v>3610</v>
      </c>
      <c r="CE2923" t="s">
        <v>176</v>
      </c>
      <c r="CF2923" s="3">
        <v>45801</v>
      </c>
      <c r="CI2923">
        <v>1</v>
      </c>
      <c r="CJ2923">
        <v>1</v>
      </c>
      <c r="CK2923">
        <v>21</v>
      </c>
      <c r="CL2923" t="s">
        <v>89</v>
      </c>
    </row>
    <row r="2924" spans="1:90" x14ac:dyDescent="0.3">
      <c r="A2924" t="s">
        <v>72</v>
      </c>
      <c r="B2924" t="s">
        <v>73</v>
      </c>
      <c r="C2924" t="s">
        <v>74</v>
      </c>
      <c r="E2924" t="str">
        <f>"080065514860"</f>
        <v>080065514860</v>
      </c>
      <c r="F2924" s="3">
        <v>45799</v>
      </c>
      <c r="G2924">
        <v>202602</v>
      </c>
      <c r="H2924" t="s">
        <v>75</v>
      </c>
      <c r="I2924" t="s">
        <v>76</v>
      </c>
      <c r="J2924" t="s">
        <v>77</v>
      </c>
      <c r="K2924" t="s">
        <v>78</v>
      </c>
      <c r="L2924" t="s">
        <v>624</v>
      </c>
      <c r="M2924" t="s">
        <v>625</v>
      </c>
      <c r="N2924" t="s">
        <v>626</v>
      </c>
      <c r="O2924" t="s">
        <v>82</v>
      </c>
      <c r="P2924" t="str">
        <f>"4170040055                    "</f>
        <v xml:space="preserve">4170040055                    </v>
      </c>
      <c r="Q2924">
        <v>0</v>
      </c>
      <c r="R2924">
        <v>0</v>
      </c>
      <c r="S2924">
        <v>0</v>
      </c>
      <c r="T2924">
        <v>0</v>
      </c>
      <c r="U2924">
        <v>0</v>
      </c>
      <c r="V2924">
        <v>0</v>
      </c>
      <c r="W2924">
        <v>0</v>
      </c>
      <c r="X2924">
        <v>0</v>
      </c>
      <c r="Y2924">
        <v>0</v>
      </c>
      <c r="Z2924">
        <v>0</v>
      </c>
      <c r="AA2924">
        <v>0</v>
      </c>
      <c r="AB2924">
        <v>0</v>
      </c>
      <c r="AC2924">
        <v>0</v>
      </c>
      <c r="AD2924">
        <v>0</v>
      </c>
      <c r="AE2924">
        <v>0</v>
      </c>
      <c r="AF2924">
        <v>0</v>
      </c>
      <c r="AG2924">
        <v>0</v>
      </c>
      <c r="AH2924">
        <v>0</v>
      </c>
      <c r="AI2924">
        <v>0</v>
      </c>
      <c r="AJ2924">
        <v>0</v>
      </c>
      <c r="AK2924">
        <v>0</v>
      </c>
      <c r="AL2924">
        <v>0</v>
      </c>
      <c r="AM2924">
        <v>0</v>
      </c>
      <c r="AN2924">
        <v>0</v>
      </c>
      <c r="AO2924">
        <v>0</v>
      </c>
      <c r="AP2924">
        <v>0</v>
      </c>
      <c r="AQ2924">
        <v>60.14</v>
      </c>
      <c r="AR2924">
        <v>0</v>
      </c>
      <c r="AS2924">
        <v>0</v>
      </c>
      <c r="AT2924">
        <v>0</v>
      </c>
      <c r="AU2924">
        <v>0</v>
      </c>
      <c r="AV2924">
        <v>0</v>
      </c>
      <c r="AW2924">
        <v>0</v>
      </c>
      <c r="AX2924">
        <v>0</v>
      </c>
      <c r="AY2924">
        <v>0</v>
      </c>
      <c r="AZ2924">
        <v>0</v>
      </c>
      <c r="BA2924">
        <v>0</v>
      </c>
      <c r="BB2924">
        <v>0</v>
      </c>
      <c r="BC2924">
        <v>0</v>
      </c>
      <c r="BD2924">
        <v>0</v>
      </c>
      <c r="BE2924">
        <v>0</v>
      </c>
      <c r="BF2924">
        <v>0</v>
      </c>
      <c r="BG2924">
        <v>0</v>
      </c>
      <c r="BH2924">
        <v>1</v>
      </c>
      <c r="BI2924">
        <v>3</v>
      </c>
      <c r="BJ2924">
        <v>1.5</v>
      </c>
      <c r="BK2924">
        <v>3</v>
      </c>
      <c r="BL2924">
        <v>196.82</v>
      </c>
      <c r="BM2924">
        <v>29.52</v>
      </c>
      <c r="BN2924">
        <v>226.34</v>
      </c>
      <c r="BO2924">
        <v>226.34</v>
      </c>
      <c r="BQ2924" t="s">
        <v>627</v>
      </c>
      <c r="BR2924" t="s">
        <v>84</v>
      </c>
      <c r="BS2924" s="3">
        <v>45800</v>
      </c>
      <c r="BT2924" s="4">
        <v>0.33333333333333331</v>
      </c>
      <c r="BU2924" t="s">
        <v>2972</v>
      </c>
      <c r="BV2924" t="s">
        <v>86</v>
      </c>
      <c r="BY2924">
        <v>7280</v>
      </c>
      <c r="CC2924" t="s">
        <v>625</v>
      </c>
      <c r="CD2924">
        <v>1947</v>
      </c>
      <c r="CE2924" t="s">
        <v>176</v>
      </c>
      <c r="CF2924" s="3">
        <v>45800</v>
      </c>
      <c r="CI2924">
        <v>1</v>
      </c>
      <c r="CJ2924">
        <v>1</v>
      </c>
      <c r="CK2924">
        <v>23</v>
      </c>
      <c r="CL2924" t="s">
        <v>89</v>
      </c>
    </row>
    <row r="2925" spans="1:90" x14ac:dyDescent="0.3">
      <c r="A2925" t="s">
        <v>72</v>
      </c>
      <c r="B2925" t="s">
        <v>73</v>
      </c>
      <c r="C2925" t="s">
        <v>74</v>
      </c>
      <c r="E2925" t="str">
        <f>"080065514859"</f>
        <v>080065514859</v>
      </c>
      <c r="F2925" s="3">
        <v>45799</v>
      </c>
      <c r="G2925">
        <v>202602</v>
      </c>
      <c r="H2925" t="s">
        <v>75</v>
      </c>
      <c r="I2925" t="s">
        <v>76</v>
      </c>
      <c r="J2925" t="s">
        <v>77</v>
      </c>
      <c r="K2925" t="s">
        <v>78</v>
      </c>
      <c r="L2925" t="s">
        <v>130</v>
      </c>
      <c r="M2925" t="s">
        <v>131</v>
      </c>
      <c r="N2925" t="s">
        <v>327</v>
      </c>
      <c r="O2925" t="s">
        <v>82</v>
      </c>
      <c r="P2925" t="str">
        <f>"4170040121                    "</f>
        <v xml:space="preserve">4170040121                    </v>
      </c>
      <c r="Q2925">
        <v>0</v>
      </c>
      <c r="R2925">
        <v>0</v>
      </c>
      <c r="S2925">
        <v>0</v>
      </c>
      <c r="T2925">
        <v>0</v>
      </c>
      <c r="U2925">
        <v>0</v>
      </c>
      <c r="V2925">
        <v>0</v>
      </c>
      <c r="W2925">
        <v>0</v>
      </c>
      <c r="X2925">
        <v>0</v>
      </c>
      <c r="Y2925">
        <v>0</v>
      </c>
      <c r="Z2925">
        <v>0</v>
      </c>
      <c r="AA2925">
        <v>0</v>
      </c>
      <c r="AB2925">
        <v>0</v>
      </c>
      <c r="AC2925">
        <v>0</v>
      </c>
      <c r="AD2925">
        <v>0</v>
      </c>
      <c r="AE2925">
        <v>0</v>
      </c>
      <c r="AF2925">
        <v>0</v>
      </c>
      <c r="AG2925">
        <v>0</v>
      </c>
      <c r="AH2925">
        <v>0</v>
      </c>
      <c r="AI2925">
        <v>0</v>
      </c>
      <c r="AJ2925">
        <v>0</v>
      </c>
      <c r="AK2925">
        <v>0</v>
      </c>
      <c r="AL2925">
        <v>0</v>
      </c>
      <c r="AM2925">
        <v>0</v>
      </c>
      <c r="AN2925">
        <v>0</v>
      </c>
      <c r="AO2925">
        <v>0</v>
      </c>
      <c r="AP2925">
        <v>0</v>
      </c>
      <c r="AQ2925">
        <v>21.38</v>
      </c>
      <c r="AR2925">
        <v>0</v>
      </c>
      <c r="AS2925">
        <v>0</v>
      </c>
      <c r="AT2925">
        <v>0</v>
      </c>
      <c r="AU2925">
        <v>0</v>
      </c>
      <c r="AV2925">
        <v>0</v>
      </c>
      <c r="AW2925">
        <v>0</v>
      </c>
      <c r="AX2925">
        <v>0</v>
      </c>
      <c r="AY2925">
        <v>0</v>
      </c>
      <c r="AZ2925">
        <v>0</v>
      </c>
      <c r="BA2925">
        <v>0</v>
      </c>
      <c r="BB2925">
        <v>0</v>
      </c>
      <c r="BC2925">
        <v>0</v>
      </c>
      <c r="BD2925">
        <v>0</v>
      </c>
      <c r="BE2925">
        <v>0</v>
      </c>
      <c r="BF2925">
        <v>0</v>
      </c>
      <c r="BG2925">
        <v>0</v>
      </c>
      <c r="BH2925">
        <v>1</v>
      </c>
      <c r="BI2925">
        <v>1</v>
      </c>
      <c r="BJ2925">
        <v>0.2</v>
      </c>
      <c r="BK2925">
        <v>1</v>
      </c>
      <c r="BL2925">
        <v>69.98</v>
      </c>
      <c r="BM2925">
        <v>10.5</v>
      </c>
      <c r="BN2925">
        <v>80.48</v>
      </c>
      <c r="BO2925">
        <v>80.48</v>
      </c>
      <c r="BQ2925" t="s">
        <v>328</v>
      </c>
      <c r="BR2925" t="s">
        <v>84</v>
      </c>
      <c r="BS2925" s="3">
        <v>45800</v>
      </c>
      <c r="BT2925" s="4">
        <v>0.3527777777777778</v>
      </c>
      <c r="BU2925" t="s">
        <v>2465</v>
      </c>
      <c r="BV2925" t="s">
        <v>86</v>
      </c>
      <c r="BY2925">
        <v>1200</v>
      </c>
      <c r="CA2925" t="s">
        <v>330</v>
      </c>
      <c r="CC2925" t="s">
        <v>131</v>
      </c>
      <c r="CD2925">
        <v>7480</v>
      </c>
      <c r="CE2925" t="s">
        <v>176</v>
      </c>
      <c r="CF2925" s="3">
        <v>45803</v>
      </c>
      <c r="CI2925">
        <v>1</v>
      </c>
      <c r="CJ2925">
        <v>1</v>
      </c>
      <c r="CK2925">
        <v>21</v>
      </c>
      <c r="CL2925" t="s">
        <v>89</v>
      </c>
    </row>
    <row r="2926" spans="1:90" x14ac:dyDescent="0.3">
      <c r="A2926" t="s">
        <v>72</v>
      </c>
      <c r="B2926" t="s">
        <v>73</v>
      </c>
      <c r="C2926" t="s">
        <v>74</v>
      </c>
      <c r="E2926" t="str">
        <f>"080065514891"</f>
        <v>080065514891</v>
      </c>
      <c r="F2926" s="3">
        <v>45799</v>
      </c>
      <c r="G2926">
        <v>202602</v>
      </c>
      <c r="H2926" t="s">
        <v>75</v>
      </c>
      <c r="I2926" t="s">
        <v>76</v>
      </c>
      <c r="J2926" t="s">
        <v>77</v>
      </c>
      <c r="K2926" t="s">
        <v>78</v>
      </c>
      <c r="L2926" t="s">
        <v>90</v>
      </c>
      <c r="M2926" t="s">
        <v>91</v>
      </c>
      <c r="N2926" t="s">
        <v>92</v>
      </c>
      <c r="O2926" t="s">
        <v>82</v>
      </c>
      <c r="P2926" t="str">
        <f>"4170040123                    "</f>
        <v xml:space="preserve">4170040123                    </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c r="AI2926">
        <v>0</v>
      </c>
      <c r="AJ2926">
        <v>0</v>
      </c>
      <c r="AK2926">
        <v>0</v>
      </c>
      <c r="AL2926">
        <v>0</v>
      </c>
      <c r="AM2926">
        <v>0</v>
      </c>
      <c r="AN2926">
        <v>0</v>
      </c>
      <c r="AO2926">
        <v>0</v>
      </c>
      <c r="AP2926">
        <v>0</v>
      </c>
      <c r="AQ2926">
        <v>21.38</v>
      </c>
      <c r="AR2926">
        <v>0</v>
      </c>
      <c r="AS2926">
        <v>0</v>
      </c>
      <c r="AT2926">
        <v>0</v>
      </c>
      <c r="AU2926">
        <v>0</v>
      </c>
      <c r="AV2926">
        <v>0</v>
      </c>
      <c r="AW2926">
        <v>0</v>
      </c>
      <c r="AX2926">
        <v>0</v>
      </c>
      <c r="AY2926">
        <v>0</v>
      </c>
      <c r="AZ2926">
        <v>0</v>
      </c>
      <c r="BA2926">
        <v>0</v>
      </c>
      <c r="BB2926">
        <v>0</v>
      </c>
      <c r="BC2926">
        <v>0</v>
      </c>
      <c r="BD2926">
        <v>0</v>
      </c>
      <c r="BE2926">
        <v>0</v>
      </c>
      <c r="BF2926">
        <v>0</v>
      </c>
      <c r="BG2926">
        <v>0</v>
      </c>
      <c r="BH2926">
        <v>1</v>
      </c>
      <c r="BI2926">
        <v>1</v>
      </c>
      <c r="BJ2926">
        <v>0.2</v>
      </c>
      <c r="BK2926">
        <v>1</v>
      </c>
      <c r="BL2926">
        <v>69.98</v>
      </c>
      <c r="BM2926">
        <v>10.5</v>
      </c>
      <c r="BN2926">
        <v>80.48</v>
      </c>
      <c r="BO2926">
        <v>80.48</v>
      </c>
      <c r="BQ2926" t="s">
        <v>93</v>
      </c>
      <c r="BR2926" t="s">
        <v>84</v>
      </c>
      <c r="BS2926" s="3">
        <v>45800</v>
      </c>
      <c r="BT2926" s="4">
        <v>0.38611111111111113</v>
      </c>
      <c r="BU2926" t="s">
        <v>94</v>
      </c>
      <c r="BV2926" t="s">
        <v>86</v>
      </c>
      <c r="BY2926">
        <v>1200</v>
      </c>
      <c r="CA2926" t="s">
        <v>95</v>
      </c>
      <c r="CC2926" t="s">
        <v>91</v>
      </c>
      <c r="CD2926">
        <v>6001</v>
      </c>
      <c r="CE2926" t="s">
        <v>176</v>
      </c>
      <c r="CF2926" s="3">
        <v>45800</v>
      </c>
      <c r="CI2926">
        <v>1</v>
      </c>
      <c r="CJ2926">
        <v>1</v>
      </c>
      <c r="CK2926">
        <v>21</v>
      </c>
      <c r="CL2926" t="s">
        <v>89</v>
      </c>
    </row>
    <row r="2927" spans="1:90" x14ac:dyDescent="0.3">
      <c r="A2927" t="s">
        <v>72</v>
      </c>
      <c r="B2927" t="s">
        <v>73</v>
      </c>
      <c r="C2927" t="s">
        <v>74</v>
      </c>
      <c r="E2927" t="str">
        <f>"080065514901"</f>
        <v>080065514901</v>
      </c>
      <c r="F2927" s="3">
        <v>45799</v>
      </c>
      <c r="G2927">
        <v>202602</v>
      </c>
      <c r="H2927" t="s">
        <v>75</v>
      </c>
      <c r="I2927" t="s">
        <v>76</v>
      </c>
      <c r="J2927" t="s">
        <v>77</v>
      </c>
      <c r="K2927" t="s">
        <v>78</v>
      </c>
      <c r="L2927" t="s">
        <v>75</v>
      </c>
      <c r="M2927" t="s">
        <v>76</v>
      </c>
      <c r="N2927" t="s">
        <v>390</v>
      </c>
      <c r="O2927" t="s">
        <v>82</v>
      </c>
      <c r="P2927" t="str">
        <f>"4170040254                    "</f>
        <v xml:space="preserve">4170040254                    </v>
      </c>
      <c r="Q2927">
        <v>0</v>
      </c>
      <c r="R2927">
        <v>0</v>
      </c>
      <c r="S2927">
        <v>0</v>
      </c>
      <c r="T2927">
        <v>0</v>
      </c>
      <c r="U2927">
        <v>0</v>
      </c>
      <c r="V2927">
        <v>0</v>
      </c>
      <c r="W2927">
        <v>0</v>
      </c>
      <c r="X2927">
        <v>0</v>
      </c>
      <c r="Y2927">
        <v>0</v>
      </c>
      <c r="Z2927">
        <v>0</v>
      </c>
      <c r="AA2927">
        <v>0</v>
      </c>
      <c r="AB2927">
        <v>0</v>
      </c>
      <c r="AC2927">
        <v>0</v>
      </c>
      <c r="AD2927">
        <v>0</v>
      </c>
      <c r="AE2927">
        <v>0</v>
      </c>
      <c r="AF2927">
        <v>0</v>
      </c>
      <c r="AG2927">
        <v>0</v>
      </c>
      <c r="AH2927">
        <v>0</v>
      </c>
      <c r="AI2927">
        <v>0</v>
      </c>
      <c r="AJ2927">
        <v>0</v>
      </c>
      <c r="AK2927">
        <v>0</v>
      </c>
      <c r="AL2927">
        <v>0</v>
      </c>
      <c r="AM2927">
        <v>0</v>
      </c>
      <c r="AN2927">
        <v>0</v>
      </c>
      <c r="AO2927">
        <v>0</v>
      </c>
      <c r="AP2927">
        <v>0</v>
      </c>
      <c r="AQ2927">
        <v>16.7</v>
      </c>
      <c r="AR2927">
        <v>0</v>
      </c>
      <c r="AS2927">
        <v>0</v>
      </c>
      <c r="AT2927">
        <v>0</v>
      </c>
      <c r="AU2927">
        <v>0</v>
      </c>
      <c r="AV2927">
        <v>0</v>
      </c>
      <c r="AW2927">
        <v>0</v>
      </c>
      <c r="AX2927">
        <v>0</v>
      </c>
      <c r="AY2927">
        <v>0</v>
      </c>
      <c r="AZ2927">
        <v>0</v>
      </c>
      <c r="BA2927">
        <v>0</v>
      </c>
      <c r="BB2927">
        <v>0</v>
      </c>
      <c r="BC2927">
        <v>0</v>
      </c>
      <c r="BD2927">
        <v>0</v>
      </c>
      <c r="BE2927">
        <v>0</v>
      </c>
      <c r="BF2927">
        <v>0</v>
      </c>
      <c r="BG2927">
        <v>0</v>
      </c>
      <c r="BH2927">
        <v>1</v>
      </c>
      <c r="BI2927">
        <v>5</v>
      </c>
      <c r="BJ2927">
        <v>3.8</v>
      </c>
      <c r="BK2927">
        <v>5</v>
      </c>
      <c r="BL2927">
        <v>54.66</v>
      </c>
      <c r="BM2927">
        <v>8.1999999999999993</v>
      </c>
      <c r="BN2927">
        <v>62.86</v>
      </c>
      <c r="BO2927">
        <v>62.86</v>
      </c>
      <c r="BQ2927" t="s">
        <v>391</v>
      </c>
      <c r="BR2927" t="s">
        <v>84</v>
      </c>
      <c r="BS2927" s="3">
        <v>45800</v>
      </c>
      <c r="BT2927" s="4">
        <v>0.35208333333333336</v>
      </c>
      <c r="BU2927" t="s">
        <v>1660</v>
      </c>
      <c r="BV2927" t="s">
        <v>86</v>
      </c>
      <c r="BY2927">
        <v>19200</v>
      </c>
      <c r="CA2927" t="s">
        <v>115</v>
      </c>
      <c r="CC2927" t="s">
        <v>76</v>
      </c>
      <c r="CD2927">
        <v>1600</v>
      </c>
      <c r="CE2927" t="s">
        <v>176</v>
      </c>
      <c r="CF2927" s="3">
        <v>45800</v>
      </c>
      <c r="CI2927">
        <v>1</v>
      </c>
      <c r="CJ2927">
        <v>1</v>
      </c>
      <c r="CK2927">
        <v>22</v>
      </c>
      <c r="CL2927" t="s">
        <v>89</v>
      </c>
    </row>
    <row r="2928" spans="1:90" x14ac:dyDescent="0.3">
      <c r="A2928" t="s">
        <v>72</v>
      </c>
      <c r="B2928" t="s">
        <v>73</v>
      </c>
      <c r="C2928" t="s">
        <v>74</v>
      </c>
      <c r="E2928" t="str">
        <f>"080065514918"</f>
        <v>080065514918</v>
      </c>
      <c r="F2928" s="3">
        <v>45799</v>
      </c>
      <c r="G2928">
        <v>202602</v>
      </c>
      <c r="H2928" t="s">
        <v>75</v>
      </c>
      <c r="I2928" t="s">
        <v>76</v>
      </c>
      <c r="J2928" t="s">
        <v>77</v>
      </c>
      <c r="K2928" t="s">
        <v>78</v>
      </c>
      <c r="L2928" t="s">
        <v>79</v>
      </c>
      <c r="M2928" t="s">
        <v>80</v>
      </c>
      <c r="N2928" t="s">
        <v>157</v>
      </c>
      <c r="O2928" t="s">
        <v>82</v>
      </c>
      <c r="P2928" t="str">
        <f>"4170040149                    "</f>
        <v xml:space="preserve">4170040149                    </v>
      </c>
      <c r="Q2928">
        <v>0</v>
      </c>
      <c r="R2928">
        <v>0</v>
      </c>
      <c r="S2928">
        <v>0</v>
      </c>
      <c r="T2928">
        <v>0</v>
      </c>
      <c r="U2928">
        <v>0</v>
      </c>
      <c r="V2928">
        <v>0</v>
      </c>
      <c r="W2928">
        <v>0</v>
      </c>
      <c r="X2928">
        <v>0</v>
      </c>
      <c r="Y2928">
        <v>0</v>
      </c>
      <c r="Z2928">
        <v>0</v>
      </c>
      <c r="AA2928">
        <v>0</v>
      </c>
      <c r="AB2928">
        <v>0</v>
      </c>
      <c r="AC2928">
        <v>0</v>
      </c>
      <c r="AD2928">
        <v>0</v>
      </c>
      <c r="AE2928">
        <v>0</v>
      </c>
      <c r="AF2928">
        <v>0</v>
      </c>
      <c r="AG2928">
        <v>0</v>
      </c>
      <c r="AH2928">
        <v>0</v>
      </c>
      <c r="AI2928">
        <v>0</v>
      </c>
      <c r="AJ2928">
        <v>0</v>
      </c>
      <c r="AK2928">
        <v>0</v>
      </c>
      <c r="AL2928">
        <v>0</v>
      </c>
      <c r="AM2928">
        <v>0</v>
      </c>
      <c r="AN2928">
        <v>0</v>
      </c>
      <c r="AO2928">
        <v>0</v>
      </c>
      <c r="AP2928">
        <v>0</v>
      </c>
      <c r="AQ2928">
        <v>21.38</v>
      </c>
      <c r="AR2928">
        <v>0</v>
      </c>
      <c r="AS2928">
        <v>0</v>
      </c>
      <c r="AT2928">
        <v>0</v>
      </c>
      <c r="AU2928">
        <v>0</v>
      </c>
      <c r="AV2928">
        <v>0</v>
      </c>
      <c r="AW2928">
        <v>0</v>
      </c>
      <c r="AX2928">
        <v>0</v>
      </c>
      <c r="AY2928">
        <v>0</v>
      </c>
      <c r="AZ2928">
        <v>0</v>
      </c>
      <c r="BA2928">
        <v>0</v>
      </c>
      <c r="BB2928">
        <v>0</v>
      </c>
      <c r="BC2928">
        <v>0</v>
      </c>
      <c r="BD2928">
        <v>0</v>
      </c>
      <c r="BE2928">
        <v>0</v>
      </c>
      <c r="BF2928">
        <v>0</v>
      </c>
      <c r="BG2928">
        <v>0</v>
      </c>
      <c r="BH2928">
        <v>1</v>
      </c>
      <c r="BI2928">
        <v>1</v>
      </c>
      <c r="BJ2928">
        <v>0.2</v>
      </c>
      <c r="BK2928">
        <v>1</v>
      </c>
      <c r="BL2928">
        <v>69.98</v>
      </c>
      <c r="BM2928">
        <v>10.5</v>
      </c>
      <c r="BN2928">
        <v>80.48</v>
      </c>
      <c r="BO2928">
        <v>80.48</v>
      </c>
      <c r="BQ2928" t="s">
        <v>158</v>
      </c>
      <c r="BR2928" t="s">
        <v>84</v>
      </c>
      <c r="BS2928" s="3">
        <v>45800</v>
      </c>
      <c r="BT2928" s="4">
        <v>0.38541666666666669</v>
      </c>
      <c r="BU2928" t="s">
        <v>159</v>
      </c>
      <c r="BV2928" t="s">
        <v>86</v>
      </c>
      <c r="BY2928">
        <v>1200</v>
      </c>
      <c r="CA2928" t="s">
        <v>160</v>
      </c>
      <c r="CC2928" t="s">
        <v>80</v>
      </c>
      <c r="CD2928">
        <v>3610</v>
      </c>
      <c r="CE2928" t="s">
        <v>176</v>
      </c>
      <c r="CF2928" s="3">
        <v>45801</v>
      </c>
      <c r="CI2928">
        <v>1</v>
      </c>
      <c r="CJ2928">
        <v>1</v>
      </c>
      <c r="CK2928">
        <v>21</v>
      </c>
      <c r="CL2928" t="s">
        <v>89</v>
      </c>
    </row>
    <row r="2929" spans="1:90" x14ac:dyDescent="0.3">
      <c r="A2929" t="s">
        <v>72</v>
      </c>
      <c r="B2929" t="s">
        <v>73</v>
      </c>
      <c r="C2929" t="s">
        <v>74</v>
      </c>
      <c r="E2929" t="str">
        <f>"080065514940"</f>
        <v>080065514940</v>
      </c>
      <c r="F2929" s="3">
        <v>45799</v>
      </c>
      <c r="G2929">
        <v>202602</v>
      </c>
      <c r="H2929" t="s">
        <v>75</v>
      </c>
      <c r="I2929" t="s">
        <v>76</v>
      </c>
      <c r="J2929" t="s">
        <v>77</v>
      </c>
      <c r="K2929" t="s">
        <v>78</v>
      </c>
      <c r="L2929" t="s">
        <v>624</v>
      </c>
      <c r="M2929" t="s">
        <v>625</v>
      </c>
      <c r="N2929" t="s">
        <v>626</v>
      </c>
      <c r="O2929" t="s">
        <v>82</v>
      </c>
      <c r="P2929" t="str">
        <f>"4170040127                    "</f>
        <v xml:space="preserve">4170040127                    </v>
      </c>
      <c r="Q2929">
        <v>0</v>
      </c>
      <c r="R2929">
        <v>0</v>
      </c>
      <c r="S2929">
        <v>0</v>
      </c>
      <c r="T2929">
        <v>0</v>
      </c>
      <c r="U2929">
        <v>0</v>
      </c>
      <c r="V2929">
        <v>0</v>
      </c>
      <c r="W2929">
        <v>0</v>
      </c>
      <c r="X2929">
        <v>0</v>
      </c>
      <c r="Y2929">
        <v>0</v>
      </c>
      <c r="Z2929">
        <v>0</v>
      </c>
      <c r="AA2929">
        <v>0</v>
      </c>
      <c r="AB2929">
        <v>0</v>
      </c>
      <c r="AC2929">
        <v>0</v>
      </c>
      <c r="AD2929">
        <v>0</v>
      </c>
      <c r="AE2929">
        <v>0</v>
      </c>
      <c r="AF2929">
        <v>0</v>
      </c>
      <c r="AG2929">
        <v>0</v>
      </c>
      <c r="AH2929">
        <v>0</v>
      </c>
      <c r="AI2929">
        <v>0</v>
      </c>
      <c r="AJ2929">
        <v>0</v>
      </c>
      <c r="AK2929">
        <v>0</v>
      </c>
      <c r="AL2929">
        <v>0</v>
      </c>
      <c r="AM2929">
        <v>0</v>
      </c>
      <c r="AN2929">
        <v>0</v>
      </c>
      <c r="AO2929">
        <v>0</v>
      </c>
      <c r="AP2929">
        <v>0</v>
      </c>
      <c r="AQ2929">
        <v>41.43</v>
      </c>
      <c r="AR2929">
        <v>0</v>
      </c>
      <c r="AS2929">
        <v>0</v>
      </c>
      <c r="AT2929">
        <v>0</v>
      </c>
      <c r="AU2929">
        <v>0</v>
      </c>
      <c r="AV2929">
        <v>0</v>
      </c>
      <c r="AW2929">
        <v>0</v>
      </c>
      <c r="AX2929">
        <v>0</v>
      </c>
      <c r="AY2929">
        <v>0</v>
      </c>
      <c r="AZ2929">
        <v>0</v>
      </c>
      <c r="BA2929">
        <v>0</v>
      </c>
      <c r="BB2929">
        <v>0</v>
      </c>
      <c r="BC2929">
        <v>0</v>
      </c>
      <c r="BD2929">
        <v>0</v>
      </c>
      <c r="BE2929">
        <v>0</v>
      </c>
      <c r="BF2929">
        <v>0</v>
      </c>
      <c r="BG2929">
        <v>0</v>
      </c>
      <c r="BH2929">
        <v>1</v>
      </c>
      <c r="BI2929">
        <v>2</v>
      </c>
      <c r="BJ2929">
        <v>1.7</v>
      </c>
      <c r="BK2929">
        <v>2</v>
      </c>
      <c r="BL2929">
        <v>135.59</v>
      </c>
      <c r="BM2929">
        <v>20.34</v>
      </c>
      <c r="BN2929">
        <v>155.93</v>
      </c>
      <c r="BO2929">
        <v>155.93</v>
      </c>
      <c r="BQ2929" t="s">
        <v>627</v>
      </c>
      <c r="BR2929" t="s">
        <v>84</v>
      </c>
      <c r="BS2929" s="3">
        <v>45800</v>
      </c>
      <c r="BT2929" s="4">
        <v>0.33333333333333331</v>
      </c>
      <c r="BU2929" t="s">
        <v>2972</v>
      </c>
      <c r="BV2929" t="s">
        <v>86</v>
      </c>
      <c r="BY2929">
        <v>8512</v>
      </c>
      <c r="CC2929" t="s">
        <v>625</v>
      </c>
      <c r="CD2929">
        <v>1947</v>
      </c>
      <c r="CE2929" t="s">
        <v>176</v>
      </c>
      <c r="CF2929" s="3">
        <v>45800</v>
      </c>
      <c r="CI2929">
        <v>1</v>
      </c>
      <c r="CJ2929">
        <v>1</v>
      </c>
      <c r="CK2929">
        <v>23</v>
      </c>
      <c r="CL2929" t="s">
        <v>89</v>
      </c>
    </row>
    <row r="2930" spans="1:90" x14ac:dyDescent="0.3">
      <c r="A2930" t="s">
        <v>72</v>
      </c>
      <c r="B2930" t="s">
        <v>73</v>
      </c>
      <c r="C2930" t="s">
        <v>74</v>
      </c>
      <c r="E2930" t="str">
        <f>"080065514961"</f>
        <v>080065514961</v>
      </c>
      <c r="F2930" s="3">
        <v>45799</v>
      </c>
      <c r="G2930">
        <v>202602</v>
      </c>
      <c r="H2930" t="s">
        <v>75</v>
      </c>
      <c r="I2930" t="s">
        <v>76</v>
      </c>
      <c r="J2930" t="s">
        <v>77</v>
      </c>
      <c r="K2930" t="s">
        <v>78</v>
      </c>
      <c r="L2930" t="s">
        <v>130</v>
      </c>
      <c r="M2930" t="s">
        <v>131</v>
      </c>
      <c r="N2930" t="s">
        <v>1619</v>
      </c>
      <c r="O2930" t="s">
        <v>82</v>
      </c>
      <c r="P2930" t="str">
        <f>"4170040148                    "</f>
        <v xml:space="preserve">4170040148                    </v>
      </c>
      <c r="Q2930">
        <v>0</v>
      </c>
      <c r="R2930">
        <v>0</v>
      </c>
      <c r="S2930">
        <v>0</v>
      </c>
      <c r="T2930">
        <v>0</v>
      </c>
      <c r="U2930">
        <v>0</v>
      </c>
      <c r="V2930">
        <v>0</v>
      </c>
      <c r="W2930">
        <v>0</v>
      </c>
      <c r="X2930">
        <v>0</v>
      </c>
      <c r="Y2930">
        <v>0</v>
      </c>
      <c r="Z2930">
        <v>0</v>
      </c>
      <c r="AA2930">
        <v>0</v>
      </c>
      <c r="AB2930">
        <v>0</v>
      </c>
      <c r="AC2930">
        <v>0</v>
      </c>
      <c r="AD2930">
        <v>0</v>
      </c>
      <c r="AE2930">
        <v>0</v>
      </c>
      <c r="AF2930">
        <v>0</v>
      </c>
      <c r="AG2930">
        <v>0</v>
      </c>
      <c r="AH2930">
        <v>0</v>
      </c>
      <c r="AI2930">
        <v>0</v>
      </c>
      <c r="AJ2930">
        <v>0</v>
      </c>
      <c r="AK2930">
        <v>0</v>
      </c>
      <c r="AL2930">
        <v>0</v>
      </c>
      <c r="AM2930">
        <v>0</v>
      </c>
      <c r="AN2930">
        <v>0</v>
      </c>
      <c r="AO2930">
        <v>0</v>
      </c>
      <c r="AP2930">
        <v>0</v>
      </c>
      <c r="AQ2930">
        <v>21.38</v>
      </c>
      <c r="AR2930">
        <v>0</v>
      </c>
      <c r="AS2930">
        <v>0</v>
      </c>
      <c r="AT2930">
        <v>0</v>
      </c>
      <c r="AU2930">
        <v>0</v>
      </c>
      <c r="AV2930">
        <v>0</v>
      </c>
      <c r="AW2930">
        <v>0</v>
      </c>
      <c r="AX2930">
        <v>0</v>
      </c>
      <c r="AY2930">
        <v>0</v>
      </c>
      <c r="AZ2930">
        <v>0</v>
      </c>
      <c r="BA2930">
        <v>0</v>
      </c>
      <c r="BB2930">
        <v>0</v>
      </c>
      <c r="BC2930">
        <v>0</v>
      </c>
      <c r="BD2930">
        <v>0</v>
      </c>
      <c r="BE2930">
        <v>0</v>
      </c>
      <c r="BF2930">
        <v>0</v>
      </c>
      <c r="BG2930">
        <v>0</v>
      </c>
      <c r="BH2930">
        <v>1</v>
      </c>
      <c r="BI2930">
        <v>1</v>
      </c>
      <c r="BJ2930">
        <v>0.2</v>
      </c>
      <c r="BK2930">
        <v>1</v>
      </c>
      <c r="BL2930">
        <v>69.98</v>
      </c>
      <c r="BM2930">
        <v>10.5</v>
      </c>
      <c r="BN2930">
        <v>80.48</v>
      </c>
      <c r="BO2930">
        <v>80.48</v>
      </c>
      <c r="BQ2930" t="s">
        <v>1620</v>
      </c>
      <c r="BR2930" t="s">
        <v>84</v>
      </c>
      <c r="BS2930" s="3">
        <v>45800</v>
      </c>
      <c r="BT2930" s="4">
        <v>0.3972222222222222</v>
      </c>
      <c r="BU2930" t="s">
        <v>1582</v>
      </c>
      <c r="BV2930" t="s">
        <v>86</v>
      </c>
      <c r="BY2930">
        <v>1200</v>
      </c>
      <c r="CA2930" t="s">
        <v>784</v>
      </c>
      <c r="CC2930" t="s">
        <v>131</v>
      </c>
      <c r="CD2930">
        <v>7405</v>
      </c>
      <c r="CE2930" t="s">
        <v>176</v>
      </c>
      <c r="CF2930" s="3">
        <v>45803</v>
      </c>
      <c r="CI2930">
        <v>1</v>
      </c>
      <c r="CJ2930">
        <v>1</v>
      </c>
      <c r="CK2930">
        <v>21</v>
      </c>
      <c r="CL2930" t="s">
        <v>89</v>
      </c>
    </row>
    <row r="2931" spans="1:90" x14ac:dyDescent="0.3">
      <c r="A2931" t="s">
        <v>72</v>
      </c>
      <c r="B2931" t="s">
        <v>73</v>
      </c>
      <c r="C2931" t="s">
        <v>74</v>
      </c>
      <c r="E2931" t="str">
        <f>"080065515002"</f>
        <v>080065515002</v>
      </c>
      <c r="F2931" s="3">
        <v>45799</v>
      </c>
      <c r="G2931">
        <v>202602</v>
      </c>
      <c r="H2931" t="s">
        <v>75</v>
      </c>
      <c r="I2931" t="s">
        <v>76</v>
      </c>
      <c r="J2931" t="s">
        <v>77</v>
      </c>
      <c r="K2931" t="s">
        <v>78</v>
      </c>
      <c r="L2931" t="s">
        <v>90</v>
      </c>
      <c r="M2931" t="s">
        <v>91</v>
      </c>
      <c r="N2931" t="s">
        <v>385</v>
      </c>
      <c r="O2931" t="s">
        <v>82</v>
      </c>
      <c r="P2931" t="str">
        <f>"4170040160                    "</f>
        <v xml:space="preserve">4170040160                    </v>
      </c>
      <c r="Q2931">
        <v>0</v>
      </c>
      <c r="R2931">
        <v>0</v>
      </c>
      <c r="S2931">
        <v>0</v>
      </c>
      <c r="T2931">
        <v>0</v>
      </c>
      <c r="U2931">
        <v>0</v>
      </c>
      <c r="V2931">
        <v>0</v>
      </c>
      <c r="W2931">
        <v>0</v>
      </c>
      <c r="X2931">
        <v>0</v>
      </c>
      <c r="Y2931">
        <v>0</v>
      </c>
      <c r="Z2931">
        <v>0</v>
      </c>
      <c r="AA2931">
        <v>0</v>
      </c>
      <c r="AB2931">
        <v>0</v>
      </c>
      <c r="AC2931">
        <v>0</v>
      </c>
      <c r="AD2931">
        <v>0</v>
      </c>
      <c r="AE2931">
        <v>0</v>
      </c>
      <c r="AF2931">
        <v>0</v>
      </c>
      <c r="AG2931">
        <v>0</v>
      </c>
      <c r="AH2931">
        <v>0</v>
      </c>
      <c r="AI2931">
        <v>0</v>
      </c>
      <c r="AJ2931">
        <v>0</v>
      </c>
      <c r="AK2931">
        <v>0</v>
      </c>
      <c r="AL2931">
        <v>0</v>
      </c>
      <c r="AM2931">
        <v>0</v>
      </c>
      <c r="AN2931">
        <v>0</v>
      </c>
      <c r="AO2931">
        <v>0</v>
      </c>
      <c r="AP2931">
        <v>0</v>
      </c>
      <c r="AQ2931">
        <v>21.38</v>
      </c>
      <c r="AR2931">
        <v>0</v>
      </c>
      <c r="AS2931">
        <v>0</v>
      </c>
      <c r="AT2931">
        <v>0</v>
      </c>
      <c r="AU2931">
        <v>0</v>
      </c>
      <c r="AV2931">
        <v>0</v>
      </c>
      <c r="AW2931">
        <v>0</v>
      </c>
      <c r="AX2931">
        <v>0</v>
      </c>
      <c r="AY2931">
        <v>0</v>
      </c>
      <c r="AZ2931">
        <v>0</v>
      </c>
      <c r="BA2931">
        <v>0</v>
      </c>
      <c r="BB2931">
        <v>0</v>
      </c>
      <c r="BC2931">
        <v>0</v>
      </c>
      <c r="BD2931">
        <v>0</v>
      </c>
      <c r="BE2931">
        <v>0</v>
      </c>
      <c r="BF2931">
        <v>0</v>
      </c>
      <c r="BG2931">
        <v>0</v>
      </c>
      <c r="BH2931">
        <v>1</v>
      </c>
      <c r="BI2931">
        <v>1</v>
      </c>
      <c r="BJ2931">
        <v>0.2</v>
      </c>
      <c r="BK2931">
        <v>1</v>
      </c>
      <c r="BL2931">
        <v>69.98</v>
      </c>
      <c r="BM2931">
        <v>10.5</v>
      </c>
      <c r="BN2931">
        <v>80.48</v>
      </c>
      <c r="BO2931">
        <v>80.48</v>
      </c>
      <c r="BQ2931" t="s">
        <v>386</v>
      </c>
      <c r="BR2931" t="s">
        <v>84</v>
      </c>
      <c r="BS2931" s="3">
        <v>45800</v>
      </c>
      <c r="BT2931" s="4">
        <v>0.42430555555555555</v>
      </c>
      <c r="BU2931" t="s">
        <v>2961</v>
      </c>
      <c r="BV2931" t="s">
        <v>86</v>
      </c>
      <c r="BY2931">
        <v>1200</v>
      </c>
      <c r="CA2931" t="s">
        <v>95</v>
      </c>
      <c r="CC2931" t="s">
        <v>91</v>
      </c>
      <c r="CD2931">
        <v>6056</v>
      </c>
      <c r="CE2931" t="s">
        <v>176</v>
      </c>
      <c r="CF2931" s="3">
        <v>45800</v>
      </c>
      <c r="CI2931">
        <v>1</v>
      </c>
      <c r="CJ2931">
        <v>1</v>
      </c>
      <c r="CK2931">
        <v>21</v>
      </c>
      <c r="CL2931" t="s">
        <v>89</v>
      </c>
    </row>
    <row r="2932" spans="1:90" x14ac:dyDescent="0.3">
      <c r="A2932" t="s">
        <v>72</v>
      </c>
      <c r="B2932" t="s">
        <v>73</v>
      </c>
      <c r="C2932" t="s">
        <v>74</v>
      </c>
      <c r="E2932" t="str">
        <f>"080065515031"</f>
        <v>080065515031</v>
      </c>
      <c r="F2932" s="3">
        <v>45799</v>
      </c>
      <c r="G2932">
        <v>202602</v>
      </c>
      <c r="H2932" t="s">
        <v>75</v>
      </c>
      <c r="I2932" t="s">
        <v>76</v>
      </c>
      <c r="J2932" t="s">
        <v>77</v>
      </c>
      <c r="K2932" t="s">
        <v>78</v>
      </c>
      <c r="L2932" t="s">
        <v>90</v>
      </c>
      <c r="M2932" t="s">
        <v>91</v>
      </c>
      <c r="N2932" t="s">
        <v>841</v>
      </c>
      <c r="O2932" t="s">
        <v>82</v>
      </c>
      <c r="P2932" t="str">
        <f>"4170040215                    "</f>
        <v xml:space="preserve">4170040215                    </v>
      </c>
      <c r="Q2932">
        <v>0</v>
      </c>
      <c r="R2932">
        <v>0</v>
      </c>
      <c r="S2932">
        <v>0</v>
      </c>
      <c r="T2932">
        <v>0</v>
      </c>
      <c r="U2932">
        <v>0</v>
      </c>
      <c r="V2932">
        <v>0</v>
      </c>
      <c r="W2932">
        <v>0</v>
      </c>
      <c r="X2932">
        <v>0</v>
      </c>
      <c r="Y2932">
        <v>0</v>
      </c>
      <c r="Z2932">
        <v>0</v>
      </c>
      <c r="AA2932">
        <v>0</v>
      </c>
      <c r="AB2932">
        <v>0</v>
      </c>
      <c r="AC2932">
        <v>0</v>
      </c>
      <c r="AD2932">
        <v>0</v>
      </c>
      <c r="AE2932">
        <v>0</v>
      </c>
      <c r="AF2932">
        <v>0</v>
      </c>
      <c r="AG2932">
        <v>0</v>
      </c>
      <c r="AH2932">
        <v>0</v>
      </c>
      <c r="AI2932">
        <v>0</v>
      </c>
      <c r="AJ2932">
        <v>0</v>
      </c>
      <c r="AK2932">
        <v>0</v>
      </c>
      <c r="AL2932">
        <v>0</v>
      </c>
      <c r="AM2932">
        <v>0</v>
      </c>
      <c r="AN2932">
        <v>0</v>
      </c>
      <c r="AO2932">
        <v>0</v>
      </c>
      <c r="AP2932">
        <v>0</v>
      </c>
      <c r="AQ2932">
        <v>21.38</v>
      </c>
      <c r="AR2932">
        <v>0</v>
      </c>
      <c r="AS2932">
        <v>0</v>
      </c>
      <c r="AT2932">
        <v>0</v>
      </c>
      <c r="AU2932">
        <v>0</v>
      </c>
      <c r="AV2932">
        <v>0</v>
      </c>
      <c r="AW2932">
        <v>0</v>
      </c>
      <c r="AX2932">
        <v>0</v>
      </c>
      <c r="AY2932">
        <v>0</v>
      </c>
      <c r="AZ2932">
        <v>0</v>
      </c>
      <c r="BA2932">
        <v>0</v>
      </c>
      <c r="BB2932">
        <v>0</v>
      </c>
      <c r="BC2932">
        <v>0</v>
      </c>
      <c r="BD2932">
        <v>0</v>
      </c>
      <c r="BE2932">
        <v>0</v>
      </c>
      <c r="BF2932">
        <v>0</v>
      </c>
      <c r="BG2932">
        <v>0</v>
      </c>
      <c r="BH2932">
        <v>1</v>
      </c>
      <c r="BI2932">
        <v>1</v>
      </c>
      <c r="BJ2932">
        <v>0.2</v>
      </c>
      <c r="BK2932">
        <v>1</v>
      </c>
      <c r="BL2932">
        <v>69.98</v>
      </c>
      <c r="BM2932">
        <v>10.5</v>
      </c>
      <c r="BN2932">
        <v>80.48</v>
      </c>
      <c r="BO2932">
        <v>80.48</v>
      </c>
      <c r="BQ2932" t="s">
        <v>842</v>
      </c>
      <c r="BR2932" t="s">
        <v>84</v>
      </c>
      <c r="BS2932" s="3">
        <v>45800</v>
      </c>
      <c r="BT2932" s="4">
        <v>0.3923611111111111</v>
      </c>
      <c r="BU2932" t="s">
        <v>2973</v>
      </c>
      <c r="BV2932" t="s">
        <v>86</v>
      </c>
      <c r="BY2932">
        <v>1200</v>
      </c>
      <c r="CA2932" t="s">
        <v>298</v>
      </c>
      <c r="CC2932" t="s">
        <v>91</v>
      </c>
      <c r="CD2932">
        <v>6001</v>
      </c>
      <c r="CE2932" t="s">
        <v>88</v>
      </c>
      <c r="CF2932" s="3">
        <v>45800</v>
      </c>
      <c r="CI2932">
        <v>1</v>
      </c>
      <c r="CJ2932">
        <v>1</v>
      </c>
      <c r="CK2932">
        <v>21</v>
      </c>
      <c r="CL2932" t="s">
        <v>89</v>
      </c>
    </row>
    <row r="2933" spans="1:90" x14ac:dyDescent="0.3">
      <c r="A2933" t="s">
        <v>72</v>
      </c>
      <c r="B2933" t="s">
        <v>73</v>
      </c>
      <c r="C2933" t="s">
        <v>74</v>
      </c>
      <c r="E2933" t="str">
        <f>"080065515033"</f>
        <v>080065515033</v>
      </c>
      <c r="F2933" s="3">
        <v>45799</v>
      </c>
      <c r="G2933">
        <v>202602</v>
      </c>
      <c r="H2933" t="s">
        <v>75</v>
      </c>
      <c r="I2933" t="s">
        <v>76</v>
      </c>
      <c r="J2933" t="s">
        <v>77</v>
      </c>
      <c r="K2933" t="s">
        <v>78</v>
      </c>
      <c r="L2933" t="s">
        <v>350</v>
      </c>
      <c r="M2933" t="s">
        <v>351</v>
      </c>
      <c r="N2933" t="s">
        <v>536</v>
      </c>
      <c r="O2933" t="s">
        <v>82</v>
      </c>
      <c r="P2933" t="str">
        <f>"4170040129                    "</f>
        <v xml:space="preserve">4170040129                    </v>
      </c>
      <c r="Q2933">
        <v>0</v>
      </c>
      <c r="R2933">
        <v>0</v>
      </c>
      <c r="S2933">
        <v>0</v>
      </c>
      <c r="T2933">
        <v>0</v>
      </c>
      <c r="U2933">
        <v>0</v>
      </c>
      <c r="V2933">
        <v>0</v>
      </c>
      <c r="W2933">
        <v>0</v>
      </c>
      <c r="X2933">
        <v>0</v>
      </c>
      <c r="Y2933">
        <v>0</v>
      </c>
      <c r="Z2933">
        <v>0</v>
      </c>
      <c r="AA2933">
        <v>0</v>
      </c>
      <c r="AB2933">
        <v>0</v>
      </c>
      <c r="AC2933">
        <v>0</v>
      </c>
      <c r="AD2933">
        <v>0</v>
      </c>
      <c r="AE2933">
        <v>0</v>
      </c>
      <c r="AF2933">
        <v>0</v>
      </c>
      <c r="AG2933">
        <v>0</v>
      </c>
      <c r="AH2933">
        <v>0</v>
      </c>
      <c r="AI2933">
        <v>0</v>
      </c>
      <c r="AJ2933">
        <v>0</v>
      </c>
      <c r="AK2933">
        <v>0</v>
      </c>
      <c r="AL2933">
        <v>0</v>
      </c>
      <c r="AM2933">
        <v>0</v>
      </c>
      <c r="AN2933">
        <v>0</v>
      </c>
      <c r="AO2933">
        <v>0</v>
      </c>
      <c r="AP2933">
        <v>0</v>
      </c>
      <c r="AQ2933">
        <v>21.38</v>
      </c>
      <c r="AR2933">
        <v>0</v>
      </c>
      <c r="AS2933">
        <v>0</v>
      </c>
      <c r="AT2933">
        <v>0</v>
      </c>
      <c r="AU2933">
        <v>0</v>
      </c>
      <c r="AV2933">
        <v>0</v>
      </c>
      <c r="AW2933">
        <v>0</v>
      </c>
      <c r="AX2933">
        <v>0</v>
      </c>
      <c r="AY2933">
        <v>0</v>
      </c>
      <c r="AZ2933">
        <v>0</v>
      </c>
      <c r="BA2933">
        <v>0</v>
      </c>
      <c r="BB2933">
        <v>0</v>
      </c>
      <c r="BC2933">
        <v>0</v>
      </c>
      <c r="BD2933">
        <v>0</v>
      </c>
      <c r="BE2933">
        <v>0</v>
      </c>
      <c r="BF2933">
        <v>0</v>
      </c>
      <c r="BG2933">
        <v>0</v>
      </c>
      <c r="BH2933">
        <v>1</v>
      </c>
      <c r="BI2933">
        <v>2</v>
      </c>
      <c r="BJ2933">
        <v>0.9</v>
      </c>
      <c r="BK2933">
        <v>2</v>
      </c>
      <c r="BL2933">
        <v>69.98</v>
      </c>
      <c r="BM2933">
        <v>10.5</v>
      </c>
      <c r="BN2933">
        <v>80.48</v>
      </c>
      <c r="BO2933">
        <v>80.48</v>
      </c>
      <c r="BQ2933" t="s">
        <v>537</v>
      </c>
      <c r="BR2933" t="s">
        <v>84</v>
      </c>
      <c r="BS2933" s="3">
        <v>45800</v>
      </c>
      <c r="BT2933" s="4">
        <v>0.375</v>
      </c>
      <c r="BU2933" t="s">
        <v>1301</v>
      </c>
      <c r="BV2933" t="s">
        <v>86</v>
      </c>
      <c r="BY2933">
        <v>4275</v>
      </c>
      <c r="CA2933" t="s">
        <v>326</v>
      </c>
      <c r="CC2933" t="s">
        <v>351</v>
      </c>
      <c r="CD2933">
        <v>4052</v>
      </c>
      <c r="CE2933" t="s">
        <v>116</v>
      </c>
      <c r="CF2933" s="3">
        <v>45800</v>
      </c>
      <c r="CI2933">
        <v>1</v>
      </c>
      <c r="CJ2933">
        <v>1</v>
      </c>
      <c r="CK2933">
        <v>21</v>
      </c>
      <c r="CL2933" t="s">
        <v>89</v>
      </c>
    </row>
    <row r="2934" spans="1:90" x14ac:dyDescent="0.3">
      <c r="A2934" t="s">
        <v>72</v>
      </c>
      <c r="B2934" t="s">
        <v>73</v>
      </c>
      <c r="C2934" t="s">
        <v>74</v>
      </c>
      <c r="E2934" t="str">
        <f>"080065515056"</f>
        <v>080065515056</v>
      </c>
      <c r="F2934" s="3">
        <v>45799</v>
      </c>
      <c r="G2934">
        <v>202602</v>
      </c>
      <c r="H2934" t="s">
        <v>75</v>
      </c>
      <c r="I2934" t="s">
        <v>76</v>
      </c>
      <c r="J2934" t="s">
        <v>77</v>
      </c>
      <c r="K2934" t="s">
        <v>78</v>
      </c>
      <c r="L2934" t="s">
        <v>136</v>
      </c>
      <c r="M2934" t="s">
        <v>137</v>
      </c>
      <c r="N2934" t="s">
        <v>2253</v>
      </c>
      <c r="O2934" t="s">
        <v>300</v>
      </c>
      <c r="P2934" t="str">
        <f>"4170040219                    "</f>
        <v xml:space="preserve">4170040219                    </v>
      </c>
      <c r="Q2934">
        <v>0</v>
      </c>
      <c r="R2934">
        <v>0</v>
      </c>
      <c r="S2934">
        <v>0</v>
      </c>
      <c r="T2934">
        <v>0</v>
      </c>
      <c r="U2934">
        <v>0</v>
      </c>
      <c r="V2934">
        <v>0</v>
      </c>
      <c r="W2934">
        <v>0</v>
      </c>
      <c r="X2934">
        <v>0</v>
      </c>
      <c r="Y2934">
        <v>0</v>
      </c>
      <c r="Z2934">
        <v>0</v>
      </c>
      <c r="AA2934">
        <v>0</v>
      </c>
      <c r="AB2934">
        <v>0</v>
      </c>
      <c r="AC2934">
        <v>0</v>
      </c>
      <c r="AD2934">
        <v>0</v>
      </c>
      <c r="AE2934">
        <v>0</v>
      </c>
      <c r="AF2934">
        <v>0</v>
      </c>
      <c r="AG2934">
        <v>0</v>
      </c>
      <c r="AH2934">
        <v>0</v>
      </c>
      <c r="AI2934">
        <v>0</v>
      </c>
      <c r="AJ2934">
        <v>0</v>
      </c>
      <c r="AK2934">
        <v>0</v>
      </c>
      <c r="AL2934">
        <v>0</v>
      </c>
      <c r="AM2934">
        <v>0</v>
      </c>
      <c r="AN2934">
        <v>0</v>
      </c>
      <c r="AO2934">
        <v>0</v>
      </c>
      <c r="AP2934">
        <v>0</v>
      </c>
      <c r="AQ2934">
        <v>41.35</v>
      </c>
      <c r="AR2934">
        <v>0</v>
      </c>
      <c r="AS2934">
        <v>0</v>
      </c>
      <c r="AT2934">
        <v>0</v>
      </c>
      <c r="AU2934">
        <v>0</v>
      </c>
      <c r="AV2934">
        <v>0</v>
      </c>
      <c r="AW2934">
        <v>0</v>
      </c>
      <c r="AX2934">
        <v>0</v>
      </c>
      <c r="AY2934">
        <v>0</v>
      </c>
      <c r="AZ2934">
        <v>0</v>
      </c>
      <c r="BA2934">
        <v>0</v>
      </c>
      <c r="BB2934">
        <v>0</v>
      </c>
      <c r="BC2934">
        <v>0</v>
      </c>
      <c r="BD2934">
        <v>0</v>
      </c>
      <c r="BE2934">
        <v>0</v>
      </c>
      <c r="BF2934">
        <v>0</v>
      </c>
      <c r="BG2934">
        <v>0</v>
      </c>
      <c r="BH2934">
        <v>1</v>
      </c>
      <c r="BI2934">
        <v>6</v>
      </c>
      <c r="BJ2934">
        <v>2.5</v>
      </c>
      <c r="BK2934">
        <v>6</v>
      </c>
      <c r="BL2934">
        <v>140.9</v>
      </c>
      <c r="BM2934">
        <v>21.14</v>
      </c>
      <c r="BN2934">
        <v>162.04</v>
      </c>
      <c r="BO2934">
        <v>162.04</v>
      </c>
      <c r="BQ2934" t="s">
        <v>2254</v>
      </c>
      <c r="BR2934" t="s">
        <v>84</v>
      </c>
      <c r="BS2934" s="3">
        <v>45800</v>
      </c>
      <c r="BT2934" s="4">
        <v>0.60972222222222228</v>
      </c>
      <c r="BU2934" t="s">
        <v>1014</v>
      </c>
      <c r="BV2934" t="s">
        <v>86</v>
      </c>
      <c r="BY2934">
        <v>12312</v>
      </c>
      <c r="CA2934" t="s">
        <v>2256</v>
      </c>
      <c r="CC2934" t="s">
        <v>137</v>
      </c>
      <c r="CD2934" s="5" t="s">
        <v>895</v>
      </c>
      <c r="CE2934" t="s">
        <v>221</v>
      </c>
      <c r="CF2934" s="3">
        <v>45801</v>
      </c>
      <c r="CI2934">
        <v>1</v>
      </c>
      <c r="CJ2934">
        <v>1</v>
      </c>
      <c r="CK2934">
        <v>41</v>
      </c>
      <c r="CL2934" t="s">
        <v>89</v>
      </c>
    </row>
    <row r="2935" spans="1:90" x14ac:dyDescent="0.3">
      <c r="A2935" t="s">
        <v>72</v>
      </c>
      <c r="B2935" t="s">
        <v>73</v>
      </c>
      <c r="C2935" t="s">
        <v>74</v>
      </c>
      <c r="E2935" t="str">
        <f>"080065515060"</f>
        <v>080065515060</v>
      </c>
      <c r="F2935" s="3">
        <v>45799</v>
      </c>
      <c r="G2935">
        <v>202602</v>
      </c>
      <c r="H2935" t="s">
        <v>75</v>
      </c>
      <c r="I2935" t="s">
        <v>76</v>
      </c>
      <c r="J2935" t="s">
        <v>77</v>
      </c>
      <c r="K2935" t="s">
        <v>78</v>
      </c>
      <c r="L2935" t="s">
        <v>222</v>
      </c>
      <c r="M2935" t="s">
        <v>223</v>
      </c>
      <c r="N2935" t="s">
        <v>499</v>
      </c>
      <c r="O2935" t="s">
        <v>82</v>
      </c>
      <c r="P2935" t="str">
        <f>"4170040214                    "</f>
        <v xml:space="preserve">4170040214                    </v>
      </c>
      <c r="Q2935">
        <v>0</v>
      </c>
      <c r="R2935">
        <v>0</v>
      </c>
      <c r="S2935">
        <v>0</v>
      </c>
      <c r="T2935">
        <v>0</v>
      </c>
      <c r="U2935">
        <v>0</v>
      </c>
      <c r="V2935">
        <v>0</v>
      </c>
      <c r="W2935">
        <v>0</v>
      </c>
      <c r="X2935">
        <v>0</v>
      </c>
      <c r="Y2935">
        <v>0</v>
      </c>
      <c r="Z2935">
        <v>0</v>
      </c>
      <c r="AA2935">
        <v>0</v>
      </c>
      <c r="AB2935">
        <v>0</v>
      </c>
      <c r="AC2935">
        <v>0</v>
      </c>
      <c r="AD2935">
        <v>0</v>
      </c>
      <c r="AE2935">
        <v>0</v>
      </c>
      <c r="AF2935">
        <v>0</v>
      </c>
      <c r="AG2935">
        <v>0</v>
      </c>
      <c r="AH2935">
        <v>0</v>
      </c>
      <c r="AI2935">
        <v>0</v>
      </c>
      <c r="AJ2935">
        <v>0</v>
      </c>
      <c r="AK2935">
        <v>0</v>
      </c>
      <c r="AL2935">
        <v>0</v>
      </c>
      <c r="AM2935">
        <v>0</v>
      </c>
      <c r="AN2935">
        <v>0</v>
      </c>
      <c r="AO2935">
        <v>0</v>
      </c>
      <c r="AP2935">
        <v>0</v>
      </c>
      <c r="AQ2935">
        <v>30.07</v>
      </c>
      <c r="AR2935">
        <v>0</v>
      </c>
      <c r="AS2935">
        <v>0</v>
      </c>
      <c r="AT2935">
        <v>0</v>
      </c>
      <c r="AU2935">
        <v>0</v>
      </c>
      <c r="AV2935">
        <v>0</v>
      </c>
      <c r="AW2935">
        <v>0</v>
      </c>
      <c r="AX2935">
        <v>0</v>
      </c>
      <c r="AY2935">
        <v>0</v>
      </c>
      <c r="AZ2935">
        <v>0</v>
      </c>
      <c r="BA2935">
        <v>0</v>
      </c>
      <c r="BB2935">
        <v>0</v>
      </c>
      <c r="BC2935">
        <v>0</v>
      </c>
      <c r="BD2935">
        <v>0</v>
      </c>
      <c r="BE2935">
        <v>0</v>
      </c>
      <c r="BF2935">
        <v>0</v>
      </c>
      <c r="BG2935">
        <v>0</v>
      </c>
      <c r="BH2935">
        <v>1</v>
      </c>
      <c r="BI2935">
        <v>1</v>
      </c>
      <c r="BJ2935">
        <v>0.2</v>
      </c>
      <c r="BK2935">
        <v>1</v>
      </c>
      <c r="BL2935">
        <v>98.42</v>
      </c>
      <c r="BM2935">
        <v>14.76</v>
      </c>
      <c r="BN2935">
        <v>113.18</v>
      </c>
      <c r="BO2935">
        <v>113.18</v>
      </c>
      <c r="BQ2935" t="s">
        <v>500</v>
      </c>
      <c r="BR2935" t="s">
        <v>84</v>
      </c>
      <c r="BS2935" s="3">
        <v>45800</v>
      </c>
      <c r="BT2935" s="4">
        <v>0.44236111111111109</v>
      </c>
      <c r="BU2935" t="s">
        <v>2974</v>
      </c>
      <c r="BV2935" t="s">
        <v>86</v>
      </c>
      <c r="BY2935">
        <v>1200</v>
      </c>
      <c r="CA2935" t="s">
        <v>227</v>
      </c>
      <c r="CC2935" t="s">
        <v>223</v>
      </c>
      <c r="CD2935">
        <v>1754</v>
      </c>
      <c r="CE2935" t="s">
        <v>88</v>
      </c>
      <c r="CF2935" s="3">
        <v>45800</v>
      </c>
      <c r="CI2935">
        <v>1</v>
      </c>
      <c r="CJ2935">
        <v>1</v>
      </c>
      <c r="CK2935">
        <v>24</v>
      </c>
      <c r="CL2935" t="s">
        <v>89</v>
      </c>
    </row>
    <row r="2936" spans="1:90" x14ac:dyDescent="0.3">
      <c r="A2936" t="s">
        <v>72</v>
      </c>
      <c r="B2936" t="s">
        <v>73</v>
      </c>
      <c r="C2936" t="s">
        <v>74</v>
      </c>
      <c r="E2936" t="str">
        <f>"080065515075"</f>
        <v>080065515075</v>
      </c>
      <c r="F2936" s="3">
        <v>45799</v>
      </c>
      <c r="G2936">
        <v>202602</v>
      </c>
      <c r="H2936" t="s">
        <v>75</v>
      </c>
      <c r="I2936" t="s">
        <v>76</v>
      </c>
      <c r="J2936" t="s">
        <v>77</v>
      </c>
      <c r="K2936" t="s">
        <v>78</v>
      </c>
      <c r="L2936" t="s">
        <v>136</v>
      </c>
      <c r="M2936" t="s">
        <v>137</v>
      </c>
      <c r="N2936" t="s">
        <v>776</v>
      </c>
      <c r="O2936" t="s">
        <v>82</v>
      </c>
      <c r="P2936" t="str">
        <f>"4170040213                    "</f>
        <v xml:space="preserve">4170040213                    </v>
      </c>
      <c r="Q2936">
        <v>0</v>
      </c>
      <c r="R2936">
        <v>0</v>
      </c>
      <c r="S2936">
        <v>0</v>
      </c>
      <c r="T2936">
        <v>0</v>
      </c>
      <c r="U2936">
        <v>0</v>
      </c>
      <c r="V2936">
        <v>0</v>
      </c>
      <c r="W2936">
        <v>0</v>
      </c>
      <c r="X2936">
        <v>0</v>
      </c>
      <c r="Y2936">
        <v>0</v>
      </c>
      <c r="Z2936">
        <v>0</v>
      </c>
      <c r="AA2936">
        <v>0</v>
      </c>
      <c r="AB2936">
        <v>0</v>
      </c>
      <c r="AC2936">
        <v>0</v>
      </c>
      <c r="AD2936">
        <v>0</v>
      </c>
      <c r="AE2936">
        <v>0</v>
      </c>
      <c r="AF2936">
        <v>0</v>
      </c>
      <c r="AG2936">
        <v>0</v>
      </c>
      <c r="AH2936">
        <v>0</v>
      </c>
      <c r="AI2936">
        <v>0</v>
      </c>
      <c r="AJ2936">
        <v>0</v>
      </c>
      <c r="AK2936">
        <v>0</v>
      </c>
      <c r="AL2936">
        <v>0</v>
      </c>
      <c r="AM2936">
        <v>0</v>
      </c>
      <c r="AN2936">
        <v>0</v>
      </c>
      <c r="AO2936">
        <v>0</v>
      </c>
      <c r="AP2936">
        <v>0</v>
      </c>
      <c r="AQ2936">
        <v>21.38</v>
      </c>
      <c r="AR2936">
        <v>0</v>
      </c>
      <c r="AS2936">
        <v>0</v>
      </c>
      <c r="AT2936">
        <v>0</v>
      </c>
      <c r="AU2936">
        <v>0</v>
      </c>
      <c r="AV2936">
        <v>0</v>
      </c>
      <c r="AW2936">
        <v>0</v>
      </c>
      <c r="AX2936">
        <v>0</v>
      </c>
      <c r="AY2936">
        <v>0</v>
      </c>
      <c r="AZ2936">
        <v>0</v>
      </c>
      <c r="BA2936">
        <v>0</v>
      </c>
      <c r="BB2936">
        <v>0</v>
      </c>
      <c r="BC2936">
        <v>0</v>
      </c>
      <c r="BD2936">
        <v>0</v>
      </c>
      <c r="BE2936">
        <v>0</v>
      </c>
      <c r="BF2936">
        <v>0</v>
      </c>
      <c r="BG2936">
        <v>0</v>
      </c>
      <c r="BH2936">
        <v>1</v>
      </c>
      <c r="BI2936">
        <v>1</v>
      </c>
      <c r="BJ2936">
        <v>0.2</v>
      </c>
      <c r="BK2936">
        <v>1</v>
      </c>
      <c r="BL2936">
        <v>69.98</v>
      </c>
      <c r="BM2936">
        <v>10.5</v>
      </c>
      <c r="BN2936">
        <v>80.48</v>
      </c>
      <c r="BO2936">
        <v>80.48</v>
      </c>
      <c r="BQ2936" t="s">
        <v>777</v>
      </c>
      <c r="BR2936" t="s">
        <v>84</v>
      </c>
      <c r="BS2936" s="3">
        <v>45800</v>
      </c>
      <c r="BT2936" s="4">
        <v>0.33611111111111114</v>
      </c>
      <c r="BU2936" t="s">
        <v>778</v>
      </c>
      <c r="BV2936" t="s">
        <v>86</v>
      </c>
      <c r="BY2936">
        <v>1200</v>
      </c>
      <c r="CA2936" t="s">
        <v>907</v>
      </c>
      <c r="CC2936" t="s">
        <v>137</v>
      </c>
      <c r="CD2936" s="5" t="s">
        <v>738</v>
      </c>
      <c r="CE2936" t="s">
        <v>88</v>
      </c>
      <c r="CF2936" s="3">
        <v>45800</v>
      </c>
      <c r="CI2936">
        <v>1</v>
      </c>
      <c r="CJ2936">
        <v>1</v>
      </c>
      <c r="CK2936">
        <v>21</v>
      </c>
      <c r="CL2936" t="s">
        <v>89</v>
      </c>
    </row>
    <row r="2937" spans="1:90" x14ac:dyDescent="0.3">
      <c r="A2937" t="s">
        <v>72</v>
      </c>
      <c r="B2937" t="s">
        <v>73</v>
      </c>
      <c r="C2937" t="s">
        <v>74</v>
      </c>
      <c r="E2937" t="str">
        <f>"080065515080"</f>
        <v>080065515080</v>
      </c>
      <c r="F2937" s="3">
        <v>45799</v>
      </c>
      <c r="G2937">
        <v>202602</v>
      </c>
      <c r="H2937" t="s">
        <v>75</v>
      </c>
      <c r="I2937" t="s">
        <v>76</v>
      </c>
      <c r="J2937" t="s">
        <v>77</v>
      </c>
      <c r="K2937" t="s">
        <v>78</v>
      </c>
      <c r="L2937" t="s">
        <v>222</v>
      </c>
      <c r="M2937" t="s">
        <v>223</v>
      </c>
      <c r="N2937" t="s">
        <v>984</v>
      </c>
      <c r="O2937" t="s">
        <v>82</v>
      </c>
      <c r="P2937" t="str">
        <f>"4170040091                    "</f>
        <v xml:space="preserve">4170040091                    </v>
      </c>
      <c r="Q2937">
        <v>0</v>
      </c>
      <c r="R2937">
        <v>0</v>
      </c>
      <c r="S2937">
        <v>0</v>
      </c>
      <c r="T2937">
        <v>0</v>
      </c>
      <c r="U2937">
        <v>0</v>
      </c>
      <c r="V2937">
        <v>0</v>
      </c>
      <c r="W2937">
        <v>0</v>
      </c>
      <c r="X2937">
        <v>0</v>
      </c>
      <c r="Y2937">
        <v>0</v>
      </c>
      <c r="Z2937">
        <v>0</v>
      </c>
      <c r="AA2937">
        <v>0</v>
      </c>
      <c r="AB2937">
        <v>0</v>
      </c>
      <c r="AC2937">
        <v>0</v>
      </c>
      <c r="AD2937">
        <v>0</v>
      </c>
      <c r="AE2937">
        <v>0</v>
      </c>
      <c r="AF2937">
        <v>0</v>
      </c>
      <c r="AG2937">
        <v>0</v>
      </c>
      <c r="AH2937">
        <v>0</v>
      </c>
      <c r="AI2937">
        <v>0</v>
      </c>
      <c r="AJ2937">
        <v>0</v>
      </c>
      <c r="AK2937">
        <v>0</v>
      </c>
      <c r="AL2937">
        <v>0</v>
      </c>
      <c r="AM2937">
        <v>0</v>
      </c>
      <c r="AN2937">
        <v>0</v>
      </c>
      <c r="AO2937">
        <v>0</v>
      </c>
      <c r="AP2937">
        <v>0</v>
      </c>
      <c r="AQ2937">
        <v>30.07</v>
      </c>
      <c r="AR2937">
        <v>0</v>
      </c>
      <c r="AS2937">
        <v>0</v>
      </c>
      <c r="AT2937">
        <v>0</v>
      </c>
      <c r="AU2937">
        <v>0</v>
      </c>
      <c r="AV2937">
        <v>0</v>
      </c>
      <c r="AW2937">
        <v>0</v>
      </c>
      <c r="AX2937">
        <v>0</v>
      </c>
      <c r="AY2937">
        <v>0</v>
      </c>
      <c r="AZ2937">
        <v>0</v>
      </c>
      <c r="BA2937">
        <v>0</v>
      </c>
      <c r="BB2937">
        <v>0</v>
      </c>
      <c r="BC2937">
        <v>0</v>
      </c>
      <c r="BD2937">
        <v>0</v>
      </c>
      <c r="BE2937">
        <v>0</v>
      </c>
      <c r="BF2937">
        <v>0</v>
      </c>
      <c r="BG2937">
        <v>0</v>
      </c>
      <c r="BH2937">
        <v>1</v>
      </c>
      <c r="BI2937">
        <v>2</v>
      </c>
      <c r="BJ2937">
        <v>0.6</v>
      </c>
      <c r="BK2937">
        <v>2</v>
      </c>
      <c r="BL2937">
        <v>98.42</v>
      </c>
      <c r="BM2937">
        <v>14.76</v>
      </c>
      <c r="BN2937">
        <v>113.18</v>
      </c>
      <c r="BO2937">
        <v>113.18</v>
      </c>
      <c r="BQ2937" t="s">
        <v>2975</v>
      </c>
      <c r="BR2937" t="s">
        <v>84</v>
      </c>
      <c r="BS2937" s="3">
        <v>45800</v>
      </c>
      <c r="BT2937" s="4">
        <v>0.46180555555555558</v>
      </c>
      <c r="BU2937" t="s">
        <v>2976</v>
      </c>
      <c r="BV2937" t="s">
        <v>86</v>
      </c>
      <c r="BY2937">
        <v>3192</v>
      </c>
      <c r="CA2937" t="s">
        <v>1015</v>
      </c>
      <c r="CC2937" t="s">
        <v>223</v>
      </c>
      <c r="CD2937">
        <v>1739</v>
      </c>
      <c r="CE2937" t="s">
        <v>116</v>
      </c>
      <c r="CF2937" s="3">
        <v>45801</v>
      </c>
      <c r="CI2937">
        <v>1</v>
      </c>
      <c r="CJ2937">
        <v>1</v>
      </c>
      <c r="CK2937">
        <v>24</v>
      </c>
      <c r="CL2937" t="s">
        <v>89</v>
      </c>
    </row>
    <row r="2938" spans="1:90" x14ac:dyDescent="0.3">
      <c r="A2938" t="s">
        <v>72</v>
      </c>
      <c r="B2938" t="s">
        <v>73</v>
      </c>
      <c r="C2938" t="s">
        <v>74</v>
      </c>
      <c r="E2938" t="str">
        <f>"080065515104"</f>
        <v>080065515104</v>
      </c>
      <c r="F2938" s="3">
        <v>45799</v>
      </c>
      <c r="G2938">
        <v>202602</v>
      </c>
      <c r="H2938" t="s">
        <v>75</v>
      </c>
      <c r="I2938" t="s">
        <v>76</v>
      </c>
      <c r="J2938" t="s">
        <v>77</v>
      </c>
      <c r="K2938" t="s">
        <v>78</v>
      </c>
      <c r="L2938" t="s">
        <v>130</v>
      </c>
      <c r="M2938" t="s">
        <v>131</v>
      </c>
      <c r="N2938" t="s">
        <v>343</v>
      </c>
      <c r="O2938" t="s">
        <v>82</v>
      </c>
      <c r="P2938" t="str">
        <f>"4170040187                    "</f>
        <v xml:space="preserve">4170040187                    </v>
      </c>
      <c r="Q2938">
        <v>0</v>
      </c>
      <c r="R2938">
        <v>0</v>
      </c>
      <c r="S2938">
        <v>0</v>
      </c>
      <c r="T2938">
        <v>0</v>
      </c>
      <c r="U2938">
        <v>0</v>
      </c>
      <c r="V2938">
        <v>0</v>
      </c>
      <c r="W2938">
        <v>0</v>
      </c>
      <c r="X2938">
        <v>0</v>
      </c>
      <c r="Y2938">
        <v>0</v>
      </c>
      <c r="Z2938">
        <v>0</v>
      </c>
      <c r="AA2938">
        <v>0</v>
      </c>
      <c r="AB2938">
        <v>0</v>
      </c>
      <c r="AC2938">
        <v>0</v>
      </c>
      <c r="AD2938">
        <v>0</v>
      </c>
      <c r="AE2938">
        <v>0</v>
      </c>
      <c r="AF2938">
        <v>0</v>
      </c>
      <c r="AG2938">
        <v>0</v>
      </c>
      <c r="AH2938">
        <v>0</v>
      </c>
      <c r="AI2938">
        <v>0</v>
      </c>
      <c r="AJ2938">
        <v>0</v>
      </c>
      <c r="AK2938">
        <v>0</v>
      </c>
      <c r="AL2938">
        <v>0</v>
      </c>
      <c r="AM2938">
        <v>0</v>
      </c>
      <c r="AN2938">
        <v>0</v>
      </c>
      <c r="AO2938">
        <v>0</v>
      </c>
      <c r="AP2938">
        <v>0</v>
      </c>
      <c r="AQ2938">
        <v>21.38</v>
      </c>
      <c r="AR2938">
        <v>0</v>
      </c>
      <c r="AS2938">
        <v>0</v>
      </c>
      <c r="AT2938">
        <v>0</v>
      </c>
      <c r="AU2938">
        <v>0</v>
      </c>
      <c r="AV2938">
        <v>0</v>
      </c>
      <c r="AW2938">
        <v>0</v>
      </c>
      <c r="AX2938">
        <v>0</v>
      </c>
      <c r="AY2938">
        <v>0</v>
      </c>
      <c r="AZ2938">
        <v>0</v>
      </c>
      <c r="BA2938">
        <v>0</v>
      </c>
      <c r="BB2938">
        <v>0</v>
      </c>
      <c r="BC2938">
        <v>0</v>
      </c>
      <c r="BD2938">
        <v>0</v>
      </c>
      <c r="BE2938">
        <v>0</v>
      </c>
      <c r="BF2938">
        <v>0</v>
      </c>
      <c r="BG2938">
        <v>0</v>
      </c>
      <c r="BH2938">
        <v>1</v>
      </c>
      <c r="BI2938">
        <v>2</v>
      </c>
      <c r="BJ2938">
        <v>0.9</v>
      </c>
      <c r="BK2938">
        <v>2</v>
      </c>
      <c r="BL2938">
        <v>69.98</v>
      </c>
      <c r="BM2938">
        <v>10.5</v>
      </c>
      <c r="BN2938">
        <v>80.48</v>
      </c>
      <c r="BO2938">
        <v>80.48</v>
      </c>
      <c r="BQ2938" t="s">
        <v>344</v>
      </c>
      <c r="BR2938" t="s">
        <v>84</v>
      </c>
      <c r="BS2938" s="3">
        <v>45800</v>
      </c>
      <c r="BT2938" s="4">
        <v>0.40069444444444446</v>
      </c>
      <c r="BU2938" t="s">
        <v>1338</v>
      </c>
      <c r="BV2938" t="s">
        <v>86</v>
      </c>
      <c r="BY2938">
        <v>4560</v>
      </c>
      <c r="CA2938" t="s">
        <v>242</v>
      </c>
      <c r="CC2938" t="s">
        <v>131</v>
      </c>
      <c r="CD2938">
        <v>7441</v>
      </c>
      <c r="CE2938" t="s">
        <v>116</v>
      </c>
      <c r="CF2938" s="3">
        <v>45803</v>
      </c>
      <c r="CI2938">
        <v>1</v>
      </c>
      <c r="CJ2938">
        <v>1</v>
      </c>
      <c r="CK2938">
        <v>21</v>
      </c>
      <c r="CL2938" t="s">
        <v>89</v>
      </c>
    </row>
    <row r="2939" spans="1:90" x14ac:dyDescent="0.3">
      <c r="A2939" t="s">
        <v>72</v>
      </c>
      <c r="B2939" t="s">
        <v>73</v>
      </c>
      <c r="C2939" t="s">
        <v>74</v>
      </c>
      <c r="E2939" t="str">
        <f>"080065515105"</f>
        <v>080065515105</v>
      </c>
      <c r="F2939" s="3">
        <v>45799</v>
      </c>
      <c r="G2939">
        <v>202602</v>
      </c>
      <c r="H2939" t="s">
        <v>75</v>
      </c>
      <c r="I2939" t="s">
        <v>76</v>
      </c>
      <c r="J2939" t="s">
        <v>77</v>
      </c>
      <c r="K2939" t="s">
        <v>78</v>
      </c>
      <c r="L2939" t="s">
        <v>97</v>
      </c>
      <c r="M2939" t="s">
        <v>98</v>
      </c>
      <c r="N2939" t="s">
        <v>99</v>
      </c>
      <c r="O2939" t="s">
        <v>82</v>
      </c>
      <c r="P2939" t="str">
        <f>"4170039103                    "</f>
        <v xml:space="preserve">4170039103                    </v>
      </c>
      <c r="Q2939">
        <v>0</v>
      </c>
      <c r="R2939">
        <v>0</v>
      </c>
      <c r="S2939">
        <v>0</v>
      </c>
      <c r="T2939">
        <v>0</v>
      </c>
      <c r="U2939">
        <v>0</v>
      </c>
      <c r="V2939">
        <v>0</v>
      </c>
      <c r="W2939">
        <v>0</v>
      </c>
      <c r="X2939">
        <v>0</v>
      </c>
      <c r="Y2939">
        <v>0</v>
      </c>
      <c r="Z2939">
        <v>0</v>
      </c>
      <c r="AA2939">
        <v>0</v>
      </c>
      <c r="AB2939">
        <v>0</v>
      </c>
      <c r="AC2939">
        <v>0</v>
      </c>
      <c r="AD2939">
        <v>0</v>
      </c>
      <c r="AE2939">
        <v>0</v>
      </c>
      <c r="AF2939">
        <v>0</v>
      </c>
      <c r="AG2939">
        <v>0</v>
      </c>
      <c r="AH2939">
        <v>0</v>
      </c>
      <c r="AI2939">
        <v>0</v>
      </c>
      <c r="AJ2939">
        <v>0</v>
      </c>
      <c r="AK2939">
        <v>0</v>
      </c>
      <c r="AL2939">
        <v>0</v>
      </c>
      <c r="AM2939">
        <v>0</v>
      </c>
      <c r="AN2939">
        <v>0</v>
      </c>
      <c r="AO2939">
        <v>0</v>
      </c>
      <c r="AP2939">
        <v>0</v>
      </c>
      <c r="AQ2939">
        <v>16.7</v>
      </c>
      <c r="AR2939">
        <v>0</v>
      </c>
      <c r="AS2939">
        <v>0</v>
      </c>
      <c r="AT2939">
        <v>0</v>
      </c>
      <c r="AU2939">
        <v>0</v>
      </c>
      <c r="AV2939">
        <v>0</v>
      </c>
      <c r="AW2939">
        <v>0</v>
      </c>
      <c r="AX2939">
        <v>0</v>
      </c>
      <c r="AY2939">
        <v>0</v>
      </c>
      <c r="AZ2939">
        <v>0</v>
      </c>
      <c r="BA2939">
        <v>0</v>
      </c>
      <c r="BB2939">
        <v>0</v>
      </c>
      <c r="BC2939">
        <v>0</v>
      </c>
      <c r="BD2939">
        <v>0</v>
      </c>
      <c r="BE2939">
        <v>0</v>
      </c>
      <c r="BF2939">
        <v>0</v>
      </c>
      <c r="BG2939">
        <v>0</v>
      </c>
      <c r="BH2939">
        <v>1</v>
      </c>
      <c r="BI2939">
        <v>1</v>
      </c>
      <c r="BJ2939">
        <v>0.2</v>
      </c>
      <c r="BK2939">
        <v>1</v>
      </c>
      <c r="BL2939">
        <v>54.66</v>
      </c>
      <c r="BM2939">
        <v>8.1999999999999993</v>
      </c>
      <c r="BN2939">
        <v>62.86</v>
      </c>
      <c r="BO2939">
        <v>62.86</v>
      </c>
      <c r="BQ2939" t="s">
        <v>100</v>
      </c>
      <c r="BR2939" t="s">
        <v>84</v>
      </c>
      <c r="BS2939" s="3">
        <v>45800</v>
      </c>
      <c r="BT2939" s="4">
        <v>0.33750000000000002</v>
      </c>
      <c r="BU2939" t="s">
        <v>493</v>
      </c>
      <c r="BV2939" t="s">
        <v>86</v>
      </c>
      <c r="BY2939">
        <v>1200</v>
      </c>
      <c r="CA2939" t="s">
        <v>279</v>
      </c>
      <c r="CC2939" t="s">
        <v>98</v>
      </c>
      <c r="CD2939">
        <v>1459</v>
      </c>
      <c r="CE2939" t="s">
        <v>88</v>
      </c>
      <c r="CF2939" s="3">
        <v>45800</v>
      </c>
      <c r="CI2939">
        <v>1</v>
      </c>
      <c r="CJ2939">
        <v>1</v>
      </c>
      <c r="CK2939">
        <v>22</v>
      </c>
      <c r="CL2939" t="s">
        <v>89</v>
      </c>
    </row>
    <row r="2940" spans="1:90" x14ac:dyDescent="0.3">
      <c r="A2940" t="s">
        <v>72</v>
      </c>
      <c r="B2940" t="s">
        <v>73</v>
      </c>
      <c r="C2940" t="s">
        <v>74</v>
      </c>
      <c r="E2940" t="str">
        <f>"080065515128"</f>
        <v>080065515128</v>
      </c>
      <c r="F2940" s="3">
        <v>45799</v>
      </c>
      <c r="G2940">
        <v>202602</v>
      </c>
      <c r="H2940" t="s">
        <v>75</v>
      </c>
      <c r="I2940" t="s">
        <v>76</v>
      </c>
      <c r="J2940" t="s">
        <v>77</v>
      </c>
      <c r="K2940" t="s">
        <v>78</v>
      </c>
      <c r="L2940" t="s">
        <v>130</v>
      </c>
      <c r="M2940" t="s">
        <v>131</v>
      </c>
      <c r="N2940" t="s">
        <v>897</v>
      </c>
      <c r="O2940" t="s">
        <v>82</v>
      </c>
      <c r="P2940" t="str">
        <f>"4170040072                    "</f>
        <v xml:space="preserve">4170040072                    </v>
      </c>
      <c r="Q2940">
        <v>0</v>
      </c>
      <c r="R2940">
        <v>0</v>
      </c>
      <c r="S2940">
        <v>0</v>
      </c>
      <c r="T2940">
        <v>0</v>
      </c>
      <c r="U2940">
        <v>0</v>
      </c>
      <c r="V2940">
        <v>0</v>
      </c>
      <c r="W2940">
        <v>0</v>
      </c>
      <c r="X2940">
        <v>0</v>
      </c>
      <c r="Y2940">
        <v>0</v>
      </c>
      <c r="Z2940">
        <v>0</v>
      </c>
      <c r="AA2940">
        <v>0</v>
      </c>
      <c r="AB2940">
        <v>0</v>
      </c>
      <c r="AC2940">
        <v>0</v>
      </c>
      <c r="AD2940">
        <v>0</v>
      </c>
      <c r="AE2940">
        <v>0</v>
      </c>
      <c r="AF2940">
        <v>0</v>
      </c>
      <c r="AG2940">
        <v>0</v>
      </c>
      <c r="AH2940">
        <v>0</v>
      </c>
      <c r="AI2940">
        <v>0</v>
      </c>
      <c r="AJ2940">
        <v>0</v>
      </c>
      <c r="AK2940">
        <v>0</v>
      </c>
      <c r="AL2940">
        <v>0</v>
      </c>
      <c r="AM2940">
        <v>0</v>
      </c>
      <c r="AN2940">
        <v>0</v>
      </c>
      <c r="AO2940">
        <v>0</v>
      </c>
      <c r="AP2940">
        <v>0</v>
      </c>
      <c r="AQ2940">
        <v>32.07</v>
      </c>
      <c r="AR2940">
        <v>0</v>
      </c>
      <c r="AS2940">
        <v>0</v>
      </c>
      <c r="AT2940">
        <v>0</v>
      </c>
      <c r="AU2940">
        <v>0</v>
      </c>
      <c r="AV2940">
        <v>0</v>
      </c>
      <c r="AW2940">
        <v>0</v>
      </c>
      <c r="AX2940">
        <v>0</v>
      </c>
      <c r="AY2940">
        <v>0</v>
      </c>
      <c r="AZ2940">
        <v>0</v>
      </c>
      <c r="BA2940">
        <v>0</v>
      </c>
      <c r="BB2940">
        <v>0</v>
      </c>
      <c r="BC2940">
        <v>0</v>
      </c>
      <c r="BD2940">
        <v>0</v>
      </c>
      <c r="BE2940">
        <v>0</v>
      </c>
      <c r="BF2940">
        <v>0</v>
      </c>
      <c r="BG2940">
        <v>0</v>
      </c>
      <c r="BH2940">
        <v>1</v>
      </c>
      <c r="BI2940">
        <v>3</v>
      </c>
      <c r="BJ2940">
        <v>1.9</v>
      </c>
      <c r="BK2940">
        <v>3</v>
      </c>
      <c r="BL2940">
        <v>104.95</v>
      </c>
      <c r="BM2940">
        <v>15.74</v>
      </c>
      <c r="BN2940">
        <v>120.69</v>
      </c>
      <c r="BO2940">
        <v>120.69</v>
      </c>
      <c r="BQ2940" t="s">
        <v>898</v>
      </c>
      <c r="BR2940" t="s">
        <v>84</v>
      </c>
      <c r="BS2940" s="3">
        <v>45800</v>
      </c>
      <c r="BT2940" s="4">
        <v>0.4375</v>
      </c>
      <c r="BU2940" t="s">
        <v>899</v>
      </c>
      <c r="BV2940" t="s">
        <v>86</v>
      </c>
      <c r="BY2940">
        <v>9600</v>
      </c>
      <c r="CA2940" t="s">
        <v>901</v>
      </c>
      <c r="CC2940" t="s">
        <v>131</v>
      </c>
      <c r="CD2940">
        <v>7550</v>
      </c>
      <c r="CE2940" t="s">
        <v>96</v>
      </c>
      <c r="CF2940" s="3">
        <v>45803</v>
      </c>
      <c r="CI2940">
        <v>1</v>
      </c>
      <c r="CJ2940">
        <v>1</v>
      </c>
      <c r="CK2940">
        <v>21</v>
      </c>
      <c r="CL2940" t="s">
        <v>89</v>
      </c>
    </row>
    <row r="2941" spans="1:90" x14ac:dyDescent="0.3">
      <c r="A2941" t="s">
        <v>72</v>
      </c>
      <c r="B2941" t="s">
        <v>73</v>
      </c>
      <c r="C2941" t="s">
        <v>74</v>
      </c>
      <c r="E2941" t="str">
        <f>"080065515130"</f>
        <v>080065515130</v>
      </c>
      <c r="F2941" s="3">
        <v>45799</v>
      </c>
      <c r="G2941">
        <v>202602</v>
      </c>
      <c r="H2941" t="s">
        <v>75</v>
      </c>
      <c r="I2941" t="s">
        <v>76</v>
      </c>
      <c r="J2941" t="s">
        <v>77</v>
      </c>
      <c r="K2941" t="s">
        <v>78</v>
      </c>
      <c r="L2941" t="s">
        <v>117</v>
      </c>
      <c r="M2941" t="s">
        <v>118</v>
      </c>
      <c r="N2941" t="s">
        <v>2883</v>
      </c>
      <c r="O2941" t="s">
        <v>82</v>
      </c>
      <c r="P2941" t="str">
        <f>"4170040231                    "</f>
        <v xml:space="preserve">4170040231                    </v>
      </c>
      <c r="Q2941">
        <v>0</v>
      </c>
      <c r="R2941">
        <v>0</v>
      </c>
      <c r="S2941">
        <v>0</v>
      </c>
      <c r="T2941">
        <v>0</v>
      </c>
      <c r="U2941">
        <v>0</v>
      </c>
      <c r="V2941">
        <v>0</v>
      </c>
      <c r="W2941">
        <v>0</v>
      </c>
      <c r="X2941">
        <v>0</v>
      </c>
      <c r="Y2941">
        <v>0</v>
      </c>
      <c r="Z2941">
        <v>0</v>
      </c>
      <c r="AA2941">
        <v>0</v>
      </c>
      <c r="AB2941">
        <v>0</v>
      </c>
      <c r="AC2941">
        <v>0</v>
      </c>
      <c r="AD2941">
        <v>0</v>
      </c>
      <c r="AE2941">
        <v>0</v>
      </c>
      <c r="AF2941">
        <v>0</v>
      </c>
      <c r="AG2941">
        <v>0</v>
      </c>
      <c r="AH2941">
        <v>0</v>
      </c>
      <c r="AI2941">
        <v>0</v>
      </c>
      <c r="AJ2941">
        <v>0</v>
      </c>
      <c r="AK2941">
        <v>0</v>
      </c>
      <c r="AL2941">
        <v>0</v>
      </c>
      <c r="AM2941">
        <v>0</v>
      </c>
      <c r="AN2941">
        <v>0</v>
      </c>
      <c r="AO2941">
        <v>0</v>
      </c>
      <c r="AP2941">
        <v>0</v>
      </c>
      <c r="AQ2941">
        <v>16.7</v>
      </c>
      <c r="AR2941">
        <v>0</v>
      </c>
      <c r="AS2941">
        <v>0</v>
      </c>
      <c r="AT2941">
        <v>0</v>
      </c>
      <c r="AU2941">
        <v>0</v>
      </c>
      <c r="AV2941">
        <v>0</v>
      </c>
      <c r="AW2941">
        <v>0</v>
      </c>
      <c r="AX2941">
        <v>0</v>
      </c>
      <c r="AY2941">
        <v>0</v>
      </c>
      <c r="AZ2941">
        <v>0</v>
      </c>
      <c r="BA2941">
        <v>0</v>
      </c>
      <c r="BB2941">
        <v>0</v>
      </c>
      <c r="BC2941">
        <v>0</v>
      </c>
      <c r="BD2941">
        <v>0</v>
      </c>
      <c r="BE2941">
        <v>0</v>
      </c>
      <c r="BF2941">
        <v>0</v>
      </c>
      <c r="BG2941">
        <v>0</v>
      </c>
      <c r="BH2941">
        <v>1</v>
      </c>
      <c r="BI2941">
        <v>1</v>
      </c>
      <c r="BJ2941">
        <v>0.2</v>
      </c>
      <c r="BK2941">
        <v>1</v>
      </c>
      <c r="BL2941">
        <v>54.66</v>
      </c>
      <c r="BM2941">
        <v>8.1999999999999993</v>
      </c>
      <c r="BN2941">
        <v>62.86</v>
      </c>
      <c r="BO2941">
        <v>62.86</v>
      </c>
      <c r="BQ2941" t="s">
        <v>2884</v>
      </c>
      <c r="BR2941" t="s">
        <v>84</v>
      </c>
      <c r="BS2941" s="3">
        <v>45800</v>
      </c>
      <c r="BT2941" s="4">
        <v>0.41666666666666669</v>
      </c>
      <c r="BU2941" t="s">
        <v>2885</v>
      </c>
      <c r="BV2941" t="s">
        <v>86</v>
      </c>
      <c r="BY2941">
        <v>1200</v>
      </c>
      <c r="CA2941" t="s">
        <v>231</v>
      </c>
      <c r="CC2941" t="s">
        <v>118</v>
      </c>
      <c r="CD2941">
        <v>2094</v>
      </c>
      <c r="CE2941" t="s">
        <v>88</v>
      </c>
      <c r="CF2941" s="3">
        <v>45801</v>
      </c>
      <c r="CI2941">
        <v>1</v>
      </c>
      <c r="CJ2941">
        <v>1</v>
      </c>
      <c r="CK2941">
        <v>22</v>
      </c>
      <c r="CL2941" t="s">
        <v>89</v>
      </c>
    </row>
    <row r="2942" spans="1:90" x14ac:dyDescent="0.3">
      <c r="A2942" t="s">
        <v>72</v>
      </c>
      <c r="B2942" t="s">
        <v>73</v>
      </c>
      <c r="C2942" t="s">
        <v>74</v>
      </c>
      <c r="E2942" t="str">
        <f>"080065515150"</f>
        <v>080065515150</v>
      </c>
      <c r="F2942" s="3">
        <v>45799</v>
      </c>
      <c r="G2942">
        <v>202602</v>
      </c>
      <c r="H2942" t="s">
        <v>75</v>
      </c>
      <c r="I2942" t="s">
        <v>76</v>
      </c>
      <c r="J2942" t="s">
        <v>77</v>
      </c>
      <c r="K2942" t="s">
        <v>78</v>
      </c>
      <c r="L2942" t="s">
        <v>79</v>
      </c>
      <c r="M2942" t="s">
        <v>80</v>
      </c>
      <c r="N2942" t="s">
        <v>452</v>
      </c>
      <c r="O2942" t="s">
        <v>82</v>
      </c>
      <c r="P2942" t="str">
        <f>"4170040152                    "</f>
        <v xml:space="preserve">4170040152                    </v>
      </c>
      <c r="Q2942">
        <v>0</v>
      </c>
      <c r="R2942">
        <v>0</v>
      </c>
      <c r="S2942">
        <v>0</v>
      </c>
      <c r="T2942">
        <v>0</v>
      </c>
      <c r="U2942">
        <v>0</v>
      </c>
      <c r="V2942">
        <v>0</v>
      </c>
      <c r="W2942">
        <v>0</v>
      </c>
      <c r="X2942">
        <v>0</v>
      </c>
      <c r="Y2942">
        <v>0</v>
      </c>
      <c r="Z2942">
        <v>0</v>
      </c>
      <c r="AA2942">
        <v>0</v>
      </c>
      <c r="AB2942">
        <v>0</v>
      </c>
      <c r="AC2942">
        <v>0</v>
      </c>
      <c r="AD2942">
        <v>0</v>
      </c>
      <c r="AE2942">
        <v>0</v>
      </c>
      <c r="AF2942">
        <v>0</v>
      </c>
      <c r="AG2942">
        <v>0</v>
      </c>
      <c r="AH2942">
        <v>0</v>
      </c>
      <c r="AI2942">
        <v>0</v>
      </c>
      <c r="AJ2942">
        <v>0</v>
      </c>
      <c r="AK2942">
        <v>0</v>
      </c>
      <c r="AL2942">
        <v>0</v>
      </c>
      <c r="AM2942">
        <v>0</v>
      </c>
      <c r="AN2942">
        <v>0</v>
      </c>
      <c r="AO2942">
        <v>0</v>
      </c>
      <c r="AP2942">
        <v>0</v>
      </c>
      <c r="AQ2942">
        <v>21.38</v>
      </c>
      <c r="AR2942">
        <v>0</v>
      </c>
      <c r="AS2942">
        <v>0</v>
      </c>
      <c r="AT2942">
        <v>0</v>
      </c>
      <c r="AU2942">
        <v>0</v>
      </c>
      <c r="AV2942">
        <v>0</v>
      </c>
      <c r="AW2942">
        <v>0</v>
      </c>
      <c r="AX2942">
        <v>0</v>
      </c>
      <c r="AY2942">
        <v>0</v>
      </c>
      <c r="AZ2942">
        <v>0</v>
      </c>
      <c r="BA2942">
        <v>0</v>
      </c>
      <c r="BB2942">
        <v>0</v>
      </c>
      <c r="BC2942">
        <v>0</v>
      </c>
      <c r="BD2942">
        <v>0</v>
      </c>
      <c r="BE2942">
        <v>0</v>
      </c>
      <c r="BF2942">
        <v>0</v>
      </c>
      <c r="BG2942">
        <v>0</v>
      </c>
      <c r="BH2942">
        <v>1</v>
      </c>
      <c r="BI2942">
        <v>1</v>
      </c>
      <c r="BJ2942">
        <v>0.2</v>
      </c>
      <c r="BK2942">
        <v>1</v>
      </c>
      <c r="BL2942">
        <v>69.98</v>
      </c>
      <c r="BM2942">
        <v>10.5</v>
      </c>
      <c r="BN2942">
        <v>80.48</v>
      </c>
      <c r="BO2942">
        <v>80.48</v>
      </c>
      <c r="BQ2942" t="s">
        <v>453</v>
      </c>
      <c r="BR2942" t="s">
        <v>84</v>
      </c>
      <c r="BS2942" s="3">
        <v>45800</v>
      </c>
      <c r="BT2942" s="4">
        <v>0.37569444444444444</v>
      </c>
      <c r="BU2942" t="s">
        <v>495</v>
      </c>
      <c r="BV2942" t="s">
        <v>86</v>
      </c>
      <c r="BY2942">
        <v>1200</v>
      </c>
      <c r="CA2942" t="s">
        <v>160</v>
      </c>
      <c r="CC2942" t="s">
        <v>80</v>
      </c>
      <c r="CD2942">
        <v>3610</v>
      </c>
      <c r="CE2942" t="s">
        <v>88</v>
      </c>
      <c r="CF2942" s="3">
        <v>45801</v>
      </c>
      <c r="CI2942">
        <v>1</v>
      </c>
      <c r="CJ2942">
        <v>1</v>
      </c>
      <c r="CK2942">
        <v>21</v>
      </c>
      <c r="CL2942" t="s">
        <v>89</v>
      </c>
    </row>
    <row r="2943" spans="1:90" x14ac:dyDescent="0.3">
      <c r="A2943" t="s">
        <v>72</v>
      </c>
      <c r="B2943" t="s">
        <v>73</v>
      </c>
      <c r="C2943" t="s">
        <v>74</v>
      </c>
      <c r="E2943" t="str">
        <f>"080065515152"</f>
        <v>080065515152</v>
      </c>
      <c r="F2943" s="3">
        <v>45799</v>
      </c>
      <c r="G2943">
        <v>202602</v>
      </c>
      <c r="H2943" t="s">
        <v>75</v>
      </c>
      <c r="I2943" t="s">
        <v>76</v>
      </c>
      <c r="J2943" t="s">
        <v>77</v>
      </c>
      <c r="K2943" t="s">
        <v>78</v>
      </c>
      <c r="L2943" t="s">
        <v>75</v>
      </c>
      <c r="M2943" t="s">
        <v>76</v>
      </c>
      <c r="N2943" t="s">
        <v>346</v>
      </c>
      <c r="O2943" t="s">
        <v>82</v>
      </c>
      <c r="P2943" t="str">
        <f>"4170040126                    "</f>
        <v xml:space="preserve">4170040126                    </v>
      </c>
      <c r="Q2943">
        <v>0</v>
      </c>
      <c r="R2943">
        <v>0</v>
      </c>
      <c r="S2943">
        <v>0</v>
      </c>
      <c r="T2943">
        <v>0</v>
      </c>
      <c r="U2943">
        <v>0</v>
      </c>
      <c r="V2943">
        <v>0</v>
      </c>
      <c r="W2943">
        <v>0</v>
      </c>
      <c r="X2943">
        <v>0</v>
      </c>
      <c r="Y2943">
        <v>0</v>
      </c>
      <c r="Z2943">
        <v>0</v>
      </c>
      <c r="AA2943">
        <v>0</v>
      </c>
      <c r="AB2943">
        <v>0</v>
      </c>
      <c r="AC2943">
        <v>0</v>
      </c>
      <c r="AD2943">
        <v>0</v>
      </c>
      <c r="AE2943">
        <v>0</v>
      </c>
      <c r="AF2943">
        <v>0</v>
      </c>
      <c r="AG2943">
        <v>0</v>
      </c>
      <c r="AH2943">
        <v>0</v>
      </c>
      <c r="AI2943">
        <v>0</v>
      </c>
      <c r="AJ2943">
        <v>0</v>
      </c>
      <c r="AK2943">
        <v>0</v>
      </c>
      <c r="AL2943">
        <v>0</v>
      </c>
      <c r="AM2943">
        <v>0</v>
      </c>
      <c r="AN2943">
        <v>0</v>
      </c>
      <c r="AO2943">
        <v>0</v>
      </c>
      <c r="AP2943">
        <v>0</v>
      </c>
      <c r="AQ2943">
        <v>16.7</v>
      </c>
      <c r="AR2943">
        <v>0</v>
      </c>
      <c r="AS2943">
        <v>0</v>
      </c>
      <c r="AT2943">
        <v>0</v>
      </c>
      <c r="AU2943">
        <v>0</v>
      </c>
      <c r="AV2943">
        <v>0</v>
      </c>
      <c r="AW2943">
        <v>0</v>
      </c>
      <c r="AX2943">
        <v>0</v>
      </c>
      <c r="AY2943">
        <v>0</v>
      </c>
      <c r="AZ2943">
        <v>0</v>
      </c>
      <c r="BA2943">
        <v>0</v>
      </c>
      <c r="BB2943">
        <v>0</v>
      </c>
      <c r="BC2943">
        <v>0</v>
      </c>
      <c r="BD2943">
        <v>0</v>
      </c>
      <c r="BE2943">
        <v>0</v>
      </c>
      <c r="BF2943">
        <v>0</v>
      </c>
      <c r="BG2943">
        <v>0</v>
      </c>
      <c r="BH2943">
        <v>1</v>
      </c>
      <c r="BI2943">
        <v>2</v>
      </c>
      <c r="BJ2943">
        <v>1.7</v>
      </c>
      <c r="BK2943">
        <v>2</v>
      </c>
      <c r="BL2943">
        <v>54.66</v>
      </c>
      <c r="BM2943">
        <v>8.1999999999999993</v>
      </c>
      <c r="BN2943">
        <v>62.86</v>
      </c>
      <c r="BO2943">
        <v>62.86</v>
      </c>
      <c r="BQ2943" t="s">
        <v>347</v>
      </c>
      <c r="BR2943" t="s">
        <v>84</v>
      </c>
      <c r="BS2943" s="3">
        <v>45800</v>
      </c>
      <c r="BT2943" s="4">
        <v>0.37777777777777777</v>
      </c>
      <c r="BU2943" t="s">
        <v>407</v>
      </c>
      <c r="BV2943" t="s">
        <v>86</v>
      </c>
      <c r="BY2943">
        <v>8512</v>
      </c>
      <c r="CA2943" t="s">
        <v>349</v>
      </c>
      <c r="CC2943" t="s">
        <v>76</v>
      </c>
      <c r="CD2943">
        <v>1619</v>
      </c>
      <c r="CE2943" t="s">
        <v>116</v>
      </c>
      <c r="CF2943" s="3">
        <v>45800</v>
      </c>
      <c r="CI2943">
        <v>1</v>
      </c>
      <c r="CJ2943">
        <v>1</v>
      </c>
      <c r="CK2943">
        <v>22</v>
      </c>
      <c r="CL2943" t="s">
        <v>89</v>
      </c>
    </row>
    <row r="2944" spans="1:90" x14ac:dyDescent="0.3">
      <c r="A2944" t="s">
        <v>72</v>
      </c>
      <c r="B2944" t="s">
        <v>73</v>
      </c>
      <c r="C2944" t="s">
        <v>74</v>
      </c>
      <c r="E2944" t="str">
        <f>"080065515166"</f>
        <v>080065515166</v>
      </c>
      <c r="F2944" s="3">
        <v>45799</v>
      </c>
      <c r="G2944">
        <v>202602</v>
      </c>
      <c r="H2944" t="s">
        <v>75</v>
      </c>
      <c r="I2944" t="s">
        <v>76</v>
      </c>
      <c r="J2944" t="s">
        <v>77</v>
      </c>
      <c r="K2944" t="s">
        <v>78</v>
      </c>
      <c r="L2944" t="s">
        <v>624</v>
      </c>
      <c r="M2944" t="s">
        <v>625</v>
      </c>
      <c r="N2944" t="s">
        <v>626</v>
      </c>
      <c r="O2944" t="s">
        <v>82</v>
      </c>
      <c r="P2944" t="str">
        <f>"4170039769                    "</f>
        <v xml:space="preserve">4170039769                    </v>
      </c>
      <c r="Q2944">
        <v>0</v>
      </c>
      <c r="R2944">
        <v>0</v>
      </c>
      <c r="S2944">
        <v>0</v>
      </c>
      <c r="T2944">
        <v>0</v>
      </c>
      <c r="U2944">
        <v>0</v>
      </c>
      <c r="V2944">
        <v>0</v>
      </c>
      <c r="W2944">
        <v>0</v>
      </c>
      <c r="X2944">
        <v>0</v>
      </c>
      <c r="Y2944">
        <v>0</v>
      </c>
      <c r="Z2944">
        <v>0</v>
      </c>
      <c r="AA2944">
        <v>0</v>
      </c>
      <c r="AB2944">
        <v>0</v>
      </c>
      <c r="AC2944">
        <v>0</v>
      </c>
      <c r="AD2944">
        <v>0</v>
      </c>
      <c r="AE2944">
        <v>0</v>
      </c>
      <c r="AF2944">
        <v>0</v>
      </c>
      <c r="AG2944">
        <v>0</v>
      </c>
      <c r="AH2944">
        <v>0</v>
      </c>
      <c r="AI2944">
        <v>0</v>
      </c>
      <c r="AJ2944">
        <v>0</v>
      </c>
      <c r="AK2944">
        <v>0</v>
      </c>
      <c r="AL2944">
        <v>0</v>
      </c>
      <c r="AM2944">
        <v>0</v>
      </c>
      <c r="AN2944">
        <v>0</v>
      </c>
      <c r="AO2944">
        <v>0</v>
      </c>
      <c r="AP2944">
        <v>0</v>
      </c>
      <c r="AQ2944">
        <v>41.43</v>
      </c>
      <c r="AR2944">
        <v>0</v>
      </c>
      <c r="AS2944">
        <v>0</v>
      </c>
      <c r="AT2944">
        <v>0</v>
      </c>
      <c r="AU2944">
        <v>0</v>
      </c>
      <c r="AV2944">
        <v>0</v>
      </c>
      <c r="AW2944">
        <v>0</v>
      </c>
      <c r="AX2944">
        <v>0</v>
      </c>
      <c r="AY2944">
        <v>0</v>
      </c>
      <c r="AZ2944">
        <v>0</v>
      </c>
      <c r="BA2944">
        <v>0</v>
      </c>
      <c r="BB2944">
        <v>0</v>
      </c>
      <c r="BC2944">
        <v>0</v>
      </c>
      <c r="BD2944">
        <v>0</v>
      </c>
      <c r="BE2944">
        <v>0</v>
      </c>
      <c r="BF2944">
        <v>0</v>
      </c>
      <c r="BG2944">
        <v>0</v>
      </c>
      <c r="BH2944">
        <v>1</v>
      </c>
      <c r="BI2944">
        <v>1</v>
      </c>
      <c r="BJ2944">
        <v>0.2</v>
      </c>
      <c r="BK2944">
        <v>1</v>
      </c>
      <c r="BL2944">
        <v>135.59</v>
      </c>
      <c r="BM2944">
        <v>20.34</v>
      </c>
      <c r="BN2944">
        <v>155.93</v>
      </c>
      <c r="BO2944">
        <v>155.93</v>
      </c>
      <c r="BQ2944" t="s">
        <v>627</v>
      </c>
      <c r="BR2944" t="s">
        <v>84</v>
      </c>
      <c r="BS2944" s="3">
        <v>45800</v>
      </c>
      <c r="BT2944" s="4">
        <v>0.33333333333333331</v>
      </c>
      <c r="BU2944" t="s">
        <v>2977</v>
      </c>
      <c r="BV2944" t="s">
        <v>86</v>
      </c>
      <c r="BY2944">
        <v>1200</v>
      </c>
      <c r="CC2944" t="s">
        <v>625</v>
      </c>
      <c r="CD2944">
        <v>1947</v>
      </c>
      <c r="CE2944" t="s">
        <v>88</v>
      </c>
      <c r="CF2944" s="3">
        <v>45800</v>
      </c>
      <c r="CI2944">
        <v>1</v>
      </c>
      <c r="CJ2944">
        <v>1</v>
      </c>
      <c r="CK2944">
        <v>23</v>
      </c>
      <c r="CL2944" t="s">
        <v>89</v>
      </c>
    </row>
    <row r="2945" spans="1:90" x14ac:dyDescent="0.3">
      <c r="A2945" t="s">
        <v>72</v>
      </c>
      <c r="B2945" t="s">
        <v>73</v>
      </c>
      <c r="C2945" t="s">
        <v>74</v>
      </c>
      <c r="E2945" t="str">
        <f>"080065515214"</f>
        <v>080065515214</v>
      </c>
      <c r="F2945" s="3">
        <v>45799</v>
      </c>
      <c r="G2945">
        <v>202602</v>
      </c>
      <c r="H2945" t="s">
        <v>75</v>
      </c>
      <c r="I2945" t="s">
        <v>76</v>
      </c>
      <c r="J2945" t="s">
        <v>77</v>
      </c>
      <c r="K2945" t="s">
        <v>78</v>
      </c>
      <c r="L2945" t="s">
        <v>177</v>
      </c>
      <c r="M2945" t="s">
        <v>178</v>
      </c>
      <c r="N2945" t="s">
        <v>212</v>
      </c>
      <c r="O2945" t="s">
        <v>82</v>
      </c>
      <c r="P2945" t="str">
        <f>"4170040058                    "</f>
        <v xml:space="preserve">4170040058                    </v>
      </c>
      <c r="Q2945">
        <v>0</v>
      </c>
      <c r="R2945">
        <v>0</v>
      </c>
      <c r="S2945">
        <v>0</v>
      </c>
      <c r="T2945">
        <v>0</v>
      </c>
      <c r="U2945">
        <v>0</v>
      </c>
      <c r="V2945">
        <v>0</v>
      </c>
      <c r="W2945">
        <v>0</v>
      </c>
      <c r="X2945">
        <v>0</v>
      </c>
      <c r="Y2945">
        <v>0</v>
      </c>
      <c r="Z2945">
        <v>0</v>
      </c>
      <c r="AA2945">
        <v>0</v>
      </c>
      <c r="AB2945">
        <v>0</v>
      </c>
      <c r="AC2945">
        <v>0</v>
      </c>
      <c r="AD2945">
        <v>0</v>
      </c>
      <c r="AE2945">
        <v>0</v>
      </c>
      <c r="AF2945">
        <v>0</v>
      </c>
      <c r="AG2945">
        <v>0</v>
      </c>
      <c r="AH2945">
        <v>0</v>
      </c>
      <c r="AI2945">
        <v>0</v>
      </c>
      <c r="AJ2945">
        <v>0</v>
      </c>
      <c r="AK2945">
        <v>0</v>
      </c>
      <c r="AL2945">
        <v>0</v>
      </c>
      <c r="AM2945">
        <v>0</v>
      </c>
      <c r="AN2945">
        <v>0</v>
      </c>
      <c r="AO2945">
        <v>0</v>
      </c>
      <c r="AP2945">
        <v>0</v>
      </c>
      <c r="AQ2945">
        <v>21.38</v>
      </c>
      <c r="AR2945">
        <v>0</v>
      </c>
      <c r="AS2945">
        <v>0</v>
      </c>
      <c r="AT2945">
        <v>0</v>
      </c>
      <c r="AU2945">
        <v>0</v>
      </c>
      <c r="AV2945">
        <v>0</v>
      </c>
      <c r="AW2945">
        <v>0</v>
      </c>
      <c r="AX2945">
        <v>0</v>
      </c>
      <c r="AY2945">
        <v>0</v>
      </c>
      <c r="AZ2945">
        <v>0</v>
      </c>
      <c r="BA2945">
        <v>0</v>
      </c>
      <c r="BB2945">
        <v>0</v>
      </c>
      <c r="BC2945">
        <v>0</v>
      </c>
      <c r="BD2945">
        <v>0</v>
      </c>
      <c r="BE2945">
        <v>0</v>
      </c>
      <c r="BF2945">
        <v>0</v>
      </c>
      <c r="BG2945">
        <v>0</v>
      </c>
      <c r="BH2945">
        <v>1</v>
      </c>
      <c r="BI2945">
        <v>1</v>
      </c>
      <c r="BJ2945">
        <v>0.2</v>
      </c>
      <c r="BK2945">
        <v>1</v>
      </c>
      <c r="BL2945">
        <v>69.98</v>
      </c>
      <c r="BM2945">
        <v>10.5</v>
      </c>
      <c r="BN2945">
        <v>80.48</v>
      </c>
      <c r="BO2945">
        <v>80.48</v>
      </c>
      <c r="BQ2945" t="s">
        <v>213</v>
      </c>
      <c r="BR2945" t="s">
        <v>84</v>
      </c>
      <c r="BS2945" s="3">
        <v>45800</v>
      </c>
      <c r="BT2945" s="4">
        <v>0.41597222222222224</v>
      </c>
      <c r="BU2945" t="s">
        <v>2826</v>
      </c>
      <c r="BV2945" t="s">
        <v>86</v>
      </c>
      <c r="BY2945">
        <v>1200</v>
      </c>
      <c r="CA2945" t="s">
        <v>2957</v>
      </c>
      <c r="CC2945" t="s">
        <v>178</v>
      </c>
      <c r="CD2945">
        <v>6021</v>
      </c>
      <c r="CE2945" t="s">
        <v>88</v>
      </c>
      <c r="CF2945" s="3">
        <v>45800</v>
      </c>
      <c r="CI2945">
        <v>1</v>
      </c>
      <c r="CJ2945">
        <v>1</v>
      </c>
      <c r="CK2945">
        <v>21</v>
      </c>
      <c r="CL2945" t="s">
        <v>89</v>
      </c>
    </row>
    <row r="2946" spans="1:90" x14ac:dyDescent="0.3">
      <c r="A2946" t="s">
        <v>72</v>
      </c>
      <c r="B2946" t="s">
        <v>73</v>
      </c>
      <c r="C2946" t="s">
        <v>74</v>
      </c>
      <c r="E2946" t="str">
        <f>"080065515253"</f>
        <v>080065515253</v>
      </c>
      <c r="F2946" s="3">
        <v>45799</v>
      </c>
      <c r="G2946">
        <v>202602</v>
      </c>
      <c r="H2946" t="s">
        <v>75</v>
      </c>
      <c r="I2946" t="s">
        <v>76</v>
      </c>
      <c r="J2946" t="s">
        <v>77</v>
      </c>
      <c r="K2946" t="s">
        <v>78</v>
      </c>
      <c r="L2946" t="s">
        <v>90</v>
      </c>
      <c r="M2946" t="s">
        <v>91</v>
      </c>
      <c r="N2946" t="s">
        <v>92</v>
      </c>
      <c r="O2946" t="s">
        <v>82</v>
      </c>
      <c r="P2946" t="str">
        <f>"4170040220                    "</f>
        <v xml:space="preserve">4170040220                    </v>
      </c>
      <c r="Q2946">
        <v>0</v>
      </c>
      <c r="R2946">
        <v>0</v>
      </c>
      <c r="S2946">
        <v>0</v>
      </c>
      <c r="T2946">
        <v>0</v>
      </c>
      <c r="U2946">
        <v>0</v>
      </c>
      <c r="V2946">
        <v>0</v>
      </c>
      <c r="W2946">
        <v>0</v>
      </c>
      <c r="X2946">
        <v>0</v>
      </c>
      <c r="Y2946">
        <v>0</v>
      </c>
      <c r="Z2946">
        <v>0</v>
      </c>
      <c r="AA2946">
        <v>0</v>
      </c>
      <c r="AB2946">
        <v>0</v>
      </c>
      <c r="AC2946">
        <v>0</v>
      </c>
      <c r="AD2946">
        <v>0</v>
      </c>
      <c r="AE2946">
        <v>0</v>
      </c>
      <c r="AF2946">
        <v>0</v>
      </c>
      <c r="AG2946">
        <v>0</v>
      </c>
      <c r="AH2946">
        <v>0</v>
      </c>
      <c r="AI2946">
        <v>0</v>
      </c>
      <c r="AJ2946">
        <v>0</v>
      </c>
      <c r="AK2946">
        <v>0</v>
      </c>
      <c r="AL2946">
        <v>0</v>
      </c>
      <c r="AM2946">
        <v>0</v>
      </c>
      <c r="AN2946">
        <v>0</v>
      </c>
      <c r="AO2946">
        <v>0</v>
      </c>
      <c r="AP2946">
        <v>0</v>
      </c>
      <c r="AQ2946">
        <v>21.38</v>
      </c>
      <c r="AR2946">
        <v>0</v>
      </c>
      <c r="AS2946">
        <v>0</v>
      </c>
      <c r="AT2946">
        <v>0</v>
      </c>
      <c r="AU2946">
        <v>0</v>
      </c>
      <c r="AV2946">
        <v>0</v>
      </c>
      <c r="AW2946">
        <v>0</v>
      </c>
      <c r="AX2946">
        <v>0</v>
      </c>
      <c r="AY2946">
        <v>0</v>
      </c>
      <c r="AZ2946">
        <v>0</v>
      </c>
      <c r="BA2946">
        <v>0</v>
      </c>
      <c r="BB2946">
        <v>0</v>
      </c>
      <c r="BC2946">
        <v>0</v>
      </c>
      <c r="BD2946">
        <v>0</v>
      </c>
      <c r="BE2946">
        <v>0</v>
      </c>
      <c r="BF2946">
        <v>0</v>
      </c>
      <c r="BG2946">
        <v>0</v>
      </c>
      <c r="BH2946">
        <v>1</v>
      </c>
      <c r="BI2946">
        <v>1</v>
      </c>
      <c r="BJ2946">
        <v>0.2</v>
      </c>
      <c r="BK2946">
        <v>1</v>
      </c>
      <c r="BL2946">
        <v>69.98</v>
      </c>
      <c r="BM2946">
        <v>10.5</v>
      </c>
      <c r="BN2946">
        <v>80.48</v>
      </c>
      <c r="BO2946">
        <v>80.48</v>
      </c>
      <c r="BQ2946" t="s">
        <v>93</v>
      </c>
      <c r="BR2946" t="s">
        <v>84</v>
      </c>
      <c r="BS2946" s="3">
        <v>45800</v>
      </c>
      <c r="BT2946" s="4">
        <v>0.38611111111111113</v>
      </c>
      <c r="BU2946" t="s">
        <v>94</v>
      </c>
      <c r="BV2946" t="s">
        <v>86</v>
      </c>
      <c r="BY2946">
        <v>1200</v>
      </c>
      <c r="CA2946" t="s">
        <v>95</v>
      </c>
      <c r="CC2946" t="s">
        <v>91</v>
      </c>
      <c r="CD2946">
        <v>6001</v>
      </c>
      <c r="CE2946" t="s">
        <v>88</v>
      </c>
      <c r="CF2946" s="3">
        <v>45800</v>
      </c>
      <c r="CI2946">
        <v>1</v>
      </c>
      <c r="CJ2946">
        <v>1</v>
      </c>
      <c r="CK2946">
        <v>21</v>
      </c>
      <c r="CL2946" t="s">
        <v>89</v>
      </c>
    </row>
    <row r="2947" spans="1:90" x14ac:dyDescent="0.3">
      <c r="A2947" t="s">
        <v>72</v>
      </c>
      <c r="B2947" t="s">
        <v>73</v>
      </c>
      <c r="C2947" t="s">
        <v>74</v>
      </c>
      <c r="E2947" t="str">
        <f>"080065515284"</f>
        <v>080065515284</v>
      </c>
      <c r="F2947" s="3">
        <v>45799</v>
      </c>
      <c r="G2947">
        <v>202602</v>
      </c>
      <c r="H2947" t="s">
        <v>75</v>
      </c>
      <c r="I2947" t="s">
        <v>76</v>
      </c>
      <c r="J2947" t="s">
        <v>77</v>
      </c>
      <c r="K2947" t="s">
        <v>78</v>
      </c>
      <c r="L2947" t="s">
        <v>350</v>
      </c>
      <c r="M2947" t="s">
        <v>351</v>
      </c>
      <c r="N2947" t="s">
        <v>200</v>
      </c>
      <c r="O2947" t="s">
        <v>82</v>
      </c>
      <c r="P2947" t="str">
        <f>"4170040248                    "</f>
        <v xml:space="preserve">4170040248                    </v>
      </c>
      <c r="Q2947">
        <v>0</v>
      </c>
      <c r="R2947">
        <v>0</v>
      </c>
      <c r="S2947">
        <v>0</v>
      </c>
      <c r="T2947">
        <v>0</v>
      </c>
      <c r="U2947">
        <v>0</v>
      </c>
      <c r="V2947">
        <v>0</v>
      </c>
      <c r="W2947">
        <v>0</v>
      </c>
      <c r="X2947">
        <v>0</v>
      </c>
      <c r="Y2947">
        <v>0</v>
      </c>
      <c r="Z2947">
        <v>0</v>
      </c>
      <c r="AA2947">
        <v>0</v>
      </c>
      <c r="AB2947">
        <v>0</v>
      </c>
      <c r="AC2947">
        <v>0</v>
      </c>
      <c r="AD2947">
        <v>0</v>
      </c>
      <c r="AE2947">
        <v>0</v>
      </c>
      <c r="AF2947">
        <v>0</v>
      </c>
      <c r="AG2947">
        <v>0</v>
      </c>
      <c r="AH2947">
        <v>0</v>
      </c>
      <c r="AI2947">
        <v>0</v>
      </c>
      <c r="AJ2947">
        <v>0</v>
      </c>
      <c r="AK2947">
        <v>0</v>
      </c>
      <c r="AL2947">
        <v>0</v>
      </c>
      <c r="AM2947">
        <v>0</v>
      </c>
      <c r="AN2947">
        <v>0</v>
      </c>
      <c r="AO2947">
        <v>0</v>
      </c>
      <c r="AP2947">
        <v>0</v>
      </c>
      <c r="AQ2947">
        <v>21.38</v>
      </c>
      <c r="AR2947">
        <v>0</v>
      </c>
      <c r="AS2947">
        <v>0</v>
      </c>
      <c r="AT2947">
        <v>0</v>
      </c>
      <c r="AU2947">
        <v>0</v>
      </c>
      <c r="AV2947">
        <v>0</v>
      </c>
      <c r="AW2947">
        <v>0</v>
      </c>
      <c r="AX2947">
        <v>0</v>
      </c>
      <c r="AY2947">
        <v>0</v>
      </c>
      <c r="AZ2947">
        <v>0</v>
      </c>
      <c r="BA2947">
        <v>0</v>
      </c>
      <c r="BB2947">
        <v>0</v>
      </c>
      <c r="BC2947">
        <v>0</v>
      </c>
      <c r="BD2947">
        <v>0</v>
      </c>
      <c r="BE2947">
        <v>0</v>
      </c>
      <c r="BF2947">
        <v>0</v>
      </c>
      <c r="BG2947">
        <v>0</v>
      </c>
      <c r="BH2947">
        <v>1</v>
      </c>
      <c r="BI2947">
        <v>1</v>
      </c>
      <c r="BJ2947">
        <v>0.2</v>
      </c>
      <c r="BK2947">
        <v>1</v>
      </c>
      <c r="BL2947">
        <v>69.98</v>
      </c>
      <c r="BM2947">
        <v>10.5</v>
      </c>
      <c r="BN2947">
        <v>80.48</v>
      </c>
      <c r="BO2947">
        <v>80.48</v>
      </c>
      <c r="BQ2947" t="s">
        <v>201</v>
      </c>
      <c r="BR2947" t="s">
        <v>84</v>
      </c>
      <c r="BS2947" s="3">
        <v>45800</v>
      </c>
      <c r="BT2947" s="4">
        <v>0.37569444444444444</v>
      </c>
      <c r="BU2947" t="s">
        <v>2978</v>
      </c>
      <c r="BV2947" t="s">
        <v>86</v>
      </c>
      <c r="BY2947">
        <v>1200</v>
      </c>
      <c r="CA2947" t="s">
        <v>879</v>
      </c>
      <c r="CC2947" t="s">
        <v>351</v>
      </c>
      <c r="CD2947">
        <v>4001</v>
      </c>
      <c r="CE2947" t="s">
        <v>88</v>
      </c>
      <c r="CF2947" s="3">
        <v>45800</v>
      </c>
      <c r="CI2947">
        <v>1</v>
      </c>
      <c r="CJ2947">
        <v>1</v>
      </c>
      <c r="CK2947">
        <v>21</v>
      </c>
      <c r="CL2947" t="s">
        <v>89</v>
      </c>
    </row>
    <row r="2948" spans="1:90" x14ac:dyDescent="0.3">
      <c r="A2948" t="s">
        <v>72</v>
      </c>
      <c r="B2948" t="s">
        <v>73</v>
      </c>
      <c r="C2948" t="s">
        <v>74</v>
      </c>
      <c r="E2948" t="str">
        <f>"080065515297"</f>
        <v>080065515297</v>
      </c>
      <c r="F2948" s="3">
        <v>45799</v>
      </c>
      <c r="G2948">
        <v>202602</v>
      </c>
      <c r="H2948" t="s">
        <v>75</v>
      </c>
      <c r="I2948" t="s">
        <v>76</v>
      </c>
      <c r="J2948" t="s">
        <v>77</v>
      </c>
      <c r="K2948" t="s">
        <v>78</v>
      </c>
      <c r="L2948" t="s">
        <v>624</v>
      </c>
      <c r="M2948" t="s">
        <v>625</v>
      </c>
      <c r="N2948" t="s">
        <v>626</v>
      </c>
      <c r="O2948" t="s">
        <v>82</v>
      </c>
      <c r="P2948" t="str">
        <f>"4170038683                    "</f>
        <v xml:space="preserve">4170038683                    </v>
      </c>
      <c r="Q2948">
        <v>0</v>
      </c>
      <c r="R2948">
        <v>0</v>
      </c>
      <c r="S2948">
        <v>0</v>
      </c>
      <c r="T2948">
        <v>0</v>
      </c>
      <c r="U2948">
        <v>0</v>
      </c>
      <c r="V2948">
        <v>0</v>
      </c>
      <c r="W2948">
        <v>0</v>
      </c>
      <c r="X2948">
        <v>0</v>
      </c>
      <c r="Y2948">
        <v>0</v>
      </c>
      <c r="Z2948">
        <v>0</v>
      </c>
      <c r="AA2948">
        <v>0</v>
      </c>
      <c r="AB2948">
        <v>0</v>
      </c>
      <c r="AC2948">
        <v>0</v>
      </c>
      <c r="AD2948">
        <v>0</v>
      </c>
      <c r="AE2948">
        <v>0</v>
      </c>
      <c r="AF2948">
        <v>0</v>
      </c>
      <c r="AG2948">
        <v>0</v>
      </c>
      <c r="AH2948">
        <v>0</v>
      </c>
      <c r="AI2948">
        <v>0</v>
      </c>
      <c r="AJ2948">
        <v>0</v>
      </c>
      <c r="AK2948">
        <v>0</v>
      </c>
      <c r="AL2948">
        <v>0</v>
      </c>
      <c r="AM2948">
        <v>0</v>
      </c>
      <c r="AN2948">
        <v>0</v>
      </c>
      <c r="AO2948">
        <v>0</v>
      </c>
      <c r="AP2948">
        <v>0</v>
      </c>
      <c r="AQ2948">
        <v>41.43</v>
      </c>
      <c r="AR2948">
        <v>0</v>
      </c>
      <c r="AS2948">
        <v>0</v>
      </c>
      <c r="AT2948">
        <v>0</v>
      </c>
      <c r="AU2948">
        <v>0</v>
      </c>
      <c r="AV2948">
        <v>0</v>
      </c>
      <c r="AW2948">
        <v>0</v>
      </c>
      <c r="AX2948">
        <v>0</v>
      </c>
      <c r="AY2948">
        <v>0</v>
      </c>
      <c r="AZ2948">
        <v>0</v>
      </c>
      <c r="BA2948">
        <v>0</v>
      </c>
      <c r="BB2948">
        <v>0</v>
      </c>
      <c r="BC2948">
        <v>0</v>
      </c>
      <c r="BD2948">
        <v>0</v>
      </c>
      <c r="BE2948">
        <v>0</v>
      </c>
      <c r="BF2948">
        <v>0</v>
      </c>
      <c r="BG2948">
        <v>0</v>
      </c>
      <c r="BH2948">
        <v>1</v>
      </c>
      <c r="BI2948">
        <v>1</v>
      </c>
      <c r="BJ2948">
        <v>0.2</v>
      </c>
      <c r="BK2948">
        <v>1</v>
      </c>
      <c r="BL2948">
        <v>135.59</v>
      </c>
      <c r="BM2948">
        <v>20.34</v>
      </c>
      <c r="BN2948">
        <v>155.93</v>
      </c>
      <c r="BO2948">
        <v>155.93</v>
      </c>
      <c r="BQ2948" t="s">
        <v>627</v>
      </c>
      <c r="BR2948" t="s">
        <v>84</v>
      </c>
      <c r="BS2948" s="3">
        <v>45800</v>
      </c>
      <c r="BT2948" s="4">
        <v>0.33333333333333331</v>
      </c>
      <c r="BU2948" t="s">
        <v>2977</v>
      </c>
      <c r="BV2948" t="s">
        <v>86</v>
      </c>
      <c r="BY2948">
        <v>1200</v>
      </c>
      <c r="CC2948" t="s">
        <v>625</v>
      </c>
      <c r="CD2948">
        <v>1947</v>
      </c>
      <c r="CE2948" t="s">
        <v>88</v>
      </c>
      <c r="CF2948" s="3">
        <v>45800</v>
      </c>
      <c r="CI2948">
        <v>1</v>
      </c>
      <c r="CJ2948">
        <v>1</v>
      </c>
      <c r="CK2948">
        <v>23</v>
      </c>
      <c r="CL2948" t="s">
        <v>89</v>
      </c>
    </row>
    <row r="2949" spans="1:90" x14ac:dyDescent="0.3">
      <c r="A2949" t="s">
        <v>72</v>
      </c>
      <c r="B2949" t="s">
        <v>73</v>
      </c>
      <c r="C2949" t="s">
        <v>74</v>
      </c>
      <c r="E2949" t="str">
        <f>"080065515315"</f>
        <v>080065515315</v>
      </c>
      <c r="F2949" s="3">
        <v>45799</v>
      </c>
      <c r="G2949">
        <v>202602</v>
      </c>
      <c r="H2949" t="s">
        <v>75</v>
      </c>
      <c r="I2949" t="s">
        <v>76</v>
      </c>
      <c r="J2949" t="s">
        <v>77</v>
      </c>
      <c r="K2949" t="s">
        <v>78</v>
      </c>
      <c r="L2949" t="s">
        <v>97</v>
      </c>
      <c r="M2949" t="s">
        <v>98</v>
      </c>
      <c r="N2949" t="s">
        <v>1061</v>
      </c>
      <c r="O2949" t="s">
        <v>82</v>
      </c>
      <c r="P2949" t="str">
        <f>"4170040233                    "</f>
        <v xml:space="preserve">4170040233                    </v>
      </c>
      <c r="Q2949">
        <v>0</v>
      </c>
      <c r="R2949">
        <v>0</v>
      </c>
      <c r="S2949">
        <v>0</v>
      </c>
      <c r="T2949">
        <v>0</v>
      </c>
      <c r="U2949">
        <v>0</v>
      </c>
      <c r="V2949">
        <v>0</v>
      </c>
      <c r="W2949">
        <v>0</v>
      </c>
      <c r="X2949">
        <v>0</v>
      </c>
      <c r="Y2949">
        <v>0</v>
      </c>
      <c r="Z2949">
        <v>0</v>
      </c>
      <c r="AA2949">
        <v>0</v>
      </c>
      <c r="AB2949">
        <v>0</v>
      </c>
      <c r="AC2949">
        <v>0</v>
      </c>
      <c r="AD2949">
        <v>0</v>
      </c>
      <c r="AE2949">
        <v>0</v>
      </c>
      <c r="AF2949">
        <v>0</v>
      </c>
      <c r="AG2949">
        <v>0</v>
      </c>
      <c r="AH2949">
        <v>0</v>
      </c>
      <c r="AI2949">
        <v>0</v>
      </c>
      <c r="AJ2949">
        <v>0</v>
      </c>
      <c r="AK2949">
        <v>0</v>
      </c>
      <c r="AL2949">
        <v>0</v>
      </c>
      <c r="AM2949">
        <v>0</v>
      </c>
      <c r="AN2949">
        <v>0</v>
      </c>
      <c r="AO2949">
        <v>0</v>
      </c>
      <c r="AP2949">
        <v>0</v>
      </c>
      <c r="AQ2949">
        <v>16.7</v>
      </c>
      <c r="AR2949">
        <v>0</v>
      </c>
      <c r="AS2949">
        <v>0</v>
      </c>
      <c r="AT2949">
        <v>0</v>
      </c>
      <c r="AU2949">
        <v>0</v>
      </c>
      <c r="AV2949">
        <v>0</v>
      </c>
      <c r="AW2949">
        <v>0</v>
      </c>
      <c r="AX2949">
        <v>0</v>
      </c>
      <c r="AY2949">
        <v>0</v>
      </c>
      <c r="AZ2949">
        <v>0</v>
      </c>
      <c r="BA2949">
        <v>0</v>
      </c>
      <c r="BB2949">
        <v>0</v>
      </c>
      <c r="BC2949">
        <v>0</v>
      </c>
      <c r="BD2949">
        <v>0</v>
      </c>
      <c r="BE2949">
        <v>0</v>
      </c>
      <c r="BF2949">
        <v>0</v>
      </c>
      <c r="BG2949">
        <v>0</v>
      </c>
      <c r="BH2949">
        <v>1</v>
      </c>
      <c r="BI2949">
        <v>1</v>
      </c>
      <c r="BJ2949">
        <v>0.2</v>
      </c>
      <c r="BK2949">
        <v>1</v>
      </c>
      <c r="BL2949">
        <v>54.66</v>
      </c>
      <c r="BM2949">
        <v>8.1999999999999993</v>
      </c>
      <c r="BN2949">
        <v>62.86</v>
      </c>
      <c r="BO2949">
        <v>62.86</v>
      </c>
      <c r="BQ2949" t="s">
        <v>1062</v>
      </c>
      <c r="BR2949" t="s">
        <v>84</v>
      </c>
      <c r="BS2949" s="3">
        <v>45804</v>
      </c>
      <c r="BT2949" s="4">
        <v>0.43263888888888891</v>
      </c>
      <c r="BU2949" t="s">
        <v>2275</v>
      </c>
      <c r="BV2949" t="s">
        <v>89</v>
      </c>
      <c r="BW2949" t="s">
        <v>148</v>
      </c>
      <c r="BX2949" t="s">
        <v>1064</v>
      </c>
      <c r="BY2949">
        <v>1200</v>
      </c>
      <c r="CC2949" t="s">
        <v>98</v>
      </c>
      <c r="CD2949">
        <v>1459</v>
      </c>
      <c r="CE2949" t="s">
        <v>88</v>
      </c>
      <c r="CF2949" s="3">
        <v>45805</v>
      </c>
      <c r="CI2949">
        <v>1</v>
      </c>
      <c r="CJ2949">
        <v>3</v>
      </c>
      <c r="CK2949">
        <v>22</v>
      </c>
      <c r="CL2949" t="s">
        <v>89</v>
      </c>
    </row>
    <row r="2950" spans="1:90" x14ac:dyDescent="0.3">
      <c r="A2950" t="s">
        <v>72</v>
      </c>
      <c r="B2950" t="s">
        <v>73</v>
      </c>
      <c r="C2950" t="s">
        <v>74</v>
      </c>
      <c r="E2950" t="str">
        <f>"080065515339"</f>
        <v>080065515339</v>
      </c>
      <c r="F2950" s="3">
        <v>45799</v>
      </c>
      <c r="G2950">
        <v>202602</v>
      </c>
      <c r="H2950" t="s">
        <v>75</v>
      </c>
      <c r="I2950" t="s">
        <v>76</v>
      </c>
      <c r="J2950" t="s">
        <v>77</v>
      </c>
      <c r="K2950" t="s">
        <v>78</v>
      </c>
      <c r="L2950" t="s">
        <v>123</v>
      </c>
      <c r="M2950" t="s">
        <v>123</v>
      </c>
      <c r="N2950" t="s">
        <v>1700</v>
      </c>
      <c r="O2950" t="s">
        <v>82</v>
      </c>
      <c r="P2950" t="str">
        <f>"4170040133                    "</f>
        <v xml:space="preserve">4170040133                    </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c r="AI2950">
        <v>0</v>
      </c>
      <c r="AJ2950">
        <v>0</v>
      </c>
      <c r="AK2950">
        <v>0</v>
      </c>
      <c r="AL2950">
        <v>0</v>
      </c>
      <c r="AM2950">
        <v>0</v>
      </c>
      <c r="AN2950">
        <v>0</v>
      </c>
      <c r="AO2950">
        <v>0</v>
      </c>
      <c r="AP2950">
        <v>0</v>
      </c>
      <c r="AQ2950">
        <v>41.43</v>
      </c>
      <c r="AR2950">
        <v>0</v>
      </c>
      <c r="AS2950">
        <v>0</v>
      </c>
      <c r="AT2950">
        <v>0</v>
      </c>
      <c r="AU2950">
        <v>0</v>
      </c>
      <c r="AV2950">
        <v>0</v>
      </c>
      <c r="AW2950">
        <v>0</v>
      </c>
      <c r="AX2950">
        <v>0</v>
      </c>
      <c r="AY2950">
        <v>0</v>
      </c>
      <c r="AZ2950">
        <v>0</v>
      </c>
      <c r="BA2950">
        <v>0</v>
      </c>
      <c r="BB2950">
        <v>0</v>
      </c>
      <c r="BC2950">
        <v>0</v>
      </c>
      <c r="BD2950">
        <v>0</v>
      </c>
      <c r="BE2950">
        <v>0</v>
      </c>
      <c r="BF2950">
        <v>0</v>
      </c>
      <c r="BG2950">
        <v>0</v>
      </c>
      <c r="BH2950">
        <v>1</v>
      </c>
      <c r="BI2950">
        <v>1</v>
      </c>
      <c r="BJ2950">
        <v>0.2</v>
      </c>
      <c r="BK2950">
        <v>1</v>
      </c>
      <c r="BL2950">
        <v>135.59</v>
      </c>
      <c r="BM2950">
        <v>20.34</v>
      </c>
      <c r="BN2950">
        <v>155.93</v>
      </c>
      <c r="BO2950">
        <v>155.93</v>
      </c>
      <c r="BQ2950" t="s">
        <v>1701</v>
      </c>
      <c r="BR2950" t="s">
        <v>84</v>
      </c>
      <c r="BS2950" s="3">
        <v>45800</v>
      </c>
      <c r="BT2950" s="4">
        <v>0.52083333333333337</v>
      </c>
      <c r="BU2950" t="s">
        <v>329</v>
      </c>
      <c r="BV2950" t="s">
        <v>86</v>
      </c>
      <c r="BY2950">
        <v>1200</v>
      </c>
      <c r="CA2950" t="s">
        <v>128</v>
      </c>
      <c r="CC2950" t="s">
        <v>123</v>
      </c>
      <c r="CD2950">
        <v>7646</v>
      </c>
      <c r="CE2950" t="s">
        <v>88</v>
      </c>
      <c r="CF2950" s="3">
        <v>45803</v>
      </c>
      <c r="CI2950">
        <v>1</v>
      </c>
      <c r="CJ2950">
        <v>1</v>
      </c>
      <c r="CK2950">
        <v>23</v>
      </c>
      <c r="CL2950" t="s">
        <v>89</v>
      </c>
    </row>
    <row r="2951" spans="1:90" x14ac:dyDescent="0.3">
      <c r="A2951" t="s">
        <v>72</v>
      </c>
      <c r="B2951" t="s">
        <v>73</v>
      </c>
      <c r="C2951" t="s">
        <v>74</v>
      </c>
      <c r="E2951" t="str">
        <f>"080065515415"</f>
        <v>080065515415</v>
      </c>
      <c r="F2951" s="3">
        <v>45799</v>
      </c>
      <c r="G2951">
        <v>202602</v>
      </c>
      <c r="H2951" t="s">
        <v>75</v>
      </c>
      <c r="I2951" t="s">
        <v>76</v>
      </c>
      <c r="J2951" t="s">
        <v>77</v>
      </c>
      <c r="K2951" t="s">
        <v>78</v>
      </c>
      <c r="L2951" t="s">
        <v>136</v>
      </c>
      <c r="M2951" t="s">
        <v>137</v>
      </c>
      <c r="N2951" t="s">
        <v>1090</v>
      </c>
      <c r="O2951" t="s">
        <v>82</v>
      </c>
      <c r="P2951" t="str">
        <f>"4170040255                    "</f>
        <v xml:space="preserve">4170040255                    </v>
      </c>
      <c r="Q2951">
        <v>0</v>
      </c>
      <c r="R2951">
        <v>0</v>
      </c>
      <c r="S2951">
        <v>0</v>
      </c>
      <c r="T2951">
        <v>0</v>
      </c>
      <c r="U2951">
        <v>0</v>
      </c>
      <c r="V2951">
        <v>0</v>
      </c>
      <c r="W2951">
        <v>0</v>
      </c>
      <c r="X2951">
        <v>0</v>
      </c>
      <c r="Y2951">
        <v>0</v>
      </c>
      <c r="Z2951">
        <v>0</v>
      </c>
      <c r="AA2951">
        <v>0</v>
      </c>
      <c r="AB2951">
        <v>0</v>
      </c>
      <c r="AC2951">
        <v>0</v>
      </c>
      <c r="AD2951">
        <v>0</v>
      </c>
      <c r="AE2951">
        <v>0</v>
      </c>
      <c r="AF2951">
        <v>0</v>
      </c>
      <c r="AG2951">
        <v>0</v>
      </c>
      <c r="AH2951">
        <v>0</v>
      </c>
      <c r="AI2951">
        <v>0</v>
      </c>
      <c r="AJ2951">
        <v>0</v>
      </c>
      <c r="AK2951">
        <v>0</v>
      </c>
      <c r="AL2951">
        <v>0</v>
      </c>
      <c r="AM2951">
        <v>0</v>
      </c>
      <c r="AN2951">
        <v>0</v>
      </c>
      <c r="AO2951">
        <v>0</v>
      </c>
      <c r="AP2951">
        <v>0</v>
      </c>
      <c r="AQ2951">
        <v>21.38</v>
      </c>
      <c r="AR2951">
        <v>0</v>
      </c>
      <c r="AS2951">
        <v>0</v>
      </c>
      <c r="AT2951">
        <v>0</v>
      </c>
      <c r="AU2951">
        <v>0</v>
      </c>
      <c r="AV2951">
        <v>0</v>
      </c>
      <c r="AW2951">
        <v>0</v>
      </c>
      <c r="AX2951">
        <v>0</v>
      </c>
      <c r="AY2951">
        <v>0</v>
      </c>
      <c r="AZ2951">
        <v>0</v>
      </c>
      <c r="BA2951">
        <v>0</v>
      </c>
      <c r="BB2951">
        <v>0</v>
      </c>
      <c r="BC2951">
        <v>0</v>
      </c>
      <c r="BD2951">
        <v>0</v>
      </c>
      <c r="BE2951">
        <v>0</v>
      </c>
      <c r="BF2951">
        <v>0</v>
      </c>
      <c r="BG2951">
        <v>0</v>
      </c>
      <c r="BH2951">
        <v>1</v>
      </c>
      <c r="BI2951">
        <v>1</v>
      </c>
      <c r="BJ2951">
        <v>0.2</v>
      </c>
      <c r="BK2951">
        <v>1</v>
      </c>
      <c r="BL2951">
        <v>69.98</v>
      </c>
      <c r="BM2951">
        <v>10.5</v>
      </c>
      <c r="BN2951">
        <v>80.48</v>
      </c>
      <c r="BO2951">
        <v>80.48</v>
      </c>
      <c r="BQ2951" t="s">
        <v>1091</v>
      </c>
      <c r="BR2951" t="s">
        <v>84</v>
      </c>
      <c r="BS2951" s="3">
        <v>45800</v>
      </c>
      <c r="BT2951" s="4">
        <v>0.43263888888888891</v>
      </c>
      <c r="BU2951" t="s">
        <v>1719</v>
      </c>
      <c r="BV2951" t="s">
        <v>86</v>
      </c>
      <c r="BY2951">
        <v>1200</v>
      </c>
      <c r="CA2951" t="s">
        <v>2966</v>
      </c>
      <c r="CC2951" t="s">
        <v>137</v>
      </c>
      <c r="CD2951" s="5" t="s">
        <v>738</v>
      </c>
      <c r="CE2951" t="s">
        <v>88</v>
      </c>
      <c r="CF2951" s="3">
        <v>45801</v>
      </c>
      <c r="CI2951">
        <v>1</v>
      </c>
      <c r="CJ2951">
        <v>1</v>
      </c>
      <c r="CK2951">
        <v>21</v>
      </c>
      <c r="CL2951" t="s">
        <v>89</v>
      </c>
    </row>
    <row r="2952" spans="1:90" x14ac:dyDescent="0.3">
      <c r="A2952" t="s">
        <v>72</v>
      </c>
      <c r="B2952" t="s">
        <v>73</v>
      </c>
      <c r="C2952" t="s">
        <v>74</v>
      </c>
      <c r="E2952" t="str">
        <f>"080065515444"</f>
        <v>080065515444</v>
      </c>
      <c r="F2952" s="3">
        <v>45799</v>
      </c>
      <c r="G2952">
        <v>202602</v>
      </c>
      <c r="H2952" t="s">
        <v>75</v>
      </c>
      <c r="I2952" t="s">
        <v>76</v>
      </c>
      <c r="J2952" t="s">
        <v>77</v>
      </c>
      <c r="K2952" t="s">
        <v>78</v>
      </c>
      <c r="L2952" t="s">
        <v>130</v>
      </c>
      <c r="M2952" t="s">
        <v>131</v>
      </c>
      <c r="N2952" t="s">
        <v>343</v>
      </c>
      <c r="O2952" t="s">
        <v>82</v>
      </c>
      <c r="P2952" t="str">
        <f>"4170040242                    "</f>
        <v xml:space="preserve">4170040242                    </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0</v>
      </c>
      <c r="AJ2952">
        <v>0</v>
      </c>
      <c r="AK2952">
        <v>0</v>
      </c>
      <c r="AL2952">
        <v>0</v>
      </c>
      <c r="AM2952">
        <v>0</v>
      </c>
      <c r="AN2952">
        <v>0</v>
      </c>
      <c r="AO2952">
        <v>0</v>
      </c>
      <c r="AP2952">
        <v>0</v>
      </c>
      <c r="AQ2952">
        <v>21.38</v>
      </c>
      <c r="AR2952">
        <v>0</v>
      </c>
      <c r="AS2952">
        <v>0</v>
      </c>
      <c r="AT2952">
        <v>0</v>
      </c>
      <c r="AU2952">
        <v>0</v>
      </c>
      <c r="AV2952">
        <v>0</v>
      </c>
      <c r="AW2952">
        <v>0</v>
      </c>
      <c r="AX2952">
        <v>0</v>
      </c>
      <c r="AY2952">
        <v>0</v>
      </c>
      <c r="AZ2952">
        <v>0</v>
      </c>
      <c r="BA2952">
        <v>0</v>
      </c>
      <c r="BB2952">
        <v>0</v>
      </c>
      <c r="BC2952">
        <v>0</v>
      </c>
      <c r="BD2952">
        <v>0</v>
      </c>
      <c r="BE2952">
        <v>0</v>
      </c>
      <c r="BF2952">
        <v>0</v>
      </c>
      <c r="BG2952">
        <v>0</v>
      </c>
      <c r="BH2952">
        <v>1</v>
      </c>
      <c r="BI2952">
        <v>1</v>
      </c>
      <c r="BJ2952">
        <v>0.2</v>
      </c>
      <c r="BK2952">
        <v>1</v>
      </c>
      <c r="BL2952">
        <v>69.98</v>
      </c>
      <c r="BM2952">
        <v>10.5</v>
      </c>
      <c r="BN2952">
        <v>80.48</v>
      </c>
      <c r="BO2952">
        <v>80.48</v>
      </c>
      <c r="BQ2952" t="s">
        <v>344</v>
      </c>
      <c r="BR2952" t="s">
        <v>84</v>
      </c>
      <c r="BS2952" s="3">
        <v>45800</v>
      </c>
      <c r="BT2952" s="4">
        <v>0.40069444444444446</v>
      </c>
      <c r="BU2952" t="s">
        <v>2979</v>
      </c>
      <c r="BV2952" t="s">
        <v>86</v>
      </c>
      <c r="BY2952">
        <v>1200</v>
      </c>
      <c r="CA2952" t="s">
        <v>242</v>
      </c>
      <c r="CC2952" t="s">
        <v>131</v>
      </c>
      <c r="CD2952">
        <v>7441</v>
      </c>
      <c r="CE2952" t="s">
        <v>88</v>
      </c>
      <c r="CF2952" s="3">
        <v>45803</v>
      </c>
      <c r="CI2952">
        <v>1</v>
      </c>
      <c r="CJ2952">
        <v>1</v>
      </c>
      <c r="CK2952">
        <v>21</v>
      </c>
      <c r="CL2952" t="s">
        <v>89</v>
      </c>
    </row>
    <row r="2953" spans="1:90" x14ac:dyDescent="0.3">
      <c r="A2953" t="s">
        <v>72</v>
      </c>
      <c r="B2953" t="s">
        <v>73</v>
      </c>
      <c r="C2953" t="s">
        <v>74</v>
      </c>
      <c r="E2953" t="str">
        <f>"080065515464"</f>
        <v>080065515464</v>
      </c>
      <c r="F2953" s="3">
        <v>45799</v>
      </c>
      <c r="G2953">
        <v>202602</v>
      </c>
      <c r="H2953" t="s">
        <v>75</v>
      </c>
      <c r="I2953" t="s">
        <v>76</v>
      </c>
      <c r="J2953" t="s">
        <v>77</v>
      </c>
      <c r="K2953" t="s">
        <v>78</v>
      </c>
      <c r="L2953" t="s">
        <v>75</v>
      </c>
      <c r="M2953" t="s">
        <v>76</v>
      </c>
      <c r="N2953" t="s">
        <v>390</v>
      </c>
      <c r="O2953" t="s">
        <v>82</v>
      </c>
      <c r="P2953" t="str">
        <f>"4170040250                    "</f>
        <v xml:space="preserve">4170040250                    </v>
      </c>
      <c r="Q2953">
        <v>0</v>
      </c>
      <c r="R2953">
        <v>0</v>
      </c>
      <c r="S2953">
        <v>0</v>
      </c>
      <c r="T2953">
        <v>0</v>
      </c>
      <c r="U2953">
        <v>0</v>
      </c>
      <c r="V2953">
        <v>0</v>
      </c>
      <c r="W2953">
        <v>0</v>
      </c>
      <c r="X2953">
        <v>0</v>
      </c>
      <c r="Y2953">
        <v>0</v>
      </c>
      <c r="Z2953">
        <v>0</v>
      </c>
      <c r="AA2953">
        <v>0</v>
      </c>
      <c r="AB2953">
        <v>0</v>
      </c>
      <c r="AC2953">
        <v>0</v>
      </c>
      <c r="AD2953">
        <v>0</v>
      </c>
      <c r="AE2953">
        <v>0</v>
      </c>
      <c r="AF2953">
        <v>0</v>
      </c>
      <c r="AG2953">
        <v>0</v>
      </c>
      <c r="AH2953">
        <v>0</v>
      </c>
      <c r="AI2953">
        <v>0</v>
      </c>
      <c r="AJ2953">
        <v>0</v>
      </c>
      <c r="AK2953">
        <v>0</v>
      </c>
      <c r="AL2953">
        <v>0</v>
      </c>
      <c r="AM2953">
        <v>0</v>
      </c>
      <c r="AN2953">
        <v>0</v>
      </c>
      <c r="AO2953">
        <v>0</v>
      </c>
      <c r="AP2953">
        <v>0</v>
      </c>
      <c r="AQ2953">
        <v>16.7</v>
      </c>
      <c r="AR2953">
        <v>0</v>
      </c>
      <c r="AS2953">
        <v>0</v>
      </c>
      <c r="AT2953">
        <v>0</v>
      </c>
      <c r="AU2953">
        <v>0</v>
      </c>
      <c r="AV2953">
        <v>0</v>
      </c>
      <c r="AW2953">
        <v>0</v>
      </c>
      <c r="AX2953">
        <v>0</v>
      </c>
      <c r="AY2953">
        <v>0</v>
      </c>
      <c r="AZ2953">
        <v>0</v>
      </c>
      <c r="BA2953">
        <v>0</v>
      </c>
      <c r="BB2953">
        <v>0</v>
      </c>
      <c r="BC2953">
        <v>0</v>
      </c>
      <c r="BD2953">
        <v>0</v>
      </c>
      <c r="BE2953">
        <v>0</v>
      </c>
      <c r="BF2953">
        <v>0</v>
      </c>
      <c r="BG2953">
        <v>0</v>
      </c>
      <c r="BH2953">
        <v>1</v>
      </c>
      <c r="BI2953">
        <v>1</v>
      </c>
      <c r="BJ2953">
        <v>0.2</v>
      </c>
      <c r="BK2953">
        <v>1</v>
      </c>
      <c r="BL2953">
        <v>54.66</v>
      </c>
      <c r="BM2953">
        <v>8.1999999999999993</v>
      </c>
      <c r="BN2953">
        <v>62.86</v>
      </c>
      <c r="BO2953">
        <v>62.86</v>
      </c>
      <c r="BQ2953" t="s">
        <v>391</v>
      </c>
      <c r="BR2953" t="s">
        <v>84</v>
      </c>
      <c r="BS2953" s="3">
        <v>45800</v>
      </c>
      <c r="BT2953" s="4">
        <v>0.35208333333333336</v>
      </c>
      <c r="BU2953" t="s">
        <v>1660</v>
      </c>
      <c r="BV2953" t="s">
        <v>86</v>
      </c>
      <c r="BY2953">
        <v>1200</v>
      </c>
      <c r="CA2953" t="s">
        <v>115</v>
      </c>
      <c r="CC2953" t="s">
        <v>76</v>
      </c>
      <c r="CD2953">
        <v>1600</v>
      </c>
      <c r="CE2953" t="s">
        <v>88</v>
      </c>
      <c r="CF2953" s="3">
        <v>45800</v>
      </c>
      <c r="CI2953">
        <v>1</v>
      </c>
      <c r="CJ2953">
        <v>1</v>
      </c>
      <c r="CK2953">
        <v>22</v>
      </c>
      <c r="CL2953" t="s">
        <v>89</v>
      </c>
    </row>
    <row r="2954" spans="1:90" x14ac:dyDescent="0.3">
      <c r="A2954" t="s">
        <v>72</v>
      </c>
      <c r="B2954" t="s">
        <v>73</v>
      </c>
      <c r="C2954" t="s">
        <v>74</v>
      </c>
      <c r="E2954" t="str">
        <f>"080065515478"</f>
        <v>080065515478</v>
      </c>
      <c r="F2954" s="3">
        <v>45799</v>
      </c>
      <c r="G2954">
        <v>202602</v>
      </c>
      <c r="H2954" t="s">
        <v>75</v>
      </c>
      <c r="I2954" t="s">
        <v>76</v>
      </c>
      <c r="J2954" t="s">
        <v>77</v>
      </c>
      <c r="K2954" t="s">
        <v>78</v>
      </c>
      <c r="L2954" t="s">
        <v>90</v>
      </c>
      <c r="M2954" t="s">
        <v>91</v>
      </c>
      <c r="N2954" t="s">
        <v>2980</v>
      </c>
      <c r="O2954" t="s">
        <v>300</v>
      </c>
      <c r="P2954" t="str">
        <f>"4170040184                    "</f>
        <v xml:space="preserve">4170040184                    </v>
      </c>
      <c r="Q2954">
        <v>0</v>
      </c>
      <c r="R2954">
        <v>0</v>
      </c>
      <c r="S2954">
        <v>0</v>
      </c>
      <c r="T2954">
        <v>0</v>
      </c>
      <c r="U2954">
        <v>0</v>
      </c>
      <c r="V2954">
        <v>0</v>
      </c>
      <c r="W2954">
        <v>0</v>
      </c>
      <c r="X2954">
        <v>0</v>
      </c>
      <c r="Y2954">
        <v>0</v>
      </c>
      <c r="Z2954">
        <v>0</v>
      </c>
      <c r="AA2954">
        <v>0</v>
      </c>
      <c r="AB2954">
        <v>0</v>
      </c>
      <c r="AC2954">
        <v>0</v>
      </c>
      <c r="AD2954">
        <v>0</v>
      </c>
      <c r="AE2954">
        <v>0</v>
      </c>
      <c r="AF2954">
        <v>0</v>
      </c>
      <c r="AG2954">
        <v>0</v>
      </c>
      <c r="AH2954">
        <v>0</v>
      </c>
      <c r="AI2954">
        <v>0</v>
      </c>
      <c r="AJ2954">
        <v>0</v>
      </c>
      <c r="AK2954">
        <v>0</v>
      </c>
      <c r="AL2954">
        <v>0</v>
      </c>
      <c r="AM2954">
        <v>0</v>
      </c>
      <c r="AN2954">
        <v>0</v>
      </c>
      <c r="AO2954">
        <v>0</v>
      </c>
      <c r="AP2954">
        <v>0</v>
      </c>
      <c r="AQ2954">
        <v>94.27</v>
      </c>
      <c r="AR2954">
        <v>0</v>
      </c>
      <c r="AS2954">
        <v>0</v>
      </c>
      <c r="AT2954">
        <v>0</v>
      </c>
      <c r="AU2954">
        <v>0</v>
      </c>
      <c r="AV2954">
        <v>0</v>
      </c>
      <c r="AW2954">
        <v>0</v>
      </c>
      <c r="AX2954">
        <v>0</v>
      </c>
      <c r="AY2954">
        <v>0</v>
      </c>
      <c r="AZ2954">
        <v>0</v>
      </c>
      <c r="BA2954">
        <v>0</v>
      </c>
      <c r="BB2954">
        <v>0</v>
      </c>
      <c r="BC2954">
        <v>0</v>
      </c>
      <c r="BD2954">
        <v>0</v>
      </c>
      <c r="BE2954">
        <v>0</v>
      </c>
      <c r="BF2954">
        <v>0</v>
      </c>
      <c r="BG2954">
        <v>0</v>
      </c>
      <c r="BH2954">
        <v>1</v>
      </c>
      <c r="BI2954">
        <v>18</v>
      </c>
      <c r="BJ2954">
        <v>45.1</v>
      </c>
      <c r="BK2954">
        <v>46</v>
      </c>
      <c r="BL2954">
        <v>314.10000000000002</v>
      </c>
      <c r="BM2954">
        <v>47.12</v>
      </c>
      <c r="BN2954">
        <v>361.22</v>
      </c>
      <c r="BO2954">
        <v>361.22</v>
      </c>
      <c r="BQ2954" t="s">
        <v>2981</v>
      </c>
      <c r="BR2954" t="s">
        <v>84</v>
      </c>
      <c r="BS2954" s="3">
        <v>45803</v>
      </c>
      <c r="BT2954" s="4">
        <v>0.37152777777777779</v>
      </c>
      <c r="BU2954" t="s">
        <v>2982</v>
      </c>
      <c r="BV2954" t="s">
        <v>86</v>
      </c>
      <c r="BY2954">
        <v>225600</v>
      </c>
      <c r="CA2954" t="s">
        <v>566</v>
      </c>
      <c r="CC2954" t="s">
        <v>91</v>
      </c>
      <c r="CD2954">
        <v>6065</v>
      </c>
      <c r="CE2954" t="s">
        <v>96</v>
      </c>
      <c r="CF2954" s="3">
        <v>45803</v>
      </c>
      <c r="CI2954">
        <v>3</v>
      </c>
      <c r="CJ2954">
        <v>2</v>
      </c>
      <c r="CK2954">
        <v>41</v>
      </c>
      <c r="CL2954" t="s">
        <v>89</v>
      </c>
    </row>
    <row r="2955" spans="1:90" x14ac:dyDescent="0.3">
      <c r="A2955" t="s">
        <v>72</v>
      </c>
      <c r="B2955" t="s">
        <v>73</v>
      </c>
      <c r="C2955" t="s">
        <v>74</v>
      </c>
      <c r="E2955" t="str">
        <f>"080065515491"</f>
        <v>080065515491</v>
      </c>
      <c r="F2955" s="3">
        <v>45799</v>
      </c>
      <c r="G2955">
        <v>202602</v>
      </c>
      <c r="H2955" t="s">
        <v>75</v>
      </c>
      <c r="I2955" t="s">
        <v>76</v>
      </c>
      <c r="J2955" t="s">
        <v>77</v>
      </c>
      <c r="K2955" t="s">
        <v>78</v>
      </c>
      <c r="L2955" t="s">
        <v>90</v>
      </c>
      <c r="M2955" t="s">
        <v>91</v>
      </c>
      <c r="N2955" t="s">
        <v>371</v>
      </c>
      <c r="O2955" t="s">
        <v>82</v>
      </c>
      <c r="P2955" t="str">
        <f>"4170040224                    "</f>
        <v xml:space="preserve">4170040224                    </v>
      </c>
      <c r="Q2955">
        <v>0</v>
      </c>
      <c r="R2955">
        <v>0</v>
      </c>
      <c r="S2955">
        <v>0</v>
      </c>
      <c r="T2955">
        <v>0</v>
      </c>
      <c r="U2955">
        <v>0</v>
      </c>
      <c r="V2955">
        <v>0</v>
      </c>
      <c r="W2955">
        <v>0</v>
      </c>
      <c r="X2955">
        <v>0</v>
      </c>
      <c r="Y2955">
        <v>0</v>
      </c>
      <c r="Z2955">
        <v>0</v>
      </c>
      <c r="AA2955">
        <v>0</v>
      </c>
      <c r="AB2955">
        <v>0</v>
      </c>
      <c r="AC2955">
        <v>0</v>
      </c>
      <c r="AD2955">
        <v>0</v>
      </c>
      <c r="AE2955">
        <v>0</v>
      </c>
      <c r="AF2955">
        <v>0</v>
      </c>
      <c r="AG2955">
        <v>0</v>
      </c>
      <c r="AH2955">
        <v>0</v>
      </c>
      <c r="AI2955">
        <v>0</v>
      </c>
      <c r="AJ2955">
        <v>0</v>
      </c>
      <c r="AK2955">
        <v>0</v>
      </c>
      <c r="AL2955">
        <v>0</v>
      </c>
      <c r="AM2955">
        <v>0</v>
      </c>
      <c r="AN2955">
        <v>0</v>
      </c>
      <c r="AO2955">
        <v>0</v>
      </c>
      <c r="AP2955">
        <v>0</v>
      </c>
      <c r="AQ2955">
        <v>21.38</v>
      </c>
      <c r="AR2955">
        <v>0</v>
      </c>
      <c r="AS2955">
        <v>0</v>
      </c>
      <c r="AT2955">
        <v>0</v>
      </c>
      <c r="AU2955">
        <v>0</v>
      </c>
      <c r="AV2955">
        <v>0</v>
      </c>
      <c r="AW2955">
        <v>0</v>
      </c>
      <c r="AX2955">
        <v>0</v>
      </c>
      <c r="AY2955">
        <v>0</v>
      </c>
      <c r="AZ2955">
        <v>0</v>
      </c>
      <c r="BA2955">
        <v>0</v>
      </c>
      <c r="BB2955">
        <v>0</v>
      </c>
      <c r="BC2955">
        <v>0</v>
      </c>
      <c r="BD2955">
        <v>0</v>
      </c>
      <c r="BE2955">
        <v>0</v>
      </c>
      <c r="BF2955">
        <v>0</v>
      </c>
      <c r="BG2955">
        <v>0</v>
      </c>
      <c r="BH2955">
        <v>1</v>
      </c>
      <c r="BI2955">
        <v>1</v>
      </c>
      <c r="BJ2955">
        <v>0.2</v>
      </c>
      <c r="BK2955">
        <v>1</v>
      </c>
      <c r="BL2955">
        <v>69.98</v>
      </c>
      <c r="BM2955">
        <v>10.5</v>
      </c>
      <c r="BN2955">
        <v>80.48</v>
      </c>
      <c r="BO2955">
        <v>80.48</v>
      </c>
      <c r="BQ2955" t="s">
        <v>372</v>
      </c>
      <c r="BR2955" t="s">
        <v>84</v>
      </c>
      <c r="BS2955" s="3">
        <v>45800</v>
      </c>
      <c r="BT2955" s="4">
        <v>0.38194444444444442</v>
      </c>
      <c r="BU2955" t="s">
        <v>373</v>
      </c>
      <c r="BV2955" t="s">
        <v>86</v>
      </c>
      <c r="BY2955">
        <v>1200</v>
      </c>
      <c r="CA2955" t="s">
        <v>298</v>
      </c>
      <c r="CC2955" t="s">
        <v>91</v>
      </c>
      <c r="CD2955">
        <v>6001</v>
      </c>
      <c r="CE2955" t="s">
        <v>88</v>
      </c>
      <c r="CF2955" s="3">
        <v>45800</v>
      </c>
      <c r="CI2955">
        <v>1</v>
      </c>
      <c r="CJ2955">
        <v>1</v>
      </c>
      <c r="CK2955">
        <v>21</v>
      </c>
      <c r="CL2955" t="s">
        <v>89</v>
      </c>
    </row>
    <row r="2956" spans="1:90" x14ac:dyDescent="0.3">
      <c r="A2956" t="s">
        <v>72</v>
      </c>
      <c r="B2956" t="s">
        <v>73</v>
      </c>
      <c r="C2956" t="s">
        <v>74</v>
      </c>
      <c r="E2956" t="str">
        <f>"080065515515"</f>
        <v>080065515515</v>
      </c>
      <c r="F2956" s="3">
        <v>45799</v>
      </c>
      <c r="G2956">
        <v>202602</v>
      </c>
      <c r="H2956" t="s">
        <v>75</v>
      </c>
      <c r="I2956" t="s">
        <v>76</v>
      </c>
      <c r="J2956" t="s">
        <v>77</v>
      </c>
      <c r="K2956" t="s">
        <v>78</v>
      </c>
      <c r="L2956" t="s">
        <v>130</v>
      </c>
      <c r="M2956" t="s">
        <v>131</v>
      </c>
      <c r="N2956" t="s">
        <v>343</v>
      </c>
      <c r="O2956" t="s">
        <v>82</v>
      </c>
      <c r="P2956" t="str">
        <f>"4170040029                    "</f>
        <v xml:space="preserve">4170040029                    </v>
      </c>
      <c r="Q2956">
        <v>0</v>
      </c>
      <c r="R2956">
        <v>0</v>
      </c>
      <c r="S2956">
        <v>0</v>
      </c>
      <c r="T2956">
        <v>0</v>
      </c>
      <c r="U2956">
        <v>0</v>
      </c>
      <c r="V2956">
        <v>0</v>
      </c>
      <c r="W2956">
        <v>0</v>
      </c>
      <c r="X2956">
        <v>0</v>
      </c>
      <c r="Y2956">
        <v>0</v>
      </c>
      <c r="Z2956">
        <v>0</v>
      </c>
      <c r="AA2956">
        <v>0</v>
      </c>
      <c r="AB2956">
        <v>0</v>
      </c>
      <c r="AC2956">
        <v>0</v>
      </c>
      <c r="AD2956">
        <v>0</v>
      </c>
      <c r="AE2956">
        <v>0</v>
      </c>
      <c r="AF2956">
        <v>0</v>
      </c>
      <c r="AG2956">
        <v>0</v>
      </c>
      <c r="AH2956">
        <v>0</v>
      </c>
      <c r="AI2956">
        <v>0</v>
      </c>
      <c r="AJ2956">
        <v>0</v>
      </c>
      <c r="AK2956">
        <v>0</v>
      </c>
      <c r="AL2956">
        <v>0</v>
      </c>
      <c r="AM2956">
        <v>0</v>
      </c>
      <c r="AN2956">
        <v>0</v>
      </c>
      <c r="AO2956">
        <v>0</v>
      </c>
      <c r="AP2956">
        <v>0</v>
      </c>
      <c r="AQ2956">
        <v>42.75</v>
      </c>
      <c r="AR2956">
        <v>0</v>
      </c>
      <c r="AS2956">
        <v>0</v>
      </c>
      <c r="AT2956">
        <v>0</v>
      </c>
      <c r="AU2956">
        <v>0</v>
      </c>
      <c r="AV2956">
        <v>0</v>
      </c>
      <c r="AW2956">
        <v>0</v>
      </c>
      <c r="AX2956">
        <v>0</v>
      </c>
      <c r="AY2956">
        <v>0</v>
      </c>
      <c r="AZ2956">
        <v>0</v>
      </c>
      <c r="BA2956">
        <v>0</v>
      </c>
      <c r="BB2956">
        <v>0</v>
      </c>
      <c r="BC2956">
        <v>0</v>
      </c>
      <c r="BD2956">
        <v>0</v>
      </c>
      <c r="BE2956">
        <v>0</v>
      </c>
      <c r="BF2956">
        <v>0</v>
      </c>
      <c r="BG2956">
        <v>0</v>
      </c>
      <c r="BH2956">
        <v>1</v>
      </c>
      <c r="BI2956">
        <v>4</v>
      </c>
      <c r="BJ2956">
        <v>3.4</v>
      </c>
      <c r="BK2956">
        <v>4</v>
      </c>
      <c r="BL2956">
        <v>139.91</v>
      </c>
      <c r="BM2956">
        <v>20.99</v>
      </c>
      <c r="BN2956">
        <v>160.9</v>
      </c>
      <c r="BO2956">
        <v>160.9</v>
      </c>
      <c r="BQ2956" t="s">
        <v>344</v>
      </c>
      <c r="BR2956" t="s">
        <v>84</v>
      </c>
      <c r="BS2956" s="3">
        <v>45800</v>
      </c>
      <c r="BT2956" s="4">
        <v>0.40069444444444446</v>
      </c>
      <c r="BU2956" t="s">
        <v>1338</v>
      </c>
      <c r="BV2956" t="s">
        <v>86</v>
      </c>
      <c r="BY2956">
        <v>16965</v>
      </c>
      <c r="CA2956" t="s">
        <v>242</v>
      </c>
      <c r="CC2956" t="s">
        <v>131</v>
      </c>
      <c r="CD2956">
        <v>7441</v>
      </c>
      <c r="CE2956" t="s">
        <v>96</v>
      </c>
      <c r="CF2956" s="3">
        <v>45803</v>
      </c>
      <c r="CI2956">
        <v>1</v>
      </c>
      <c r="CJ2956">
        <v>1</v>
      </c>
      <c r="CK2956">
        <v>21</v>
      </c>
      <c r="CL2956" t="s">
        <v>89</v>
      </c>
    </row>
    <row r="2957" spans="1:90" x14ac:dyDescent="0.3">
      <c r="A2957" t="s">
        <v>72</v>
      </c>
      <c r="B2957" t="s">
        <v>73</v>
      </c>
      <c r="C2957" t="s">
        <v>74</v>
      </c>
      <c r="E2957" t="str">
        <f>"080065515521"</f>
        <v>080065515521</v>
      </c>
      <c r="F2957" s="3">
        <v>45799</v>
      </c>
      <c r="G2957">
        <v>202602</v>
      </c>
      <c r="H2957" t="s">
        <v>75</v>
      </c>
      <c r="I2957" t="s">
        <v>76</v>
      </c>
      <c r="J2957" t="s">
        <v>77</v>
      </c>
      <c r="K2957" t="s">
        <v>78</v>
      </c>
      <c r="L2957" t="s">
        <v>350</v>
      </c>
      <c r="M2957" t="s">
        <v>351</v>
      </c>
      <c r="N2957" t="s">
        <v>459</v>
      </c>
      <c r="O2957" t="s">
        <v>82</v>
      </c>
      <c r="P2957" t="str">
        <f>"4170040247                    "</f>
        <v xml:space="preserve">4170040247                    </v>
      </c>
      <c r="Q2957">
        <v>0</v>
      </c>
      <c r="R2957">
        <v>0</v>
      </c>
      <c r="S2957">
        <v>0</v>
      </c>
      <c r="T2957">
        <v>0</v>
      </c>
      <c r="U2957">
        <v>0</v>
      </c>
      <c r="V2957">
        <v>0</v>
      </c>
      <c r="W2957">
        <v>0</v>
      </c>
      <c r="X2957">
        <v>0</v>
      </c>
      <c r="Y2957">
        <v>0</v>
      </c>
      <c r="Z2957">
        <v>0</v>
      </c>
      <c r="AA2957">
        <v>0</v>
      </c>
      <c r="AB2957">
        <v>0</v>
      </c>
      <c r="AC2957">
        <v>0</v>
      </c>
      <c r="AD2957">
        <v>0</v>
      </c>
      <c r="AE2957">
        <v>0</v>
      </c>
      <c r="AF2957">
        <v>0</v>
      </c>
      <c r="AG2957">
        <v>0</v>
      </c>
      <c r="AH2957">
        <v>0</v>
      </c>
      <c r="AI2957">
        <v>0</v>
      </c>
      <c r="AJ2957">
        <v>0</v>
      </c>
      <c r="AK2957">
        <v>0</v>
      </c>
      <c r="AL2957">
        <v>0</v>
      </c>
      <c r="AM2957">
        <v>0</v>
      </c>
      <c r="AN2957">
        <v>0</v>
      </c>
      <c r="AO2957">
        <v>0</v>
      </c>
      <c r="AP2957">
        <v>0</v>
      </c>
      <c r="AQ2957">
        <v>21.38</v>
      </c>
      <c r="AR2957">
        <v>0</v>
      </c>
      <c r="AS2957">
        <v>0</v>
      </c>
      <c r="AT2957">
        <v>0</v>
      </c>
      <c r="AU2957">
        <v>0</v>
      </c>
      <c r="AV2957">
        <v>0</v>
      </c>
      <c r="AW2957">
        <v>0</v>
      </c>
      <c r="AX2957">
        <v>0</v>
      </c>
      <c r="AY2957">
        <v>0</v>
      </c>
      <c r="AZ2957">
        <v>0</v>
      </c>
      <c r="BA2957">
        <v>0</v>
      </c>
      <c r="BB2957">
        <v>0</v>
      </c>
      <c r="BC2957">
        <v>0</v>
      </c>
      <c r="BD2957">
        <v>0</v>
      </c>
      <c r="BE2957">
        <v>0</v>
      </c>
      <c r="BF2957">
        <v>0</v>
      </c>
      <c r="BG2957">
        <v>0</v>
      </c>
      <c r="BH2957">
        <v>1</v>
      </c>
      <c r="BI2957">
        <v>1</v>
      </c>
      <c r="BJ2957">
        <v>0.2</v>
      </c>
      <c r="BK2957">
        <v>1</v>
      </c>
      <c r="BL2957">
        <v>69.98</v>
      </c>
      <c r="BM2957">
        <v>10.5</v>
      </c>
      <c r="BN2957">
        <v>80.48</v>
      </c>
      <c r="BO2957">
        <v>80.48</v>
      </c>
      <c r="BQ2957" t="s">
        <v>460</v>
      </c>
      <c r="BR2957" t="s">
        <v>84</v>
      </c>
      <c r="BS2957" s="3">
        <v>45800</v>
      </c>
      <c r="BT2957" s="4">
        <v>0.35138888888888886</v>
      </c>
      <c r="BU2957" t="s">
        <v>1121</v>
      </c>
      <c r="BV2957" t="s">
        <v>86</v>
      </c>
      <c r="BY2957">
        <v>1200</v>
      </c>
      <c r="CA2957" t="s">
        <v>462</v>
      </c>
      <c r="CC2957" t="s">
        <v>351</v>
      </c>
      <c r="CD2957">
        <v>4000</v>
      </c>
      <c r="CE2957" t="s">
        <v>88</v>
      </c>
      <c r="CF2957" s="3">
        <v>45800</v>
      </c>
      <c r="CI2957">
        <v>1</v>
      </c>
      <c r="CJ2957">
        <v>1</v>
      </c>
      <c r="CK2957">
        <v>21</v>
      </c>
      <c r="CL2957" t="s">
        <v>89</v>
      </c>
    </row>
    <row r="2958" spans="1:90" x14ac:dyDescent="0.3">
      <c r="A2958" t="s">
        <v>72</v>
      </c>
      <c r="B2958" t="s">
        <v>73</v>
      </c>
      <c r="C2958" t="s">
        <v>74</v>
      </c>
      <c r="E2958" t="str">
        <f>"080065515545"</f>
        <v>080065515545</v>
      </c>
      <c r="F2958" s="3">
        <v>45799</v>
      </c>
      <c r="G2958">
        <v>202602</v>
      </c>
      <c r="H2958" t="s">
        <v>75</v>
      </c>
      <c r="I2958" t="s">
        <v>76</v>
      </c>
      <c r="J2958" t="s">
        <v>77</v>
      </c>
      <c r="K2958" t="s">
        <v>78</v>
      </c>
      <c r="L2958" t="s">
        <v>75</v>
      </c>
      <c r="M2958" t="s">
        <v>76</v>
      </c>
      <c r="N2958" t="s">
        <v>247</v>
      </c>
      <c r="O2958" t="s">
        <v>82</v>
      </c>
      <c r="P2958" t="str">
        <f>"4170040260                    "</f>
        <v xml:space="preserve">4170040260                    </v>
      </c>
      <c r="Q2958">
        <v>0</v>
      </c>
      <c r="R2958">
        <v>0</v>
      </c>
      <c r="S2958">
        <v>0</v>
      </c>
      <c r="T2958">
        <v>0</v>
      </c>
      <c r="U2958">
        <v>0</v>
      </c>
      <c r="V2958">
        <v>0</v>
      </c>
      <c r="W2958">
        <v>0</v>
      </c>
      <c r="X2958">
        <v>0</v>
      </c>
      <c r="Y2958">
        <v>0</v>
      </c>
      <c r="Z2958">
        <v>0</v>
      </c>
      <c r="AA2958">
        <v>0</v>
      </c>
      <c r="AB2958">
        <v>0</v>
      </c>
      <c r="AC2958">
        <v>0</v>
      </c>
      <c r="AD2958">
        <v>0</v>
      </c>
      <c r="AE2958">
        <v>0</v>
      </c>
      <c r="AF2958">
        <v>0</v>
      </c>
      <c r="AG2958">
        <v>0</v>
      </c>
      <c r="AH2958">
        <v>0</v>
      </c>
      <c r="AI2958">
        <v>0</v>
      </c>
      <c r="AJ2958">
        <v>0</v>
      </c>
      <c r="AK2958">
        <v>0</v>
      </c>
      <c r="AL2958">
        <v>0</v>
      </c>
      <c r="AM2958">
        <v>0</v>
      </c>
      <c r="AN2958">
        <v>0</v>
      </c>
      <c r="AO2958">
        <v>0</v>
      </c>
      <c r="AP2958">
        <v>0</v>
      </c>
      <c r="AQ2958">
        <v>16.7</v>
      </c>
      <c r="AR2958">
        <v>0</v>
      </c>
      <c r="AS2958">
        <v>0</v>
      </c>
      <c r="AT2958">
        <v>0</v>
      </c>
      <c r="AU2958">
        <v>0</v>
      </c>
      <c r="AV2958">
        <v>0</v>
      </c>
      <c r="AW2958">
        <v>0</v>
      </c>
      <c r="AX2958">
        <v>0</v>
      </c>
      <c r="AY2958">
        <v>0</v>
      </c>
      <c r="AZ2958">
        <v>0</v>
      </c>
      <c r="BA2958">
        <v>0</v>
      </c>
      <c r="BB2958">
        <v>0</v>
      </c>
      <c r="BC2958">
        <v>0</v>
      </c>
      <c r="BD2958">
        <v>0</v>
      </c>
      <c r="BE2958">
        <v>0</v>
      </c>
      <c r="BF2958">
        <v>0</v>
      </c>
      <c r="BG2958">
        <v>0</v>
      </c>
      <c r="BH2958">
        <v>1</v>
      </c>
      <c r="BI2958">
        <v>1</v>
      </c>
      <c r="BJ2958">
        <v>0.2</v>
      </c>
      <c r="BK2958">
        <v>1</v>
      </c>
      <c r="BL2958">
        <v>54.66</v>
      </c>
      <c r="BM2958">
        <v>8.1999999999999993</v>
      </c>
      <c r="BN2958">
        <v>62.86</v>
      </c>
      <c r="BO2958">
        <v>62.86</v>
      </c>
      <c r="BQ2958" t="s">
        <v>248</v>
      </c>
      <c r="BR2958" t="s">
        <v>84</v>
      </c>
      <c r="BS2958" s="3">
        <v>45800</v>
      </c>
      <c r="BT2958" s="4">
        <v>0.41666666666666669</v>
      </c>
      <c r="BU2958" t="s">
        <v>2899</v>
      </c>
      <c r="BV2958" t="s">
        <v>86</v>
      </c>
      <c r="BY2958">
        <v>1200</v>
      </c>
      <c r="CA2958" t="s">
        <v>115</v>
      </c>
      <c r="CC2958" t="s">
        <v>76</v>
      </c>
      <c r="CD2958">
        <v>1624</v>
      </c>
      <c r="CE2958" t="s">
        <v>88</v>
      </c>
      <c r="CF2958" s="3">
        <v>45800</v>
      </c>
      <c r="CI2958">
        <v>1</v>
      </c>
      <c r="CJ2958">
        <v>1</v>
      </c>
      <c r="CK2958">
        <v>22</v>
      </c>
      <c r="CL2958" t="s">
        <v>89</v>
      </c>
    </row>
    <row r="2959" spans="1:90" x14ac:dyDescent="0.3">
      <c r="A2959" t="s">
        <v>72</v>
      </c>
      <c r="B2959" t="s">
        <v>73</v>
      </c>
      <c r="C2959" t="s">
        <v>74</v>
      </c>
      <c r="E2959" t="str">
        <f>"080065515549"</f>
        <v>080065515549</v>
      </c>
      <c r="F2959" s="3">
        <v>45799</v>
      </c>
      <c r="G2959">
        <v>202602</v>
      </c>
      <c r="H2959" t="s">
        <v>75</v>
      </c>
      <c r="I2959" t="s">
        <v>76</v>
      </c>
      <c r="J2959" t="s">
        <v>77</v>
      </c>
      <c r="K2959" t="s">
        <v>78</v>
      </c>
      <c r="L2959" t="s">
        <v>97</v>
      </c>
      <c r="M2959" t="s">
        <v>98</v>
      </c>
      <c r="N2959" t="s">
        <v>2056</v>
      </c>
      <c r="O2959" t="s">
        <v>82</v>
      </c>
      <c r="P2959" t="str">
        <f>"4170040228                    "</f>
        <v xml:space="preserve">4170040228                    </v>
      </c>
      <c r="Q2959">
        <v>0</v>
      </c>
      <c r="R2959">
        <v>0</v>
      </c>
      <c r="S2959">
        <v>0</v>
      </c>
      <c r="T2959">
        <v>0</v>
      </c>
      <c r="U2959">
        <v>0</v>
      </c>
      <c r="V2959">
        <v>0</v>
      </c>
      <c r="W2959">
        <v>0</v>
      </c>
      <c r="X2959">
        <v>0</v>
      </c>
      <c r="Y2959">
        <v>0</v>
      </c>
      <c r="Z2959">
        <v>0</v>
      </c>
      <c r="AA2959">
        <v>0</v>
      </c>
      <c r="AB2959">
        <v>0</v>
      </c>
      <c r="AC2959">
        <v>0</v>
      </c>
      <c r="AD2959">
        <v>0</v>
      </c>
      <c r="AE2959">
        <v>0</v>
      </c>
      <c r="AF2959">
        <v>0</v>
      </c>
      <c r="AG2959">
        <v>0</v>
      </c>
      <c r="AH2959">
        <v>0</v>
      </c>
      <c r="AI2959">
        <v>0</v>
      </c>
      <c r="AJ2959">
        <v>0</v>
      </c>
      <c r="AK2959">
        <v>0</v>
      </c>
      <c r="AL2959">
        <v>0</v>
      </c>
      <c r="AM2959">
        <v>0</v>
      </c>
      <c r="AN2959">
        <v>0</v>
      </c>
      <c r="AO2959">
        <v>0</v>
      </c>
      <c r="AP2959">
        <v>0</v>
      </c>
      <c r="AQ2959">
        <v>16.7</v>
      </c>
      <c r="AR2959">
        <v>0</v>
      </c>
      <c r="AS2959">
        <v>0</v>
      </c>
      <c r="AT2959">
        <v>0</v>
      </c>
      <c r="AU2959">
        <v>0</v>
      </c>
      <c r="AV2959">
        <v>0</v>
      </c>
      <c r="AW2959">
        <v>0</v>
      </c>
      <c r="AX2959">
        <v>0</v>
      </c>
      <c r="AY2959">
        <v>0</v>
      </c>
      <c r="AZ2959">
        <v>0</v>
      </c>
      <c r="BA2959">
        <v>0</v>
      </c>
      <c r="BB2959">
        <v>0</v>
      </c>
      <c r="BC2959">
        <v>0</v>
      </c>
      <c r="BD2959">
        <v>0</v>
      </c>
      <c r="BE2959">
        <v>0</v>
      </c>
      <c r="BF2959">
        <v>0</v>
      </c>
      <c r="BG2959">
        <v>0</v>
      </c>
      <c r="BH2959">
        <v>1</v>
      </c>
      <c r="BI2959">
        <v>1</v>
      </c>
      <c r="BJ2959">
        <v>0.2</v>
      </c>
      <c r="BK2959">
        <v>1</v>
      </c>
      <c r="BL2959">
        <v>54.66</v>
      </c>
      <c r="BM2959">
        <v>8.1999999999999993</v>
      </c>
      <c r="BN2959">
        <v>62.86</v>
      </c>
      <c r="BO2959">
        <v>62.86</v>
      </c>
      <c r="BQ2959" t="s">
        <v>2057</v>
      </c>
      <c r="BR2959" t="s">
        <v>84</v>
      </c>
      <c r="BS2959" s="3">
        <v>45800</v>
      </c>
      <c r="BT2959" s="4">
        <v>0.36666666666666664</v>
      </c>
      <c r="BU2959" t="s">
        <v>2058</v>
      </c>
      <c r="BV2959" t="s">
        <v>86</v>
      </c>
      <c r="BY2959">
        <v>1200</v>
      </c>
      <c r="CA2959" t="s">
        <v>279</v>
      </c>
      <c r="CC2959" t="s">
        <v>98</v>
      </c>
      <c r="CD2959">
        <v>1459</v>
      </c>
      <c r="CE2959" t="s">
        <v>88</v>
      </c>
      <c r="CF2959" s="3">
        <v>45800</v>
      </c>
      <c r="CI2959">
        <v>1</v>
      </c>
      <c r="CJ2959">
        <v>1</v>
      </c>
      <c r="CK2959">
        <v>22</v>
      </c>
      <c r="CL2959" t="s">
        <v>89</v>
      </c>
    </row>
    <row r="2960" spans="1:90" x14ac:dyDescent="0.3">
      <c r="A2960" t="s">
        <v>72</v>
      </c>
      <c r="B2960" t="s">
        <v>73</v>
      </c>
      <c r="C2960" t="s">
        <v>74</v>
      </c>
      <c r="E2960" t="str">
        <f>"080065516422"</f>
        <v>080065516422</v>
      </c>
      <c r="F2960" s="3">
        <v>45799</v>
      </c>
      <c r="G2960">
        <v>202602</v>
      </c>
      <c r="H2960" t="s">
        <v>75</v>
      </c>
      <c r="I2960" t="s">
        <v>76</v>
      </c>
      <c r="J2960" t="s">
        <v>77</v>
      </c>
      <c r="K2960" t="s">
        <v>78</v>
      </c>
      <c r="L2960" t="s">
        <v>79</v>
      </c>
      <c r="M2960" t="s">
        <v>80</v>
      </c>
      <c r="N2960" t="s">
        <v>452</v>
      </c>
      <c r="O2960" t="s">
        <v>300</v>
      </c>
      <c r="P2960" t="str">
        <f>"4170039444                    "</f>
        <v xml:space="preserve">4170039444                    </v>
      </c>
      <c r="Q2960">
        <v>0</v>
      </c>
      <c r="R2960">
        <v>0</v>
      </c>
      <c r="S2960">
        <v>0</v>
      </c>
      <c r="T2960">
        <v>0</v>
      </c>
      <c r="U2960">
        <v>0</v>
      </c>
      <c r="V2960">
        <v>0</v>
      </c>
      <c r="W2960">
        <v>0</v>
      </c>
      <c r="X2960">
        <v>0</v>
      </c>
      <c r="Y2960">
        <v>0</v>
      </c>
      <c r="Z2960">
        <v>0</v>
      </c>
      <c r="AA2960">
        <v>0</v>
      </c>
      <c r="AB2960">
        <v>0</v>
      </c>
      <c r="AC2960">
        <v>0</v>
      </c>
      <c r="AD2960">
        <v>0</v>
      </c>
      <c r="AE2960">
        <v>0</v>
      </c>
      <c r="AF2960">
        <v>0</v>
      </c>
      <c r="AG2960">
        <v>0</v>
      </c>
      <c r="AH2960">
        <v>0</v>
      </c>
      <c r="AI2960">
        <v>0</v>
      </c>
      <c r="AJ2960">
        <v>0</v>
      </c>
      <c r="AK2960">
        <v>0</v>
      </c>
      <c r="AL2960">
        <v>0</v>
      </c>
      <c r="AM2960">
        <v>0</v>
      </c>
      <c r="AN2960">
        <v>0</v>
      </c>
      <c r="AO2960">
        <v>0</v>
      </c>
      <c r="AP2960">
        <v>0</v>
      </c>
      <c r="AQ2960">
        <v>68.67</v>
      </c>
      <c r="AR2960">
        <v>0</v>
      </c>
      <c r="AS2960">
        <v>0</v>
      </c>
      <c r="AT2960">
        <v>0</v>
      </c>
      <c r="AU2960">
        <v>0</v>
      </c>
      <c r="AV2960">
        <v>0</v>
      </c>
      <c r="AW2960">
        <v>0</v>
      </c>
      <c r="AX2960">
        <v>0</v>
      </c>
      <c r="AY2960">
        <v>0</v>
      </c>
      <c r="AZ2960">
        <v>0</v>
      </c>
      <c r="BA2960">
        <v>0</v>
      </c>
      <c r="BB2960">
        <v>0</v>
      </c>
      <c r="BC2960">
        <v>0</v>
      </c>
      <c r="BD2960">
        <v>0</v>
      </c>
      <c r="BE2960">
        <v>0</v>
      </c>
      <c r="BF2960">
        <v>0</v>
      </c>
      <c r="BG2960">
        <v>0</v>
      </c>
      <c r="BH2960">
        <v>1</v>
      </c>
      <c r="BI2960">
        <v>31</v>
      </c>
      <c r="BJ2960">
        <v>17.3</v>
      </c>
      <c r="BK2960">
        <v>31</v>
      </c>
      <c r="BL2960">
        <v>230.3</v>
      </c>
      <c r="BM2960">
        <v>34.549999999999997</v>
      </c>
      <c r="BN2960">
        <v>264.85000000000002</v>
      </c>
      <c r="BO2960">
        <v>264.85000000000002</v>
      </c>
      <c r="BQ2960" t="s">
        <v>453</v>
      </c>
      <c r="BR2960" t="s">
        <v>84</v>
      </c>
      <c r="BS2960" s="3">
        <v>45800</v>
      </c>
      <c r="BT2960" s="4">
        <v>0.54166666666666663</v>
      </c>
      <c r="BU2960" t="s">
        <v>2983</v>
      </c>
      <c r="BV2960" t="s">
        <v>86</v>
      </c>
      <c r="BY2960">
        <v>86400</v>
      </c>
      <c r="CC2960" t="s">
        <v>80</v>
      </c>
      <c r="CD2960">
        <v>3610</v>
      </c>
      <c r="CE2960" t="s">
        <v>550</v>
      </c>
      <c r="CF2960" s="3">
        <v>45800</v>
      </c>
      <c r="CI2960">
        <v>1</v>
      </c>
      <c r="CJ2960">
        <v>1</v>
      </c>
      <c r="CK2960">
        <v>41</v>
      </c>
      <c r="CL2960" t="s">
        <v>89</v>
      </c>
    </row>
    <row r="2961" spans="1:90" x14ac:dyDescent="0.3">
      <c r="A2961" t="s">
        <v>72</v>
      </c>
      <c r="B2961" t="s">
        <v>73</v>
      </c>
      <c r="C2961" t="s">
        <v>74</v>
      </c>
      <c r="E2961" t="str">
        <f>"080065516593"</f>
        <v>080065516593</v>
      </c>
      <c r="F2961" s="3">
        <v>45799</v>
      </c>
      <c r="G2961">
        <v>202602</v>
      </c>
      <c r="H2961" t="s">
        <v>75</v>
      </c>
      <c r="I2961" t="s">
        <v>76</v>
      </c>
      <c r="J2961" t="s">
        <v>77</v>
      </c>
      <c r="K2961" t="s">
        <v>78</v>
      </c>
      <c r="L2961" t="s">
        <v>123</v>
      </c>
      <c r="M2961" t="s">
        <v>123</v>
      </c>
      <c r="N2961" t="s">
        <v>955</v>
      </c>
      <c r="O2961" t="s">
        <v>82</v>
      </c>
      <c r="P2961" t="str">
        <f>"4170040223                    "</f>
        <v xml:space="preserve">4170040223                    </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c r="AI2961">
        <v>0</v>
      </c>
      <c r="AJ2961">
        <v>0</v>
      </c>
      <c r="AK2961">
        <v>0</v>
      </c>
      <c r="AL2961">
        <v>0</v>
      </c>
      <c r="AM2961">
        <v>0</v>
      </c>
      <c r="AN2961">
        <v>0</v>
      </c>
      <c r="AO2961">
        <v>0</v>
      </c>
      <c r="AP2961">
        <v>0</v>
      </c>
      <c r="AQ2961">
        <v>41.43</v>
      </c>
      <c r="AR2961">
        <v>0</v>
      </c>
      <c r="AS2961">
        <v>0</v>
      </c>
      <c r="AT2961">
        <v>0</v>
      </c>
      <c r="AU2961">
        <v>0</v>
      </c>
      <c r="AV2961">
        <v>0</v>
      </c>
      <c r="AW2961">
        <v>0</v>
      </c>
      <c r="AX2961">
        <v>0</v>
      </c>
      <c r="AY2961">
        <v>0</v>
      </c>
      <c r="AZ2961">
        <v>0</v>
      </c>
      <c r="BA2961">
        <v>0</v>
      </c>
      <c r="BB2961">
        <v>0</v>
      </c>
      <c r="BC2961">
        <v>0</v>
      </c>
      <c r="BD2961">
        <v>0</v>
      </c>
      <c r="BE2961">
        <v>0</v>
      </c>
      <c r="BF2961">
        <v>0</v>
      </c>
      <c r="BG2961">
        <v>0</v>
      </c>
      <c r="BH2961">
        <v>1</v>
      </c>
      <c r="BI2961">
        <v>2</v>
      </c>
      <c r="BJ2961">
        <v>0.9</v>
      </c>
      <c r="BK2961">
        <v>2</v>
      </c>
      <c r="BL2961">
        <v>135.59</v>
      </c>
      <c r="BM2961">
        <v>20.34</v>
      </c>
      <c r="BN2961">
        <v>155.93</v>
      </c>
      <c r="BO2961">
        <v>155.93</v>
      </c>
      <c r="BQ2961" t="s">
        <v>956</v>
      </c>
      <c r="BR2961" t="s">
        <v>84</v>
      </c>
      <c r="BS2961" s="3">
        <v>45800</v>
      </c>
      <c r="BT2961" s="4">
        <v>0.43055555555555558</v>
      </c>
      <c r="BU2961" t="s">
        <v>2984</v>
      </c>
      <c r="BV2961" t="s">
        <v>86</v>
      </c>
      <c r="BY2961">
        <v>4256</v>
      </c>
      <c r="CA2961" t="s">
        <v>128</v>
      </c>
      <c r="CC2961" t="s">
        <v>123</v>
      </c>
      <c r="CD2961">
        <v>7645</v>
      </c>
      <c r="CE2961" t="s">
        <v>96</v>
      </c>
      <c r="CF2961" s="3">
        <v>45803</v>
      </c>
      <c r="CI2961">
        <v>1</v>
      </c>
      <c r="CJ2961">
        <v>1</v>
      </c>
      <c r="CK2961">
        <v>23</v>
      </c>
      <c r="CL2961" t="s">
        <v>89</v>
      </c>
    </row>
    <row r="2962" spans="1:90" x14ac:dyDescent="0.3">
      <c r="A2962" t="s">
        <v>72</v>
      </c>
      <c r="B2962" t="s">
        <v>73</v>
      </c>
      <c r="C2962" t="s">
        <v>74</v>
      </c>
      <c r="E2962" t="str">
        <f>"080065516647"</f>
        <v>080065516647</v>
      </c>
      <c r="F2962" s="3">
        <v>45799</v>
      </c>
      <c r="G2962">
        <v>202602</v>
      </c>
      <c r="H2962" t="s">
        <v>75</v>
      </c>
      <c r="I2962" t="s">
        <v>76</v>
      </c>
      <c r="J2962" t="s">
        <v>77</v>
      </c>
      <c r="K2962" t="s">
        <v>78</v>
      </c>
      <c r="L2962" t="s">
        <v>130</v>
      </c>
      <c r="M2962" t="s">
        <v>131</v>
      </c>
      <c r="N2962" t="s">
        <v>426</v>
      </c>
      <c r="O2962" t="s">
        <v>82</v>
      </c>
      <c r="P2962" t="str">
        <f>"4170040225                    "</f>
        <v xml:space="preserve">4170040225                    </v>
      </c>
      <c r="Q2962">
        <v>0</v>
      </c>
      <c r="R2962">
        <v>0</v>
      </c>
      <c r="S2962">
        <v>0</v>
      </c>
      <c r="T2962">
        <v>0</v>
      </c>
      <c r="U2962">
        <v>0</v>
      </c>
      <c r="V2962">
        <v>0</v>
      </c>
      <c r="W2962">
        <v>0</v>
      </c>
      <c r="X2962">
        <v>0</v>
      </c>
      <c r="Y2962">
        <v>0</v>
      </c>
      <c r="Z2962">
        <v>0</v>
      </c>
      <c r="AA2962">
        <v>0</v>
      </c>
      <c r="AB2962">
        <v>0</v>
      </c>
      <c r="AC2962">
        <v>0</v>
      </c>
      <c r="AD2962">
        <v>0</v>
      </c>
      <c r="AE2962">
        <v>0</v>
      </c>
      <c r="AF2962">
        <v>0</v>
      </c>
      <c r="AG2962">
        <v>0</v>
      </c>
      <c r="AH2962">
        <v>0</v>
      </c>
      <c r="AI2962">
        <v>0</v>
      </c>
      <c r="AJ2962">
        <v>0</v>
      </c>
      <c r="AK2962">
        <v>0</v>
      </c>
      <c r="AL2962">
        <v>0</v>
      </c>
      <c r="AM2962">
        <v>0</v>
      </c>
      <c r="AN2962">
        <v>0</v>
      </c>
      <c r="AO2962">
        <v>0</v>
      </c>
      <c r="AP2962">
        <v>0</v>
      </c>
      <c r="AQ2962">
        <v>21.38</v>
      </c>
      <c r="AR2962">
        <v>0</v>
      </c>
      <c r="AS2962">
        <v>0</v>
      </c>
      <c r="AT2962">
        <v>0</v>
      </c>
      <c r="AU2962">
        <v>0</v>
      </c>
      <c r="AV2962">
        <v>0</v>
      </c>
      <c r="AW2962">
        <v>0</v>
      </c>
      <c r="AX2962">
        <v>0</v>
      </c>
      <c r="AY2962">
        <v>0</v>
      </c>
      <c r="AZ2962">
        <v>0</v>
      </c>
      <c r="BA2962">
        <v>0</v>
      </c>
      <c r="BB2962">
        <v>0</v>
      </c>
      <c r="BC2962">
        <v>0</v>
      </c>
      <c r="BD2962">
        <v>0</v>
      </c>
      <c r="BE2962">
        <v>0</v>
      </c>
      <c r="BF2962">
        <v>0</v>
      </c>
      <c r="BG2962">
        <v>0</v>
      </c>
      <c r="BH2962">
        <v>1</v>
      </c>
      <c r="BI2962">
        <v>1</v>
      </c>
      <c r="BJ2962">
        <v>0.2</v>
      </c>
      <c r="BK2962">
        <v>1</v>
      </c>
      <c r="BL2962">
        <v>69.98</v>
      </c>
      <c r="BM2962">
        <v>10.5</v>
      </c>
      <c r="BN2962">
        <v>80.48</v>
      </c>
      <c r="BO2962">
        <v>80.48</v>
      </c>
      <c r="BQ2962" t="s">
        <v>427</v>
      </c>
      <c r="BR2962" t="s">
        <v>84</v>
      </c>
      <c r="BS2962" s="3">
        <v>45800</v>
      </c>
      <c r="BT2962" s="4">
        <v>0.37430555555555556</v>
      </c>
      <c r="BU2962" t="s">
        <v>2944</v>
      </c>
      <c r="BV2962" t="s">
        <v>86</v>
      </c>
      <c r="BY2962">
        <v>1200</v>
      </c>
      <c r="CA2962" t="s">
        <v>429</v>
      </c>
      <c r="CC2962" t="s">
        <v>131</v>
      </c>
      <c r="CD2962">
        <v>7945</v>
      </c>
      <c r="CE2962" t="s">
        <v>88</v>
      </c>
      <c r="CF2962" s="3">
        <v>45803</v>
      </c>
      <c r="CI2962">
        <v>1</v>
      </c>
      <c r="CJ2962">
        <v>1</v>
      </c>
      <c r="CK2962">
        <v>21</v>
      </c>
      <c r="CL2962" t="s">
        <v>89</v>
      </c>
    </row>
    <row r="2963" spans="1:90" x14ac:dyDescent="0.3">
      <c r="A2963" t="s">
        <v>72</v>
      </c>
      <c r="B2963" t="s">
        <v>73</v>
      </c>
      <c r="C2963" t="s">
        <v>74</v>
      </c>
      <c r="E2963" t="str">
        <f>"080065516688"</f>
        <v>080065516688</v>
      </c>
      <c r="F2963" s="3">
        <v>45799</v>
      </c>
      <c r="G2963">
        <v>202602</v>
      </c>
      <c r="H2963" t="s">
        <v>75</v>
      </c>
      <c r="I2963" t="s">
        <v>76</v>
      </c>
      <c r="J2963" t="s">
        <v>77</v>
      </c>
      <c r="K2963" t="s">
        <v>78</v>
      </c>
      <c r="L2963" t="s">
        <v>90</v>
      </c>
      <c r="M2963" t="s">
        <v>91</v>
      </c>
      <c r="N2963" t="s">
        <v>92</v>
      </c>
      <c r="O2963" t="s">
        <v>82</v>
      </c>
      <c r="P2963" t="str">
        <f>"4170040221                    "</f>
        <v xml:space="preserve">4170040221                    </v>
      </c>
      <c r="Q2963">
        <v>0</v>
      </c>
      <c r="R2963">
        <v>0</v>
      </c>
      <c r="S2963">
        <v>0</v>
      </c>
      <c r="T2963">
        <v>0</v>
      </c>
      <c r="U2963">
        <v>0</v>
      </c>
      <c r="V2963">
        <v>0</v>
      </c>
      <c r="W2963">
        <v>0</v>
      </c>
      <c r="X2963">
        <v>0</v>
      </c>
      <c r="Y2963">
        <v>0</v>
      </c>
      <c r="Z2963">
        <v>0</v>
      </c>
      <c r="AA2963">
        <v>0</v>
      </c>
      <c r="AB2963">
        <v>0</v>
      </c>
      <c r="AC2963">
        <v>0</v>
      </c>
      <c r="AD2963">
        <v>0</v>
      </c>
      <c r="AE2963">
        <v>0</v>
      </c>
      <c r="AF2963">
        <v>0</v>
      </c>
      <c r="AG2963">
        <v>0</v>
      </c>
      <c r="AH2963">
        <v>0</v>
      </c>
      <c r="AI2963">
        <v>0</v>
      </c>
      <c r="AJ2963">
        <v>0</v>
      </c>
      <c r="AK2963">
        <v>0</v>
      </c>
      <c r="AL2963">
        <v>0</v>
      </c>
      <c r="AM2963">
        <v>0</v>
      </c>
      <c r="AN2963">
        <v>0</v>
      </c>
      <c r="AO2963">
        <v>0</v>
      </c>
      <c r="AP2963">
        <v>0</v>
      </c>
      <c r="AQ2963">
        <v>21.38</v>
      </c>
      <c r="AR2963">
        <v>0</v>
      </c>
      <c r="AS2963">
        <v>0</v>
      </c>
      <c r="AT2963">
        <v>0</v>
      </c>
      <c r="AU2963">
        <v>0</v>
      </c>
      <c r="AV2963">
        <v>0</v>
      </c>
      <c r="AW2963">
        <v>0</v>
      </c>
      <c r="AX2963">
        <v>0</v>
      </c>
      <c r="AY2963">
        <v>0</v>
      </c>
      <c r="AZ2963">
        <v>0</v>
      </c>
      <c r="BA2963">
        <v>0</v>
      </c>
      <c r="BB2963">
        <v>0</v>
      </c>
      <c r="BC2963">
        <v>0</v>
      </c>
      <c r="BD2963">
        <v>0</v>
      </c>
      <c r="BE2963">
        <v>0</v>
      </c>
      <c r="BF2963">
        <v>0</v>
      </c>
      <c r="BG2963">
        <v>0</v>
      </c>
      <c r="BH2963">
        <v>1</v>
      </c>
      <c r="BI2963">
        <v>1</v>
      </c>
      <c r="BJ2963">
        <v>0.2</v>
      </c>
      <c r="BK2963">
        <v>1</v>
      </c>
      <c r="BL2963">
        <v>69.98</v>
      </c>
      <c r="BM2963">
        <v>10.5</v>
      </c>
      <c r="BN2963">
        <v>80.48</v>
      </c>
      <c r="BO2963">
        <v>80.48</v>
      </c>
      <c r="BQ2963" t="s">
        <v>93</v>
      </c>
      <c r="BR2963" t="s">
        <v>84</v>
      </c>
      <c r="BS2963" s="3">
        <v>45800</v>
      </c>
      <c r="BT2963" s="4">
        <v>0.38611111111111113</v>
      </c>
      <c r="BU2963" t="s">
        <v>94</v>
      </c>
      <c r="BV2963" t="s">
        <v>86</v>
      </c>
      <c r="BY2963">
        <v>1200</v>
      </c>
      <c r="CA2963" t="s">
        <v>95</v>
      </c>
      <c r="CC2963" t="s">
        <v>91</v>
      </c>
      <c r="CD2963">
        <v>6001</v>
      </c>
      <c r="CE2963" t="s">
        <v>88</v>
      </c>
      <c r="CF2963" s="3">
        <v>45800</v>
      </c>
      <c r="CI2963">
        <v>1</v>
      </c>
      <c r="CJ2963">
        <v>1</v>
      </c>
      <c r="CK2963">
        <v>21</v>
      </c>
      <c r="CL2963" t="s">
        <v>89</v>
      </c>
    </row>
    <row r="2964" spans="1:90" x14ac:dyDescent="0.3">
      <c r="A2964" t="s">
        <v>72</v>
      </c>
      <c r="B2964" t="s">
        <v>73</v>
      </c>
      <c r="C2964" t="s">
        <v>74</v>
      </c>
      <c r="E2964" t="str">
        <f>"080065516724"</f>
        <v>080065516724</v>
      </c>
      <c r="F2964" s="3">
        <v>45799</v>
      </c>
      <c r="G2964">
        <v>202602</v>
      </c>
      <c r="H2964" t="s">
        <v>75</v>
      </c>
      <c r="I2964" t="s">
        <v>76</v>
      </c>
      <c r="J2964" t="s">
        <v>77</v>
      </c>
      <c r="K2964" t="s">
        <v>78</v>
      </c>
      <c r="L2964" t="s">
        <v>489</v>
      </c>
      <c r="M2964" t="s">
        <v>490</v>
      </c>
      <c r="N2964" t="s">
        <v>491</v>
      </c>
      <c r="O2964" t="s">
        <v>82</v>
      </c>
      <c r="P2964" t="str">
        <f>"4170040232                    "</f>
        <v xml:space="preserve">4170040232                    </v>
      </c>
      <c r="Q2964">
        <v>0</v>
      </c>
      <c r="R2964">
        <v>0</v>
      </c>
      <c r="S2964">
        <v>0</v>
      </c>
      <c r="T2964">
        <v>0</v>
      </c>
      <c r="U2964">
        <v>0</v>
      </c>
      <c r="V2964">
        <v>0</v>
      </c>
      <c r="W2964">
        <v>0</v>
      </c>
      <c r="X2964">
        <v>0</v>
      </c>
      <c r="Y2964">
        <v>0</v>
      </c>
      <c r="Z2964">
        <v>0</v>
      </c>
      <c r="AA2964">
        <v>0</v>
      </c>
      <c r="AB2964">
        <v>0</v>
      </c>
      <c r="AC2964">
        <v>0</v>
      </c>
      <c r="AD2964">
        <v>0</v>
      </c>
      <c r="AE2964">
        <v>0</v>
      </c>
      <c r="AF2964">
        <v>0</v>
      </c>
      <c r="AG2964">
        <v>0</v>
      </c>
      <c r="AH2964">
        <v>0</v>
      </c>
      <c r="AI2964">
        <v>0</v>
      </c>
      <c r="AJ2964">
        <v>0</v>
      </c>
      <c r="AK2964">
        <v>0</v>
      </c>
      <c r="AL2964">
        <v>0</v>
      </c>
      <c r="AM2964">
        <v>0</v>
      </c>
      <c r="AN2964">
        <v>0</v>
      </c>
      <c r="AO2964">
        <v>0</v>
      </c>
      <c r="AP2964">
        <v>0</v>
      </c>
      <c r="AQ2964">
        <v>41.43</v>
      </c>
      <c r="AR2964">
        <v>0</v>
      </c>
      <c r="AS2964">
        <v>0</v>
      </c>
      <c r="AT2964">
        <v>0</v>
      </c>
      <c r="AU2964">
        <v>0</v>
      </c>
      <c r="AV2964">
        <v>0</v>
      </c>
      <c r="AW2964">
        <v>0</v>
      </c>
      <c r="AX2964">
        <v>0</v>
      </c>
      <c r="AY2964">
        <v>0</v>
      </c>
      <c r="AZ2964">
        <v>0</v>
      </c>
      <c r="BA2964">
        <v>0</v>
      </c>
      <c r="BB2964">
        <v>0</v>
      </c>
      <c r="BC2964">
        <v>0</v>
      </c>
      <c r="BD2964">
        <v>0</v>
      </c>
      <c r="BE2964">
        <v>0</v>
      </c>
      <c r="BF2964">
        <v>0</v>
      </c>
      <c r="BG2964">
        <v>0</v>
      </c>
      <c r="BH2964">
        <v>1</v>
      </c>
      <c r="BI2964">
        <v>1</v>
      </c>
      <c r="BJ2964">
        <v>0.2</v>
      </c>
      <c r="BK2964">
        <v>1</v>
      </c>
      <c r="BL2964">
        <v>135.59</v>
      </c>
      <c r="BM2964">
        <v>20.34</v>
      </c>
      <c r="BN2964">
        <v>155.93</v>
      </c>
      <c r="BO2964">
        <v>155.93</v>
      </c>
      <c r="BQ2964" t="s">
        <v>492</v>
      </c>
      <c r="BR2964" t="s">
        <v>84</v>
      </c>
      <c r="BS2964" s="3">
        <v>45800</v>
      </c>
      <c r="BT2964" s="4">
        <v>0.4201388888888889</v>
      </c>
      <c r="BU2964" t="s">
        <v>2931</v>
      </c>
      <c r="BV2964" t="s">
        <v>86</v>
      </c>
      <c r="BY2964">
        <v>1200</v>
      </c>
      <c r="CA2964" t="s">
        <v>913</v>
      </c>
      <c r="CC2964" t="s">
        <v>490</v>
      </c>
      <c r="CD2964">
        <v>2740</v>
      </c>
      <c r="CE2964" t="s">
        <v>88</v>
      </c>
      <c r="CF2964" s="3">
        <v>45803</v>
      </c>
      <c r="CI2964">
        <v>1</v>
      </c>
      <c r="CJ2964">
        <v>1</v>
      </c>
      <c r="CK2964">
        <v>23</v>
      </c>
      <c r="CL2964" t="s">
        <v>89</v>
      </c>
    </row>
    <row r="2965" spans="1:90" x14ac:dyDescent="0.3">
      <c r="A2965" t="s">
        <v>72</v>
      </c>
      <c r="B2965" t="s">
        <v>73</v>
      </c>
      <c r="C2965" t="s">
        <v>74</v>
      </c>
      <c r="E2965" t="str">
        <f>"080065516957"</f>
        <v>080065516957</v>
      </c>
      <c r="F2965" s="3">
        <v>45799</v>
      </c>
      <c r="G2965">
        <v>202602</v>
      </c>
      <c r="H2965" t="s">
        <v>75</v>
      </c>
      <c r="I2965" t="s">
        <v>76</v>
      </c>
      <c r="J2965" t="s">
        <v>77</v>
      </c>
      <c r="K2965" t="s">
        <v>78</v>
      </c>
      <c r="L2965" t="s">
        <v>350</v>
      </c>
      <c r="M2965" t="s">
        <v>351</v>
      </c>
      <c r="N2965" t="s">
        <v>352</v>
      </c>
      <c r="O2965" t="s">
        <v>82</v>
      </c>
      <c r="P2965" t="str">
        <f>"4170040158                    "</f>
        <v xml:space="preserve">4170040158                    </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0</v>
      </c>
      <c r="AJ2965">
        <v>0</v>
      </c>
      <c r="AK2965">
        <v>0</v>
      </c>
      <c r="AL2965">
        <v>0</v>
      </c>
      <c r="AM2965">
        <v>0</v>
      </c>
      <c r="AN2965">
        <v>0</v>
      </c>
      <c r="AO2965">
        <v>0</v>
      </c>
      <c r="AP2965">
        <v>0</v>
      </c>
      <c r="AQ2965">
        <v>106.85</v>
      </c>
      <c r="AR2965">
        <v>0</v>
      </c>
      <c r="AS2965">
        <v>0</v>
      </c>
      <c r="AT2965">
        <v>0</v>
      </c>
      <c r="AU2965">
        <v>0</v>
      </c>
      <c r="AV2965">
        <v>0</v>
      </c>
      <c r="AW2965">
        <v>0</v>
      </c>
      <c r="AX2965">
        <v>0</v>
      </c>
      <c r="AY2965">
        <v>0</v>
      </c>
      <c r="AZ2965">
        <v>0</v>
      </c>
      <c r="BA2965">
        <v>0</v>
      </c>
      <c r="BB2965">
        <v>0</v>
      </c>
      <c r="BC2965">
        <v>0</v>
      </c>
      <c r="BD2965">
        <v>0</v>
      </c>
      <c r="BE2965">
        <v>0</v>
      </c>
      <c r="BF2965">
        <v>0</v>
      </c>
      <c r="BG2965">
        <v>0</v>
      </c>
      <c r="BH2965">
        <v>1</v>
      </c>
      <c r="BI2965">
        <v>10</v>
      </c>
      <c r="BJ2965">
        <v>5</v>
      </c>
      <c r="BK2965">
        <v>10</v>
      </c>
      <c r="BL2965">
        <v>349.69</v>
      </c>
      <c r="BM2965">
        <v>52.45</v>
      </c>
      <c r="BN2965">
        <v>402.14</v>
      </c>
      <c r="BO2965">
        <v>402.14</v>
      </c>
      <c r="BQ2965" t="s">
        <v>353</v>
      </c>
      <c r="BR2965" t="s">
        <v>84</v>
      </c>
      <c r="BS2965" s="3">
        <v>45800</v>
      </c>
      <c r="BT2965" s="4">
        <v>0.4152777777777778</v>
      </c>
      <c r="BU2965" t="s">
        <v>2985</v>
      </c>
      <c r="BV2965" t="s">
        <v>86</v>
      </c>
      <c r="BY2965">
        <v>24800</v>
      </c>
      <c r="CA2965" t="s">
        <v>160</v>
      </c>
      <c r="CC2965" t="s">
        <v>351</v>
      </c>
      <c r="CD2965">
        <v>4000</v>
      </c>
      <c r="CE2965" t="s">
        <v>221</v>
      </c>
      <c r="CF2965" s="3">
        <v>45801</v>
      </c>
      <c r="CI2965">
        <v>1</v>
      </c>
      <c r="CJ2965">
        <v>1</v>
      </c>
      <c r="CK2965">
        <v>21</v>
      </c>
      <c r="CL2965" t="s">
        <v>89</v>
      </c>
    </row>
    <row r="2966" spans="1:90" x14ac:dyDescent="0.3">
      <c r="A2966" t="s">
        <v>72</v>
      </c>
      <c r="B2966" t="s">
        <v>73</v>
      </c>
      <c r="C2966" t="s">
        <v>74</v>
      </c>
      <c r="E2966" t="str">
        <f>"080065517139"</f>
        <v>080065517139</v>
      </c>
      <c r="F2966" s="3">
        <v>45799</v>
      </c>
      <c r="G2966">
        <v>202602</v>
      </c>
      <c r="H2966" t="s">
        <v>75</v>
      </c>
      <c r="I2966" t="s">
        <v>76</v>
      </c>
      <c r="J2966" t="s">
        <v>77</v>
      </c>
      <c r="K2966" t="s">
        <v>78</v>
      </c>
      <c r="L2966" t="s">
        <v>103</v>
      </c>
      <c r="M2966" t="s">
        <v>104</v>
      </c>
      <c r="N2966" t="s">
        <v>1815</v>
      </c>
      <c r="O2966" t="s">
        <v>82</v>
      </c>
      <c r="P2966" t="str">
        <f>"4170040244                    "</f>
        <v xml:space="preserve">4170040244                    </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0</v>
      </c>
      <c r="AL2966">
        <v>0</v>
      </c>
      <c r="AM2966">
        <v>0</v>
      </c>
      <c r="AN2966">
        <v>0</v>
      </c>
      <c r="AO2966">
        <v>0</v>
      </c>
      <c r="AP2966">
        <v>0</v>
      </c>
      <c r="AQ2966">
        <v>53.43</v>
      </c>
      <c r="AR2966">
        <v>0</v>
      </c>
      <c r="AS2966">
        <v>0</v>
      </c>
      <c r="AT2966">
        <v>0</v>
      </c>
      <c r="AU2966">
        <v>0</v>
      </c>
      <c r="AV2966">
        <v>0</v>
      </c>
      <c r="AW2966">
        <v>0</v>
      </c>
      <c r="AX2966">
        <v>0</v>
      </c>
      <c r="AY2966">
        <v>0</v>
      </c>
      <c r="AZ2966">
        <v>0</v>
      </c>
      <c r="BA2966">
        <v>0</v>
      </c>
      <c r="BB2966">
        <v>0</v>
      </c>
      <c r="BC2966">
        <v>0</v>
      </c>
      <c r="BD2966">
        <v>0</v>
      </c>
      <c r="BE2966">
        <v>0</v>
      </c>
      <c r="BF2966">
        <v>0</v>
      </c>
      <c r="BG2966">
        <v>0</v>
      </c>
      <c r="BH2966">
        <v>1</v>
      </c>
      <c r="BI2966">
        <v>3</v>
      </c>
      <c r="BJ2966">
        <v>4.9000000000000004</v>
      </c>
      <c r="BK2966">
        <v>5</v>
      </c>
      <c r="BL2966">
        <v>174.87</v>
      </c>
      <c r="BM2966">
        <v>26.23</v>
      </c>
      <c r="BN2966">
        <v>201.1</v>
      </c>
      <c r="BO2966">
        <v>201.1</v>
      </c>
      <c r="BQ2966" t="s">
        <v>1816</v>
      </c>
      <c r="BR2966" t="s">
        <v>84</v>
      </c>
      <c r="BS2966" s="3">
        <v>45800</v>
      </c>
      <c r="BT2966" s="4">
        <v>0.4152777777777778</v>
      </c>
      <c r="BU2966" t="s">
        <v>1817</v>
      </c>
      <c r="BV2966" t="s">
        <v>86</v>
      </c>
      <c r="BY2966">
        <v>24320</v>
      </c>
      <c r="CA2966" t="s">
        <v>1375</v>
      </c>
      <c r="CC2966" t="s">
        <v>104</v>
      </c>
      <c r="CD2966">
        <v>3201</v>
      </c>
      <c r="CE2966" t="s">
        <v>176</v>
      </c>
      <c r="CF2966" s="3">
        <v>45801</v>
      </c>
      <c r="CI2966">
        <v>1</v>
      </c>
      <c r="CJ2966">
        <v>1</v>
      </c>
      <c r="CK2966">
        <v>21</v>
      </c>
      <c r="CL2966" t="s">
        <v>89</v>
      </c>
    </row>
    <row r="2967" spans="1:90" x14ac:dyDescent="0.3">
      <c r="A2967" t="s">
        <v>72</v>
      </c>
      <c r="B2967" t="s">
        <v>73</v>
      </c>
      <c r="C2967" t="s">
        <v>74</v>
      </c>
      <c r="E2967" t="str">
        <f>"080065517160"</f>
        <v>080065517160</v>
      </c>
      <c r="F2967" s="3">
        <v>45799</v>
      </c>
      <c r="G2967">
        <v>202602</v>
      </c>
      <c r="H2967" t="s">
        <v>75</v>
      </c>
      <c r="I2967" t="s">
        <v>76</v>
      </c>
      <c r="J2967" t="s">
        <v>77</v>
      </c>
      <c r="K2967" t="s">
        <v>78</v>
      </c>
      <c r="L2967" t="s">
        <v>90</v>
      </c>
      <c r="M2967" t="s">
        <v>91</v>
      </c>
      <c r="N2967" t="s">
        <v>92</v>
      </c>
      <c r="O2967" t="s">
        <v>82</v>
      </c>
      <c r="P2967" t="str">
        <f>"4170040217                    "</f>
        <v xml:space="preserve">4170040217                    </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c r="AJ2967">
        <v>0</v>
      </c>
      <c r="AK2967">
        <v>0</v>
      </c>
      <c r="AL2967">
        <v>0</v>
      </c>
      <c r="AM2967">
        <v>0</v>
      </c>
      <c r="AN2967">
        <v>0</v>
      </c>
      <c r="AO2967">
        <v>0</v>
      </c>
      <c r="AP2967">
        <v>0</v>
      </c>
      <c r="AQ2967">
        <v>37.409999999999997</v>
      </c>
      <c r="AR2967">
        <v>0</v>
      </c>
      <c r="AS2967">
        <v>0</v>
      </c>
      <c r="AT2967">
        <v>0</v>
      </c>
      <c r="AU2967">
        <v>0</v>
      </c>
      <c r="AV2967">
        <v>0</v>
      </c>
      <c r="AW2967">
        <v>0</v>
      </c>
      <c r="AX2967">
        <v>0</v>
      </c>
      <c r="AY2967">
        <v>0</v>
      </c>
      <c r="AZ2967">
        <v>0</v>
      </c>
      <c r="BA2967">
        <v>0</v>
      </c>
      <c r="BB2967">
        <v>0</v>
      </c>
      <c r="BC2967">
        <v>0</v>
      </c>
      <c r="BD2967">
        <v>0</v>
      </c>
      <c r="BE2967">
        <v>0</v>
      </c>
      <c r="BF2967">
        <v>0</v>
      </c>
      <c r="BG2967">
        <v>0</v>
      </c>
      <c r="BH2967">
        <v>1</v>
      </c>
      <c r="BI2967">
        <v>2</v>
      </c>
      <c r="BJ2967">
        <v>3.4</v>
      </c>
      <c r="BK2967">
        <v>3.5</v>
      </c>
      <c r="BL2967">
        <v>122.43</v>
      </c>
      <c r="BM2967">
        <v>18.36</v>
      </c>
      <c r="BN2967">
        <v>140.79</v>
      </c>
      <c r="BO2967">
        <v>140.79</v>
      </c>
      <c r="BQ2967" t="s">
        <v>93</v>
      </c>
      <c r="BR2967" t="s">
        <v>84</v>
      </c>
      <c r="BS2967" s="3">
        <v>45800</v>
      </c>
      <c r="BT2967" s="4">
        <v>0.38611111111111113</v>
      </c>
      <c r="BU2967" t="s">
        <v>94</v>
      </c>
      <c r="BV2967" t="s">
        <v>86</v>
      </c>
      <c r="BY2967">
        <v>16965</v>
      </c>
      <c r="CA2967" t="s">
        <v>95</v>
      </c>
      <c r="CC2967" t="s">
        <v>91</v>
      </c>
      <c r="CD2967">
        <v>6001</v>
      </c>
      <c r="CE2967" t="s">
        <v>96</v>
      </c>
      <c r="CF2967" s="3">
        <v>45800</v>
      </c>
      <c r="CI2967">
        <v>1</v>
      </c>
      <c r="CJ2967">
        <v>1</v>
      </c>
      <c r="CK2967">
        <v>21</v>
      </c>
      <c r="CL2967" t="s">
        <v>89</v>
      </c>
    </row>
    <row r="2968" spans="1:90" x14ac:dyDescent="0.3">
      <c r="A2968" t="s">
        <v>72</v>
      </c>
      <c r="B2968" t="s">
        <v>73</v>
      </c>
      <c r="C2968" t="s">
        <v>74</v>
      </c>
      <c r="E2968" t="str">
        <f>"080065517174"</f>
        <v>080065517174</v>
      </c>
      <c r="F2968" s="3">
        <v>45799</v>
      </c>
      <c r="G2968">
        <v>202602</v>
      </c>
      <c r="H2968" t="s">
        <v>75</v>
      </c>
      <c r="I2968" t="s">
        <v>76</v>
      </c>
      <c r="J2968" t="s">
        <v>77</v>
      </c>
      <c r="K2968" t="s">
        <v>78</v>
      </c>
      <c r="L2968" t="s">
        <v>130</v>
      </c>
      <c r="M2968" t="s">
        <v>131</v>
      </c>
      <c r="N2968" t="s">
        <v>909</v>
      </c>
      <c r="O2968" t="s">
        <v>82</v>
      </c>
      <c r="P2968" t="str">
        <f>"4170040241                    "</f>
        <v xml:space="preserve">4170040241                    </v>
      </c>
      <c r="Q2968">
        <v>0</v>
      </c>
      <c r="R2968">
        <v>0</v>
      </c>
      <c r="S2968">
        <v>0</v>
      </c>
      <c r="T2968">
        <v>0</v>
      </c>
      <c r="U2968">
        <v>0</v>
      </c>
      <c r="V2968">
        <v>0</v>
      </c>
      <c r="W2968">
        <v>0</v>
      </c>
      <c r="X2968">
        <v>0</v>
      </c>
      <c r="Y2968">
        <v>0</v>
      </c>
      <c r="Z2968">
        <v>0</v>
      </c>
      <c r="AA2968">
        <v>0</v>
      </c>
      <c r="AB2968">
        <v>0</v>
      </c>
      <c r="AC2968">
        <v>0</v>
      </c>
      <c r="AD2968">
        <v>0</v>
      </c>
      <c r="AE2968">
        <v>0</v>
      </c>
      <c r="AF2968">
        <v>0</v>
      </c>
      <c r="AG2968">
        <v>0</v>
      </c>
      <c r="AH2968">
        <v>0</v>
      </c>
      <c r="AI2968">
        <v>0</v>
      </c>
      <c r="AJ2968">
        <v>0</v>
      </c>
      <c r="AK2968">
        <v>0</v>
      </c>
      <c r="AL2968">
        <v>0</v>
      </c>
      <c r="AM2968">
        <v>0</v>
      </c>
      <c r="AN2968">
        <v>0</v>
      </c>
      <c r="AO2968">
        <v>0</v>
      </c>
      <c r="AP2968">
        <v>0</v>
      </c>
      <c r="AQ2968">
        <v>58.78</v>
      </c>
      <c r="AR2968">
        <v>0</v>
      </c>
      <c r="AS2968">
        <v>0</v>
      </c>
      <c r="AT2968">
        <v>0</v>
      </c>
      <c r="AU2968">
        <v>0</v>
      </c>
      <c r="AV2968">
        <v>0</v>
      </c>
      <c r="AW2968">
        <v>0</v>
      </c>
      <c r="AX2968">
        <v>0</v>
      </c>
      <c r="AY2968">
        <v>0</v>
      </c>
      <c r="AZ2968">
        <v>0</v>
      </c>
      <c r="BA2968">
        <v>0</v>
      </c>
      <c r="BB2968">
        <v>0</v>
      </c>
      <c r="BC2968">
        <v>0</v>
      </c>
      <c r="BD2968">
        <v>0</v>
      </c>
      <c r="BE2968">
        <v>0</v>
      </c>
      <c r="BF2968">
        <v>0</v>
      </c>
      <c r="BG2968">
        <v>0</v>
      </c>
      <c r="BH2968">
        <v>1</v>
      </c>
      <c r="BI2968">
        <v>5</v>
      </c>
      <c r="BJ2968">
        <v>5.4</v>
      </c>
      <c r="BK2968">
        <v>5.5</v>
      </c>
      <c r="BL2968">
        <v>192.36</v>
      </c>
      <c r="BM2968">
        <v>28.85</v>
      </c>
      <c r="BN2968">
        <v>221.21</v>
      </c>
      <c r="BO2968">
        <v>221.21</v>
      </c>
      <c r="BQ2968" t="s">
        <v>910</v>
      </c>
      <c r="BR2968" t="s">
        <v>84</v>
      </c>
      <c r="BS2968" s="3">
        <v>45800</v>
      </c>
      <c r="BT2968" s="4">
        <v>0.3298611111111111</v>
      </c>
      <c r="BU2968" t="s">
        <v>938</v>
      </c>
      <c r="BV2968" t="s">
        <v>86</v>
      </c>
      <c r="BY2968">
        <v>26880</v>
      </c>
      <c r="CA2968" t="s">
        <v>712</v>
      </c>
      <c r="CC2968" t="s">
        <v>131</v>
      </c>
      <c r="CD2968">
        <v>7530</v>
      </c>
      <c r="CE2968" t="s">
        <v>221</v>
      </c>
      <c r="CF2968" s="3">
        <v>45803</v>
      </c>
      <c r="CI2968">
        <v>1</v>
      </c>
      <c r="CJ2968">
        <v>1</v>
      </c>
      <c r="CK2968">
        <v>21</v>
      </c>
      <c r="CL2968" t="s">
        <v>89</v>
      </c>
    </row>
    <row r="2969" spans="1:90" x14ac:dyDescent="0.3">
      <c r="A2969" t="s">
        <v>72</v>
      </c>
      <c r="B2969" t="s">
        <v>73</v>
      </c>
      <c r="C2969" t="s">
        <v>74</v>
      </c>
      <c r="E2969" t="str">
        <f>"080065517193"</f>
        <v>080065517193</v>
      </c>
      <c r="F2969" s="3">
        <v>45799</v>
      </c>
      <c r="G2969">
        <v>202602</v>
      </c>
      <c r="H2969" t="s">
        <v>75</v>
      </c>
      <c r="I2969" t="s">
        <v>76</v>
      </c>
      <c r="J2969" t="s">
        <v>77</v>
      </c>
      <c r="K2969" t="s">
        <v>78</v>
      </c>
      <c r="L2969" t="s">
        <v>123</v>
      </c>
      <c r="M2969" t="s">
        <v>123</v>
      </c>
      <c r="N2969" t="s">
        <v>766</v>
      </c>
      <c r="O2969" t="s">
        <v>82</v>
      </c>
      <c r="P2969" t="str">
        <f>"4170040230                    "</f>
        <v xml:space="preserve">4170040230                    </v>
      </c>
      <c r="Q2969">
        <v>0</v>
      </c>
      <c r="R2969">
        <v>0</v>
      </c>
      <c r="S2969">
        <v>0</v>
      </c>
      <c r="T2969">
        <v>0</v>
      </c>
      <c r="U2969">
        <v>0</v>
      </c>
      <c r="V2969">
        <v>0</v>
      </c>
      <c r="W2969">
        <v>0</v>
      </c>
      <c r="X2969">
        <v>0</v>
      </c>
      <c r="Y2969">
        <v>0</v>
      </c>
      <c r="Z2969">
        <v>0</v>
      </c>
      <c r="AA2969">
        <v>0</v>
      </c>
      <c r="AB2969">
        <v>0</v>
      </c>
      <c r="AC2969">
        <v>0</v>
      </c>
      <c r="AD2969">
        <v>0</v>
      </c>
      <c r="AE2969">
        <v>0</v>
      </c>
      <c r="AF2969">
        <v>0</v>
      </c>
      <c r="AG2969">
        <v>0</v>
      </c>
      <c r="AH2969">
        <v>0</v>
      </c>
      <c r="AI2969">
        <v>0</v>
      </c>
      <c r="AJ2969">
        <v>0</v>
      </c>
      <c r="AK2969">
        <v>0</v>
      </c>
      <c r="AL2969">
        <v>0</v>
      </c>
      <c r="AM2969">
        <v>0</v>
      </c>
      <c r="AN2969">
        <v>0</v>
      </c>
      <c r="AO2969">
        <v>0</v>
      </c>
      <c r="AP2969">
        <v>0</v>
      </c>
      <c r="AQ2969">
        <v>134.97</v>
      </c>
      <c r="AR2969">
        <v>0</v>
      </c>
      <c r="AS2969">
        <v>0</v>
      </c>
      <c r="AT2969">
        <v>0</v>
      </c>
      <c r="AU2969">
        <v>0</v>
      </c>
      <c r="AV2969">
        <v>0</v>
      </c>
      <c r="AW2969">
        <v>0</v>
      </c>
      <c r="AX2969">
        <v>0</v>
      </c>
      <c r="AY2969">
        <v>0</v>
      </c>
      <c r="AZ2969">
        <v>0</v>
      </c>
      <c r="BA2969">
        <v>0</v>
      </c>
      <c r="BB2969">
        <v>0</v>
      </c>
      <c r="BC2969">
        <v>0</v>
      </c>
      <c r="BD2969">
        <v>0</v>
      </c>
      <c r="BE2969">
        <v>0</v>
      </c>
      <c r="BF2969">
        <v>0</v>
      </c>
      <c r="BG2969">
        <v>0</v>
      </c>
      <c r="BH2969">
        <v>2</v>
      </c>
      <c r="BI2969">
        <v>7</v>
      </c>
      <c r="BJ2969">
        <v>3.3</v>
      </c>
      <c r="BK2969">
        <v>7</v>
      </c>
      <c r="BL2969">
        <v>441.73</v>
      </c>
      <c r="BM2969">
        <v>66.260000000000005</v>
      </c>
      <c r="BN2969">
        <v>507.99</v>
      </c>
      <c r="BO2969">
        <v>507.99</v>
      </c>
      <c r="BQ2969" t="s">
        <v>767</v>
      </c>
      <c r="BR2969" t="s">
        <v>84</v>
      </c>
      <c r="BS2969" s="3">
        <v>45800</v>
      </c>
      <c r="BT2969" s="4">
        <v>0.50972222222222219</v>
      </c>
      <c r="BU2969" t="s">
        <v>768</v>
      </c>
      <c r="BV2969" t="s">
        <v>86</v>
      </c>
      <c r="BY2969">
        <v>16320</v>
      </c>
      <c r="CA2969" t="s">
        <v>128</v>
      </c>
      <c r="CC2969" t="s">
        <v>123</v>
      </c>
      <c r="CD2969">
        <v>7646</v>
      </c>
      <c r="CE2969" t="s">
        <v>88</v>
      </c>
      <c r="CF2969" s="3">
        <v>45803</v>
      </c>
      <c r="CI2969">
        <v>1</v>
      </c>
      <c r="CJ2969">
        <v>1</v>
      </c>
      <c r="CK2969">
        <v>23</v>
      </c>
      <c r="CL2969" t="s">
        <v>89</v>
      </c>
    </row>
    <row r="2970" spans="1:90" x14ac:dyDescent="0.3">
      <c r="A2970" t="s">
        <v>72</v>
      </c>
      <c r="B2970" t="s">
        <v>73</v>
      </c>
      <c r="C2970" t="s">
        <v>74</v>
      </c>
      <c r="E2970" t="str">
        <f>"080065517251"</f>
        <v>080065517251</v>
      </c>
      <c r="F2970" s="3">
        <v>45799</v>
      </c>
      <c r="G2970">
        <v>202602</v>
      </c>
      <c r="H2970" t="s">
        <v>75</v>
      </c>
      <c r="I2970" t="s">
        <v>76</v>
      </c>
      <c r="J2970" t="s">
        <v>77</v>
      </c>
      <c r="K2970" t="s">
        <v>78</v>
      </c>
      <c r="L2970" t="s">
        <v>755</v>
      </c>
      <c r="M2970" t="s">
        <v>756</v>
      </c>
      <c r="N2970" t="s">
        <v>757</v>
      </c>
      <c r="O2970" t="s">
        <v>82</v>
      </c>
      <c r="P2970" t="str">
        <f>"4170040027                    "</f>
        <v xml:space="preserve">4170040027                    </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c r="AI2970">
        <v>0</v>
      </c>
      <c r="AJ2970">
        <v>0</v>
      </c>
      <c r="AK2970">
        <v>0</v>
      </c>
      <c r="AL2970">
        <v>0</v>
      </c>
      <c r="AM2970">
        <v>0</v>
      </c>
      <c r="AN2970">
        <v>0</v>
      </c>
      <c r="AO2970">
        <v>0</v>
      </c>
      <c r="AP2970">
        <v>0</v>
      </c>
      <c r="AQ2970">
        <v>16.7</v>
      </c>
      <c r="AR2970">
        <v>0</v>
      </c>
      <c r="AS2970">
        <v>0</v>
      </c>
      <c r="AT2970">
        <v>0</v>
      </c>
      <c r="AU2970">
        <v>0</v>
      </c>
      <c r="AV2970">
        <v>0</v>
      </c>
      <c r="AW2970">
        <v>0</v>
      </c>
      <c r="AX2970">
        <v>0</v>
      </c>
      <c r="AY2970">
        <v>0</v>
      </c>
      <c r="AZ2970">
        <v>0</v>
      </c>
      <c r="BA2970">
        <v>0</v>
      </c>
      <c r="BB2970">
        <v>0</v>
      </c>
      <c r="BC2970">
        <v>0</v>
      </c>
      <c r="BD2970">
        <v>0</v>
      </c>
      <c r="BE2970">
        <v>0</v>
      </c>
      <c r="BF2970">
        <v>0</v>
      </c>
      <c r="BG2970">
        <v>0</v>
      </c>
      <c r="BH2970">
        <v>1</v>
      </c>
      <c r="BI2970">
        <v>3</v>
      </c>
      <c r="BJ2970">
        <v>1.7</v>
      </c>
      <c r="BK2970">
        <v>3</v>
      </c>
      <c r="BL2970">
        <v>54.66</v>
      </c>
      <c r="BM2970">
        <v>8.1999999999999993</v>
      </c>
      <c r="BN2970">
        <v>62.86</v>
      </c>
      <c r="BO2970">
        <v>62.86</v>
      </c>
      <c r="BQ2970" t="s">
        <v>758</v>
      </c>
      <c r="BR2970" t="s">
        <v>84</v>
      </c>
      <c r="BS2970" s="3">
        <v>45800</v>
      </c>
      <c r="BT2970" s="4">
        <v>0.38333333333333336</v>
      </c>
      <c r="BU2970" t="s">
        <v>2986</v>
      </c>
      <c r="BV2970" t="s">
        <v>86</v>
      </c>
      <c r="BY2970">
        <v>8700</v>
      </c>
      <c r="CA2970" t="s">
        <v>2987</v>
      </c>
      <c r="CC2970" t="s">
        <v>756</v>
      </c>
      <c r="CD2970">
        <v>1682</v>
      </c>
      <c r="CE2970" t="s">
        <v>221</v>
      </c>
      <c r="CF2970" s="3">
        <v>45800</v>
      </c>
      <c r="CI2970">
        <v>1</v>
      </c>
      <c r="CJ2970">
        <v>1</v>
      </c>
      <c r="CK2970">
        <v>22</v>
      </c>
      <c r="CL2970" t="s">
        <v>89</v>
      </c>
    </row>
    <row r="2971" spans="1:90" x14ac:dyDescent="0.3">
      <c r="A2971" t="s">
        <v>72</v>
      </c>
      <c r="B2971" t="s">
        <v>73</v>
      </c>
      <c r="C2971" t="s">
        <v>74</v>
      </c>
      <c r="E2971" t="str">
        <f>"080065517278"</f>
        <v>080065517278</v>
      </c>
      <c r="F2971" s="3">
        <v>45799</v>
      </c>
      <c r="G2971">
        <v>202602</v>
      </c>
      <c r="H2971" t="s">
        <v>75</v>
      </c>
      <c r="I2971" t="s">
        <v>76</v>
      </c>
      <c r="J2971" t="s">
        <v>77</v>
      </c>
      <c r="K2971" t="s">
        <v>78</v>
      </c>
      <c r="L2971" t="s">
        <v>350</v>
      </c>
      <c r="M2971" t="s">
        <v>351</v>
      </c>
      <c r="N2971" t="s">
        <v>536</v>
      </c>
      <c r="O2971" t="s">
        <v>82</v>
      </c>
      <c r="P2971" t="str">
        <f>"4170040239                    "</f>
        <v xml:space="preserve">4170040239                    </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c r="AI2971">
        <v>0</v>
      </c>
      <c r="AJ2971">
        <v>0</v>
      </c>
      <c r="AK2971">
        <v>0</v>
      </c>
      <c r="AL2971">
        <v>0</v>
      </c>
      <c r="AM2971">
        <v>0</v>
      </c>
      <c r="AN2971">
        <v>0</v>
      </c>
      <c r="AO2971">
        <v>0</v>
      </c>
      <c r="AP2971">
        <v>0</v>
      </c>
      <c r="AQ2971">
        <v>21.38</v>
      </c>
      <c r="AR2971">
        <v>0</v>
      </c>
      <c r="AS2971">
        <v>0</v>
      </c>
      <c r="AT2971">
        <v>0</v>
      </c>
      <c r="AU2971">
        <v>0</v>
      </c>
      <c r="AV2971">
        <v>0</v>
      </c>
      <c r="AW2971">
        <v>0</v>
      </c>
      <c r="AX2971">
        <v>0</v>
      </c>
      <c r="AY2971">
        <v>0</v>
      </c>
      <c r="AZ2971">
        <v>0</v>
      </c>
      <c r="BA2971">
        <v>0</v>
      </c>
      <c r="BB2971">
        <v>0</v>
      </c>
      <c r="BC2971">
        <v>0</v>
      </c>
      <c r="BD2971">
        <v>0</v>
      </c>
      <c r="BE2971">
        <v>0</v>
      </c>
      <c r="BF2971">
        <v>0</v>
      </c>
      <c r="BG2971">
        <v>0</v>
      </c>
      <c r="BH2971">
        <v>1</v>
      </c>
      <c r="BI2971">
        <v>1</v>
      </c>
      <c r="BJ2971">
        <v>0.2</v>
      </c>
      <c r="BK2971">
        <v>1</v>
      </c>
      <c r="BL2971">
        <v>69.98</v>
      </c>
      <c r="BM2971">
        <v>10.5</v>
      </c>
      <c r="BN2971">
        <v>80.48</v>
      </c>
      <c r="BO2971">
        <v>80.48</v>
      </c>
      <c r="BQ2971" t="s">
        <v>537</v>
      </c>
      <c r="BR2971" t="s">
        <v>84</v>
      </c>
      <c r="BS2971" s="3">
        <v>45800</v>
      </c>
      <c r="BT2971" s="4">
        <v>0.375</v>
      </c>
      <c r="BU2971" t="s">
        <v>1301</v>
      </c>
      <c r="BV2971" t="s">
        <v>86</v>
      </c>
      <c r="BY2971">
        <v>1200</v>
      </c>
      <c r="CA2971" t="s">
        <v>326</v>
      </c>
      <c r="CC2971" t="s">
        <v>351</v>
      </c>
      <c r="CD2971">
        <v>4052</v>
      </c>
      <c r="CE2971" t="s">
        <v>88</v>
      </c>
      <c r="CF2971" s="3">
        <v>45803</v>
      </c>
      <c r="CI2971">
        <v>1</v>
      </c>
      <c r="CJ2971">
        <v>1</v>
      </c>
      <c r="CK2971">
        <v>21</v>
      </c>
      <c r="CL2971" t="s">
        <v>89</v>
      </c>
    </row>
    <row r="2972" spans="1:90" x14ac:dyDescent="0.3">
      <c r="A2972" t="s">
        <v>72</v>
      </c>
      <c r="B2972" t="s">
        <v>73</v>
      </c>
      <c r="C2972" t="s">
        <v>74</v>
      </c>
      <c r="E2972" t="str">
        <f>"080065517287"</f>
        <v>080065517287</v>
      </c>
      <c r="F2972" s="3">
        <v>45799</v>
      </c>
      <c r="G2972">
        <v>202602</v>
      </c>
      <c r="H2972" t="s">
        <v>75</v>
      </c>
      <c r="I2972" t="s">
        <v>76</v>
      </c>
      <c r="J2972" t="s">
        <v>77</v>
      </c>
      <c r="K2972" t="s">
        <v>78</v>
      </c>
      <c r="L2972" t="s">
        <v>177</v>
      </c>
      <c r="M2972" t="s">
        <v>178</v>
      </c>
      <c r="N2972" t="s">
        <v>393</v>
      </c>
      <c r="O2972" t="s">
        <v>82</v>
      </c>
      <c r="P2972" t="str">
        <f>"4170040227                    "</f>
        <v xml:space="preserve">4170040227                    </v>
      </c>
      <c r="Q2972">
        <v>0</v>
      </c>
      <c r="R2972">
        <v>0</v>
      </c>
      <c r="S2972">
        <v>0</v>
      </c>
      <c r="T2972">
        <v>0</v>
      </c>
      <c r="U2972">
        <v>0</v>
      </c>
      <c r="V2972">
        <v>0</v>
      </c>
      <c r="W2972">
        <v>0</v>
      </c>
      <c r="X2972">
        <v>0</v>
      </c>
      <c r="Y2972">
        <v>0</v>
      </c>
      <c r="Z2972">
        <v>0</v>
      </c>
      <c r="AA2972">
        <v>0</v>
      </c>
      <c r="AB2972">
        <v>0</v>
      </c>
      <c r="AC2972">
        <v>0</v>
      </c>
      <c r="AD2972">
        <v>0</v>
      </c>
      <c r="AE2972">
        <v>0</v>
      </c>
      <c r="AF2972">
        <v>0</v>
      </c>
      <c r="AG2972">
        <v>0</v>
      </c>
      <c r="AH2972">
        <v>0</v>
      </c>
      <c r="AI2972">
        <v>0</v>
      </c>
      <c r="AJ2972">
        <v>0</v>
      </c>
      <c r="AK2972">
        <v>0</v>
      </c>
      <c r="AL2972">
        <v>0</v>
      </c>
      <c r="AM2972">
        <v>0</v>
      </c>
      <c r="AN2972">
        <v>0</v>
      </c>
      <c r="AO2972">
        <v>0</v>
      </c>
      <c r="AP2972">
        <v>0</v>
      </c>
      <c r="AQ2972">
        <v>21.38</v>
      </c>
      <c r="AR2972">
        <v>0</v>
      </c>
      <c r="AS2972">
        <v>0</v>
      </c>
      <c r="AT2972">
        <v>0</v>
      </c>
      <c r="AU2972">
        <v>0</v>
      </c>
      <c r="AV2972">
        <v>0</v>
      </c>
      <c r="AW2972">
        <v>0</v>
      </c>
      <c r="AX2972">
        <v>0</v>
      </c>
      <c r="AY2972">
        <v>0</v>
      </c>
      <c r="AZ2972">
        <v>0</v>
      </c>
      <c r="BA2972">
        <v>0</v>
      </c>
      <c r="BB2972">
        <v>0</v>
      </c>
      <c r="BC2972">
        <v>0</v>
      </c>
      <c r="BD2972">
        <v>0</v>
      </c>
      <c r="BE2972">
        <v>0</v>
      </c>
      <c r="BF2972">
        <v>0</v>
      </c>
      <c r="BG2972">
        <v>0</v>
      </c>
      <c r="BH2972">
        <v>1</v>
      </c>
      <c r="BI2972">
        <v>1</v>
      </c>
      <c r="BJ2972">
        <v>0.2</v>
      </c>
      <c r="BK2972">
        <v>1</v>
      </c>
      <c r="BL2972">
        <v>69.98</v>
      </c>
      <c r="BM2972">
        <v>10.5</v>
      </c>
      <c r="BN2972">
        <v>80.48</v>
      </c>
      <c r="BO2972">
        <v>80.48</v>
      </c>
      <c r="BQ2972" t="s">
        <v>394</v>
      </c>
      <c r="BR2972" t="s">
        <v>84</v>
      </c>
      <c r="BS2972" s="3">
        <v>45800</v>
      </c>
      <c r="BT2972" s="4">
        <v>0.37708333333333333</v>
      </c>
      <c r="BU2972" t="s">
        <v>2988</v>
      </c>
      <c r="BV2972" t="s">
        <v>86</v>
      </c>
      <c r="BY2972">
        <v>1200</v>
      </c>
      <c r="CA2972" t="s">
        <v>2957</v>
      </c>
      <c r="CC2972" t="s">
        <v>178</v>
      </c>
      <c r="CD2972">
        <v>6230</v>
      </c>
      <c r="CE2972" t="s">
        <v>88</v>
      </c>
      <c r="CF2972" s="3">
        <v>45800</v>
      </c>
      <c r="CI2972">
        <v>1</v>
      </c>
      <c r="CJ2972">
        <v>1</v>
      </c>
      <c r="CK2972">
        <v>21</v>
      </c>
      <c r="CL2972" t="s">
        <v>89</v>
      </c>
    </row>
    <row r="2973" spans="1:90" x14ac:dyDescent="0.3">
      <c r="A2973" t="s">
        <v>72</v>
      </c>
      <c r="B2973" t="s">
        <v>73</v>
      </c>
      <c r="C2973" t="s">
        <v>74</v>
      </c>
      <c r="E2973" t="str">
        <f>"080065517320"</f>
        <v>080065517320</v>
      </c>
      <c r="F2973" s="3">
        <v>45799</v>
      </c>
      <c r="G2973">
        <v>202602</v>
      </c>
      <c r="H2973" t="s">
        <v>75</v>
      </c>
      <c r="I2973" t="s">
        <v>76</v>
      </c>
      <c r="J2973" t="s">
        <v>77</v>
      </c>
      <c r="K2973" t="s">
        <v>78</v>
      </c>
      <c r="L2973" t="s">
        <v>130</v>
      </c>
      <c r="M2973" t="s">
        <v>131</v>
      </c>
      <c r="N2973" t="s">
        <v>455</v>
      </c>
      <c r="O2973" t="s">
        <v>300</v>
      </c>
      <c r="P2973" t="str">
        <f>"4170040208                    "</f>
        <v xml:space="preserve">4170040208                    </v>
      </c>
      <c r="Q2973">
        <v>0</v>
      </c>
      <c r="R2973">
        <v>0</v>
      </c>
      <c r="S2973">
        <v>0</v>
      </c>
      <c r="T2973">
        <v>0</v>
      </c>
      <c r="U2973">
        <v>0</v>
      </c>
      <c r="V2973">
        <v>0</v>
      </c>
      <c r="W2973">
        <v>0</v>
      </c>
      <c r="X2973">
        <v>0</v>
      </c>
      <c r="Y2973">
        <v>0</v>
      </c>
      <c r="Z2973">
        <v>0</v>
      </c>
      <c r="AA2973">
        <v>0</v>
      </c>
      <c r="AB2973">
        <v>0</v>
      </c>
      <c r="AC2973">
        <v>0</v>
      </c>
      <c r="AD2973">
        <v>0</v>
      </c>
      <c r="AE2973">
        <v>0</v>
      </c>
      <c r="AF2973">
        <v>0</v>
      </c>
      <c r="AG2973">
        <v>0</v>
      </c>
      <c r="AH2973">
        <v>0</v>
      </c>
      <c r="AI2973">
        <v>0</v>
      </c>
      <c r="AJ2973">
        <v>0</v>
      </c>
      <c r="AK2973">
        <v>0</v>
      </c>
      <c r="AL2973">
        <v>0</v>
      </c>
      <c r="AM2973">
        <v>0</v>
      </c>
      <c r="AN2973">
        <v>0</v>
      </c>
      <c r="AO2973">
        <v>0</v>
      </c>
      <c r="AP2973">
        <v>0</v>
      </c>
      <c r="AQ2973">
        <v>51.59</v>
      </c>
      <c r="AR2973">
        <v>0</v>
      </c>
      <c r="AS2973">
        <v>0</v>
      </c>
      <c r="AT2973">
        <v>0</v>
      </c>
      <c r="AU2973">
        <v>0</v>
      </c>
      <c r="AV2973">
        <v>0</v>
      </c>
      <c r="AW2973">
        <v>16.739999999999998</v>
      </c>
      <c r="AX2973">
        <v>0</v>
      </c>
      <c r="AY2973">
        <v>0</v>
      </c>
      <c r="AZ2973">
        <v>0</v>
      </c>
      <c r="BA2973">
        <v>0</v>
      </c>
      <c r="BB2973">
        <v>0</v>
      </c>
      <c r="BC2973">
        <v>0</v>
      </c>
      <c r="BD2973">
        <v>0</v>
      </c>
      <c r="BE2973">
        <v>0</v>
      </c>
      <c r="BF2973">
        <v>0</v>
      </c>
      <c r="BG2973">
        <v>0</v>
      </c>
      <c r="BH2973">
        <v>1</v>
      </c>
      <c r="BI2973">
        <v>10</v>
      </c>
      <c r="BJ2973">
        <v>20.8</v>
      </c>
      <c r="BK2973">
        <v>21</v>
      </c>
      <c r="BL2973">
        <v>191.16</v>
      </c>
      <c r="BM2973">
        <v>28.67</v>
      </c>
      <c r="BN2973">
        <v>219.83</v>
      </c>
      <c r="BO2973">
        <v>219.83</v>
      </c>
      <c r="BQ2973" t="s">
        <v>456</v>
      </c>
      <c r="BR2973" t="s">
        <v>84</v>
      </c>
      <c r="BS2973" s="3">
        <v>45805</v>
      </c>
      <c r="BT2973" s="4">
        <v>0.40347222222222223</v>
      </c>
      <c r="BU2973" t="s">
        <v>2989</v>
      </c>
      <c r="BV2973" t="s">
        <v>89</v>
      </c>
      <c r="BY2973">
        <v>104000</v>
      </c>
      <c r="BZ2973" t="s">
        <v>30</v>
      </c>
      <c r="CA2973" t="s">
        <v>2990</v>
      </c>
      <c r="CC2973" t="s">
        <v>131</v>
      </c>
      <c r="CD2973">
        <v>7781</v>
      </c>
      <c r="CE2973" t="s">
        <v>221</v>
      </c>
      <c r="CF2973" s="3">
        <v>45806</v>
      </c>
      <c r="CI2973">
        <v>3</v>
      </c>
      <c r="CJ2973">
        <v>4</v>
      </c>
      <c r="CK2973">
        <v>41</v>
      </c>
      <c r="CL2973" t="s">
        <v>89</v>
      </c>
    </row>
    <row r="2974" spans="1:90" x14ac:dyDescent="0.3">
      <c r="A2974" t="s">
        <v>72</v>
      </c>
      <c r="B2974" t="s">
        <v>73</v>
      </c>
      <c r="C2974" t="s">
        <v>74</v>
      </c>
      <c r="E2974" t="str">
        <f>"080065517332"</f>
        <v>080065517332</v>
      </c>
      <c r="F2974" s="3">
        <v>45799</v>
      </c>
      <c r="G2974">
        <v>202602</v>
      </c>
      <c r="H2974" t="s">
        <v>75</v>
      </c>
      <c r="I2974" t="s">
        <v>76</v>
      </c>
      <c r="J2974" t="s">
        <v>77</v>
      </c>
      <c r="K2974" t="s">
        <v>78</v>
      </c>
      <c r="L2974" t="s">
        <v>479</v>
      </c>
      <c r="M2974" t="s">
        <v>480</v>
      </c>
      <c r="N2974" t="s">
        <v>793</v>
      </c>
      <c r="O2974" t="s">
        <v>82</v>
      </c>
      <c r="P2974" t="str">
        <f>"4170040025                    "</f>
        <v xml:space="preserve">4170040025                    </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c r="AJ2974">
        <v>0</v>
      </c>
      <c r="AK2974">
        <v>0</v>
      </c>
      <c r="AL2974">
        <v>0</v>
      </c>
      <c r="AM2974">
        <v>0</v>
      </c>
      <c r="AN2974">
        <v>0</v>
      </c>
      <c r="AO2974">
        <v>0</v>
      </c>
      <c r="AP2974">
        <v>0</v>
      </c>
      <c r="AQ2974">
        <v>16.7</v>
      </c>
      <c r="AR2974">
        <v>0</v>
      </c>
      <c r="AS2974">
        <v>0</v>
      </c>
      <c r="AT2974">
        <v>0</v>
      </c>
      <c r="AU2974">
        <v>0</v>
      </c>
      <c r="AV2974">
        <v>0</v>
      </c>
      <c r="AW2974">
        <v>0</v>
      </c>
      <c r="AX2974">
        <v>0</v>
      </c>
      <c r="AY2974">
        <v>0</v>
      </c>
      <c r="AZ2974">
        <v>0</v>
      </c>
      <c r="BA2974">
        <v>0</v>
      </c>
      <c r="BB2974">
        <v>0</v>
      </c>
      <c r="BC2974">
        <v>0</v>
      </c>
      <c r="BD2974">
        <v>0</v>
      </c>
      <c r="BE2974">
        <v>0</v>
      </c>
      <c r="BF2974">
        <v>0</v>
      </c>
      <c r="BG2974">
        <v>0</v>
      </c>
      <c r="BH2974">
        <v>1</v>
      </c>
      <c r="BI2974">
        <v>3</v>
      </c>
      <c r="BJ2974">
        <v>0.9</v>
      </c>
      <c r="BK2974">
        <v>3</v>
      </c>
      <c r="BL2974">
        <v>54.66</v>
      </c>
      <c r="BM2974">
        <v>8.1999999999999993</v>
      </c>
      <c r="BN2974">
        <v>62.86</v>
      </c>
      <c r="BO2974">
        <v>62.86</v>
      </c>
      <c r="BQ2974" t="s">
        <v>794</v>
      </c>
      <c r="BR2974" t="s">
        <v>84</v>
      </c>
      <c r="BS2974" s="3">
        <v>45800</v>
      </c>
      <c r="BT2974" s="4">
        <v>0.53819444444444442</v>
      </c>
      <c r="BU2974" t="s">
        <v>795</v>
      </c>
      <c r="BV2974" t="s">
        <v>89</v>
      </c>
      <c r="BY2974">
        <v>4560</v>
      </c>
      <c r="CA2974" t="s">
        <v>796</v>
      </c>
      <c r="CC2974" t="s">
        <v>480</v>
      </c>
      <c r="CD2974">
        <v>2163</v>
      </c>
      <c r="CE2974" t="s">
        <v>116</v>
      </c>
      <c r="CF2974" s="3">
        <v>45801</v>
      </c>
      <c r="CI2974">
        <v>1</v>
      </c>
      <c r="CJ2974">
        <v>1</v>
      </c>
      <c r="CK2974">
        <v>22</v>
      </c>
      <c r="CL2974" t="s">
        <v>89</v>
      </c>
    </row>
    <row r="2975" spans="1:90" x14ac:dyDescent="0.3">
      <c r="A2975" t="s">
        <v>72</v>
      </c>
      <c r="B2975" t="s">
        <v>73</v>
      </c>
      <c r="C2975" t="s">
        <v>74</v>
      </c>
      <c r="E2975" t="str">
        <f>"080065517364"</f>
        <v>080065517364</v>
      </c>
      <c r="F2975" s="3">
        <v>45799</v>
      </c>
      <c r="G2975">
        <v>202602</v>
      </c>
      <c r="H2975" t="s">
        <v>75</v>
      </c>
      <c r="I2975" t="s">
        <v>76</v>
      </c>
      <c r="J2975" t="s">
        <v>77</v>
      </c>
      <c r="K2975" t="s">
        <v>78</v>
      </c>
      <c r="L2975" t="s">
        <v>90</v>
      </c>
      <c r="M2975" t="s">
        <v>91</v>
      </c>
      <c r="N2975" t="s">
        <v>515</v>
      </c>
      <c r="O2975" t="s">
        <v>82</v>
      </c>
      <c r="P2975" t="str">
        <f>"4170040035                    "</f>
        <v xml:space="preserve">4170040035                    </v>
      </c>
      <c r="Q2975">
        <v>0</v>
      </c>
      <c r="R2975">
        <v>0</v>
      </c>
      <c r="S2975">
        <v>0</v>
      </c>
      <c r="T2975">
        <v>0</v>
      </c>
      <c r="U2975">
        <v>0</v>
      </c>
      <c r="V2975">
        <v>0</v>
      </c>
      <c r="W2975">
        <v>0</v>
      </c>
      <c r="X2975">
        <v>0</v>
      </c>
      <c r="Y2975">
        <v>0</v>
      </c>
      <c r="Z2975">
        <v>0</v>
      </c>
      <c r="AA2975">
        <v>0</v>
      </c>
      <c r="AB2975">
        <v>0</v>
      </c>
      <c r="AC2975">
        <v>0</v>
      </c>
      <c r="AD2975">
        <v>0</v>
      </c>
      <c r="AE2975">
        <v>0</v>
      </c>
      <c r="AF2975">
        <v>0</v>
      </c>
      <c r="AG2975">
        <v>0</v>
      </c>
      <c r="AH2975">
        <v>0</v>
      </c>
      <c r="AI2975">
        <v>0</v>
      </c>
      <c r="AJ2975">
        <v>0</v>
      </c>
      <c r="AK2975">
        <v>0</v>
      </c>
      <c r="AL2975">
        <v>0</v>
      </c>
      <c r="AM2975">
        <v>0</v>
      </c>
      <c r="AN2975">
        <v>0</v>
      </c>
      <c r="AO2975">
        <v>0</v>
      </c>
      <c r="AP2975">
        <v>0</v>
      </c>
      <c r="AQ2975">
        <v>21.38</v>
      </c>
      <c r="AR2975">
        <v>0</v>
      </c>
      <c r="AS2975">
        <v>0</v>
      </c>
      <c r="AT2975">
        <v>0</v>
      </c>
      <c r="AU2975">
        <v>0</v>
      </c>
      <c r="AV2975">
        <v>0</v>
      </c>
      <c r="AW2975">
        <v>0</v>
      </c>
      <c r="AX2975">
        <v>0</v>
      </c>
      <c r="AY2975">
        <v>0</v>
      </c>
      <c r="AZ2975">
        <v>0</v>
      </c>
      <c r="BA2975">
        <v>0</v>
      </c>
      <c r="BB2975">
        <v>0</v>
      </c>
      <c r="BC2975">
        <v>0</v>
      </c>
      <c r="BD2975">
        <v>0</v>
      </c>
      <c r="BE2975">
        <v>0</v>
      </c>
      <c r="BF2975">
        <v>0</v>
      </c>
      <c r="BG2975">
        <v>0</v>
      </c>
      <c r="BH2975">
        <v>1</v>
      </c>
      <c r="BI2975">
        <v>1</v>
      </c>
      <c r="BJ2975">
        <v>0.2</v>
      </c>
      <c r="BK2975">
        <v>1</v>
      </c>
      <c r="BL2975">
        <v>69.98</v>
      </c>
      <c r="BM2975">
        <v>10.5</v>
      </c>
      <c r="BN2975">
        <v>80.48</v>
      </c>
      <c r="BO2975">
        <v>80.48</v>
      </c>
      <c r="BQ2975" t="s">
        <v>516</v>
      </c>
      <c r="BR2975" t="s">
        <v>84</v>
      </c>
      <c r="BS2975" s="3">
        <v>45800</v>
      </c>
      <c r="BT2975" s="4">
        <v>0.41319444444444442</v>
      </c>
      <c r="BU2975" t="s">
        <v>517</v>
      </c>
      <c r="BV2975" t="s">
        <v>86</v>
      </c>
      <c r="BY2975">
        <v>1200</v>
      </c>
      <c r="CA2975" t="s">
        <v>271</v>
      </c>
      <c r="CC2975" t="s">
        <v>91</v>
      </c>
      <c r="CD2975">
        <v>6001</v>
      </c>
      <c r="CE2975" t="s">
        <v>88</v>
      </c>
      <c r="CF2975" s="3">
        <v>45800</v>
      </c>
      <c r="CI2975">
        <v>1</v>
      </c>
      <c r="CJ2975">
        <v>1</v>
      </c>
      <c r="CK2975">
        <v>21</v>
      </c>
      <c r="CL2975" t="s">
        <v>89</v>
      </c>
    </row>
    <row r="2976" spans="1:90" x14ac:dyDescent="0.3">
      <c r="A2976" t="s">
        <v>72</v>
      </c>
      <c r="B2976" t="s">
        <v>73</v>
      </c>
      <c r="C2976" t="s">
        <v>74</v>
      </c>
      <c r="E2976" t="str">
        <f>"080065517553"</f>
        <v>080065517553</v>
      </c>
      <c r="F2976" s="3">
        <v>45799</v>
      </c>
      <c r="G2976">
        <v>202602</v>
      </c>
      <c r="H2976" t="s">
        <v>75</v>
      </c>
      <c r="I2976" t="s">
        <v>76</v>
      </c>
      <c r="J2976" t="s">
        <v>77</v>
      </c>
      <c r="K2976" t="s">
        <v>78</v>
      </c>
      <c r="L2976" t="s">
        <v>130</v>
      </c>
      <c r="M2976" t="s">
        <v>131</v>
      </c>
      <c r="N2976" t="s">
        <v>1491</v>
      </c>
      <c r="O2976" t="s">
        <v>82</v>
      </c>
      <c r="P2976" t="str">
        <f>"4170040120                    "</f>
        <v xml:space="preserve">4170040120                    </v>
      </c>
      <c r="Q2976">
        <v>0</v>
      </c>
      <c r="R2976">
        <v>0</v>
      </c>
      <c r="S2976">
        <v>0</v>
      </c>
      <c r="T2976">
        <v>0</v>
      </c>
      <c r="U2976">
        <v>0</v>
      </c>
      <c r="V2976">
        <v>0</v>
      </c>
      <c r="W2976">
        <v>0</v>
      </c>
      <c r="X2976">
        <v>0</v>
      </c>
      <c r="Y2976">
        <v>0</v>
      </c>
      <c r="Z2976">
        <v>0</v>
      </c>
      <c r="AA2976">
        <v>0</v>
      </c>
      <c r="AB2976">
        <v>0</v>
      </c>
      <c r="AC2976">
        <v>0</v>
      </c>
      <c r="AD2976">
        <v>0</v>
      </c>
      <c r="AE2976">
        <v>0</v>
      </c>
      <c r="AF2976">
        <v>0</v>
      </c>
      <c r="AG2976">
        <v>0</v>
      </c>
      <c r="AH2976">
        <v>0</v>
      </c>
      <c r="AI2976">
        <v>0</v>
      </c>
      <c r="AJ2976">
        <v>0</v>
      </c>
      <c r="AK2976">
        <v>0</v>
      </c>
      <c r="AL2976">
        <v>0</v>
      </c>
      <c r="AM2976">
        <v>0</v>
      </c>
      <c r="AN2976">
        <v>0</v>
      </c>
      <c r="AO2976">
        <v>0</v>
      </c>
      <c r="AP2976">
        <v>0</v>
      </c>
      <c r="AQ2976">
        <v>85.48</v>
      </c>
      <c r="AR2976">
        <v>0</v>
      </c>
      <c r="AS2976">
        <v>0</v>
      </c>
      <c r="AT2976">
        <v>0</v>
      </c>
      <c r="AU2976">
        <v>0</v>
      </c>
      <c r="AV2976">
        <v>0</v>
      </c>
      <c r="AW2976">
        <v>0</v>
      </c>
      <c r="AX2976">
        <v>0</v>
      </c>
      <c r="AY2976">
        <v>0</v>
      </c>
      <c r="AZ2976">
        <v>0</v>
      </c>
      <c r="BA2976">
        <v>0</v>
      </c>
      <c r="BB2976">
        <v>0</v>
      </c>
      <c r="BC2976">
        <v>0</v>
      </c>
      <c r="BD2976">
        <v>0</v>
      </c>
      <c r="BE2976">
        <v>0</v>
      </c>
      <c r="BF2976">
        <v>0</v>
      </c>
      <c r="BG2976">
        <v>0</v>
      </c>
      <c r="BH2976">
        <v>1</v>
      </c>
      <c r="BI2976">
        <v>8</v>
      </c>
      <c r="BJ2976">
        <v>3.4</v>
      </c>
      <c r="BK2976">
        <v>8</v>
      </c>
      <c r="BL2976">
        <v>279.76</v>
      </c>
      <c r="BM2976">
        <v>41.96</v>
      </c>
      <c r="BN2976">
        <v>321.72000000000003</v>
      </c>
      <c r="BO2976">
        <v>321.72000000000003</v>
      </c>
      <c r="BQ2976" t="s">
        <v>1492</v>
      </c>
      <c r="BR2976" t="s">
        <v>84</v>
      </c>
      <c r="BS2976" s="3">
        <v>45800</v>
      </c>
      <c r="BT2976" s="4">
        <v>0.40625</v>
      </c>
      <c r="BU2976" t="s">
        <v>2991</v>
      </c>
      <c r="BV2976" t="s">
        <v>86</v>
      </c>
      <c r="BY2976">
        <v>16965</v>
      </c>
      <c r="CA2976" t="s">
        <v>684</v>
      </c>
      <c r="CC2976" t="s">
        <v>131</v>
      </c>
      <c r="CD2976">
        <v>7800</v>
      </c>
      <c r="CE2976" t="s">
        <v>96</v>
      </c>
      <c r="CF2976" s="3">
        <v>45803</v>
      </c>
      <c r="CI2976">
        <v>1</v>
      </c>
      <c r="CJ2976">
        <v>1</v>
      </c>
      <c r="CK2976">
        <v>21</v>
      </c>
      <c r="CL2976" t="s">
        <v>89</v>
      </c>
    </row>
    <row r="2977" spans="1:90" x14ac:dyDescent="0.3">
      <c r="A2977" t="s">
        <v>72</v>
      </c>
      <c r="B2977" t="s">
        <v>73</v>
      </c>
      <c r="C2977" t="s">
        <v>74</v>
      </c>
      <c r="E2977" t="str">
        <f>"080065517560"</f>
        <v>080065517560</v>
      </c>
      <c r="F2977" s="3">
        <v>45799</v>
      </c>
      <c r="G2977">
        <v>202602</v>
      </c>
      <c r="H2977" t="s">
        <v>75</v>
      </c>
      <c r="I2977" t="s">
        <v>76</v>
      </c>
      <c r="J2977" t="s">
        <v>77</v>
      </c>
      <c r="K2977" t="s">
        <v>78</v>
      </c>
      <c r="L2977" t="s">
        <v>75</v>
      </c>
      <c r="M2977" t="s">
        <v>76</v>
      </c>
      <c r="N2977" t="s">
        <v>1321</v>
      </c>
      <c r="O2977" t="s">
        <v>82</v>
      </c>
      <c r="P2977" t="str">
        <f>"4170040267                    "</f>
        <v xml:space="preserve">4170040267                    </v>
      </c>
      <c r="Q2977">
        <v>0</v>
      </c>
      <c r="R2977">
        <v>0</v>
      </c>
      <c r="S2977">
        <v>0</v>
      </c>
      <c r="T2977">
        <v>0</v>
      </c>
      <c r="U2977">
        <v>0</v>
      </c>
      <c r="V2977">
        <v>0</v>
      </c>
      <c r="W2977">
        <v>0</v>
      </c>
      <c r="X2977">
        <v>0</v>
      </c>
      <c r="Y2977">
        <v>0</v>
      </c>
      <c r="Z2977">
        <v>0</v>
      </c>
      <c r="AA2977">
        <v>0</v>
      </c>
      <c r="AB2977">
        <v>0</v>
      </c>
      <c r="AC2977">
        <v>0</v>
      </c>
      <c r="AD2977">
        <v>0</v>
      </c>
      <c r="AE2977">
        <v>0</v>
      </c>
      <c r="AF2977">
        <v>0</v>
      </c>
      <c r="AG2977">
        <v>0</v>
      </c>
      <c r="AH2977">
        <v>0</v>
      </c>
      <c r="AI2977">
        <v>0</v>
      </c>
      <c r="AJ2977">
        <v>0</v>
      </c>
      <c r="AK2977">
        <v>0</v>
      </c>
      <c r="AL2977">
        <v>0</v>
      </c>
      <c r="AM2977">
        <v>0</v>
      </c>
      <c r="AN2977">
        <v>0</v>
      </c>
      <c r="AO2977">
        <v>0</v>
      </c>
      <c r="AP2977">
        <v>0</v>
      </c>
      <c r="AQ2977">
        <v>16.7</v>
      </c>
      <c r="AR2977">
        <v>0</v>
      </c>
      <c r="AS2977">
        <v>0</v>
      </c>
      <c r="AT2977">
        <v>0</v>
      </c>
      <c r="AU2977">
        <v>0</v>
      </c>
      <c r="AV2977">
        <v>0</v>
      </c>
      <c r="AW2977">
        <v>0</v>
      </c>
      <c r="AX2977">
        <v>0</v>
      </c>
      <c r="AY2977">
        <v>0</v>
      </c>
      <c r="AZ2977">
        <v>0</v>
      </c>
      <c r="BA2977">
        <v>0</v>
      </c>
      <c r="BB2977">
        <v>0</v>
      </c>
      <c r="BC2977">
        <v>0</v>
      </c>
      <c r="BD2977">
        <v>0</v>
      </c>
      <c r="BE2977">
        <v>0</v>
      </c>
      <c r="BF2977">
        <v>0</v>
      </c>
      <c r="BG2977">
        <v>0</v>
      </c>
      <c r="BH2977">
        <v>1</v>
      </c>
      <c r="BI2977">
        <v>1</v>
      </c>
      <c r="BJ2977">
        <v>0.2</v>
      </c>
      <c r="BK2977">
        <v>1</v>
      </c>
      <c r="BL2977">
        <v>54.66</v>
      </c>
      <c r="BM2977">
        <v>8.1999999999999993</v>
      </c>
      <c r="BN2977">
        <v>62.86</v>
      </c>
      <c r="BO2977">
        <v>62.86</v>
      </c>
      <c r="BQ2977" t="s">
        <v>1322</v>
      </c>
      <c r="BR2977" t="s">
        <v>84</v>
      </c>
      <c r="BS2977" s="3">
        <v>45800</v>
      </c>
      <c r="BT2977" s="4">
        <v>0.3888888888888889</v>
      </c>
      <c r="BU2977" t="s">
        <v>1338</v>
      </c>
      <c r="BV2977" t="s">
        <v>86</v>
      </c>
      <c r="BY2977">
        <v>1200</v>
      </c>
      <c r="CA2977" t="s">
        <v>115</v>
      </c>
      <c r="CC2977" t="s">
        <v>76</v>
      </c>
      <c r="CD2977">
        <v>1618</v>
      </c>
      <c r="CE2977" t="s">
        <v>88</v>
      </c>
      <c r="CF2977" s="3">
        <v>45800</v>
      </c>
      <c r="CI2977">
        <v>1</v>
      </c>
      <c r="CJ2977">
        <v>1</v>
      </c>
      <c r="CK2977">
        <v>22</v>
      </c>
      <c r="CL2977" t="s">
        <v>89</v>
      </c>
    </row>
    <row r="2978" spans="1:90" x14ac:dyDescent="0.3">
      <c r="A2978" t="s">
        <v>72</v>
      </c>
      <c r="B2978" t="s">
        <v>73</v>
      </c>
      <c r="C2978" t="s">
        <v>74</v>
      </c>
      <c r="E2978" t="str">
        <f>"080065517569"</f>
        <v>080065517569</v>
      </c>
      <c r="F2978" s="3">
        <v>45799</v>
      </c>
      <c r="G2978">
        <v>202602</v>
      </c>
      <c r="H2978" t="s">
        <v>75</v>
      </c>
      <c r="I2978" t="s">
        <v>76</v>
      </c>
      <c r="J2978" t="s">
        <v>77</v>
      </c>
      <c r="K2978" t="s">
        <v>78</v>
      </c>
      <c r="L2978" t="s">
        <v>123</v>
      </c>
      <c r="M2978" t="s">
        <v>123</v>
      </c>
      <c r="N2978" t="s">
        <v>2992</v>
      </c>
      <c r="O2978" t="s">
        <v>82</v>
      </c>
      <c r="P2978" t="str">
        <f>"4170040245                    "</f>
        <v xml:space="preserve">4170040245                    </v>
      </c>
      <c r="Q2978">
        <v>0</v>
      </c>
      <c r="R2978">
        <v>0</v>
      </c>
      <c r="S2978">
        <v>0</v>
      </c>
      <c r="T2978">
        <v>0</v>
      </c>
      <c r="U2978">
        <v>0</v>
      </c>
      <c r="V2978">
        <v>0</v>
      </c>
      <c r="W2978">
        <v>0</v>
      </c>
      <c r="X2978">
        <v>0</v>
      </c>
      <c r="Y2978">
        <v>0</v>
      </c>
      <c r="Z2978">
        <v>0</v>
      </c>
      <c r="AA2978">
        <v>0</v>
      </c>
      <c r="AB2978">
        <v>0</v>
      </c>
      <c r="AC2978">
        <v>0</v>
      </c>
      <c r="AD2978">
        <v>0</v>
      </c>
      <c r="AE2978">
        <v>0</v>
      </c>
      <c r="AF2978">
        <v>0</v>
      </c>
      <c r="AG2978">
        <v>0</v>
      </c>
      <c r="AH2978">
        <v>0</v>
      </c>
      <c r="AI2978">
        <v>0</v>
      </c>
      <c r="AJ2978">
        <v>0</v>
      </c>
      <c r="AK2978">
        <v>0</v>
      </c>
      <c r="AL2978">
        <v>0</v>
      </c>
      <c r="AM2978">
        <v>0</v>
      </c>
      <c r="AN2978">
        <v>0</v>
      </c>
      <c r="AO2978">
        <v>0</v>
      </c>
      <c r="AP2978">
        <v>0</v>
      </c>
      <c r="AQ2978">
        <v>41.43</v>
      </c>
      <c r="AR2978">
        <v>0</v>
      </c>
      <c r="AS2978">
        <v>0</v>
      </c>
      <c r="AT2978">
        <v>0</v>
      </c>
      <c r="AU2978">
        <v>0</v>
      </c>
      <c r="AV2978">
        <v>0</v>
      </c>
      <c r="AW2978">
        <v>0</v>
      </c>
      <c r="AX2978">
        <v>0</v>
      </c>
      <c r="AY2978">
        <v>0</v>
      </c>
      <c r="AZ2978">
        <v>0</v>
      </c>
      <c r="BA2978">
        <v>0</v>
      </c>
      <c r="BB2978">
        <v>0</v>
      </c>
      <c r="BC2978">
        <v>0</v>
      </c>
      <c r="BD2978">
        <v>0</v>
      </c>
      <c r="BE2978">
        <v>0</v>
      </c>
      <c r="BF2978">
        <v>0</v>
      </c>
      <c r="BG2978">
        <v>0</v>
      </c>
      <c r="BH2978">
        <v>1</v>
      </c>
      <c r="BI2978">
        <v>2</v>
      </c>
      <c r="BJ2978">
        <v>1.9</v>
      </c>
      <c r="BK2978">
        <v>2</v>
      </c>
      <c r="BL2978">
        <v>135.59</v>
      </c>
      <c r="BM2978">
        <v>20.34</v>
      </c>
      <c r="BN2978">
        <v>155.93</v>
      </c>
      <c r="BO2978">
        <v>155.93</v>
      </c>
      <c r="BQ2978" t="s">
        <v>2993</v>
      </c>
      <c r="BR2978" t="s">
        <v>84</v>
      </c>
      <c r="BS2978" s="3">
        <v>45800</v>
      </c>
      <c r="BT2978" s="4">
        <v>0.5</v>
      </c>
      <c r="BU2978" t="s">
        <v>2994</v>
      </c>
      <c r="BV2978" t="s">
        <v>86</v>
      </c>
      <c r="BY2978">
        <v>9600</v>
      </c>
      <c r="CA2978" t="s">
        <v>128</v>
      </c>
      <c r="CC2978" t="s">
        <v>123</v>
      </c>
      <c r="CD2978">
        <v>7646</v>
      </c>
      <c r="CE2978" t="s">
        <v>96</v>
      </c>
      <c r="CF2978" s="3">
        <v>45803</v>
      </c>
      <c r="CI2978">
        <v>1</v>
      </c>
      <c r="CJ2978">
        <v>1</v>
      </c>
      <c r="CK2978">
        <v>23</v>
      </c>
      <c r="CL2978" t="s">
        <v>89</v>
      </c>
    </row>
    <row r="2979" spans="1:90" x14ac:dyDescent="0.3">
      <c r="A2979" t="s">
        <v>72</v>
      </c>
      <c r="B2979" t="s">
        <v>73</v>
      </c>
      <c r="C2979" t="s">
        <v>74</v>
      </c>
      <c r="E2979" t="str">
        <f>"080065517570"</f>
        <v>080065517570</v>
      </c>
      <c r="F2979" s="3">
        <v>45799</v>
      </c>
      <c r="G2979">
        <v>202602</v>
      </c>
      <c r="H2979" t="s">
        <v>75</v>
      </c>
      <c r="I2979" t="s">
        <v>76</v>
      </c>
      <c r="J2979" t="s">
        <v>77</v>
      </c>
      <c r="K2979" t="s">
        <v>78</v>
      </c>
      <c r="L2979" t="s">
        <v>130</v>
      </c>
      <c r="M2979" t="s">
        <v>131</v>
      </c>
      <c r="N2979" t="s">
        <v>343</v>
      </c>
      <c r="O2979" t="s">
        <v>82</v>
      </c>
      <c r="P2979" t="str">
        <f>"4170040249                    "</f>
        <v xml:space="preserve">4170040249                    </v>
      </c>
      <c r="Q2979">
        <v>0</v>
      </c>
      <c r="R2979">
        <v>0</v>
      </c>
      <c r="S2979">
        <v>0</v>
      </c>
      <c r="T2979">
        <v>0</v>
      </c>
      <c r="U2979">
        <v>0</v>
      </c>
      <c r="V2979">
        <v>0</v>
      </c>
      <c r="W2979">
        <v>0</v>
      </c>
      <c r="X2979">
        <v>0</v>
      </c>
      <c r="Y2979">
        <v>0</v>
      </c>
      <c r="Z2979">
        <v>0</v>
      </c>
      <c r="AA2979">
        <v>0</v>
      </c>
      <c r="AB2979">
        <v>0</v>
      </c>
      <c r="AC2979">
        <v>0</v>
      </c>
      <c r="AD2979">
        <v>0</v>
      </c>
      <c r="AE2979">
        <v>0</v>
      </c>
      <c r="AF2979">
        <v>0</v>
      </c>
      <c r="AG2979">
        <v>0</v>
      </c>
      <c r="AH2979">
        <v>0</v>
      </c>
      <c r="AI2979">
        <v>0</v>
      </c>
      <c r="AJ2979">
        <v>0</v>
      </c>
      <c r="AK2979">
        <v>0</v>
      </c>
      <c r="AL2979">
        <v>0</v>
      </c>
      <c r="AM2979">
        <v>0</v>
      </c>
      <c r="AN2979">
        <v>0</v>
      </c>
      <c r="AO2979">
        <v>0</v>
      </c>
      <c r="AP2979">
        <v>0</v>
      </c>
      <c r="AQ2979">
        <v>21.38</v>
      </c>
      <c r="AR2979">
        <v>0</v>
      </c>
      <c r="AS2979">
        <v>0</v>
      </c>
      <c r="AT2979">
        <v>0</v>
      </c>
      <c r="AU2979">
        <v>0</v>
      </c>
      <c r="AV2979">
        <v>0</v>
      </c>
      <c r="AW2979">
        <v>0</v>
      </c>
      <c r="AX2979">
        <v>0</v>
      </c>
      <c r="AY2979">
        <v>0</v>
      </c>
      <c r="AZ2979">
        <v>0</v>
      </c>
      <c r="BA2979">
        <v>0</v>
      </c>
      <c r="BB2979">
        <v>0</v>
      </c>
      <c r="BC2979">
        <v>0</v>
      </c>
      <c r="BD2979">
        <v>0</v>
      </c>
      <c r="BE2979">
        <v>0</v>
      </c>
      <c r="BF2979">
        <v>0</v>
      </c>
      <c r="BG2979">
        <v>0</v>
      </c>
      <c r="BH2979">
        <v>1</v>
      </c>
      <c r="BI2979">
        <v>1</v>
      </c>
      <c r="BJ2979">
        <v>0.2</v>
      </c>
      <c r="BK2979">
        <v>1</v>
      </c>
      <c r="BL2979">
        <v>69.98</v>
      </c>
      <c r="BM2979">
        <v>10.5</v>
      </c>
      <c r="BN2979">
        <v>80.48</v>
      </c>
      <c r="BO2979">
        <v>80.48</v>
      </c>
      <c r="BQ2979" t="s">
        <v>344</v>
      </c>
      <c r="BR2979" t="s">
        <v>84</v>
      </c>
      <c r="BS2979" s="3">
        <v>45800</v>
      </c>
      <c r="BT2979" s="4">
        <v>0.40069444444444446</v>
      </c>
      <c r="BU2979" t="s">
        <v>1338</v>
      </c>
      <c r="BV2979" t="s">
        <v>86</v>
      </c>
      <c r="BY2979">
        <v>1200</v>
      </c>
      <c r="CA2979" t="s">
        <v>242</v>
      </c>
      <c r="CC2979" t="s">
        <v>131</v>
      </c>
      <c r="CD2979">
        <v>7441</v>
      </c>
      <c r="CE2979" t="s">
        <v>88</v>
      </c>
      <c r="CF2979" s="3">
        <v>45803</v>
      </c>
      <c r="CI2979">
        <v>1</v>
      </c>
      <c r="CJ2979">
        <v>1</v>
      </c>
      <c r="CK2979">
        <v>21</v>
      </c>
      <c r="CL2979" t="s">
        <v>89</v>
      </c>
    </row>
    <row r="2980" spans="1:90" x14ac:dyDescent="0.3">
      <c r="A2980" t="s">
        <v>72</v>
      </c>
      <c r="B2980" t="s">
        <v>73</v>
      </c>
      <c r="C2980" t="s">
        <v>74</v>
      </c>
      <c r="E2980" t="str">
        <f>"080065517590"</f>
        <v>080065517590</v>
      </c>
      <c r="F2980" s="3">
        <v>45799</v>
      </c>
      <c r="G2980">
        <v>202602</v>
      </c>
      <c r="H2980" t="s">
        <v>75</v>
      </c>
      <c r="I2980" t="s">
        <v>76</v>
      </c>
      <c r="J2980" t="s">
        <v>77</v>
      </c>
      <c r="K2980" t="s">
        <v>78</v>
      </c>
      <c r="L2980" t="s">
        <v>75</v>
      </c>
      <c r="M2980" t="s">
        <v>76</v>
      </c>
      <c r="N2980" t="s">
        <v>112</v>
      </c>
      <c r="O2980" t="s">
        <v>82</v>
      </c>
      <c r="P2980" t="str">
        <f>"4170040154                    "</f>
        <v xml:space="preserve">4170040154                    </v>
      </c>
      <c r="Q2980">
        <v>0</v>
      </c>
      <c r="R2980">
        <v>0</v>
      </c>
      <c r="S2980">
        <v>0</v>
      </c>
      <c r="T2980">
        <v>0</v>
      </c>
      <c r="U2980">
        <v>0</v>
      </c>
      <c r="V2980">
        <v>0</v>
      </c>
      <c r="W2980">
        <v>0</v>
      </c>
      <c r="X2980">
        <v>0</v>
      </c>
      <c r="Y2980">
        <v>0</v>
      </c>
      <c r="Z2980">
        <v>0</v>
      </c>
      <c r="AA2980">
        <v>0</v>
      </c>
      <c r="AB2980">
        <v>0</v>
      </c>
      <c r="AC2980">
        <v>0</v>
      </c>
      <c r="AD2980">
        <v>0</v>
      </c>
      <c r="AE2980">
        <v>0</v>
      </c>
      <c r="AF2980">
        <v>0</v>
      </c>
      <c r="AG2980">
        <v>0</v>
      </c>
      <c r="AH2980">
        <v>0</v>
      </c>
      <c r="AI2980">
        <v>0</v>
      </c>
      <c r="AJ2980">
        <v>0</v>
      </c>
      <c r="AK2980">
        <v>0</v>
      </c>
      <c r="AL2980">
        <v>0</v>
      </c>
      <c r="AM2980">
        <v>0</v>
      </c>
      <c r="AN2980">
        <v>0</v>
      </c>
      <c r="AO2980">
        <v>0</v>
      </c>
      <c r="AP2980">
        <v>0</v>
      </c>
      <c r="AQ2980">
        <v>16.7</v>
      </c>
      <c r="AR2980">
        <v>0</v>
      </c>
      <c r="AS2980">
        <v>0</v>
      </c>
      <c r="AT2980">
        <v>0</v>
      </c>
      <c r="AU2980">
        <v>0</v>
      </c>
      <c r="AV2980">
        <v>0</v>
      </c>
      <c r="AW2980">
        <v>0</v>
      </c>
      <c r="AX2980">
        <v>0</v>
      </c>
      <c r="AY2980">
        <v>0</v>
      </c>
      <c r="AZ2980">
        <v>0</v>
      </c>
      <c r="BA2980">
        <v>0</v>
      </c>
      <c r="BB2980">
        <v>0</v>
      </c>
      <c r="BC2980">
        <v>0</v>
      </c>
      <c r="BD2980">
        <v>0</v>
      </c>
      <c r="BE2980">
        <v>0</v>
      </c>
      <c r="BF2980">
        <v>0</v>
      </c>
      <c r="BG2980">
        <v>0</v>
      </c>
      <c r="BH2980">
        <v>1</v>
      </c>
      <c r="BI2980">
        <v>2</v>
      </c>
      <c r="BJ2980">
        <v>1.7</v>
      </c>
      <c r="BK2980">
        <v>2</v>
      </c>
      <c r="BL2980">
        <v>54.66</v>
      </c>
      <c r="BM2980">
        <v>8.1999999999999993</v>
      </c>
      <c r="BN2980">
        <v>62.86</v>
      </c>
      <c r="BO2980">
        <v>62.86</v>
      </c>
      <c r="BQ2980" t="s">
        <v>1025</v>
      </c>
      <c r="BR2980" t="s">
        <v>84</v>
      </c>
      <c r="BS2980" s="3">
        <v>45800</v>
      </c>
      <c r="BT2980" s="4">
        <v>0.42291666666666666</v>
      </c>
      <c r="BU2980" t="s">
        <v>114</v>
      </c>
      <c r="BV2980" t="s">
        <v>86</v>
      </c>
      <c r="BY2980">
        <v>8512</v>
      </c>
      <c r="CA2980" t="s">
        <v>115</v>
      </c>
      <c r="CC2980" t="s">
        <v>76</v>
      </c>
      <c r="CD2980">
        <v>1624</v>
      </c>
      <c r="CE2980" t="s">
        <v>116</v>
      </c>
      <c r="CF2980" s="3">
        <v>45800</v>
      </c>
      <c r="CI2980">
        <v>1</v>
      </c>
      <c r="CJ2980">
        <v>1</v>
      </c>
      <c r="CK2980">
        <v>22</v>
      </c>
      <c r="CL2980" t="s">
        <v>89</v>
      </c>
    </row>
    <row r="2981" spans="1:90" x14ac:dyDescent="0.3">
      <c r="A2981" t="s">
        <v>72</v>
      </c>
      <c r="B2981" t="s">
        <v>73</v>
      </c>
      <c r="C2981" t="s">
        <v>74</v>
      </c>
      <c r="E2981" t="str">
        <f>"080065517615"</f>
        <v>080065517615</v>
      </c>
      <c r="F2981" s="3">
        <v>45799</v>
      </c>
      <c r="G2981">
        <v>202602</v>
      </c>
      <c r="H2981" t="s">
        <v>75</v>
      </c>
      <c r="I2981" t="s">
        <v>76</v>
      </c>
      <c r="J2981" t="s">
        <v>77</v>
      </c>
      <c r="K2981" t="s">
        <v>78</v>
      </c>
      <c r="L2981" t="s">
        <v>136</v>
      </c>
      <c r="M2981" t="s">
        <v>137</v>
      </c>
      <c r="N2981" t="s">
        <v>441</v>
      </c>
      <c r="O2981" t="s">
        <v>300</v>
      </c>
      <c r="P2981" t="str">
        <f>"4170040251                    "</f>
        <v xml:space="preserve">4170040251                    </v>
      </c>
      <c r="Q2981">
        <v>0</v>
      </c>
      <c r="R2981">
        <v>0</v>
      </c>
      <c r="S2981">
        <v>0</v>
      </c>
      <c r="T2981">
        <v>0</v>
      </c>
      <c r="U2981">
        <v>0</v>
      </c>
      <c r="V2981">
        <v>0</v>
      </c>
      <c r="W2981">
        <v>0</v>
      </c>
      <c r="X2981">
        <v>0</v>
      </c>
      <c r="Y2981">
        <v>0</v>
      </c>
      <c r="Z2981">
        <v>0</v>
      </c>
      <c r="AA2981">
        <v>0</v>
      </c>
      <c r="AB2981">
        <v>0</v>
      </c>
      <c r="AC2981">
        <v>0</v>
      </c>
      <c r="AD2981">
        <v>0</v>
      </c>
      <c r="AE2981">
        <v>0</v>
      </c>
      <c r="AF2981">
        <v>0</v>
      </c>
      <c r="AG2981">
        <v>0</v>
      </c>
      <c r="AH2981">
        <v>0</v>
      </c>
      <c r="AI2981">
        <v>0</v>
      </c>
      <c r="AJ2981">
        <v>0</v>
      </c>
      <c r="AK2981">
        <v>0</v>
      </c>
      <c r="AL2981">
        <v>0</v>
      </c>
      <c r="AM2981">
        <v>0</v>
      </c>
      <c r="AN2981">
        <v>0</v>
      </c>
      <c r="AO2981">
        <v>0</v>
      </c>
      <c r="AP2981">
        <v>0</v>
      </c>
      <c r="AQ2981">
        <v>48.18</v>
      </c>
      <c r="AR2981">
        <v>0</v>
      </c>
      <c r="AS2981">
        <v>0</v>
      </c>
      <c r="AT2981">
        <v>0</v>
      </c>
      <c r="AU2981">
        <v>0</v>
      </c>
      <c r="AV2981">
        <v>0</v>
      </c>
      <c r="AW2981">
        <v>0</v>
      </c>
      <c r="AX2981">
        <v>0</v>
      </c>
      <c r="AY2981">
        <v>0</v>
      </c>
      <c r="AZ2981">
        <v>0</v>
      </c>
      <c r="BA2981">
        <v>0</v>
      </c>
      <c r="BB2981">
        <v>0</v>
      </c>
      <c r="BC2981">
        <v>0</v>
      </c>
      <c r="BD2981">
        <v>0</v>
      </c>
      <c r="BE2981">
        <v>0</v>
      </c>
      <c r="BF2981">
        <v>0</v>
      </c>
      <c r="BG2981">
        <v>0</v>
      </c>
      <c r="BH2981">
        <v>1</v>
      </c>
      <c r="BI2981">
        <v>19</v>
      </c>
      <c r="BJ2981">
        <v>8.9</v>
      </c>
      <c r="BK2981">
        <v>19</v>
      </c>
      <c r="BL2981">
        <v>163.25</v>
      </c>
      <c r="BM2981">
        <v>24.49</v>
      </c>
      <c r="BN2981">
        <v>187.74</v>
      </c>
      <c r="BO2981">
        <v>187.74</v>
      </c>
      <c r="BQ2981" t="s">
        <v>442</v>
      </c>
      <c r="BR2981" t="s">
        <v>84</v>
      </c>
      <c r="BS2981" s="3">
        <v>45800</v>
      </c>
      <c r="BT2981" s="4">
        <v>0.50624999999999998</v>
      </c>
      <c r="BU2981" t="s">
        <v>514</v>
      </c>
      <c r="BV2981" t="s">
        <v>86</v>
      </c>
      <c r="BY2981">
        <v>44640</v>
      </c>
      <c r="CA2981" t="s">
        <v>199</v>
      </c>
      <c r="CC2981" t="s">
        <v>137</v>
      </c>
      <c r="CD2981" s="5" t="s">
        <v>444</v>
      </c>
      <c r="CE2981" t="s">
        <v>96</v>
      </c>
      <c r="CF2981" s="3">
        <v>45801</v>
      </c>
      <c r="CI2981">
        <v>1</v>
      </c>
      <c r="CJ2981">
        <v>1</v>
      </c>
      <c r="CK2981">
        <v>41</v>
      </c>
      <c r="CL2981" t="s">
        <v>89</v>
      </c>
    </row>
    <row r="2982" spans="1:90" x14ac:dyDescent="0.3">
      <c r="A2982" t="s">
        <v>72</v>
      </c>
      <c r="B2982" t="s">
        <v>73</v>
      </c>
      <c r="C2982" t="s">
        <v>74</v>
      </c>
      <c r="E2982" t="str">
        <f>"080065517631"</f>
        <v>080065517631</v>
      </c>
      <c r="F2982" s="3">
        <v>45799</v>
      </c>
      <c r="G2982">
        <v>202602</v>
      </c>
      <c r="H2982" t="s">
        <v>75</v>
      </c>
      <c r="I2982" t="s">
        <v>76</v>
      </c>
      <c r="J2982" t="s">
        <v>77</v>
      </c>
      <c r="K2982" t="s">
        <v>78</v>
      </c>
      <c r="L2982" t="s">
        <v>366</v>
      </c>
      <c r="M2982" t="s">
        <v>367</v>
      </c>
      <c r="N2982" t="s">
        <v>1757</v>
      </c>
      <c r="O2982" t="s">
        <v>82</v>
      </c>
      <c r="P2982" t="str">
        <f>"4170040229                    "</f>
        <v xml:space="preserve">4170040229                    </v>
      </c>
      <c r="Q2982">
        <v>0</v>
      </c>
      <c r="R2982">
        <v>0</v>
      </c>
      <c r="S2982">
        <v>0</v>
      </c>
      <c r="T2982">
        <v>0</v>
      </c>
      <c r="U2982">
        <v>0</v>
      </c>
      <c r="V2982">
        <v>0</v>
      </c>
      <c r="W2982">
        <v>0</v>
      </c>
      <c r="X2982">
        <v>0</v>
      </c>
      <c r="Y2982">
        <v>0</v>
      </c>
      <c r="Z2982">
        <v>0</v>
      </c>
      <c r="AA2982">
        <v>0</v>
      </c>
      <c r="AB2982">
        <v>0</v>
      </c>
      <c r="AC2982">
        <v>0</v>
      </c>
      <c r="AD2982">
        <v>0</v>
      </c>
      <c r="AE2982">
        <v>0</v>
      </c>
      <c r="AF2982">
        <v>0</v>
      </c>
      <c r="AG2982">
        <v>0</v>
      </c>
      <c r="AH2982">
        <v>0</v>
      </c>
      <c r="AI2982">
        <v>0</v>
      </c>
      <c r="AJ2982">
        <v>0</v>
      </c>
      <c r="AK2982">
        <v>0</v>
      </c>
      <c r="AL2982">
        <v>0</v>
      </c>
      <c r="AM2982">
        <v>0</v>
      </c>
      <c r="AN2982">
        <v>0</v>
      </c>
      <c r="AO2982">
        <v>0</v>
      </c>
      <c r="AP2982">
        <v>0</v>
      </c>
      <c r="AQ2982">
        <v>52.04</v>
      </c>
      <c r="AR2982">
        <v>0</v>
      </c>
      <c r="AS2982">
        <v>0</v>
      </c>
      <c r="AT2982">
        <v>0</v>
      </c>
      <c r="AU2982">
        <v>0</v>
      </c>
      <c r="AV2982">
        <v>0</v>
      </c>
      <c r="AW2982">
        <v>0</v>
      </c>
      <c r="AX2982">
        <v>0</v>
      </c>
      <c r="AY2982">
        <v>0</v>
      </c>
      <c r="AZ2982">
        <v>0</v>
      </c>
      <c r="BA2982">
        <v>0</v>
      </c>
      <c r="BB2982">
        <v>0</v>
      </c>
      <c r="BC2982">
        <v>0</v>
      </c>
      <c r="BD2982">
        <v>0</v>
      </c>
      <c r="BE2982">
        <v>0</v>
      </c>
      <c r="BF2982">
        <v>0</v>
      </c>
      <c r="BG2982">
        <v>0</v>
      </c>
      <c r="BH2982">
        <v>1</v>
      </c>
      <c r="BI2982">
        <v>2</v>
      </c>
      <c r="BJ2982">
        <v>3.4</v>
      </c>
      <c r="BK2982">
        <v>3.5</v>
      </c>
      <c r="BL2982">
        <v>170.31</v>
      </c>
      <c r="BM2982">
        <v>25.55</v>
      </c>
      <c r="BN2982">
        <v>195.86</v>
      </c>
      <c r="BO2982">
        <v>195.86</v>
      </c>
      <c r="BQ2982" t="s">
        <v>1758</v>
      </c>
      <c r="BR2982" t="s">
        <v>84</v>
      </c>
      <c r="BS2982" s="3">
        <v>45800</v>
      </c>
      <c r="BT2982" s="4">
        <v>0.41666666666666669</v>
      </c>
      <c r="BU2982" t="s">
        <v>2995</v>
      </c>
      <c r="BV2982" t="s">
        <v>86</v>
      </c>
      <c r="BY2982">
        <v>16965</v>
      </c>
      <c r="CA2982" t="s">
        <v>525</v>
      </c>
      <c r="CC2982" t="s">
        <v>367</v>
      </c>
      <c r="CD2982">
        <v>1438</v>
      </c>
      <c r="CE2982" t="s">
        <v>96</v>
      </c>
      <c r="CF2982" s="3">
        <v>45800</v>
      </c>
      <c r="CI2982">
        <v>1</v>
      </c>
      <c r="CJ2982">
        <v>1</v>
      </c>
      <c r="CK2982">
        <v>24</v>
      </c>
      <c r="CL2982" t="s">
        <v>89</v>
      </c>
    </row>
    <row r="2983" spans="1:90" x14ac:dyDescent="0.3">
      <c r="A2983" t="s">
        <v>72</v>
      </c>
      <c r="B2983" t="s">
        <v>73</v>
      </c>
      <c r="C2983" t="s">
        <v>74</v>
      </c>
      <c r="E2983" t="str">
        <f>"080065517649"</f>
        <v>080065517649</v>
      </c>
      <c r="F2983" s="3">
        <v>45799</v>
      </c>
      <c r="G2983">
        <v>202602</v>
      </c>
      <c r="H2983" t="s">
        <v>75</v>
      </c>
      <c r="I2983" t="s">
        <v>76</v>
      </c>
      <c r="J2983" t="s">
        <v>77</v>
      </c>
      <c r="K2983" t="s">
        <v>78</v>
      </c>
      <c r="L2983" t="s">
        <v>123</v>
      </c>
      <c r="M2983" t="s">
        <v>123</v>
      </c>
      <c r="N2983" t="s">
        <v>2992</v>
      </c>
      <c r="O2983" t="s">
        <v>82</v>
      </c>
      <c r="P2983" t="str">
        <f>"4170040246                    "</f>
        <v xml:space="preserve">4170040246                    </v>
      </c>
      <c r="Q2983">
        <v>0</v>
      </c>
      <c r="R2983">
        <v>0</v>
      </c>
      <c r="S2983">
        <v>0</v>
      </c>
      <c r="T2983">
        <v>0</v>
      </c>
      <c r="U2983">
        <v>0</v>
      </c>
      <c r="V2983">
        <v>0</v>
      </c>
      <c r="W2983">
        <v>0</v>
      </c>
      <c r="X2983">
        <v>0</v>
      </c>
      <c r="Y2983">
        <v>0</v>
      </c>
      <c r="Z2983">
        <v>0</v>
      </c>
      <c r="AA2983">
        <v>0</v>
      </c>
      <c r="AB2983">
        <v>0</v>
      </c>
      <c r="AC2983">
        <v>0</v>
      </c>
      <c r="AD2983">
        <v>0</v>
      </c>
      <c r="AE2983">
        <v>0</v>
      </c>
      <c r="AF2983">
        <v>0</v>
      </c>
      <c r="AG2983">
        <v>0</v>
      </c>
      <c r="AH2983">
        <v>0</v>
      </c>
      <c r="AI2983">
        <v>0</v>
      </c>
      <c r="AJ2983">
        <v>0</v>
      </c>
      <c r="AK2983">
        <v>0</v>
      </c>
      <c r="AL2983">
        <v>0</v>
      </c>
      <c r="AM2983">
        <v>0</v>
      </c>
      <c r="AN2983">
        <v>0</v>
      </c>
      <c r="AO2983">
        <v>0</v>
      </c>
      <c r="AP2983">
        <v>0</v>
      </c>
      <c r="AQ2983">
        <v>41.43</v>
      </c>
      <c r="AR2983">
        <v>0</v>
      </c>
      <c r="AS2983">
        <v>0</v>
      </c>
      <c r="AT2983">
        <v>0</v>
      </c>
      <c r="AU2983">
        <v>0</v>
      </c>
      <c r="AV2983">
        <v>0</v>
      </c>
      <c r="AW2983">
        <v>0</v>
      </c>
      <c r="AX2983">
        <v>0</v>
      </c>
      <c r="AY2983">
        <v>0</v>
      </c>
      <c r="AZ2983">
        <v>0</v>
      </c>
      <c r="BA2983">
        <v>0</v>
      </c>
      <c r="BB2983">
        <v>0</v>
      </c>
      <c r="BC2983">
        <v>0</v>
      </c>
      <c r="BD2983">
        <v>0</v>
      </c>
      <c r="BE2983">
        <v>0</v>
      </c>
      <c r="BF2983">
        <v>0</v>
      </c>
      <c r="BG2983">
        <v>0</v>
      </c>
      <c r="BH2983">
        <v>1</v>
      </c>
      <c r="BI2983">
        <v>2</v>
      </c>
      <c r="BJ2983">
        <v>2</v>
      </c>
      <c r="BK2983">
        <v>2</v>
      </c>
      <c r="BL2983">
        <v>135.59</v>
      </c>
      <c r="BM2983">
        <v>20.34</v>
      </c>
      <c r="BN2983">
        <v>155.93</v>
      </c>
      <c r="BO2983">
        <v>155.93</v>
      </c>
      <c r="BQ2983" t="s">
        <v>2993</v>
      </c>
      <c r="BR2983" t="s">
        <v>84</v>
      </c>
      <c r="BS2983" s="3">
        <v>45800</v>
      </c>
      <c r="BT2983" s="4">
        <v>0.5</v>
      </c>
      <c r="BU2983" t="s">
        <v>2994</v>
      </c>
      <c r="BV2983" t="s">
        <v>86</v>
      </c>
      <c r="BY2983">
        <v>9900</v>
      </c>
      <c r="CA2983" t="s">
        <v>128</v>
      </c>
      <c r="CC2983" t="s">
        <v>123</v>
      </c>
      <c r="CD2983">
        <v>7646</v>
      </c>
      <c r="CE2983" t="s">
        <v>96</v>
      </c>
      <c r="CF2983" s="3">
        <v>45803</v>
      </c>
      <c r="CI2983">
        <v>1</v>
      </c>
      <c r="CJ2983">
        <v>1</v>
      </c>
      <c r="CK2983">
        <v>23</v>
      </c>
      <c r="CL2983" t="s">
        <v>89</v>
      </c>
    </row>
    <row r="2984" spans="1:90" x14ac:dyDescent="0.3">
      <c r="A2984" t="s">
        <v>72</v>
      </c>
      <c r="B2984" t="s">
        <v>73</v>
      </c>
      <c r="C2984" t="s">
        <v>74</v>
      </c>
      <c r="E2984" t="str">
        <f>"080065517663"</f>
        <v>080065517663</v>
      </c>
      <c r="F2984" s="3">
        <v>45799</v>
      </c>
      <c r="G2984">
        <v>202602</v>
      </c>
      <c r="H2984" t="s">
        <v>75</v>
      </c>
      <c r="I2984" t="s">
        <v>76</v>
      </c>
      <c r="J2984" t="s">
        <v>77</v>
      </c>
      <c r="K2984" t="s">
        <v>78</v>
      </c>
      <c r="L2984" t="s">
        <v>90</v>
      </c>
      <c r="M2984" t="s">
        <v>91</v>
      </c>
      <c r="N2984" t="s">
        <v>563</v>
      </c>
      <c r="O2984" t="s">
        <v>82</v>
      </c>
      <c r="P2984" t="str">
        <f>"4170039121                    "</f>
        <v xml:space="preserve">4170039121                    </v>
      </c>
      <c r="Q2984">
        <v>0</v>
      </c>
      <c r="R2984">
        <v>0</v>
      </c>
      <c r="S2984">
        <v>0</v>
      </c>
      <c r="T2984">
        <v>0</v>
      </c>
      <c r="U2984">
        <v>0</v>
      </c>
      <c r="V2984">
        <v>0</v>
      </c>
      <c r="W2984">
        <v>0</v>
      </c>
      <c r="X2984">
        <v>0</v>
      </c>
      <c r="Y2984">
        <v>0</v>
      </c>
      <c r="Z2984">
        <v>0</v>
      </c>
      <c r="AA2984">
        <v>0</v>
      </c>
      <c r="AB2984">
        <v>0</v>
      </c>
      <c r="AC2984">
        <v>0</v>
      </c>
      <c r="AD2984">
        <v>0</v>
      </c>
      <c r="AE2984">
        <v>0</v>
      </c>
      <c r="AF2984">
        <v>0</v>
      </c>
      <c r="AG2984">
        <v>0</v>
      </c>
      <c r="AH2984">
        <v>0</v>
      </c>
      <c r="AI2984">
        <v>0</v>
      </c>
      <c r="AJ2984">
        <v>0</v>
      </c>
      <c r="AK2984">
        <v>0</v>
      </c>
      <c r="AL2984">
        <v>0</v>
      </c>
      <c r="AM2984">
        <v>0</v>
      </c>
      <c r="AN2984">
        <v>0</v>
      </c>
      <c r="AO2984">
        <v>0</v>
      </c>
      <c r="AP2984">
        <v>0</v>
      </c>
      <c r="AQ2984">
        <v>74.8</v>
      </c>
      <c r="AR2984">
        <v>0</v>
      </c>
      <c r="AS2984">
        <v>0</v>
      </c>
      <c r="AT2984">
        <v>0</v>
      </c>
      <c r="AU2984">
        <v>0</v>
      </c>
      <c r="AV2984">
        <v>0</v>
      </c>
      <c r="AW2984">
        <v>0</v>
      </c>
      <c r="AX2984">
        <v>0</v>
      </c>
      <c r="AY2984">
        <v>0</v>
      </c>
      <c r="AZ2984">
        <v>0</v>
      </c>
      <c r="BA2984">
        <v>0</v>
      </c>
      <c r="BB2984">
        <v>0</v>
      </c>
      <c r="BC2984">
        <v>0</v>
      </c>
      <c r="BD2984">
        <v>0</v>
      </c>
      <c r="BE2984">
        <v>0</v>
      </c>
      <c r="BF2984">
        <v>0</v>
      </c>
      <c r="BG2984">
        <v>0</v>
      </c>
      <c r="BH2984">
        <v>1</v>
      </c>
      <c r="BI2984">
        <v>7</v>
      </c>
      <c r="BJ2984">
        <v>5.4</v>
      </c>
      <c r="BK2984">
        <v>7</v>
      </c>
      <c r="BL2984">
        <v>244.8</v>
      </c>
      <c r="BM2984">
        <v>36.72</v>
      </c>
      <c r="BN2984">
        <v>281.52</v>
      </c>
      <c r="BO2984">
        <v>281.52</v>
      </c>
      <c r="BQ2984" t="s">
        <v>564</v>
      </c>
      <c r="BR2984" t="s">
        <v>84</v>
      </c>
      <c r="BS2984" s="3">
        <v>45800</v>
      </c>
      <c r="BT2984" s="4">
        <v>0.34722222222222221</v>
      </c>
      <c r="BU2984" t="s">
        <v>565</v>
      </c>
      <c r="BV2984" t="s">
        <v>86</v>
      </c>
      <c r="BY2984">
        <v>27144</v>
      </c>
      <c r="CA2984" t="s">
        <v>566</v>
      </c>
      <c r="CC2984" t="s">
        <v>91</v>
      </c>
      <c r="CD2984">
        <v>6001</v>
      </c>
      <c r="CE2984" t="s">
        <v>96</v>
      </c>
      <c r="CF2984" s="3">
        <v>45800</v>
      </c>
      <c r="CI2984">
        <v>1</v>
      </c>
      <c r="CJ2984">
        <v>1</v>
      </c>
      <c r="CK2984">
        <v>21</v>
      </c>
      <c r="CL2984" t="s">
        <v>89</v>
      </c>
    </row>
    <row r="2985" spans="1:90" x14ac:dyDescent="0.3">
      <c r="A2985" t="s">
        <v>72</v>
      </c>
      <c r="B2985" t="s">
        <v>73</v>
      </c>
      <c r="C2985" t="s">
        <v>74</v>
      </c>
      <c r="E2985" t="str">
        <f>"080065517676"</f>
        <v>080065517676</v>
      </c>
      <c r="F2985" s="3">
        <v>45799</v>
      </c>
      <c r="G2985">
        <v>202602</v>
      </c>
      <c r="H2985" t="s">
        <v>75</v>
      </c>
      <c r="I2985" t="s">
        <v>76</v>
      </c>
      <c r="J2985" t="s">
        <v>77</v>
      </c>
      <c r="K2985" t="s">
        <v>78</v>
      </c>
      <c r="L2985" t="s">
        <v>479</v>
      </c>
      <c r="M2985" t="s">
        <v>480</v>
      </c>
      <c r="N2985" t="s">
        <v>793</v>
      </c>
      <c r="O2985" t="s">
        <v>82</v>
      </c>
      <c r="P2985" t="str">
        <f>"4170040266                    "</f>
        <v xml:space="preserve">4170040266                    </v>
      </c>
      <c r="Q2985">
        <v>0</v>
      </c>
      <c r="R2985">
        <v>0</v>
      </c>
      <c r="S2985">
        <v>0</v>
      </c>
      <c r="T2985">
        <v>0</v>
      </c>
      <c r="U2985">
        <v>0</v>
      </c>
      <c r="V2985">
        <v>0</v>
      </c>
      <c r="W2985">
        <v>0</v>
      </c>
      <c r="X2985">
        <v>0</v>
      </c>
      <c r="Y2985">
        <v>0</v>
      </c>
      <c r="Z2985">
        <v>0</v>
      </c>
      <c r="AA2985">
        <v>0</v>
      </c>
      <c r="AB2985">
        <v>0</v>
      </c>
      <c r="AC2985">
        <v>0</v>
      </c>
      <c r="AD2985">
        <v>0</v>
      </c>
      <c r="AE2985">
        <v>0</v>
      </c>
      <c r="AF2985">
        <v>0</v>
      </c>
      <c r="AG2985">
        <v>0</v>
      </c>
      <c r="AH2985">
        <v>0</v>
      </c>
      <c r="AI2985">
        <v>0</v>
      </c>
      <c r="AJ2985">
        <v>0</v>
      </c>
      <c r="AK2985">
        <v>0</v>
      </c>
      <c r="AL2985">
        <v>0</v>
      </c>
      <c r="AM2985">
        <v>0</v>
      </c>
      <c r="AN2985">
        <v>0</v>
      </c>
      <c r="AO2985">
        <v>0</v>
      </c>
      <c r="AP2985">
        <v>0</v>
      </c>
      <c r="AQ2985">
        <v>16.7</v>
      </c>
      <c r="AR2985">
        <v>0</v>
      </c>
      <c r="AS2985">
        <v>0</v>
      </c>
      <c r="AT2985">
        <v>0</v>
      </c>
      <c r="AU2985">
        <v>0</v>
      </c>
      <c r="AV2985">
        <v>0</v>
      </c>
      <c r="AW2985">
        <v>0</v>
      </c>
      <c r="AX2985">
        <v>0</v>
      </c>
      <c r="AY2985">
        <v>0</v>
      </c>
      <c r="AZ2985">
        <v>0</v>
      </c>
      <c r="BA2985">
        <v>0</v>
      </c>
      <c r="BB2985">
        <v>0</v>
      </c>
      <c r="BC2985">
        <v>0</v>
      </c>
      <c r="BD2985">
        <v>0</v>
      </c>
      <c r="BE2985">
        <v>0</v>
      </c>
      <c r="BF2985">
        <v>0</v>
      </c>
      <c r="BG2985">
        <v>0</v>
      </c>
      <c r="BH2985">
        <v>1</v>
      </c>
      <c r="BI2985">
        <v>1</v>
      </c>
      <c r="BJ2985">
        <v>0.2</v>
      </c>
      <c r="BK2985">
        <v>1</v>
      </c>
      <c r="BL2985">
        <v>54.66</v>
      </c>
      <c r="BM2985">
        <v>8.1999999999999993</v>
      </c>
      <c r="BN2985">
        <v>62.86</v>
      </c>
      <c r="BO2985">
        <v>62.86</v>
      </c>
      <c r="BQ2985" t="s">
        <v>794</v>
      </c>
      <c r="BR2985" t="s">
        <v>84</v>
      </c>
      <c r="BS2985" s="3">
        <v>45800</v>
      </c>
      <c r="BT2985" s="4">
        <v>0.53819444444444442</v>
      </c>
      <c r="BU2985" t="s">
        <v>795</v>
      </c>
      <c r="BV2985" t="s">
        <v>89</v>
      </c>
      <c r="BY2985">
        <v>1200</v>
      </c>
      <c r="CA2985" t="s">
        <v>796</v>
      </c>
      <c r="CC2985" t="s">
        <v>480</v>
      </c>
      <c r="CD2985">
        <v>2163</v>
      </c>
      <c r="CE2985" t="s">
        <v>88</v>
      </c>
      <c r="CF2985" s="3">
        <v>45801</v>
      </c>
      <c r="CI2985">
        <v>1</v>
      </c>
      <c r="CJ2985">
        <v>1</v>
      </c>
      <c r="CK2985">
        <v>22</v>
      </c>
      <c r="CL2985" t="s">
        <v>89</v>
      </c>
    </row>
    <row r="2986" spans="1:90" x14ac:dyDescent="0.3">
      <c r="A2986" t="s">
        <v>72</v>
      </c>
      <c r="B2986" t="s">
        <v>73</v>
      </c>
      <c r="C2986" t="s">
        <v>74</v>
      </c>
      <c r="E2986" t="str">
        <f>"080065517688"</f>
        <v>080065517688</v>
      </c>
      <c r="F2986" s="3">
        <v>45799</v>
      </c>
      <c r="G2986">
        <v>202602</v>
      </c>
      <c r="H2986" t="s">
        <v>75</v>
      </c>
      <c r="I2986" t="s">
        <v>76</v>
      </c>
      <c r="J2986" t="s">
        <v>77</v>
      </c>
      <c r="K2986" t="s">
        <v>78</v>
      </c>
      <c r="L2986" t="s">
        <v>90</v>
      </c>
      <c r="M2986" t="s">
        <v>91</v>
      </c>
      <c r="N2986" t="s">
        <v>469</v>
      </c>
      <c r="O2986" t="s">
        <v>82</v>
      </c>
      <c r="P2986" t="str">
        <f>"4170040199                    "</f>
        <v xml:space="preserve">4170040199                    </v>
      </c>
      <c r="Q2986">
        <v>0</v>
      </c>
      <c r="R2986">
        <v>0</v>
      </c>
      <c r="S2986">
        <v>0</v>
      </c>
      <c r="T2986">
        <v>0</v>
      </c>
      <c r="U2986">
        <v>0</v>
      </c>
      <c r="V2986">
        <v>0</v>
      </c>
      <c r="W2986">
        <v>0</v>
      </c>
      <c r="X2986">
        <v>0</v>
      </c>
      <c r="Y2986">
        <v>0</v>
      </c>
      <c r="Z2986">
        <v>0</v>
      </c>
      <c r="AA2986">
        <v>0</v>
      </c>
      <c r="AB2986">
        <v>0</v>
      </c>
      <c r="AC2986">
        <v>0</v>
      </c>
      <c r="AD2986">
        <v>0</v>
      </c>
      <c r="AE2986">
        <v>0</v>
      </c>
      <c r="AF2986">
        <v>0</v>
      </c>
      <c r="AG2986">
        <v>0</v>
      </c>
      <c r="AH2986">
        <v>0</v>
      </c>
      <c r="AI2986">
        <v>0</v>
      </c>
      <c r="AJ2986">
        <v>0</v>
      </c>
      <c r="AK2986">
        <v>0</v>
      </c>
      <c r="AL2986">
        <v>0</v>
      </c>
      <c r="AM2986">
        <v>0</v>
      </c>
      <c r="AN2986">
        <v>0</v>
      </c>
      <c r="AO2986">
        <v>0</v>
      </c>
      <c r="AP2986">
        <v>0</v>
      </c>
      <c r="AQ2986">
        <v>21.38</v>
      </c>
      <c r="AR2986">
        <v>0</v>
      </c>
      <c r="AS2986">
        <v>0</v>
      </c>
      <c r="AT2986">
        <v>0</v>
      </c>
      <c r="AU2986">
        <v>0</v>
      </c>
      <c r="AV2986">
        <v>0</v>
      </c>
      <c r="AW2986">
        <v>0</v>
      </c>
      <c r="AX2986">
        <v>0</v>
      </c>
      <c r="AY2986">
        <v>0</v>
      </c>
      <c r="AZ2986">
        <v>0</v>
      </c>
      <c r="BA2986">
        <v>0</v>
      </c>
      <c r="BB2986">
        <v>0</v>
      </c>
      <c r="BC2986">
        <v>0</v>
      </c>
      <c r="BD2986">
        <v>0</v>
      </c>
      <c r="BE2986">
        <v>0</v>
      </c>
      <c r="BF2986">
        <v>0</v>
      </c>
      <c r="BG2986">
        <v>0</v>
      </c>
      <c r="BH2986">
        <v>1</v>
      </c>
      <c r="BI2986">
        <v>1</v>
      </c>
      <c r="BJ2986">
        <v>0.2</v>
      </c>
      <c r="BK2986">
        <v>1</v>
      </c>
      <c r="BL2986">
        <v>69.98</v>
      </c>
      <c r="BM2986">
        <v>10.5</v>
      </c>
      <c r="BN2986">
        <v>80.48</v>
      </c>
      <c r="BO2986">
        <v>80.48</v>
      </c>
      <c r="BQ2986" t="s">
        <v>470</v>
      </c>
      <c r="BR2986" t="s">
        <v>84</v>
      </c>
      <c r="BS2986" s="3">
        <v>45800</v>
      </c>
      <c r="BT2986" s="4">
        <v>0.42083333333333334</v>
      </c>
      <c r="BU2986" t="s">
        <v>2996</v>
      </c>
      <c r="BV2986" t="s">
        <v>86</v>
      </c>
      <c r="BY2986">
        <v>1200</v>
      </c>
      <c r="CA2986" t="s">
        <v>182</v>
      </c>
      <c r="CC2986" t="s">
        <v>91</v>
      </c>
      <c r="CD2986">
        <v>6001</v>
      </c>
      <c r="CE2986" t="s">
        <v>88</v>
      </c>
      <c r="CF2986" s="3">
        <v>45800</v>
      </c>
      <c r="CI2986">
        <v>1</v>
      </c>
      <c r="CJ2986">
        <v>1</v>
      </c>
      <c r="CK2986">
        <v>21</v>
      </c>
      <c r="CL2986" t="s">
        <v>89</v>
      </c>
    </row>
    <row r="2987" spans="1:90" x14ac:dyDescent="0.3">
      <c r="A2987" t="s">
        <v>72</v>
      </c>
      <c r="B2987" t="s">
        <v>73</v>
      </c>
      <c r="C2987" t="s">
        <v>74</v>
      </c>
      <c r="E2987" t="str">
        <f>"080065517756"</f>
        <v>080065517756</v>
      </c>
      <c r="F2987" s="3">
        <v>45799</v>
      </c>
      <c r="G2987">
        <v>202602</v>
      </c>
      <c r="H2987" t="s">
        <v>75</v>
      </c>
      <c r="I2987" t="s">
        <v>76</v>
      </c>
      <c r="J2987" t="s">
        <v>77</v>
      </c>
      <c r="K2987" t="s">
        <v>78</v>
      </c>
      <c r="L2987" t="s">
        <v>136</v>
      </c>
      <c r="M2987" t="s">
        <v>137</v>
      </c>
      <c r="N2987" t="s">
        <v>441</v>
      </c>
      <c r="O2987" t="s">
        <v>300</v>
      </c>
      <c r="P2987" t="str">
        <f>"4170040252                    "</f>
        <v xml:space="preserve">4170040252                    </v>
      </c>
      <c r="Q2987">
        <v>0</v>
      </c>
      <c r="R2987">
        <v>0</v>
      </c>
      <c r="S2987">
        <v>0</v>
      </c>
      <c r="T2987">
        <v>0</v>
      </c>
      <c r="U2987">
        <v>0</v>
      </c>
      <c r="V2987">
        <v>0</v>
      </c>
      <c r="W2987">
        <v>0</v>
      </c>
      <c r="X2987">
        <v>0</v>
      </c>
      <c r="Y2987">
        <v>0</v>
      </c>
      <c r="Z2987">
        <v>0</v>
      </c>
      <c r="AA2987">
        <v>0</v>
      </c>
      <c r="AB2987">
        <v>0</v>
      </c>
      <c r="AC2987">
        <v>0</v>
      </c>
      <c r="AD2987">
        <v>0</v>
      </c>
      <c r="AE2987">
        <v>0</v>
      </c>
      <c r="AF2987">
        <v>0</v>
      </c>
      <c r="AG2987">
        <v>0</v>
      </c>
      <c r="AH2987">
        <v>0</v>
      </c>
      <c r="AI2987">
        <v>0</v>
      </c>
      <c r="AJ2987">
        <v>0</v>
      </c>
      <c r="AK2987">
        <v>0</v>
      </c>
      <c r="AL2987">
        <v>0</v>
      </c>
      <c r="AM2987">
        <v>0</v>
      </c>
      <c r="AN2987">
        <v>0</v>
      </c>
      <c r="AO2987">
        <v>0</v>
      </c>
      <c r="AP2987">
        <v>0</v>
      </c>
      <c r="AQ2987">
        <v>41.35</v>
      </c>
      <c r="AR2987">
        <v>0</v>
      </c>
      <c r="AS2987">
        <v>0</v>
      </c>
      <c r="AT2987">
        <v>0</v>
      </c>
      <c r="AU2987">
        <v>0</v>
      </c>
      <c r="AV2987">
        <v>0</v>
      </c>
      <c r="AW2987">
        <v>0</v>
      </c>
      <c r="AX2987">
        <v>0</v>
      </c>
      <c r="AY2987">
        <v>0</v>
      </c>
      <c r="AZ2987">
        <v>0</v>
      </c>
      <c r="BA2987">
        <v>0</v>
      </c>
      <c r="BB2987">
        <v>0</v>
      </c>
      <c r="BC2987">
        <v>0</v>
      </c>
      <c r="BD2987">
        <v>0</v>
      </c>
      <c r="BE2987">
        <v>0</v>
      </c>
      <c r="BF2987">
        <v>0</v>
      </c>
      <c r="BG2987">
        <v>0</v>
      </c>
      <c r="BH2987">
        <v>1</v>
      </c>
      <c r="BI2987">
        <v>8</v>
      </c>
      <c r="BJ2987">
        <v>4.0999999999999996</v>
      </c>
      <c r="BK2987">
        <v>8</v>
      </c>
      <c r="BL2987">
        <v>140.9</v>
      </c>
      <c r="BM2987">
        <v>21.14</v>
      </c>
      <c r="BN2987">
        <v>162.04</v>
      </c>
      <c r="BO2987">
        <v>162.04</v>
      </c>
      <c r="BQ2987" t="s">
        <v>442</v>
      </c>
      <c r="BR2987" t="s">
        <v>84</v>
      </c>
      <c r="BS2987" s="3">
        <v>45800</v>
      </c>
      <c r="BT2987" s="4">
        <v>0.50555555555555554</v>
      </c>
      <c r="BU2987" t="s">
        <v>514</v>
      </c>
      <c r="BV2987" t="s">
        <v>86</v>
      </c>
      <c r="BY2987">
        <v>20358</v>
      </c>
      <c r="CA2987" t="s">
        <v>199</v>
      </c>
      <c r="CC2987" t="s">
        <v>137</v>
      </c>
      <c r="CD2987" s="5" t="s">
        <v>444</v>
      </c>
      <c r="CE2987" t="s">
        <v>96</v>
      </c>
      <c r="CF2987" s="3">
        <v>45801</v>
      </c>
      <c r="CI2987">
        <v>1</v>
      </c>
      <c r="CJ2987">
        <v>1</v>
      </c>
      <c r="CK2987">
        <v>41</v>
      </c>
      <c r="CL2987" t="s">
        <v>89</v>
      </c>
    </row>
    <row r="2988" spans="1:90" x14ac:dyDescent="0.3">
      <c r="A2988" t="s">
        <v>72</v>
      </c>
      <c r="B2988" t="s">
        <v>73</v>
      </c>
      <c r="C2988" t="s">
        <v>74</v>
      </c>
      <c r="E2988" t="str">
        <f>"080065517818"</f>
        <v>080065517818</v>
      </c>
      <c r="F2988" s="3">
        <v>45799</v>
      </c>
      <c r="G2988">
        <v>202602</v>
      </c>
      <c r="H2988" t="s">
        <v>75</v>
      </c>
      <c r="I2988" t="s">
        <v>76</v>
      </c>
      <c r="J2988" t="s">
        <v>77</v>
      </c>
      <c r="K2988" t="s">
        <v>78</v>
      </c>
      <c r="L2988" t="s">
        <v>130</v>
      </c>
      <c r="M2988" t="s">
        <v>131</v>
      </c>
      <c r="N2988" t="s">
        <v>343</v>
      </c>
      <c r="O2988" t="s">
        <v>300</v>
      </c>
      <c r="P2988" t="str">
        <f>"4170040037                    "</f>
        <v xml:space="preserve">4170040037                    </v>
      </c>
      <c r="Q2988">
        <v>0</v>
      </c>
      <c r="R2988">
        <v>0</v>
      </c>
      <c r="S2988">
        <v>0</v>
      </c>
      <c r="T2988">
        <v>0</v>
      </c>
      <c r="U2988">
        <v>0</v>
      </c>
      <c r="V2988">
        <v>0</v>
      </c>
      <c r="W2988">
        <v>0</v>
      </c>
      <c r="X2988">
        <v>0</v>
      </c>
      <c r="Y2988">
        <v>0</v>
      </c>
      <c r="Z2988">
        <v>0</v>
      </c>
      <c r="AA2988">
        <v>0</v>
      </c>
      <c r="AB2988">
        <v>0</v>
      </c>
      <c r="AC2988">
        <v>0</v>
      </c>
      <c r="AD2988">
        <v>0</v>
      </c>
      <c r="AE2988">
        <v>0</v>
      </c>
      <c r="AF2988">
        <v>0</v>
      </c>
      <c r="AG2988">
        <v>0</v>
      </c>
      <c r="AH2988">
        <v>0</v>
      </c>
      <c r="AI2988">
        <v>0</v>
      </c>
      <c r="AJ2988">
        <v>0</v>
      </c>
      <c r="AK2988">
        <v>0</v>
      </c>
      <c r="AL2988">
        <v>0</v>
      </c>
      <c r="AM2988">
        <v>0</v>
      </c>
      <c r="AN2988">
        <v>0</v>
      </c>
      <c r="AO2988">
        <v>0</v>
      </c>
      <c r="AP2988">
        <v>0</v>
      </c>
      <c r="AQ2988">
        <v>55.01</v>
      </c>
      <c r="AR2988">
        <v>0</v>
      </c>
      <c r="AS2988">
        <v>0</v>
      </c>
      <c r="AT2988">
        <v>0</v>
      </c>
      <c r="AU2988">
        <v>0</v>
      </c>
      <c r="AV2988">
        <v>0</v>
      </c>
      <c r="AW2988">
        <v>0</v>
      </c>
      <c r="AX2988">
        <v>0</v>
      </c>
      <c r="AY2988">
        <v>0</v>
      </c>
      <c r="AZ2988">
        <v>0</v>
      </c>
      <c r="BA2988">
        <v>0</v>
      </c>
      <c r="BB2988">
        <v>0</v>
      </c>
      <c r="BC2988">
        <v>0</v>
      </c>
      <c r="BD2988">
        <v>0</v>
      </c>
      <c r="BE2988">
        <v>0</v>
      </c>
      <c r="BF2988">
        <v>0</v>
      </c>
      <c r="BG2988">
        <v>0</v>
      </c>
      <c r="BH2988">
        <v>1</v>
      </c>
      <c r="BI2988">
        <v>23</v>
      </c>
      <c r="BJ2988">
        <v>9.1</v>
      </c>
      <c r="BK2988">
        <v>23</v>
      </c>
      <c r="BL2988">
        <v>185.6</v>
      </c>
      <c r="BM2988">
        <v>27.84</v>
      </c>
      <c r="BN2988">
        <v>213.44</v>
      </c>
      <c r="BO2988">
        <v>213.44</v>
      </c>
      <c r="BQ2988" t="s">
        <v>344</v>
      </c>
      <c r="BR2988" t="s">
        <v>84</v>
      </c>
      <c r="BS2988" s="3">
        <v>45803</v>
      </c>
      <c r="BT2988" s="4">
        <v>0.39374999999999999</v>
      </c>
      <c r="BU2988" t="s">
        <v>345</v>
      </c>
      <c r="BV2988" t="s">
        <v>86</v>
      </c>
      <c r="BY2988">
        <v>45632</v>
      </c>
      <c r="CA2988" t="s">
        <v>242</v>
      </c>
      <c r="CC2988" t="s">
        <v>131</v>
      </c>
      <c r="CD2988">
        <v>7441</v>
      </c>
      <c r="CE2988" t="s">
        <v>96</v>
      </c>
      <c r="CF2988" s="3">
        <v>45804</v>
      </c>
      <c r="CI2988">
        <v>3</v>
      </c>
      <c r="CJ2988">
        <v>2</v>
      </c>
      <c r="CK2988">
        <v>41</v>
      </c>
      <c r="CL2988" t="s">
        <v>89</v>
      </c>
    </row>
    <row r="2989" spans="1:90" x14ac:dyDescent="0.3">
      <c r="A2989" t="s">
        <v>72</v>
      </c>
      <c r="B2989" t="s">
        <v>73</v>
      </c>
      <c r="C2989" t="s">
        <v>74</v>
      </c>
      <c r="E2989" t="str">
        <f>"080065517858"</f>
        <v>080065517858</v>
      </c>
      <c r="F2989" s="3">
        <v>45799</v>
      </c>
      <c r="G2989">
        <v>202602</v>
      </c>
      <c r="H2989" t="s">
        <v>75</v>
      </c>
      <c r="I2989" t="s">
        <v>76</v>
      </c>
      <c r="J2989" t="s">
        <v>77</v>
      </c>
      <c r="K2989" t="s">
        <v>78</v>
      </c>
      <c r="L2989" t="s">
        <v>90</v>
      </c>
      <c r="M2989" t="s">
        <v>91</v>
      </c>
      <c r="N2989" t="s">
        <v>92</v>
      </c>
      <c r="O2989" t="s">
        <v>82</v>
      </c>
      <c r="P2989" t="str">
        <f>"4170040277                    "</f>
        <v xml:space="preserve">4170040277                    </v>
      </c>
      <c r="Q2989">
        <v>0</v>
      </c>
      <c r="R2989">
        <v>0</v>
      </c>
      <c r="S2989">
        <v>0</v>
      </c>
      <c r="T2989">
        <v>0</v>
      </c>
      <c r="U2989">
        <v>0</v>
      </c>
      <c r="V2989">
        <v>0</v>
      </c>
      <c r="W2989">
        <v>0</v>
      </c>
      <c r="X2989">
        <v>0</v>
      </c>
      <c r="Y2989">
        <v>0</v>
      </c>
      <c r="Z2989">
        <v>0</v>
      </c>
      <c r="AA2989">
        <v>0</v>
      </c>
      <c r="AB2989">
        <v>0</v>
      </c>
      <c r="AC2989">
        <v>0</v>
      </c>
      <c r="AD2989">
        <v>0</v>
      </c>
      <c r="AE2989">
        <v>0</v>
      </c>
      <c r="AF2989">
        <v>0</v>
      </c>
      <c r="AG2989">
        <v>0</v>
      </c>
      <c r="AH2989">
        <v>0</v>
      </c>
      <c r="AI2989">
        <v>0</v>
      </c>
      <c r="AJ2989">
        <v>0</v>
      </c>
      <c r="AK2989">
        <v>0</v>
      </c>
      <c r="AL2989">
        <v>0</v>
      </c>
      <c r="AM2989">
        <v>0</v>
      </c>
      <c r="AN2989">
        <v>0</v>
      </c>
      <c r="AO2989">
        <v>0</v>
      </c>
      <c r="AP2989">
        <v>0</v>
      </c>
      <c r="AQ2989">
        <v>48.09</v>
      </c>
      <c r="AR2989">
        <v>0</v>
      </c>
      <c r="AS2989">
        <v>0</v>
      </c>
      <c r="AT2989">
        <v>0</v>
      </c>
      <c r="AU2989">
        <v>0</v>
      </c>
      <c r="AV2989">
        <v>0</v>
      </c>
      <c r="AW2989">
        <v>0</v>
      </c>
      <c r="AX2989">
        <v>0</v>
      </c>
      <c r="AY2989">
        <v>0</v>
      </c>
      <c r="AZ2989">
        <v>0</v>
      </c>
      <c r="BA2989">
        <v>0</v>
      </c>
      <c r="BB2989">
        <v>0</v>
      </c>
      <c r="BC2989">
        <v>0</v>
      </c>
      <c r="BD2989">
        <v>0</v>
      </c>
      <c r="BE2989">
        <v>0</v>
      </c>
      <c r="BF2989">
        <v>0</v>
      </c>
      <c r="BG2989">
        <v>0</v>
      </c>
      <c r="BH2989">
        <v>1</v>
      </c>
      <c r="BI2989">
        <v>4</v>
      </c>
      <c r="BJ2989">
        <v>4.0999999999999996</v>
      </c>
      <c r="BK2989">
        <v>4.5</v>
      </c>
      <c r="BL2989">
        <v>157.38999999999999</v>
      </c>
      <c r="BM2989">
        <v>23.61</v>
      </c>
      <c r="BN2989">
        <v>181</v>
      </c>
      <c r="BO2989">
        <v>181</v>
      </c>
      <c r="BQ2989" t="s">
        <v>93</v>
      </c>
      <c r="BR2989" t="s">
        <v>84</v>
      </c>
      <c r="BS2989" s="3">
        <v>45800</v>
      </c>
      <c r="BT2989" s="4">
        <v>0.38611111111111113</v>
      </c>
      <c r="BU2989" t="s">
        <v>94</v>
      </c>
      <c r="BV2989" t="s">
        <v>86</v>
      </c>
      <c r="BY2989">
        <v>20358</v>
      </c>
      <c r="CA2989" t="s">
        <v>95</v>
      </c>
      <c r="CC2989" t="s">
        <v>91</v>
      </c>
      <c r="CD2989">
        <v>6001</v>
      </c>
      <c r="CE2989" t="s">
        <v>96</v>
      </c>
      <c r="CF2989" s="3">
        <v>45800</v>
      </c>
      <c r="CI2989">
        <v>1</v>
      </c>
      <c r="CJ2989">
        <v>1</v>
      </c>
      <c r="CK2989">
        <v>21</v>
      </c>
      <c r="CL2989" t="s">
        <v>89</v>
      </c>
    </row>
    <row r="2990" spans="1:90" x14ac:dyDescent="0.3">
      <c r="A2990" t="s">
        <v>72</v>
      </c>
      <c r="B2990" t="s">
        <v>73</v>
      </c>
      <c r="C2990" t="s">
        <v>74</v>
      </c>
      <c r="E2990" t="str">
        <f>"080065517889"</f>
        <v>080065517889</v>
      </c>
      <c r="F2990" s="3">
        <v>45799</v>
      </c>
      <c r="G2990">
        <v>202602</v>
      </c>
      <c r="H2990" t="s">
        <v>75</v>
      </c>
      <c r="I2990" t="s">
        <v>76</v>
      </c>
      <c r="J2990" t="s">
        <v>77</v>
      </c>
      <c r="K2990" t="s">
        <v>78</v>
      </c>
      <c r="L2990" t="s">
        <v>130</v>
      </c>
      <c r="M2990" t="s">
        <v>131</v>
      </c>
      <c r="N2990" t="s">
        <v>665</v>
      </c>
      <c r="O2990" t="s">
        <v>82</v>
      </c>
      <c r="P2990" t="str">
        <f>"4170040265                    "</f>
        <v xml:space="preserve">4170040265                    </v>
      </c>
      <c r="Q2990">
        <v>0</v>
      </c>
      <c r="R2990">
        <v>0</v>
      </c>
      <c r="S2990">
        <v>0</v>
      </c>
      <c r="T2990">
        <v>0</v>
      </c>
      <c r="U2990">
        <v>0</v>
      </c>
      <c r="V2990">
        <v>0</v>
      </c>
      <c r="W2990">
        <v>0</v>
      </c>
      <c r="X2990">
        <v>0</v>
      </c>
      <c r="Y2990">
        <v>0</v>
      </c>
      <c r="Z2990">
        <v>0</v>
      </c>
      <c r="AA2990">
        <v>0</v>
      </c>
      <c r="AB2990">
        <v>0</v>
      </c>
      <c r="AC2990">
        <v>0</v>
      </c>
      <c r="AD2990">
        <v>0</v>
      </c>
      <c r="AE2990">
        <v>0</v>
      </c>
      <c r="AF2990">
        <v>0</v>
      </c>
      <c r="AG2990">
        <v>0</v>
      </c>
      <c r="AH2990">
        <v>0</v>
      </c>
      <c r="AI2990">
        <v>0</v>
      </c>
      <c r="AJ2990">
        <v>0</v>
      </c>
      <c r="AK2990">
        <v>0</v>
      </c>
      <c r="AL2990">
        <v>0</v>
      </c>
      <c r="AM2990">
        <v>0</v>
      </c>
      <c r="AN2990">
        <v>0</v>
      </c>
      <c r="AO2990">
        <v>0</v>
      </c>
      <c r="AP2990">
        <v>0</v>
      </c>
      <c r="AQ2990">
        <v>58.78</v>
      </c>
      <c r="AR2990">
        <v>0</v>
      </c>
      <c r="AS2990">
        <v>0</v>
      </c>
      <c r="AT2990">
        <v>0</v>
      </c>
      <c r="AU2990">
        <v>0</v>
      </c>
      <c r="AV2990">
        <v>0</v>
      </c>
      <c r="AW2990">
        <v>0</v>
      </c>
      <c r="AX2990">
        <v>0</v>
      </c>
      <c r="AY2990">
        <v>0</v>
      </c>
      <c r="AZ2990">
        <v>0</v>
      </c>
      <c r="BA2990">
        <v>0</v>
      </c>
      <c r="BB2990">
        <v>0</v>
      </c>
      <c r="BC2990">
        <v>0</v>
      </c>
      <c r="BD2990">
        <v>0</v>
      </c>
      <c r="BE2990">
        <v>0</v>
      </c>
      <c r="BF2990">
        <v>0</v>
      </c>
      <c r="BG2990">
        <v>0</v>
      </c>
      <c r="BH2990">
        <v>2</v>
      </c>
      <c r="BI2990">
        <v>5</v>
      </c>
      <c r="BJ2990">
        <v>5.0999999999999996</v>
      </c>
      <c r="BK2990">
        <v>5.5</v>
      </c>
      <c r="BL2990">
        <v>192.36</v>
      </c>
      <c r="BM2990">
        <v>28.85</v>
      </c>
      <c r="BN2990">
        <v>221.21</v>
      </c>
      <c r="BO2990">
        <v>221.21</v>
      </c>
      <c r="BQ2990" t="s">
        <v>666</v>
      </c>
      <c r="BR2990" t="s">
        <v>84</v>
      </c>
      <c r="BS2990" s="3">
        <v>45800</v>
      </c>
      <c r="BT2990" s="4">
        <v>0.37430555555555556</v>
      </c>
      <c r="BU2990" t="s">
        <v>2914</v>
      </c>
      <c r="BV2990" t="s">
        <v>86</v>
      </c>
      <c r="BY2990">
        <v>25288</v>
      </c>
      <c r="CA2990" t="s">
        <v>389</v>
      </c>
      <c r="CC2990" t="s">
        <v>131</v>
      </c>
      <c r="CD2990">
        <v>7535</v>
      </c>
      <c r="CE2990" t="s">
        <v>116</v>
      </c>
      <c r="CF2990" s="3">
        <v>45803</v>
      </c>
      <c r="CI2990">
        <v>1</v>
      </c>
      <c r="CJ2990">
        <v>1</v>
      </c>
      <c r="CK2990">
        <v>21</v>
      </c>
      <c r="CL2990" t="s">
        <v>89</v>
      </c>
    </row>
    <row r="2991" spans="1:90" x14ac:dyDescent="0.3">
      <c r="A2991" t="s">
        <v>72</v>
      </c>
      <c r="B2991" t="s">
        <v>73</v>
      </c>
      <c r="C2991" t="s">
        <v>74</v>
      </c>
      <c r="E2991" t="str">
        <f>"080065517900"</f>
        <v>080065517900</v>
      </c>
      <c r="F2991" s="3">
        <v>45799</v>
      </c>
      <c r="G2991">
        <v>202602</v>
      </c>
      <c r="H2991" t="s">
        <v>75</v>
      </c>
      <c r="I2991" t="s">
        <v>76</v>
      </c>
      <c r="J2991" t="s">
        <v>77</v>
      </c>
      <c r="K2991" t="s">
        <v>78</v>
      </c>
      <c r="L2991" t="s">
        <v>136</v>
      </c>
      <c r="M2991" t="s">
        <v>137</v>
      </c>
      <c r="N2991" t="s">
        <v>441</v>
      </c>
      <c r="O2991" t="s">
        <v>300</v>
      </c>
      <c r="P2991" t="str">
        <f>"4170040253                    "</f>
        <v xml:space="preserve">4170040253                    </v>
      </c>
      <c r="Q2991">
        <v>0</v>
      </c>
      <c r="R2991">
        <v>0</v>
      </c>
      <c r="S2991">
        <v>0</v>
      </c>
      <c r="T2991">
        <v>0</v>
      </c>
      <c r="U2991">
        <v>0</v>
      </c>
      <c r="V2991">
        <v>0</v>
      </c>
      <c r="W2991">
        <v>0</v>
      </c>
      <c r="X2991">
        <v>0</v>
      </c>
      <c r="Y2991">
        <v>0</v>
      </c>
      <c r="Z2991">
        <v>0</v>
      </c>
      <c r="AA2991">
        <v>0</v>
      </c>
      <c r="AB2991">
        <v>0</v>
      </c>
      <c r="AC2991">
        <v>0</v>
      </c>
      <c r="AD2991">
        <v>0</v>
      </c>
      <c r="AE2991">
        <v>0</v>
      </c>
      <c r="AF2991">
        <v>0</v>
      </c>
      <c r="AG2991">
        <v>0</v>
      </c>
      <c r="AH2991">
        <v>0</v>
      </c>
      <c r="AI2991">
        <v>0</v>
      </c>
      <c r="AJ2991">
        <v>0</v>
      </c>
      <c r="AK2991">
        <v>0</v>
      </c>
      <c r="AL2991">
        <v>0</v>
      </c>
      <c r="AM2991">
        <v>0</v>
      </c>
      <c r="AN2991">
        <v>0</v>
      </c>
      <c r="AO2991">
        <v>0</v>
      </c>
      <c r="AP2991">
        <v>0</v>
      </c>
      <c r="AQ2991">
        <v>41.35</v>
      </c>
      <c r="AR2991">
        <v>0</v>
      </c>
      <c r="AS2991">
        <v>0</v>
      </c>
      <c r="AT2991">
        <v>0</v>
      </c>
      <c r="AU2991">
        <v>0</v>
      </c>
      <c r="AV2991">
        <v>0</v>
      </c>
      <c r="AW2991">
        <v>0</v>
      </c>
      <c r="AX2991">
        <v>0</v>
      </c>
      <c r="AY2991">
        <v>0</v>
      </c>
      <c r="AZ2991">
        <v>0</v>
      </c>
      <c r="BA2991">
        <v>0</v>
      </c>
      <c r="BB2991">
        <v>0</v>
      </c>
      <c r="BC2991">
        <v>0</v>
      </c>
      <c r="BD2991">
        <v>0</v>
      </c>
      <c r="BE2991">
        <v>0</v>
      </c>
      <c r="BF2991">
        <v>0</v>
      </c>
      <c r="BG2991">
        <v>0</v>
      </c>
      <c r="BH2991">
        <v>1</v>
      </c>
      <c r="BI2991">
        <v>8</v>
      </c>
      <c r="BJ2991">
        <v>4.0999999999999996</v>
      </c>
      <c r="BK2991">
        <v>8</v>
      </c>
      <c r="BL2991">
        <v>140.9</v>
      </c>
      <c r="BM2991">
        <v>21.14</v>
      </c>
      <c r="BN2991">
        <v>162.04</v>
      </c>
      <c r="BO2991">
        <v>162.04</v>
      </c>
      <c r="BQ2991" t="s">
        <v>442</v>
      </c>
      <c r="BR2991" t="s">
        <v>84</v>
      </c>
      <c r="BS2991" s="3">
        <v>45800</v>
      </c>
      <c r="BT2991" s="4">
        <v>0.50555555555555554</v>
      </c>
      <c r="BU2991" t="s">
        <v>514</v>
      </c>
      <c r="BV2991" t="s">
        <v>86</v>
      </c>
      <c r="BY2991">
        <v>20358</v>
      </c>
      <c r="CA2991" t="s">
        <v>199</v>
      </c>
      <c r="CC2991" t="s">
        <v>137</v>
      </c>
      <c r="CD2991" s="5" t="s">
        <v>444</v>
      </c>
      <c r="CE2991" t="s">
        <v>96</v>
      </c>
      <c r="CF2991" s="3">
        <v>45801</v>
      </c>
      <c r="CI2991">
        <v>1</v>
      </c>
      <c r="CJ2991">
        <v>1</v>
      </c>
      <c r="CK2991">
        <v>41</v>
      </c>
      <c r="CL2991" t="s">
        <v>89</v>
      </c>
    </row>
    <row r="2992" spans="1:90" x14ac:dyDescent="0.3">
      <c r="A2992" t="s">
        <v>72</v>
      </c>
      <c r="B2992" t="s">
        <v>73</v>
      </c>
      <c r="C2992" t="s">
        <v>74</v>
      </c>
      <c r="E2992" t="str">
        <f>"080065517918"</f>
        <v>080065517918</v>
      </c>
      <c r="F2992" s="3">
        <v>45799</v>
      </c>
      <c r="G2992">
        <v>202602</v>
      </c>
      <c r="H2992" t="s">
        <v>75</v>
      </c>
      <c r="I2992" t="s">
        <v>76</v>
      </c>
      <c r="J2992" t="s">
        <v>77</v>
      </c>
      <c r="K2992" t="s">
        <v>78</v>
      </c>
      <c r="L2992" t="s">
        <v>90</v>
      </c>
      <c r="M2992" t="s">
        <v>91</v>
      </c>
      <c r="N2992" t="s">
        <v>92</v>
      </c>
      <c r="O2992" t="s">
        <v>82</v>
      </c>
      <c r="P2992" t="str">
        <f>"4170040276                    "</f>
        <v xml:space="preserve">4170040276                    </v>
      </c>
      <c r="Q2992">
        <v>0</v>
      </c>
      <c r="R2992">
        <v>0</v>
      </c>
      <c r="S2992">
        <v>0</v>
      </c>
      <c r="T2992">
        <v>0</v>
      </c>
      <c r="U2992">
        <v>0</v>
      </c>
      <c r="V2992">
        <v>0</v>
      </c>
      <c r="W2992">
        <v>0</v>
      </c>
      <c r="X2992">
        <v>0</v>
      </c>
      <c r="Y2992">
        <v>0</v>
      </c>
      <c r="Z2992">
        <v>0</v>
      </c>
      <c r="AA2992">
        <v>0</v>
      </c>
      <c r="AB2992">
        <v>0</v>
      </c>
      <c r="AC2992">
        <v>0</v>
      </c>
      <c r="AD2992">
        <v>0</v>
      </c>
      <c r="AE2992">
        <v>0</v>
      </c>
      <c r="AF2992">
        <v>0</v>
      </c>
      <c r="AG2992">
        <v>0</v>
      </c>
      <c r="AH2992">
        <v>0</v>
      </c>
      <c r="AI2992">
        <v>0</v>
      </c>
      <c r="AJ2992">
        <v>0</v>
      </c>
      <c r="AK2992">
        <v>0</v>
      </c>
      <c r="AL2992">
        <v>0</v>
      </c>
      <c r="AM2992">
        <v>0</v>
      </c>
      <c r="AN2992">
        <v>0</v>
      </c>
      <c r="AO2992">
        <v>0</v>
      </c>
      <c r="AP2992">
        <v>0</v>
      </c>
      <c r="AQ2992">
        <v>21.38</v>
      </c>
      <c r="AR2992">
        <v>0</v>
      </c>
      <c r="AS2992">
        <v>0</v>
      </c>
      <c r="AT2992">
        <v>0</v>
      </c>
      <c r="AU2992">
        <v>0</v>
      </c>
      <c r="AV2992">
        <v>0</v>
      </c>
      <c r="AW2992">
        <v>0</v>
      </c>
      <c r="AX2992">
        <v>0</v>
      </c>
      <c r="AY2992">
        <v>0</v>
      </c>
      <c r="AZ2992">
        <v>0</v>
      </c>
      <c r="BA2992">
        <v>0</v>
      </c>
      <c r="BB2992">
        <v>0</v>
      </c>
      <c r="BC2992">
        <v>0</v>
      </c>
      <c r="BD2992">
        <v>0</v>
      </c>
      <c r="BE2992">
        <v>0</v>
      </c>
      <c r="BF2992">
        <v>0</v>
      </c>
      <c r="BG2992">
        <v>0</v>
      </c>
      <c r="BH2992">
        <v>1</v>
      </c>
      <c r="BI2992">
        <v>1</v>
      </c>
      <c r="BJ2992">
        <v>1.9</v>
      </c>
      <c r="BK2992">
        <v>2</v>
      </c>
      <c r="BL2992">
        <v>69.98</v>
      </c>
      <c r="BM2992">
        <v>10.5</v>
      </c>
      <c r="BN2992">
        <v>80.48</v>
      </c>
      <c r="BO2992">
        <v>80.48</v>
      </c>
      <c r="BQ2992" t="s">
        <v>93</v>
      </c>
      <c r="BR2992" t="s">
        <v>84</v>
      </c>
      <c r="BS2992" s="3">
        <v>45800</v>
      </c>
      <c r="BT2992" s="4">
        <v>0.38611111111111113</v>
      </c>
      <c r="BU2992" t="s">
        <v>94</v>
      </c>
      <c r="BV2992" t="s">
        <v>86</v>
      </c>
      <c r="BY2992">
        <v>9576</v>
      </c>
      <c r="CA2992" t="s">
        <v>95</v>
      </c>
      <c r="CC2992" t="s">
        <v>91</v>
      </c>
      <c r="CD2992">
        <v>6001</v>
      </c>
      <c r="CE2992" t="s">
        <v>96</v>
      </c>
      <c r="CF2992" s="3">
        <v>45800</v>
      </c>
      <c r="CI2992">
        <v>1</v>
      </c>
      <c r="CJ2992">
        <v>1</v>
      </c>
      <c r="CK2992">
        <v>21</v>
      </c>
      <c r="CL2992" t="s">
        <v>89</v>
      </c>
    </row>
    <row r="2993" spans="1:90" x14ac:dyDescent="0.3">
      <c r="A2993" t="s">
        <v>72</v>
      </c>
      <c r="B2993" t="s">
        <v>73</v>
      </c>
      <c r="C2993" t="s">
        <v>74</v>
      </c>
      <c r="E2993" t="str">
        <f>"080065517925"</f>
        <v>080065517925</v>
      </c>
      <c r="F2993" s="3">
        <v>45799</v>
      </c>
      <c r="G2993">
        <v>202602</v>
      </c>
      <c r="H2993" t="s">
        <v>75</v>
      </c>
      <c r="I2993" t="s">
        <v>76</v>
      </c>
      <c r="J2993" t="s">
        <v>77</v>
      </c>
      <c r="K2993" t="s">
        <v>78</v>
      </c>
      <c r="L2993" t="s">
        <v>130</v>
      </c>
      <c r="M2993" t="s">
        <v>131</v>
      </c>
      <c r="N2993" t="s">
        <v>343</v>
      </c>
      <c r="O2993" t="s">
        <v>82</v>
      </c>
      <c r="P2993" t="str">
        <f>"4170040261                    "</f>
        <v xml:space="preserve">4170040261                    </v>
      </c>
      <c r="Q2993">
        <v>0</v>
      </c>
      <c r="R2993">
        <v>0</v>
      </c>
      <c r="S2993">
        <v>0</v>
      </c>
      <c r="T2993">
        <v>0</v>
      </c>
      <c r="U2993">
        <v>0</v>
      </c>
      <c r="V2993">
        <v>0</v>
      </c>
      <c r="W2993">
        <v>0</v>
      </c>
      <c r="X2993">
        <v>0</v>
      </c>
      <c r="Y2993">
        <v>0</v>
      </c>
      <c r="Z2993">
        <v>0</v>
      </c>
      <c r="AA2993">
        <v>0</v>
      </c>
      <c r="AB2993">
        <v>0</v>
      </c>
      <c r="AC2993">
        <v>0</v>
      </c>
      <c r="AD2993">
        <v>0</v>
      </c>
      <c r="AE2993">
        <v>0</v>
      </c>
      <c r="AF2993">
        <v>0</v>
      </c>
      <c r="AG2993">
        <v>0</v>
      </c>
      <c r="AH2993">
        <v>0</v>
      </c>
      <c r="AI2993">
        <v>0</v>
      </c>
      <c r="AJ2993">
        <v>0</v>
      </c>
      <c r="AK2993">
        <v>0</v>
      </c>
      <c r="AL2993">
        <v>0</v>
      </c>
      <c r="AM2993">
        <v>0</v>
      </c>
      <c r="AN2993">
        <v>0</v>
      </c>
      <c r="AO2993">
        <v>0</v>
      </c>
      <c r="AP2993">
        <v>0</v>
      </c>
      <c r="AQ2993">
        <v>21.38</v>
      </c>
      <c r="AR2993">
        <v>0</v>
      </c>
      <c r="AS2993">
        <v>0</v>
      </c>
      <c r="AT2993">
        <v>0</v>
      </c>
      <c r="AU2993">
        <v>0</v>
      </c>
      <c r="AV2993">
        <v>0</v>
      </c>
      <c r="AW2993">
        <v>0</v>
      </c>
      <c r="AX2993">
        <v>0</v>
      </c>
      <c r="AY2993">
        <v>0</v>
      </c>
      <c r="AZ2993">
        <v>0</v>
      </c>
      <c r="BA2993">
        <v>0</v>
      </c>
      <c r="BB2993">
        <v>0</v>
      </c>
      <c r="BC2993">
        <v>0</v>
      </c>
      <c r="BD2993">
        <v>0</v>
      </c>
      <c r="BE2993">
        <v>0</v>
      </c>
      <c r="BF2993">
        <v>0</v>
      </c>
      <c r="BG2993">
        <v>0</v>
      </c>
      <c r="BH2993">
        <v>1</v>
      </c>
      <c r="BI2993">
        <v>2</v>
      </c>
      <c r="BJ2993">
        <v>0.9</v>
      </c>
      <c r="BK2993">
        <v>2</v>
      </c>
      <c r="BL2993">
        <v>69.98</v>
      </c>
      <c r="BM2993">
        <v>10.5</v>
      </c>
      <c r="BN2993">
        <v>80.48</v>
      </c>
      <c r="BO2993">
        <v>80.48</v>
      </c>
      <c r="BQ2993" t="s">
        <v>344</v>
      </c>
      <c r="BR2993" t="s">
        <v>84</v>
      </c>
      <c r="BS2993" s="3">
        <v>45800</v>
      </c>
      <c r="BT2993" s="4">
        <v>0.40069444444444446</v>
      </c>
      <c r="BU2993" t="s">
        <v>1338</v>
      </c>
      <c r="BV2993" t="s">
        <v>86</v>
      </c>
      <c r="BY2993">
        <v>4275</v>
      </c>
      <c r="CA2993" t="s">
        <v>242</v>
      </c>
      <c r="CC2993" t="s">
        <v>131</v>
      </c>
      <c r="CD2993">
        <v>7441</v>
      </c>
      <c r="CE2993" t="s">
        <v>96</v>
      </c>
      <c r="CF2993" s="3">
        <v>45803</v>
      </c>
      <c r="CI2993">
        <v>1</v>
      </c>
      <c r="CJ2993">
        <v>1</v>
      </c>
      <c r="CK2993">
        <v>21</v>
      </c>
      <c r="CL2993" t="s">
        <v>89</v>
      </c>
    </row>
    <row r="2994" spans="1:90" x14ac:dyDescent="0.3">
      <c r="A2994" t="s">
        <v>72</v>
      </c>
      <c r="B2994" t="s">
        <v>73</v>
      </c>
      <c r="C2994" t="s">
        <v>74</v>
      </c>
      <c r="E2994" t="str">
        <f>"080065517941"</f>
        <v>080065517941</v>
      </c>
      <c r="F2994" s="3">
        <v>45799</v>
      </c>
      <c r="G2994">
        <v>202602</v>
      </c>
      <c r="H2994" t="s">
        <v>75</v>
      </c>
      <c r="I2994" t="s">
        <v>76</v>
      </c>
      <c r="J2994" t="s">
        <v>77</v>
      </c>
      <c r="K2994" t="s">
        <v>78</v>
      </c>
      <c r="L2994" t="s">
        <v>79</v>
      </c>
      <c r="M2994" t="s">
        <v>80</v>
      </c>
      <c r="N2994" t="s">
        <v>415</v>
      </c>
      <c r="O2994" t="s">
        <v>300</v>
      </c>
      <c r="P2994" t="str">
        <f>"4170040256                    "</f>
        <v xml:space="preserve">4170040256                    </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c r="AI2994">
        <v>0</v>
      </c>
      <c r="AJ2994">
        <v>0</v>
      </c>
      <c r="AK2994">
        <v>0</v>
      </c>
      <c r="AL2994">
        <v>0</v>
      </c>
      <c r="AM2994">
        <v>0</v>
      </c>
      <c r="AN2994">
        <v>0</v>
      </c>
      <c r="AO2994">
        <v>0</v>
      </c>
      <c r="AP2994">
        <v>0</v>
      </c>
      <c r="AQ2994">
        <v>87.45</v>
      </c>
      <c r="AR2994">
        <v>0</v>
      </c>
      <c r="AS2994">
        <v>0</v>
      </c>
      <c r="AT2994">
        <v>0</v>
      </c>
      <c r="AU2994">
        <v>0</v>
      </c>
      <c r="AV2994">
        <v>0</v>
      </c>
      <c r="AW2994">
        <v>0</v>
      </c>
      <c r="AX2994">
        <v>0</v>
      </c>
      <c r="AY2994">
        <v>0</v>
      </c>
      <c r="AZ2994">
        <v>0</v>
      </c>
      <c r="BA2994">
        <v>0</v>
      </c>
      <c r="BB2994">
        <v>0</v>
      </c>
      <c r="BC2994">
        <v>0</v>
      </c>
      <c r="BD2994">
        <v>0</v>
      </c>
      <c r="BE2994">
        <v>0</v>
      </c>
      <c r="BF2994">
        <v>0</v>
      </c>
      <c r="BG2994">
        <v>0</v>
      </c>
      <c r="BH2994">
        <v>2</v>
      </c>
      <c r="BI2994">
        <v>42</v>
      </c>
      <c r="BJ2994">
        <v>26.6</v>
      </c>
      <c r="BK2994">
        <v>42</v>
      </c>
      <c r="BL2994">
        <v>291.76</v>
      </c>
      <c r="BM2994">
        <v>43.76</v>
      </c>
      <c r="BN2994">
        <v>335.52</v>
      </c>
      <c r="BO2994">
        <v>335.52</v>
      </c>
      <c r="BQ2994" t="s">
        <v>416</v>
      </c>
      <c r="BR2994" t="s">
        <v>84</v>
      </c>
      <c r="BS2994" s="3">
        <v>45803</v>
      </c>
      <c r="BT2994" s="4">
        <v>0.41875000000000001</v>
      </c>
      <c r="BU2994" t="s">
        <v>1152</v>
      </c>
      <c r="BV2994" t="s">
        <v>89</v>
      </c>
      <c r="BW2994" t="s">
        <v>2997</v>
      </c>
      <c r="BX2994" t="s">
        <v>1393</v>
      </c>
      <c r="BY2994">
        <v>132960</v>
      </c>
      <c r="CA2994" t="s">
        <v>87</v>
      </c>
      <c r="CC2994" t="s">
        <v>80</v>
      </c>
      <c r="CD2994">
        <v>3610</v>
      </c>
      <c r="CE2994" t="s">
        <v>96</v>
      </c>
      <c r="CF2994" s="3">
        <v>45803</v>
      </c>
      <c r="CI2994">
        <v>1</v>
      </c>
      <c r="CJ2994">
        <v>2</v>
      </c>
      <c r="CK2994">
        <v>41</v>
      </c>
      <c r="CL2994" t="s">
        <v>89</v>
      </c>
    </row>
    <row r="2995" spans="1:90" x14ac:dyDescent="0.3">
      <c r="A2995" t="s">
        <v>72</v>
      </c>
      <c r="B2995" t="s">
        <v>73</v>
      </c>
      <c r="C2995" t="s">
        <v>74</v>
      </c>
      <c r="E2995" t="str">
        <f>"080065524223"</f>
        <v>080065524223</v>
      </c>
      <c r="F2995" s="3">
        <v>45800</v>
      </c>
      <c r="G2995">
        <v>202602</v>
      </c>
      <c r="H2995" t="s">
        <v>75</v>
      </c>
      <c r="I2995" t="s">
        <v>76</v>
      </c>
      <c r="J2995" t="s">
        <v>77</v>
      </c>
      <c r="K2995" t="s">
        <v>78</v>
      </c>
      <c r="L2995" t="s">
        <v>130</v>
      </c>
      <c r="M2995" t="s">
        <v>131</v>
      </c>
      <c r="N2995" t="s">
        <v>665</v>
      </c>
      <c r="O2995" t="s">
        <v>82</v>
      </c>
      <c r="P2995" t="str">
        <f>"4170040404                    "</f>
        <v xml:space="preserve">4170040404                    </v>
      </c>
      <c r="Q2995">
        <v>0</v>
      </c>
      <c r="R2995">
        <v>0</v>
      </c>
      <c r="S2995">
        <v>0</v>
      </c>
      <c r="T2995">
        <v>0</v>
      </c>
      <c r="U2995">
        <v>0</v>
      </c>
      <c r="V2995">
        <v>0</v>
      </c>
      <c r="W2995">
        <v>0</v>
      </c>
      <c r="X2995">
        <v>0</v>
      </c>
      <c r="Y2995">
        <v>0</v>
      </c>
      <c r="Z2995">
        <v>0</v>
      </c>
      <c r="AA2995">
        <v>0</v>
      </c>
      <c r="AB2995">
        <v>0</v>
      </c>
      <c r="AC2995">
        <v>0</v>
      </c>
      <c r="AD2995">
        <v>0</v>
      </c>
      <c r="AE2995">
        <v>0</v>
      </c>
      <c r="AF2995">
        <v>0</v>
      </c>
      <c r="AG2995">
        <v>0</v>
      </c>
      <c r="AH2995">
        <v>0</v>
      </c>
      <c r="AI2995">
        <v>0</v>
      </c>
      <c r="AJ2995">
        <v>0</v>
      </c>
      <c r="AK2995">
        <v>0</v>
      </c>
      <c r="AL2995">
        <v>0</v>
      </c>
      <c r="AM2995">
        <v>0</v>
      </c>
      <c r="AN2995">
        <v>0</v>
      </c>
      <c r="AO2995">
        <v>0</v>
      </c>
      <c r="AP2995">
        <v>0</v>
      </c>
      <c r="AQ2995">
        <v>21.38</v>
      </c>
      <c r="AR2995">
        <v>0</v>
      </c>
      <c r="AS2995">
        <v>0</v>
      </c>
      <c r="AT2995">
        <v>0</v>
      </c>
      <c r="AU2995">
        <v>0</v>
      </c>
      <c r="AV2995">
        <v>0</v>
      </c>
      <c r="AW2995">
        <v>0</v>
      </c>
      <c r="AX2995">
        <v>0</v>
      </c>
      <c r="AY2995">
        <v>0</v>
      </c>
      <c r="AZ2995">
        <v>0</v>
      </c>
      <c r="BA2995">
        <v>0</v>
      </c>
      <c r="BB2995">
        <v>0</v>
      </c>
      <c r="BC2995">
        <v>0</v>
      </c>
      <c r="BD2995">
        <v>0</v>
      </c>
      <c r="BE2995">
        <v>0</v>
      </c>
      <c r="BF2995">
        <v>0</v>
      </c>
      <c r="BG2995">
        <v>0</v>
      </c>
      <c r="BH2995">
        <v>1</v>
      </c>
      <c r="BI2995">
        <v>1</v>
      </c>
      <c r="BJ2995">
        <v>0.2</v>
      </c>
      <c r="BK2995">
        <v>1</v>
      </c>
      <c r="BL2995">
        <v>69.98</v>
      </c>
      <c r="BM2995">
        <v>10.5</v>
      </c>
      <c r="BN2995">
        <v>80.48</v>
      </c>
      <c r="BO2995">
        <v>80.48</v>
      </c>
      <c r="BQ2995" t="s">
        <v>666</v>
      </c>
      <c r="BR2995" t="s">
        <v>84</v>
      </c>
      <c r="BS2995" s="3">
        <v>45803</v>
      </c>
      <c r="BT2995" s="4">
        <v>0.40694444444444444</v>
      </c>
      <c r="BU2995" t="s">
        <v>667</v>
      </c>
      <c r="BV2995" t="s">
        <v>86</v>
      </c>
      <c r="BY2995">
        <v>1200</v>
      </c>
      <c r="CA2995" t="s">
        <v>668</v>
      </c>
      <c r="CC2995" t="s">
        <v>131</v>
      </c>
      <c r="CD2995">
        <v>7535</v>
      </c>
      <c r="CE2995" t="s">
        <v>88</v>
      </c>
      <c r="CF2995" s="3">
        <v>45804</v>
      </c>
      <c r="CI2995">
        <v>1</v>
      </c>
      <c r="CJ2995">
        <v>1</v>
      </c>
      <c r="CK2995">
        <v>21</v>
      </c>
      <c r="CL2995" t="s">
        <v>89</v>
      </c>
    </row>
    <row r="2996" spans="1:90" x14ac:dyDescent="0.3">
      <c r="A2996" t="s">
        <v>72</v>
      </c>
      <c r="B2996" t="s">
        <v>73</v>
      </c>
      <c r="C2996" t="s">
        <v>74</v>
      </c>
      <c r="E2996" t="str">
        <f>"080065526161"</f>
        <v>080065526161</v>
      </c>
      <c r="F2996" s="3">
        <v>45800</v>
      </c>
      <c r="G2996">
        <v>202602</v>
      </c>
      <c r="H2996" t="s">
        <v>75</v>
      </c>
      <c r="I2996" t="s">
        <v>76</v>
      </c>
      <c r="J2996" t="s">
        <v>77</v>
      </c>
      <c r="K2996" t="s">
        <v>78</v>
      </c>
      <c r="L2996" t="s">
        <v>130</v>
      </c>
      <c r="M2996" t="s">
        <v>131</v>
      </c>
      <c r="N2996" t="s">
        <v>1066</v>
      </c>
      <c r="O2996" t="s">
        <v>300</v>
      </c>
      <c r="P2996" t="str">
        <f>"4170040425                    "</f>
        <v xml:space="preserve">4170040425                    </v>
      </c>
      <c r="Q2996">
        <v>0</v>
      </c>
      <c r="R2996">
        <v>0</v>
      </c>
      <c r="S2996">
        <v>0</v>
      </c>
      <c r="T2996">
        <v>0</v>
      </c>
      <c r="U2996">
        <v>0</v>
      </c>
      <c r="V2996">
        <v>0</v>
      </c>
      <c r="W2996">
        <v>0</v>
      </c>
      <c r="X2996">
        <v>0</v>
      </c>
      <c r="Y2996">
        <v>0</v>
      </c>
      <c r="Z2996">
        <v>0</v>
      </c>
      <c r="AA2996">
        <v>0</v>
      </c>
      <c r="AB2996">
        <v>0</v>
      </c>
      <c r="AC2996">
        <v>0</v>
      </c>
      <c r="AD2996">
        <v>0</v>
      </c>
      <c r="AE2996">
        <v>0</v>
      </c>
      <c r="AF2996">
        <v>0</v>
      </c>
      <c r="AG2996">
        <v>0</v>
      </c>
      <c r="AH2996">
        <v>0</v>
      </c>
      <c r="AI2996">
        <v>0</v>
      </c>
      <c r="AJ2996">
        <v>0</v>
      </c>
      <c r="AK2996">
        <v>0</v>
      </c>
      <c r="AL2996">
        <v>0</v>
      </c>
      <c r="AM2996">
        <v>0</v>
      </c>
      <c r="AN2996">
        <v>0</v>
      </c>
      <c r="AO2996">
        <v>0</v>
      </c>
      <c r="AP2996">
        <v>0</v>
      </c>
      <c r="AQ2996">
        <v>46.47</v>
      </c>
      <c r="AR2996">
        <v>0</v>
      </c>
      <c r="AS2996">
        <v>0</v>
      </c>
      <c r="AT2996">
        <v>0</v>
      </c>
      <c r="AU2996">
        <v>0</v>
      </c>
      <c r="AV2996">
        <v>0</v>
      </c>
      <c r="AW2996">
        <v>0</v>
      </c>
      <c r="AX2996">
        <v>0</v>
      </c>
      <c r="AY2996">
        <v>0</v>
      </c>
      <c r="AZ2996">
        <v>0</v>
      </c>
      <c r="BA2996">
        <v>0</v>
      </c>
      <c r="BB2996">
        <v>0</v>
      </c>
      <c r="BC2996">
        <v>0</v>
      </c>
      <c r="BD2996">
        <v>0</v>
      </c>
      <c r="BE2996">
        <v>0</v>
      </c>
      <c r="BF2996">
        <v>0</v>
      </c>
      <c r="BG2996">
        <v>0</v>
      </c>
      <c r="BH2996">
        <v>1</v>
      </c>
      <c r="BI2996">
        <v>7</v>
      </c>
      <c r="BJ2996">
        <v>17.5</v>
      </c>
      <c r="BK2996">
        <v>18</v>
      </c>
      <c r="BL2996">
        <v>157.66</v>
      </c>
      <c r="BM2996">
        <v>23.65</v>
      </c>
      <c r="BN2996">
        <v>181.31</v>
      </c>
      <c r="BO2996">
        <v>181.31</v>
      </c>
      <c r="BQ2996" t="s">
        <v>1067</v>
      </c>
      <c r="BR2996" t="s">
        <v>84</v>
      </c>
      <c r="BS2996" s="3">
        <v>45803</v>
      </c>
      <c r="BT2996" s="4">
        <v>0.40763888888888888</v>
      </c>
      <c r="BU2996" t="s">
        <v>1669</v>
      </c>
      <c r="BV2996" t="s">
        <v>86</v>
      </c>
      <c r="BY2996">
        <v>87552</v>
      </c>
      <c r="CA2996" t="s">
        <v>712</v>
      </c>
      <c r="CC2996" t="s">
        <v>131</v>
      </c>
      <c r="CD2996">
        <v>7561</v>
      </c>
      <c r="CE2996" t="s">
        <v>1296</v>
      </c>
      <c r="CF2996" s="3">
        <v>45804</v>
      </c>
      <c r="CI2996">
        <v>3</v>
      </c>
      <c r="CJ2996">
        <v>1</v>
      </c>
      <c r="CK2996">
        <v>41</v>
      </c>
      <c r="CL2996" t="s">
        <v>89</v>
      </c>
    </row>
    <row r="2997" spans="1:90" x14ac:dyDescent="0.3">
      <c r="A2997" t="s">
        <v>72</v>
      </c>
      <c r="B2997" t="s">
        <v>73</v>
      </c>
      <c r="C2997" t="s">
        <v>74</v>
      </c>
      <c r="E2997" t="str">
        <f>"080065529483"</f>
        <v>080065529483</v>
      </c>
      <c r="F2997" s="3">
        <v>45800</v>
      </c>
      <c r="G2997">
        <v>202602</v>
      </c>
      <c r="H2997" t="s">
        <v>75</v>
      </c>
      <c r="I2997" t="s">
        <v>76</v>
      </c>
      <c r="J2997" t="s">
        <v>77</v>
      </c>
      <c r="K2997" t="s">
        <v>78</v>
      </c>
      <c r="L2997" t="s">
        <v>136</v>
      </c>
      <c r="M2997" t="s">
        <v>137</v>
      </c>
      <c r="N2997" t="s">
        <v>441</v>
      </c>
      <c r="O2997" t="s">
        <v>82</v>
      </c>
      <c r="P2997" t="str">
        <f>"4170040337                    "</f>
        <v xml:space="preserve">4170040337                    </v>
      </c>
      <c r="Q2997">
        <v>0</v>
      </c>
      <c r="R2997">
        <v>0</v>
      </c>
      <c r="S2997">
        <v>0</v>
      </c>
      <c r="T2997">
        <v>0</v>
      </c>
      <c r="U2997">
        <v>0</v>
      </c>
      <c r="V2997">
        <v>0</v>
      </c>
      <c r="W2997">
        <v>0</v>
      </c>
      <c r="X2997">
        <v>0</v>
      </c>
      <c r="Y2997">
        <v>0</v>
      </c>
      <c r="Z2997">
        <v>0</v>
      </c>
      <c r="AA2997">
        <v>0</v>
      </c>
      <c r="AB2997">
        <v>0</v>
      </c>
      <c r="AC2997">
        <v>0</v>
      </c>
      <c r="AD2997">
        <v>0</v>
      </c>
      <c r="AE2997">
        <v>0</v>
      </c>
      <c r="AF2997">
        <v>0</v>
      </c>
      <c r="AG2997">
        <v>0</v>
      </c>
      <c r="AH2997">
        <v>0</v>
      </c>
      <c r="AI2997">
        <v>0</v>
      </c>
      <c r="AJ2997">
        <v>0</v>
      </c>
      <c r="AK2997">
        <v>0</v>
      </c>
      <c r="AL2997">
        <v>0</v>
      </c>
      <c r="AM2997">
        <v>0</v>
      </c>
      <c r="AN2997">
        <v>0</v>
      </c>
      <c r="AO2997">
        <v>0</v>
      </c>
      <c r="AP2997">
        <v>0</v>
      </c>
      <c r="AQ2997">
        <v>21.38</v>
      </c>
      <c r="AR2997">
        <v>0</v>
      </c>
      <c r="AS2997">
        <v>0</v>
      </c>
      <c r="AT2997">
        <v>0</v>
      </c>
      <c r="AU2997">
        <v>0</v>
      </c>
      <c r="AV2997">
        <v>0</v>
      </c>
      <c r="AW2997">
        <v>0</v>
      </c>
      <c r="AX2997">
        <v>0</v>
      </c>
      <c r="AY2997">
        <v>0</v>
      </c>
      <c r="AZ2997">
        <v>0</v>
      </c>
      <c r="BA2997">
        <v>0</v>
      </c>
      <c r="BB2997">
        <v>0</v>
      </c>
      <c r="BC2997">
        <v>0</v>
      </c>
      <c r="BD2997">
        <v>0</v>
      </c>
      <c r="BE2997">
        <v>0</v>
      </c>
      <c r="BF2997">
        <v>0</v>
      </c>
      <c r="BG2997">
        <v>0</v>
      </c>
      <c r="BH2997">
        <v>1</v>
      </c>
      <c r="BI2997">
        <v>2</v>
      </c>
      <c r="BJ2997">
        <v>0.9</v>
      </c>
      <c r="BK2997">
        <v>2</v>
      </c>
      <c r="BL2997">
        <v>69.98</v>
      </c>
      <c r="BM2997">
        <v>10.5</v>
      </c>
      <c r="BN2997">
        <v>80.48</v>
      </c>
      <c r="BO2997">
        <v>80.48</v>
      </c>
      <c r="BQ2997" t="s">
        <v>442</v>
      </c>
      <c r="BR2997" t="s">
        <v>84</v>
      </c>
      <c r="BS2997" s="3">
        <v>45803</v>
      </c>
      <c r="BT2997" s="4">
        <v>0.65486111111111112</v>
      </c>
      <c r="BU2997" t="s">
        <v>514</v>
      </c>
      <c r="BV2997" t="s">
        <v>86</v>
      </c>
      <c r="BY2997">
        <v>4560</v>
      </c>
      <c r="CA2997" t="s">
        <v>199</v>
      </c>
      <c r="CC2997" t="s">
        <v>137</v>
      </c>
      <c r="CD2997" s="5" t="s">
        <v>444</v>
      </c>
      <c r="CE2997" t="s">
        <v>116</v>
      </c>
      <c r="CF2997" s="3">
        <v>45803</v>
      </c>
      <c r="CI2997">
        <v>1</v>
      </c>
      <c r="CJ2997">
        <v>1</v>
      </c>
      <c r="CK2997">
        <v>21</v>
      </c>
      <c r="CL2997" t="s">
        <v>89</v>
      </c>
    </row>
    <row r="2998" spans="1:90" x14ac:dyDescent="0.3">
      <c r="A2998" t="s">
        <v>72</v>
      </c>
      <c r="B2998" t="s">
        <v>73</v>
      </c>
      <c r="C2998" t="s">
        <v>74</v>
      </c>
      <c r="E2998" t="str">
        <f>"080065523947"</f>
        <v>080065523947</v>
      </c>
      <c r="F2998" s="3">
        <v>45800</v>
      </c>
      <c r="G2998">
        <v>202602</v>
      </c>
      <c r="H2998" t="s">
        <v>75</v>
      </c>
      <c r="I2998" t="s">
        <v>76</v>
      </c>
      <c r="J2998" t="s">
        <v>77</v>
      </c>
      <c r="K2998" t="s">
        <v>78</v>
      </c>
      <c r="L2998" t="s">
        <v>350</v>
      </c>
      <c r="M2998" t="s">
        <v>351</v>
      </c>
      <c r="N2998" t="s">
        <v>459</v>
      </c>
      <c r="O2998" t="s">
        <v>82</v>
      </c>
      <c r="P2998" t="str">
        <f>"4170040401                    "</f>
        <v xml:space="preserve">4170040401                    </v>
      </c>
      <c r="Q2998">
        <v>0</v>
      </c>
      <c r="R2998">
        <v>0</v>
      </c>
      <c r="S2998">
        <v>0</v>
      </c>
      <c r="T2998">
        <v>0</v>
      </c>
      <c r="U2998">
        <v>0</v>
      </c>
      <c r="V2998">
        <v>0</v>
      </c>
      <c r="W2998">
        <v>0</v>
      </c>
      <c r="X2998">
        <v>0</v>
      </c>
      <c r="Y2998">
        <v>0</v>
      </c>
      <c r="Z2998">
        <v>0</v>
      </c>
      <c r="AA2998">
        <v>0</v>
      </c>
      <c r="AB2998">
        <v>0</v>
      </c>
      <c r="AC2998">
        <v>0</v>
      </c>
      <c r="AD2998">
        <v>0</v>
      </c>
      <c r="AE2998">
        <v>0</v>
      </c>
      <c r="AF2998">
        <v>0</v>
      </c>
      <c r="AG2998">
        <v>0</v>
      </c>
      <c r="AH2998">
        <v>0</v>
      </c>
      <c r="AI2998">
        <v>0</v>
      </c>
      <c r="AJ2998">
        <v>0</v>
      </c>
      <c r="AK2998">
        <v>0</v>
      </c>
      <c r="AL2998">
        <v>0</v>
      </c>
      <c r="AM2998">
        <v>0</v>
      </c>
      <c r="AN2998">
        <v>0</v>
      </c>
      <c r="AO2998">
        <v>0</v>
      </c>
      <c r="AP2998">
        <v>0</v>
      </c>
      <c r="AQ2998">
        <v>21.38</v>
      </c>
      <c r="AR2998">
        <v>0</v>
      </c>
      <c r="AS2998">
        <v>0</v>
      </c>
      <c r="AT2998">
        <v>0</v>
      </c>
      <c r="AU2998">
        <v>0</v>
      </c>
      <c r="AV2998">
        <v>0</v>
      </c>
      <c r="AW2998">
        <v>0</v>
      </c>
      <c r="AX2998">
        <v>0</v>
      </c>
      <c r="AY2998">
        <v>0</v>
      </c>
      <c r="AZ2998">
        <v>0</v>
      </c>
      <c r="BA2998">
        <v>0</v>
      </c>
      <c r="BB2998">
        <v>0</v>
      </c>
      <c r="BC2998">
        <v>0</v>
      </c>
      <c r="BD2998">
        <v>0</v>
      </c>
      <c r="BE2998">
        <v>0</v>
      </c>
      <c r="BF2998">
        <v>0</v>
      </c>
      <c r="BG2998">
        <v>0</v>
      </c>
      <c r="BH2998">
        <v>1</v>
      </c>
      <c r="BI2998">
        <v>1</v>
      </c>
      <c r="BJ2998">
        <v>0.2</v>
      </c>
      <c r="BK2998">
        <v>1</v>
      </c>
      <c r="BL2998">
        <v>69.98</v>
      </c>
      <c r="BM2998">
        <v>10.5</v>
      </c>
      <c r="BN2998">
        <v>80.48</v>
      </c>
      <c r="BO2998">
        <v>80.48</v>
      </c>
      <c r="BQ2998" t="s">
        <v>460</v>
      </c>
      <c r="BR2998" t="s">
        <v>84</v>
      </c>
      <c r="BS2998" s="3">
        <v>45803</v>
      </c>
      <c r="BT2998" s="4">
        <v>0.31874999999999998</v>
      </c>
      <c r="BU2998" t="s">
        <v>461</v>
      </c>
      <c r="BV2998" t="s">
        <v>86</v>
      </c>
      <c r="BY2998">
        <v>1200</v>
      </c>
      <c r="CA2998" t="s">
        <v>462</v>
      </c>
      <c r="CC2998" t="s">
        <v>351</v>
      </c>
      <c r="CD2998">
        <v>4051</v>
      </c>
      <c r="CE2998" t="s">
        <v>88</v>
      </c>
      <c r="CF2998" s="3">
        <v>45803</v>
      </c>
      <c r="CI2998">
        <v>1</v>
      </c>
      <c r="CJ2998">
        <v>1</v>
      </c>
      <c r="CK2998">
        <v>21</v>
      </c>
      <c r="CL2998" t="s">
        <v>89</v>
      </c>
    </row>
    <row r="2999" spans="1:90" x14ac:dyDescent="0.3">
      <c r="A2999" t="s">
        <v>72</v>
      </c>
      <c r="B2999" t="s">
        <v>73</v>
      </c>
      <c r="C2999" t="s">
        <v>74</v>
      </c>
      <c r="E2999" t="str">
        <f>"080065523952"</f>
        <v>080065523952</v>
      </c>
      <c r="F2999" s="3">
        <v>45800</v>
      </c>
      <c r="G2999">
        <v>202602</v>
      </c>
      <c r="H2999" t="s">
        <v>75</v>
      </c>
      <c r="I2999" t="s">
        <v>76</v>
      </c>
      <c r="J2999" t="s">
        <v>77</v>
      </c>
      <c r="K2999" t="s">
        <v>78</v>
      </c>
      <c r="L2999" t="s">
        <v>130</v>
      </c>
      <c r="M2999" t="s">
        <v>131</v>
      </c>
      <c r="N2999" t="s">
        <v>897</v>
      </c>
      <c r="O2999" t="s">
        <v>82</v>
      </c>
      <c r="P2999" t="str">
        <f>"4170040407                    "</f>
        <v xml:space="preserve">4170040407                    </v>
      </c>
      <c r="Q2999">
        <v>0</v>
      </c>
      <c r="R2999">
        <v>0</v>
      </c>
      <c r="S2999">
        <v>0</v>
      </c>
      <c r="T2999">
        <v>0</v>
      </c>
      <c r="U2999">
        <v>0</v>
      </c>
      <c r="V2999">
        <v>0</v>
      </c>
      <c r="W2999">
        <v>0</v>
      </c>
      <c r="X2999">
        <v>0</v>
      </c>
      <c r="Y2999">
        <v>0</v>
      </c>
      <c r="Z2999">
        <v>0</v>
      </c>
      <c r="AA2999">
        <v>0</v>
      </c>
      <c r="AB2999">
        <v>0</v>
      </c>
      <c r="AC2999">
        <v>0</v>
      </c>
      <c r="AD2999">
        <v>0</v>
      </c>
      <c r="AE2999">
        <v>0</v>
      </c>
      <c r="AF2999">
        <v>0</v>
      </c>
      <c r="AG2999">
        <v>0</v>
      </c>
      <c r="AH2999">
        <v>0</v>
      </c>
      <c r="AI2999">
        <v>0</v>
      </c>
      <c r="AJ2999">
        <v>0</v>
      </c>
      <c r="AK2999">
        <v>0</v>
      </c>
      <c r="AL2999">
        <v>0</v>
      </c>
      <c r="AM2999">
        <v>0</v>
      </c>
      <c r="AN2999">
        <v>0</v>
      </c>
      <c r="AO2999">
        <v>0</v>
      </c>
      <c r="AP2999">
        <v>0</v>
      </c>
      <c r="AQ2999">
        <v>32.07</v>
      </c>
      <c r="AR2999">
        <v>0</v>
      </c>
      <c r="AS2999">
        <v>0</v>
      </c>
      <c r="AT2999">
        <v>0</v>
      </c>
      <c r="AU2999">
        <v>0</v>
      </c>
      <c r="AV2999">
        <v>0</v>
      </c>
      <c r="AW2999">
        <v>0</v>
      </c>
      <c r="AX2999">
        <v>0</v>
      </c>
      <c r="AY2999">
        <v>0</v>
      </c>
      <c r="AZ2999">
        <v>0</v>
      </c>
      <c r="BA2999">
        <v>0</v>
      </c>
      <c r="BB2999">
        <v>0</v>
      </c>
      <c r="BC2999">
        <v>0</v>
      </c>
      <c r="BD2999">
        <v>0</v>
      </c>
      <c r="BE2999">
        <v>0</v>
      </c>
      <c r="BF2999">
        <v>0</v>
      </c>
      <c r="BG2999">
        <v>0</v>
      </c>
      <c r="BH2999">
        <v>1</v>
      </c>
      <c r="BI2999">
        <v>3</v>
      </c>
      <c r="BJ2999">
        <v>1.1000000000000001</v>
      </c>
      <c r="BK2999">
        <v>3</v>
      </c>
      <c r="BL2999">
        <v>104.95</v>
      </c>
      <c r="BM2999">
        <v>15.74</v>
      </c>
      <c r="BN2999">
        <v>120.69</v>
      </c>
      <c r="BO2999">
        <v>120.69</v>
      </c>
      <c r="BQ2999" t="s">
        <v>898</v>
      </c>
      <c r="BR2999" t="s">
        <v>84</v>
      </c>
      <c r="BS2999" s="3">
        <v>45803</v>
      </c>
      <c r="BT2999" s="4">
        <v>0.49652777777777779</v>
      </c>
      <c r="BU2999" t="s">
        <v>899</v>
      </c>
      <c r="BV2999" t="s">
        <v>89</v>
      </c>
      <c r="BW2999" t="s">
        <v>1905</v>
      </c>
      <c r="BX2999" t="s">
        <v>578</v>
      </c>
      <c r="BY2999">
        <v>5320</v>
      </c>
      <c r="CA2999" t="s">
        <v>901</v>
      </c>
      <c r="CC2999" t="s">
        <v>131</v>
      </c>
      <c r="CD2999">
        <v>7550</v>
      </c>
      <c r="CE2999" t="s">
        <v>96</v>
      </c>
      <c r="CF2999" s="3">
        <v>45804</v>
      </c>
      <c r="CI2999">
        <v>1</v>
      </c>
      <c r="CJ2999">
        <v>1</v>
      </c>
      <c r="CK2999">
        <v>21</v>
      </c>
      <c r="CL2999" t="s">
        <v>89</v>
      </c>
    </row>
    <row r="3000" spans="1:90" x14ac:dyDescent="0.3">
      <c r="A3000" t="s">
        <v>72</v>
      </c>
      <c r="B3000" t="s">
        <v>73</v>
      </c>
      <c r="C3000" t="s">
        <v>74</v>
      </c>
      <c r="E3000" t="str">
        <f>"080065523981"</f>
        <v>080065523981</v>
      </c>
      <c r="F3000" s="3">
        <v>45800</v>
      </c>
      <c r="G3000">
        <v>202602</v>
      </c>
      <c r="H3000" t="s">
        <v>75</v>
      </c>
      <c r="I3000" t="s">
        <v>76</v>
      </c>
      <c r="J3000" t="s">
        <v>77</v>
      </c>
      <c r="K3000" t="s">
        <v>78</v>
      </c>
      <c r="L3000" t="s">
        <v>672</v>
      </c>
      <c r="M3000" t="s">
        <v>673</v>
      </c>
      <c r="N3000" t="s">
        <v>674</v>
      </c>
      <c r="O3000" t="s">
        <v>82</v>
      </c>
      <c r="P3000" t="str">
        <f>"4170040400                    "</f>
        <v xml:space="preserve">4170040400                    </v>
      </c>
      <c r="Q3000">
        <v>0</v>
      </c>
      <c r="R3000">
        <v>0</v>
      </c>
      <c r="S3000">
        <v>0</v>
      </c>
      <c r="T3000">
        <v>0</v>
      </c>
      <c r="U3000">
        <v>0</v>
      </c>
      <c r="V3000">
        <v>0</v>
      </c>
      <c r="W3000">
        <v>0</v>
      </c>
      <c r="X3000">
        <v>0</v>
      </c>
      <c r="Y3000">
        <v>0</v>
      </c>
      <c r="Z3000">
        <v>0</v>
      </c>
      <c r="AA3000">
        <v>0</v>
      </c>
      <c r="AB3000">
        <v>0</v>
      </c>
      <c r="AC3000">
        <v>0</v>
      </c>
      <c r="AD3000">
        <v>0</v>
      </c>
      <c r="AE3000">
        <v>0</v>
      </c>
      <c r="AF3000">
        <v>0</v>
      </c>
      <c r="AG3000">
        <v>0</v>
      </c>
      <c r="AH3000">
        <v>0</v>
      </c>
      <c r="AI3000">
        <v>0</v>
      </c>
      <c r="AJ3000">
        <v>0</v>
      </c>
      <c r="AK3000">
        <v>0</v>
      </c>
      <c r="AL3000">
        <v>0</v>
      </c>
      <c r="AM3000">
        <v>0</v>
      </c>
      <c r="AN3000">
        <v>0</v>
      </c>
      <c r="AO3000">
        <v>0</v>
      </c>
      <c r="AP3000">
        <v>0</v>
      </c>
      <c r="AQ3000">
        <v>41.43</v>
      </c>
      <c r="AR3000">
        <v>0</v>
      </c>
      <c r="AS3000">
        <v>0</v>
      </c>
      <c r="AT3000">
        <v>0</v>
      </c>
      <c r="AU3000">
        <v>0</v>
      </c>
      <c r="AV3000">
        <v>0</v>
      </c>
      <c r="AW3000">
        <v>0</v>
      </c>
      <c r="AX3000">
        <v>0</v>
      </c>
      <c r="AY3000">
        <v>0</v>
      </c>
      <c r="AZ3000">
        <v>0</v>
      </c>
      <c r="BA3000">
        <v>0</v>
      </c>
      <c r="BB3000">
        <v>0</v>
      </c>
      <c r="BC3000">
        <v>0</v>
      </c>
      <c r="BD3000">
        <v>0</v>
      </c>
      <c r="BE3000">
        <v>0</v>
      </c>
      <c r="BF3000">
        <v>0</v>
      </c>
      <c r="BG3000">
        <v>0</v>
      </c>
      <c r="BH3000">
        <v>1</v>
      </c>
      <c r="BI3000">
        <v>1</v>
      </c>
      <c r="BJ3000">
        <v>0.2</v>
      </c>
      <c r="BK3000">
        <v>1</v>
      </c>
      <c r="BL3000">
        <v>135.59</v>
      </c>
      <c r="BM3000">
        <v>20.34</v>
      </c>
      <c r="BN3000">
        <v>155.93</v>
      </c>
      <c r="BO3000">
        <v>155.93</v>
      </c>
      <c r="BQ3000" t="s">
        <v>675</v>
      </c>
      <c r="BR3000" t="s">
        <v>84</v>
      </c>
      <c r="BS3000" s="3">
        <v>45803</v>
      </c>
      <c r="BT3000" s="4">
        <v>0.40763888888888888</v>
      </c>
      <c r="BU3000" t="s">
        <v>676</v>
      </c>
      <c r="BV3000" t="s">
        <v>86</v>
      </c>
      <c r="BY3000">
        <v>1200</v>
      </c>
      <c r="CA3000" t="s">
        <v>677</v>
      </c>
      <c r="CC3000" t="s">
        <v>673</v>
      </c>
      <c r="CD3000">
        <v>2531</v>
      </c>
      <c r="CE3000" t="s">
        <v>88</v>
      </c>
      <c r="CF3000" s="3">
        <v>45804</v>
      </c>
      <c r="CI3000">
        <v>1</v>
      </c>
      <c r="CJ3000">
        <v>1</v>
      </c>
      <c r="CK3000">
        <v>23</v>
      </c>
      <c r="CL3000" t="s">
        <v>89</v>
      </c>
    </row>
    <row r="3001" spans="1:90" x14ac:dyDescent="0.3">
      <c r="A3001" t="s">
        <v>72</v>
      </c>
      <c r="B3001" t="s">
        <v>73</v>
      </c>
      <c r="C3001" t="s">
        <v>74</v>
      </c>
      <c r="E3001" t="str">
        <f>"080065524019"</f>
        <v>080065524019</v>
      </c>
      <c r="F3001" s="3">
        <v>45800</v>
      </c>
      <c r="G3001">
        <v>202602</v>
      </c>
      <c r="H3001" t="s">
        <v>75</v>
      </c>
      <c r="I3001" t="s">
        <v>76</v>
      </c>
      <c r="J3001" t="s">
        <v>77</v>
      </c>
      <c r="K3001" t="s">
        <v>78</v>
      </c>
      <c r="L3001" t="s">
        <v>90</v>
      </c>
      <c r="M3001" t="s">
        <v>91</v>
      </c>
      <c r="N3001" t="s">
        <v>280</v>
      </c>
      <c r="O3001" t="s">
        <v>82</v>
      </c>
      <c r="P3001" t="str">
        <f>"4170040383                    "</f>
        <v xml:space="preserve">4170040383                    </v>
      </c>
      <c r="Q3001">
        <v>0</v>
      </c>
      <c r="R3001">
        <v>0</v>
      </c>
      <c r="S3001">
        <v>0</v>
      </c>
      <c r="T3001">
        <v>0</v>
      </c>
      <c r="U3001">
        <v>0</v>
      </c>
      <c r="V3001">
        <v>0</v>
      </c>
      <c r="W3001">
        <v>0</v>
      </c>
      <c r="X3001">
        <v>0</v>
      </c>
      <c r="Y3001">
        <v>0</v>
      </c>
      <c r="Z3001">
        <v>0</v>
      </c>
      <c r="AA3001">
        <v>0</v>
      </c>
      <c r="AB3001">
        <v>0</v>
      </c>
      <c r="AC3001">
        <v>0</v>
      </c>
      <c r="AD3001">
        <v>0</v>
      </c>
      <c r="AE3001">
        <v>0</v>
      </c>
      <c r="AF3001">
        <v>0</v>
      </c>
      <c r="AG3001">
        <v>0</v>
      </c>
      <c r="AH3001">
        <v>0</v>
      </c>
      <c r="AI3001">
        <v>0</v>
      </c>
      <c r="AJ3001">
        <v>0</v>
      </c>
      <c r="AK3001">
        <v>0</v>
      </c>
      <c r="AL3001">
        <v>0</v>
      </c>
      <c r="AM3001">
        <v>0</v>
      </c>
      <c r="AN3001">
        <v>0</v>
      </c>
      <c r="AO3001">
        <v>0</v>
      </c>
      <c r="AP3001">
        <v>0</v>
      </c>
      <c r="AQ3001">
        <v>21.38</v>
      </c>
      <c r="AR3001">
        <v>0</v>
      </c>
      <c r="AS3001">
        <v>0</v>
      </c>
      <c r="AT3001">
        <v>0</v>
      </c>
      <c r="AU3001">
        <v>0</v>
      </c>
      <c r="AV3001">
        <v>0</v>
      </c>
      <c r="AW3001">
        <v>0</v>
      </c>
      <c r="AX3001">
        <v>0</v>
      </c>
      <c r="AY3001">
        <v>0</v>
      </c>
      <c r="AZ3001">
        <v>0</v>
      </c>
      <c r="BA3001">
        <v>0</v>
      </c>
      <c r="BB3001">
        <v>0</v>
      </c>
      <c r="BC3001">
        <v>0</v>
      </c>
      <c r="BD3001">
        <v>0</v>
      </c>
      <c r="BE3001">
        <v>0</v>
      </c>
      <c r="BF3001">
        <v>0</v>
      </c>
      <c r="BG3001">
        <v>0</v>
      </c>
      <c r="BH3001">
        <v>1</v>
      </c>
      <c r="BI3001">
        <v>1</v>
      </c>
      <c r="BJ3001">
        <v>1.1000000000000001</v>
      </c>
      <c r="BK3001">
        <v>1.5</v>
      </c>
      <c r="BL3001">
        <v>69.98</v>
      </c>
      <c r="BM3001">
        <v>10.5</v>
      </c>
      <c r="BN3001">
        <v>80.48</v>
      </c>
      <c r="BO3001">
        <v>80.48</v>
      </c>
      <c r="BQ3001" t="s">
        <v>281</v>
      </c>
      <c r="BR3001" t="s">
        <v>84</v>
      </c>
      <c r="BS3001" s="3">
        <v>45803</v>
      </c>
      <c r="BT3001" s="4">
        <v>0.4201388888888889</v>
      </c>
      <c r="BU3001" t="s">
        <v>282</v>
      </c>
      <c r="BV3001" t="s">
        <v>86</v>
      </c>
      <c r="BY3001">
        <v>5320</v>
      </c>
      <c r="CA3001" t="s">
        <v>283</v>
      </c>
      <c r="CC3001" t="s">
        <v>91</v>
      </c>
      <c r="CD3001">
        <v>6012</v>
      </c>
      <c r="CE3001" t="s">
        <v>96</v>
      </c>
      <c r="CF3001" s="3">
        <v>45803</v>
      </c>
      <c r="CI3001">
        <v>1</v>
      </c>
      <c r="CJ3001">
        <v>1</v>
      </c>
      <c r="CK3001">
        <v>21</v>
      </c>
      <c r="CL3001" t="s">
        <v>89</v>
      </c>
    </row>
    <row r="3002" spans="1:90" x14ac:dyDescent="0.3">
      <c r="A3002" t="s">
        <v>72</v>
      </c>
      <c r="B3002" t="s">
        <v>73</v>
      </c>
      <c r="C3002" t="s">
        <v>74</v>
      </c>
      <c r="E3002" t="str">
        <f>"080065524037"</f>
        <v>080065524037</v>
      </c>
      <c r="F3002" s="3">
        <v>45800</v>
      </c>
      <c r="G3002">
        <v>202602</v>
      </c>
      <c r="H3002" t="s">
        <v>75</v>
      </c>
      <c r="I3002" t="s">
        <v>76</v>
      </c>
      <c r="J3002" t="s">
        <v>77</v>
      </c>
      <c r="K3002" t="s">
        <v>78</v>
      </c>
      <c r="L3002" t="s">
        <v>90</v>
      </c>
      <c r="M3002" t="s">
        <v>91</v>
      </c>
      <c r="N3002" t="s">
        <v>92</v>
      </c>
      <c r="O3002" t="s">
        <v>82</v>
      </c>
      <c r="P3002" t="str">
        <f>"4170040334                    "</f>
        <v xml:space="preserve">4170040334                    </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c r="AJ3002">
        <v>0</v>
      </c>
      <c r="AK3002">
        <v>0</v>
      </c>
      <c r="AL3002">
        <v>0</v>
      </c>
      <c r="AM3002">
        <v>0</v>
      </c>
      <c r="AN3002">
        <v>0</v>
      </c>
      <c r="AO3002">
        <v>0</v>
      </c>
      <c r="AP3002">
        <v>0</v>
      </c>
      <c r="AQ3002">
        <v>21.38</v>
      </c>
      <c r="AR3002">
        <v>0</v>
      </c>
      <c r="AS3002">
        <v>0</v>
      </c>
      <c r="AT3002">
        <v>0</v>
      </c>
      <c r="AU3002">
        <v>0</v>
      </c>
      <c r="AV3002">
        <v>0</v>
      </c>
      <c r="AW3002">
        <v>0</v>
      </c>
      <c r="AX3002">
        <v>0</v>
      </c>
      <c r="AY3002">
        <v>0</v>
      </c>
      <c r="AZ3002">
        <v>0</v>
      </c>
      <c r="BA3002">
        <v>0</v>
      </c>
      <c r="BB3002">
        <v>0</v>
      </c>
      <c r="BC3002">
        <v>0</v>
      </c>
      <c r="BD3002">
        <v>0</v>
      </c>
      <c r="BE3002">
        <v>0</v>
      </c>
      <c r="BF3002">
        <v>0</v>
      </c>
      <c r="BG3002">
        <v>0</v>
      </c>
      <c r="BH3002">
        <v>1</v>
      </c>
      <c r="BI3002">
        <v>1</v>
      </c>
      <c r="BJ3002">
        <v>0.2</v>
      </c>
      <c r="BK3002">
        <v>1</v>
      </c>
      <c r="BL3002">
        <v>69.98</v>
      </c>
      <c r="BM3002">
        <v>10.5</v>
      </c>
      <c r="BN3002">
        <v>80.48</v>
      </c>
      <c r="BO3002">
        <v>80.48</v>
      </c>
      <c r="BQ3002" t="s">
        <v>93</v>
      </c>
      <c r="BR3002" t="s">
        <v>84</v>
      </c>
      <c r="BS3002" s="3">
        <v>45803</v>
      </c>
      <c r="BT3002" s="4">
        <v>0.36736111111111114</v>
      </c>
      <c r="BU3002" t="s">
        <v>94</v>
      </c>
      <c r="BV3002" t="s">
        <v>86</v>
      </c>
      <c r="BY3002">
        <v>1200</v>
      </c>
      <c r="CA3002" t="s">
        <v>95</v>
      </c>
      <c r="CC3002" t="s">
        <v>91</v>
      </c>
      <c r="CD3002">
        <v>6001</v>
      </c>
      <c r="CE3002" t="s">
        <v>88</v>
      </c>
      <c r="CF3002" s="3">
        <v>45803</v>
      </c>
      <c r="CI3002">
        <v>1</v>
      </c>
      <c r="CJ3002">
        <v>1</v>
      </c>
      <c r="CK3002">
        <v>21</v>
      </c>
      <c r="CL3002" t="s">
        <v>89</v>
      </c>
    </row>
    <row r="3003" spans="1:90" x14ac:dyDescent="0.3">
      <c r="A3003" t="s">
        <v>72</v>
      </c>
      <c r="B3003" t="s">
        <v>73</v>
      </c>
      <c r="C3003" t="s">
        <v>74</v>
      </c>
      <c r="E3003" t="str">
        <f>"080065524067"</f>
        <v>080065524067</v>
      </c>
      <c r="F3003" s="3">
        <v>45800</v>
      </c>
      <c r="G3003">
        <v>202602</v>
      </c>
      <c r="H3003" t="s">
        <v>75</v>
      </c>
      <c r="I3003" t="s">
        <v>76</v>
      </c>
      <c r="J3003" t="s">
        <v>77</v>
      </c>
      <c r="K3003" t="s">
        <v>78</v>
      </c>
      <c r="L3003" t="s">
        <v>130</v>
      </c>
      <c r="M3003" t="s">
        <v>131</v>
      </c>
      <c r="N3003" t="s">
        <v>897</v>
      </c>
      <c r="O3003" t="s">
        <v>82</v>
      </c>
      <c r="P3003" t="str">
        <f>"4170040409                    "</f>
        <v xml:space="preserve">4170040409                    </v>
      </c>
      <c r="Q3003">
        <v>0</v>
      </c>
      <c r="R3003">
        <v>0</v>
      </c>
      <c r="S3003">
        <v>0</v>
      </c>
      <c r="T3003">
        <v>0</v>
      </c>
      <c r="U3003">
        <v>0</v>
      </c>
      <c r="V3003">
        <v>0</v>
      </c>
      <c r="W3003">
        <v>0</v>
      </c>
      <c r="X3003">
        <v>0</v>
      </c>
      <c r="Y3003">
        <v>0</v>
      </c>
      <c r="Z3003">
        <v>0</v>
      </c>
      <c r="AA3003">
        <v>0</v>
      </c>
      <c r="AB3003">
        <v>0</v>
      </c>
      <c r="AC3003">
        <v>0</v>
      </c>
      <c r="AD3003">
        <v>0</v>
      </c>
      <c r="AE3003">
        <v>0</v>
      </c>
      <c r="AF3003">
        <v>0</v>
      </c>
      <c r="AG3003">
        <v>0</v>
      </c>
      <c r="AH3003">
        <v>0</v>
      </c>
      <c r="AI3003">
        <v>0</v>
      </c>
      <c r="AJ3003">
        <v>0</v>
      </c>
      <c r="AK3003">
        <v>0</v>
      </c>
      <c r="AL3003">
        <v>0</v>
      </c>
      <c r="AM3003">
        <v>0</v>
      </c>
      <c r="AN3003">
        <v>0</v>
      </c>
      <c r="AO3003">
        <v>0</v>
      </c>
      <c r="AP3003">
        <v>0</v>
      </c>
      <c r="AQ3003">
        <v>21.38</v>
      </c>
      <c r="AR3003">
        <v>0</v>
      </c>
      <c r="AS3003">
        <v>0</v>
      </c>
      <c r="AT3003">
        <v>0</v>
      </c>
      <c r="AU3003">
        <v>0</v>
      </c>
      <c r="AV3003">
        <v>0</v>
      </c>
      <c r="AW3003">
        <v>0</v>
      </c>
      <c r="AX3003">
        <v>0</v>
      </c>
      <c r="AY3003">
        <v>0</v>
      </c>
      <c r="AZ3003">
        <v>0</v>
      </c>
      <c r="BA3003">
        <v>0</v>
      </c>
      <c r="BB3003">
        <v>0</v>
      </c>
      <c r="BC3003">
        <v>0</v>
      </c>
      <c r="BD3003">
        <v>0</v>
      </c>
      <c r="BE3003">
        <v>0</v>
      </c>
      <c r="BF3003">
        <v>0</v>
      </c>
      <c r="BG3003">
        <v>0</v>
      </c>
      <c r="BH3003">
        <v>1</v>
      </c>
      <c r="BI3003">
        <v>1</v>
      </c>
      <c r="BJ3003">
        <v>0.2</v>
      </c>
      <c r="BK3003">
        <v>1</v>
      </c>
      <c r="BL3003">
        <v>69.98</v>
      </c>
      <c r="BM3003">
        <v>10.5</v>
      </c>
      <c r="BN3003">
        <v>80.48</v>
      </c>
      <c r="BO3003">
        <v>80.48</v>
      </c>
      <c r="BQ3003" t="s">
        <v>898</v>
      </c>
      <c r="BR3003" t="s">
        <v>84</v>
      </c>
      <c r="BS3003" s="3">
        <v>45803</v>
      </c>
      <c r="BT3003" s="4">
        <v>0.49583333333333335</v>
      </c>
      <c r="BU3003" t="s">
        <v>899</v>
      </c>
      <c r="BV3003" t="s">
        <v>89</v>
      </c>
      <c r="BW3003" t="s">
        <v>1905</v>
      </c>
      <c r="BX3003" t="s">
        <v>578</v>
      </c>
      <c r="BY3003">
        <v>1200</v>
      </c>
      <c r="CA3003" t="s">
        <v>901</v>
      </c>
      <c r="CC3003" t="s">
        <v>131</v>
      </c>
      <c r="CD3003">
        <v>7550</v>
      </c>
      <c r="CE3003" t="s">
        <v>88</v>
      </c>
      <c r="CF3003" s="3">
        <v>45804</v>
      </c>
      <c r="CI3003">
        <v>1</v>
      </c>
      <c r="CJ3003">
        <v>1</v>
      </c>
      <c r="CK3003">
        <v>21</v>
      </c>
      <c r="CL3003" t="s">
        <v>89</v>
      </c>
    </row>
    <row r="3004" spans="1:90" x14ac:dyDescent="0.3">
      <c r="A3004" t="s">
        <v>72</v>
      </c>
      <c r="B3004" t="s">
        <v>73</v>
      </c>
      <c r="C3004" t="s">
        <v>74</v>
      </c>
      <c r="E3004" t="str">
        <f>"080065524071"</f>
        <v>080065524071</v>
      </c>
      <c r="F3004" s="3">
        <v>45800</v>
      </c>
      <c r="G3004">
        <v>202602</v>
      </c>
      <c r="H3004" t="s">
        <v>75</v>
      </c>
      <c r="I3004" t="s">
        <v>76</v>
      </c>
      <c r="J3004" t="s">
        <v>77</v>
      </c>
      <c r="K3004" t="s">
        <v>78</v>
      </c>
      <c r="L3004" t="s">
        <v>232</v>
      </c>
      <c r="M3004" t="s">
        <v>233</v>
      </c>
      <c r="N3004" t="s">
        <v>834</v>
      </c>
      <c r="O3004" t="s">
        <v>82</v>
      </c>
      <c r="P3004" t="str">
        <f>"4170040328                    "</f>
        <v xml:space="preserve">4170040328                    </v>
      </c>
      <c r="Q3004">
        <v>0</v>
      </c>
      <c r="R3004">
        <v>0</v>
      </c>
      <c r="S3004">
        <v>0</v>
      </c>
      <c r="T3004">
        <v>0</v>
      </c>
      <c r="U3004">
        <v>0</v>
      </c>
      <c r="V3004">
        <v>0</v>
      </c>
      <c r="W3004">
        <v>0</v>
      </c>
      <c r="X3004">
        <v>0</v>
      </c>
      <c r="Y3004">
        <v>0</v>
      </c>
      <c r="Z3004">
        <v>0</v>
      </c>
      <c r="AA3004">
        <v>0</v>
      </c>
      <c r="AB3004">
        <v>0</v>
      </c>
      <c r="AC3004">
        <v>0</v>
      </c>
      <c r="AD3004">
        <v>0</v>
      </c>
      <c r="AE3004">
        <v>0</v>
      </c>
      <c r="AF3004">
        <v>0</v>
      </c>
      <c r="AG3004">
        <v>0</v>
      </c>
      <c r="AH3004">
        <v>0</v>
      </c>
      <c r="AI3004">
        <v>0</v>
      </c>
      <c r="AJ3004">
        <v>0</v>
      </c>
      <c r="AK3004">
        <v>0</v>
      </c>
      <c r="AL3004">
        <v>0</v>
      </c>
      <c r="AM3004">
        <v>0</v>
      </c>
      <c r="AN3004">
        <v>0</v>
      </c>
      <c r="AO3004">
        <v>0</v>
      </c>
      <c r="AP3004">
        <v>0</v>
      </c>
      <c r="AQ3004">
        <v>21.38</v>
      </c>
      <c r="AR3004">
        <v>0</v>
      </c>
      <c r="AS3004">
        <v>0</v>
      </c>
      <c r="AT3004">
        <v>0</v>
      </c>
      <c r="AU3004">
        <v>0</v>
      </c>
      <c r="AV3004">
        <v>0</v>
      </c>
      <c r="AW3004">
        <v>0</v>
      </c>
      <c r="AX3004">
        <v>0</v>
      </c>
      <c r="AY3004">
        <v>0</v>
      </c>
      <c r="AZ3004">
        <v>0</v>
      </c>
      <c r="BA3004">
        <v>0</v>
      </c>
      <c r="BB3004">
        <v>0</v>
      </c>
      <c r="BC3004">
        <v>0</v>
      </c>
      <c r="BD3004">
        <v>0</v>
      </c>
      <c r="BE3004">
        <v>0</v>
      </c>
      <c r="BF3004">
        <v>0</v>
      </c>
      <c r="BG3004">
        <v>0</v>
      </c>
      <c r="BH3004">
        <v>1</v>
      </c>
      <c r="BI3004">
        <v>2</v>
      </c>
      <c r="BJ3004">
        <v>1.1000000000000001</v>
      </c>
      <c r="BK3004">
        <v>2</v>
      </c>
      <c r="BL3004">
        <v>69.98</v>
      </c>
      <c r="BM3004">
        <v>10.5</v>
      </c>
      <c r="BN3004">
        <v>80.48</v>
      </c>
      <c r="BO3004">
        <v>80.48</v>
      </c>
      <c r="BQ3004" t="s">
        <v>835</v>
      </c>
      <c r="BR3004" t="s">
        <v>84</v>
      </c>
      <c r="BS3004" s="3">
        <v>45803</v>
      </c>
      <c r="BT3004" s="4">
        <v>0.39652777777777776</v>
      </c>
      <c r="BU3004" t="s">
        <v>2998</v>
      </c>
      <c r="BV3004" t="s">
        <v>86</v>
      </c>
      <c r="BY3004">
        <v>5320</v>
      </c>
      <c r="CC3004" t="s">
        <v>233</v>
      </c>
      <c r="CD3004" s="5" t="s">
        <v>238</v>
      </c>
      <c r="CE3004" t="s">
        <v>96</v>
      </c>
      <c r="CF3004" s="3">
        <v>45803</v>
      </c>
      <c r="CI3004">
        <v>1</v>
      </c>
      <c r="CJ3004">
        <v>1</v>
      </c>
      <c r="CK3004">
        <v>21</v>
      </c>
      <c r="CL3004" t="s">
        <v>89</v>
      </c>
    </row>
    <row r="3005" spans="1:90" x14ac:dyDescent="0.3">
      <c r="A3005" t="s">
        <v>72</v>
      </c>
      <c r="B3005" t="s">
        <v>73</v>
      </c>
      <c r="C3005" t="s">
        <v>74</v>
      </c>
      <c r="E3005" t="str">
        <f>"080065524092"</f>
        <v>080065524092</v>
      </c>
      <c r="F3005" s="3">
        <v>45800</v>
      </c>
      <c r="G3005">
        <v>202602</v>
      </c>
      <c r="H3005" t="s">
        <v>75</v>
      </c>
      <c r="I3005" t="s">
        <v>76</v>
      </c>
      <c r="J3005" t="s">
        <v>77</v>
      </c>
      <c r="K3005" t="s">
        <v>78</v>
      </c>
      <c r="L3005" t="s">
        <v>130</v>
      </c>
      <c r="M3005" t="s">
        <v>131</v>
      </c>
      <c r="N3005" t="s">
        <v>699</v>
      </c>
      <c r="O3005" t="s">
        <v>82</v>
      </c>
      <c r="P3005" t="str">
        <f>"4170040419                    "</f>
        <v xml:space="preserve">4170040419                    </v>
      </c>
      <c r="Q3005">
        <v>0</v>
      </c>
      <c r="R3005">
        <v>0</v>
      </c>
      <c r="S3005">
        <v>0</v>
      </c>
      <c r="T3005">
        <v>0</v>
      </c>
      <c r="U3005">
        <v>0</v>
      </c>
      <c r="V3005">
        <v>0</v>
      </c>
      <c r="W3005">
        <v>0</v>
      </c>
      <c r="X3005">
        <v>0</v>
      </c>
      <c r="Y3005">
        <v>0</v>
      </c>
      <c r="Z3005">
        <v>0</v>
      </c>
      <c r="AA3005">
        <v>0</v>
      </c>
      <c r="AB3005">
        <v>0</v>
      </c>
      <c r="AC3005">
        <v>0</v>
      </c>
      <c r="AD3005">
        <v>0</v>
      </c>
      <c r="AE3005">
        <v>0</v>
      </c>
      <c r="AF3005">
        <v>0</v>
      </c>
      <c r="AG3005">
        <v>0</v>
      </c>
      <c r="AH3005">
        <v>0</v>
      </c>
      <c r="AI3005">
        <v>0</v>
      </c>
      <c r="AJ3005">
        <v>0</v>
      </c>
      <c r="AK3005">
        <v>0</v>
      </c>
      <c r="AL3005">
        <v>0</v>
      </c>
      <c r="AM3005">
        <v>0</v>
      </c>
      <c r="AN3005">
        <v>0</v>
      </c>
      <c r="AO3005">
        <v>0</v>
      </c>
      <c r="AP3005">
        <v>0</v>
      </c>
      <c r="AQ3005">
        <v>21.38</v>
      </c>
      <c r="AR3005">
        <v>0</v>
      </c>
      <c r="AS3005">
        <v>0</v>
      </c>
      <c r="AT3005">
        <v>0</v>
      </c>
      <c r="AU3005">
        <v>0</v>
      </c>
      <c r="AV3005">
        <v>0</v>
      </c>
      <c r="AW3005">
        <v>0</v>
      </c>
      <c r="AX3005">
        <v>0</v>
      </c>
      <c r="AY3005">
        <v>0</v>
      </c>
      <c r="AZ3005">
        <v>0</v>
      </c>
      <c r="BA3005">
        <v>0</v>
      </c>
      <c r="BB3005">
        <v>0</v>
      </c>
      <c r="BC3005">
        <v>0</v>
      </c>
      <c r="BD3005">
        <v>0</v>
      </c>
      <c r="BE3005">
        <v>0</v>
      </c>
      <c r="BF3005">
        <v>0</v>
      </c>
      <c r="BG3005">
        <v>0</v>
      </c>
      <c r="BH3005">
        <v>1</v>
      </c>
      <c r="BI3005">
        <v>1</v>
      </c>
      <c r="BJ3005">
        <v>0.2</v>
      </c>
      <c r="BK3005">
        <v>1</v>
      </c>
      <c r="BL3005">
        <v>69.98</v>
      </c>
      <c r="BM3005">
        <v>10.5</v>
      </c>
      <c r="BN3005">
        <v>80.48</v>
      </c>
      <c r="BO3005">
        <v>80.48</v>
      </c>
      <c r="BQ3005" t="s">
        <v>700</v>
      </c>
      <c r="BR3005" t="s">
        <v>84</v>
      </c>
      <c r="BS3005" s="3">
        <v>45803</v>
      </c>
      <c r="BT3005" s="4">
        <v>0.40208333333333335</v>
      </c>
      <c r="BU3005" t="s">
        <v>2999</v>
      </c>
      <c r="BV3005" t="s">
        <v>86</v>
      </c>
      <c r="BY3005">
        <v>1200</v>
      </c>
      <c r="CA3005" t="s">
        <v>330</v>
      </c>
      <c r="CC3005" t="s">
        <v>131</v>
      </c>
      <c r="CD3005">
        <v>7480</v>
      </c>
      <c r="CE3005" t="s">
        <v>88</v>
      </c>
      <c r="CF3005" s="3">
        <v>45804</v>
      </c>
      <c r="CI3005">
        <v>1</v>
      </c>
      <c r="CJ3005">
        <v>1</v>
      </c>
      <c r="CK3005">
        <v>21</v>
      </c>
      <c r="CL3005" t="s">
        <v>89</v>
      </c>
    </row>
    <row r="3006" spans="1:90" x14ac:dyDescent="0.3">
      <c r="A3006" t="s">
        <v>72</v>
      </c>
      <c r="B3006" t="s">
        <v>73</v>
      </c>
      <c r="C3006" t="s">
        <v>74</v>
      </c>
      <c r="E3006" t="str">
        <f>"080065524117"</f>
        <v>080065524117</v>
      </c>
      <c r="F3006" s="3">
        <v>45800</v>
      </c>
      <c r="G3006">
        <v>202602</v>
      </c>
      <c r="H3006" t="s">
        <v>75</v>
      </c>
      <c r="I3006" t="s">
        <v>76</v>
      </c>
      <c r="J3006" t="s">
        <v>77</v>
      </c>
      <c r="K3006" t="s">
        <v>78</v>
      </c>
      <c r="L3006" t="s">
        <v>177</v>
      </c>
      <c r="M3006" t="s">
        <v>178</v>
      </c>
      <c r="N3006" t="s">
        <v>212</v>
      </c>
      <c r="O3006" t="s">
        <v>82</v>
      </c>
      <c r="P3006" t="str">
        <f>"4170040380                    "</f>
        <v xml:space="preserve">4170040380                    </v>
      </c>
      <c r="Q3006">
        <v>0</v>
      </c>
      <c r="R3006">
        <v>0</v>
      </c>
      <c r="S3006">
        <v>0</v>
      </c>
      <c r="T3006">
        <v>0</v>
      </c>
      <c r="U3006">
        <v>0</v>
      </c>
      <c r="V3006">
        <v>0</v>
      </c>
      <c r="W3006">
        <v>0</v>
      </c>
      <c r="X3006">
        <v>0</v>
      </c>
      <c r="Y3006">
        <v>0</v>
      </c>
      <c r="Z3006">
        <v>0</v>
      </c>
      <c r="AA3006">
        <v>0</v>
      </c>
      <c r="AB3006">
        <v>0</v>
      </c>
      <c r="AC3006">
        <v>0</v>
      </c>
      <c r="AD3006">
        <v>0</v>
      </c>
      <c r="AE3006">
        <v>0</v>
      </c>
      <c r="AF3006">
        <v>0</v>
      </c>
      <c r="AG3006">
        <v>0</v>
      </c>
      <c r="AH3006">
        <v>0</v>
      </c>
      <c r="AI3006">
        <v>0</v>
      </c>
      <c r="AJ3006">
        <v>0</v>
      </c>
      <c r="AK3006">
        <v>0</v>
      </c>
      <c r="AL3006">
        <v>0</v>
      </c>
      <c r="AM3006">
        <v>0</v>
      </c>
      <c r="AN3006">
        <v>0</v>
      </c>
      <c r="AO3006">
        <v>0</v>
      </c>
      <c r="AP3006">
        <v>0</v>
      </c>
      <c r="AQ3006">
        <v>21.38</v>
      </c>
      <c r="AR3006">
        <v>0</v>
      </c>
      <c r="AS3006">
        <v>0</v>
      </c>
      <c r="AT3006">
        <v>0</v>
      </c>
      <c r="AU3006">
        <v>0</v>
      </c>
      <c r="AV3006">
        <v>0</v>
      </c>
      <c r="AW3006">
        <v>0</v>
      </c>
      <c r="AX3006">
        <v>0</v>
      </c>
      <c r="AY3006">
        <v>0</v>
      </c>
      <c r="AZ3006">
        <v>0</v>
      </c>
      <c r="BA3006">
        <v>0</v>
      </c>
      <c r="BB3006">
        <v>0</v>
      </c>
      <c r="BC3006">
        <v>0</v>
      </c>
      <c r="BD3006">
        <v>0</v>
      </c>
      <c r="BE3006">
        <v>0</v>
      </c>
      <c r="BF3006">
        <v>0</v>
      </c>
      <c r="BG3006">
        <v>0</v>
      </c>
      <c r="BH3006">
        <v>1</v>
      </c>
      <c r="BI3006">
        <v>1</v>
      </c>
      <c r="BJ3006">
        <v>0.2</v>
      </c>
      <c r="BK3006">
        <v>1</v>
      </c>
      <c r="BL3006">
        <v>69.98</v>
      </c>
      <c r="BM3006">
        <v>10.5</v>
      </c>
      <c r="BN3006">
        <v>80.48</v>
      </c>
      <c r="BO3006">
        <v>80.48</v>
      </c>
      <c r="BQ3006" t="s">
        <v>213</v>
      </c>
      <c r="BR3006" t="s">
        <v>84</v>
      </c>
      <c r="BS3006" s="3">
        <v>45803</v>
      </c>
      <c r="BT3006" s="4">
        <v>0.35138888888888886</v>
      </c>
      <c r="BU3006" t="s">
        <v>1568</v>
      </c>
      <c r="BV3006" t="s">
        <v>86</v>
      </c>
      <c r="BY3006">
        <v>1200</v>
      </c>
      <c r="CA3006" t="s">
        <v>182</v>
      </c>
      <c r="CC3006" t="s">
        <v>178</v>
      </c>
      <c r="CD3006">
        <v>6229</v>
      </c>
      <c r="CE3006" t="s">
        <v>88</v>
      </c>
      <c r="CF3006" s="3">
        <v>45803</v>
      </c>
      <c r="CI3006">
        <v>1</v>
      </c>
      <c r="CJ3006">
        <v>1</v>
      </c>
      <c r="CK3006">
        <v>21</v>
      </c>
      <c r="CL3006" t="s">
        <v>89</v>
      </c>
    </row>
    <row r="3007" spans="1:90" x14ac:dyDescent="0.3">
      <c r="A3007" t="s">
        <v>72</v>
      </c>
      <c r="B3007" t="s">
        <v>73</v>
      </c>
      <c r="C3007" t="s">
        <v>74</v>
      </c>
      <c r="E3007" t="str">
        <f>"080065524160"</f>
        <v>080065524160</v>
      </c>
      <c r="F3007" s="3">
        <v>45800</v>
      </c>
      <c r="G3007">
        <v>202602</v>
      </c>
      <c r="H3007" t="s">
        <v>75</v>
      </c>
      <c r="I3007" t="s">
        <v>76</v>
      </c>
      <c r="J3007" t="s">
        <v>77</v>
      </c>
      <c r="K3007" t="s">
        <v>78</v>
      </c>
      <c r="L3007" t="s">
        <v>374</v>
      </c>
      <c r="M3007" t="s">
        <v>375</v>
      </c>
      <c r="N3007" t="s">
        <v>376</v>
      </c>
      <c r="O3007" t="s">
        <v>82</v>
      </c>
      <c r="P3007" t="str">
        <f>"4170040379                    "</f>
        <v xml:space="preserve">4170040379                    </v>
      </c>
      <c r="Q3007">
        <v>0</v>
      </c>
      <c r="R3007">
        <v>0</v>
      </c>
      <c r="S3007">
        <v>0</v>
      </c>
      <c r="T3007">
        <v>0</v>
      </c>
      <c r="U3007">
        <v>0</v>
      </c>
      <c r="V3007">
        <v>0</v>
      </c>
      <c r="W3007">
        <v>0</v>
      </c>
      <c r="X3007">
        <v>0</v>
      </c>
      <c r="Y3007">
        <v>0</v>
      </c>
      <c r="Z3007">
        <v>0</v>
      </c>
      <c r="AA3007">
        <v>0</v>
      </c>
      <c r="AB3007">
        <v>0</v>
      </c>
      <c r="AC3007">
        <v>0</v>
      </c>
      <c r="AD3007">
        <v>0</v>
      </c>
      <c r="AE3007">
        <v>0</v>
      </c>
      <c r="AF3007">
        <v>0</v>
      </c>
      <c r="AG3007">
        <v>0</v>
      </c>
      <c r="AH3007">
        <v>0</v>
      </c>
      <c r="AI3007">
        <v>0</v>
      </c>
      <c r="AJ3007">
        <v>0</v>
      </c>
      <c r="AK3007">
        <v>0</v>
      </c>
      <c r="AL3007">
        <v>0</v>
      </c>
      <c r="AM3007">
        <v>0</v>
      </c>
      <c r="AN3007">
        <v>0</v>
      </c>
      <c r="AO3007">
        <v>0</v>
      </c>
      <c r="AP3007">
        <v>0</v>
      </c>
      <c r="AQ3007">
        <v>41.43</v>
      </c>
      <c r="AR3007">
        <v>0</v>
      </c>
      <c r="AS3007">
        <v>0</v>
      </c>
      <c r="AT3007">
        <v>0</v>
      </c>
      <c r="AU3007">
        <v>0</v>
      </c>
      <c r="AV3007">
        <v>0</v>
      </c>
      <c r="AW3007">
        <v>0</v>
      </c>
      <c r="AX3007">
        <v>0</v>
      </c>
      <c r="AY3007">
        <v>0</v>
      </c>
      <c r="AZ3007">
        <v>0</v>
      </c>
      <c r="BA3007">
        <v>0</v>
      </c>
      <c r="BB3007">
        <v>0</v>
      </c>
      <c r="BC3007">
        <v>0</v>
      </c>
      <c r="BD3007">
        <v>0</v>
      </c>
      <c r="BE3007">
        <v>0</v>
      </c>
      <c r="BF3007">
        <v>0</v>
      </c>
      <c r="BG3007">
        <v>0</v>
      </c>
      <c r="BH3007">
        <v>1</v>
      </c>
      <c r="BI3007">
        <v>1</v>
      </c>
      <c r="BJ3007">
        <v>0.2</v>
      </c>
      <c r="BK3007">
        <v>1</v>
      </c>
      <c r="BL3007">
        <v>135.59</v>
      </c>
      <c r="BM3007">
        <v>20.34</v>
      </c>
      <c r="BN3007">
        <v>155.93</v>
      </c>
      <c r="BO3007">
        <v>155.93</v>
      </c>
      <c r="BQ3007" t="s">
        <v>377</v>
      </c>
      <c r="BR3007" t="s">
        <v>84</v>
      </c>
      <c r="BS3007" s="3">
        <v>45803</v>
      </c>
      <c r="BT3007" s="4">
        <v>0.41458333333333336</v>
      </c>
      <c r="BU3007" t="s">
        <v>3000</v>
      </c>
      <c r="BV3007" t="s">
        <v>86</v>
      </c>
      <c r="BY3007">
        <v>1200</v>
      </c>
      <c r="CA3007" t="s">
        <v>379</v>
      </c>
      <c r="CC3007" t="s">
        <v>375</v>
      </c>
      <c r="CD3007">
        <v>7130</v>
      </c>
      <c r="CE3007" t="s">
        <v>88</v>
      </c>
      <c r="CF3007" s="3">
        <v>45804</v>
      </c>
      <c r="CI3007">
        <v>1</v>
      </c>
      <c r="CJ3007">
        <v>1</v>
      </c>
      <c r="CK3007">
        <v>23</v>
      </c>
      <c r="CL3007" t="s">
        <v>89</v>
      </c>
    </row>
    <row r="3008" spans="1:90" x14ac:dyDescent="0.3">
      <c r="A3008" t="s">
        <v>72</v>
      </c>
      <c r="B3008" t="s">
        <v>73</v>
      </c>
      <c r="C3008" t="s">
        <v>74</v>
      </c>
      <c r="E3008" t="str">
        <f>"080065524190"</f>
        <v>080065524190</v>
      </c>
      <c r="F3008" s="3">
        <v>45800</v>
      </c>
      <c r="G3008">
        <v>202602</v>
      </c>
      <c r="H3008" t="s">
        <v>75</v>
      </c>
      <c r="I3008" t="s">
        <v>76</v>
      </c>
      <c r="J3008" t="s">
        <v>77</v>
      </c>
      <c r="K3008" t="s">
        <v>78</v>
      </c>
      <c r="L3008" t="s">
        <v>130</v>
      </c>
      <c r="M3008" t="s">
        <v>131</v>
      </c>
      <c r="N3008" t="s">
        <v>665</v>
      </c>
      <c r="O3008" t="s">
        <v>82</v>
      </c>
      <c r="P3008" t="str">
        <f>"4170040415                    "</f>
        <v xml:space="preserve">4170040415                    </v>
      </c>
      <c r="Q3008">
        <v>0</v>
      </c>
      <c r="R3008">
        <v>0</v>
      </c>
      <c r="S3008">
        <v>0</v>
      </c>
      <c r="T3008">
        <v>0</v>
      </c>
      <c r="U3008">
        <v>0</v>
      </c>
      <c r="V3008">
        <v>0</v>
      </c>
      <c r="W3008">
        <v>0</v>
      </c>
      <c r="X3008">
        <v>0</v>
      </c>
      <c r="Y3008">
        <v>0</v>
      </c>
      <c r="Z3008">
        <v>0</v>
      </c>
      <c r="AA3008">
        <v>0</v>
      </c>
      <c r="AB3008">
        <v>0</v>
      </c>
      <c r="AC3008">
        <v>0</v>
      </c>
      <c r="AD3008">
        <v>0</v>
      </c>
      <c r="AE3008">
        <v>0</v>
      </c>
      <c r="AF3008">
        <v>0</v>
      </c>
      <c r="AG3008">
        <v>0</v>
      </c>
      <c r="AH3008">
        <v>0</v>
      </c>
      <c r="AI3008">
        <v>0</v>
      </c>
      <c r="AJ3008">
        <v>0</v>
      </c>
      <c r="AK3008">
        <v>0</v>
      </c>
      <c r="AL3008">
        <v>0</v>
      </c>
      <c r="AM3008">
        <v>0</v>
      </c>
      <c r="AN3008">
        <v>0</v>
      </c>
      <c r="AO3008">
        <v>0</v>
      </c>
      <c r="AP3008">
        <v>0</v>
      </c>
      <c r="AQ3008">
        <v>21.38</v>
      </c>
      <c r="AR3008">
        <v>0</v>
      </c>
      <c r="AS3008">
        <v>0</v>
      </c>
      <c r="AT3008">
        <v>0</v>
      </c>
      <c r="AU3008">
        <v>0</v>
      </c>
      <c r="AV3008">
        <v>0</v>
      </c>
      <c r="AW3008">
        <v>0</v>
      </c>
      <c r="AX3008">
        <v>0</v>
      </c>
      <c r="AY3008">
        <v>0</v>
      </c>
      <c r="AZ3008">
        <v>0</v>
      </c>
      <c r="BA3008">
        <v>0</v>
      </c>
      <c r="BB3008">
        <v>0</v>
      </c>
      <c r="BC3008">
        <v>0</v>
      </c>
      <c r="BD3008">
        <v>0</v>
      </c>
      <c r="BE3008">
        <v>0</v>
      </c>
      <c r="BF3008">
        <v>0</v>
      </c>
      <c r="BG3008">
        <v>0</v>
      </c>
      <c r="BH3008">
        <v>1</v>
      </c>
      <c r="BI3008">
        <v>1</v>
      </c>
      <c r="BJ3008">
        <v>0.2</v>
      </c>
      <c r="BK3008">
        <v>1</v>
      </c>
      <c r="BL3008">
        <v>69.98</v>
      </c>
      <c r="BM3008">
        <v>10.5</v>
      </c>
      <c r="BN3008">
        <v>80.48</v>
      </c>
      <c r="BO3008">
        <v>80.48</v>
      </c>
      <c r="BQ3008" t="s">
        <v>666</v>
      </c>
      <c r="BR3008" t="s">
        <v>84</v>
      </c>
      <c r="BS3008" s="3">
        <v>45803</v>
      </c>
      <c r="BT3008" s="4">
        <v>0.40694444444444444</v>
      </c>
      <c r="BU3008" t="s">
        <v>667</v>
      </c>
      <c r="BV3008" t="s">
        <v>86</v>
      </c>
      <c r="BY3008">
        <v>1200</v>
      </c>
      <c r="CA3008" t="s">
        <v>668</v>
      </c>
      <c r="CC3008" t="s">
        <v>131</v>
      </c>
      <c r="CD3008">
        <v>7535</v>
      </c>
      <c r="CE3008" t="s">
        <v>88</v>
      </c>
      <c r="CF3008" s="3">
        <v>45804</v>
      </c>
      <c r="CI3008">
        <v>1</v>
      </c>
      <c r="CJ3008">
        <v>1</v>
      </c>
      <c r="CK3008">
        <v>21</v>
      </c>
      <c r="CL3008" t="s">
        <v>89</v>
      </c>
    </row>
    <row r="3009" spans="1:90" x14ac:dyDescent="0.3">
      <c r="A3009" t="s">
        <v>72</v>
      </c>
      <c r="B3009" t="s">
        <v>73</v>
      </c>
      <c r="C3009" t="s">
        <v>74</v>
      </c>
      <c r="E3009" t="str">
        <f>"080065524207"</f>
        <v>080065524207</v>
      </c>
      <c r="F3009" s="3">
        <v>45800</v>
      </c>
      <c r="G3009">
        <v>202602</v>
      </c>
      <c r="H3009" t="s">
        <v>75</v>
      </c>
      <c r="I3009" t="s">
        <v>76</v>
      </c>
      <c r="J3009" t="s">
        <v>77</v>
      </c>
      <c r="K3009" t="s">
        <v>78</v>
      </c>
      <c r="L3009" t="s">
        <v>90</v>
      </c>
      <c r="M3009" t="s">
        <v>91</v>
      </c>
      <c r="N3009" t="s">
        <v>1211</v>
      </c>
      <c r="O3009" t="s">
        <v>82</v>
      </c>
      <c r="P3009" t="str">
        <f>"4170040427                    "</f>
        <v xml:space="preserve">4170040427                    </v>
      </c>
      <c r="Q3009">
        <v>0</v>
      </c>
      <c r="R3009">
        <v>0</v>
      </c>
      <c r="S3009">
        <v>0</v>
      </c>
      <c r="T3009">
        <v>0</v>
      </c>
      <c r="U3009">
        <v>0</v>
      </c>
      <c r="V3009">
        <v>0</v>
      </c>
      <c r="W3009">
        <v>0</v>
      </c>
      <c r="X3009">
        <v>0</v>
      </c>
      <c r="Y3009">
        <v>0</v>
      </c>
      <c r="Z3009">
        <v>0</v>
      </c>
      <c r="AA3009">
        <v>0</v>
      </c>
      <c r="AB3009">
        <v>0</v>
      </c>
      <c r="AC3009">
        <v>0</v>
      </c>
      <c r="AD3009">
        <v>0</v>
      </c>
      <c r="AE3009">
        <v>0</v>
      </c>
      <c r="AF3009">
        <v>0</v>
      </c>
      <c r="AG3009">
        <v>0</v>
      </c>
      <c r="AH3009">
        <v>0</v>
      </c>
      <c r="AI3009">
        <v>0</v>
      </c>
      <c r="AJ3009">
        <v>0</v>
      </c>
      <c r="AK3009">
        <v>0</v>
      </c>
      <c r="AL3009">
        <v>0</v>
      </c>
      <c r="AM3009">
        <v>0</v>
      </c>
      <c r="AN3009">
        <v>0</v>
      </c>
      <c r="AO3009">
        <v>0</v>
      </c>
      <c r="AP3009">
        <v>0</v>
      </c>
      <c r="AQ3009">
        <v>21.38</v>
      </c>
      <c r="AR3009">
        <v>0</v>
      </c>
      <c r="AS3009">
        <v>0</v>
      </c>
      <c r="AT3009">
        <v>0</v>
      </c>
      <c r="AU3009">
        <v>0</v>
      </c>
      <c r="AV3009">
        <v>0</v>
      </c>
      <c r="AW3009">
        <v>0</v>
      </c>
      <c r="AX3009">
        <v>0</v>
      </c>
      <c r="AY3009">
        <v>0</v>
      </c>
      <c r="AZ3009">
        <v>0</v>
      </c>
      <c r="BA3009">
        <v>0</v>
      </c>
      <c r="BB3009">
        <v>0</v>
      </c>
      <c r="BC3009">
        <v>0</v>
      </c>
      <c r="BD3009">
        <v>0</v>
      </c>
      <c r="BE3009">
        <v>0</v>
      </c>
      <c r="BF3009">
        <v>0</v>
      </c>
      <c r="BG3009">
        <v>0</v>
      </c>
      <c r="BH3009">
        <v>1</v>
      </c>
      <c r="BI3009">
        <v>1</v>
      </c>
      <c r="BJ3009">
        <v>0.2</v>
      </c>
      <c r="BK3009">
        <v>1</v>
      </c>
      <c r="BL3009">
        <v>69.98</v>
      </c>
      <c r="BM3009">
        <v>10.5</v>
      </c>
      <c r="BN3009">
        <v>80.48</v>
      </c>
      <c r="BO3009">
        <v>80.48</v>
      </c>
      <c r="BQ3009" t="s">
        <v>1212</v>
      </c>
      <c r="BR3009" t="s">
        <v>84</v>
      </c>
      <c r="BS3009" s="3">
        <v>45803</v>
      </c>
      <c r="BT3009" s="4">
        <v>0.38680555555555557</v>
      </c>
      <c r="BU3009" t="s">
        <v>1467</v>
      </c>
      <c r="BV3009" t="s">
        <v>86</v>
      </c>
      <c r="BY3009">
        <v>1200</v>
      </c>
      <c r="CA3009" t="s">
        <v>283</v>
      </c>
      <c r="CC3009" t="s">
        <v>91</v>
      </c>
      <c r="CD3009">
        <v>6012</v>
      </c>
      <c r="CE3009" t="s">
        <v>88</v>
      </c>
      <c r="CF3009" s="3">
        <v>45803</v>
      </c>
      <c r="CI3009">
        <v>1</v>
      </c>
      <c r="CJ3009">
        <v>1</v>
      </c>
      <c r="CK3009">
        <v>21</v>
      </c>
      <c r="CL3009" t="s">
        <v>89</v>
      </c>
    </row>
    <row r="3010" spans="1:90" x14ac:dyDescent="0.3">
      <c r="A3010" t="s">
        <v>72</v>
      </c>
      <c r="B3010" t="s">
        <v>73</v>
      </c>
      <c r="C3010" t="s">
        <v>74</v>
      </c>
      <c r="E3010" t="str">
        <f>"080065524265"</f>
        <v>080065524265</v>
      </c>
      <c r="F3010" s="3">
        <v>45800</v>
      </c>
      <c r="G3010">
        <v>202602</v>
      </c>
      <c r="H3010" t="s">
        <v>75</v>
      </c>
      <c r="I3010" t="s">
        <v>76</v>
      </c>
      <c r="J3010" t="s">
        <v>77</v>
      </c>
      <c r="K3010" t="s">
        <v>78</v>
      </c>
      <c r="L3010" t="s">
        <v>136</v>
      </c>
      <c r="M3010" t="s">
        <v>137</v>
      </c>
      <c r="N3010" t="s">
        <v>499</v>
      </c>
      <c r="O3010" t="s">
        <v>82</v>
      </c>
      <c r="P3010" t="str">
        <f>"4170040403                    "</f>
        <v xml:space="preserve">4170040403                    </v>
      </c>
      <c r="Q3010">
        <v>0</v>
      </c>
      <c r="R3010">
        <v>0</v>
      </c>
      <c r="S3010">
        <v>0</v>
      </c>
      <c r="T3010">
        <v>0</v>
      </c>
      <c r="U3010">
        <v>0</v>
      </c>
      <c r="V3010">
        <v>0</v>
      </c>
      <c r="W3010">
        <v>0</v>
      </c>
      <c r="X3010">
        <v>0</v>
      </c>
      <c r="Y3010">
        <v>0</v>
      </c>
      <c r="Z3010">
        <v>0</v>
      </c>
      <c r="AA3010">
        <v>0</v>
      </c>
      <c r="AB3010">
        <v>0</v>
      </c>
      <c r="AC3010">
        <v>0</v>
      </c>
      <c r="AD3010">
        <v>0</v>
      </c>
      <c r="AE3010">
        <v>0</v>
      </c>
      <c r="AF3010">
        <v>0</v>
      </c>
      <c r="AG3010">
        <v>0</v>
      </c>
      <c r="AH3010">
        <v>0</v>
      </c>
      <c r="AI3010">
        <v>0</v>
      </c>
      <c r="AJ3010">
        <v>0</v>
      </c>
      <c r="AK3010">
        <v>0</v>
      </c>
      <c r="AL3010">
        <v>0</v>
      </c>
      <c r="AM3010">
        <v>0</v>
      </c>
      <c r="AN3010">
        <v>0</v>
      </c>
      <c r="AO3010">
        <v>0</v>
      </c>
      <c r="AP3010">
        <v>0</v>
      </c>
      <c r="AQ3010">
        <v>21.38</v>
      </c>
      <c r="AR3010">
        <v>0</v>
      </c>
      <c r="AS3010">
        <v>0</v>
      </c>
      <c r="AT3010">
        <v>0</v>
      </c>
      <c r="AU3010">
        <v>0</v>
      </c>
      <c r="AV3010">
        <v>0</v>
      </c>
      <c r="AW3010">
        <v>0</v>
      </c>
      <c r="AX3010">
        <v>0</v>
      </c>
      <c r="AY3010">
        <v>0</v>
      </c>
      <c r="AZ3010">
        <v>0</v>
      </c>
      <c r="BA3010">
        <v>0</v>
      </c>
      <c r="BB3010">
        <v>0</v>
      </c>
      <c r="BC3010">
        <v>0</v>
      </c>
      <c r="BD3010">
        <v>0</v>
      </c>
      <c r="BE3010">
        <v>0</v>
      </c>
      <c r="BF3010">
        <v>0</v>
      </c>
      <c r="BG3010">
        <v>0</v>
      </c>
      <c r="BH3010">
        <v>1</v>
      </c>
      <c r="BI3010">
        <v>1</v>
      </c>
      <c r="BJ3010">
        <v>0.2</v>
      </c>
      <c r="BK3010">
        <v>1</v>
      </c>
      <c r="BL3010">
        <v>69.98</v>
      </c>
      <c r="BM3010">
        <v>10.5</v>
      </c>
      <c r="BN3010">
        <v>80.48</v>
      </c>
      <c r="BO3010">
        <v>80.48</v>
      </c>
      <c r="BQ3010" t="s">
        <v>500</v>
      </c>
      <c r="BR3010" t="s">
        <v>84</v>
      </c>
      <c r="BS3010" s="3">
        <v>45803</v>
      </c>
      <c r="BT3010" s="4">
        <v>0.3840277777777778</v>
      </c>
      <c r="BU3010" t="s">
        <v>1733</v>
      </c>
      <c r="BV3010" t="s">
        <v>86</v>
      </c>
      <c r="BY3010">
        <v>1200</v>
      </c>
      <c r="CA3010" t="s">
        <v>141</v>
      </c>
      <c r="CC3010" t="s">
        <v>137</v>
      </c>
      <c r="CD3010" s="5" t="s">
        <v>142</v>
      </c>
      <c r="CE3010" t="s">
        <v>88</v>
      </c>
      <c r="CF3010" s="3">
        <v>45803</v>
      </c>
      <c r="CI3010">
        <v>1</v>
      </c>
      <c r="CJ3010">
        <v>1</v>
      </c>
      <c r="CK3010">
        <v>21</v>
      </c>
      <c r="CL3010" t="s">
        <v>89</v>
      </c>
    </row>
    <row r="3011" spans="1:90" x14ac:dyDescent="0.3">
      <c r="A3011" t="s">
        <v>72</v>
      </c>
      <c r="B3011" t="s">
        <v>73</v>
      </c>
      <c r="C3011" t="s">
        <v>74</v>
      </c>
      <c r="E3011" t="str">
        <f>"080065524292"</f>
        <v>080065524292</v>
      </c>
      <c r="F3011" s="3">
        <v>45800</v>
      </c>
      <c r="G3011">
        <v>202602</v>
      </c>
      <c r="H3011" t="s">
        <v>75</v>
      </c>
      <c r="I3011" t="s">
        <v>76</v>
      </c>
      <c r="J3011" t="s">
        <v>77</v>
      </c>
      <c r="K3011" t="s">
        <v>78</v>
      </c>
      <c r="L3011" t="s">
        <v>123</v>
      </c>
      <c r="M3011" t="s">
        <v>123</v>
      </c>
      <c r="N3011" t="s">
        <v>317</v>
      </c>
      <c r="O3011" t="s">
        <v>82</v>
      </c>
      <c r="P3011" t="str">
        <f>"4170040382                    "</f>
        <v xml:space="preserve">4170040382                    </v>
      </c>
      <c r="Q3011">
        <v>0</v>
      </c>
      <c r="R3011">
        <v>0</v>
      </c>
      <c r="S3011">
        <v>0</v>
      </c>
      <c r="T3011">
        <v>0</v>
      </c>
      <c r="U3011">
        <v>0</v>
      </c>
      <c r="V3011">
        <v>0</v>
      </c>
      <c r="W3011">
        <v>0</v>
      </c>
      <c r="X3011">
        <v>0</v>
      </c>
      <c r="Y3011">
        <v>0</v>
      </c>
      <c r="Z3011">
        <v>0</v>
      </c>
      <c r="AA3011">
        <v>0</v>
      </c>
      <c r="AB3011">
        <v>0</v>
      </c>
      <c r="AC3011">
        <v>0</v>
      </c>
      <c r="AD3011">
        <v>0</v>
      </c>
      <c r="AE3011">
        <v>0</v>
      </c>
      <c r="AF3011">
        <v>0</v>
      </c>
      <c r="AG3011">
        <v>0</v>
      </c>
      <c r="AH3011">
        <v>0</v>
      </c>
      <c r="AI3011">
        <v>0</v>
      </c>
      <c r="AJ3011">
        <v>0</v>
      </c>
      <c r="AK3011">
        <v>0</v>
      </c>
      <c r="AL3011">
        <v>0</v>
      </c>
      <c r="AM3011">
        <v>0</v>
      </c>
      <c r="AN3011">
        <v>0</v>
      </c>
      <c r="AO3011">
        <v>0</v>
      </c>
      <c r="AP3011">
        <v>0</v>
      </c>
      <c r="AQ3011">
        <v>41.43</v>
      </c>
      <c r="AR3011">
        <v>0</v>
      </c>
      <c r="AS3011">
        <v>0</v>
      </c>
      <c r="AT3011">
        <v>0</v>
      </c>
      <c r="AU3011">
        <v>0</v>
      </c>
      <c r="AV3011">
        <v>0</v>
      </c>
      <c r="AW3011">
        <v>0</v>
      </c>
      <c r="AX3011">
        <v>0</v>
      </c>
      <c r="AY3011">
        <v>0</v>
      </c>
      <c r="AZ3011">
        <v>0</v>
      </c>
      <c r="BA3011">
        <v>0</v>
      </c>
      <c r="BB3011">
        <v>0</v>
      </c>
      <c r="BC3011">
        <v>0</v>
      </c>
      <c r="BD3011">
        <v>0</v>
      </c>
      <c r="BE3011">
        <v>0</v>
      </c>
      <c r="BF3011">
        <v>0</v>
      </c>
      <c r="BG3011">
        <v>0</v>
      </c>
      <c r="BH3011">
        <v>1</v>
      </c>
      <c r="BI3011">
        <v>1</v>
      </c>
      <c r="BJ3011">
        <v>0.2</v>
      </c>
      <c r="BK3011">
        <v>1</v>
      </c>
      <c r="BL3011">
        <v>135.59</v>
      </c>
      <c r="BM3011">
        <v>20.34</v>
      </c>
      <c r="BN3011">
        <v>155.93</v>
      </c>
      <c r="BO3011">
        <v>155.93</v>
      </c>
      <c r="BQ3011" t="s">
        <v>318</v>
      </c>
      <c r="BR3011" t="s">
        <v>84</v>
      </c>
      <c r="BS3011" s="3">
        <v>45803</v>
      </c>
      <c r="BT3011" s="4">
        <v>0.53819444444444442</v>
      </c>
      <c r="BU3011" t="s">
        <v>319</v>
      </c>
      <c r="BV3011" t="s">
        <v>86</v>
      </c>
      <c r="BY3011">
        <v>1200</v>
      </c>
      <c r="CA3011" t="s">
        <v>128</v>
      </c>
      <c r="CC3011" t="s">
        <v>123</v>
      </c>
      <c r="CD3011">
        <v>7646</v>
      </c>
      <c r="CE3011" t="s">
        <v>88</v>
      </c>
      <c r="CF3011" s="3">
        <v>45804</v>
      </c>
      <c r="CI3011">
        <v>1</v>
      </c>
      <c r="CJ3011">
        <v>1</v>
      </c>
      <c r="CK3011">
        <v>23</v>
      </c>
      <c r="CL3011" t="s">
        <v>89</v>
      </c>
    </row>
    <row r="3012" spans="1:90" x14ac:dyDescent="0.3">
      <c r="A3012" t="s">
        <v>72</v>
      </c>
      <c r="B3012" t="s">
        <v>73</v>
      </c>
      <c r="C3012" t="s">
        <v>74</v>
      </c>
      <c r="E3012" t="str">
        <f>"080065524304"</f>
        <v>080065524304</v>
      </c>
      <c r="F3012" s="3">
        <v>45800</v>
      </c>
      <c r="G3012">
        <v>202602</v>
      </c>
      <c r="H3012" t="s">
        <v>75</v>
      </c>
      <c r="I3012" t="s">
        <v>76</v>
      </c>
      <c r="J3012" t="s">
        <v>77</v>
      </c>
      <c r="K3012" t="s">
        <v>78</v>
      </c>
      <c r="L3012" t="s">
        <v>123</v>
      </c>
      <c r="M3012" t="s">
        <v>123</v>
      </c>
      <c r="N3012" t="s">
        <v>3001</v>
      </c>
      <c r="O3012" t="s">
        <v>82</v>
      </c>
      <c r="P3012" t="str">
        <f>"4170040428                    "</f>
        <v xml:space="preserve">4170040428                    </v>
      </c>
      <c r="Q3012">
        <v>0</v>
      </c>
      <c r="R3012">
        <v>0</v>
      </c>
      <c r="S3012">
        <v>0</v>
      </c>
      <c r="T3012">
        <v>0</v>
      </c>
      <c r="U3012">
        <v>0</v>
      </c>
      <c r="V3012">
        <v>0</v>
      </c>
      <c r="W3012">
        <v>0</v>
      </c>
      <c r="X3012">
        <v>0</v>
      </c>
      <c r="Y3012">
        <v>0</v>
      </c>
      <c r="Z3012">
        <v>0</v>
      </c>
      <c r="AA3012">
        <v>0</v>
      </c>
      <c r="AB3012">
        <v>0</v>
      </c>
      <c r="AC3012">
        <v>0</v>
      </c>
      <c r="AD3012">
        <v>0</v>
      </c>
      <c r="AE3012">
        <v>0</v>
      </c>
      <c r="AF3012">
        <v>0</v>
      </c>
      <c r="AG3012">
        <v>0</v>
      </c>
      <c r="AH3012">
        <v>0</v>
      </c>
      <c r="AI3012">
        <v>0</v>
      </c>
      <c r="AJ3012">
        <v>0</v>
      </c>
      <c r="AK3012">
        <v>0</v>
      </c>
      <c r="AL3012">
        <v>0</v>
      </c>
      <c r="AM3012">
        <v>0</v>
      </c>
      <c r="AN3012">
        <v>0</v>
      </c>
      <c r="AO3012">
        <v>0</v>
      </c>
      <c r="AP3012">
        <v>0</v>
      </c>
      <c r="AQ3012">
        <v>41.43</v>
      </c>
      <c r="AR3012">
        <v>0</v>
      </c>
      <c r="AS3012">
        <v>0</v>
      </c>
      <c r="AT3012">
        <v>0</v>
      </c>
      <c r="AU3012">
        <v>0</v>
      </c>
      <c r="AV3012">
        <v>0</v>
      </c>
      <c r="AW3012">
        <v>0</v>
      </c>
      <c r="AX3012">
        <v>0</v>
      </c>
      <c r="AY3012">
        <v>0</v>
      </c>
      <c r="AZ3012">
        <v>0</v>
      </c>
      <c r="BA3012">
        <v>0</v>
      </c>
      <c r="BB3012">
        <v>0</v>
      </c>
      <c r="BC3012">
        <v>0</v>
      </c>
      <c r="BD3012">
        <v>0</v>
      </c>
      <c r="BE3012">
        <v>0</v>
      </c>
      <c r="BF3012">
        <v>0</v>
      </c>
      <c r="BG3012">
        <v>0</v>
      </c>
      <c r="BH3012">
        <v>1</v>
      </c>
      <c r="BI3012">
        <v>1</v>
      </c>
      <c r="BJ3012">
        <v>0.2</v>
      </c>
      <c r="BK3012">
        <v>1</v>
      </c>
      <c r="BL3012">
        <v>135.59</v>
      </c>
      <c r="BM3012">
        <v>20.34</v>
      </c>
      <c r="BN3012">
        <v>155.93</v>
      </c>
      <c r="BO3012">
        <v>155.93</v>
      </c>
      <c r="BQ3012" t="s">
        <v>3002</v>
      </c>
      <c r="BR3012" t="s">
        <v>84</v>
      </c>
      <c r="BS3012" s="3">
        <v>45803</v>
      </c>
      <c r="BT3012" s="4">
        <v>0.53749999999999998</v>
      </c>
      <c r="BU3012" t="s">
        <v>2944</v>
      </c>
      <c r="BV3012" t="s">
        <v>86</v>
      </c>
      <c r="BY3012">
        <v>1200</v>
      </c>
      <c r="CA3012" t="s">
        <v>128</v>
      </c>
      <c r="CC3012" t="s">
        <v>123</v>
      </c>
      <c r="CD3012">
        <v>7646</v>
      </c>
      <c r="CE3012" t="s">
        <v>88</v>
      </c>
      <c r="CF3012" s="3">
        <v>45804</v>
      </c>
      <c r="CI3012">
        <v>1</v>
      </c>
      <c r="CJ3012">
        <v>1</v>
      </c>
      <c r="CK3012">
        <v>23</v>
      </c>
      <c r="CL3012" t="s">
        <v>89</v>
      </c>
    </row>
    <row r="3013" spans="1:90" x14ac:dyDescent="0.3">
      <c r="A3013" t="s">
        <v>72</v>
      </c>
      <c r="B3013" t="s">
        <v>73</v>
      </c>
      <c r="C3013" t="s">
        <v>74</v>
      </c>
      <c r="E3013" t="str">
        <f>"080065524318"</f>
        <v>080065524318</v>
      </c>
      <c r="F3013" s="3">
        <v>45800</v>
      </c>
      <c r="G3013">
        <v>202602</v>
      </c>
      <c r="H3013" t="s">
        <v>75</v>
      </c>
      <c r="I3013" t="s">
        <v>76</v>
      </c>
      <c r="J3013" t="s">
        <v>77</v>
      </c>
      <c r="K3013" t="s">
        <v>78</v>
      </c>
      <c r="L3013" t="s">
        <v>1099</v>
      </c>
      <c r="M3013" t="s">
        <v>1100</v>
      </c>
      <c r="N3013" t="s">
        <v>1287</v>
      </c>
      <c r="O3013" t="s">
        <v>82</v>
      </c>
      <c r="P3013" t="str">
        <f>"4170040417                    "</f>
        <v xml:space="preserve">4170040417                    </v>
      </c>
      <c r="Q3013">
        <v>0</v>
      </c>
      <c r="R3013">
        <v>0</v>
      </c>
      <c r="S3013">
        <v>0</v>
      </c>
      <c r="T3013">
        <v>0</v>
      </c>
      <c r="U3013">
        <v>0</v>
      </c>
      <c r="V3013">
        <v>0</v>
      </c>
      <c r="W3013">
        <v>0</v>
      </c>
      <c r="X3013">
        <v>0</v>
      </c>
      <c r="Y3013">
        <v>0</v>
      </c>
      <c r="Z3013">
        <v>0</v>
      </c>
      <c r="AA3013">
        <v>0</v>
      </c>
      <c r="AB3013">
        <v>0</v>
      </c>
      <c r="AC3013">
        <v>0</v>
      </c>
      <c r="AD3013">
        <v>0</v>
      </c>
      <c r="AE3013">
        <v>0</v>
      </c>
      <c r="AF3013">
        <v>0</v>
      </c>
      <c r="AG3013">
        <v>0</v>
      </c>
      <c r="AH3013">
        <v>0</v>
      </c>
      <c r="AI3013">
        <v>0</v>
      </c>
      <c r="AJ3013">
        <v>0</v>
      </c>
      <c r="AK3013">
        <v>0</v>
      </c>
      <c r="AL3013">
        <v>0</v>
      </c>
      <c r="AM3013">
        <v>0</v>
      </c>
      <c r="AN3013">
        <v>0</v>
      </c>
      <c r="AO3013">
        <v>0</v>
      </c>
      <c r="AP3013">
        <v>0</v>
      </c>
      <c r="AQ3013">
        <v>41.43</v>
      </c>
      <c r="AR3013">
        <v>0</v>
      </c>
      <c r="AS3013">
        <v>0</v>
      </c>
      <c r="AT3013">
        <v>0</v>
      </c>
      <c r="AU3013">
        <v>0</v>
      </c>
      <c r="AV3013">
        <v>0</v>
      </c>
      <c r="AW3013">
        <v>0</v>
      </c>
      <c r="AX3013">
        <v>0</v>
      </c>
      <c r="AY3013">
        <v>0</v>
      </c>
      <c r="AZ3013">
        <v>0</v>
      </c>
      <c r="BA3013">
        <v>0</v>
      </c>
      <c r="BB3013">
        <v>0</v>
      </c>
      <c r="BC3013">
        <v>0</v>
      </c>
      <c r="BD3013">
        <v>0</v>
      </c>
      <c r="BE3013">
        <v>0</v>
      </c>
      <c r="BF3013">
        <v>0</v>
      </c>
      <c r="BG3013">
        <v>0</v>
      </c>
      <c r="BH3013">
        <v>1</v>
      </c>
      <c r="BI3013">
        <v>1</v>
      </c>
      <c r="BJ3013">
        <v>0.2</v>
      </c>
      <c r="BK3013">
        <v>1</v>
      </c>
      <c r="BL3013">
        <v>135.59</v>
      </c>
      <c r="BM3013">
        <v>20.34</v>
      </c>
      <c r="BN3013">
        <v>155.93</v>
      </c>
      <c r="BO3013">
        <v>155.93</v>
      </c>
      <c r="BQ3013" t="s">
        <v>1288</v>
      </c>
      <c r="BR3013" t="s">
        <v>84</v>
      </c>
      <c r="BS3013" s="3">
        <v>45803</v>
      </c>
      <c r="BT3013" s="4">
        <v>0.4236111111111111</v>
      </c>
      <c r="BU3013" t="s">
        <v>1895</v>
      </c>
      <c r="BV3013" t="s">
        <v>86</v>
      </c>
      <c r="BY3013">
        <v>1200</v>
      </c>
      <c r="CA3013" t="s">
        <v>2693</v>
      </c>
      <c r="CC3013" t="s">
        <v>1100</v>
      </c>
      <c r="CD3013" s="5" t="s">
        <v>1291</v>
      </c>
      <c r="CE3013" t="s">
        <v>88</v>
      </c>
      <c r="CF3013" s="3">
        <v>45804</v>
      </c>
      <c r="CI3013">
        <v>1</v>
      </c>
      <c r="CJ3013">
        <v>1</v>
      </c>
      <c r="CK3013">
        <v>23</v>
      </c>
      <c r="CL3013" t="s">
        <v>89</v>
      </c>
    </row>
    <row r="3014" spans="1:90" x14ac:dyDescent="0.3">
      <c r="A3014" t="s">
        <v>72</v>
      </c>
      <c r="B3014" t="s">
        <v>73</v>
      </c>
      <c r="C3014" t="s">
        <v>74</v>
      </c>
      <c r="E3014" t="str">
        <f>"080065524334"</f>
        <v>080065524334</v>
      </c>
      <c r="F3014" s="3">
        <v>45800</v>
      </c>
      <c r="G3014">
        <v>202602</v>
      </c>
      <c r="H3014" t="s">
        <v>75</v>
      </c>
      <c r="I3014" t="s">
        <v>76</v>
      </c>
      <c r="J3014" t="s">
        <v>77</v>
      </c>
      <c r="K3014" t="s">
        <v>78</v>
      </c>
      <c r="L3014" t="s">
        <v>75</v>
      </c>
      <c r="M3014" t="s">
        <v>76</v>
      </c>
      <c r="N3014" t="s">
        <v>601</v>
      </c>
      <c r="O3014" t="s">
        <v>82</v>
      </c>
      <c r="P3014" t="str">
        <f>"4170040424                    "</f>
        <v xml:space="preserve">4170040424                    </v>
      </c>
      <c r="Q3014">
        <v>0</v>
      </c>
      <c r="R3014">
        <v>0</v>
      </c>
      <c r="S3014">
        <v>0</v>
      </c>
      <c r="T3014">
        <v>0</v>
      </c>
      <c r="U3014">
        <v>0</v>
      </c>
      <c r="V3014">
        <v>0</v>
      </c>
      <c r="W3014">
        <v>0</v>
      </c>
      <c r="X3014">
        <v>0</v>
      </c>
      <c r="Y3014">
        <v>0</v>
      </c>
      <c r="Z3014">
        <v>0</v>
      </c>
      <c r="AA3014">
        <v>0</v>
      </c>
      <c r="AB3014">
        <v>0</v>
      </c>
      <c r="AC3014">
        <v>0</v>
      </c>
      <c r="AD3014">
        <v>0</v>
      </c>
      <c r="AE3014">
        <v>0</v>
      </c>
      <c r="AF3014">
        <v>0</v>
      </c>
      <c r="AG3014">
        <v>0</v>
      </c>
      <c r="AH3014">
        <v>0</v>
      </c>
      <c r="AI3014">
        <v>0</v>
      </c>
      <c r="AJ3014">
        <v>0</v>
      </c>
      <c r="AK3014">
        <v>0</v>
      </c>
      <c r="AL3014">
        <v>0</v>
      </c>
      <c r="AM3014">
        <v>0</v>
      </c>
      <c r="AN3014">
        <v>0</v>
      </c>
      <c r="AO3014">
        <v>0</v>
      </c>
      <c r="AP3014">
        <v>0</v>
      </c>
      <c r="AQ3014">
        <v>16.7</v>
      </c>
      <c r="AR3014">
        <v>0</v>
      </c>
      <c r="AS3014">
        <v>0</v>
      </c>
      <c r="AT3014">
        <v>0</v>
      </c>
      <c r="AU3014">
        <v>0</v>
      </c>
      <c r="AV3014">
        <v>0</v>
      </c>
      <c r="AW3014">
        <v>0</v>
      </c>
      <c r="AX3014">
        <v>0</v>
      </c>
      <c r="AY3014">
        <v>0</v>
      </c>
      <c r="AZ3014">
        <v>0</v>
      </c>
      <c r="BA3014">
        <v>0</v>
      </c>
      <c r="BB3014">
        <v>0</v>
      </c>
      <c r="BC3014">
        <v>0</v>
      </c>
      <c r="BD3014">
        <v>0</v>
      </c>
      <c r="BE3014">
        <v>0</v>
      </c>
      <c r="BF3014">
        <v>0</v>
      </c>
      <c r="BG3014">
        <v>0</v>
      </c>
      <c r="BH3014">
        <v>1</v>
      </c>
      <c r="BI3014">
        <v>1</v>
      </c>
      <c r="BJ3014">
        <v>0.2</v>
      </c>
      <c r="BK3014">
        <v>1</v>
      </c>
      <c r="BL3014">
        <v>54.66</v>
      </c>
      <c r="BM3014">
        <v>8.1999999999999993</v>
      </c>
      <c r="BN3014">
        <v>62.86</v>
      </c>
      <c r="BO3014">
        <v>62.86</v>
      </c>
      <c r="BQ3014" t="s">
        <v>603</v>
      </c>
      <c r="BR3014" t="s">
        <v>84</v>
      </c>
      <c r="BS3014" s="3">
        <v>45803</v>
      </c>
      <c r="BT3014" s="4">
        <v>0.33541666666666664</v>
      </c>
      <c r="BU3014" t="s">
        <v>3003</v>
      </c>
      <c r="BV3014" t="s">
        <v>86</v>
      </c>
      <c r="BY3014">
        <v>1200</v>
      </c>
      <c r="CA3014" t="s">
        <v>2929</v>
      </c>
      <c r="CC3014" t="s">
        <v>76</v>
      </c>
      <c r="CD3014">
        <v>1645</v>
      </c>
      <c r="CE3014" t="s">
        <v>88</v>
      </c>
      <c r="CF3014" s="3">
        <v>45803</v>
      </c>
      <c r="CI3014">
        <v>1</v>
      </c>
      <c r="CJ3014">
        <v>1</v>
      </c>
      <c r="CK3014">
        <v>22</v>
      </c>
      <c r="CL3014" t="s">
        <v>89</v>
      </c>
    </row>
    <row r="3015" spans="1:90" x14ac:dyDescent="0.3">
      <c r="A3015" t="s">
        <v>72</v>
      </c>
      <c r="B3015" t="s">
        <v>73</v>
      </c>
      <c r="C3015" t="s">
        <v>74</v>
      </c>
      <c r="E3015" t="str">
        <f>"080065524349"</f>
        <v>080065524349</v>
      </c>
      <c r="F3015" s="3">
        <v>45800</v>
      </c>
      <c r="G3015">
        <v>202602</v>
      </c>
      <c r="H3015" t="s">
        <v>75</v>
      </c>
      <c r="I3015" t="s">
        <v>76</v>
      </c>
      <c r="J3015" t="s">
        <v>77</v>
      </c>
      <c r="K3015" t="s">
        <v>78</v>
      </c>
      <c r="L3015" t="s">
        <v>136</v>
      </c>
      <c r="M3015" t="s">
        <v>137</v>
      </c>
      <c r="N3015" t="s">
        <v>3004</v>
      </c>
      <c r="O3015" t="s">
        <v>82</v>
      </c>
      <c r="P3015" t="str">
        <f>"4170040344                    "</f>
        <v xml:space="preserve">4170040344                    </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c r="AI3015">
        <v>0</v>
      </c>
      <c r="AJ3015">
        <v>0</v>
      </c>
      <c r="AK3015">
        <v>0</v>
      </c>
      <c r="AL3015">
        <v>0</v>
      </c>
      <c r="AM3015">
        <v>0</v>
      </c>
      <c r="AN3015">
        <v>0</v>
      </c>
      <c r="AO3015">
        <v>0</v>
      </c>
      <c r="AP3015">
        <v>0</v>
      </c>
      <c r="AQ3015">
        <v>21.38</v>
      </c>
      <c r="AR3015">
        <v>0</v>
      </c>
      <c r="AS3015">
        <v>0</v>
      </c>
      <c r="AT3015">
        <v>0</v>
      </c>
      <c r="AU3015">
        <v>0</v>
      </c>
      <c r="AV3015">
        <v>0</v>
      </c>
      <c r="AW3015">
        <v>0</v>
      </c>
      <c r="AX3015">
        <v>0</v>
      </c>
      <c r="AY3015">
        <v>0</v>
      </c>
      <c r="AZ3015">
        <v>0</v>
      </c>
      <c r="BA3015">
        <v>0</v>
      </c>
      <c r="BB3015">
        <v>0</v>
      </c>
      <c r="BC3015">
        <v>0</v>
      </c>
      <c r="BD3015">
        <v>0</v>
      </c>
      <c r="BE3015">
        <v>0</v>
      </c>
      <c r="BF3015">
        <v>0</v>
      </c>
      <c r="BG3015">
        <v>0</v>
      </c>
      <c r="BH3015">
        <v>1</v>
      </c>
      <c r="BI3015">
        <v>1</v>
      </c>
      <c r="BJ3015">
        <v>0.2</v>
      </c>
      <c r="BK3015">
        <v>1</v>
      </c>
      <c r="BL3015">
        <v>69.98</v>
      </c>
      <c r="BM3015">
        <v>10.5</v>
      </c>
      <c r="BN3015">
        <v>80.48</v>
      </c>
      <c r="BO3015">
        <v>80.48</v>
      </c>
      <c r="BQ3015" t="s">
        <v>3005</v>
      </c>
      <c r="BR3015" t="s">
        <v>84</v>
      </c>
      <c r="BS3015" s="3">
        <v>45803</v>
      </c>
      <c r="BT3015" s="4">
        <v>0.42430555555555555</v>
      </c>
      <c r="BU3015" t="s">
        <v>3006</v>
      </c>
      <c r="BV3015" t="s">
        <v>86</v>
      </c>
      <c r="BY3015">
        <v>1200</v>
      </c>
      <c r="CA3015" t="s">
        <v>2369</v>
      </c>
      <c r="CC3015" t="s">
        <v>137</v>
      </c>
      <c r="CD3015" s="5" t="s">
        <v>3007</v>
      </c>
      <c r="CE3015" t="s">
        <v>88</v>
      </c>
      <c r="CF3015" s="3">
        <v>45803</v>
      </c>
      <c r="CI3015">
        <v>1</v>
      </c>
      <c r="CJ3015">
        <v>1</v>
      </c>
      <c r="CK3015">
        <v>21</v>
      </c>
      <c r="CL3015" t="s">
        <v>89</v>
      </c>
    </row>
    <row r="3016" spans="1:90" x14ac:dyDescent="0.3">
      <c r="A3016" t="s">
        <v>72</v>
      </c>
      <c r="B3016" t="s">
        <v>73</v>
      </c>
      <c r="C3016" t="s">
        <v>74</v>
      </c>
      <c r="E3016" t="str">
        <f>"080065524382"</f>
        <v>080065524382</v>
      </c>
      <c r="F3016" s="3">
        <v>45800</v>
      </c>
      <c r="G3016">
        <v>202602</v>
      </c>
      <c r="H3016" t="s">
        <v>75</v>
      </c>
      <c r="I3016" t="s">
        <v>76</v>
      </c>
      <c r="J3016" t="s">
        <v>77</v>
      </c>
      <c r="K3016" t="s">
        <v>78</v>
      </c>
      <c r="L3016" t="s">
        <v>350</v>
      </c>
      <c r="M3016" t="s">
        <v>351</v>
      </c>
      <c r="N3016" t="s">
        <v>1838</v>
      </c>
      <c r="O3016" t="s">
        <v>82</v>
      </c>
      <c r="P3016" t="str">
        <f>"4170040416                    "</f>
        <v xml:space="preserve">4170040416                    </v>
      </c>
      <c r="Q3016">
        <v>0</v>
      </c>
      <c r="R3016">
        <v>0</v>
      </c>
      <c r="S3016">
        <v>0</v>
      </c>
      <c r="T3016">
        <v>0</v>
      </c>
      <c r="U3016">
        <v>0</v>
      </c>
      <c r="V3016">
        <v>0</v>
      </c>
      <c r="W3016">
        <v>0</v>
      </c>
      <c r="X3016">
        <v>0</v>
      </c>
      <c r="Y3016">
        <v>0</v>
      </c>
      <c r="Z3016">
        <v>0</v>
      </c>
      <c r="AA3016">
        <v>0</v>
      </c>
      <c r="AB3016">
        <v>0</v>
      </c>
      <c r="AC3016">
        <v>0</v>
      </c>
      <c r="AD3016">
        <v>0</v>
      </c>
      <c r="AE3016">
        <v>0</v>
      </c>
      <c r="AF3016">
        <v>0</v>
      </c>
      <c r="AG3016">
        <v>0</v>
      </c>
      <c r="AH3016">
        <v>0</v>
      </c>
      <c r="AI3016">
        <v>0</v>
      </c>
      <c r="AJ3016">
        <v>0</v>
      </c>
      <c r="AK3016">
        <v>0</v>
      </c>
      <c r="AL3016">
        <v>0</v>
      </c>
      <c r="AM3016">
        <v>0</v>
      </c>
      <c r="AN3016">
        <v>0</v>
      </c>
      <c r="AO3016">
        <v>0</v>
      </c>
      <c r="AP3016">
        <v>0</v>
      </c>
      <c r="AQ3016">
        <v>21.38</v>
      </c>
      <c r="AR3016">
        <v>0</v>
      </c>
      <c r="AS3016">
        <v>0</v>
      </c>
      <c r="AT3016">
        <v>0</v>
      </c>
      <c r="AU3016">
        <v>0</v>
      </c>
      <c r="AV3016">
        <v>0</v>
      </c>
      <c r="AW3016">
        <v>0</v>
      </c>
      <c r="AX3016">
        <v>0</v>
      </c>
      <c r="AY3016">
        <v>0</v>
      </c>
      <c r="AZ3016">
        <v>0</v>
      </c>
      <c r="BA3016">
        <v>0</v>
      </c>
      <c r="BB3016">
        <v>0</v>
      </c>
      <c r="BC3016">
        <v>0</v>
      </c>
      <c r="BD3016">
        <v>0</v>
      </c>
      <c r="BE3016">
        <v>0</v>
      </c>
      <c r="BF3016">
        <v>0</v>
      </c>
      <c r="BG3016">
        <v>0</v>
      </c>
      <c r="BH3016">
        <v>1</v>
      </c>
      <c r="BI3016">
        <v>1</v>
      </c>
      <c r="BJ3016">
        <v>0.2</v>
      </c>
      <c r="BK3016">
        <v>1</v>
      </c>
      <c r="BL3016">
        <v>69.98</v>
      </c>
      <c r="BM3016">
        <v>10.5</v>
      </c>
      <c r="BN3016">
        <v>80.48</v>
      </c>
      <c r="BO3016">
        <v>80.48</v>
      </c>
      <c r="BQ3016" t="s">
        <v>1839</v>
      </c>
      <c r="BR3016" t="s">
        <v>84</v>
      </c>
      <c r="BS3016" s="3">
        <v>45803</v>
      </c>
      <c r="BT3016" s="4">
        <v>0.37083333333333335</v>
      </c>
      <c r="BU3016" t="s">
        <v>3008</v>
      </c>
      <c r="BV3016" t="s">
        <v>86</v>
      </c>
      <c r="BY3016">
        <v>1200</v>
      </c>
      <c r="CA3016" t="s">
        <v>326</v>
      </c>
      <c r="CC3016" t="s">
        <v>351</v>
      </c>
      <c r="CD3016">
        <v>4060</v>
      </c>
      <c r="CE3016" t="s">
        <v>88</v>
      </c>
      <c r="CF3016" s="3">
        <v>45804</v>
      </c>
      <c r="CI3016">
        <v>1</v>
      </c>
      <c r="CJ3016">
        <v>1</v>
      </c>
      <c r="CK3016">
        <v>21</v>
      </c>
      <c r="CL3016" t="s">
        <v>89</v>
      </c>
    </row>
    <row r="3017" spans="1:90" x14ac:dyDescent="0.3">
      <c r="A3017" t="s">
        <v>72</v>
      </c>
      <c r="B3017" t="s">
        <v>73</v>
      </c>
      <c r="C3017" t="s">
        <v>74</v>
      </c>
      <c r="E3017" t="str">
        <f>"080065524404"</f>
        <v>080065524404</v>
      </c>
      <c r="F3017" s="3">
        <v>45800</v>
      </c>
      <c r="G3017">
        <v>202602</v>
      </c>
      <c r="H3017" t="s">
        <v>75</v>
      </c>
      <c r="I3017" t="s">
        <v>76</v>
      </c>
      <c r="J3017" t="s">
        <v>77</v>
      </c>
      <c r="K3017" t="s">
        <v>78</v>
      </c>
      <c r="L3017" t="s">
        <v>123</v>
      </c>
      <c r="M3017" t="s">
        <v>123</v>
      </c>
      <c r="N3017" t="s">
        <v>2378</v>
      </c>
      <c r="O3017" t="s">
        <v>82</v>
      </c>
      <c r="P3017" t="str">
        <f>"4170040395                    "</f>
        <v xml:space="preserve">4170040395                    </v>
      </c>
      <c r="Q3017">
        <v>0</v>
      </c>
      <c r="R3017">
        <v>0</v>
      </c>
      <c r="S3017">
        <v>0</v>
      </c>
      <c r="T3017">
        <v>0</v>
      </c>
      <c r="U3017">
        <v>0</v>
      </c>
      <c r="V3017">
        <v>0</v>
      </c>
      <c r="W3017">
        <v>0</v>
      </c>
      <c r="X3017">
        <v>0</v>
      </c>
      <c r="Y3017">
        <v>0</v>
      </c>
      <c r="Z3017">
        <v>0</v>
      </c>
      <c r="AA3017">
        <v>0</v>
      </c>
      <c r="AB3017">
        <v>0</v>
      </c>
      <c r="AC3017">
        <v>0</v>
      </c>
      <c r="AD3017">
        <v>0</v>
      </c>
      <c r="AE3017">
        <v>0</v>
      </c>
      <c r="AF3017">
        <v>0</v>
      </c>
      <c r="AG3017">
        <v>0</v>
      </c>
      <c r="AH3017">
        <v>0</v>
      </c>
      <c r="AI3017">
        <v>0</v>
      </c>
      <c r="AJ3017">
        <v>0</v>
      </c>
      <c r="AK3017">
        <v>0</v>
      </c>
      <c r="AL3017">
        <v>0</v>
      </c>
      <c r="AM3017">
        <v>0</v>
      </c>
      <c r="AN3017">
        <v>0</v>
      </c>
      <c r="AO3017">
        <v>0</v>
      </c>
      <c r="AP3017">
        <v>0</v>
      </c>
      <c r="AQ3017">
        <v>41.43</v>
      </c>
      <c r="AR3017">
        <v>0</v>
      </c>
      <c r="AS3017">
        <v>0</v>
      </c>
      <c r="AT3017">
        <v>0</v>
      </c>
      <c r="AU3017">
        <v>0</v>
      </c>
      <c r="AV3017">
        <v>0</v>
      </c>
      <c r="AW3017">
        <v>0</v>
      </c>
      <c r="AX3017">
        <v>0</v>
      </c>
      <c r="AY3017">
        <v>0</v>
      </c>
      <c r="AZ3017">
        <v>0</v>
      </c>
      <c r="BA3017">
        <v>0</v>
      </c>
      <c r="BB3017">
        <v>0</v>
      </c>
      <c r="BC3017">
        <v>0</v>
      </c>
      <c r="BD3017">
        <v>0</v>
      </c>
      <c r="BE3017">
        <v>0</v>
      </c>
      <c r="BF3017">
        <v>0</v>
      </c>
      <c r="BG3017">
        <v>0</v>
      </c>
      <c r="BH3017">
        <v>1</v>
      </c>
      <c r="BI3017">
        <v>1</v>
      </c>
      <c r="BJ3017">
        <v>0.2</v>
      </c>
      <c r="BK3017">
        <v>1</v>
      </c>
      <c r="BL3017">
        <v>135.59</v>
      </c>
      <c r="BM3017">
        <v>20.34</v>
      </c>
      <c r="BN3017">
        <v>155.93</v>
      </c>
      <c r="BO3017">
        <v>155.93</v>
      </c>
      <c r="BQ3017" t="s">
        <v>2379</v>
      </c>
      <c r="BR3017" t="s">
        <v>84</v>
      </c>
      <c r="BS3017" s="3">
        <v>45803</v>
      </c>
      <c r="BT3017" s="4">
        <v>0.54027777777777775</v>
      </c>
      <c r="BU3017" t="s">
        <v>3009</v>
      </c>
      <c r="BV3017" t="s">
        <v>86</v>
      </c>
      <c r="BY3017">
        <v>1200</v>
      </c>
      <c r="CA3017" t="s">
        <v>128</v>
      </c>
      <c r="CC3017" t="s">
        <v>123</v>
      </c>
      <c r="CD3017">
        <v>7654</v>
      </c>
      <c r="CE3017" t="s">
        <v>88</v>
      </c>
      <c r="CF3017" s="3">
        <v>45804</v>
      </c>
      <c r="CI3017">
        <v>1</v>
      </c>
      <c r="CJ3017">
        <v>1</v>
      </c>
      <c r="CK3017">
        <v>23</v>
      </c>
      <c r="CL3017" t="s">
        <v>89</v>
      </c>
    </row>
    <row r="3018" spans="1:90" x14ac:dyDescent="0.3">
      <c r="A3018" t="s">
        <v>72</v>
      </c>
      <c r="B3018" t="s">
        <v>73</v>
      </c>
      <c r="C3018" t="s">
        <v>74</v>
      </c>
      <c r="E3018" t="str">
        <f>"080065524419"</f>
        <v>080065524419</v>
      </c>
      <c r="F3018" s="3">
        <v>45800</v>
      </c>
      <c r="G3018">
        <v>202602</v>
      </c>
      <c r="H3018" t="s">
        <v>75</v>
      </c>
      <c r="I3018" t="s">
        <v>76</v>
      </c>
      <c r="J3018" t="s">
        <v>77</v>
      </c>
      <c r="K3018" t="s">
        <v>78</v>
      </c>
      <c r="L3018" t="s">
        <v>117</v>
      </c>
      <c r="M3018" t="s">
        <v>118</v>
      </c>
      <c r="N3018" t="s">
        <v>1533</v>
      </c>
      <c r="O3018" t="s">
        <v>82</v>
      </c>
      <c r="P3018" t="str">
        <f>"4170040421                    "</f>
        <v xml:space="preserve">4170040421                    </v>
      </c>
      <c r="Q3018">
        <v>0</v>
      </c>
      <c r="R3018">
        <v>0</v>
      </c>
      <c r="S3018">
        <v>0</v>
      </c>
      <c r="T3018">
        <v>0</v>
      </c>
      <c r="U3018">
        <v>0</v>
      </c>
      <c r="V3018">
        <v>0</v>
      </c>
      <c r="W3018">
        <v>0</v>
      </c>
      <c r="X3018">
        <v>0</v>
      </c>
      <c r="Y3018">
        <v>0</v>
      </c>
      <c r="Z3018">
        <v>0</v>
      </c>
      <c r="AA3018">
        <v>0</v>
      </c>
      <c r="AB3018">
        <v>0</v>
      </c>
      <c r="AC3018">
        <v>0</v>
      </c>
      <c r="AD3018">
        <v>0</v>
      </c>
      <c r="AE3018">
        <v>0</v>
      </c>
      <c r="AF3018">
        <v>0</v>
      </c>
      <c r="AG3018">
        <v>0</v>
      </c>
      <c r="AH3018">
        <v>0</v>
      </c>
      <c r="AI3018">
        <v>0</v>
      </c>
      <c r="AJ3018">
        <v>0</v>
      </c>
      <c r="AK3018">
        <v>0</v>
      </c>
      <c r="AL3018">
        <v>0</v>
      </c>
      <c r="AM3018">
        <v>0</v>
      </c>
      <c r="AN3018">
        <v>0</v>
      </c>
      <c r="AO3018">
        <v>0</v>
      </c>
      <c r="AP3018">
        <v>0</v>
      </c>
      <c r="AQ3018">
        <v>16.7</v>
      </c>
      <c r="AR3018">
        <v>0</v>
      </c>
      <c r="AS3018">
        <v>0</v>
      </c>
      <c r="AT3018">
        <v>0</v>
      </c>
      <c r="AU3018">
        <v>0</v>
      </c>
      <c r="AV3018">
        <v>0</v>
      </c>
      <c r="AW3018">
        <v>0</v>
      </c>
      <c r="AX3018">
        <v>0</v>
      </c>
      <c r="AY3018">
        <v>0</v>
      </c>
      <c r="AZ3018">
        <v>0</v>
      </c>
      <c r="BA3018">
        <v>0</v>
      </c>
      <c r="BB3018">
        <v>0</v>
      </c>
      <c r="BC3018">
        <v>0</v>
      </c>
      <c r="BD3018">
        <v>0</v>
      </c>
      <c r="BE3018">
        <v>0</v>
      </c>
      <c r="BF3018">
        <v>0</v>
      </c>
      <c r="BG3018">
        <v>0</v>
      </c>
      <c r="BH3018">
        <v>1</v>
      </c>
      <c r="BI3018">
        <v>1</v>
      </c>
      <c r="BJ3018">
        <v>0.2</v>
      </c>
      <c r="BK3018">
        <v>1</v>
      </c>
      <c r="BL3018">
        <v>54.66</v>
      </c>
      <c r="BM3018">
        <v>8.1999999999999993</v>
      </c>
      <c r="BN3018">
        <v>62.86</v>
      </c>
      <c r="BO3018">
        <v>62.86</v>
      </c>
      <c r="BQ3018" t="s">
        <v>1534</v>
      </c>
      <c r="BR3018" t="s">
        <v>84</v>
      </c>
      <c r="BS3018" s="3">
        <v>45803</v>
      </c>
      <c r="BT3018" s="4">
        <v>0.375</v>
      </c>
      <c r="BU3018" t="s">
        <v>1535</v>
      </c>
      <c r="BV3018" t="s">
        <v>86</v>
      </c>
      <c r="BY3018">
        <v>1200</v>
      </c>
      <c r="CA3018" t="s">
        <v>275</v>
      </c>
      <c r="CC3018" t="s">
        <v>118</v>
      </c>
      <c r="CD3018">
        <v>2091</v>
      </c>
      <c r="CE3018" t="s">
        <v>88</v>
      </c>
      <c r="CF3018" s="3">
        <v>45803</v>
      </c>
      <c r="CI3018">
        <v>1</v>
      </c>
      <c r="CJ3018">
        <v>1</v>
      </c>
      <c r="CK3018">
        <v>22</v>
      </c>
      <c r="CL3018" t="s">
        <v>89</v>
      </c>
    </row>
    <row r="3019" spans="1:90" x14ac:dyDescent="0.3">
      <c r="A3019" t="s">
        <v>72</v>
      </c>
      <c r="B3019" t="s">
        <v>73</v>
      </c>
      <c r="C3019" t="s">
        <v>74</v>
      </c>
      <c r="E3019" t="str">
        <f>"080065524437"</f>
        <v>080065524437</v>
      </c>
      <c r="F3019" s="3">
        <v>45800</v>
      </c>
      <c r="G3019">
        <v>202602</v>
      </c>
      <c r="H3019" t="s">
        <v>75</v>
      </c>
      <c r="I3019" t="s">
        <v>76</v>
      </c>
      <c r="J3019" t="s">
        <v>77</v>
      </c>
      <c r="K3019" t="s">
        <v>78</v>
      </c>
      <c r="L3019" t="s">
        <v>222</v>
      </c>
      <c r="M3019" t="s">
        <v>223</v>
      </c>
      <c r="N3019" t="s">
        <v>589</v>
      </c>
      <c r="O3019" t="s">
        <v>82</v>
      </c>
      <c r="P3019" t="str">
        <f>"4170040418                    "</f>
        <v xml:space="preserve">4170040418                    </v>
      </c>
      <c r="Q3019">
        <v>0</v>
      </c>
      <c r="R3019">
        <v>0</v>
      </c>
      <c r="S3019">
        <v>0</v>
      </c>
      <c r="T3019">
        <v>0</v>
      </c>
      <c r="U3019">
        <v>0</v>
      </c>
      <c r="V3019">
        <v>0</v>
      </c>
      <c r="W3019">
        <v>0</v>
      </c>
      <c r="X3019">
        <v>0</v>
      </c>
      <c r="Y3019">
        <v>0</v>
      </c>
      <c r="Z3019">
        <v>0</v>
      </c>
      <c r="AA3019">
        <v>0</v>
      </c>
      <c r="AB3019">
        <v>0</v>
      </c>
      <c r="AC3019">
        <v>0</v>
      </c>
      <c r="AD3019">
        <v>0</v>
      </c>
      <c r="AE3019">
        <v>0</v>
      </c>
      <c r="AF3019">
        <v>0</v>
      </c>
      <c r="AG3019">
        <v>0</v>
      </c>
      <c r="AH3019">
        <v>0</v>
      </c>
      <c r="AI3019">
        <v>0</v>
      </c>
      <c r="AJ3019">
        <v>0</v>
      </c>
      <c r="AK3019">
        <v>0</v>
      </c>
      <c r="AL3019">
        <v>0</v>
      </c>
      <c r="AM3019">
        <v>0</v>
      </c>
      <c r="AN3019">
        <v>0</v>
      </c>
      <c r="AO3019">
        <v>0</v>
      </c>
      <c r="AP3019">
        <v>0</v>
      </c>
      <c r="AQ3019">
        <v>30.07</v>
      </c>
      <c r="AR3019">
        <v>0</v>
      </c>
      <c r="AS3019">
        <v>0</v>
      </c>
      <c r="AT3019">
        <v>0</v>
      </c>
      <c r="AU3019">
        <v>0</v>
      </c>
      <c r="AV3019">
        <v>0</v>
      </c>
      <c r="AW3019">
        <v>0</v>
      </c>
      <c r="AX3019">
        <v>0</v>
      </c>
      <c r="AY3019">
        <v>0</v>
      </c>
      <c r="AZ3019">
        <v>0</v>
      </c>
      <c r="BA3019">
        <v>0</v>
      </c>
      <c r="BB3019">
        <v>0</v>
      </c>
      <c r="BC3019">
        <v>0</v>
      </c>
      <c r="BD3019">
        <v>0</v>
      </c>
      <c r="BE3019">
        <v>0</v>
      </c>
      <c r="BF3019">
        <v>0</v>
      </c>
      <c r="BG3019">
        <v>0</v>
      </c>
      <c r="BH3019">
        <v>1</v>
      </c>
      <c r="BI3019">
        <v>1</v>
      </c>
      <c r="BJ3019">
        <v>0.2</v>
      </c>
      <c r="BK3019">
        <v>1</v>
      </c>
      <c r="BL3019">
        <v>98.42</v>
      </c>
      <c r="BM3019">
        <v>14.76</v>
      </c>
      <c r="BN3019">
        <v>113.18</v>
      </c>
      <c r="BO3019">
        <v>113.18</v>
      </c>
      <c r="BQ3019" t="s">
        <v>590</v>
      </c>
      <c r="BR3019" t="s">
        <v>84</v>
      </c>
      <c r="BS3019" s="3">
        <v>45803</v>
      </c>
      <c r="BT3019" s="4">
        <v>0.3576388888888889</v>
      </c>
      <c r="BU3019" t="s">
        <v>2167</v>
      </c>
      <c r="BV3019" t="s">
        <v>86</v>
      </c>
      <c r="BY3019">
        <v>1200</v>
      </c>
      <c r="CA3019" t="s">
        <v>592</v>
      </c>
      <c r="CC3019" t="s">
        <v>223</v>
      </c>
      <c r="CD3019">
        <v>1748</v>
      </c>
      <c r="CE3019" t="s">
        <v>88</v>
      </c>
      <c r="CF3019" s="3">
        <v>45803</v>
      </c>
      <c r="CI3019">
        <v>1</v>
      </c>
      <c r="CJ3019">
        <v>1</v>
      </c>
      <c r="CK3019">
        <v>24</v>
      </c>
      <c r="CL3019" t="s">
        <v>89</v>
      </c>
    </row>
    <row r="3020" spans="1:90" x14ac:dyDescent="0.3">
      <c r="A3020" t="s">
        <v>72</v>
      </c>
      <c r="B3020" t="s">
        <v>73</v>
      </c>
      <c r="C3020" t="s">
        <v>74</v>
      </c>
      <c r="E3020" t="str">
        <f>"080065524913"</f>
        <v>080065524913</v>
      </c>
      <c r="F3020" s="3">
        <v>45800</v>
      </c>
      <c r="G3020">
        <v>202602</v>
      </c>
      <c r="H3020" t="s">
        <v>75</v>
      </c>
      <c r="I3020" t="s">
        <v>76</v>
      </c>
      <c r="J3020" t="s">
        <v>77</v>
      </c>
      <c r="K3020" t="s">
        <v>78</v>
      </c>
      <c r="L3020" t="s">
        <v>445</v>
      </c>
      <c r="M3020" t="s">
        <v>446</v>
      </c>
      <c r="N3020" t="s">
        <v>447</v>
      </c>
      <c r="O3020" t="s">
        <v>82</v>
      </c>
      <c r="P3020" t="str">
        <f>"4170040398                    "</f>
        <v xml:space="preserve">4170040398                    </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0</v>
      </c>
      <c r="AL3020">
        <v>0</v>
      </c>
      <c r="AM3020">
        <v>0</v>
      </c>
      <c r="AN3020">
        <v>0</v>
      </c>
      <c r="AO3020">
        <v>0</v>
      </c>
      <c r="AP3020">
        <v>0</v>
      </c>
      <c r="AQ3020">
        <v>41.43</v>
      </c>
      <c r="AR3020">
        <v>0</v>
      </c>
      <c r="AS3020">
        <v>0</v>
      </c>
      <c r="AT3020">
        <v>0</v>
      </c>
      <c r="AU3020">
        <v>0</v>
      </c>
      <c r="AV3020">
        <v>0</v>
      </c>
      <c r="AW3020">
        <v>0</v>
      </c>
      <c r="AX3020">
        <v>0</v>
      </c>
      <c r="AY3020">
        <v>0</v>
      </c>
      <c r="AZ3020">
        <v>0</v>
      </c>
      <c r="BA3020">
        <v>0</v>
      </c>
      <c r="BB3020">
        <v>0</v>
      </c>
      <c r="BC3020">
        <v>0</v>
      </c>
      <c r="BD3020">
        <v>0</v>
      </c>
      <c r="BE3020">
        <v>0</v>
      </c>
      <c r="BF3020">
        <v>0</v>
      </c>
      <c r="BG3020">
        <v>0</v>
      </c>
      <c r="BH3020">
        <v>1</v>
      </c>
      <c r="BI3020">
        <v>2</v>
      </c>
      <c r="BJ3020">
        <v>1.4</v>
      </c>
      <c r="BK3020">
        <v>2</v>
      </c>
      <c r="BL3020">
        <v>135.59</v>
      </c>
      <c r="BM3020">
        <v>20.34</v>
      </c>
      <c r="BN3020">
        <v>155.93</v>
      </c>
      <c r="BO3020">
        <v>155.93</v>
      </c>
      <c r="BQ3020" t="s">
        <v>448</v>
      </c>
      <c r="BR3020" t="s">
        <v>84</v>
      </c>
      <c r="BS3020" s="3">
        <v>45803</v>
      </c>
      <c r="BT3020" s="4">
        <v>0.53125</v>
      </c>
      <c r="BU3020" t="s">
        <v>3010</v>
      </c>
      <c r="BV3020" t="s">
        <v>86</v>
      </c>
      <c r="BY3020">
        <v>7000</v>
      </c>
      <c r="CA3020" t="s">
        <v>2538</v>
      </c>
      <c r="CC3020" t="s">
        <v>446</v>
      </c>
      <c r="CD3020">
        <v>4399</v>
      </c>
      <c r="CE3020" t="s">
        <v>96</v>
      </c>
      <c r="CF3020" s="3">
        <v>45804</v>
      </c>
      <c r="CI3020">
        <v>1</v>
      </c>
      <c r="CJ3020">
        <v>1</v>
      </c>
      <c r="CK3020">
        <v>23</v>
      </c>
      <c r="CL3020" t="s">
        <v>89</v>
      </c>
    </row>
    <row r="3021" spans="1:90" x14ac:dyDescent="0.3">
      <c r="A3021" t="s">
        <v>72</v>
      </c>
      <c r="B3021" t="s">
        <v>73</v>
      </c>
      <c r="C3021" t="s">
        <v>74</v>
      </c>
      <c r="E3021" t="str">
        <f>"080065524931"</f>
        <v>080065524931</v>
      </c>
      <c r="F3021" s="3">
        <v>45800</v>
      </c>
      <c r="G3021">
        <v>202602</v>
      </c>
      <c r="H3021" t="s">
        <v>75</v>
      </c>
      <c r="I3021" t="s">
        <v>76</v>
      </c>
      <c r="J3021" t="s">
        <v>77</v>
      </c>
      <c r="K3021" t="s">
        <v>78</v>
      </c>
      <c r="L3021" t="s">
        <v>177</v>
      </c>
      <c r="M3021" t="s">
        <v>178</v>
      </c>
      <c r="N3021" t="s">
        <v>1439</v>
      </c>
      <c r="O3021" t="s">
        <v>82</v>
      </c>
      <c r="P3021" t="str">
        <f>"4170040414                    "</f>
        <v xml:space="preserve">4170040414                    </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0</v>
      </c>
      <c r="AK3021">
        <v>0</v>
      </c>
      <c r="AL3021">
        <v>0</v>
      </c>
      <c r="AM3021">
        <v>0</v>
      </c>
      <c r="AN3021">
        <v>0</v>
      </c>
      <c r="AO3021">
        <v>0</v>
      </c>
      <c r="AP3021">
        <v>0</v>
      </c>
      <c r="AQ3021">
        <v>21.38</v>
      </c>
      <c r="AR3021">
        <v>0</v>
      </c>
      <c r="AS3021">
        <v>0</v>
      </c>
      <c r="AT3021">
        <v>0</v>
      </c>
      <c r="AU3021">
        <v>0</v>
      </c>
      <c r="AV3021">
        <v>0</v>
      </c>
      <c r="AW3021">
        <v>0</v>
      </c>
      <c r="AX3021">
        <v>0</v>
      </c>
      <c r="AY3021">
        <v>0</v>
      </c>
      <c r="AZ3021">
        <v>0</v>
      </c>
      <c r="BA3021">
        <v>0</v>
      </c>
      <c r="BB3021">
        <v>0</v>
      </c>
      <c r="BC3021">
        <v>0</v>
      </c>
      <c r="BD3021">
        <v>0</v>
      </c>
      <c r="BE3021">
        <v>0</v>
      </c>
      <c r="BF3021">
        <v>0</v>
      </c>
      <c r="BG3021">
        <v>0</v>
      </c>
      <c r="BH3021">
        <v>1</v>
      </c>
      <c r="BI3021">
        <v>1</v>
      </c>
      <c r="BJ3021">
        <v>0.2</v>
      </c>
      <c r="BK3021">
        <v>1</v>
      </c>
      <c r="BL3021">
        <v>69.98</v>
      </c>
      <c r="BM3021">
        <v>10.5</v>
      </c>
      <c r="BN3021">
        <v>80.48</v>
      </c>
      <c r="BO3021">
        <v>80.48</v>
      </c>
      <c r="BQ3021" t="s">
        <v>1440</v>
      </c>
      <c r="BR3021" t="s">
        <v>84</v>
      </c>
      <c r="BS3021" s="3">
        <v>45803</v>
      </c>
      <c r="BT3021" s="4">
        <v>0.33888888888888891</v>
      </c>
      <c r="BU3021" t="s">
        <v>3011</v>
      </c>
      <c r="BV3021" t="s">
        <v>86</v>
      </c>
      <c r="BY3021">
        <v>1200</v>
      </c>
      <c r="CA3021" t="s">
        <v>182</v>
      </c>
      <c r="CC3021" t="s">
        <v>178</v>
      </c>
      <c r="CD3021">
        <v>6021</v>
      </c>
      <c r="CE3021" t="s">
        <v>88</v>
      </c>
      <c r="CF3021" s="3">
        <v>45803</v>
      </c>
      <c r="CI3021">
        <v>1</v>
      </c>
      <c r="CJ3021">
        <v>1</v>
      </c>
      <c r="CK3021">
        <v>21</v>
      </c>
      <c r="CL3021" t="s">
        <v>89</v>
      </c>
    </row>
    <row r="3022" spans="1:90" x14ac:dyDescent="0.3">
      <c r="A3022" t="s">
        <v>72</v>
      </c>
      <c r="B3022" t="s">
        <v>73</v>
      </c>
      <c r="C3022" t="s">
        <v>74</v>
      </c>
      <c r="E3022" t="str">
        <f>"080065524970"</f>
        <v>080065524970</v>
      </c>
      <c r="F3022" s="3">
        <v>45800</v>
      </c>
      <c r="G3022">
        <v>202602</v>
      </c>
      <c r="H3022" t="s">
        <v>75</v>
      </c>
      <c r="I3022" t="s">
        <v>76</v>
      </c>
      <c r="J3022" t="s">
        <v>77</v>
      </c>
      <c r="K3022" t="s">
        <v>78</v>
      </c>
      <c r="L3022" t="s">
        <v>143</v>
      </c>
      <c r="M3022" t="s">
        <v>144</v>
      </c>
      <c r="N3022" t="s">
        <v>1118</v>
      </c>
      <c r="O3022" t="s">
        <v>82</v>
      </c>
      <c r="P3022" t="str">
        <f>"4170040314                    "</f>
        <v xml:space="preserve">4170040314                    </v>
      </c>
      <c r="Q3022">
        <v>0</v>
      </c>
      <c r="R3022">
        <v>0</v>
      </c>
      <c r="S3022">
        <v>0</v>
      </c>
      <c r="T3022">
        <v>0</v>
      </c>
      <c r="U3022">
        <v>0</v>
      </c>
      <c r="V3022">
        <v>0</v>
      </c>
      <c r="W3022">
        <v>0</v>
      </c>
      <c r="X3022">
        <v>0</v>
      </c>
      <c r="Y3022">
        <v>0</v>
      </c>
      <c r="Z3022">
        <v>0</v>
      </c>
      <c r="AA3022">
        <v>0</v>
      </c>
      <c r="AB3022">
        <v>0</v>
      </c>
      <c r="AC3022">
        <v>0</v>
      </c>
      <c r="AD3022">
        <v>0</v>
      </c>
      <c r="AE3022">
        <v>0</v>
      </c>
      <c r="AF3022">
        <v>0</v>
      </c>
      <c r="AG3022">
        <v>0</v>
      </c>
      <c r="AH3022">
        <v>0</v>
      </c>
      <c r="AI3022">
        <v>0</v>
      </c>
      <c r="AJ3022">
        <v>0</v>
      </c>
      <c r="AK3022">
        <v>0</v>
      </c>
      <c r="AL3022">
        <v>0</v>
      </c>
      <c r="AM3022">
        <v>0</v>
      </c>
      <c r="AN3022">
        <v>0</v>
      </c>
      <c r="AO3022">
        <v>0</v>
      </c>
      <c r="AP3022">
        <v>0</v>
      </c>
      <c r="AQ3022">
        <v>16.7</v>
      </c>
      <c r="AR3022">
        <v>0</v>
      </c>
      <c r="AS3022">
        <v>0</v>
      </c>
      <c r="AT3022">
        <v>0</v>
      </c>
      <c r="AU3022">
        <v>0</v>
      </c>
      <c r="AV3022">
        <v>0</v>
      </c>
      <c r="AW3022">
        <v>0</v>
      </c>
      <c r="AX3022">
        <v>0</v>
      </c>
      <c r="AY3022">
        <v>0</v>
      </c>
      <c r="AZ3022">
        <v>0</v>
      </c>
      <c r="BA3022">
        <v>0</v>
      </c>
      <c r="BB3022">
        <v>0</v>
      </c>
      <c r="BC3022">
        <v>0</v>
      </c>
      <c r="BD3022">
        <v>0</v>
      </c>
      <c r="BE3022">
        <v>0</v>
      </c>
      <c r="BF3022">
        <v>0</v>
      </c>
      <c r="BG3022">
        <v>0</v>
      </c>
      <c r="BH3022">
        <v>1</v>
      </c>
      <c r="BI3022">
        <v>3</v>
      </c>
      <c r="BJ3022">
        <v>2.2999999999999998</v>
      </c>
      <c r="BK3022">
        <v>3</v>
      </c>
      <c r="BL3022">
        <v>54.66</v>
      </c>
      <c r="BM3022">
        <v>8.1999999999999993</v>
      </c>
      <c r="BN3022">
        <v>62.86</v>
      </c>
      <c r="BO3022">
        <v>62.86</v>
      </c>
      <c r="BQ3022" t="s">
        <v>1119</v>
      </c>
      <c r="BR3022" t="s">
        <v>84</v>
      </c>
      <c r="BS3022" s="3">
        <v>45803</v>
      </c>
      <c r="BT3022" s="4">
        <v>0.37013888888888891</v>
      </c>
      <c r="BU3022" t="s">
        <v>746</v>
      </c>
      <c r="BV3022" t="s">
        <v>86</v>
      </c>
      <c r="BY3022">
        <v>11264</v>
      </c>
      <c r="CA3022" t="s">
        <v>765</v>
      </c>
      <c r="CC3022" t="s">
        <v>144</v>
      </c>
      <c r="CD3022">
        <v>1422</v>
      </c>
      <c r="CE3022" t="s">
        <v>221</v>
      </c>
      <c r="CF3022" s="3">
        <v>45803</v>
      </c>
      <c r="CI3022">
        <v>1</v>
      </c>
      <c r="CJ3022">
        <v>1</v>
      </c>
      <c r="CK3022">
        <v>22</v>
      </c>
      <c r="CL3022" t="s">
        <v>89</v>
      </c>
    </row>
    <row r="3023" spans="1:90" x14ac:dyDescent="0.3">
      <c r="A3023" t="s">
        <v>72</v>
      </c>
      <c r="B3023" t="s">
        <v>73</v>
      </c>
      <c r="C3023" t="s">
        <v>74</v>
      </c>
      <c r="E3023" t="str">
        <f>"080065524972"</f>
        <v>080065524972</v>
      </c>
      <c r="F3023" s="3">
        <v>45800</v>
      </c>
      <c r="G3023">
        <v>202602</v>
      </c>
      <c r="H3023" t="s">
        <v>75</v>
      </c>
      <c r="I3023" t="s">
        <v>76</v>
      </c>
      <c r="J3023" t="s">
        <v>77</v>
      </c>
      <c r="K3023" t="s">
        <v>78</v>
      </c>
      <c r="L3023" t="s">
        <v>130</v>
      </c>
      <c r="M3023" t="s">
        <v>131</v>
      </c>
      <c r="N3023" t="s">
        <v>897</v>
      </c>
      <c r="O3023" t="s">
        <v>82</v>
      </c>
      <c r="P3023" t="str">
        <f>"4170040408                    "</f>
        <v xml:space="preserve">4170040408                    </v>
      </c>
      <c r="Q3023">
        <v>0</v>
      </c>
      <c r="R3023">
        <v>0</v>
      </c>
      <c r="S3023">
        <v>0</v>
      </c>
      <c r="T3023">
        <v>0</v>
      </c>
      <c r="U3023">
        <v>0</v>
      </c>
      <c r="V3023">
        <v>0</v>
      </c>
      <c r="W3023">
        <v>0</v>
      </c>
      <c r="X3023">
        <v>0</v>
      </c>
      <c r="Y3023">
        <v>0</v>
      </c>
      <c r="Z3023">
        <v>0</v>
      </c>
      <c r="AA3023">
        <v>0</v>
      </c>
      <c r="AB3023">
        <v>0</v>
      </c>
      <c r="AC3023">
        <v>0</v>
      </c>
      <c r="AD3023">
        <v>0</v>
      </c>
      <c r="AE3023">
        <v>0</v>
      </c>
      <c r="AF3023">
        <v>0</v>
      </c>
      <c r="AG3023">
        <v>0</v>
      </c>
      <c r="AH3023">
        <v>0</v>
      </c>
      <c r="AI3023">
        <v>0</v>
      </c>
      <c r="AJ3023">
        <v>0</v>
      </c>
      <c r="AK3023">
        <v>0</v>
      </c>
      <c r="AL3023">
        <v>0</v>
      </c>
      <c r="AM3023">
        <v>0</v>
      </c>
      <c r="AN3023">
        <v>0</v>
      </c>
      <c r="AO3023">
        <v>0</v>
      </c>
      <c r="AP3023">
        <v>0</v>
      </c>
      <c r="AQ3023">
        <v>21.38</v>
      </c>
      <c r="AR3023">
        <v>0</v>
      </c>
      <c r="AS3023">
        <v>0</v>
      </c>
      <c r="AT3023">
        <v>0</v>
      </c>
      <c r="AU3023">
        <v>0</v>
      </c>
      <c r="AV3023">
        <v>0</v>
      </c>
      <c r="AW3023">
        <v>0</v>
      </c>
      <c r="AX3023">
        <v>0</v>
      </c>
      <c r="AY3023">
        <v>0</v>
      </c>
      <c r="AZ3023">
        <v>0</v>
      </c>
      <c r="BA3023">
        <v>0</v>
      </c>
      <c r="BB3023">
        <v>0</v>
      </c>
      <c r="BC3023">
        <v>0</v>
      </c>
      <c r="BD3023">
        <v>0</v>
      </c>
      <c r="BE3023">
        <v>0</v>
      </c>
      <c r="BF3023">
        <v>0</v>
      </c>
      <c r="BG3023">
        <v>0</v>
      </c>
      <c r="BH3023">
        <v>1</v>
      </c>
      <c r="BI3023">
        <v>1</v>
      </c>
      <c r="BJ3023">
        <v>0.2</v>
      </c>
      <c r="BK3023">
        <v>1</v>
      </c>
      <c r="BL3023">
        <v>69.98</v>
      </c>
      <c r="BM3023">
        <v>10.5</v>
      </c>
      <c r="BN3023">
        <v>80.48</v>
      </c>
      <c r="BO3023">
        <v>80.48</v>
      </c>
      <c r="BQ3023" t="s">
        <v>898</v>
      </c>
      <c r="BR3023" t="s">
        <v>84</v>
      </c>
      <c r="BS3023" s="3">
        <v>45803</v>
      </c>
      <c r="BT3023" s="4">
        <v>0.49513888888888891</v>
      </c>
      <c r="BU3023" t="s">
        <v>899</v>
      </c>
      <c r="BV3023" t="s">
        <v>89</v>
      </c>
      <c r="BW3023" t="s">
        <v>1905</v>
      </c>
      <c r="BX3023" t="s">
        <v>578</v>
      </c>
      <c r="BY3023">
        <v>1200</v>
      </c>
      <c r="CA3023" t="s">
        <v>901</v>
      </c>
      <c r="CC3023" t="s">
        <v>131</v>
      </c>
      <c r="CD3023">
        <v>7550</v>
      </c>
      <c r="CE3023" t="s">
        <v>88</v>
      </c>
      <c r="CF3023" s="3">
        <v>45804</v>
      </c>
      <c r="CI3023">
        <v>1</v>
      </c>
      <c r="CJ3023">
        <v>1</v>
      </c>
      <c r="CK3023">
        <v>21</v>
      </c>
      <c r="CL3023" t="s">
        <v>89</v>
      </c>
    </row>
    <row r="3024" spans="1:90" x14ac:dyDescent="0.3">
      <c r="A3024" t="s">
        <v>72</v>
      </c>
      <c r="B3024" t="s">
        <v>73</v>
      </c>
      <c r="C3024" t="s">
        <v>74</v>
      </c>
      <c r="E3024" t="str">
        <f>"080065525004"</f>
        <v>080065525004</v>
      </c>
      <c r="F3024" s="3">
        <v>45800</v>
      </c>
      <c r="G3024">
        <v>202602</v>
      </c>
      <c r="H3024" t="s">
        <v>75</v>
      </c>
      <c r="I3024" t="s">
        <v>76</v>
      </c>
      <c r="J3024" t="s">
        <v>77</v>
      </c>
      <c r="K3024" t="s">
        <v>78</v>
      </c>
      <c r="L3024" t="s">
        <v>1214</v>
      </c>
      <c r="M3024" t="s">
        <v>1215</v>
      </c>
      <c r="N3024" t="s">
        <v>1216</v>
      </c>
      <c r="O3024" t="s">
        <v>82</v>
      </c>
      <c r="P3024" t="str">
        <f>"4170040396                    "</f>
        <v xml:space="preserve">4170040396                    </v>
      </c>
      <c r="Q3024">
        <v>0</v>
      </c>
      <c r="R3024">
        <v>0</v>
      </c>
      <c r="S3024">
        <v>0</v>
      </c>
      <c r="T3024">
        <v>0</v>
      </c>
      <c r="U3024">
        <v>0</v>
      </c>
      <c r="V3024">
        <v>0</v>
      </c>
      <c r="W3024">
        <v>0</v>
      </c>
      <c r="X3024">
        <v>0</v>
      </c>
      <c r="Y3024">
        <v>0</v>
      </c>
      <c r="Z3024">
        <v>0</v>
      </c>
      <c r="AA3024">
        <v>0</v>
      </c>
      <c r="AB3024">
        <v>0</v>
      </c>
      <c r="AC3024">
        <v>0</v>
      </c>
      <c r="AD3024">
        <v>0</v>
      </c>
      <c r="AE3024">
        <v>0</v>
      </c>
      <c r="AF3024">
        <v>0</v>
      </c>
      <c r="AG3024">
        <v>0</v>
      </c>
      <c r="AH3024">
        <v>0</v>
      </c>
      <c r="AI3024">
        <v>0</v>
      </c>
      <c r="AJ3024">
        <v>0</v>
      </c>
      <c r="AK3024">
        <v>0</v>
      </c>
      <c r="AL3024">
        <v>0</v>
      </c>
      <c r="AM3024">
        <v>0</v>
      </c>
      <c r="AN3024">
        <v>0</v>
      </c>
      <c r="AO3024">
        <v>0</v>
      </c>
      <c r="AP3024">
        <v>0</v>
      </c>
      <c r="AQ3024">
        <v>21.38</v>
      </c>
      <c r="AR3024">
        <v>0</v>
      </c>
      <c r="AS3024">
        <v>0</v>
      </c>
      <c r="AT3024">
        <v>0</v>
      </c>
      <c r="AU3024">
        <v>0</v>
      </c>
      <c r="AV3024">
        <v>0</v>
      </c>
      <c r="AW3024">
        <v>0</v>
      </c>
      <c r="AX3024">
        <v>0</v>
      </c>
      <c r="AY3024">
        <v>0</v>
      </c>
      <c r="AZ3024">
        <v>0</v>
      </c>
      <c r="BA3024">
        <v>0</v>
      </c>
      <c r="BB3024">
        <v>0</v>
      </c>
      <c r="BC3024">
        <v>0</v>
      </c>
      <c r="BD3024">
        <v>0</v>
      </c>
      <c r="BE3024">
        <v>0</v>
      </c>
      <c r="BF3024">
        <v>0</v>
      </c>
      <c r="BG3024">
        <v>0</v>
      </c>
      <c r="BH3024">
        <v>1</v>
      </c>
      <c r="BI3024">
        <v>1</v>
      </c>
      <c r="BJ3024">
        <v>0.2</v>
      </c>
      <c r="BK3024">
        <v>1</v>
      </c>
      <c r="BL3024">
        <v>69.98</v>
      </c>
      <c r="BM3024">
        <v>10.5</v>
      </c>
      <c r="BN3024">
        <v>80.48</v>
      </c>
      <c r="BO3024">
        <v>80.48</v>
      </c>
      <c r="BQ3024" t="s">
        <v>1217</v>
      </c>
      <c r="BR3024" t="s">
        <v>84</v>
      </c>
      <c r="BS3024" s="3">
        <v>45803</v>
      </c>
      <c r="BT3024" s="4">
        <v>0.375</v>
      </c>
      <c r="BU3024" t="s">
        <v>2581</v>
      </c>
      <c r="BV3024" t="s">
        <v>86</v>
      </c>
      <c r="BY3024">
        <v>1200</v>
      </c>
      <c r="CA3024" t="s">
        <v>1219</v>
      </c>
      <c r="CC3024" t="s">
        <v>1215</v>
      </c>
      <c r="CD3024">
        <v>4302</v>
      </c>
      <c r="CE3024" t="s">
        <v>88</v>
      </c>
      <c r="CF3024" s="3">
        <v>45804</v>
      </c>
      <c r="CI3024">
        <v>1</v>
      </c>
      <c r="CJ3024">
        <v>1</v>
      </c>
      <c r="CK3024">
        <v>21</v>
      </c>
      <c r="CL3024" t="s">
        <v>89</v>
      </c>
    </row>
    <row r="3025" spans="1:90" x14ac:dyDescent="0.3">
      <c r="A3025" t="s">
        <v>72</v>
      </c>
      <c r="B3025" t="s">
        <v>73</v>
      </c>
      <c r="C3025" t="s">
        <v>74</v>
      </c>
      <c r="E3025" t="str">
        <f>"080065525034"</f>
        <v>080065525034</v>
      </c>
      <c r="F3025" s="3">
        <v>45800</v>
      </c>
      <c r="G3025">
        <v>202602</v>
      </c>
      <c r="H3025" t="s">
        <v>75</v>
      </c>
      <c r="I3025" t="s">
        <v>76</v>
      </c>
      <c r="J3025" t="s">
        <v>77</v>
      </c>
      <c r="K3025" t="s">
        <v>78</v>
      </c>
      <c r="L3025" t="s">
        <v>1203</v>
      </c>
      <c r="M3025" t="s">
        <v>1204</v>
      </c>
      <c r="N3025" t="s">
        <v>1205</v>
      </c>
      <c r="O3025" t="s">
        <v>300</v>
      </c>
      <c r="P3025" t="str">
        <f>"4170040375                    "</f>
        <v xml:space="preserve">4170040375                    </v>
      </c>
      <c r="Q3025">
        <v>0</v>
      </c>
      <c r="R3025">
        <v>0</v>
      </c>
      <c r="S3025">
        <v>0</v>
      </c>
      <c r="T3025">
        <v>0</v>
      </c>
      <c r="U3025">
        <v>0</v>
      </c>
      <c r="V3025">
        <v>0</v>
      </c>
      <c r="W3025">
        <v>0</v>
      </c>
      <c r="X3025">
        <v>0</v>
      </c>
      <c r="Y3025">
        <v>0</v>
      </c>
      <c r="Z3025">
        <v>0</v>
      </c>
      <c r="AA3025">
        <v>0</v>
      </c>
      <c r="AB3025">
        <v>0</v>
      </c>
      <c r="AC3025">
        <v>0</v>
      </c>
      <c r="AD3025">
        <v>0</v>
      </c>
      <c r="AE3025">
        <v>0</v>
      </c>
      <c r="AF3025">
        <v>0</v>
      </c>
      <c r="AG3025">
        <v>0</v>
      </c>
      <c r="AH3025">
        <v>0</v>
      </c>
      <c r="AI3025">
        <v>0</v>
      </c>
      <c r="AJ3025">
        <v>0</v>
      </c>
      <c r="AK3025">
        <v>0</v>
      </c>
      <c r="AL3025">
        <v>0</v>
      </c>
      <c r="AM3025">
        <v>0</v>
      </c>
      <c r="AN3025">
        <v>0</v>
      </c>
      <c r="AO3025">
        <v>0</v>
      </c>
      <c r="AP3025">
        <v>0</v>
      </c>
      <c r="AQ3025">
        <v>64.28</v>
      </c>
      <c r="AR3025">
        <v>0</v>
      </c>
      <c r="AS3025">
        <v>0</v>
      </c>
      <c r="AT3025">
        <v>0</v>
      </c>
      <c r="AU3025">
        <v>0</v>
      </c>
      <c r="AV3025">
        <v>0</v>
      </c>
      <c r="AW3025">
        <v>0</v>
      </c>
      <c r="AX3025">
        <v>0</v>
      </c>
      <c r="AY3025">
        <v>0</v>
      </c>
      <c r="AZ3025">
        <v>0</v>
      </c>
      <c r="BA3025">
        <v>0</v>
      </c>
      <c r="BB3025">
        <v>0</v>
      </c>
      <c r="BC3025">
        <v>0</v>
      </c>
      <c r="BD3025">
        <v>0</v>
      </c>
      <c r="BE3025">
        <v>0</v>
      </c>
      <c r="BF3025">
        <v>0</v>
      </c>
      <c r="BG3025">
        <v>0</v>
      </c>
      <c r="BH3025">
        <v>1</v>
      </c>
      <c r="BI3025">
        <v>6</v>
      </c>
      <c r="BJ3025">
        <v>16.600000000000001</v>
      </c>
      <c r="BK3025">
        <v>17</v>
      </c>
      <c r="BL3025">
        <v>215.94</v>
      </c>
      <c r="BM3025">
        <v>32.39</v>
      </c>
      <c r="BN3025">
        <v>248.33</v>
      </c>
      <c r="BO3025">
        <v>248.33</v>
      </c>
      <c r="BQ3025" t="s">
        <v>2747</v>
      </c>
      <c r="BR3025" t="s">
        <v>84</v>
      </c>
      <c r="BS3025" s="3">
        <v>45803</v>
      </c>
      <c r="BT3025" s="4">
        <v>0.58888888888888891</v>
      </c>
      <c r="BU3025" t="s">
        <v>3012</v>
      </c>
      <c r="BV3025" t="s">
        <v>86</v>
      </c>
      <c r="BY3025">
        <v>82944</v>
      </c>
      <c r="CA3025" t="s">
        <v>1208</v>
      </c>
      <c r="CC3025" t="s">
        <v>1204</v>
      </c>
      <c r="CD3025">
        <v>6506</v>
      </c>
      <c r="CE3025" t="s">
        <v>221</v>
      </c>
      <c r="CF3025" s="3">
        <v>45804</v>
      </c>
      <c r="CI3025">
        <v>3</v>
      </c>
      <c r="CJ3025">
        <v>1</v>
      </c>
      <c r="CK3025">
        <v>43</v>
      </c>
      <c r="CL3025" t="s">
        <v>89</v>
      </c>
    </row>
    <row r="3026" spans="1:90" x14ac:dyDescent="0.3">
      <c r="A3026" t="s">
        <v>72</v>
      </c>
      <c r="B3026" t="s">
        <v>73</v>
      </c>
      <c r="C3026" t="s">
        <v>74</v>
      </c>
      <c r="E3026" t="str">
        <f>"080065525049"</f>
        <v>080065525049</v>
      </c>
      <c r="F3026" s="3">
        <v>45800</v>
      </c>
      <c r="G3026">
        <v>202602</v>
      </c>
      <c r="H3026" t="s">
        <v>75</v>
      </c>
      <c r="I3026" t="s">
        <v>76</v>
      </c>
      <c r="J3026" t="s">
        <v>77</v>
      </c>
      <c r="K3026" t="s">
        <v>78</v>
      </c>
      <c r="L3026" t="s">
        <v>1214</v>
      </c>
      <c r="M3026" t="s">
        <v>1215</v>
      </c>
      <c r="N3026" t="s">
        <v>1216</v>
      </c>
      <c r="O3026" t="s">
        <v>82</v>
      </c>
      <c r="P3026" t="str">
        <f>"4170040397                    "</f>
        <v xml:space="preserve">4170040397                    </v>
      </c>
      <c r="Q3026">
        <v>0</v>
      </c>
      <c r="R3026">
        <v>0</v>
      </c>
      <c r="S3026">
        <v>0</v>
      </c>
      <c r="T3026">
        <v>0</v>
      </c>
      <c r="U3026">
        <v>0</v>
      </c>
      <c r="V3026">
        <v>0</v>
      </c>
      <c r="W3026">
        <v>0</v>
      </c>
      <c r="X3026">
        <v>0</v>
      </c>
      <c r="Y3026">
        <v>0</v>
      </c>
      <c r="Z3026">
        <v>0</v>
      </c>
      <c r="AA3026">
        <v>0</v>
      </c>
      <c r="AB3026">
        <v>0</v>
      </c>
      <c r="AC3026">
        <v>0</v>
      </c>
      <c r="AD3026">
        <v>0</v>
      </c>
      <c r="AE3026">
        <v>0</v>
      </c>
      <c r="AF3026">
        <v>0</v>
      </c>
      <c r="AG3026">
        <v>0</v>
      </c>
      <c r="AH3026">
        <v>0</v>
      </c>
      <c r="AI3026">
        <v>0</v>
      </c>
      <c r="AJ3026">
        <v>0</v>
      </c>
      <c r="AK3026">
        <v>0</v>
      </c>
      <c r="AL3026">
        <v>0</v>
      </c>
      <c r="AM3026">
        <v>0</v>
      </c>
      <c r="AN3026">
        <v>0</v>
      </c>
      <c r="AO3026">
        <v>0</v>
      </c>
      <c r="AP3026">
        <v>0</v>
      </c>
      <c r="AQ3026">
        <v>21.38</v>
      </c>
      <c r="AR3026">
        <v>0</v>
      </c>
      <c r="AS3026">
        <v>0</v>
      </c>
      <c r="AT3026">
        <v>0</v>
      </c>
      <c r="AU3026">
        <v>0</v>
      </c>
      <c r="AV3026">
        <v>0</v>
      </c>
      <c r="AW3026">
        <v>0</v>
      </c>
      <c r="AX3026">
        <v>0</v>
      </c>
      <c r="AY3026">
        <v>0</v>
      </c>
      <c r="AZ3026">
        <v>0</v>
      </c>
      <c r="BA3026">
        <v>0</v>
      </c>
      <c r="BB3026">
        <v>0</v>
      </c>
      <c r="BC3026">
        <v>0</v>
      </c>
      <c r="BD3026">
        <v>0</v>
      </c>
      <c r="BE3026">
        <v>0</v>
      </c>
      <c r="BF3026">
        <v>0</v>
      </c>
      <c r="BG3026">
        <v>0</v>
      </c>
      <c r="BH3026">
        <v>1</v>
      </c>
      <c r="BI3026">
        <v>1</v>
      </c>
      <c r="BJ3026">
        <v>0.2</v>
      </c>
      <c r="BK3026">
        <v>1</v>
      </c>
      <c r="BL3026">
        <v>69.98</v>
      </c>
      <c r="BM3026">
        <v>10.5</v>
      </c>
      <c r="BN3026">
        <v>80.48</v>
      </c>
      <c r="BO3026">
        <v>80.48</v>
      </c>
      <c r="BQ3026" t="s">
        <v>1217</v>
      </c>
      <c r="BR3026" t="s">
        <v>84</v>
      </c>
      <c r="BS3026" s="3">
        <v>45803</v>
      </c>
      <c r="BT3026" s="4">
        <v>0.375</v>
      </c>
      <c r="BU3026" t="s">
        <v>2581</v>
      </c>
      <c r="BV3026" t="s">
        <v>86</v>
      </c>
      <c r="BY3026">
        <v>1200</v>
      </c>
      <c r="CA3026" t="s">
        <v>1219</v>
      </c>
      <c r="CC3026" t="s">
        <v>1215</v>
      </c>
      <c r="CD3026">
        <v>4302</v>
      </c>
      <c r="CE3026" t="s">
        <v>88</v>
      </c>
      <c r="CF3026" s="3">
        <v>45804</v>
      </c>
      <c r="CI3026">
        <v>1</v>
      </c>
      <c r="CJ3026">
        <v>1</v>
      </c>
      <c r="CK3026">
        <v>21</v>
      </c>
      <c r="CL3026" t="s">
        <v>89</v>
      </c>
    </row>
    <row r="3027" spans="1:90" x14ac:dyDescent="0.3">
      <c r="A3027" t="s">
        <v>72</v>
      </c>
      <c r="B3027" t="s">
        <v>73</v>
      </c>
      <c r="C3027" t="s">
        <v>74</v>
      </c>
      <c r="E3027" t="str">
        <f>"080065525091"</f>
        <v>080065525091</v>
      </c>
      <c r="F3027" s="3">
        <v>45800</v>
      </c>
      <c r="G3027">
        <v>202602</v>
      </c>
      <c r="H3027" t="s">
        <v>75</v>
      </c>
      <c r="I3027" t="s">
        <v>76</v>
      </c>
      <c r="J3027" t="s">
        <v>77</v>
      </c>
      <c r="K3027" t="s">
        <v>78</v>
      </c>
      <c r="L3027" t="s">
        <v>79</v>
      </c>
      <c r="M3027" t="s">
        <v>80</v>
      </c>
      <c r="N3027" t="s">
        <v>452</v>
      </c>
      <c r="O3027" t="s">
        <v>82</v>
      </c>
      <c r="P3027" t="str">
        <f>"4170040410                    "</f>
        <v xml:space="preserve">4170040410                    </v>
      </c>
      <c r="Q3027">
        <v>0</v>
      </c>
      <c r="R3027">
        <v>0</v>
      </c>
      <c r="S3027">
        <v>0</v>
      </c>
      <c r="T3027">
        <v>0</v>
      </c>
      <c r="U3027">
        <v>0</v>
      </c>
      <c r="V3027">
        <v>0</v>
      </c>
      <c r="W3027">
        <v>0</v>
      </c>
      <c r="X3027">
        <v>0</v>
      </c>
      <c r="Y3027">
        <v>0</v>
      </c>
      <c r="Z3027">
        <v>0</v>
      </c>
      <c r="AA3027">
        <v>0</v>
      </c>
      <c r="AB3027">
        <v>0</v>
      </c>
      <c r="AC3027">
        <v>0</v>
      </c>
      <c r="AD3027">
        <v>0</v>
      </c>
      <c r="AE3027">
        <v>0</v>
      </c>
      <c r="AF3027">
        <v>0</v>
      </c>
      <c r="AG3027">
        <v>0</v>
      </c>
      <c r="AH3027">
        <v>0</v>
      </c>
      <c r="AI3027">
        <v>0</v>
      </c>
      <c r="AJ3027">
        <v>0</v>
      </c>
      <c r="AK3027">
        <v>0</v>
      </c>
      <c r="AL3027">
        <v>0</v>
      </c>
      <c r="AM3027">
        <v>0</v>
      </c>
      <c r="AN3027">
        <v>0</v>
      </c>
      <c r="AO3027">
        <v>0</v>
      </c>
      <c r="AP3027">
        <v>0</v>
      </c>
      <c r="AQ3027">
        <v>21.38</v>
      </c>
      <c r="AR3027">
        <v>0</v>
      </c>
      <c r="AS3027">
        <v>0</v>
      </c>
      <c r="AT3027">
        <v>0</v>
      </c>
      <c r="AU3027">
        <v>0</v>
      </c>
      <c r="AV3027">
        <v>0</v>
      </c>
      <c r="AW3027">
        <v>0</v>
      </c>
      <c r="AX3027">
        <v>0</v>
      </c>
      <c r="AY3027">
        <v>0</v>
      </c>
      <c r="AZ3027">
        <v>0</v>
      </c>
      <c r="BA3027">
        <v>0</v>
      </c>
      <c r="BB3027">
        <v>0</v>
      </c>
      <c r="BC3027">
        <v>0</v>
      </c>
      <c r="BD3027">
        <v>0</v>
      </c>
      <c r="BE3027">
        <v>0</v>
      </c>
      <c r="BF3027">
        <v>0</v>
      </c>
      <c r="BG3027">
        <v>0</v>
      </c>
      <c r="BH3027">
        <v>1</v>
      </c>
      <c r="BI3027">
        <v>1</v>
      </c>
      <c r="BJ3027">
        <v>0.2</v>
      </c>
      <c r="BK3027">
        <v>1</v>
      </c>
      <c r="BL3027">
        <v>69.98</v>
      </c>
      <c r="BM3027">
        <v>10.5</v>
      </c>
      <c r="BN3027">
        <v>80.48</v>
      </c>
      <c r="BO3027">
        <v>80.48</v>
      </c>
      <c r="BQ3027" t="s">
        <v>453</v>
      </c>
      <c r="BR3027" t="s">
        <v>84</v>
      </c>
      <c r="BS3027" s="3">
        <v>45803</v>
      </c>
      <c r="BT3027" s="4">
        <v>0.38541666666666669</v>
      </c>
      <c r="BU3027" t="s">
        <v>3013</v>
      </c>
      <c r="BV3027" t="s">
        <v>86</v>
      </c>
      <c r="BY3027">
        <v>1200</v>
      </c>
      <c r="CA3027" t="s">
        <v>160</v>
      </c>
      <c r="CC3027" t="s">
        <v>80</v>
      </c>
      <c r="CD3027">
        <v>3610</v>
      </c>
      <c r="CE3027" t="s">
        <v>88</v>
      </c>
      <c r="CF3027" s="3">
        <v>45803</v>
      </c>
      <c r="CI3027">
        <v>1</v>
      </c>
      <c r="CJ3027">
        <v>1</v>
      </c>
      <c r="CK3027">
        <v>21</v>
      </c>
      <c r="CL3027" t="s">
        <v>89</v>
      </c>
    </row>
    <row r="3028" spans="1:90" x14ac:dyDescent="0.3">
      <c r="A3028" t="s">
        <v>72</v>
      </c>
      <c r="B3028" t="s">
        <v>73</v>
      </c>
      <c r="C3028" t="s">
        <v>74</v>
      </c>
      <c r="E3028" t="str">
        <f>"080065525116"</f>
        <v>080065525116</v>
      </c>
      <c r="F3028" s="3">
        <v>45800</v>
      </c>
      <c r="G3028">
        <v>202602</v>
      </c>
      <c r="H3028" t="s">
        <v>75</v>
      </c>
      <c r="I3028" t="s">
        <v>76</v>
      </c>
      <c r="J3028" t="s">
        <v>77</v>
      </c>
      <c r="K3028" t="s">
        <v>78</v>
      </c>
      <c r="L3028" t="s">
        <v>463</v>
      </c>
      <c r="M3028" t="s">
        <v>464</v>
      </c>
      <c r="N3028" t="s">
        <v>1325</v>
      </c>
      <c r="O3028" t="s">
        <v>82</v>
      </c>
      <c r="P3028" t="str">
        <f>"4170040385                    "</f>
        <v xml:space="preserve">4170040385                    </v>
      </c>
      <c r="Q3028">
        <v>0</v>
      </c>
      <c r="R3028">
        <v>0</v>
      </c>
      <c r="S3028">
        <v>0</v>
      </c>
      <c r="T3028">
        <v>0</v>
      </c>
      <c r="U3028">
        <v>0</v>
      </c>
      <c r="V3028">
        <v>0</v>
      </c>
      <c r="W3028">
        <v>0</v>
      </c>
      <c r="X3028">
        <v>0</v>
      </c>
      <c r="Y3028">
        <v>0</v>
      </c>
      <c r="Z3028">
        <v>0</v>
      </c>
      <c r="AA3028">
        <v>0</v>
      </c>
      <c r="AB3028">
        <v>0</v>
      </c>
      <c r="AC3028">
        <v>0</v>
      </c>
      <c r="AD3028">
        <v>0</v>
      </c>
      <c r="AE3028">
        <v>0</v>
      </c>
      <c r="AF3028">
        <v>0</v>
      </c>
      <c r="AG3028">
        <v>0</v>
      </c>
      <c r="AH3028">
        <v>0</v>
      </c>
      <c r="AI3028">
        <v>0</v>
      </c>
      <c r="AJ3028">
        <v>0</v>
      </c>
      <c r="AK3028">
        <v>0</v>
      </c>
      <c r="AL3028">
        <v>0</v>
      </c>
      <c r="AM3028">
        <v>0</v>
      </c>
      <c r="AN3028">
        <v>0</v>
      </c>
      <c r="AO3028">
        <v>0</v>
      </c>
      <c r="AP3028">
        <v>0</v>
      </c>
      <c r="AQ3028">
        <v>58.78</v>
      </c>
      <c r="AR3028">
        <v>0</v>
      </c>
      <c r="AS3028">
        <v>0</v>
      </c>
      <c r="AT3028">
        <v>0</v>
      </c>
      <c r="AU3028">
        <v>0</v>
      </c>
      <c r="AV3028">
        <v>0</v>
      </c>
      <c r="AW3028">
        <v>0</v>
      </c>
      <c r="AX3028">
        <v>0</v>
      </c>
      <c r="AY3028">
        <v>0</v>
      </c>
      <c r="AZ3028">
        <v>0</v>
      </c>
      <c r="BA3028">
        <v>0</v>
      </c>
      <c r="BB3028">
        <v>0</v>
      </c>
      <c r="BC3028">
        <v>0</v>
      </c>
      <c r="BD3028">
        <v>0</v>
      </c>
      <c r="BE3028">
        <v>0</v>
      </c>
      <c r="BF3028">
        <v>0</v>
      </c>
      <c r="BG3028">
        <v>0</v>
      </c>
      <c r="BH3028">
        <v>1</v>
      </c>
      <c r="BI3028">
        <v>4</v>
      </c>
      <c r="BJ3028">
        <v>5.5</v>
      </c>
      <c r="BK3028">
        <v>5.5</v>
      </c>
      <c r="BL3028">
        <v>192.36</v>
      </c>
      <c r="BM3028">
        <v>28.85</v>
      </c>
      <c r="BN3028">
        <v>221.21</v>
      </c>
      <c r="BO3028">
        <v>221.21</v>
      </c>
      <c r="BQ3028" t="s">
        <v>1326</v>
      </c>
      <c r="BR3028" t="s">
        <v>84</v>
      </c>
      <c r="BS3028" s="3">
        <v>45803</v>
      </c>
      <c r="BT3028" s="4">
        <v>0.74097222222222225</v>
      </c>
      <c r="BU3028" t="s">
        <v>3014</v>
      </c>
      <c r="BV3028" t="s">
        <v>86</v>
      </c>
      <c r="BY3028">
        <v>27648</v>
      </c>
      <c r="CA3028" t="s">
        <v>468</v>
      </c>
      <c r="CC3028" t="s">
        <v>464</v>
      </c>
      <c r="CD3028">
        <v>5201</v>
      </c>
      <c r="CE3028" t="s">
        <v>221</v>
      </c>
      <c r="CF3028" s="3">
        <v>45804</v>
      </c>
      <c r="CI3028">
        <v>5</v>
      </c>
      <c r="CJ3028">
        <v>1</v>
      </c>
      <c r="CK3028">
        <v>21</v>
      </c>
      <c r="CL3028" t="s">
        <v>89</v>
      </c>
    </row>
    <row r="3029" spans="1:90" x14ac:dyDescent="0.3">
      <c r="A3029" t="s">
        <v>72</v>
      </c>
      <c r="B3029" t="s">
        <v>73</v>
      </c>
      <c r="C3029" t="s">
        <v>74</v>
      </c>
      <c r="E3029" t="str">
        <f>"080065525119"</f>
        <v>080065525119</v>
      </c>
      <c r="F3029" s="3">
        <v>45800</v>
      </c>
      <c r="G3029">
        <v>202602</v>
      </c>
      <c r="H3029" t="s">
        <v>75</v>
      </c>
      <c r="I3029" t="s">
        <v>76</v>
      </c>
      <c r="J3029" t="s">
        <v>77</v>
      </c>
      <c r="K3029" t="s">
        <v>78</v>
      </c>
      <c r="L3029" t="s">
        <v>136</v>
      </c>
      <c r="M3029" t="s">
        <v>137</v>
      </c>
      <c r="N3029" t="s">
        <v>299</v>
      </c>
      <c r="O3029" t="s">
        <v>82</v>
      </c>
      <c r="P3029" t="str">
        <f>"4170040412                    "</f>
        <v xml:space="preserve">4170040412                    </v>
      </c>
      <c r="Q3029">
        <v>0</v>
      </c>
      <c r="R3029">
        <v>0</v>
      </c>
      <c r="S3029">
        <v>0</v>
      </c>
      <c r="T3029">
        <v>0</v>
      </c>
      <c r="U3029">
        <v>0</v>
      </c>
      <c r="V3029">
        <v>0</v>
      </c>
      <c r="W3029">
        <v>0</v>
      </c>
      <c r="X3029">
        <v>0</v>
      </c>
      <c r="Y3029">
        <v>0</v>
      </c>
      <c r="Z3029">
        <v>0</v>
      </c>
      <c r="AA3029">
        <v>0</v>
      </c>
      <c r="AB3029">
        <v>0</v>
      </c>
      <c r="AC3029">
        <v>0</v>
      </c>
      <c r="AD3029">
        <v>0</v>
      </c>
      <c r="AE3029">
        <v>0</v>
      </c>
      <c r="AF3029">
        <v>0</v>
      </c>
      <c r="AG3029">
        <v>0</v>
      </c>
      <c r="AH3029">
        <v>0</v>
      </c>
      <c r="AI3029">
        <v>0</v>
      </c>
      <c r="AJ3029">
        <v>0</v>
      </c>
      <c r="AK3029">
        <v>0</v>
      </c>
      <c r="AL3029">
        <v>0</v>
      </c>
      <c r="AM3029">
        <v>0</v>
      </c>
      <c r="AN3029">
        <v>0</v>
      </c>
      <c r="AO3029">
        <v>0</v>
      </c>
      <c r="AP3029">
        <v>0</v>
      </c>
      <c r="AQ3029">
        <v>21.38</v>
      </c>
      <c r="AR3029">
        <v>0</v>
      </c>
      <c r="AS3029">
        <v>0</v>
      </c>
      <c r="AT3029">
        <v>0</v>
      </c>
      <c r="AU3029">
        <v>0</v>
      </c>
      <c r="AV3029">
        <v>0</v>
      </c>
      <c r="AW3029">
        <v>0</v>
      </c>
      <c r="AX3029">
        <v>0</v>
      </c>
      <c r="AY3029">
        <v>0</v>
      </c>
      <c r="AZ3029">
        <v>0</v>
      </c>
      <c r="BA3029">
        <v>0</v>
      </c>
      <c r="BB3029">
        <v>0</v>
      </c>
      <c r="BC3029">
        <v>0</v>
      </c>
      <c r="BD3029">
        <v>0</v>
      </c>
      <c r="BE3029">
        <v>0</v>
      </c>
      <c r="BF3029">
        <v>0</v>
      </c>
      <c r="BG3029">
        <v>0</v>
      </c>
      <c r="BH3029">
        <v>1</v>
      </c>
      <c r="BI3029">
        <v>1</v>
      </c>
      <c r="BJ3029">
        <v>0.2</v>
      </c>
      <c r="BK3029">
        <v>1</v>
      </c>
      <c r="BL3029">
        <v>69.98</v>
      </c>
      <c r="BM3029">
        <v>10.5</v>
      </c>
      <c r="BN3029">
        <v>80.48</v>
      </c>
      <c r="BO3029">
        <v>80.48</v>
      </c>
      <c r="BQ3029" t="s">
        <v>301</v>
      </c>
      <c r="BR3029" t="s">
        <v>84</v>
      </c>
      <c r="BS3029" s="3">
        <v>45803</v>
      </c>
      <c r="BT3029" s="4">
        <v>0.35555555555555557</v>
      </c>
      <c r="BU3029" t="s">
        <v>190</v>
      </c>
      <c r="BV3029" t="s">
        <v>86</v>
      </c>
      <c r="BY3029">
        <v>1200</v>
      </c>
      <c r="CA3029" t="s">
        <v>253</v>
      </c>
      <c r="CC3029" t="s">
        <v>137</v>
      </c>
      <c r="CD3029" s="5" t="s">
        <v>254</v>
      </c>
      <c r="CE3029" t="s">
        <v>88</v>
      </c>
      <c r="CF3029" s="3">
        <v>45803</v>
      </c>
      <c r="CI3029">
        <v>1</v>
      </c>
      <c r="CJ3029">
        <v>1</v>
      </c>
      <c r="CK3029">
        <v>21</v>
      </c>
      <c r="CL3029" t="s">
        <v>89</v>
      </c>
    </row>
    <row r="3030" spans="1:90" x14ac:dyDescent="0.3">
      <c r="A3030" t="s">
        <v>72</v>
      </c>
      <c r="B3030" t="s">
        <v>73</v>
      </c>
      <c r="C3030" t="s">
        <v>74</v>
      </c>
      <c r="E3030" t="str">
        <f>"080065525178"</f>
        <v>080065525178</v>
      </c>
      <c r="F3030" s="3">
        <v>45800</v>
      </c>
      <c r="G3030">
        <v>202602</v>
      </c>
      <c r="H3030" t="s">
        <v>75</v>
      </c>
      <c r="I3030" t="s">
        <v>76</v>
      </c>
      <c r="J3030" t="s">
        <v>77</v>
      </c>
      <c r="K3030" t="s">
        <v>78</v>
      </c>
      <c r="L3030" t="s">
        <v>75</v>
      </c>
      <c r="M3030" t="s">
        <v>76</v>
      </c>
      <c r="N3030" t="s">
        <v>346</v>
      </c>
      <c r="O3030" t="s">
        <v>82</v>
      </c>
      <c r="P3030" t="str">
        <f>"4170040393                    "</f>
        <v xml:space="preserve">4170040393                    </v>
      </c>
      <c r="Q3030">
        <v>0</v>
      </c>
      <c r="R3030">
        <v>0</v>
      </c>
      <c r="S3030">
        <v>0</v>
      </c>
      <c r="T3030">
        <v>0</v>
      </c>
      <c r="U3030">
        <v>0</v>
      </c>
      <c r="V3030">
        <v>0</v>
      </c>
      <c r="W3030">
        <v>0</v>
      </c>
      <c r="X3030">
        <v>0</v>
      </c>
      <c r="Y3030">
        <v>0</v>
      </c>
      <c r="Z3030">
        <v>0</v>
      </c>
      <c r="AA3030">
        <v>0</v>
      </c>
      <c r="AB3030">
        <v>0</v>
      </c>
      <c r="AC3030">
        <v>0</v>
      </c>
      <c r="AD3030">
        <v>0</v>
      </c>
      <c r="AE3030">
        <v>0</v>
      </c>
      <c r="AF3030">
        <v>0</v>
      </c>
      <c r="AG3030">
        <v>0</v>
      </c>
      <c r="AH3030">
        <v>0</v>
      </c>
      <c r="AI3030">
        <v>0</v>
      </c>
      <c r="AJ3030">
        <v>0</v>
      </c>
      <c r="AK3030">
        <v>0</v>
      </c>
      <c r="AL3030">
        <v>0</v>
      </c>
      <c r="AM3030">
        <v>0</v>
      </c>
      <c r="AN3030">
        <v>0</v>
      </c>
      <c r="AO3030">
        <v>0</v>
      </c>
      <c r="AP3030">
        <v>0</v>
      </c>
      <c r="AQ3030">
        <v>16.7</v>
      </c>
      <c r="AR3030">
        <v>0</v>
      </c>
      <c r="AS3030">
        <v>0</v>
      </c>
      <c r="AT3030">
        <v>0</v>
      </c>
      <c r="AU3030">
        <v>0</v>
      </c>
      <c r="AV3030">
        <v>0</v>
      </c>
      <c r="AW3030">
        <v>0</v>
      </c>
      <c r="AX3030">
        <v>0</v>
      </c>
      <c r="AY3030">
        <v>0</v>
      </c>
      <c r="AZ3030">
        <v>0</v>
      </c>
      <c r="BA3030">
        <v>0</v>
      </c>
      <c r="BB3030">
        <v>0</v>
      </c>
      <c r="BC3030">
        <v>0</v>
      </c>
      <c r="BD3030">
        <v>0</v>
      </c>
      <c r="BE3030">
        <v>0</v>
      </c>
      <c r="BF3030">
        <v>0</v>
      </c>
      <c r="BG3030">
        <v>0</v>
      </c>
      <c r="BH3030">
        <v>1</v>
      </c>
      <c r="BI3030">
        <v>1</v>
      </c>
      <c r="BJ3030">
        <v>0.2</v>
      </c>
      <c r="BK3030">
        <v>1</v>
      </c>
      <c r="BL3030">
        <v>54.66</v>
      </c>
      <c r="BM3030">
        <v>8.1999999999999993</v>
      </c>
      <c r="BN3030">
        <v>62.86</v>
      </c>
      <c r="BO3030">
        <v>62.86</v>
      </c>
      <c r="BQ3030" t="s">
        <v>347</v>
      </c>
      <c r="BR3030" t="s">
        <v>84</v>
      </c>
      <c r="BS3030" s="3">
        <v>45803</v>
      </c>
      <c r="BT3030" s="4">
        <v>0.36527777777777776</v>
      </c>
      <c r="BU3030" t="s">
        <v>348</v>
      </c>
      <c r="BV3030" t="s">
        <v>86</v>
      </c>
      <c r="BY3030">
        <v>1200</v>
      </c>
      <c r="CA3030" t="s">
        <v>349</v>
      </c>
      <c r="CC3030" t="s">
        <v>76</v>
      </c>
      <c r="CD3030">
        <v>1619</v>
      </c>
      <c r="CE3030" t="s">
        <v>88</v>
      </c>
      <c r="CF3030" s="3">
        <v>45803</v>
      </c>
      <c r="CI3030">
        <v>1</v>
      </c>
      <c r="CJ3030">
        <v>1</v>
      </c>
      <c r="CK3030">
        <v>22</v>
      </c>
      <c r="CL3030" t="s">
        <v>89</v>
      </c>
    </row>
    <row r="3031" spans="1:90" x14ac:dyDescent="0.3">
      <c r="A3031" t="s">
        <v>72</v>
      </c>
      <c r="B3031" t="s">
        <v>73</v>
      </c>
      <c r="C3031" t="s">
        <v>74</v>
      </c>
      <c r="E3031" t="str">
        <f>"080065525230"</f>
        <v>080065525230</v>
      </c>
      <c r="F3031" s="3">
        <v>45800</v>
      </c>
      <c r="G3031">
        <v>202602</v>
      </c>
      <c r="H3031" t="s">
        <v>75</v>
      </c>
      <c r="I3031" t="s">
        <v>76</v>
      </c>
      <c r="J3031" t="s">
        <v>77</v>
      </c>
      <c r="K3031" t="s">
        <v>78</v>
      </c>
      <c r="L3031" t="s">
        <v>136</v>
      </c>
      <c r="M3031" t="s">
        <v>137</v>
      </c>
      <c r="N3031" t="s">
        <v>441</v>
      </c>
      <c r="O3031" t="s">
        <v>300</v>
      </c>
      <c r="P3031" t="str">
        <f>"4170040347                    "</f>
        <v xml:space="preserve">4170040347                    </v>
      </c>
      <c r="Q3031">
        <v>0</v>
      </c>
      <c r="R3031">
        <v>0</v>
      </c>
      <c r="S3031">
        <v>0</v>
      </c>
      <c r="T3031">
        <v>0</v>
      </c>
      <c r="U3031">
        <v>0</v>
      </c>
      <c r="V3031">
        <v>0</v>
      </c>
      <c r="W3031">
        <v>0</v>
      </c>
      <c r="X3031">
        <v>0</v>
      </c>
      <c r="Y3031">
        <v>0</v>
      </c>
      <c r="Z3031">
        <v>0</v>
      </c>
      <c r="AA3031">
        <v>0</v>
      </c>
      <c r="AB3031">
        <v>0</v>
      </c>
      <c r="AC3031">
        <v>0</v>
      </c>
      <c r="AD3031">
        <v>0</v>
      </c>
      <c r="AE3031">
        <v>0</v>
      </c>
      <c r="AF3031">
        <v>0</v>
      </c>
      <c r="AG3031">
        <v>0</v>
      </c>
      <c r="AH3031">
        <v>0</v>
      </c>
      <c r="AI3031">
        <v>0</v>
      </c>
      <c r="AJ3031">
        <v>0</v>
      </c>
      <c r="AK3031">
        <v>0</v>
      </c>
      <c r="AL3031">
        <v>0</v>
      </c>
      <c r="AM3031">
        <v>0</v>
      </c>
      <c r="AN3031">
        <v>0</v>
      </c>
      <c r="AO3031">
        <v>0</v>
      </c>
      <c r="AP3031">
        <v>0</v>
      </c>
      <c r="AQ3031">
        <v>41.35</v>
      </c>
      <c r="AR3031">
        <v>0</v>
      </c>
      <c r="AS3031">
        <v>0</v>
      </c>
      <c r="AT3031">
        <v>0</v>
      </c>
      <c r="AU3031">
        <v>0</v>
      </c>
      <c r="AV3031">
        <v>0</v>
      </c>
      <c r="AW3031">
        <v>0</v>
      </c>
      <c r="AX3031">
        <v>0</v>
      </c>
      <c r="AY3031">
        <v>0</v>
      </c>
      <c r="AZ3031">
        <v>0</v>
      </c>
      <c r="BA3031">
        <v>0</v>
      </c>
      <c r="BB3031">
        <v>0</v>
      </c>
      <c r="BC3031">
        <v>0</v>
      </c>
      <c r="BD3031">
        <v>0</v>
      </c>
      <c r="BE3031">
        <v>0</v>
      </c>
      <c r="BF3031">
        <v>0</v>
      </c>
      <c r="BG3031">
        <v>0</v>
      </c>
      <c r="BH3031">
        <v>1</v>
      </c>
      <c r="BI3031">
        <v>5</v>
      </c>
      <c r="BJ3031">
        <v>2.6</v>
      </c>
      <c r="BK3031">
        <v>5</v>
      </c>
      <c r="BL3031">
        <v>140.9</v>
      </c>
      <c r="BM3031">
        <v>21.14</v>
      </c>
      <c r="BN3031">
        <v>162.04</v>
      </c>
      <c r="BO3031">
        <v>162.04</v>
      </c>
      <c r="BQ3031" t="s">
        <v>442</v>
      </c>
      <c r="BR3031" t="s">
        <v>84</v>
      </c>
      <c r="BS3031" s="3">
        <v>45803</v>
      </c>
      <c r="BT3031" s="4">
        <v>0.65486111111111112</v>
      </c>
      <c r="BU3031" t="s">
        <v>514</v>
      </c>
      <c r="BV3031" t="s">
        <v>86</v>
      </c>
      <c r="BY3031">
        <v>12880</v>
      </c>
      <c r="CA3031" t="s">
        <v>199</v>
      </c>
      <c r="CC3031" t="s">
        <v>137</v>
      </c>
      <c r="CD3031" s="5" t="s">
        <v>444</v>
      </c>
      <c r="CE3031" t="s">
        <v>221</v>
      </c>
      <c r="CF3031" s="3">
        <v>45803</v>
      </c>
      <c r="CI3031">
        <v>1</v>
      </c>
      <c r="CJ3031">
        <v>1</v>
      </c>
      <c r="CK3031">
        <v>41</v>
      </c>
      <c r="CL3031" t="s">
        <v>89</v>
      </c>
    </row>
    <row r="3032" spans="1:90" x14ac:dyDescent="0.3">
      <c r="A3032" t="s">
        <v>72</v>
      </c>
      <c r="B3032" t="s">
        <v>73</v>
      </c>
      <c r="C3032" t="s">
        <v>74</v>
      </c>
      <c r="E3032" t="str">
        <f>"080065525282"</f>
        <v>080065525282</v>
      </c>
      <c r="F3032" s="3">
        <v>45800</v>
      </c>
      <c r="G3032">
        <v>202602</v>
      </c>
      <c r="H3032" t="s">
        <v>75</v>
      </c>
      <c r="I3032" t="s">
        <v>76</v>
      </c>
      <c r="J3032" t="s">
        <v>77</v>
      </c>
      <c r="K3032" t="s">
        <v>78</v>
      </c>
      <c r="L3032" t="s">
        <v>725</v>
      </c>
      <c r="M3032" t="s">
        <v>726</v>
      </c>
      <c r="N3032" t="s">
        <v>727</v>
      </c>
      <c r="O3032" t="s">
        <v>300</v>
      </c>
      <c r="P3032" t="str">
        <f>"4170040422                    "</f>
        <v xml:space="preserve">4170040422                    </v>
      </c>
      <c r="Q3032">
        <v>0</v>
      </c>
      <c r="R3032">
        <v>0</v>
      </c>
      <c r="S3032">
        <v>0</v>
      </c>
      <c r="T3032">
        <v>0</v>
      </c>
      <c r="U3032">
        <v>0</v>
      </c>
      <c r="V3032">
        <v>0</v>
      </c>
      <c r="W3032">
        <v>0</v>
      </c>
      <c r="X3032">
        <v>0</v>
      </c>
      <c r="Y3032">
        <v>0</v>
      </c>
      <c r="Z3032">
        <v>0</v>
      </c>
      <c r="AA3032">
        <v>0</v>
      </c>
      <c r="AB3032">
        <v>0</v>
      </c>
      <c r="AC3032">
        <v>0</v>
      </c>
      <c r="AD3032">
        <v>0</v>
      </c>
      <c r="AE3032">
        <v>0</v>
      </c>
      <c r="AF3032">
        <v>0</v>
      </c>
      <c r="AG3032">
        <v>0</v>
      </c>
      <c r="AH3032">
        <v>0</v>
      </c>
      <c r="AI3032">
        <v>0</v>
      </c>
      <c r="AJ3032">
        <v>0</v>
      </c>
      <c r="AK3032">
        <v>0</v>
      </c>
      <c r="AL3032">
        <v>0</v>
      </c>
      <c r="AM3032">
        <v>0</v>
      </c>
      <c r="AN3032">
        <v>0</v>
      </c>
      <c r="AO3032">
        <v>0</v>
      </c>
      <c r="AP3032">
        <v>0</v>
      </c>
      <c r="AQ3032">
        <v>58.32</v>
      </c>
      <c r="AR3032">
        <v>0</v>
      </c>
      <c r="AS3032">
        <v>0</v>
      </c>
      <c r="AT3032">
        <v>0</v>
      </c>
      <c r="AU3032">
        <v>0</v>
      </c>
      <c r="AV3032">
        <v>0</v>
      </c>
      <c r="AW3032">
        <v>0</v>
      </c>
      <c r="AX3032">
        <v>0</v>
      </c>
      <c r="AY3032">
        <v>0</v>
      </c>
      <c r="AZ3032">
        <v>0</v>
      </c>
      <c r="BA3032">
        <v>0</v>
      </c>
      <c r="BB3032">
        <v>0</v>
      </c>
      <c r="BC3032">
        <v>0</v>
      </c>
      <c r="BD3032">
        <v>0</v>
      </c>
      <c r="BE3032">
        <v>0</v>
      </c>
      <c r="BF3032">
        <v>0</v>
      </c>
      <c r="BG3032">
        <v>0</v>
      </c>
      <c r="BH3032">
        <v>1</v>
      </c>
      <c r="BI3032">
        <v>5</v>
      </c>
      <c r="BJ3032">
        <v>5</v>
      </c>
      <c r="BK3032">
        <v>5</v>
      </c>
      <c r="BL3032">
        <v>196.44</v>
      </c>
      <c r="BM3032">
        <v>29.47</v>
      </c>
      <c r="BN3032">
        <v>225.91</v>
      </c>
      <c r="BO3032">
        <v>225.91</v>
      </c>
      <c r="BQ3032" t="s">
        <v>728</v>
      </c>
      <c r="BR3032" t="s">
        <v>84</v>
      </c>
      <c r="BS3032" s="3">
        <v>45803</v>
      </c>
      <c r="BT3032" s="4">
        <v>0.60972222222222228</v>
      </c>
      <c r="BU3032" t="s">
        <v>3015</v>
      </c>
      <c r="BV3032" t="s">
        <v>86</v>
      </c>
      <c r="BY3032">
        <v>24882</v>
      </c>
      <c r="CA3032" t="s">
        <v>730</v>
      </c>
      <c r="CC3032" t="s">
        <v>726</v>
      </c>
      <c r="CD3032">
        <v>2380</v>
      </c>
      <c r="CE3032" t="s">
        <v>356</v>
      </c>
      <c r="CF3032" s="3">
        <v>45804</v>
      </c>
      <c r="CI3032">
        <v>1</v>
      </c>
      <c r="CJ3032">
        <v>1</v>
      </c>
      <c r="CK3032">
        <v>43</v>
      </c>
      <c r="CL3032" t="s">
        <v>89</v>
      </c>
    </row>
    <row r="3033" spans="1:90" x14ac:dyDescent="0.3">
      <c r="A3033" t="s">
        <v>72</v>
      </c>
      <c r="B3033" t="s">
        <v>73</v>
      </c>
      <c r="C3033" t="s">
        <v>74</v>
      </c>
      <c r="E3033" t="str">
        <f>"080065525320"</f>
        <v>080065525320</v>
      </c>
      <c r="F3033" s="3">
        <v>45800</v>
      </c>
      <c r="G3033">
        <v>202602</v>
      </c>
      <c r="H3033" t="s">
        <v>75</v>
      </c>
      <c r="I3033" t="s">
        <v>76</v>
      </c>
      <c r="J3033" t="s">
        <v>77</v>
      </c>
      <c r="K3033" t="s">
        <v>78</v>
      </c>
      <c r="L3033" t="s">
        <v>130</v>
      </c>
      <c r="M3033" t="s">
        <v>131</v>
      </c>
      <c r="N3033" t="s">
        <v>343</v>
      </c>
      <c r="O3033" t="s">
        <v>82</v>
      </c>
      <c r="P3033" t="str">
        <f>"4170040420                    "</f>
        <v xml:space="preserve">4170040420                    </v>
      </c>
      <c r="Q3033">
        <v>0</v>
      </c>
      <c r="R3033">
        <v>0</v>
      </c>
      <c r="S3033">
        <v>0</v>
      </c>
      <c r="T3033">
        <v>0</v>
      </c>
      <c r="U3033">
        <v>0</v>
      </c>
      <c r="V3033">
        <v>0</v>
      </c>
      <c r="W3033">
        <v>0</v>
      </c>
      <c r="X3033">
        <v>0</v>
      </c>
      <c r="Y3033">
        <v>0</v>
      </c>
      <c r="Z3033">
        <v>0</v>
      </c>
      <c r="AA3033">
        <v>0</v>
      </c>
      <c r="AB3033">
        <v>0</v>
      </c>
      <c r="AC3033">
        <v>0</v>
      </c>
      <c r="AD3033">
        <v>0</v>
      </c>
      <c r="AE3033">
        <v>0</v>
      </c>
      <c r="AF3033">
        <v>0</v>
      </c>
      <c r="AG3033">
        <v>0</v>
      </c>
      <c r="AH3033">
        <v>0</v>
      </c>
      <c r="AI3033">
        <v>0</v>
      </c>
      <c r="AJ3033">
        <v>0</v>
      </c>
      <c r="AK3033">
        <v>0</v>
      </c>
      <c r="AL3033">
        <v>0</v>
      </c>
      <c r="AM3033">
        <v>0</v>
      </c>
      <c r="AN3033">
        <v>0</v>
      </c>
      <c r="AO3033">
        <v>0</v>
      </c>
      <c r="AP3033">
        <v>0</v>
      </c>
      <c r="AQ3033">
        <v>21.38</v>
      </c>
      <c r="AR3033">
        <v>0</v>
      </c>
      <c r="AS3033">
        <v>0</v>
      </c>
      <c r="AT3033">
        <v>0</v>
      </c>
      <c r="AU3033">
        <v>0</v>
      </c>
      <c r="AV3033">
        <v>0</v>
      </c>
      <c r="AW3033">
        <v>0</v>
      </c>
      <c r="AX3033">
        <v>0</v>
      </c>
      <c r="AY3033">
        <v>0</v>
      </c>
      <c r="AZ3033">
        <v>0</v>
      </c>
      <c r="BA3033">
        <v>0</v>
      </c>
      <c r="BB3033">
        <v>0</v>
      </c>
      <c r="BC3033">
        <v>0</v>
      </c>
      <c r="BD3033">
        <v>0</v>
      </c>
      <c r="BE3033">
        <v>0</v>
      </c>
      <c r="BF3033">
        <v>0</v>
      </c>
      <c r="BG3033">
        <v>0</v>
      </c>
      <c r="BH3033">
        <v>1</v>
      </c>
      <c r="BI3033">
        <v>1</v>
      </c>
      <c r="BJ3033">
        <v>1.1000000000000001</v>
      </c>
      <c r="BK3033">
        <v>1.5</v>
      </c>
      <c r="BL3033">
        <v>69.98</v>
      </c>
      <c r="BM3033">
        <v>10.5</v>
      </c>
      <c r="BN3033">
        <v>80.48</v>
      </c>
      <c r="BO3033">
        <v>80.48</v>
      </c>
      <c r="BQ3033" t="s">
        <v>344</v>
      </c>
      <c r="BR3033" t="s">
        <v>84</v>
      </c>
      <c r="BS3033" s="3">
        <v>45803</v>
      </c>
      <c r="BT3033" s="4">
        <v>0.39374999999999999</v>
      </c>
      <c r="BU3033" t="s">
        <v>345</v>
      </c>
      <c r="BV3033" t="s">
        <v>86</v>
      </c>
      <c r="BY3033">
        <v>5320</v>
      </c>
      <c r="CA3033" t="s">
        <v>242</v>
      </c>
      <c r="CC3033" t="s">
        <v>131</v>
      </c>
      <c r="CD3033">
        <v>7441</v>
      </c>
      <c r="CE3033" t="s">
        <v>3016</v>
      </c>
      <c r="CF3033" s="3">
        <v>45804</v>
      </c>
      <c r="CI3033">
        <v>1</v>
      </c>
      <c r="CJ3033">
        <v>1</v>
      </c>
      <c r="CK3033">
        <v>21</v>
      </c>
      <c r="CL3033" t="s">
        <v>89</v>
      </c>
    </row>
    <row r="3034" spans="1:90" x14ac:dyDescent="0.3">
      <c r="A3034" t="s">
        <v>72</v>
      </c>
      <c r="B3034" t="s">
        <v>73</v>
      </c>
      <c r="C3034" t="s">
        <v>74</v>
      </c>
      <c r="E3034" t="str">
        <f>"080065525355"</f>
        <v>080065525355</v>
      </c>
      <c r="F3034" s="3">
        <v>45800</v>
      </c>
      <c r="G3034">
        <v>202602</v>
      </c>
      <c r="H3034" t="s">
        <v>75</v>
      </c>
      <c r="I3034" t="s">
        <v>76</v>
      </c>
      <c r="J3034" t="s">
        <v>77</v>
      </c>
      <c r="K3034" t="s">
        <v>78</v>
      </c>
      <c r="L3034" t="s">
        <v>1737</v>
      </c>
      <c r="M3034" t="s">
        <v>1738</v>
      </c>
      <c r="N3034" t="s">
        <v>261</v>
      </c>
      <c r="O3034" t="s">
        <v>82</v>
      </c>
      <c r="P3034" t="str">
        <f>"4170040322                    "</f>
        <v xml:space="preserve">4170040322                    </v>
      </c>
      <c r="Q3034">
        <v>0</v>
      </c>
      <c r="R3034">
        <v>0</v>
      </c>
      <c r="S3034">
        <v>0</v>
      </c>
      <c r="T3034">
        <v>0</v>
      </c>
      <c r="U3034">
        <v>0</v>
      </c>
      <c r="V3034">
        <v>0</v>
      </c>
      <c r="W3034">
        <v>0</v>
      </c>
      <c r="X3034">
        <v>0</v>
      </c>
      <c r="Y3034">
        <v>0</v>
      </c>
      <c r="Z3034">
        <v>0</v>
      </c>
      <c r="AA3034">
        <v>0</v>
      </c>
      <c r="AB3034">
        <v>0</v>
      </c>
      <c r="AC3034">
        <v>0</v>
      </c>
      <c r="AD3034">
        <v>0</v>
      </c>
      <c r="AE3034">
        <v>0</v>
      </c>
      <c r="AF3034">
        <v>0</v>
      </c>
      <c r="AG3034">
        <v>0</v>
      </c>
      <c r="AH3034">
        <v>0</v>
      </c>
      <c r="AI3034">
        <v>0</v>
      </c>
      <c r="AJ3034">
        <v>0</v>
      </c>
      <c r="AK3034">
        <v>0</v>
      </c>
      <c r="AL3034">
        <v>0</v>
      </c>
      <c r="AM3034">
        <v>0</v>
      </c>
      <c r="AN3034">
        <v>0</v>
      </c>
      <c r="AO3034">
        <v>0</v>
      </c>
      <c r="AP3034">
        <v>0</v>
      </c>
      <c r="AQ3034">
        <v>41.43</v>
      </c>
      <c r="AR3034">
        <v>0</v>
      </c>
      <c r="AS3034">
        <v>0</v>
      </c>
      <c r="AT3034">
        <v>0</v>
      </c>
      <c r="AU3034">
        <v>0</v>
      </c>
      <c r="AV3034">
        <v>0</v>
      </c>
      <c r="AW3034">
        <v>0</v>
      </c>
      <c r="AX3034">
        <v>0</v>
      </c>
      <c r="AY3034">
        <v>0</v>
      </c>
      <c r="AZ3034">
        <v>0</v>
      </c>
      <c r="BA3034">
        <v>0</v>
      </c>
      <c r="BB3034">
        <v>0</v>
      </c>
      <c r="BC3034">
        <v>0</v>
      </c>
      <c r="BD3034">
        <v>0</v>
      </c>
      <c r="BE3034">
        <v>0</v>
      </c>
      <c r="BF3034">
        <v>0</v>
      </c>
      <c r="BG3034">
        <v>0</v>
      </c>
      <c r="BH3034">
        <v>1</v>
      </c>
      <c r="BI3034">
        <v>1</v>
      </c>
      <c r="BJ3034">
        <v>1.4</v>
      </c>
      <c r="BK3034">
        <v>1.5</v>
      </c>
      <c r="BL3034">
        <v>135.59</v>
      </c>
      <c r="BM3034">
        <v>20.34</v>
      </c>
      <c r="BN3034">
        <v>155.93</v>
      </c>
      <c r="BO3034">
        <v>155.93</v>
      </c>
      <c r="BQ3034" t="s">
        <v>262</v>
      </c>
      <c r="BR3034" t="s">
        <v>84</v>
      </c>
      <c r="BS3034" s="3">
        <v>45804</v>
      </c>
      <c r="BT3034" s="4">
        <v>0.41666666666666669</v>
      </c>
      <c r="BU3034" t="s">
        <v>3017</v>
      </c>
      <c r="BV3034" t="s">
        <v>89</v>
      </c>
      <c r="BW3034" t="s">
        <v>656</v>
      </c>
      <c r="BX3034" t="s">
        <v>3018</v>
      </c>
      <c r="BY3034">
        <v>7000</v>
      </c>
      <c r="CC3034" t="s">
        <v>1738</v>
      </c>
      <c r="CD3034">
        <v>9880</v>
      </c>
      <c r="CE3034" t="s">
        <v>96</v>
      </c>
      <c r="CF3034" s="3">
        <v>45805</v>
      </c>
      <c r="CI3034">
        <v>1</v>
      </c>
      <c r="CJ3034">
        <v>2</v>
      </c>
      <c r="CK3034">
        <v>23</v>
      </c>
      <c r="CL3034" t="s">
        <v>89</v>
      </c>
    </row>
    <row r="3035" spans="1:90" x14ac:dyDescent="0.3">
      <c r="A3035" t="s">
        <v>72</v>
      </c>
      <c r="B3035" t="s">
        <v>73</v>
      </c>
      <c r="C3035" t="s">
        <v>74</v>
      </c>
      <c r="E3035" t="str">
        <f>"080065525439"</f>
        <v>080065525439</v>
      </c>
      <c r="F3035" s="3">
        <v>45800</v>
      </c>
      <c r="G3035">
        <v>202602</v>
      </c>
      <c r="H3035" t="s">
        <v>75</v>
      </c>
      <c r="I3035" t="s">
        <v>76</v>
      </c>
      <c r="J3035" t="s">
        <v>77</v>
      </c>
      <c r="K3035" t="s">
        <v>78</v>
      </c>
      <c r="L3035" t="s">
        <v>311</v>
      </c>
      <c r="M3035" t="s">
        <v>312</v>
      </c>
      <c r="N3035" t="s">
        <v>2562</v>
      </c>
      <c r="O3035" t="s">
        <v>602</v>
      </c>
      <c r="P3035" t="str">
        <f>"4170040318                    "</f>
        <v xml:space="preserve">4170040318                    </v>
      </c>
      <c r="Q3035">
        <v>0</v>
      </c>
      <c r="R3035">
        <v>0</v>
      </c>
      <c r="S3035">
        <v>0</v>
      </c>
      <c r="T3035">
        <v>0</v>
      </c>
      <c r="U3035">
        <v>0</v>
      </c>
      <c r="V3035">
        <v>0</v>
      </c>
      <c r="W3035">
        <v>0</v>
      </c>
      <c r="X3035">
        <v>0</v>
      </c>
      <c r="Y3035">
        <v>0</v>
      </c>
      <c r="Z3035">
        <v>0</v>
      </c>
      <c r="AA3035">
        <v>0</v>
      </c>
      <c r="AB3035">
        <v>0</v>
      </c>
      <c r="AC3035">
        <v>0</v>
      </c>
      <c r="AD3035">
        <v>0</v>
      </c>
      <c r="AE3035">
        <v>0</v>
      </c>
      <c r="AF3035">
        <v>0</v>
      </c>
      <c r="AG3035">
        <v>0</v>
      </c>
      <c r="AH3035">
        <v>0</v>
      </c>
      <c r="AI3035">
        <v>0</v>
      </c>
      <c r="AJ3035">
        <v>0</v>
      </c>
      <c r="AK3035">
        <v>0</v>
      </c>
      <c r="AL3035">
        <v>0</v>
      </c>
      <c r="AM3035">
        <v>0</v>
      </c>
      <c r="AN3035">
        <v>0</v>
      </c>
      <c r="AO3035">
        <v>0</v>
      </c>
      <c r="AP3035">
        <v>0</v>
      </c>
      <c r="AQ3035">
        <v>18.579999999999998</v>
      </c>
      <c r="AR3035">
        <v>0</v>
      </c>
      <c r="AS3035">
        <v>0</v>
      </c>
      <c r="AT3035">
        <v>0</v>
      </c>
      <c r="AU3035">
        <v>0</v>
      </c>
      <c r="AV3035">
        <v>0</v>
      </c>
      <c r="AW3035">
        <v>0</v>
      </c>
      <c r="AX3035">
        <v>0</v>
      </c>
      <c r="AY3035">
        <v>0</v>
      </c>
      <c r="AZ3035">
        <v>0</v>
      </c>
      <c r="BA3035">
        <v>0</v>
      </c>
      <c r="BB3035">
        <v>0</v>
      </c>
      <c r="BC3035">
        <v>0</v>
      </c>
      <c r="BD3035">
        <v>0</v>
      </c>
      <c r="BE3035">
        <v>0</v>
      </c>
      <c r="BF3035">
        <v>0</v>
      </c>
      <c r="BG3035">
        <v>0</v>
      </c>
      <c r="BH3035">
        <v>1</v>
      </c>
      <c r="BI3035">
        <v>9</v>
      </c>
      <c r="BJ3035">
        <v>1.7</v>
      </c>
      <c r="BK3035">
        <v>9</v>
      </c>
      <c r="BL3035">
        <v>60.81</v>
      </c>
      <c r="BM3035">
        <v>9.1199999999999992</v>
      </c>
      <c r="BN3035">
        <v>69.930000000000007</v>
      </c>
      <c r="BO3035">
        <v>69.930000000000007</v>
      </c>
      <c r="BQ3035" t="s">
        <v>2563</v>
      </c>
      <c r="BR3035" t="s">
        <v>84</v>
      </c>
      <c r="BS3035" s="3">
        <v>45803</v>
      </c>
      <c r="BT3035" s="4">
        <v>0.5</v>
      </c>
      <c r="BU3035" t="s">
        <v>3019</v>
      </c>
      <c r="BV3035" t="s">
        <v>86</v>
      </c>
      <c r="BY3035">
        <v>8512</v>
      </c>
      <c r="CC3035" t="s">
        <v>312</v>
      </c>
      <c r="CD3035">
        <v>1502</v>
      </c>
      <c r="CE3035" t="s">
        <v>176</v>
      </c>
      <c r="CF3035" s="3">
        <v>45804</v>
      </c>
      <c r="CI3035">
        <v>1</v>
      </c>
      <c r="CJ3035">
        <v>1</v>
      </c>
      <c r="CK3035">
        <v>32</v>
      </c>
      <c r="CL3035" t="s">
        <v>89</v>
      </c>
    </row>
    <row r="3036" spans="1:90" x14ac:dyDescent="0.3">
      <c r="A3036" t="s">
        <v>72</v>
      </c>
      <c r="B3036" t="s">
        <v>73</v>
      </c>
      <c r="C3036" t="s">
        <v>74</v>
      </c>
      <c r="E3036" t="str">
        <f>"080065525661"</f>
        <v>080065525661</v>
      </c>
      <c r="F3036" s="3">
        <v>45800</v>
      </c>
      <c r="G3036">
        <v>202602</v>
      </c>
      <c r="H3036" t="s">
        <v>75</v>
      </c>
      <c r="I3036" t="s">
        <v>76</v>
      </c>
      <c r="J3036" t="s">
        <v>77</v>
      </c>
      <c r="K3036" t="s">
        <v>78</v>
      </c>
      <c r="L3036" t="s">
        <v>90</v>
      </c>
      <c r="M3036" t="s">
        <v>91</v>
      </c>
      <c r="N3036" t="s">
        <v>563</v>
      </c>
      <c r="O3036" t="s">
        <v>82</v>
      </c>
      <c r="P3036" t="str">
        <f>"4170040462                    "</f>
        <v xml:space="preserve">4170040462                    </v>
      </c>
      <c r="Q3036">
        <v>0</v>
      </c>
      <c r="R3036">
        <v>0</v>
      </c>
      <c r="S3036">
        <v>0</v>
      </c>
      <c r="T3036">
        <v>0</v>
      </c>
      <c r="U3036">
        <v>0</v>
      </c>
      <c r="V3036">
        <v>0</v>
      </c>
      <c r="W3036">
        <v>0</v>
      </c>
      <c r="X3036">
        <v>0</v>
      </c>
      <c r="Y3036">
        <v>0</v>
      </c>
      <c r="Z3036">
        <v>0</v>
      </c>
      <c r="AA3036">
        <v>0</v>
      </c>
      <c r="AB3036">
        <v>0</v>
      </c>
      <c r="AC3036">
        <v>0</v>
      </c>
      <c r="AD3036">
        <v>0</v>
      </c>
      <c r="AE3036">
        <v>0</v>
      </c>
      <c r="AF3036">
        <v>0</v>
      </c>
      <c r="AG3036">
        <v>0</v>
      </c>
      <c r="AH3036">
        <v>0</v>
      </c>
      <c r="AI3036">
        <v>0</v>
      </c>
      <c r="AJ3036">
        <v>0</v>
      </c>
      <c r="AK3036">
        <v>0</v>
      </c>
      <c r="AL3036">
        <v>0</v>
      </c>
      <c r="AM3036">
        <v>0</v>
      </c>
      <c r="AN3036">
        <v>0</v>
      </c>
      <c r="AO3036">
        <v>0</v>
      </c>
      <c r="AP3036">
        <v>0</v>
      </c>
      <c r="AQ3036">
        <v>21.38</v>
      </c>
      <c r="AR3036">
        <v>0</v>
      </c>
      <c r="AS3036">
        <v>0</v>
      </c>
      <c r="AT3036">
        <v>0</v>
      </c>
      <c r="AU3036">
        <v>0</v>
      </c>
      <c r="AV3036">
        <v>0</v>
      </c>
      <c r="AW3036">
        <v>0</v>
      </c>
      <c r="AX3036">
        <v>0</v>
      </c>
      <c r="AY3036">
        <v>0</v>
      </c>
      <c r="AZ3036">
        <v>0</v>
      </c>
      <c r="BA3036">
        <v>0</v>
      </c>
      <c r="BB3036">
        <v>0</v>
      </c>
      <c r="BC3036">
        <v>0</v>
      </c>
      <c r="BD3036">
        <v>0</v>
      </c>
      <c r="BE3036">
        <v>0</v>
      </c>
      <c r="BF3036">
        <v>0</v>
      </c>
      <c r="BG3036">
        <v>0</v>
      </c>
      <c r="BH3036">
        <v>1</v>
      </c>
      <c r="BI3036">
        <v>1</v>
      </c>
      <c r="BJ3036">
        <v>0.2</v>
      </c>
      <c r="BK3036">
        <v>1</v>
      </c>
      <c r="BL3036">
        <v>69.98</v>
      </c>
      <c r="BM3036">
        <v>10.5</v>
      </c>
      <c r="BN3036">
        <v>80.48</v>
      </c>
      <c r="BO3036">
        <v>80.48</v>
      </c>
      <c r="BQ3036" t="s">
        <v>564</v>
      </c>
      <c r="BR3036" t="s">
        <v>84</v>
      </c>
      <c r="BS3036" s="3">
        <v>45803</v>
      </c>
      <c r="BT3036" s="4">
        <v>0.34722222222222221</v>
      </c>
      <c r="BU3036" t="s">
        <v>780</v>
      </c>
      <c r="BV3036" t="s">
        <v>86</v>
      </c>
      <c r="BY3036">
        <v>1200</v>
      </c>
      <c r="CA3036" t="s">
        <v>566</v>
      </c>
      <c r="CC3036" t="s">
        <v>91</v>
      </c>
      <c r="CD3036">
        <v>6001</v>
      </c>
      <c r="CE3036" t="s">
        <v>176</v>
      </c>
      <c r="CF3036" s="3">
        <v>45803</v>
      </c>
      <c r="CI3036">
        <v>1</v>
      </c>
      <c r="CJ3036">
        <v>1</v>
      </c>
      <c r="CK3036">
        <v>21</v>
      </c>
      <c r="CL3036" t="s">
        <v>89</v>
      </c>
    </row>
    <row r="3037" spans="1:90" x14ac:dyDescent="0.3">
      <c r="A3037" t="s">
        <v>72</v>
      </c>
      <c r="B3037" t="s">
        <v>73</v>
      </c>
      <c r="C3037" t="s">
        <v>74</v>
      </c>
      <c r="E3037" t="str">
        <f>"080065525783"</f>
        <v>080065525783</v>
      </c>
      <c r="F3037" s="3">
        <v>45800</v>
      </c>
      <c r="G3037">
        <v>202602</v>
      </c>
      <c r="H3037" t="s">
        <v>75</v>
      </c>
      <c r="I3037" t="s">
        <v>76</v>
      </c>
      <c r="J3037" t="s">
        <v>77</v>
      </c>
      <c r="K3037" t="s">
        <v>78</v>
      </c>
      <c r="L3037" t="s">
        <v>648</v>
      </c>
      <c r="M3037" t="s">
        <v>649</v>
      </c>
      <c r="N3037" t="s">
        <v>762</v>
      </c>
      <c r="O3037" t="s">
        <v>82</v>
      </c>
      <c r="P3037" t="str">
        <f>"4170040372                    "</f>
        <v xml:space="preserve">4170040372                    </v>
      </c>
      <c r="Q3037">
        <v>0</v>
      </c>
      <c r="R3037">
        <v>0</v>
      </c>
      <c r="S3037">
        <v>0</v>
      </c>
      <c r="T3037">
        <v>0</v>
      </c>
      <c r="U3037">
        <v>0</v>
      </c>
      <c r="V3037">
        <v>0</v>
      </c>
      <c r="W3037">
        <v>0</v>
      </c>
      <c r="X3037">
        <v>0</v>
      </c>
      <c r="Y3037">
        <v>0</v>
      </c>
      <c r="Z3037">
        <v>0</v>
      </c>
      <c r="AA3037">
        <v>0</v>
      </c>
      <c r="AB3037">
        <v>0</v>
      </c>
      <c r="AC3037">
        <v>0</v>
      </c>
      <c r="AD3037">
        <v>0</v>
      </c>
      <c r="AE3037">
        <v>0</v>
      </c>
      <c r="AF3037">
        <v>0</v>
      </c>
      <c r="AG3037">
        <v>0</v>
      </c>
      <c r="AH3037">
        <v>0</v>
      </c>
      <c r="AI3037">
        <v>0</v>
      </c>
      <c r="AJ3037">
        <v>0</v>
      </c>
      <c r="AK3037">
        <v>0</v>
      </c>
      <c r="AL3037">
        <v>0</v>
      </c>
      <c r="AM3037">
        <v>0</v>
      </c>
      <c r="AN3037">
        <v>0</v>
      </c>
      <c r="AO3037">
        <v>0</v>
      </c>
      <c r="AP3037">
        <v>0</v>
      </c>
      <c r="AQ3037">
        <v>16.7</v>
      </c>
      <c r="AR3037">
        <v>0</v>
      </c>
      <c r="AS3037">
        <v>0</v>
      </c>
      <c r="AT3037">
        <v>0</v>
      </c>
      <c r="AU3037">
        <v>0</v>
      </c>
      <c r="AV3037">
        <v>0</v>
      </c>
      <c r="AW3037">
        <v>0</v>
      </c>
      <c r="AX3037">
        <v>0</v>
      </c>
      <c r="AY3037">
        <v>0</v>
      </c>
      <c r="AZ3037">
        <v>0</v>
      </c>
      <c r="BA3037">
        <v>0</v>
      </c>
      <c r="BB3037">
        <v>0</v>
      </c>
      <c r="BC3037">
        <v>0</v>
      </c>
      <c r="BD3037">
        <v>0</v>
      </c>
      <c r="BE3037">
        <v>0</v>
      </c>
      <c r="BF3037">
        <v>0</v>
      </c>
      <c r="BG3037">
        <v>0</v>
      </c>
      <c r="BH3037">
        <v>1</v>
      </c>
      <c r="BI3037">
        <v>6</v>
      </c>
      <c r="BJ3037">
        <v>2.2000000000000002</v>
      </c>
      <c r="BK3037">
        <v>6</v>
      </c>
      <c r="BL3037">
        <v>54.66</v>
      </c>
      <c r="BM3037">
        <v>8.1999999999999993</v>
      </c>
      <c r="BN3037">
        <v>62.86</v>
      </c>
      <c r="BO3037">
        <v>62.86</v>
      </c>
      <c r="BQ3037" t="s">
        <v>763</v>
      </c>
      <c r="BR3037" t="s">
        <v>84</v>
      </c>
      <c r="BS3037" s="3">
        <v>45803</v>
      </c>
      <c r="BT3037" s="4">
        <v>0.37013888888888891</v>
      </c>
      <c r="BU3037" t="s">
        <v>763</v>
      </c>
      <c r="BV3037" t="s">
        <v>86</v>
      </c>
      <c r="BY3037">
        <v>10800</v>
      </c>
      <c r="CA3037" t="s">
        <v>937</v>
      </c>
      <c r="CC3037" t="s">
        <v>649</v>
      </c>
      <c r="CD3037">
        <v>1559</v>
      </c>
      <c r="CE3037" t="s">
        <v>176</v>
      </c>
      <c r="CF3037" s="3">
        <v>45804</v>
      </c>
      <c r="CI3037">
        <v>1</v>
      </c>
      <c r="CJ3037">
        <v>1</v>
      </c>
      <c r="CK3037">
        <v>22</v>
      </c>
      <c r="CL3037" t="s">
        <v>89</v>
      </c>
    </row>
    <row r="3038" spans="1:90" x14ac:dyDescent="0.3">
      <c r="A3038" t="s">
        <v>72</v>
      </c>
      <c r="B3038" t="s">
        <v>73</v>
      </c>
      <c r="C3038" t="s">
        <v>74</v>
      </c>
      <c r="E3038" t="str">
        <f>"080065525882"</f>
        <v>080065525882</v>
      </c>
      <c r="F3038" s="3">
        <v>45800</v>
      </c>
      <c r="G3038">
        <v>202602</v>
      </c>
      <c r="H3038" t="s">
        <v>75</v>
      </c>
      <c r="I3038" t="s">
        <v>76</v>
      </c>
      <c r="J3038" t="s">
        <v>77</v>
      </c>
      <c r="K3038" t="s">
        <v>78</v>
      </c>
      <c r="L3038" t="s">
        <v>117</v>
      </c>
      <c r="M3038" t="s">
        <v>118</v>
      </c>
      <c r="N3038" t="s">
        <v>304</v>
      </c>
      <c r="O3038" t="s">
        <v>82</v>
      </c>
      <c r="P3038" t="str">
        <f>"4170040330                    "</f>
        <v xml:space="preserve">4170040330                    </v>
      </c>
      <c r="Q3038">
        <v>0</v>
      </c>
      <c r="R3038">
        <v>0</v>
      </c>
      <c r="S3038">
        <v>0</v>
      </c>
      <c r="T3038">
        <v>0</v>
      </c>
      <c r="U3038">
        <v>0</v>
      </c>
      <c r="V3038">
        <v>0</v>
      </c>
      <c r="W3038">
        <v>0</v>
      </c>
      <c r="X3038">
        <v>0</v>
      </c>
      <c r="Y3038">
        <v>0</v>
      </c>
      <c r="Z3038">
        <v>0</v>
      </c>
      <c r="AA3038">
        <v>0</v>
      </c>
      <c r="AB3038">
        <v>0</v>
      </c>
      <c r="AC3038">
        <v>0</v>
      </c>
      <c r="AD3038">
        <v>0</v>
      </c>
      <c r="AE3038">
        <v>0</v>
      </c>
      <c r="AF3038">
        <v>0</v>
      </c>
      <c r="AG3038">
        <v>0</v>
      </c>
      <c r="AH3038">
        <v>0</v>
      </c>
      <c r="AI3038">
        <v>0</v>
      </c>
      <c r="AJ3038">
        <v>0</v>
      </c>
      <c r="AK3038">
        <v>0</v>
      </c>
      <c r="AL3038">
        <v>0</v>
      </c>
      <c r="AM3038">
        <v>0</v>
      </c>
      <c r="AN3038">
        <v>0</v>
      </c>
      <c r="AO3038">
        <v>0</v>
      </c>
      <c r="AP3038">
        <v>0</v>
      </c>
      <c r="AQ3038">
        <v>16.7</v>
      </c>
      <c r="AR3038">
        <v>0</v>
      </c>
      <c r="AS3038">
        <v>0</v>
      </c>
      <c r="AT3038">
        <v>0</v>
      </c>
      <c r="AU3038">
        <v>0</v>
      </c>
      <c r="AV3038">
        <v>0</v>
      </c>
      <c r="AW3038">
        <v>0</v>
      </c>
      <c r="AX3038">
        <v>0</v>
      </c>
      <c r="AY3038">
        <v>0</v>
      </c>
      <c r="AZ3038">
        <v>0</v>
      </c>
      <c r="BA3038">
        <v>0</v>
      </c>
      <c r="BB3038">
        <v>0</v>
      </c>
      <c r="BC3038">
        <v>0</v>
      </c>
      <c r="BD3038">
        <v>0</v>
      </c>
      <c r="BE3038">
        <v>0</v>
      </c>
      <c r="BF3038">
        <v>0</v>
      </c>
      <c r="BG3038">
        <v>0</v>
      </c>
      <c r="BH3038">
        <v>1</v>
      </c>
      <c r="BI3038">
        <v>3</v>
      </c>
      <c r="BJ3038">
        <v>1.9</v>
      </c>
      <c r="BK3038">
        <v>3</v>
      </c>
      <c r="BL3038">
        <v>54.66</v>
      </c>
      <c r="BM3038">
        <v>8.1999999999999993</v>
      </c>
      <c r="BN3038">
        <v>62.86</v>
      </c>
      <c r="BO3038">
        <v>62.86</v>
      </c>
      <c r="BQ3038" t="s">
        <v>305</v>
      </c>
      <c r="BR3038" t="s">
        <v>84</v>
      </c>
      <c r="BS3038" s="3">
        <v>45803</v>
      </c>
      <c r="BT3038" s="4">
        <v>0.41666666666666669</v>
      </c>
      <c r="BU3038" t="s">
        <v>1021</v>
      </c>
      <c r="BV3038" t="s">
        <v>86</v>
      </c>
      <c r="BY3038">
        <v>9464</v>
      </c>
      <c r="CA3038" t="s">
        <v>275</v>
      </c>
      <c r="CC3038" t="s">
        <v>118</v>
      </c>
      <c r="CD3038">
        <v>2190</v>
      </c>
      <c r="CE3038" t="s">
        <v>221</v>
      </c>
      <c r="CF3038" s="3">
        <v>45803</v>
      </c>
      <c r="CI3038">
        <v>1</v>
      </c>
      <c r="CJ3038">
        <v>1</v>
      </c>
      <c r="CK3038">
        <v>22</v>
      </c>
      <c r="CL3038" t="s">
        <v>89</v>
      </c>
    </row>
    <row r="3039" spans="1:90" x14ac:dyDescent="0.3">
      <c r="A3039" t="s">
        <v>72</v>
      </c>
      <c r="B3039" t="s">
        <v>73</v>
      </c>
      <c r="C3039" t="s">
        <v>74</v>
      </c>
      <c r="E3039" t="str">
        <f>"080065525952"</f>
        <v>080065525952</v>
      </c>
      <c r="F3039" s="3">
        <v>45800</v>
      </c>
      <c r="G3039">
        <v>202602</v>
      </c>
      <c r="H3039" t="s">
        <v>75</v>
      </c>
      <c r="I3039" t="s">
        <v>76</v>
      </c>
      <c r="J3039" t="s">
        <v>77</v>
      </c>
      <c r="K3039" t="s">
        <v>78</v>
      </c>
      <c r="L3039" t="s">
        <v>287</v>
      </c>
      <c r="M3039" t="s">
        <v>288</v>
      </c>
      <c r="N3039" t="s">
        <v>289</v>
      </c>
      <c r="O3039" t="s">
        <v>82</v>
      </c>
      <c r="P3039" t="str">
        <f>"4170040374                    "</f>
        <v xml:space="preserve">4170040374                    </v>
      </c>
      <c r="Q3039">
        <v>0</v>
      </c>
      <c r="R3039">
        <v>0</v>
      </c>
      <c r="S3039">
        <v>0</v>
      </c>
      <c r="T3039">
        <v>0</v>
      </c>
      <c r="U3039">
        <v>0</v>
      </c>
      <c r="V3039">
        <v>0</v>
      </c>
      <c r="W3039">
        <v>0</v>
      </c>
      <c r="X3039">
        <v>0</v>
      </c>
      <c r="Y3039">
        <v>0</v>
      </c>
      <c r="Z3039">
        <v>0</v>
      </c>
      <c r="AA3039">
        <v>0</v>
      </c>
      <c r="AB3039">
        <v>0</v>
      </c>
      <c r="AC3039">
        <v>0</v>
      </c>
      <c r="AD3039">
        <v>0</v>
      </c>
      <c r="AE3039">
        <v>0</v>
      </c>
      <c r="AF3039">
        <v>0</v>
      </c>
      <c r="AG3039">
        <v>0</v>
      </c>
      <c r="AH3039">
        <v>0</v>
      </c>
      <c r="AI3039">
        <v>0</v>
      </c>
      <c r="AJ3039">
        <v>0</v>
      </c>
      <c r="AK3039">
        <v>0</v>
      </c>
      <c r="AL3039">
        <v>0</v>
      </c>
      <c r="AM3039">
        <v>0</v>
      </c>
      <c r="AN3039">
        <v>0</v>
      </c>
      <c r="AO3039">
        <v>0</v>
      </c>
      <c r="AP3039">
        <v>0</v>
      </c>
      <c r="AQ3039">
        <v>78.849999999999994</v>
      </c>
      <c r="AR3039">
        <v>0</v>
      </c>
      <c r="AS3039">
        <v>0</v>
      </c>
      <c r="AT3039">
        <v>0</v>
      </c>
      <c r="AU3039">
        <v>0</v>
      </c>
      <c r="AV3039">
        <v>0</v>
      </c>
      <c r="AW3039">
        <v>0</v>
      </c>
      <c r="AX3039">
        <v>0</v>
      </c>
      <c r="AY3039">
        <v>0</v>
      </c>
      <c r="AZ3039">
        <v>0</v>
      </c>
      <c r="BA3039">
        <v>0</v>
      </c>
      <c r="BB3039">
        <v>0</v>
      </c>
      <c r="BC3039">
        <v>0</v>
      </c>
      <c r="BD3039">
        <v>0</v>
      </c>
      <c r="BE3039">
        <v>0</v>
      </c>
      <c r="BF3039">
        <v>0</v>
      </c>
      <c r="BG3039">
        <v>0</v>
      </c>
      <c r="BH3039">
        <v>1</v>
      </c>
      <c r="BI3039">
        <v>4</v>
      </c>
      <c r="BJ3039">
        <v>1.1000000000000001</v>
      </c>
      <c r="BK3039">
        <v>4</v>
      </c>
      <c r="BL3039">
        <v>258.05</v>
      </c>
      <c r="BM3039">
        <v>38.71</v>
      </c>
      <c r="BN3039">
        <v>296.76</v>
      </c>
      <c r="BO3039">
        <v>296.76</v>
      </c>
      <c r="BQ3039" t="s">
        <v>290</v>
      </c>
      <c r="BR3039" t="s">
        <v>84</v>
      </c>
      <c r="BS3039" s="3">
        <v>45803</v>
      </c>
      <c r="BT3039" s="4">
        <v>0.4597222222222222</v>
      </c>
      <c r="BU3039" t="s">
        <v>291</v>
      </c>
      <c r="BV3039" t="s">
        <v>86</v>
      </c>
      <c r="BY3039">
        <v>5320</v>
      </c>
      <c r="CA3039" t="s">
        <v>292</v>
      </c>
      <c r="CC3039" t="s">
        <v>288</v>
      </c>
      <c r="CD3039">
        <v>6715</v>
      </c>
      <c r="CE3039" t="s">
        <v>96</v>
      </c>
      <c r="CF3039" s="3">
        <v>45804</v>
      </c>
      <c r="CI3039">
        <v>2</v>
      </c>
      <c r="CJ3039">
        <v>1</v>
      </c>
      <c r="CK3039">
        <v>23</v>
      </c>
      <c r="CL3039" t="s">
        <v>89</v>
      </c>
    </row>
    <row r="3040" spans="1:90" x14ac:dyDescent="0.3">
      <c r="A3040" t="s">
        <v>72</v>
      </c>
      <c r="B3040" t="s">
        <v>73</v>
      </c>
      <c r="C3040" t="s">
        <v>74</v>
      </c>
      <c r="E3040" t="str">
        <f>"080065526032"</f>
        <v>080065526032</v>
      </c>
      <c r="F3040" s="3">
        <v>45800</v>
      </c>
      <c r="G3040">
        <v>202602</v>
      </c>
      <c r="H3040" t="s">
        <v>75</v>
      </c>
      <c r="I3040" t="s">
        <v>76</v>
      </c>
      <c r="J3040" t="s">
        <v>77</v>
      </c>
      <c r="K3040" t="s">
        <v>78</v>
      </c>
      <c r="L3040" t="s">
        <v>311</v>
      </c>
      <c r="M3040" t="s">
        <v>312</v>
      </c>
      <c r="N3040" t="s">
        <v>313</v>
      </c>
      <c r="O3040" t="s">
        <v>82</v>
      </c>
      <c r="P3040" t="str">
        <f>"4170040446                    "</f>
        <v xml:space="preserve">4170040446                    </v>
      </c>
      <c r="Q3040">
        <v>0</v>
      </c>
      <c r="R3040">
        <v>0</v>
      </c>
      <c r="S3040">
        <v>0</v>
      </c>
      <c r="T3040">
        <v>0</v>
      </c>
      <c r="U3040">
        <v>0</v>
      </c>
      <c r="V3040">
        <v>0</v>
      </c>
      <c r="W3040">
        <v>0</v>
      </c>
      <c r="X3040">
        <v>0</v>
      </c>
      <c r="Y3040">
        <v>0</v>
      </c>
      <c r="Z3040">
        <v>0</v>
      </c>
      <c r="AA3040">
        <v>0</v>
      </c>
      <c r="AB3040">
        <v>0</v>
      </c>
      <c r="AC3040">
        <v>0</v>
      </c>
      <c r="AD3040">
        <v>0</v>
      </c>
      <c r="AE3040">
        <v>0</v>
      </c>
      <c r="AF3040">
        <v>0</v>
      </c>
      <c r="AG3040">
        <v>0</v>
      </c>
      <c r="AH3040">
        <v>0</v>
      </c>
      <c r="AI3040">
        <v>0</v>
      </c>
      <c r="AJ3040">
        <v>0</v>
      </c>
      <c r="AK3040">
        <v>0</v>
      </c>
      <c r="AL3040">
        <v>0</v>
      </c>
      <c r="AM3040">
        <v>0</v>
      </c>
      <c r="AN3040">
        <v>0</v>
      </c>
      <c r="AO3040">
        <v>0</v>
      </c>
      <c r="AP3040">
        <v>0</v>
      </c>
      <c r="AQ3040">
        <v>16.7</v>
      </c>
      <c r="AR3040">
        <v>0</v>
      </c>
      <c r="AS3040">
        <v>0</v>
      </c>
      <c r="AT3040">
        <v>0</v>
      </c>
      <c r="AU3040">
        <v>0</v>
      </c>
      <c r="AV3040">
        <v>0</v>
      </c>
      <c r="AW3040">
        <v>0</v>
      </c>
      <c r="AX3040">
        <v>0</v>
      </c>
      <c r="AY3040">
        <v>0</v>
      </c>
      <c r="AZ3040">
        <v>0</v>
      </c>
      <c r="BA3040">
        <v>0</v>
      </c>
      <c r="BB3040">
        <v>0</v>
      </c>
      <c r="BC3040">
        <v>0</v>
      </c>
      <c r="BD3040">
        <v>0</v>
      </c>
      <c r="BE3040">
        <v>0</v>
      </c>
      <c r="BF3040">
        <v>0</v>
      </c>
      <c r="BG3040">
        <v>0</v>
      </c>
      <c r="BH3040">
        <v>1</v>
      </c>
      <c r="BI3040">
        <v>1</v>
      </c>
      <c r="BJ3040">
        <v>4.0999999999999996</v>
      </c>
      <c r="BK3040">
        <v>5</v>
      </c>
      <c r="BL3040">
        <v>54.66</v>
      </c>
      <c r="BM3040">
        <v>8.1999999999999993</v>
      </c>
      <c r="BN3040">
        <v>62.86</v>
      </c>
      <c r="BO3040">
        <v>62.86</v>
      </c>
      <c r="BQ3040" t="s">
        <v>314</v>
      </c>
      <c r="BR3040" t="s">
        <v>84</v>
      </c>
      <c r="BS3040" s="3">
        <v>45803</v>
      </c>
      <c r="BT3040" s="4">
        <v>0.4375</v>
      </c>
      <c r="BU3040" t="s">
        <v>382</v>
      </c>
      <c r="BV3040" t="s">
        <v>86</v>
      </c>
      <c r="BY3040">
        <v>20358</v>
      </c>
      <c r="CA3040" t="s">
        <v>1065</v>
      </c>
      <c r="CC3040" t="s">
        <v>312</v>
      </c>
      <c r="CD3040">
        <v>1501</v>
      </c>
      <c r="CE3040" t="s">
        <v>96</v>
      </c>
      <c r="CF3040" s="3">
        <v>45803</v>
      </c>
      <c r="CI3040">
        <v>1</v>
      </c>
      <c r="CJ3040">
        <v>1</v>
      </c>
      <c r="CK3040">
        <v>22</v>
      </c>
      <c r="CL3040" t="s">
        <v>89</v>
      </c>
    </row>
    <row r="3041" spans="1:90" x14ac:dyDescent="0.3">
      <c r="A3041" t="s">
        <v>72</v>
      </c>
      <c r="B3041" t="s">
        <v>73</v>
      </c>
      <c r="C3041" t="s">
        <v>74</v>
      </c>
      <c r="E3041" t="str">
        <f>"080065526127"</f>
        <v>080065526127</v>
      </c>
      <c r="F3041" s="3">
        <v>45800</v>
      </c>
      <c r="G3041">
        <v>202602</v>
      </c>
      <c r="H3041" t="s">
        <v>75</v>
      </c>
      <c r="I3041" t="s">
        <v>76</v>
      </c>
      <c r="J3041" t="s">
        <v>77</v>
      </c>
      <c r="K3041" t="s">
        <v>78</v>
      </c>
      <c r="L3041" t="s">
        <v>374</v>
      </c>
      <c r="M3041" t="s">
        <v>375</v>
      </c>
      <c r="N3041" t="s">
        <v>376</v>
      </c>
      <c r="O3041" t="s">
        <v>82</v>
      </c>
      <c r="P3041" t="str">
        <f>"4170040373                    "</f>
        <v xml:space="preserve">4170040373                    </v>
      </c>
      <c r="Q3041">
        <v>0</v>
      </c>
      <c r="R3041">
        <v>0</v>
      </c>
      <c r="S3041">
        <v>0</v>
      </c>
      <c r="T3041">
        <v>0</v>
      </c>
      <c r="U3041">
        <v>0</v>
      </c>
      <c r="V3041">
        <v>0</v>
      </c>
      <c r="W3041">
        <v>0</v>
      </c>
      <c r="X3041">
        <v>0</v>
      </c>
      <c r="Y3041">
        <v>0</v>
      </c>
      <c r="Z3041">
        <v>0</v>
      </c>
      <c r="AA3041">
        <v>0</v>
      </c>
      <c r="AB3041">
        <v>0</v>
      </c>
      <c r="AC3041">
        <v>0</v>
      </c>
      <c r="AD3041">
        <v>0</v>
      </c>
      <c r="AE3041">
        <v>0</v>
      </c>
      <c r="AF3041">
        <v>0</v>
      </c>
      <c r="AG3041">
        <v>0</v>
      </c>
      <c r="AH3041">
        <v>0</v>
      </c>
      <c r="AI3041">
        <v>0</v>
      </c>
      <c r="AJ3041">
        <v>0</v>
      </c>
      <c r="AK3041">
        <v>0</v>
      </c>
      <c r="AL3041">
        <v>0</v>
      </c>
      <c r="AM3041">
        <v>0</v>
      </c>
      <c r="AN3041">
        <v>0</v>
      </c>
      <c r="AO3041">
        <v>0</v>
      </c>
      <c r="AP3041">
        <v>0</v>
      </c>
      <c r="AQ3041">
        <v>78.849999999999994</v>
      </c>
      <c r="AR3041">
        <v>0</v>
      </c>
      <c r="AS3041">
        <v>0</v>
      </c>
      <c r="AT3041">
        <v>0</v>
      </c>
      <c r="AU3041">
        <v>0</v>
      </c>
      <c r="AV3041">
        <v>0</v>
      </c>
      <c r="AW3041">
        <v>0</v>
      </c>
      <c r="AX3041">
        <v>0</v>
      </c>
      <c r="AY3041">
        <v>0</v>
      </c>
      <c r="AZ3041">
        <v>0</v>
      </c>
      <c r="BA3041">
        <v>0</v>
      </c>
      <c r="BB3041">
        <v>0</v>
      </c>
      <c r="BC3041">
        <v>0</v>
      </c>
      <c r="BD3041">
        <v>0</v>
      </c>
      <c r="BE3041">
        <v>0</v>
      </c>
      <c r="BF3041">
        <v>0</v>
      </c>
      <c r="BG3041">
        <v>0</v>
      </c>
      <c r="BH3041">
        <v>1</v>
      </c>
      <c r="BI3041">
        <v>4</v>
      </c>
      <c r="BJ3041">
        <v>1.7</v>
      </c>
      <c r="BK3041">
        <v>4</v>
      </c>
      <c r="BL3041">
        <v>258.05</v>
      </c>
      <c r="BM3041">
        <v>38.71</v>
      </c>
      <c r="BN3041">
        <v>296.76</v>
      </c>
      <c r="BO3041">
        <v>296.76</v>
      </c>
      <c r="BQ3041" t="s">
        <v>377</v>
      </c>
      <c r="BR3041" t="s">
        <v>84</v>
      </c>
      <c r="BS3041" s="3">
        <v>45803</v>
      </c>
      <c r="BT3041" s="4">
        <v>0.41458333333333336</v>
      </c>
      <c r="BU3041" t="s">
        <v>3000</v>
      </c>
      <c r="BV3041" t="s">
        <v>86</v>
      </c>
      <c r="BY3041">
        <v>8512</v>
      </c>
      <c r="CA3041" t="s">
        <v>379</v>
      </c>
      <c r="CC3041" t="s">
        <v>375</v>
      </c>
      <c r="CD3041">
        <v>7130</v>
      </c>
      <c r="CE3041" t="s">
        <v>116</v>
      </c>
      <c r="CF3041" s="3">
        <v>45804</v>
      </c>
      <c r="CI3041">
        <v>1</v>
      </c>
      <c r="CJ3041">
        <v>1</v>
      </c>
      <c r="CK3041">
        <v>23</v>
      </c>
      <c r="CL3041" t="s">
        <v>89</v>
      </c>
    </row>
    <row r="3042" spans="1:90" x14ac:dyDescent="0.3">
      <c r="A3042" t="s">
        <v>72</v>
      </c>
      <c r="B3042" t="s">
        <v>73</v>
      </c>
      <c r="C3042" t="s">
        <v>74</v>
      </c>
      <c r="E3042" t="str">
        <f>"080065526202"</f>
        <v>080065526202</v>
      </c>
      <c r="F3042" s="3">
        <v>45800</v>
      </c>
      <c r="G3042">
        <v>202602</v>
      </c>
      <c r="H3042" t="s">
        <v>75</v>
      </c>
      <c r="I3042" t="s">
        <v>76</v>
      </c>
      <c r="J3042" t="s">
        <v>77</v>
      </c>
      <c r="K3042" t="s">
        <v>78</v>
      </c>
      <c r="L3042" t="s">
        <v>90</v>
      </c>
      <c r="M3042" t="s">
        <v>91</v>
      </c>
      <c r="N3042" t="s">
        <v>914</v>
      </c>
      <c r="O3042" t="s">
        <v>82</v>
      </c>
      <c r="P3042" t="str">
        <f>"4170040351                    "</f>
        <v xml:space="preserve">4170040351                    </v>
      </c>
      <c r="Q3042">
        <v>0</v>
      </c>
      <c r="R3042">
        <v>0</v>
      </c>
      <c r="S3042">
        <v>0</v>
      </c>
      <c r="T3042">
        <v>0</v>
      </c>
      <c r="U3042">
        <v>0</v>
      </c>
      <c r="V3042">
        <v>0</v>
      </c>
      <c r="W3042">
        <v>0</v>
      </c>
      <c r="X3042">
        <v>0</v>
      </c>
      <c r="Y3042">
        <v>0</v>
      </c>
      <c r="Z3042">
        <v>0</v>
      </c>
      <c r="AA3042">
        <v>0</v>
      </c>
      <c r="AB3042">
        <v>0</v>
      </c>
      <c r="AC3042">
        <v>0</v>
      </c>
      <c r="AD3042">
        <v>0</v>
      </c>
      <c r="AE3042">
        <v>0</v>
      </c>
      <c r="AF3042">
        <v>0</v>
      </c>
      <c r="AG3042">
        <v>0</v>
      </c>
      <c r="AH3042">
        <v>0</v>
      </c>
      <c r="AI3042">
        <v>0</v>
      </c>
      <c r="AJ3042">
        <v>0</v>
      </c>
      <c r="AK3042">
        <v>0</v>
      </c>
      <c r="AL3042">
        <v>0</v>
      </c>
      <c r="AM3042">
        <v>0</v>
      </c>
      <c r="AN3042">
        <v>0</v>
      </c>
      <c r="AO3042">
        <v>0</v>
      </c>
      <c r="AP3042">
        <v>0</v>
      </c>
      <c r="AQ3042">
        <v>21.38</v>
      </c>
      <c r="AR3042">
        <v>0</v>
      </c>
      <c r="AS3042">
        <v>0</v>
      </c>
      <c r="AT3042">
        <v>0</v>
      </c>
      <c r="AU3042">
        <v>0</v>
      </c>
      <c r="AV3042">
        <v>0</v>
      </c>
      <c r="AW3042">
        <v>0</v>
      </c>
      <c r="AX3042">
        <v>0</v>
      </c>
      <c r="AY3042">
        <v>0</v>
      </c>
      <c r="AZ3042">
        <v>0</v>
      </c>
      <c r="BA3042">
        <v>0</v>
      </c>
      <c r="BB3042">
        <v>0</v>
      </c>
      <c r="BC3042">
        <v>0</v>
      </c>
      <c r="BD3042">
        <v>0</v>
      </c>
      <c r="BE3042">
        <v>0</v>
      </c>
      <c r="BF3042">
        <v>0</v>
      </c>
      <c r="BG3042">
        <v>0</v>
      </c>
      <c r="BH3042">
        <v>1</v>
      </c>
      <c r="BI3042">
        <v>1</v>
      </c>
      <c r="BJ3042">
        <v>0.2</v>
      </c>
      <c r="BK3042">
        <v>1</v>
      </c>
      <c r="BL3042">
        <v>69.98</v>
      </c>
      <c r="BM3042">
        <v>10.5</v>
      </c>
      <c r="BN3042">
        <v>80.48</v>
      </c>
      <c r="BO3042">
        <v>80.48</v>
      </c>
      <c r="BQ3042" t="s">
        <v>915</v>
      </c>
      <c r="BR3042" t="s">
        <v>84</v>
      </c>
      <c r="BS3042" s="3">
        <v>45803</v>
      </c>
      <c r="BT3042" s="4">
        <v>0.41388888888888886</v>
      </c>
      <c r="BU3042" t="s">
        <v>1926</v>
      </c>
      <c r="BV3042" t="s">
        <v>86</v>
      </c>
      <c r="BY3042">
        <v>1200</v>
      </c>
      <c r="CA3042" t="s">
        <v>95</v>
      </c>
      <c r="CC3042" t="s">
        <v>91</v>
      </c>
      <c r="CD3042">
        <v>6001</v>
      </c>
      <c r="CE3042" t="s">
        <v>88</v>
      </c>
      <c r="CF3042" s="3">
        <v>45803</v>
      </c>
      <c r="CI3042">
        <v>1</v>
      </c>
      <c r="CJ3042">
        <v>1</v>
      </c>
      <c r="CK3042">
        <v>21</v>
      </c>
      <c r="CL3042" t="s">
        <v>89</v>
      </c>
    </row>
    <row r="3043" spans="1:90" x14ac:dyDescent="0.3">
      <c r="A3043" t="s">
        <v>72</v>
      </c>
      <c r="B3043" t="s">
        <v>73</v>
      </c>
      <c r="C3043" t="s">
        <v>74</v>
      </c>
      <c r="E3043" t="str">
        <f>"080065526268"</f>
        <v>080065526268</v>
      </c>
      <c r="F3043" s="3">
        <v>45800</v>
      </c>
      <c r="G3043">
        <v>202602</v>
      </c>
      <c r="H3043" t="s">
        <v>75</v>
      </c>
      <c r="I3043" t="s">
        <v>76</v>
      </c>
      <c r="J3043" t="s">
        <v>77</v>
      </c>
      <c r="K3043" t="s">
        <v>78</v>
      </c>
      <c r="L3043" t="s">
        <v>420</v>
      </c>
      <c r="M3043" t="s">
        <v>421</v>
      </c>
      <c r="N3043" t="s">
        <v>1914</v>
      </c>
      <c r="O3043" t="s">
        <v>82</v>
      </c>
      <c r="P3043" t="str">
        <f>"4170040386                    "</f>
        <v xml:space="preserve">4170040386                    </v>
      </c>
      <c r="Q3043">
        <v>0</v>
      </c>
      <c r="R3043">
        <v>0</v>
      </c>
      <c r="S3043">
        <v>0</v>
      </c>
      <c r="T3043">
        <v>0</v>
      </c>
      <c r="U3043">
        <v>0</v>
      </c>
      <c r="V3043">
        <v>0</v>
      </c>
      <c r="W3043">
        <v>0</v>
      </c>
      <c r="X3043">
        <v>0</v>
      </c>
      <c r="Y3043">
        <v>0</v>
      </c>
      <c r="Z3043">
        <v>0</v>
      </c>
      <c r="AA3043">
        <v>0</v>
      </c>
      <c r="AB3043">
        <v>0</v>
      </c>
      <c r="AC3043">
        <v>0</v>
      </c>
      <c r="AD3043">
        <v>0</v>
      </c>
      <c r="AE3043">
        <v>0</v>
      </c>
      <c r="AF3043">
        <v>0</v>
      </c>
      <c r="AG3043">
        <v>0</v>
      </c>
      <c r="AH3043">
        <v>0</v>
      </c>
      <c r="AI3043">
        <v>0</v>
      </c>
      <c r="AJ3043">
        <v>0</v>
      </c>
      <c r="AK3043">
        <v>0</v>
      </c>
      <c r="AL3043">
        <v>0</v>
      </c>
      <c r="AM3043">
        <v>0</v>
      </c>
      <c r="AN3043">
        <v>0</v>
      </c>
      <c r="AO3043">
        <v>0</v>
      </c>
      <c r="AP3043">
        <v>0</v>
      </c>
      <c r="AQ3043">
        <v>41.43</v>
      </c>
      <c r="AR3043">
        <v>0</v>
      </c>
      <c r="AS3043">
        <v>0</v>
      </c>
      <c r="AT3043">
        <v>0</v>
      </c>
      <c r="AU3043">
        <v>0</v>
      </c>
      <c r="AV3043">
        <v>0</v>
      </c>
      <c r="AW3043">
        <v>0</v>
      </c>
      <c r="AX3043">
        <v>0</v>
      </c>
      <c r="AY3043">
        <v>0</v>
      </c>
      <c r="AZ3043">
        <v>0</v>
      </c>
      <c r="BA3043">
        <v>0</v>
      </c>
      <c r="BB3043">
        <v>0</v>
      </c>
      <c r="BC3043">
        <v>0</v>
      </c>
      <c r="BD3043">
        <v>0</v>
      </c>
      <c r="BE3043">
        <v>0</v>
      </c>
      <c r="BF3043">
        <v>0</v>
      </c>
      <c r="BG3043">
        <v>0</v>
      </c>
      <c r="BH3043">
        <v>1</v>
      </c>
      <c r="BI3043">
        <v>1</v>
      </c>
      <c r="BJ3043">
        <v>0.2</v>
      </c>
      <c r="BK3043">
        <v>1</v>
      </c>
      <c r="BL3043">
        <v>135.59</v>
      </c>
      <c r="BM3043">
        <v>20.34</v>
      </c>
      <c r="BN3043">
        <v>155.93</v>
      </c>
      <c r="BO3043">
        <v>155.93</v>
      </c>
      <c r="BQ3043" t="s">
        <v>1915</v>
      </c>
      <c r="BR3043" t="s">
        <v>84</v>
      </c>
      <c r="BS3043" s="3">
        <v>45803</v>
      </c>
      <c r="BT3043" s="4">
        <v>0.41666666666666669</v>
      </c>
      <c r="BU3043" t="s">
        <v>2071</v>
      </c>
      <c r="BV3043" t="s">
        <v>86</v>
      </c>
      <c r="BY3043">
        <v>1200</v>
      </c>
      <c r="CA3043" t="s">
        <v>1917</v>
      </c>
      <c r="CC3043" t="s">
        <v>421</v>
      </c>
      <c r="CD3043">
        <v>3290</v>
      </c>
      <c r="CE3043" t="s">
        <v>88</v>
      </c>
      <c r="CF3043" s="3">
        <v>45804</v>
      </c>
      <c r="CI3043">
        <v>1</v>
      </c>
      <c r="CJ3043">
        <v>1</v>
      </c>
      <c r="CK3043">
        <v>23</v>
      </c>
      <c r="CL3043" t="s">
        <v>89</v>
      </c>
    </row>
    <row r="3044" spans="1:90" x14ac:dyDescent="0.3">
      <c r="A3044" t="s">
        <v>72</v>
      </c>
      <c r="B3044" t="s">
        <v>73</v>
      </c>
      <c r="C3044" t="s">
        <v>74</v>
      </c>
      <c r="E3044" t="str">
        <f>"080065526506"</f>
        <v>080065526506</v>
      </c>
      <c r="F3044" s="3">
        <v>45800</v>
      </c>
      <c r="G3044">
        <v>202602</v>
      </c>
      <c r="H3044" t="s">
        <v>75</v>
      </c>
      <c r="I3044" t="s">
        <v>76</v>
      </c>
      <c r="J3044" t="s">
        <v>77</v>
      </c>
      <c r="K3044" t="s">
        <v>78</v>
      </c>
      <c r="L3044" t="s">
        <v>117</v>
      </c>
      <c r="M3044" t="s">
        <v>118</v>
      </c>
      <c r="N3044" t="s">
        <v>921</v>
      </c>
      <c r="O3044" t="s">
        <v>82</v>
      </c>
      <c r="P3044" t="str">
        <f>"4170040348                    "</f>
        <v xml:space="preserve">4170040348                    </v>
      </c>
      <c r="Q3044">
        <v>0</v>
      </c>
      <c r="R3044">
        <v>0</v>
      </c>
      <c r="S3044">
        <v>0</v>
      </c>
      <c r="T3044">
        <v>0</v>
      </c>
      <c r="U3044">
        <v>0</v>
      </c>
      <c r="V3044">
        <v>0</v>
      </c>
      <c r="W3044">
        <v>0</v>
      </c>
      <c r="X3044">
        <v>0</v>
      </c>
      <c r="Y3044">
        <v>0</v>
      </c>
      <c r="Z3044">
        <v>0</v>
      </c>
      <c r="AA3044">
        <v>0</v>
      </c>
      <c r="AB3044">
        <v>0</v>
      </c>
      <c r="AC3044">
        <v>0</v>
      </c>
      <c r="AD3044">
        <v>0</v>
      </c>
      <c r="AE3044">
        <v>0</v>
      </c>
      <c r="AF3044">
        <v>0</v>
      </c>
      <c r="AG3044">
        <v>0</v>
      </c>
      <c r="AH3044">
        <v>0</v>
      </c>
      <c r="AI3044">
        <v>0</v>
      </c>
      <c r="AJ3044">
        <v>0</v>
      </c>
      <c r="AK3044">
        <v>0</v>
      </c>
      <c r="AL3044">
        <v>0</v>
      </c>
      <c r="AM3044">
        <v>0</v>
      </c>
      <c r="AN3044">
        <v>0</v>
      </c>
      <c r="AO3044">
        <v>0</v>
      </c>
      <c r="AP3044">
        <v>0</v>
      </c>
      <c r="AQ3044">
        <v>16.7</v>
      </c>
      <c r="AR3044">
        <v>0</v>
      </c>
      <c r="AS3044">
        <v>0</v>
      </c>
      <c r="AT3044">
        <v>0</v>
      </c>
      <c r="AU3044">
        <v>0</v>
      </c>
      <c r="AV3044">
        <v>0</v>
      </c>
      <c r="AW3044">
        <v>0</v>
      </c>
      <c r="AX3044">
        <v>0</v>
      </c>
      <c r="AY3044">
        <v>0</v>
      </c>
      <c r="AZ3044">
        <v>0</v>
      </c>
      <c r="BA3044">
        <v>0</v>
      </c>
      <c r="BB3044">
        <v>0</v>
      </c>
      <c r="BC3044">
        <v>0</v>
      </c>
      <c r="BD3044">
        <v>0</v>
      </c>
      <c r="BE3044">
        <v>0</v>
      </c>
      <c r="BF3044">
        <v>0</v>
      </c>
      <c r="BG3044">
        <v>0</v>
      </c>
      <c r="BH3044">
        <v>1</v>
      </c>
      <c r="BI3044">
        <v>1</v>
      </c>
      <c r="BJ3044">
        <v>0.2</v>
      </c>
      <c r="BK3044">
        <v>1</v>
      </c>
      <c r="BL3044">
        <v>54.66</v>
      </c>
      <c r="BM3044">
        <v>8.1999999999999993</v>
      </c>
      <c r="BN3044">
        <v>62.86</v>
      </c>
      <c r="BO3044">
        <v>62.86</v>
      </c>
      <c r="BQ3044" t="s">
        <v>922</v>
      </c>
      <c r="BR3044" t="s">
        <v>84</v>
      </c>
      <c r="BS3044" s="3">
        <v>45803</v>
      </c>
      <c r="BT3044" s="4">
        <v>0.39444444444444443</v>
      </c>
      <c r="BU3044" t="s">
        <v>3020</v>
      </c>
      <c r="BV3044" t="s">
        <v>86</v>
      </c>
      <c r="BY3044">
        <v>1200</v>
      </c>
      <c r="CA3044" t="s">
        <v>1567</v>
      </c>
      <c r="CC3044" t="s">
        <v>118</v>
      </c>
      <c r="CD3044">
        <v>2091</v>
      </c>
      <c r="CE3044" t="s">
        <v>88</v>
      </c>
      <c r="CF3044" s="3">
        <v>45803</v>
      </c>
      <c r="CI3044">
        <v>1</v>
      </c>
      <c r="CJ3044">
        <v>1</v>
      </c>
      <c r="CK3044">
        <v>22</v>
      </c>
      <c r="CL3044" t="s">
        <v>89</v>
      </c>
    </row>
    <row r="3045" spans="1:90" x14ac:dyDescent="0.3">
      <c r="A3045" t="s">
        <v>72</v>
      </c>
      <c r="B3045" t="s">
        <v>73</v>
      </c>
      <c r="C3045" t="s">
        <v>74</v>
      </c>
      <c r="E3045" t="str">
        <f>"080065526540"</f>
        <v>080065526540</v>
      </c>
      <c r="F3045" s="3">
        <v>45800</v>
      </c>
      <c r="G3045">
        <v>202602</v>
      </c>
      <c r="H3045" t="s">
        <v>75</v>
      </c>
      <c r="I3045" t="s">
        <v>76</v>
      </c>
      <c r="J3045" t="s">
        <v>77</v>
      </c>
      <c r="K3045" t="s">
        <v>78</v>
      </c>
      <c r="L3045" t="s">
        <v>350</v>
      </c>
      <c r="M3045" t="s">
        <v>351</v>
      </c>
      <c r="N3045" t="s">
        <v>678</v>
      </c>
      <c r="O3045" t="s">
        <v>82</v>
      </c>
      <c r="P3045" t="str">
        <f>"4170040345                    "</f>
        <v xml:space="preserve">4170040345                    </v>
      </c>
      <c r="Q3045">
        <v>0</v>
      </c>
      <c r="R3045">
        <v>0</v>
      </c>
      <c r="S3045">
        <v>0</v>
      </c>
      <c r="T3045">
        <v>0</v>
      </c>
      <c r="U3045">
        <v>0</v>
      </c>
      <c r="V3045">
        <v>0</v>
      </c>
      <c r="W3045">
        <v>0</v>
      </c>
      <c r="X3045">
        <v>0</v>
      </c>
      <c r="Y3045">
        <v>0</v>
      </c>
      <c r="Z3045">
        <v>0</v>
      </c>
      <c r="AA3045">
        <v>0</v>
      </c>
      <c r="AB3045">
        <v>0</v>
      </c>
      <c r="AC3045">
        <v>0</v>
      </c>
      <c r="AD3045">
        <v>0</v>
      </c>
      <c r="AE3045">
        <v>0</v>
      </c>
      <c r="AF3045">
        <v>0</v>
      </c>
      <c r="AG3045">
        <v>0</v>
      </c>
      <c r="AH3045">
        <v>0</v>
      </c>
      <c r="AI3045">
        <v>0</v>
      </c>
      <c r="AJ3045">
        <v>0</v>
      </c>
      <c r="AK3045">
        <v>0</v>
      </c>
      <c r="AL3045">
        <v>0</v>
      </c>
      <c r="AM3045">
        <v>0</v>
      </c>
      <c r="AN3045">
        <v>0</v>
      </c>
      <c r="AO3045">
        <v>0</v>
      </c>
      <c r="AP3045">
        <v>0</v>
      </c>
      <c r="AQ3045">
        <v>85.48</v>
      </c>
      <c r="AR3045">
        <v>0</v>
      </c>
      <c r="AS3045">
        <v>0</v>
      </c>
      <c r="AT3045">
        <v>0</v>
      </c>
      <c r="AU3045">
        <v>0</v>
      </c>
      <c r="AV3045">
        <v>0</v>
      </c>
      <c r="AW3045">
        <v>0</v>
      </c>
      <c r="AX3045">
        <v>0</v>
      </c>
      <c r="AY3045">
        <v>0</v>
      </c>
      <c r="AZ3045">
        <v>0</v>
      </c>
      <c r="BA3045">
        <v>0</v>
      </c>
      <c r="BB3045">
        <v>0</v>
      </c>
      <c r="BC3045">
        <v>0</v>
      </c>
      <c r="BD3045">
        <v>0</v>
      </c>
      <c r="BE3045">
        <v>0</v>
      </c>
      <c r="BF3045">
        <v>0</v>
      </c>
      <c r="BG3045">
        <v>0</v>
      </c>
      <c r="BH3045">
        <v>1</v>
      </c>
      <c r="BI3045">
        <v>8</v>
      </c>
      <c r="BJ3045">
        <v>3.4</v>
      </c>
      <c r="BK3045">
        <v>8</v>
      </c>
      <c r="BL3045">
        <v>279.76</v>
      </c>
      <c r="BM3045">
        <v>41.96</v>
      </c>
      <c r="BN3045">
        <v>321.72000000000003</v>
      </c>
      <c r="BO3045">
        <v>321.72000000000003</v>
      </c>
      <c r="BQ3045" t="s">
        <v>679</v>
      </c>
      <c r="BR3045" t="s">
        <v>84</v>
      </c>
      <c r="BS3045" s="3">
        <v>45803</v>
      </c>
      <c r="BT3045" s="4">
        <v>0.40277777777777779</v>
      </c>
      <c r="BU3045" t="s">
        <v>680</v>
      </c>
      <c r="BV3045" t="s">
        <v>86</v>
      </c>
      <c r="BY3045">
        <v>16965</v>
      </c>
      <c r="CA3045" t="s">
        <v>326</v>
      </c>
      <c r="CC3045" t="s">
        <v>351</v>
      </c>
      <c r="CD3045">
        <v>4052</v>
      </c>
      <c r="CE3045" t="s">
        <v>96</v>
      </c>
      <c r="CF3045" s="3">
        <v>45804</v>
      </c>
      <c r="CI3045">
        <v>1</v>
      </c>
      <c r="CJ3045">
        <v>1</v>
      </c>
      <c r="CK3045">
        <v>21</v>
      </c>
      <c r="CL3045" t="s">
        <v>89</v>
      </c>
    </row>
    <row r="3046" spans="1:90" x14ac:dyDescent="0.3">
      <c r="A3046" t="s">
        <v>72</v>
      </c>
      <c r="B3046" t="s">
        <v>73</v>
      </c>
      <c r="C3046" t="s">
        <v>74</v>
      </c>
      <c r="E3046" t="str">
        <f>"080065527470"</f>
        <v>080065527470</v>
      </c>
      <c r="F3046" s="3">
        <v>45800</v>
      </c>
      <c r="G3046">
        <v>202602</v>
      </c>
      <c r="H3046" t="s">
        <v>75</v>
      </c>
      <c r="I3046" t="s">
        <v>76</v>
      </c>
      <c r="J3046" t="s">
        <v>77</v>
      </c>
      <c r="K3046" t="s">
        <v>78</v>
      </c>
      <c r="L3046" t="s">
        <v>90</v>
      </c>
      <c r="M3046" t="s">
        <v>91</v>
      </c>
      <c r="N3046" t="s">
        <v>371</v>
      </c>
      <c r="O3046" t="s">
        <v>82</v>
      </c>
      <c r="P3046" t="str">
        <f>"4170040435                    "</f>
        <v xml:space="preserve">4170040435                    </v>
      </c>
      <c r="Q3046">
        <v>0</v>
      </c>
      <c r="R3046">
        <v>0</v>
      </c>
      <c r="S3046">
        <v>0</v>
      </c>
      <c r="T3046">
        <v>0</v>
      </c>
      <c r="U3046">
        <v>0</v>
      </c>
      <c r="V3046">
        <v>0</v>
      </c>
      <c r="W3046">
        <v>0</v>
      </c>
      <c r="X3046">
        <v>0</v>
      </c>
      <c r="Y3046">
        <v>0</v>
      </c>
      <c r="Z3046">
        <v>0</v>
      </c>
      <c r="AA3046">
        <v>0</v>
      </c>
      <c r="AB3046">
        <v>0</v>
      </c>
      <c r="AC3046">
        <v>0</v>
      </c>
      <c r="AD3046">
        <v>0</v>
      </c>
      <c r="AE3046">
        <v>0</v>
      </c>
      <c r="AF3046">
        <v>0</v>
      </c>
      <c r="AG3046">
        <v>0</v>
      </c>
      <c r="AH3046">
        <v>0</v>
      </c>
      <c r="AI3046">
        <v>0</v>
      </c>
      <c r="AJ3046">
        <v>0</v>
      </c>
      <c r="AK3046">
        <v>0</v>
      </c>
      <c r="AL3046">
        <v>0</v>
      </c>
      <c r="AM3046">
        <v>0</v>
      </c>
      <c r="AN3046">
        <v>0</v>
      </c>
      <c r="AO3046">
        <v>0</v>
      </c>
      <c r="AP3046">
        <v>0</v>
      </c>
      <c r="AQ3046">
        <v>21.38</v>
      </c>
      <c r="AR3046">
        <v>0</v>
      </c>
      <c r="AS3046">
        <v>0</v>
      </c>
      <c r="AT3046">
        <v>0</v>
      </c>
      <c r="AU3046">
        <v>0</v>
      </c>
      <c r="AV3046">
        <v>0</v>
      </c>
      <c r="AW3046">
        <v>0</v>
      </c>
      <c r="AX3046">
        <v>0</v>
      </c>
      <c r="AY3046">
        <v>0</v>
      </c>
      <c r="AZ3046">
        <v>0</v>
      </c>
      <c r="BA3046">
        <v>0</v>
      </c>
      <c r="BB3046">
        <v>0</v>
      </c>
      <c r="BC3046">
        <v>0</v>
      </c>
      <c r="BD3046">
        <v>0</v>
      </c>
      <c r="BE3046">
        <v>0</v>
      </c>
      <c r="BF3046">
        <v>0</v>
      </c>
      <c r="BG3046">
        <v>0</v>
      </c>
      <c r="BH3046">
        <v>1</v>
      </c>
      <c r="BI3046">
        <v>1</v>
      </c>
      <c r="BJ3046">
        <v>0.2</v>
      </c>
      <c r="BK3046">
        <v>1</v>
      </c>
      <c r="BL3046">
        <v>69.98</v>
      </c>
      <c r="BM3046">
        <v>10.5</v>
      </c>
      <c r="BN3046">
        <v>80.48</v>
      </c>
      <c r="BO3046">
        <v>80.48</v>
      </c>
      <c r="BQ3046" t="s">
        <v>372</v>
      </c>
      <c r="BR3046" t="s">
        <v>84</v>
      </c>
      <c r="BS3046" s="3">
        <v>45803</v>
      </c>
      <c r="BT3046" s="4">
        <v>0.4236111111111111</v>
      </c>
      <c r="BU3046" t="s">
        <v>373</v>
      </c>
      <c r="BV3046" t="s">
        <v>86</v>
      </c>
      <c r="BY3046">
        <v>1200</v>
      </c>
      <c r="CA3046" t="s">
        <v>298</v>
      </c>
      <c r="CC3046" t="s">
        <v>91</v>
      </c>
      <c r="CD3046">
        <v>6001</v>
      </c>
      <c r="CE3046" t="s">
        <v>88</v>
      </c>
      <c r="CF3046" s="3">
        <v>45803</v>
      </c>
      <c r="CI3046">
        <v>1</v>
      </c>
      <c r="CJ3046">
        <v>1</v>
      </c>
      <c r="CK3046">
        <v>21</v>
      </c>
      <c r="CL3046" t="s">
        <v>89</v>
      </c>
    </row>
    <row r="3047" spans="1:90" x14ac:dyDescent="0.3">
      <c r="A3047" t="s">
        <v>72</v>
      </c>
      <c r="B3047" t="s">
        <v>73</v>
      </c>
      <c r="C3047" t="s">
        <v>74</v>
      </c>
      <c r="E3047" t="str">
        <f>"080065527502"</f>
        <v>080065527502</v>
      </c>
      <c r="F3047" s="3">
        <v>45800</v>
      </c>
      <c r="G3047">
        <v>202602</v>
      </c>
      <c r="H3047" t="s">
        <v>75</v>
      </c>
      <c r="I3047" t="s">
        <v>76</v>
      </c>
      <c r="J3047" t="s">
        <v>77</v>
      </c>
      <c r="K3047" t="s">
        <v>78</v>
      </c>
      <c r="L3047" t="s">
        <v>177</v>
      </c>
      <c r="M3047" t="s">
        <v>178</v>
      </c>
      <c r="N3047" t="s">
        <v>3021</v>
      </c>
      <c r="O3047" t="s">
        <v>82</v>
      </c>
      <c r="P3047" t="str">
        <f>"4170040320                    "</f>
        <v xml:space="preserve">4170040320                    </v>
      </c>
      <c r="Q3047">
        <v>0</v>
      </c>
      <c r="R3047">
        <v>0</v>
      </c>
      <c r="S3047">
        <v>0</v>
      </c>
      <c r="T3047">
        <v>0</v>
      </c>
      <c r="U3047">
        <v>0</v>
      </c>
      <c r="V3047">
        <v>0</v>
      </c>
      <c r="W3047">
        <v>0</v>
      </c>
      <c r="X3047">
        <v>0</v>
      </c>
      <c r="Y3047">
        <v>0</v>
      </c>
      <c r="Z3047">
        <v>0</v>
      </c>
      <c r="AA3047">
        <v>0</v>
      </c>
      <c r="AB3047">
        <v>0</v>
      </c>
      <c r="AC3047">
        <v>0</v>
      </c>
      <c r="AD3047">
        <v>0</v>
      </c>
      <c r="AE3047">
        <v>0</v>
      </c>
      <c r="AF3047">
        <v>0</v>
      </c>
      <c r="AG3047">
        <v>0</v>
      </c>
      <c r="AH3047">
        <v>0</v>
      </c>
      <c r="AI3047">
        <v>0</v>
      </c>
      <c r="AJ3047">
        <v>0</v>
      </c>
      <c r="AK3047">
        <v>0</v>
      </c>
      <c r="AL3047">
        <v>0</v>
      </c>
      <c r="AM3047">
        <v>0</v>
      </c>
      <c r="AN3047">
        <v>0</v>
      </c>
      <c r="AO3047">
        <v>0</v>
      </c>
      <c r="AP3047">
        <v>0</v>
      </c>
      <c r="AQ3047">
        <v>21.38</v>
      </c>
      <c r="AR3047">
        <v>0</v>
      </c>
      <c r="AS3047">
        <v>0</v>
      </c>
      <c r="AT3047">
        <v>0</v>
      </c>
      <c r="AU3047">
        <v>0</v>
      </c>
      <c r="AV3047">
        <v>0</v>
      </c>
      <c r="AW3047">
        <v>0</v>
      </c>
      <c r="AX3047">
        <v>0</v>
      </c>
      <c r="AY3047">
        <v>0</v>
      </c>
      <c r="AZ3047">
        <v>0</v>
      </c>
      <c r="BA3047">
        <v>0</v>
      </c>
      <c r="BB3047">
        <v>0</v>
      </c>
      <c r="BC3047">
        <v>0</v>
      </c>
      <c r="BD3047">
        <v>0</v>
      </c>
      <c r="BE3047">
        <v>0</v>
      </c>
      <c r="BF3047">
        <v>0</v>
      </c>
      <c r="BG3047">
        <v>0</v>
      </c>
      <c r="BH3047">
        <v>1</v>
      </c>
      <c r="BI3047">
        <v>1</v>
      </c>
      <c r="BJ3047">
        <v>0.2</v>
      </c>
      <c r="BK3047">
        <v>1</v>
      </c>
      <c r="BL3047">
        <v>69.98</v>
      </c>
      <c r="BM3047">
        <v>10.5</v>
      </c>
      <c r="BN3047">
        <v>80.48</v>
      </c>
      <c r="BO3047">
        <v>80.48</v>
      </c>
      <c r="BQ3047" t="s">
        <v>3022</v>
      </c>
      <c r="BR3047" t="s">
        <v>84</v>
      </c>
      <c r="BS3047" s="3">
        <v>45803</v>
      </c>
      <c r="BT3047" s="4">
        <v>0.34444444444444444</v>
      </c>
      <c r="BU3047" t="s">
        <v>3023</v>
      </c>
      <c r="BV3047" t="s">
        <v>86</v>
      </c>
      <c r="BY3047">
        <v>1200</v>
      </c>
      <c r="CA3047" t="s">
        <v>182</v>
      </c>
      <c r="CC3047" t="s">
        <v>178</v>
      </c>
      <c r="CD3047">
        <v>6229</v>
      </c>
      <c r="CE3047" t="s">
        <v>88</v>
      </c>
      <c r="CF3047" s="3">
        <v>45803</v>
      </c>
      <c r="CI3047">
        <v>1</v>
      </c>
      <c r="CJ3047">
        <v>1</v>
      </c>
      <c r="CK3047">
        <v>21</v>
      </c>
      <c r="CL3047" t="s">
        <v>89</v>
      </c>
    </row>
    <row r="3048" spans="1:90" x14ac:dyDescent="0.3">
      <c r="A3048" t="s">
        <v>72</v>
      </c>
      <c r="B3048" t="s">
        <v>73</v>
      </c>
      <c r="C3048" t="s">
        <v>74</v>
      </c>
      <c r="E3048" t="str">
        <f>"080065527518"</f>
        <v>080065527518</v>
      </c>
      <c r="F3048" s="3">
        <v>45800</v>
      </c>
      <c r="G3048">
        <v>202602</v>
      </c>
      <c r="H3048" t="s">
        <v>75</v>
      </c>
      <c r="I3048" t="s">
        <v>76</v>
      </c>
      <c r="J3048" t="s">
        <v>77</v>
      </c>
      <c r="K3048" t="s">
        <v>78</v>
      </c>
      <c r="L3048" t="s">
        <v>90</v>
      </c>
      <c r="M3048" t="s">
        <v>91</v>
      </c>
      <c r="N3048" t="s">
        <v>563</v>
      </c>
      <c r="O3048" t="s">
        <v>82</v>
      </c>
      <c r="P3048" t="str">
        <f>"4170040423                    "</f>
        <v xml:space="preserve">4170040423                    </v>
      </c>
      <c r="Q3048">
        <v>0</v>
      </c>
      <c r="R3048">
        <v>0</v>
      </c>
      <c r="S3048">
        <v>0</v>
      </c>
      <c r="T3048">
        <v>0</v>
      </c>
      <c r="U3048">
        <v>0</v>
      </c>
      <c r="V3048">
        <v>0</v>
      </c>
      <c r="W3048">
        <v>0</v>
      </c>
      <c r="X3048">
        <v>0</v>
      </c>
      <c r="Y3048">
        <v>0</v>
      </c>
      <c r="Z3048">
        <v>0</v>
      </c>
      <c r="AA3048">
        <v>0</v>
      </c>
      <c r="AB3048">
        <v>0</v>
      </c>
      <c r="AC3048">
        <v>0</v>
      </c>
      <c r="AD3048">
        <v>0</v>
      </c>
      <c r="AE3048">
        <v>0</v>
      </c>
      <c r="AF3048">
        <v>0</v>
      </c>
      <c r="AG3048">
        <v>0</v>
      </c>
      <c r="AH3048">
        <v>0</v>
      </c>
      <c r="AI3048">
        <v>0</v>
      </c>
      <c r="AJ3048">
        <v>0</v>
      </c>
      <c r="AK3048">
        <v>0</v>
      </c>
      <c r="AL3048">
        <v>0</v>
      </c>
      <c r="AM3048">
        <v>0</v>
      </c>
      <c r="AN3048">
        <v>0</v>
      </c>
      <c r="AO3048">
        <v>0</v>
      </c>
      <c r="AP3048">
        <v>0</v>
      </c>
      <c r="AQ3048">
        <v>21.38</v>
      </c>
      <c r="AR3048">
        <v>0</v>
      </c>
      <c r="AS3048">
        <v>0</v>
      </c>
      <c r="AT3048">
        <v>0</v>
      </c>
      <c r="AU3048">
        <v>0</v>
      </c>
      <c r="AV3048">
        <v>0</v>
      </c>
      <c r="AW3048">
        <v>0</v>
      </c>
      <c r="AX3048">
        <v>0</v>
      </c>
      <c r="AY3048">
        <v>0</v>
      </c>
      <c r="AZ3048">
        <v>0</v>
      </c>
      <c r="BA3048">
        <v>0</v>
      </c>
      <c r="BB3048">
        <v>0</v>
      </c>
      <c r="BC3048">
        <v>0</v>
      </c>
      <c r="BD3048">
        <v>0</v>
      </c>
      <c r="BE3048">
        <v>0</v>
      </c>
      <c r="BF3048">
        <v>0</v>
      </c>
      <c r="BG3048">
        <v>0</v>
      </c>
      <c r="BH3048">
        <v>1</v>
      </c>
      <c r="BI3048">
        <v>1</v>
      </c>
      <c r="BJ3048">
        <v>0.2</v>
      </c>
      <c r="BK3048">
        <v>1</v>
      </c>
      <c r="BL3048">
        <v>69.98</v>
      </c>
      <c r="BM3048">
        <v>10.5</v>
      </c>
      <c r="BN3048">
        <v>80.48</v>
      </c>
      <c r="BO3048">
        <v>80.48</v>
      </c>
      <c r="BQ3048" t="s">
        <v>564</v>
      </c>
      <c r="BR3048" t="s">
        <v>84</v>
      </c>
      <c r="BS3048" s="3">
        <v>45803</v>
      </c>
      <c r="BT3048" s="4">
        <v>0.34722222222222221</v>
      </c>
      <c r="BU3048" t="s">
        <v>780</v>
      </c>
      <c r="BV3048" t="s">
        <v>86</v>
      </c>
      <c r="BY3048">
        <v>1200</v>
      </c>
      <c r="CA3048" t="s">
        <v>566</v>
      </c>
      <c r="CC3048" t="s">
        <v>91</v>
      </c>
      <c r="CD3048">
        <v>6001</v>
      </c>
      <c r="CE3048" t="s">
        <v>88</v>
      </c>
      <c r="CF3048" s="3">
        <v>45803</v>
      </c>
      <c r="CI3048">
        <v>1</v>
      </c>
      <c r="CJ3048">
        <v>1</v>
      </c>
      <c r="CK3048">
        <v>21</v>
      </c>
      <c r="CL3048" t="s">
        <v>89</v>
      </c>
    </row>
    <row r="3049" spans="1:90" x14ac:dyDescent="0.3">
      <c r="A3049" t="s">
        <v>72</v>
      </c>
      <c r="B3049" t="s">
        <v>73</v>
      </c>
      <c r="C3049" t="s">
        <v>74</v>
      </c>
      <c r="E3049" t="str">
        <f>"080065527538"</f>
        <v>080065527538</v>
      </c>
      <c r="F3049" s="3">
        <v>45800</v>
      </c>
      <c r="G3049">
        <v>202602</v>
      </c>
      <c r="H3049" t="s">
        <v>75</v>
      </c>
      <c r="I3049" t="s">
        <v>76</v>
      </c>
      <c r="J3049" t="s">
        <v>77</v>
      </c>
      <c r="K3049" t="s">
        <v>78</v>
      </c>
      <c r="L3049" t="s">
        <v>130</v>
      </c>
      <c r="M3049" t="s">
        <v>131</v>
      </c>
      <c r="N3049" t="s">
        <v>681</v>
      </c>
      <c r="O3049" t="s">
        <v>82</v>
      </c>
      <c r="P3049" t="str">
        <f>"4170040281                    "</f>
        <v xml:space="preserve">4170040281                    </v>
      </c>
      <c r="Q3049">
        <v>0</v>
      </c>
      <c r="R3049">
        <v>0</v>
      </c>
      <c r="S3049">
        <v>0</v>
      </c>
      <c r="T3049">
        <v>0</v>
      </c>
      <c r="U3049">
        <v>0</v>
      </c>
      <c r="V3049">
        <v>0</v>
      </c>
      <c r="W3049">
        <v>0</v>
      </c>
      <c r="X3049">
        <v>0</v>
      </c>
      <c r="Y3049">
        <v>0</v>
      </c>
      <c r="Z3049">
        <v>0</v>
      </c>
      <c r="AA3049">
        <v>0</v>
      </c>
      <c r="AB3049">
        <v>0</v>
      </c>
      <c r="AC3049">
        <v>0</v>
      </c>
      <c r="AD3049">
        <v>0</v>
      </c>
      <c r="AE3049">
        <v>0</v>
      </c>
      <c r="AF3049">
        <v>0</v>
      </c>
      <c r="AG3049">
        <v>0</v>
      </c>
      <c r="AH3049">
        <v>0</v>
      </c>
      <c r="AI3049">
        <v>0</v>
      </c>
      <c r="AJ3049">
        <v>0</v>
      </c>
      <c r="AK3049">
        <v>0</v>
      </c>
      <c r="AL3049">
        <v>0</v>
      </c>
      <c r="AM3049">
        <v>0</v>
      </c>
      <c r="AN3049">
        <v>0</v>
      </c>
      <c r="AO3049">
        <v>0</v>
      </c>
      <c r="AP3049">
        <v>0</v>
      </c>
      <c r="AQ3049">
        <v>80.14</v>
      </c>
      <c r="AR3049">
        <v>0</v>
      </c>
      <c r="AS3049">
        <v>0</v>
      </c>
      <c r="AT3049">
        <v>0</v>
      </c>
      <c r="AU3049">
        <v>0</v>
      </c>
      <c r="AV3049">
        <v>0</v>
      </c>
      <c r="AW3049">
        <v>0</v>
      </c>
      <c r="AX3049">
        <v>0</v>
      </c>
      <c r="AY3049">
        <v>0</v>
      </c>
      <c r="AZ3049">
        <v>0</v>
      </c>
      <c r="BA3049">
        <v>0</v>
      </c>
      <c r="BB3049">
        <v>0</v>
      </c>
      <c r="BC3049">
        <v>0</v>
      </c>
      <c r="BD3049">
        <v>0</v>
      </c>
      <c r="BE3049">
        <v>0</v>
      </c>
      <c r="BF3049">
        <v>0</v>
      </c>
      <c r="BG3049">
        <v>0</v>
      </c>
      <c r="BH3049">
        <v>1</v>
      </c>
      <c r="BI3049">
        <v>3</v>
      </c>
      <c r="BJ3049">
        <v>7.1</v>
      </c>
      <c r="BK3049">
        <v>7.5</v>
      </c>
      <c r="BL3049">
        <v>262.27999999999997</v>
      </c>
      <c r="BM3049">
        <v>39.340000000000003</v>
      </c>
      <c r="BN3049">
        <v>301.62</v>
      </c>
      <c r="BO3049">
        <v>301.62</v>
      </c>
      <c r="BQ3049" t="s">
        <v>682</v>
      </c>
      <c r="BR3049" t="s">
        <v>84</v>
      </c>
      <c r="BS3049" s="3">
        <v>45803</v>
      </c>
      <c r="BT3049" s="4">
        <v>0.42152777777777778</v>
      </c>
      <c r="BU3049" t="s">
        <v>683</v>
      </c>
      <c r="BV3049" t="s">
        <v>86</v>
      </c>
      <c r="BY3049">
        <v>35568</v>
      </c>
      <c r="CA3049" t="s">
        <v>684</v>
      </c>
      <c r="CC3049" t="s">
        <v>131</v>
      </c>
      <c r="CD3049">
        <v>7800</v>
      </c>
      <c r="CE3049" t="s">
        <v>96</v>
      </c>
      <c r="CF3049" s="3">
        <v>45804</v>
      </c>
      <c r="CI3049">
        <v>1</v>
      </c>
      <c r="CJ3049">
        <v>1</v>
      </c>
      <c r="CK3049">
        <v>21</v>
      </c>
      <c r="CL3049" t="s">
        <v>89</v>
      </c>
    </row>
    <row r="3050" spans="1:90" x14ac:dyDescent="0.3">
      <c r="A3050" t="s">
        <v>72</v>
      </c>
      <c r="B3050" t="s">
        <v>73</v>
      </c>
      <c r="C3050" t="s">
        <v>74</v>
      </c>
      <c r="E3050" t="str">
        <f>"080065527551"</f>
        <v>080065527551</v>
      </c>
      <c r="F3050" s="3">
        <v>45800</v>
      </c>
      <c r="G3050">
        <v>202602</v>
      </c>
      <c r="H3050" t="s">
        <v>75</v>
      </c>
      <c r="I3050" t="s">
        <v>76</v>
      </c>
      <c r="J3050" t="s">
        <v>77</v>
      </c>
      <c r="K3050" t="s">
        <v>78</v>
      </c>
      <c r="L3050" t="s">
        <v>177</v>
      </c>
      <c r="M3050" t="s">
        <v>178</v>
      </c>
      <c r="N3050" t="s">
        <v>393</v>
      </c>
      <c r="O3050" t="s">
        <v>82</v>
      </c>
      <c r="P3050" t="str">
        <f>"4170040445                    "</f>
        <v xml:space="preserve">4170040445                    </v>
      </c>
      <c r="Q3050">
        <v>0</v>
      </c>
      <c r="R3050">
        <v>0</v>
      </c>
      <c r="S3050">
        <v>0</v>
      </c>
      <c r="T3050">
        <v>0</v>
      </c>
      <c r="U3050">
        <v>0</v>
      </c>
      <c r="V3050">
        <v>0</v>
      </c>
      <c r="W3050">
        <v>0</v>
      </c>
      <c r="X3050">
        <v>0</v>
      </c>
      <c r="Y3050">
        <v>0</v>
      </c>
      <c r="Z3050">
        <v>0</v>
      </c>
      <c r="AA3050">
        <v>0</v>
      </c>
      <c r="AB3050">
        <v>0</v>
      </c>
      <c r="AC3050">
        <v>0</v>
      </c>
      <c r="AD3050">
        <v>0</v>
      </c>
      <c r="AE3050">
        <v>0</v>
      </c>
      <c r="AF3050">
        <v>0</v>
      </c>
      <c r="AG3050">
        <v>0</v>
      </c>
      <c r="AH3050">
        <v>0</v>
      </c>
      <c r="AI3050">
        <v>0</v>
      </c>
      <c r="AJ3050">
        <v>0</v>
      </c>
      <c r="AK3050">
        <v>0</v>
      </c>
      <c r="AL3050">
        <v>0</v>
      </c>
      <c r="AM3050">
        <v>0</v>
      </c>
      <c r="AN3050">
        <v>0</v>
      </c>
      <c r="AO3050">
        <v>0</v>
      </c>
      <c r="AP3050">
        <v>0</v>
      </c>
      <c r="AQ3050">
        <v>21.38</v>
      </c>
      <c r="AR3050">
        <v>0</v>
      </c>
      <c r="AS3050">
        <v>0</v>
      </c>
      <c r="AT3050">
        <v>0</v>
      </c>
      <c r="AU3050">
        <v>0</v>
      </c>
      <c r="AV3050">
        <v>0</v>
      </c>
      <c r="AW3050">
        <v>0</v>
      </c>
      <c r="AX3050">
        <v>0</v>
      </c>
      <c r="AY3050">
        <v>0</v>
      </c>
      <c r="AZ3050">
        <v>0</v>
      </c>
      <c r="BA3050">
        <v>0</v>
      </c>
      <c r="BB3050">
        <v>0</v>
      </c>
      <c r="BC3050">
        <v>0</v>
      </c>
      <c r="BD3050">
        <v>0</v>
      </c>
      <c r="BE3050">
        <v>0</v>
      </c>
      <c r="BF3050">
        <v>0</v>
      </c>
      <c r="BG3050">
        <v>0</v>
      </c>
      <c r="BH3050">
        <v>1</v>
      </c>
      <c r="BI3050">
        <v>1</v>
      </c>
      <c r="BJ3050">
        <v>0.2</v>
      </c>
      <c r="BK3050">
        <v>1</v>
      </c>
      <c r="BL3050">
        <v>69.98</v>
      </c>
      <c r="BM3050">
        <v>10.5</v>
      </c>
      <c r="BN3050">
        <v>80.48</v>
      </c>
      <c r="BO3050">
        <v>80.48</v>
      </c>
      <c r="BQ3050" t="s">
        <v>394</v>
      </c>
      <c r="BR3050" t="s">
        <v>84</v>
      </c>
      <c r="BS3050" s="3">
        <v>45803</v>
      </c>
      <c r="BT3050" s="4">
        <v>0.3347222222222222</v>
      </c>
      <c r="BU3050" t="s">
        <v>395</v>
      </c>
      <c r="BV3050" t="s">
        <v>86</v>
      </c>
      <c r="BY3050">
        <v>1200</v>
      </c>
      <c r="CA3050" t="s">
        <v>182</v>
      </c>
      <c r="CC3050" t="s">
        <v>178</v>
      </c>
      <c r="CD3050">
        <v>6230</v>
      </c>
      <c r="CE3050" t="s">
        <v>88</v>
      </c>
      <c r="CF3050" s="3">
        <v>45803</v>
      </c>
      <c r="CI3050">
        <v>1</v>
      </c>
      <c r="CJ3050">
        <v>1</v>
      </c>
      <c r="CK3050">
        <v>21</v>
      </c>
      <c r="CL3050" t="s">
        <v>89</v>
      </c>
    </row>
    <row r="3051" spans="1:90" x14ac:dyDescent="0.3">
      <c r="A3051" t="s">
        <v>72</v>
      </c>
      <c r="B3051" t="s">
        <v>73</v>
      </c>
      <c r="C3051" t="s">
        <v>74</v>
      </c>
      <c r="E3051" t="str">
        <f>"080065527562"</f>
        <v>080065527562</v>
      </c>
      <c r="F3051" s="3">
        <v>45800</v>
      </c>
      <c r="G3051">
        <v>202602</v>
      </c>
      <c r="H3051" t="s">
        <v>75</v>
      </c>
      <c r="I3051" t="s">
        <v>76</v>
      </c>
      <c r="J3051" t="s">
        <v>77</v>
      </c>
      <c r="K3051" t="s">
        <v>78</v>
      </c>
      <c r="L3051" t="s">
        <v>350</v>
      </c>
      <c r="M3051" t="s">
        <v>351</v>
      </c>
      <c r="N3051" t="s">
        <v>459</v>
      </c>
      <c r="O3051" t="s">
        <v>82</v>
      </c>
      <c r="P3051" t="str">
        <f>"4170040378                    "</f>
        <v xml:space="preserve">4170040378                    </v>
      </c>
      <c r="Q3051">
        <v>0</v>
      </c>
      <c r="R3051">
        <v>0</v>
      </c>
      <c r="S3051">
        <v>0</v>
      </c>
      <c r="T3051">
        <v>0</v>
      </c>
      <c r="U3051">
        <v>0</v>
      </c>
      <c r="V3051">
        <v>0</v>
      </c>
      <c r="W3051">
        <v>0</v>
      </c>
      <c r="X3051">
        <v>0</v>
      </c>
      <c r="Y3051">
        <v>0</v>
      </c>
      <c r="Z3051">
        <v>0</v>
      </c>
      <c r="AA3051">
        <v>0</v>
      </c>
      <c r="AB3051">
        <v>0</v>
      </c>
      <c r="AC3051">
        <v>0</v>
      </c>
      <c r="AD3051">
        <v>0</v>
      </c>
      <c r="AE3051">
        <v>0</v>
      </c>
      <c r="AF3051">
        <v>0</v>
      </c>
      <c r="AG3051">
        <v>0</v>
      </c>
      <c r="AH3051">
        <v>0</v>
      </c>
      <c r="AI3051">
        <v>0</v>
      </c>
      <c r="AJ3051">
        <v>0</v>
      </c>
      <c r="AK3051">
        <v>0</v>
      </c>
      <c r="AL3051">
        <v>0</v>
      </c>
      <c r="AM3051">
        <v>0</v>
      </c>
      <c r="AN3051">
        <v>0</v>
      </c>
      <c r="AO3051">
        <v>0</v>
      </c>
      <c r="AP3051">
        <v>0</v>
      </c>
      <c r="AQ3051">
        <v>53.43</v>
      </c>
      <c r="AR3051">
        <v>0</v>
      </c>
      <c r="AS3051">
        <v>0</v>
      </c>
      <c r="AT3051">
        <v>0</v>
      </c>
      <c r="AU3051">
        <v>0</v>
      </c>
      <c r="AV3051">
        <v>0</v>
      </c>
      <c r="AW3051">
        <v>0</v>
      </c>
      <c r="AX3051">
        <v>0</v>
      </c>
      <c r="AY3051">
        <v>0</v>
      </c>
      <c r="AZ3051">
        <v>0</v>
      </c>
      <c r="BA3051">
        <v>0</v>
      </c>
      <c r="BB3051">
        <v>0</v>
      </c>
      <c r="BC3051">
        <v>0</v>
      </c>
      <c r="BD3051">
        <v>0</v>
      </c>
      <c r="BE3051">
        <v>0</v>
      </c>
      <c r="BF3051">
        <v>0</v>
      </c>
      <c r="BG3051">
        <v>0</v>
      </c>
      <c r="BH3051">
        <v>1</v>
      </c>
      <c r="BI3051">
        <v>5</v>
      </c>
      <c r="BJ3051">
        <v>2</v>
      </c>
      <c r="BK3051">
        <v>5</v>
      </c>
      <c r="BL3051">
        <v>174.87</v>
      </c>
      <c r="BM3051">
        <v>26.23</v>
      </c>
      <c r="BN3051">
        <v>201.1</v>
      </c>
      <c r="BO3051">
        <v>201.1</v>
      </c>
      <c r="BQ3051" t="s">
        <v>460</v>
      </c>
      <c r="BR3051" t="s">
        <v>84</v>
      </c>
      <c r="BS3051" s="3">
        <v>45803</v>
      </c>
      <c r="BT3051" s="4">
        <v>0.31874999999999998</v>
      </c>
      <c r="BU3051" t="s">
        <v>461</v>
      </c>
      <c r="BV3051" t="s">
        <v>86</v>
      </c>
      <c r="BY3051">
        <v>9900</v>
      </c>
      <c r="CA3051" t="s">
        <v>462</v>
      </c>
      <c r="CC3051" t="s">
        <v>351</v>
      </c>
      <c r="CD3051">
        <v>4000</v>
      </c>
      <c r="CE3051" t="s">
        <v>96</v>
      </c>
      <c r="CF3051" s="3">
        <v>45803</v>
      </c>
      <c r="CI3051">
        <v>1</v>
      </c>
      <c r="CJ3051">
        <v>1</v>
      </c>
      <c r="CK3051">
        <v>21</v>
      </c>
      <c r="CL3051" t="s">
        <v>89</v>
      </c>
    </row>
    <row r="3052" spans="1:90" x14ac:dyDescent="0.3">
      <c r="A3052" t="s">
        <v>72</v>
      </c>
      <c r="B3052" t="s">
        <v>73</v>
      </c>
      <c r="C3052" t="s">
        <v>74</v>
      </c>
      <c r="E3052" t="str">
        <f>"080065527567"</f>
        <v>080065527567</v>
      </c>
      <c r="F3052" s="3">
        <v>45800</v>
      </c>
      <c r="G3052">
        <v>202602</v>
      </c>
      <c r="H3052" t="s">
        <v>75</v>
      </c>
      <c r="I3052" t="s">
        <v>76</v>
      </c>
      <c r="J3052" t="s">
        <v>77</v>
      </c>
      <c r="K3052" t="s">
        <v>78</v>
      </c>
      <c r="L3052" t="s">
        <v>90</v>
      </c>
      <c r="M3052" t="s">
        <v>91</v>
      </c>
      <c r="N3052" t="s">
        <v>563</v>
      </c>
      <c r="O3052" t="s">
        <v>82</v>
      </c>
      <c r="P3052" t="str">
        <f>"4170040387                    "</f>
        <v xml:space="preserve">4170040387                    </v>
      </c>
      <c r="Q3052">
        <v>0</v>
      </c>
      <c r="R3052">
        <v>0</v>
      </c>
      <c r="S3052">
        <v>0</v>
      </c>
      <c r="T3052">
        <v>0</v>
      </c>
      <c r="U3052">
        <v>0</v>
      </c>
      <c r="V3052">
        <v>0</v>
      </c>
      <c r="W3052">
        <v>0</v>
      </c>
      <c r="X3052">
        <v>0</v>
      </c>
      <c r="Y3052">
        <v>0</v>
      </c>
      <c r="Z3052">
        <v>0</v>
      </c>
      <c r="AA3052">
        <v>0</v>
      </c>
      <c r="AB3052">
        <v>0</v>
      </c>
      <c r="AC3052">
        <v>0</v>
      </c>
      <c r="AD3052">
        <v>0</v>
      </c>
      <c r="AE3052">
        <v>0</v>
      </c>
      <c r="AF3052">
        <v>0</v>
      </c>
      <c r="AG3052">
        <v>0</v>
      </c>
      <c r="AH3052">
        <v>0</v>
      </c>
      <c r="AI3052">
        <v>0</v>
      </c>
      <c r="AJ3052">
        <v>0</v>
      </c>
      <c r="AK3052">
        <v>0</v>
      </c>
      <c r="AL3052">
        <v>0</v>
      </c>
      <c r="AM3052">
        <v>0</v>
      </c>
      <c r="AN3052">
        <v>0</v>
      </c>
      <c r="AO3052">
        <v>0</v>
      </c>
      <c r="AP3052">
        <v>0</v>
      </c>
      <c r="AQ3052">
        <v>21.38</v>
      </c>
      <c r="AR3052">
        <v>0</v>
      </c>
      <c r="AS3052">
        <v>0</v>
      </c>
      <c r="AT3052">
        <v>0</v>
      </c>
      <c r="AU3052">
        <v>0</v>
      </c>
      <c r="AV3052">
        <v>0</v>
      </c>
      <c r="AW3052">
        <v>0</v>
      </c>
      <c r="AX3052">
        <v>0</v>
      </c>
      <c r="AY3052">
        <v>0</v>
      </c>
      <c r="AZ3052">
        <v>0</v>
      </c>
      <c r="BA3052">
        <v>0</v>
      </c>
      <c r="BB3052">
        <v>0</v>
      </c>
      <c r="BC3052">
        <v>0</v>
      </c>
      <c r="BD3052">
        <v>0</v>
      </c>
      <c r="BE3052">
        <v>0</v>
      </c>
      <c r="BF3052">
        <v>0</v>
      </c>
      <c r="BG3052">
        <v>0</v>
      </c>
      <c r="BH3052">
        <v>1</v>
      </c>
      <c r="BI3052">
        <v>1</v>
      </c>
      <c r="BJ3052">
        <v>0.2</v>
      </c>
      <c r="BK3052">
        <v>1</v>
      </c>
      <c r="BL3052">
        <v>69.98</v>
      </c>
      <c r="BM3052">
        <v>10.5</v>
      </c>
      <c r="BN3052">
        <v>80.48</v>
      </c>
      <c r="BO3052">
        <v>80.48</v>
      </c>
      <c r="BQ3052" t="s">
        <v>564</v>
      </c>
      <c r="BR3052" t="s">
        <v>84</v>
      </c>
      <c r="BS3052" s="3">
        <v>45803</v>
      </c>
      <c r="BT3052" s="4">
        <v>0.34722222222222221</v>
      </c>
      <c r="BU3052" t="s">
        <v>780</v>
      </c>
      <c r="BV3052" t="s">
        <v>86</v>
      </c>
      <c r="BY3052">
        <v>1200</v>
      </c>
      <c r="CA3052" t="s">
        <v>566</v>
      </c>
      <c r="CC3052" t="s">
        <v>91</v>
      </c>
      <c r="CD3052">
        <v>6001</v>
      </c>
      <c r="CE3052" t="s">
        <v>88</v>
      </c>
      <c r="CF3052" s="3">
        <v>45803</v>
      </c>
      <c r="CI3052">
        <v>1</v>
      </c>
      <c r="CJ3052">
        <v>1</v>
      </c>
      <c r="CK3052">
        <v>21</v>
      </c>
      <c r="CL3052" t="s">
        <v>89</v>
      </c>
    </row>
    <row r="3053" spans="1:90" x14ac:dyDescent="0.3">
      <c r="A3053" t="s">
        <v>72</v>
      </c>
      <c r="B3053" t="s">
        <v>73</v>
      </c>
      <c r="C3053" t="s">
        <v>74</v>
      </c>
      <c r="E3053" t="str">
        <f>"080065527601"</f>
        <v>080065527601</v>
      </c>
      <c r="F3053" s="3">
        <v>45800</v>
      </c>
      <c r="G3053">
        <v>202602</v>
      </c>
      <c r="H3053" t="s">
        <v>75</v>
      </c>
      <c r="I3053" t="s">
        <v>76</v>
      </c>
      <c r="J3053" t="s">
        <v>77</v>
      </c>
      <c r="K3053" t="s">
        <v>78</v>
      </c>
      <c r="L3053" t="s">
        <v>75</v>
      </c>
      <c r="M3053" t="s">
        <v>76</v>
      </c>
      <c r="N3053" t="s">
        <v>3024</v>
      </c>
      <c r="O3053" t="s">
        <v>82</v>
      </c>
      <c r="P3053" t="str">
        <f>"4170040390                    "</f>
        <v xml:space="preserve">4170040390                    </v>
      </c>
      <c r="Q3053">
        <v>0</v>
      </c>
      <c r="R3053">
        <v>0</v>
      </c>
      <c r="S3053">
        <v>0</v>
      </c>
      <c r="T3053">
        <v>0</v>
      </c>
      <c r="U3053">
        <v>0</v>
      </c>
      <c r="V3053">
        <v>0</v>
      </c>
      <c r="W3053">
        <v>0</v>
      </c>
      <c r="X3053">
        <v>0</v>
      </c>
      <c r="Y3053">
        <v>0</v>
      </c>
      <c r="Z3053">
        <v>0</v>
      </c>
      <c r="AA3053">
        <v>0</v>
      </c>
      <c r="AB3053">
        <v>0</v>
      </c>
      <c r="AC3053">
        <v>0</v>
      </c>
      <c r="AD3053">
        <v>0</v>
      </c>
      <c r="AE3053">
        <v>0</v>
      </c>
      <c r="AF3053">
        <v>0</v>
      </c>
      <c r="AG3053">
        <v>0</v>
      </c>
      <c r="AH3053">
        <v>0</v>
      </c>
      <c r="AI3053">
        <v>0</v>
      </c>
      <c r="AJ3053">
        <v>0</v>
      </c>
      <c r="AK3053">
        <v>0</v>
      </c>
      <c r="AL3053">
        <v>0</v>
      </c>
      <c r="AM3053">
        <v>0</v>
      </c>
      <c r="AN3053">
        <v>0</v>
      </c>
      <c r="AO3053">
        <v>0</v>
      </c>
      <c r="AP3053">
        <v>0</v>
      </c>
      <c r="AQ3053">
        <v>16.7</v>
      </c>
      <c r="AR3053">
        <v>0</v>
      </c>
      <c r="AS3053">
        <v>0</v>
      </c>
      <c r="AT3053">
        <v>0</v>
      </c>
      <c r="AU3053">
        <v>0</v>
      </c>
      <c r="AV3053">
        <v>0</v>
      </c>
      <c r="AW3053">
        <v>0</v>
      </c>
      <c r="AX3053">
        <v>0</v>
      </c>
      <c r="AY3053">
        <v>0</v>
      </c>
      <c r="AZ3053">
        <v>0</v>
      </c>
      <c r="BA3053">
        <v>0</v>
      </c>
      <c r="BB3053">
        <v>0</v>
      </c>
      <c r="BC3053">
        <v>0</v>
      </c>
      <c r="BD3053">
        <v>0</v>
      </c>
      <c r="BE3053">
        <v>0</v>
      </c>
      <c r="BF3053">
        <v>0</v>
      </c>
      <c r="BG3053">
        <v>0</v>
      </c>
      <c r="BH3053">
        <v>1</v>
      </c>
      <c r="BI3053">
        <v>3</v>
      </c>
      <c r="BJ3053">
        <v>2</v>
      </c>
      <c r="BK3053">
        <v>3</v>
      </c>
      <c r="BL3053">
        <v>54.66</v>
      </c>
      <c r="BM3053">
        <v>8.1999999999999993</v>
      </c>
      <c r="BN3053">
        <v>62.86</v>
      </c>
      <c r="BO3053">
        <v>62.86</v>
      </c>
      <c r="BQ3053" t="s">
        <v>3025</v>
      </c>
      <c r="BR3053" t="s">
        <v>84</v>
      </c>
      <c r="BS3053" s="3">
        <v>45803</v>
      </c>
      <c r="BT3053" s="4">
        <v>0.33333333333333331</v>
      </c>
      <c r="BU3053" t="s">
        <v>2592</v>
      </c>
      <c r="BV3053" t="s">
        <v>86</v>
      </c>
      <c r="BY3053">
        <v>9900</v>
      </c>
      <c r="CA3053" t="s">
        <v>853</v>
      </c>
      <c r="CC3053" t="s">
        <v>76</v>
      </c>
      <c r="CD3053">
        <v>1668</v>
      </c>
      <c r="CE3053" t="s">
        <v>96</v>
      </c>
      <c r="CF3053" s="3">
        <v>45803</v>
      </c>
      <c r="CI3053">
        <v>1</v>
      </c>
      <c r="CJ3053">
        <v>1</v>
      </c>
      <c r="CK3053">
        <v>22</v>
      </c>
      <c r="CL3053" t="s">
        <v>89</v>
      </c>
    </row>
    <row r="3054" spans="1:90" x14ac:dyDescent="0.3">
      <c r="A3054" t="s">
        <v>72</v>
      </c>
      <c r="B3054" t="s">
        <v>73</v>
      </c>
      <c r="C3054" t="s">
        <v>74</v>
      </c>
      <c r="E3054" t="str">
        <f>"080065527628"</f>
        <v>080065527628</v>
      </c>
      <c r="F3054" s="3">
        <v>45800</v>
      </c>
      <c r="G3054">
        <v>202602</v>
      </c>
      <c r="H3054" t="s">
        <v>75</v>
      </c>
      <c r="I3054" t="s">
        <v>76</v>
      </c>
      <c r="J3054" t="s">
        <v>77</v>
      </c>
      <c r="K3054" t="s">
        <v>78</v>
      </c>
      <c r="L3054" t="s">
        <v>79</v>
      </c>
      <c r="M3054" t="s">
        <v>80</v>
      </c>
      <c r="N3054" t="s">
        <v>880</v>
      </c>
      <c r="O3054" t="s">
        <v>82</v>
      </c>
      <c r="P3054" t="str">
        <f>"4170040384                    "</f>
        <v xml:space="preserve">4170040384                    </v>
      </c>
      <c r="Q3054">
        <v>0</v>
      </c>
      <c r="R3054">
        <v>0</v>
      </c>
      <c r="S3054">
        <v>0</v>
      </c>
      <c r="T3054">
        <v>0</v>
      </c>
      <c r="U3054">
        <v>0</v>
      </c>
      <c r="V3054">
        <v>0</v>
      </c>
      <c r="W3054">
        <v>0</v>
      </c>
      <c r="X3054">
        <v>0</v>
      </c>
      <c r="Y3054">
        <v>0</v>
      </c>
      <c r="Z3054">
        <v>0</v>
      </c>
      <c r="AA3054">
        <v>0</v>
      </c>
      <c r="AB3054">
        <v>0</v>
      </c>
      <c r="AC3054">
        <v>0</v>
      </c>
      <c r="AD3054">
        <v>0</v>
      </c>
      <c r="AE3054">
        <v>0</v>
      </c>
      <c r="AF3054">
        <v>0</v>
      </c>
      <c r="AG3054">
        <v>0</v>
      </c>
      <c r="AH3054">
        <v>0</v>
      </c>
      <c r="AI3054">
        <v>0</v>
      </c>
      <c r="AJ3054">
        <v>0</v>
      </c>
      <c r="AK3054">
        <v>0</v>
      </c>
      <c r="AL3054">
        <v>0</v>
      </c>
      <c r="AM3054">
        <v>0</v>
      </c>
      <c r="AN3054">
        <v>0</v>
      </c>
      <c r="AO3054">
        <v>0</v>
      </c>
      <c r="AP3054">
        <v>0</v>
      </c>
      <c r="AQ3054">
        <v>21.38</v>
      </c>
      <c r="AR3054">
        <v>0</v>
      </c>
      <c r="AS3054">
        <v>0</v>
      </c>
      <c r="AT3054">
        <v>0</v>
      </c>
      <c r="AU3054">
        <v>0</v>
      </c>
      <c r="AV3054">
        <v>0</v>
      </c>
      <c r="AW3054">
        <v>0</v>
      </c>
      <c r="AX3054">
        <v>0</v>
      </c>
      <c r="AY3054">
        <v>0</v>
      </c>
      <c r="AZ3054">
        <v>0</v>
      </c>
      <c r="BA3054">
        <v>0</v>
      </c>
      <c r="BB3054">
        <v>0</v>
      </c>
      <c r="BC3054">
        <v>0</v>
      </c>
      <c r="BD3054">
        <v>0</v>
      </c>
      <c r="BE3054">
        <v>0</v>
      </c>
      <c r="BF3054">
        <v>0</v>
      </c>
      <c r="BG3054">
        <v>0</v>
      </c>
      <c r="BH3054">
        <v>1</v>
      </c>
      <c r="BI3054">
        <v>1</v>
      </c>
      <c r="BJ3054">
        <v>0.2</v>
      </c>
      <c r="BK3054">
        <v>1</v>
      </c>
      <c r="BL3054">
        <v>69.98</v>
      </c>
      <c r="BM3054">
        <v>10.5</v>
      </c>
      <c r="BN3054">
        <v>80.48</v>
      </c>
      <c r="BO3054">
        <v>80.48</v>
      </c>
      <c r="BQ3054" t="s">
        <v>881</v>
      </c>
      <c r="BR3054" t="s">
        <v>84</v>
      </c>
      <c r="BS3054" s="3">
        <v>45803</v>
      </c>
      <c r="BT3054" s="4">
        <v>0.39791666666666664</v>
      </c>
      <c r="BU3054" t="s">
        <v>882</v>
      </c>
      <c r="BV3054" t="s">
        <v>86</v>
      </c>
      <c r="BY3054">
        <v>1200</v>
      </c>
      <c r="CA3054" t="s">
        <v>160</v>
      </c>
      <c r="CC3054" t="s">
        <v>80</v>
      </c>
      <c r="CD3054">
        <v>3620</v>
      </c>
      <c r="CE3054" t="s">
        <v>88</v>
      </c>
      <c r="CF3054" s="3">
        <v>45803</v>
      </c>
      <c r="CI3054">
        <v>1</v>
      </c>
      <c r="CJ3054">
        <v>1</v>
      </c>
      <c r="CK3054">
        <v>21</v>
      </c>
      <c r="CL3054" t="s">
        <v>89</v>
      </c>
    </row>
    <row r="3055" spans="1:90" x14ac:dyDescent="0.3">
      <c r="A3055" t="s">
        <v>72</v>
      </c>
      <c r="B3055" t="s">
        <v>73</v>
      </c>
      <c r="C3055" t="s">
        <v>74</v>
      </c>
      <c r="E3055" t="str">
        <f>"080065527651"</f>
        <v>080065527651</v>
      </c>
      <c r="F3055" s="3">
        <v>45800</v>
      </c>
      <c r="G3055">
        <v>202602</v>
      </c>
      <c r="H3055" t="s">
        <v>75</v>
      </c>
      <c r="I3055" t="s">
        <v>76</v>
      </c>
      <c r="J3055" t="s">
        <v>77</v>
      </c>
      <c r="K3055" t="s">
        <v>78</v>
      </c>
      <c r="L3055" t="s">
        <v>567</v>
      </c>
      <c r="M3055" t="s">
        <v>568</v>
      </c>
      <c r="N3055" t="s">
        <v>1590</v>
      </c>
      <c r="O3055" t="s">
        <v>82</v>
      </c>
      <c r="P3055" t="str">
        <f>"4170040405                    "</f>
        <v xml:space="preserve">4170040405                    </v>
      </c>
      <c r="Q3055">
        <v>0</v>
      </c>
      <c r="R3055">
        <v>0</v>
      </c>
      <c r="S3055">
        <v>0</v>
      </c>
      <c r="T3055">
        <v>0</v>
      </c>
      <c r="U3055">
        <v>0</v>
      </c>
      <c r="V3055">
        <v>0</v>
      </c>
      <c r="W3055">
        <v>0</v>
      </c>
      <c r="X3055">
        <v>0</v>
      </c>
      <c r="Y3055">
        <v>0</v>
      </c>
      <c r="Z3055">
        <v>0</v>
      </c>
      <c r="AA3055">
        <v>0</v>
      </c>
      <c r="AB3055">
        <v>0</v>
      </c>
      <c r="AC3055">
        <v>0</v>
      </c>
      <c r="AD3055">
        <v>0</v>
      </c>
      <c r="AE3055">
        <v>0</v>
      </c>
      <c r="AF3055">
        <v>0</v>
      </c>
      <c r="AG3055">
        <v>0</v>
      </c>
      <c r="AH3055">
        <v>0</v>
      </c>
      <c r="AI3055">
        <v>0</v>
      </c>
      <c r="AJ3055">
        <v>0</v>
      </c>
      <c r="AK3055">
        <v>0</v>
      </c>
      <c r="AL3055">
        <v>0</v>
      </c>
      <c r="AM3055">
        <v>0</v>
      </c>
      <c r="AN3055">
        <v>0</v>
      </c>
      <c r="AO3055">
        <v>0</v>
      </c>
      <c r="AP3055">
        <v>0</v>
      </c>
      <c r="AQ3055">
        <v>41.43</v>
      </c>
      <c r="AR3055">
        <v>0</v>
      </c>
      <c r="AS3055">
        <v>0</v>
      </c>
      <c r="AT3055">
        <v>0</v>
      </c>
      <c r="AU3055">
        <v>0</v>
      </c>
      <c r="AV3055">
        <v>0</v>
      </c>
      <c r="AW3055">
        <v>0</v>
      </c>
      <c r="AX3055">
        <v>0</v>
      </c>
      <c r="AY3055">
        <v>0</v>
      </c>
      <c r="AZ3055">
        <v>0</v>
      </c>
      <c r="BA3055">
        <v>0</v>
      </c>
      <c r="BB3055">
        <v>0</v>
      </c>
      <c r="BC3055">
        <v>0</v>
      </c>
      <c r="BD3055">
        <v>0</v>
      </c>
      <c r="BE3055">
        <v>0</v>
      </c>
      <c r="BF3055">
        <v>0</v>
      </c>
      <c r="BG3055">
        <v>0</v>
      </c>
      <c r="BH3055">
        <v>1</v>
      </c>
      <c r="BI3055">
        <v>1</v>
      </c>
      <c r="BJ3055">
        <v>1.1000000000000001</v>
      </c>
      <c r="BK3055">
        <v>1.5</v>
      </c>
      <c r="BL3055">
        <v>135.59</v>
      </c>
      <c r="BM3055">
        <v>20.34</v>
      </c>
      <c r="BN3055">
        <v>155.93</v>
      </c>
      <c r="BO3055">
        <v>155.93</v>
      </c>
      <c r="BQ3055" t="s">
        <v>1591</v>
      </c>
      <c r="BR3055" t="s">
        <v>84</v>
      </c>
      <c r="BS3055" s="3">
        <v>45803</v>
      </c>
      <c r="BT3055" s="4">
        <v>0.41944444444444445</v>
      </c>
      <c r="BU3055" t="s">
        <v>2004</v>
      </c>
      <c r="BV3055" t="s">
        <v>86</v>
      </c>
      <c r="BY3055">
        <v>5320</v>
      </c>
      <c r="CA3055" t="s">
        <v>572</v>
      </c>
      <c r="CC3055" t="s">
        <v>568</v>
      </c>
      <c r="CD3055" s="5" t="s">
        <v>573</v>
      </c>
      <c r="CE3055" t="s">
        <v>96</v>
      </c>
      <c r="CF3055" s="3">
        <v>45804</v>
      </c>
      <c r="CI3055">
        <v>1</v>
      </c>
      <c r="CJ3055">
        <v>1</v>
      </c>
      <c r="CK3055">
        <v>23</v>
      </c>
      <c r="CL3055" t="s">
        <v>89</v>
      </c>
    </row>
    <row r="3056" spans="1:90" x14ac:dyDescent="0.3">
      <c r="A3056" t="s">
        <v>72</v>
      </c>
      <c r="B3056" t="s">
        <v>73</v>
      </c>
      <c r="C3056" t="s">
        <v>74</v>
      </c>
      <c r="E3056" t="str">
        <f>"080065527654"</f>
        <v>080065527654</v>
      </c>
      <c r="F3056" s="3">
        <v>45800</v>
      </c>
      <c r="G3056">
        <v>202602</v>
      </c>
      <c r="H3056" t="s">
        <v>75</v>
      </c>
      <c r="I3056" t="s">
        <v>76</v>
      </c>
      <c r="J3056" t="s">
        <v>77</v>
      </c>
      <c r="K3056" t="s">
        <v>78</v>
      </c>
      <c r="L3056" t="s">
        <v>177</v>
      </c>
      <c r="M3056" t="s">
        <v>178</v>
      </c>
      <c r="N3056" t="s">
        <v>393</v>
      </c>
      <c r="O3056" t="s">
        <v>82</v>
      </c>
      <c r="P3056" t="str">
        <f>"4170040437                    "</f>
        <v xml:space="preserve">4170040437                    </v>
      </c>
      <c r="Q3056">
        <v>0</v>
      </c>
      <c r="R3056">
        <v>0</v>
      </c>
      <c r="S3056">
        <v>0</v>
      </c>
      <c r="T3056">
        <v>0</v>
      </c>
      <c r="U3056">
        <v>0</v>
      </c>
      <c r="V3056">
        <v>0</v>
      </c>
      <c r="W3056">
        <v>0</v>
      </c>
      <c r="X3056">
        <v>0</v>
      </c>
      <c r="Y3056">
        <v>0</v>
      </c>
      <c r="Z3056">
        <v>0</v>
      </c>
      <c r="AA3056">
        <v>0</v>
      </c>
      <c r="AB3056">
        <v>0</v>
      </c>
      <c r="AC3056">
        <v>0</v>
      </c>
      <c r="AD3056">
        <v>0</v>
      </c>
      <c r="AE3056">
        <v>0</v>
      </c>
      <c r="AF3056">
        <v>0</v>
      </c>
      <c r="AG3056">
        <v>0</v>
      </c>
      <c r="AH3056">
        <v>0</v>
      </c>
      <c r="AI3056">
        <v>0</v>
      </c>
      <c r="AJ3056">
        <v>0</v>
      </c>
      <c r="AK3056">
        <v>0</v>
      </c>
      <c r="AL3056">
        <v>0</v>
      </c>
      <c r="AM3056">
        <v>0</v>
      </c>
      <c r="AN3056">
        <v>0</v>
      </c>
      <c r="AO3056">
        <v>0</v>
      </c>
      <c r="AP3056">
        <v>0</v>
      </c>
      <c r="AQ3056">
        <v>21.38</v>
      </c>
      <c r="AR3056">
        <v>0</v>
      </c>
      <c r="AS3056">
        <v>0</v>
      </c>
      <c r="AT3056">
        <v>0</v>
      </c>
      <c r="AU3056">
        <v>0</v>
      </c>
      <c r="AV3056">
        <v>0</v>
      </c>
      <c r="AW3056">
        <v>0</v>
      </c>
      <c r="AX3056">
        <v>0</v>
      </c>
      <c r="AY3056">
        <v>0</v>
      </c>
      <c r="AZ3056">
        <v>0</v>
      </c>
      <c r="BA3056">
        <v>0</v>
      </c>
      <c r="BB3056">
        <v>0</v>
      </c>
      <c r="BC3056">
        <v>0</v>
      </c>
      <c r="BD3056">
        <v>0</v>
      </c>
      <c r="BE3056">
        <v>0</v>
      </c>
      <c r="BF3056">
        <v>0</v>
      </c>
      <c r="BG3056">
        <v>0</v>
      </c>
      <c r="BH3056">
        <v>1</v>
      </c>
      <c r="BI3056">
        <v>1</v>
      </c>
      <c r="BJ3056">
        <v>0.2</v>
      </c>
      <c r="BK3056">
        <v>1</v>
      </c>
      <c r="BL3056">
        <v>69.98</v>
      </c>
      <c r="BM3056">
        <v>10.5</v>
      </c>
      <c r="BN3056">
        <v>80.48</v>
      </c>
      <c r="BO3056">
        <v>80.48</v>
      </c>
      <c r="BQ3056" t="s">
        <v>394</v>
      </c>
      <c r="BR3056" t="s">
        <v>84</v>
      </c>
      <c r="BS3056" s="3">
        <v>45803</v>
      </c>
      <c r="BT3056" s="4">
        <v>0.33541666666666664</v>
      </c>
      <c r="BU3056" t="s">
        <v>395</v>
      </c>
      <c r="BV3056" t="s">
        <v>86</v>
      </c>
      <c r="BY3056">
        <v>1200</v>
      </c>
      <c r="CA3056" t="s">
        <v>182</v>
      </c>
      <c r="CC3056" t="s">
        <v>178</v>
      </c>
      <c r="CD3056">
        <v>6230</v>
      </c>
      <c r="CE3056" t="s">
        <v>88</v>
      </c>
      <c r="CF3056" s="3">
        <v>45803</v>
      </c>
      <c r="CI3056">
        <v>1</v>
      </c>
      <c r="CJ3056">
        <v>1</v>
      </c>
      <c r="CK3056">
        <v>21</v>
      </c>
      <c r="CL3056" t="s">
        <v>89</v>
      </c>
    </row>
    <row r="3057" spans="1:90" x14ac:dyDescent="0.3">
      <c r="A3057" t="s">
        <v>72</v>
      </c>
      <c r="B3057" t="s">
        <v>73</v>
      </c>
      <c r="C3057" t="s">
        <v>74</v>
      </c>
      <c r="E3057" t="str">
        <f>"080065527706"</f>
        <v>080065527706</v>
      </c>
      <c r="F3057" s="3">
        <v>45800</v>
      </c>
      <c r="G3057">
        <v>202602</v>
      </c>
      <c r="H3057" t="s">
        <v>75</v>
      </c>
      <c r="I3057" t="s">
        <v>76</v>
      </c>
      <c r="J3057" t="s">
        <v>77</v>
      </c>
      <c r="K3057" t="s">
        <v>78</v>
      </c>
      <c r="L3057" t="s">
        <v>117</v>
      </c>
      <c r="M3057" t="s">
        <v>118</v>
      </c>
      <c r="N3057" t="s">
        <v>984</v>
      </c>
      <c r="O3057" t="s">
        <v>602</v>
      </c>
      <c r="P3057" t="str">
        <f>"4170040358                    "</f>
        <v xml:space="preserve">4170040358                    </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0</v>
      </c>
      <c r="AJ3057">
        <v>0</v>
      </c>
      <c r="AK3057">
        <v>0</v>
      </c>
      <c r="AL3057">
        <v>0</v>
      </c>
      <c r="AM3057">
        <v>0</v>
      </c>
      <c r="AN3057">
        <v>0</v>
      </c>
      <c r="AO3057">
        <v>0</v>
      </c>
      <c r="AP3057">
        <v>0</v>
      </c>
      <c r="AQ3057">
        <v>16.71</v>
      </c>
      <c r="AR3057">
        <v>0</v>
      </c>
      <c r="AS3057">
        <v>0</v>
      </c>
      <c r="AT3057">
        <v>0</v>
      </c>
      <c r="AU3057">
        <v>0</v>
      </c>
      <c r="AV3057">
        <v>0</v>
      </c>
      <c r="AW3057">
        <v>0</v>
      </c>
      <c r="AX3057">
        <v>0</v>
      </c>
      <c r="AY3057">
        <v>0</v>
      </c>
      <c r="AZ3057">
        <v>0</v>
      </c>
      <c r="BA3057">
        <v>0</v>
      </c>
      <c r="BB3057">
        <v>0</v>
      </c>
      <c r="BC3057">
        <v>0</v>
      </c>
      <c r="BD3057">
        <v>0</v>
      </c>
      <c r="BE3057">
        <v>0</v>
      </c>
      <c r="BF3057">
        <v>0</v>
      </c>
      <c r="BG3057">
        <v>0</v>
      </c>
      <c r="BH3057">
        <v>1</v>
      </c>
      <c r="BI3057">
        <v>3</v>
      </c>
      <c r="BJ3057">
        <v>1.3</v>
      </c>
      <c r="BK3057">
        <v>3</v>
      </c>
      <c r="BL3057">
        <v>54.68</v>
      </c>
      <c r="BM3057">
        <v>8.1999999999999993</v>
      </c>
      <c r="BN3057">
        <v>62.88</v>
      </c>
      <c r="BO3057">
        <v>62.88</v>
      </c>
      <c r="BQ3057" t="s">
        <v>985</v>
      </c>
      <c r="BR3057" t="s">
        <v>84</v>
      </c>
      <c r="BS3057" s="3">
        <v>45803</v>
      </c>
      <c r="BT3057" s="4">
        <v>0.40069444444444446</v>
      </c>
      <c r="BU3057" t="s">
        <v>3026</v>
      </c>
      <c r="BV3057" t="s">
        <v>86</v>
      </c>
      <c r="BY3057">
        <v>6555</v>
      </c>
      <c r="CA3057" t="s">
        <v>275</v>
      </c>
      <c r="CC3057" t="s">
        <v>118</v>
      </c>
      <c r="CD3057">
        <v>2013</v>
      </c>
      <c r="CE3057" t="s">
        <v>1676</v>
      </c>
      <c r="CF3057" s="3">
        <v>45803</v>
      </c>
      <c r="CI3057">
        <v>1</v>
      </c>
      <c r="CJ3057">
        <v>1</v>
      </c>
      <c r="CK3057">
        <v>32</v>
      </c>
      <c r="CL3057" t="s">
        <v>89</v>
      </c>
    </row>
    <row r="3058" spans="1:90" x14ac:dyDescent="0.3">
      <c r="A3058" t="s">
        <v>72</v>
      </c>
      <c r="B3058" t="s">
        <v>73</v>
      </c>
      <c r="C3058" t="s">
        <v>74</v>
      </c>
      <c r="E3058" t="str">
        <f>"080065527713"</f>
        <v>080065527713</v>
      </c>
      <c r="F3058" s="3">
        <v>45800</v>
      </c>
      <c r="G3058">
        <v>202602</v>
      </c>
      <c r="H3058" t="s">
        <v>75</v>
      </c>
      <c r="I3058" t="s">
        <v>76</v>
      </c>
      <c r="J3058" t="s">
        <v>77</v>
      </c>
      <c r="K3058" t="s">
        <v>78</v>
      </c>
      <c r="L3058" t="s">
        <v>360</v>
      </c>
      <c r="M3058" t="s">
        <v>361</v>
      </c>
      <c r="N3058" t="s">
        <v>362</v>
      </c>
      <c r="O3058" t="s">
        <v>82</v>
      </c>
      <c r="P3058" t="str">
        <f>"4170040392                    "</f>
        <v xml:space="preserve">4170040392                    </v>
      </c>
      <c r="Q3058">
        <v>0</v>
      </c>
      <c r="R3058">
        <v>0</v>
      </c>
      <c r="S3058">
        <v>0</v>
      </c>
      <c r="T3058">
        <v>0</v>
      </c>
      <c r="U3058">
        <v>0</v>
      </c>
      <c r="V3058">
        <v>0</v>
      </c>
      <c r="W3058">
        <v>0</v>
      </c>
      <c r="X3058">
        <v>0</v>
      </c>
      <c r="Y3058">
        <v>0</v>
      </c>
      <c r="Z3058">
        <v>0</v>
      </c>
      <c r="AA3058">
        <v>0</v>
      </c>
      <c r="AB3058">
        <v>0</v>
      </c>
      <c r="AC3058">
        <v>0</v>
      </c>
      <c r="AD3058">
        <v>0</v>
      </c>
      <c r="AE3058">
        <v>0</v>
      </c>
      <c r="AF3058">
        <v>0</v>
      </c>
      <c r="AG3058">
        <v>0</v>
      </c>
      <c r="AH3058">
        <v>0</v>
      </c>
      <c r="AI3058">
        <v>0</v>
      </c>
      <c r="AJ3058">
        <v>0</v>
      </c>
      <c r="AK3058">
        <v>0</v>
      </c>
      <c r="AL3058">
        <v>0</v>
      </c>
      <c r="AM3058">
        <v>0</v>
      </c>
      <c r="AN3058">
        <v>0</v>
      </c>
      <c r="AO3058">
        <v>0</v>
      </c>
      <c r="AP3058">
        <v>0</v>
      </c>
      <c r="AQ3058">
        <v>41.43</v>
      </c>
      <c r="AR3058">
        <v>0</v>
      </c>
      <c r="AS3058">
        <v>0</v>
      </c>
      <c r="AT3058">
        <v>0</v>
      </c>
      <c r="AU3058">
        <v>0</v>
      </c>
      <c r="AV3058">
        <v>0</v>
      </c>
      <c r="AW3058">
        <v>0</v>
      </c>
      <c r="AX3058">
        <v>0</v>
      </c>
      <c r="AY3058">
        <v>0</v>
      </c>
      <c r="AZ3058">
        <v>0</v>
      </c>
      <c r="BA3058">
        <v>0</v>
      </c>
      <c r="BB3058">
        <v>0</v>
      </c>
      <c r="BC3058">
        <v>0</v>
      </c>
      <c r="BD3058">
        <v>0</v>
      </c>
      <c r="BE3058">
        <v>0</v>
      </c>
      <c r="BF3058">
        <v>0</v>
      </c>
      <c r="BG3058">
        <v>0</v>
      </c>
      <c r="BH3058">
        <v>1</v>
      </c>
      <c r="BI3058">
        <v>1</v>
      </c>
      <c r="BJ3058">
        <v>0.2</v>
      </c>
      <c r="BK3058">
        <v>1</v>
      </c>
      <c r="BL3058">
        <v>135.59</v>
      </c>
      <c r="BM3058">
        <v>20.34</v>
      </c>
      <c r="BN3058">
        <v>155.93</v>
      </c>
      <c r="BO3058">
        <v>155.93</v>
      </c>
      <c r="BQ3058" t="s">
        <v>363</v>
      </c>
      <c r="BR3058" t="s">
        <v>84</v>
      </c>
      <c r="BS3058" s="3">
        <v>45803</v>
      </c>
      <c r="BT3058" s="4">
        <v>0.62916666666666665</v>
      </c>
      <c r="BU3058" t="s">
        <v>1246</v>
      </c>
      <c r="BV3058" t="s">
        <v>86</v>
      </c>
      <c r="BY3058">
        <v>1200</v>
      </c>
      <c r="CA3058" t="s">
        <v>365</v>
      </c>
      <c r="CC3058" t="s">
        <v>361</v>
      </c>
      <c r="CD3058">
        <v>7300</v>
      </c>
      <c r="CE3058" t="s">
        <v>88</v>
      </c>
      <c r="CF3058" s="3">
        <v>45804</v>
      </c>
      <c r="CI3058">
        <v>1</v>
      </c>
      <c r="CJ3058">
        <v>1</v>
      </c>
      <c r="CK3058">
        <v>23</v>
      </c>
      <c r="CL3058" t="s">
        <v>89</v>
      </c>
    </row>
    <row r="3059" spans="1:90" x14ac:dyDescent="0.3">
      <c r="A3059" t="s">
        <v>72</v>
      </c>
      <c r="B3059" t="s">
        <v>73</v>
      </c>
      <c r="C3059" t="s">
        <v>74</v>
      </c>
      <c r="E3059" t="str">
        <f>"080065527786"</f>
        <v>080065527786</v>
      </c>
      <c r="F3059" s="3">
        <v>45800</v>
      </c>
      <c r="G3059">
        <v>202602</v>
      </c>
      <c r="H3059" t="s">
        <v>75</v>
      </c>
      <c r="I3059" t="s">
        <v>76</v>
      </c>
      <c r="J3059" t="s">
        <v>77</v>
      </c>
      <c r="K3059" t="s">
        <v>78</v>
      </c>
      <c r="L3059" t="s">
        <v>117</v>
      </c>
      <c r="M3059" t="s">
        <v>118</v>
      </c>
      <c r="N3059" t="s">
        <v>3027</v>
      </c>
      <c r="O3059" t="s">
        <v>82</v>
      </c>
      <c r="P3059" t="str">
        <f>"4170040453                    "</f>
        <v xml:space="preserve">4170040453                    </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c r="AJ3059">
        <v>0</v>
      </c>
      <c r="AK3059">
        <v>0</v>
      </c>
      <c r="AL3059">
        <v>0</v>
      </c>
      <c r="AM3059">
        <v>0</v>
      </c>
      <c r="AN3059">
        <v>0</v>
      </c>
      <c r="AO3059">
        <v>0</v>
      </c>
      <c r="AP3059">
        <v>0</v>
      </c>
      <c r="AQ3059">
        <v>16.7</v>
      </c>
      <c r="AR3059">
        <v>0</v>
      </c>
      <c r="AS3059">
        <v>0</v>
      </c>
      <c r="AT3059">
        <v>0</v>
      </c>
      <c r="AU3059">
        <v>0</v>
      </c>
      <c r="AV3059">
        <v>0</v>
      </c>
      <c r="AW3059">
        <v>0</v>
      </c>
      <c r="AX3059">
        <v>0</v>
      </c>
      <c r="AY3059">
        <v>0</v>
      </c>
      <c r="AZ3059">
        <v>0</v>
      </c>
      <c r="BA3059">
        <v>0</v>
      </c>
      <c r="BB3059">
        <v>0</v>
      </c>
      <c r="BC3059">
        <v>0</v>
      </c>
      <c r="BD3059">
        <v>0</v>
      </c>
      <c r="BE3059">
        <v>0</v>
      </c>
      <c r="BF3059">
        <v>0</v>
      </c>
      <c r="BG3059">
        <v>0</v>
      </c>
      <c r="BH3059">
        <v>1</v>
      </c>
      <c r="BI3059">
        <v>2</v>
      </c>
      <c r="BJ3059">
        <v>1.5</v>
      </c>
      <c r="BK3059">
        <v>2</v>
      </c>
      <c r="BL3059">
        <v>54.66</v>
      </c>
      <c r="BM3059">
        <v>8.1999999999999993</v>
      </c>
      <c r="BN3059">
        <v>62.86</v>
      </c>
      <c r="BO3059">
        <v>62.86</v>
      </c>
      <c r="BQ3059" t="s">
        <v>3028</v>
      </c>
      <c r="BR3059" t="s">
        <v>84</v>
      </c>
      <c r="BS3059" s="3">
        <v>45803</v>
      </c>
      <c r="BT3059" s="4">
        <v>0.37430555555555556</v>
      </c>
      <c r="BU3059" t="s">
        <v>3029</v>
      </c>
      <c r="BV3059" t="s">
        <v>86</v>
      </c>
      <c r="BY3059">
        <v>7540</v>
      </c>
      <c r="CA3059" t="s">
        <v>535</v>
      </c>
      <c r="CC3059" t="s">
        <v>118</v>
      </c>
      <c r="CD3059">
        <v>2094</v>
      </c>
      <c r="CE3059" t="s">
        <v>96</v>
      </c>
      <c r="CF3059" s="3">
        <v>45803</v>
      </c>
      <c r="CI3059">
        <v>1</v>
      </c>
      <c r="CJ3059">
        <v>1</v>
      </c>
      <c r="CK3059">
        <v>22</v>
      </c>
      <c r="CL3059" t="s">
        <v>89</v>
      </c>
    </row>
    <row r="3060" spans="1:90" x14ac:dyDescent="0.3">
      <c r="A3060" t="s">
        <v>72</v>
      </c>
      <c r="B3060" t="s">
        <v>73</v>
      </c>
      <c r="C3060" t="s">
        <v>74</v>
      </c>
      <c r="E3060" t="str">
        <f>"080065527793"</f>
        <v>080065527793</v>
      </c>
      <c r="F3060" s="3">
        <v>45800</v>
      </c>
      <c r="G3060">
        <v>202602</v>
      </c>
      <c r="H3060" t="s">
        <v>75</v>
      </c>
      <c r="I3060" t="s">
        <v>76</v>
      </c>
      <c r="J3060" t="s">
        <v>77</v>
      </c>
      <c r="K3060" t="s">
        <v>78</v>
      </c>
      <c r="L3060" t="s">
        <v>136</v>
      </c>
      <c r="M3060" t="s">
        <v>137</v>
      </c>
      <c r="N3060" t="s">
        <v>1307</v>
      </c>
      <c r="O3060" t="s">
        <v>82</v>
      </c>
      <c r="P3060" t="str">
        <f>"4170040268                    "</f>
        <v xml:space="preserve">4170040268                    </v>
      </c>
      <c r="Q3060">
        <v>0</v>
      </c>
      <c r="R3060">
        <v>0</v>
      </c>
      <c r="S3060">
        <v>0</v>
      </c>
      <c r="T3060">
        <v>0</v>
      </c>
      <c r="U3060">
        <v>0</v>
      </c>
      <c r="V3060">
        <v>0</v>
      </c>
      <c r="W3060">
        <v>0</v>
      </c>
      <c r="X3060">
        <v>0</v>
      </c>
      <c r="Y3060">
        <v>0</v>
      </c>
      <c r="Z3060">
        <v>0</v>
      </c>
      <c r="AA3060">
        <v>0</v>
      </c>
      <c r="AB3060">
        <v>0</v>
      </c>
      <c r="AC3060">
        <v>0</v>
      </c>
      <c r="AD3060">
        <v>0</v>
      </c>
      <c r="AE3060">
        <v>0</v>
      </c>
      <c r="AF3060">
        <v>0</v>
      </c>
      <c r="AG3060">
        <v>0</v>
      </c>
      <c r="AH3060">
        <v>0</v>
      </c>
      <c r="AI3060">
        <v>0</v>
      </c>
      <c r="AJ3060">
        <v>0</v>
      </c>
      <c r="AK3060">
        <v>0</v>
      </c>
      <c r="AL3060">
        <v>0</v>
      </c>
      <c r="AM3060">
        <v>0</v>
      </c>
      <c r="AN3060">
        <v>0</v>
      </c>
      <c r="AO3060">
        <v>0</v>
      </c>
      <c r="AP3060">
        <v>0</v>
      </c>
      <c r="AQ3060">
        <v>21.38</v>
      </c>
      <c r="AR3060">
        <v>0</v>
      </c>
      <c r="AS3060">
        <v>0</v>
      </c>
      <c r="AT3060">
        <v>0</v>
      </c>
      <c r="AU3060">
        <v>0</v>
      </c>
      <c r="AV3060">
        <v>0</v>
      </c>
      <c r="AW3060">
        <v>0</v>
      </c>
      <c r="AX3060">
        <v>0</v>
      </c>
      <c r="AY3060">
        <v>0</v>
      </c>
      <c r="AZ3060">
        <v>0</v>
      </c>
      <c r="BA3060">
        <v>0</v>
      </c>
      <c r="BB3060">
        <v>0</v>
      </c>
      <c r="BC3060">
        <v>0</v>
      </c>
      <c r="BD3060">
        <v>0</v>
      </c>
      <c r="BE3060">
        <v>0</v>
      </c>
      <c r="BF3060">
        <v>0</v>
      </c>
      <c r="BG3060">
        <v>0</v>
      </c>
      <c r="BH3060">
        <v>1</v>
      </c>
      <c r="BI3060">
        <v>1</v>
      </c>
      <c r="BJ3060">
        <v>0.2</v>
      </c>
      <c r="BK3060">
        <v>1</v>
      </c>
      <c r="BL3060">
        <v>69.98</v>
      </c>
      <c r="BM3060">
        <v>10.5</v>
      </c>
      <c r="BN3060">
        <v>80.48</v>
      </c>
      <c r="BO3060">
        <v>80.48</v>
      </c>
      <c r="BQ3060" t="s">
        <v>1308</v>
      </c>
      <c r="BR3060" t="s">
        <v>84</v>
      </c>
      <c r="BS3060" s="3">
        <v>45803</v>
      </c>
      <c r="BT3060" s="4">
        <v>0.36944444444444446</v>
      </c>
      <c r="BU3060" t="s">
        <v>1309</v>
      </c>
      <c r="BV3060" t="s">
        <v>86</v>
      </c>
      <c r="BY3060">
        <v>1200</v>
      </c>
      <c r="CA3060" t="s">
        <v>141</v>
      </c>
      <c r="CC3060" t="s">
        <v>137</v>
      </c>
      <c r="CD3060" s="5" t="s">
        <v>142</v>
      </c>
      <c r="CE3060" t="s">
        <v>88</v>
      </c>
      <c r="CF3060" s="3">
        <v>45803</v>
      </c>
      <c r="CI3060">
        <v>1</v>
      </c>
      <c r="CJ3060">
        <v>1</v>
      </c>
      <c r="CK3060">
        <v>21</v>
      </c>
      <c r="CL3060" t="s">
        <v>89</v>
      </c>
    </row>
    <row r="3061" spans="1:90" x14ac:dyDescent="0.3">
      <c r="A3061" t="s">
        <v>72</v>
      </c>
      <c r="B3061" t="s">
        <v>73</v>
      </c>
      <c r="C3061" t="s">
        <v>74</v>
      </c>
      <c r="E3061" t="str">
        <f>"080065527852"</f>
        <v>080065527852</v>
      </c>
      <c r="F3061" s="3">
        <v>45800</v>
      </c>
      <c r="G3061">
        <v>202602</v>
      </c>
      <c r="H3061" t="s">
        <v>75</v>
      </c>
      <c r="I3061" t="s">
        <v>76</v>
      </c>
      <c r="J3061" t="s">
        <v>77</v>
      </c>
      <c r="K3061" t="s">
        <v>78</v>
      </c>
      <c r="L3061" t="s">
        <v>75</v>
      </c>
      <c r="M3061" t="s">
        <v>76</v>
      </c>
      <c r="N3061" t="s">
        <v>601</v>
      </c>
      <c r="O3061" t="s">
        <v>82</v>
      </c>
      <c r="P3061" t="str">
        <f>"4170040350                    "</f>
        <v xml:space="preserve">4170040350                    </v>
      </c>
      <c r="Q3061">
        <v>0</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c r="AJ3061">
        <v>0</v>
      </c>
      <c r="AK3061">
        <v>0</v>
      </c>
      <c r="AL3061">
        <v>0</v>
      </c>
      <c r="AM3061">
        <v>0</v>
      </c>
      <c r="AN3061">
        <v>0</v>
      </c>
      <c r="AO3061">
        <v>0</v>
      </c>
      <c r="AP3061">
        <v>0</v>
      </c>
      <c r="AQ3061">
        <v>16.7</v>
      </c>
      <c r="AR3061">
        <v>0</v>
      </c>
      <c r="AS3061">
        <v>0</v>
      </c>
      <c r="AT3061">
        <v>0</v>
      </c>
      <c r="AU3061">
        <v>0</v>
      </c>
      <c r="AV3061">
        <v>0</v>
      </c>
      <c r="AW3061">
        <v>0</v>
      </c>
      <c r="AX3061">
        <v>0</v>
      </c>
      <c r="AY3061">
        <v>0</v>
      </c>
      <c r="AZ3061">
        <v>0</v>
      </c>
      <c r="BA3061">
        <v>0</v>
      </c>
      <c r="BB3061">
        <v>0</v>
      </c>
      <c r="BC3061">
        <v>0</v>
      </c>
      <c r="BD3061">
        <v>0</v>
      </c>
      <c r="BE3061">
        <v>0</v>
      </c>
      <c r="BF3061">
        <v>0</v>
      </c>
      <c r="BG3061">
        <v>0</v>
      </c>
      <c r="BH3061">
        <v>1</v>
      </c>
      <c r="BI3061">
        <v>1</v>
      </c>
      <c r="BJ3061">
        <v>0.2</v>
      </c>
      <c r="BK3061">
        <v>1</v>
      </c>
      <c r="BL3061">
        <v>54.66</v>
      </c>
      <c r="BM3061">
        <v>8.1999999999999993</v>
      </c>
      <c r="BN3061">
        <v>62.86</v>
      </c>
      <c r="BO3061">
        <v>62.86</v>
      </c>
      <c r="BQ3061" t="s">
        <v>603</v>
      </c>
      <c r="BR3061" t="s">
        <v>84</v>
      </c>
      <c r="BS3061" s="3">
        <v>45803</v>
      </c>
      <c r="BT3061" s="4">
        <v>0.3347222222222222</v>
      </c>
      <c r="BU3061" t="s">
        <v>3003</v>
      </c>
      <c r="BV3061" t="s">
        <v>86</v>
      </c>
      <c r="BY3061">
        <v>1200</v>
      </c>
      <c r="CA3061" t="s">
        <v>2929</v>
      </c>
      <c r="CC3061" t="s">
        <v>76</v>
      </c>
      <c r="CD3061">
        <v>1645</v>
      </c>
      <c r="CE3061" t="s">
        <v>88</v>
      </c>
      <c r="CF3061" s="3">
        <v>45803</v>
      </c>
      <c r="CI3061">
        <v>1</v>
      </c>
      <c r="CJ3061">
        <v>1</v>
      </c>
      <c r="CK3061">
        <v>22</v>
      </c>
      <c r="CL3061" t="s">
        <v>89</v>
      </c>
    </row>
    <row r="3062" spans="1:90" x14ac:dyDescent="0.3">
      <c r="A3062" t="s">
        <v>72</v>
      </c>
      <c r="B3062" t="s">
        <v>73</v>
      </c>
      <c r="C3062" t="s">
        <v>74</v>
      </c>
      <c r="E3062" t="str">
        <f>"080065528287"</f>
        <v>080065528287</v>
      </c>
      <c r="F3062" s="3">
        <v>45800</v>
      </c>
      <c r="G3062">
        <v>202602</v>
      </c>
      <c r="H3062" t="s">
        <v>75</v>
      </c>
      <c r="I3062" t="s">
        <v>76</v>
      </c>
      <c r="J3062" t="s">
        <v>77</v>
      </c>
      <c r="K3062" t="s">
        <v>78</v>
      </c>
      <c r="L3062" t="s">
        <v>123</v>
      </c>
      <c r="M3062" t="s">
        <v>123</v>
      </c>
      <c r="N3062" t="s">
        <v>766</v>
      </c>
      <c r="O3062" t="s">
        <v>82</v>
      </c>
      <c r="P3062" t="str">
        <f>"4170040354                    "</f>
        <v xml:space="preserve">4170040354                    </v>
      </c>
      <c r="Q3062">
        <v>0</v>
      </c>
      <c r="R3062">
        <v>0</v>
      </c>
      <c r="S3062">
        <v>0</v>
      </c>
      <c r="T3062">
        <v>0</v>
      </c>
      <c r="U3062">
        <v>0</v>
      </c>
      <c r="V3062">
        <v>0</v>
      </c>
      <c r="W3062">
        <v>0</v>
      </c>
      <c r="X3062">
        <v>0</v>
      </c>
      <c r="Y3062">
        <v>0</v>
      </c>
      <c r="Z3062">
        <v>0</v>
      </c>
      <c r="AA3062">
        <v>0</v>
      </c>
      <c r="AB3062">
        <v>0</v>
      </c>
      <c r="AC3062">
        <v>0</v>
      </c>
      <c r="AD3062">
        <v>0</v>
      </c>
      <c r="AE3062">
        <v>0</v>
      </c>
      <c r="AF3062">
        <v>0</v>
      </c>
      <c r="AG3062">
        <v>0</v>
      </c>
      <c r="AH3062">
        <v>0</v>
      </c>
      <c r="AI3062">
        <v>0</v>
      </c>
      <c r="AJ3062">
        <v>0</v>
      </c>
      <c r="AK3062">
        <v>0</v>
      </c>
      <c r="AL3062">
        <v>0</v>
      </c>
      <c r="AM3062">
        <v>0</v>
      </c>
      <c r="AN3062">
        <v>0</v>
      </c>
      <c r="AO3062">
        <v>0</v>
      </c>
      <c r="AP3062">
        <v>0</v>
      </c>
      <c r="AQ3062">
        <v>78.849999999999994</v>
      </c>
      <c r="AR3062">
        <v>0</v>
      </c>
      <c r="AS3062">
        <v>0</v>
      </c>
      <c r="AT3062">
        <v>0</v>
      </c>
      <c r="AU3062">
        <v>0</v>
      </c>
      <c r="AV3062">
        <v>0</v>
      </c>
      <c r="AW3062">
        <v>0</v>
      </c>
      <c r="AX3062">
        <v>0</v>
      </c>
      <c r="AY3062">
        <v>0</v>
      </c>
      <c r="AZ3062">
        <v>0</v>
      </c>
      <c r="BA3062">
        <v>0</v>
      </c>
      <c r="BB3062">
        <v>0</v>
      </c>
      <c r="BC3062">
        <v>0</v>
      </c>
      <c r="BD3062">
        <v>0</v>
      </c>
      <c r="BE3062">
        <v>0</v>
      </c>
      <c r="BF3062">
        <v>0</v>
      </c>
      <c r="BG3062">
        <v>0</v>
      </c>
      <c r="BH3062">
        <v>1</v>
      </c>
      <c r="BI3062">
        <v>2</v>
      </c>
      <c r="BJ3062">
        <v>3.6</v>
      </c>
      <c r="BK3062">
        <v>4</v>
      </c>
      <c r="BL3062">
        <v>258.05</v>
      </c>
      <c r="BM3062">
        <v>38.71</v>
      </c>
      <c r="BN3062">
        <v>296.76</v>
      </c>
      <c r="BO3062">
        <v>296.76</v>
      </c>
      <c r="BQ3062" t="s">
        <v>767</v>
      </c>
      <c r="BR3062" t="s">
        <v>84</v>
      </c>
      <c r="BS3062" s="3">
        <v>45803</v>
      </c>
      <c r="BT3062" s="4">
        <v>0.53611111111111109</v>
      </c>
      <c r="BU3062" t="s">
        <v>768</v>
      </c>
      <c r="BV3062" t="s">
        <v>86</v>
      </c>
      <c r="BY3062">
        <v>18088</v>
      </c>
      <c r="CA3062" t="s">
        <v>128</v>
      </c>
      <c r="CC3062" t="s">
        <v>123</v>
      </c>
      <c r="CD3062">
        <v>7646</v>
      </c>
      <c r="CE3062" t="s">
        <v>221</v>
      </c>
      <c r="CF3062" s="3">
        <v>45804</v>
      </c>
      <c r="CI3062">
        <v>1</v>
      </c>
      <c r="CJ3062">
        <v>1</v>
      </c>
      <c r="CK3062">
        <v>23</v>
      </c>
      <c r="CL3062" t="s">
        <v>89</v>
      </c>
    </row>
    <row r="3063" spans="1:90" x14ac:dyDescent="0.3">
      <c r="A3063" t="s">
        <v>72</v>
      </c>
      <c r="B3063" t="s">
        <v>73</v>
      </c>
      <c r="C3063" t="s">
        <v>74</v>
      </c>
      <c r="E3063" t="str">
        <f>"080065528334"</f>
        <v>080065528334</v>
      </c>
      <c r="F3063" s="3">
        <v>45800</v>
      </c>
      <c r="G3063">
        <v>202602</v>
      </c>
      <c r="H3063" t="s">
        <v>75</v>
      </c>
      <c r="I3063" t="s">
        <v>76</v>
      </c>
      <c r="J3063" t="s">
        <v>77</v>
      </c>
      <c r="K3063" t="s">
        <v>78</v>
      </c>
      <c r="L3063" t="s">
        <v>1273</v>
      </c>
      <c r="M3063" t="s">
        <v>1274</v>
      </c>
      <c r="N3063" t="s">
        <v>2942</v>
      </c>
      <c r="O3063" t="s">
        <v>82</v>
      </c>
      <c r="P3063" t="str">
        <f>"4170040317                    "</f>
        <v xml:space="preserve">4170040317                    </v>
      </c>
      <c r="Q3063">
        <v>0</v>
      </c>
      <c r="R3063">
        <v>0</v>
      </c>
      <c r="S3063">
        <v>0</v>
      </c>
      <c r="T3063">
        <v>0</v>
      </c>
      <c r="U3063">
        <v>0</v>
      </c>
      <c r="V3063">
        <v>0</v>
      </c>
      <c r="W3063">
        <v>0</v>
      </c>
      <c r="X3063">
        <v>0</v>
      </c>
      <c r="Y3063">
        <v>0</v>
      </c>
      <c r="Z3063">
        <v>0</v>
      </c>
      <c r="AA3063">
        <v>0</v>
      </c>
      <c r="AB3063">
        <v>0</v>
      </c>
      <c r="AC3063">
        <v>0</v>
      </c>
      <c r="AD3063">
        <v>0</v>
      </c>
      <c r="AE3063">
        <v>0</v>
      </c>
      <c r="AF3063">
        <v>0</v>
      </c>
      <c r="AG3063">
        <v>0</v>
      </c>
      <c r="AH3063">
        <v>0</v>
      </c>
      <c r="AI3063">
        <v>0</v>
      </c>
      <c r="AJ3063">
        <v>0</v>
      </c>
      <c r="AK3063">
        <v>0</v>
      </c>
      <c r="AL3063">
        <v>0</v>
      </c>
      <c r="AM3063">
        <v>0</v>
      </c>
      <c r="AN3063">
        <v>0</v>
      </c>
      <c r="AO3063">
        <v>0</v>
      </c>
      <c r="AP3063">
        <v>0</v>
      </c>
      <c r="AQ3063">
        <v>41.43</v>
      </c>
      <c r="AR3063">
        <v>0</v>
      </c>
      <c r="AS3063">
        <v>0</v>
      </c>
      <c r="AT3063">
        <v>0</v>
      </c>
      <c r="AU3063">
        <v>0</v>
      </c>
      <c r="AV3063">
        <v>0</v>
      </c>
      <c r="AW3063">
        <v>0</v>
      </c>
      <c r="AX3063">
        <v>0</v>
      </c>
      <c r="AY3063">
        <v>0</v>
      </c>
      <c r="AZ3063">
        <v>0</v>
      </c>
      <c r="BA3063">
        <v>0</v>
      </c>
      <c r="BB3063">
        <v>0</v>
      </c>
      <c r="BC3063">
        <v>0</v>
      </c>
      <c r="BD3063">
        <v>0</v>
      </c>
      <c r="BE3063">
        <v>0</v>
      </c>
      <c r="BF3063">
        <v>0</v>
      </c>
      <c r="BG3063">
        <v>0</v>
      </c>
      <c r="BH3063">
        <v>1</v>
      </c>
      <c r="BI3063">
        <v>1</v>
      </c>
      <c r="BJ3063">
        <v>1.9</v>
      </c>
      <c r="BK3063">
        <v>2</v>
      </c>
      <c r="BL3063">
        <v>135.59</v>
      </c>
      <c r="BM3063">
        <v>20.34</v>
      </c>
      <c r="BN3063">
        <v>155.93</v>
      </c>
      <c r="BO3063">
        <v>155.93</v>
      </c>
      <c r="BQ3063" t="s">
        <v>2943</v>
      </c>
      <c r="BR3063" t="s">
        <v>84</v>
      </c>
      <c r="BS3063" s="3">
        <v>45803</v>
      </c>
      <c r="BT3063" s="4">
        <v>0.52916666666666667</v>
      </c>
      <c r="BU3063" t="s">
        <v>1642</v>
      </c>
      <c r="BV3063" t="s">
        <v>86</v>
      </c>
      <c r="BY3063">
        <v>9600</v>
      </c>
      <c r="CA3063" t="s">
        <v>1643</v>
      </c>
      <c r="CC3063" t="s">
        <v>1274</v>
      </c>
      <c r="CD3063">
        <v>1120</v>
      </c>
      <c r="CE3063" t="s">
        <v>96</v>
      </c>
      <c r="CF3063" s="3">
        <v>45805</v>
      </c>
      <c r="CI3063">
        <v>1</v>
      </c>
      <c r="CJ3063">
        <v>1</v>
      </c>
      <c r="CK3063">
        <v>23</v>
      </c>
      <c r="CL3063" t="s">
        <v>89</v>
      </c>
    </row>
    <row r="3064" spans="1:90" x14ac:dyDescent="0.3">
      <c r="A3064" t="s">
        <v>72</v>
      </c>
      <c r="B3064" t="s">
        <v>73</v>
      </c>
      <c r="C3064" t="s">
        <v>74</v>
      </c>
      <c r="E3064" t="str">
        <f>"080065528354"</f>
        <v>080065528354</v>
      </c>
      <c r="F3064" s="3">
        <v>45800</v>
      </c>
      <c r="G3064">
        <v>202602</v>
      </c>
      <c r="H3064" t="s">
        <v>75</v>
      </c>
      <c r="I3064" t="s">
        <v>76</v>
      </c>
      <c r="J3064" t="s">
        <v>77</v>
      </c>
      <c r="K3064" t="s">
        <v>78</v>
      </c>
      <c r="L3064" t="s">
        <v>232</v>
      </c>
      <c r="M3064" t="s">
        <v>233</v>
      </c>
      <c r="N3064" t="s">
        <v>834</v>
      </c>
      <c r="O3064" t="s">
        <v>82</v>
      </c>
      <c r="P3064" t="str">
        <f>"4170040458                    "</f>
        <v xml:space="preserve">4170040458                    </v>
      </c>
      <c r="Q3064">
        <v>0</v>
      </c>
      <c r="R3064">
        <v>0</v>
      </c>
      <c r="S3064">
        <v>0</v>
      </c>
      <c r="T3064">
        <v>0</v>
      </c>
      <c r="U3064">
        <v>0</v>
      </c>
      <c r="V3064">
        <v>0</v>
      </c>
      <c r="W3064">
        <v>0</v>
      </c>
      <c r="X3064">
        <v>0</v>
      </c>
      <c r="Y3064">
        <v>0</v>
      </c>
      <c r="Z3064">
        <v>0</v>
      </c>
      <c r="AA3064">
        <v>0</v>
      </c>
      <c r="AB3064">
        <v>0</v>
      </c>
      <c r="AC3064">
        <v>0</v>
      </c>
      <c r="AD3064">
        <v>0</v>
      </c>
      <c r="AE3064">
        <v>0</v>
      </c>
      <c r="AF3064">
        <v>0</v>
      </c>
      <c r="AG3064">
        <v>0</v>
      </c>
      <c r="AH3064">
        <v>0</v>
      </c>
      <c r="AI3064">
        <v>0</v>
      </c>
      <c r="AJ3064">
        <v>0</v>
      </c>
      <c r="AK3064">
        <v>0</v>
      </c>
      <c r="AL3064">
        <v>0</v>
      </c>
      <c r="AM3064">
        <v>0</v>
      </c>
      <c r="AN3064">
        <v>0</v>
      </c>
      <c r="AO3064">
        <v>0</v>
      </c>
      <c r="AP3064">
        <v>0</v>
      </c>
      <c r="AQ3064">
        <v>21.38</v>
      </c>
      <c r="AR3064">
        <v>0</v>
      </c>
      <c r="AS3064">
        <v>0</v>
      </c>
      <c r="AT3064">
        <v>0</v>
      </c>
      <c r="AU3064">
        <v>0</v>
      </c>
      <c r="AV3064">
        <v>0</v>
      </c>
      <c r="AW3064">
        <v>0</v>
      </c>
      <c r="AX3064">
        <v>0</v>
      </c>
      <c r="AY3064">
        <v>0</v>
      </c>
      <c r="AZ3064">
        <v>0</v>
      </c>
      <c r="BA3064">
        <v>0</v>
      </c>
      <c r="BB3064">
        <v>0</v>
      </c>
      <c r="BC3064">
        <v>0</v>
      </c>
      <c r="BD3064">
        <v>0</v>
      </c>
      <c r="BE3064">
        <v>0</v>
      </c>
      <c r="BF3064">
        <v>0</v>
      </c>
      <c r="BG3064">
        <v>0</v>
      </c>
      <c r="BH3064">
        <v>1</v>
      </c>
      <c r="BI3064">
        <v>1</v>
      </c>
      <c r="BJ3064">
        <v>0.2</v>
      </c>
      <c r="BK3064">
        <v>1</v>
      </c>
      <c r="BL3064">
        <v>69.98</v>
      </c>
      <c r="BM3064">
        <v>10.5</v>
      </c>
      <c r="BN3064">
        <v>80.48</v>
      </c>
      <c r="BO3064">
        <v>80.48</v>
      </c>
      <c r="BQ3064" t="s">
        <v>835</v>
      </c>
      <c r="BR3064" t="s">
        <v>84</v>
      </c>
      <c r="BS3064" s="3">
        <v>45803</v>
      </c>
      <c r="BT3064" s="4">
        <v>0.39305555555555555</v>
      </c>
      <c r="BU3064" t="s">
        <v>3030</v>
      </c>
      <c r="BV3064" t="s">
        <v>86</v>
      </c>
      <c r="BY3064">
        <v>1200</v>
      </c>
      <c r="CA3064" t="s">
        <v>2369</v>
      </c>
      <c r="CC3064" t="s">
        <v>233</v>
      </c>
      <c r="CD3064" s="5" t="s">
        <v>238</v>
      </c>
      <c r="CE3064" t="s">
        <v>88</v>
      </c>
      <c r="CF3064" s="3">
        <v>45803</v>
      </c>
      <c r="CI3064">
        <v>1</v>
      </c>
      <c r="CJ3064">
        <v>1</v>
      </c>
      <c r="CK3064">
        <v>21</v>
      </c>
      <c r="CL3064" t="s">
        <v>89</v>
      </c>
    </row>
    <row r="3065" spans="1:90" x14ac:dyDescent="0.3">
      <c r="A3065" t="s">
        <v>72</v>
      </c>
      <c r="B3065" t="s">
        <v>73</v>
      </c>
      <c r="C3065" t="s">
        <v>74</v>
      </c>
      <c r="E3065" t="str">
        <f>"080065528390"</f>
        <v>080065528390</v>
      </c>
      <c r="F3065" s="3">
        <v>45800</v>
      </c>
      <c r="G3065">
        <v>202602</v>
      </c>
      <c r="H3065" t="s">
        <v>75</v>
      </c>
      <c r="I3065" t="s">
        <v>76</v>
      </c>
      <c r="J3065" t="s">
        <v>77</v>
      </c>
      <c r="K3065" t="s">
        <v>78</v>
      </c>
      <c r="L3065" t="s">
        <v>871</v>
      </c>
      <c r="M3065" t="s">
        <v>872</v>
      </c>
      <c r="N3065" t="s">
        <v>1340</v>
      </c>
      <c r="O3065" t="s">
        <v>82</v>
      </c>
      <c r="P3065" t="str">
        <f>"4170040455                    "</f>
        <v xml:space="preserve">4170040455                    </v>
      </c>
      <c r="Q3065">
        <v>0</v>
      </c>
      <c r="R3065">
        <v>0</v>
      </c>
      <c r="S3065">
        <v>0</v>
      </c>
      <c r="T3065">
        <v>0</v>
      </c>
      <c r="U3065">
        <v>0</v>
      </c>
      <c r="V3065">
        <v>0</v>
      </c>
      <c r="W3065">
        <v>0</v>
      </c>
      <c r="X3065">
        <v>0</v>
      </c>
      <c r="Y3065">
        <v>0</v>
      </c>
      <c r="Z3065">
        <v>0</v>
      </c>
      <c r="AA3065">
        <v>0</v>
      </c>
      <c r="AB3065">
        <v>0</v>
      </c>
      <c r="AC3065">
        <v>0</v>
      </c>
      <c r="AD3065">
        <v>0</v>
      </c>
      <c r="AE3065">
        <v>0</v>
      </c>
      <c r="AF3065">
        <v>0</v>
      </c>
      <c r="AG3065">
        <v>0</v>
      </c>
      <c r="AH3065">
        <v>0</v>
      </c>
      <c r="AI3065">
        <v>0</v>
      </c>
      <c r="AJ3065">
        <v>0</v>
      </c>
      <c r="AK3065">
        <v>0</v>
      </c>
      <c r="AL3065">
        <v>0</v>
      </c>
      <c r="AM3065">
        <v>0</v>
      </c>
      <c r="AN3065">
        <v>0</v>
      </c>
      <c r="AO3065">
        <v>0</v>
      </c>
      <c r="AP3065">
        <v>0</v>
      </c>
      <c r="AQ3065">
        <v>60.14</v>
      </c>
      <c r="AR3065">
        <v>0</v>
      </c>
      <c r="AS3065">
        <v>0</v>
      </c>
      <c r="AT3065">
        <v>0</v>
      </c>
      <c r="AU3065">
        <v>0</v>
      </c>
      <c r="AV3065">
        <v>0</v>
      </c>
      <c r="AW3065">
        <v>0</v>
      </c>
      <c r="AX3065">
        <v>0</v>
      </c>
      <c r="AY3065">
        <v>0</v>
      </c>
      <c r="AZ3065">
        <v>0</v>
      </c>
      <c r="BA3065">
        <v>0</v>
      </c>
      <c r="BB3065">
        <v>0</v>
      </c>
      <c r="BC3065">
        <v>0</v>
      </c>
      <c r="BD3065">
        <v>0</v>
      </c>
      <c r="BE3065">
        <v>0</v>
      </c>
      <c r="BF3065">
        <v>0</v>
      </c>
      <c r="BG3065">
        <v>0</v>
      </c>
      <c r="BH3065">
        <v>1</v>
      </c>
      <c r="BI3065">
        <v>3</v>
      </c>
      <c r="BJ3065">
        <v>1.7</v>
      </c>
      <c r="BK3065">
        <v>3</v>
      </c>
      <c r="BL3065">
        <v>196.82</v>
      </c>
      <c r="BM3065">
        <v>29.52</v>
      </c>
      <c r="BN3065">
        <v>226.34</v>
      </c>
      <c r="BO3065">
        <v>226.34</v>
      </c>
      <c r="BQ3065" t="s">
        <v>1341</v>
      </c>
      <c r="BR3065" t="s">
        <v>84</v>
      </c>
      <c r="BS3065" s="3">
        <v>45803</v>
      </c>
      <c r="BT3065" s="4">
        <v>0.43402777777777779</v>
      </c>
      <c r="BU3065" t="s">
        <v>1342</v>
      </c>
      <c r="BV3065" t="s">
        <v>86</v>
      </c>
      <c r="BY3065">
        <v>8512</v>
      </c>
      <c r="CA3065" t="s">
        <v>1343</v>
      </c>
      <c r="CC3065" t="s">
        <v>872</v>
      </c>
      <c r="CD3065">
        <v>2302</v>
      </c>
      <c r="CE3065" t="s">
        <v>116</v>
      </c>
      <c r="CF3065" s="3">
        <v>45804</v>
      </c>
      <c r="CI3065">
        <v>1</v>
      </c>
      <c r="CJ3065">
        <v>1</v>
      </c>
      <c r="CK3065">
        <v>23</v>
      </c>
      <c r="CL3065" t="s">
        <v>89</v>
      </c>
    </row>
    <row r="3066" spans="1:90" x14ac:dyDescent="0.3">
      <c r="A3066" t="s">
        <v>72</v>
      </c>
      <c r="B3066" t="s">
        <v>73</v>
      </c>
      <c r="C3066" t="s">
        <v>74</v>
      </c>
      <c r="E3066" t="str">
        <f>"080065528400"</f>
        <v>080065528400</v>
      </c>
      <c r="F3066" s="3">
        <v>45800</v>
      </c>
      <c r="G3066">
        <v>202602</v>
      </c>
      <c r="H3066" t="s">
        <v>75</v>
      </c>
      <c r="I3066" t="s">
        <v>76</v>
      </c>
      <c r="J3066" t="s">
        <v>77</v>
      </c>
      <c r="K3066" t="s">
        <v>78</v>
      </c>
      <c r="L3066" t="s">
        <v>130</v>
      </c>
      <c r="M3066" t="s">
        <v>131</v>
      </c>
      <c r="N3066" t="s">
        <v>709</v>
      </c>
      <c r="O3066" t="s">
        <v>82</v>
      </c>
      <c r="P3066" t="str">
        <f>"4170040300                    "</f>
        <v xml:space="preserve">4170040300                    </v>
      </c>
      <c r="Q3066">
        <v>0</v>
      </c>
      <c r="R3066">
        <v>0</v>
      </c>
      <c r="S3066">
        <v>0</v>
      </c>
      <c r="T3066">
        <v>0</v>
      </c>
      <c r="U3066">
        <v>0</v>
      </c>
      <c r="V3066">
        <v>0</v>
      </c>
      <c r="W3066">
        <v>0</v>
      </c>
      <c r="X3066">
        <v>0</v>
      </c>
      <c r="Y3066">
        <v>0</v>
      </c>
      <c r="Z3066">
        <v>0</v>
      </c>
      <c r="AA3066">
        <v>0</v>
      </c>
      <c r="AB3066">
        <v>0</v>
      </c>
      <c r="AC3066">
        <v>0</v>
      </c>
      <c r="AD3066">
        <v>0</v>
      </c>
      <c r="AE3066">
        <v>0</v>
      </c>
      <c r="AF3066">
        <v>0</v>
      </c>
      <c r="AG3066">
        <v>0</v>
      </c>
      <c r="AH3066">
        <v>0</v>
      </c>
      <c r="AI3066">
        <v>0</v>
      </c>
      <c r="AJ3066">
        <v>0</v>
      </c>
      <c r="AK3066">
        <v>0</v>
      </c>
      <c r="AL3066">
        <v>0</v>
      </c>
      <c r="AM3066">
        <v>0</v>
      </c>
      <c r="AN3066">
        <v>0</v>
      </c>
      <c r="AO3066">
        <v>0</v>
      </c>
      <c r="AP3066">
        <v>0</v>
      </c>
      <c r="AQ3066">
        <v>21.38</v>
      </c>
      <c r="AR3066">
        <v>0</v>
      </c>
      <c r="AS3066">
        <v>0</v>
      </c>
      <c r="AT3066">
        <v>0</v>
      </c>
      <c r="AU3066">
        <v>0</v>
      </c>
      <c r="AV3066">
        <v>0</v>
      </c>
      <c r="AW3066">
        <v>0</v>
      </c>
      <c r="AX3066">
        <v>0</v>
      </c>
      <c r="AY3066">
        <v>0</v>
      </c>
      <c r="AZ3066">
        <v>0</v>
      </c>
      <c r="BA3066">
        <v>0</v>
      </c>
      <c r="BB3066">
        <v>0</v>
      </c>
      <c r="BC3066">
        <v>0</v>
      </c>
      <c r="BD3066">
        <v>0</v>
      </c>
      <c r="BE3066">
        <v>0</v>
      </c>
      <c r="BF3066">
        <v>0</v>
      </c>
      <c r="BG3066">
        <v>0</v>
      </c>
      <c r="BH3066">
        <v>1</v>
      </c>
      <c r="BI3066">
        <v>1</v>
      </c>
      <c r="BJ3066">
        <v>0.2</v>
      </c>
      <c r="BK3066">
        <v>1</v>
      </c>
      <c r="BL3066">
        <v>69.98</v>
      </c>
      <c r="BM3066">
        <v>10.5</v>
      </c>
      <c r="BN3066">
        <v>80.48</v>
      </c>
      <c r="BO3066">
        <v>80.48</v>
      </c>
      <c r="BQ3066" t="s">
        <v>710</v>
      </c>
      <c r="BR3066" t="s">
        <v>84</v>
      </c>
      <c r="BS3066" s="3">
        <v>45803</v>
      </c>
      <c r="BT3066" s="4">
        <v>0.35902777777777778</v>
      </c>
      <c r="BU3066" t="s">
        <v>2361</v>
      </c>
      <c r="BV3066" t="s">
        <v>86</v>
      </c>
      <c r="BY3066">
        <v>1200</v>
      </c>
      <c r="CC3066" t="s">
        <v>131</v>
      </c>
      <c r="CD3066">
        <v>7530</v>
      </c>
      <c r="CE3066" t="s">
        <v>88</v>
      </c>
      <c r="CF3066" s="3">
        <v>45804</v>
      </c>
      <c r="CI3066">
        <v>1</v>
      </c>
      <c r="CJ3066">
        <v>1</v>
      </c>
      <c r="CK3066">
        <v>21</v>
      </c>
      <c r="CL3066" t="s">
        <v>89</v>
      </c>
    </row>
    <row r="3067" spans="1:90" x14ac:dyDescent="0.3">
      <c r="A3067" t="s">
        <v>72</v>
      </c>
      <c r="B3067" t="s">
        <v>73</v>
      </c>
      <c r="C3067" t="s">
        <v>74</v>
      </c>
      <c r="E3067" t="str">
        <f>"080065528426"</f>
        <v>080065528426</v>
      </c>
      <c r="F3067" s="3">
        <v>45800</v>
      </c>
      <c r="G3067">
        <v>202602</v>
      </c>
      <c r="H3067" t="s">
        <v>75</v>
      </c>
      <c r="I3067" t="s">
        <v>76</v>
      </c>
      <c r="J3067" t="s">
        <v>77</v>
      </c>
      <c r="K3067" t="s">
        <v>78</v>
      </c>
      <c r="L3067" t="s">
        <v>136</v>
      </c>
      <c r="M3067" t="s">
        <v>137</v>
      </c>
      <c r="N3067" t="s">
        <v>776</v>
      </c>
      <c r="O3067" t="s">
        <v>82</v>
      </c>
      <c r="P3067" t="str">
        <f>"4170040321                    "</f>
        <v xml:space="preserve">4170040321                    </v>
      </c>
      <c r="Q3067">
        <v>0</v>
      </c>
      <c r="R3067">
        <v>0</v>
      </c>
      <c r="S3067">
        <v>0</v>
      </c>
      <c r="T3067">
        <v>0</v>
      </c>
      <c r="U3067">
        <v>0</v>
      </c>
      <c r="V3067">
        <v>0</v>
      </c>
      <c r="W3067">
        <v>0</v>
      </c>
      <c r="X3067">
        <v>0</v>
      </c>
      <c r="Y3067">
        <v>0</v>
      </c>
      <c r="Z3067">
        <v>0</v>
      </c>
      <c r="AA3067">
        <v>0</v>
      </c>
      <c r="AB3067">
        <v>0</v>
      </c>
      <c r="AC3067">
        <v>0</v>
      </c>
      <c r="AD3067">
        <v>0</v>
      </c>
      <c r="AE3067">
        <v>0</v>
      </c>
      <c r="AF3067">
        <v>0</v>
      </c>
      <c r="AG3067">
        <v>0</v>
      </c>
      <c r="AH3067">
        <v>0</v>
      </c>
      <c r="AI3067">
        <v>0</v>
      </c>
      <c r="AJ3067">
        <v>0</v>
      </c>
      <c r="AK3067">
        <v>0</v>
      </c>
      <c r="AL3067">
        <v>0</v>
      </c>
      <c r="AM3067">
        <v>0</v>
      </c>
      <c r="AN3067">
        <v>0</v>
      </c>
      <c r="AO3067">
        <v>0</v>
      </c>
      <c r="AP3067">
        <v>0</v>
      </c>
      <c r="AQ3067">
        <v>21.38</v>
      </c>
      <c r="AR3067">
        <v>0</v>
      </c>
      <c r="AS3067">
        <v>0</v>
      </c>
      <c r="AT3067">
        <v>0</v>
      </c>
      <c r="AU3067">
        <v>0</v>
      </c>
      <c r="AV3067">
        <v>0</v>
      </c>
      <c r="AW3067">
        <v>0</v>
      </c>
      <c r="AX3067">
        <v>0</v>
      </c>
      <c r="AY3067">
        <v>0</v>
      </c>
      <c r="AZ3067">
        <v>0</v>
      </c>
      <c r="BA3067">
        <v>0</v>
      </c>
      <c r="BB3067">
        <v>0</v>
      </c>
      <c r="BC3067">
        <v>0</v>
      </c>
      <c r="BD3067">
        <v>0</v>
      </c>
      <c r="BE3067">
        <v>0</v>
      </c>
      <c r="BF3067">
        <v>0</v>
      </c>
      <c r="BG3067">
        <v>0</v>
      </c>
      <c r="BH3067">
        <v>1</v>
      </c>
      <c r="BI3067">
        <v>1</v>
      </c>
      <c r="BJ3067">
        <v>0.2</v>
      </c>
      <c r="BK3067">
        <v>1</v>
      </c>
      <c r="BL3067">
        <v>69.98</v>
      </c>
      <c r="BM3067">
        <v>10.5</v>
      </c>
      <c r="BN3067">
        <v>80.48</v>
      </c>
      <c r="BO3067">
        <v>80.48</v>
      </c>
      <c r="BQ3067" t="s">
        <v>777</v>
      </c>
      <c r="BR3067" t="s">
        <v>84</v>
      </c>
      <c r="BS3067" s="3">
        <v>45803</v>
      </c>
      <c r="BT3067" s="4">
        <v>0.40347222222222223</v>
      </c>
      <c r="BU3067" t="s">
        <v>778</v>
      </c>
      <c r="BV3067" t="s">
        <v>86</v>
      </c>
      <c r="BY3067">
        <v>1200</v>
      </c>
      <c r="CA3067" t="s">
        <v>779</v>
      </c>
      <c r="CC3067" t="s">
        <v>137</v>
      </c>
      <c r="CD3067" s="5" t="s">
        <v>738</v>
      </c>
      <c r="CE3067" t="s">
        <v>176</v>
      </c>
      <c r="CF3067" s="3">
        <v>45803</v>
      </c>
      <c r="CI3067">
        <v>1</v>
      </c>
      <c r="CJ3067">
        <v>1</v>
      </c>
      <c r="CK3067">
        <v>21</v>
      </c>
      <c r="CL3067" t="s">
        <v>89</v>
      </c>
    </row>
    <row r="3068" spans="1:90" x14ac:dyDescent="0.3">
      <c r="A3068" t="s">
        <v>72</v>
      </c>
      <c r="B3068" t="s">
        <v>73</v>
      </c>
      <c r="C3068" t="s">
        <v>74</v>
      </c>
      <c r="E3068" t="str">
        <f>"080065528431"</f>
        <v>080065528431</v>
      </c>
      <c r="F3068" s="3">
        <v>45800</v>
      </c>
      <c r="G3068">
        <v>202602</v>
      </c>
      <c r="H3068" t="s">
        <v>75</v>
      </c>
      <c r="I3068" t="s">
        <v>76</v>
      </c>
      <c r="J3068" t="s">
        <v>77</v>
      </c>
      <c r="K3068" t="s">
        <v>78</v>
      </c>
      <c r="L3068" t="s">
        <v>75</v>
      </c>
      <c r="M3068" t="s">
        <v>76</v>
      </c>
      <c r="N3068" t="s">
        <v>850</v>
      </c>
      <c r="O3068" t="s">
        <v>82</v>
      </c>
      <c r="P3068" t="str">
        <f>"4170040341                    "</f>
        <v xml:space="preserve">4170040341                    </v>
      </c>
      <c r="Q3068">
        <v>0</v>
      </c>
      <c r="R3068">
        <v>0</v>
      </c>
      <c r="S3068">
        <v>0</v>
      </c>
      <c r="T3068">
        <v>0</v>
      </c>
      <c r="U3068">
        <v>0</v>
      </c>
      <c r="V3068">
        <v>0</v>
      </c>
      <c r="W3068">
        <v>0</v>
      </c>
      <c r="X3068">
        <v>0</v>
      </c>
      <c r="Y3068">
        <v>0</v>
      </c>
      <c r="Z3068">
        <v>0</v>
      </c>
      <c r="AA3068">
        <v>0</v>
      </c>
      <c r="AB3068">
        <v>0</v>
      </c>
      <c r="AC3068">
        <v>0</v>
      </c>
      <c r="AD3068">
        <v>0</v>
      </c>
      <c r="AE3068">
        <v>0</v>
      </c>
      <c r="AF3068">
        <v>0</v>
      </c>
      <c r="AG3068">
        <v>0</v>
      </c>
      <c r="AH3068">
        <v>0</v>
      </c>
      <c r="AI3068">
        <v>0</v>
      </c>
      <c r="AJ3068">
        <v>0</v>
      </c>
      <c r="AK3068">
        <v>0</v>
      </c>
      <c r="AL3068">
        <v>0</v>
      </c>
      <c r="AM3068">
        <v>0</v>
      </c>
      <c r="AN3068">
        <v>0</v>
      </c>
      <c r="AO3068">
        <v>0</v>
      </c>
      <c r="AP3068">
        <v>0</v>
      </c>
      <c r="AQ3068">
        <v>16.7</v>
      </c>
      <c r="AR3068">
        <v>0</v>
      </c>
      <c r="AS3068">
        <v>0</v>
      </c>
      <c r="AT3068">
        <v>0</v>
      </c>
      <c r="AU3068">
        <v>0</v>
      </c>
      <c r="AV3068">
        <v>0</v>
      </c>
      <c r="AW3068">
        <v>0</v>
      </c>
      <c r="AX3068">
        <v>0</v>
      </c>
      <c r="AY3068">
        <v>0</v>
      </c>
      <c r="AZ3068">
        <v>0</v>
      </c>
      <c r="BA3068">
        <v>0</v>
      </c>
      <c r="BB3068">
        <v>0</v>
      </c>
      <c r="BC3068">
        <v>0</v>
      </c>
      <c r="BD3068">
        <v>0</v>
      </c>
      <c r="BE3068">
        <v>0</v>
      </c>
      <c r="BF3068">
        <v>0</v>
      </c>
      <c r="BG3068">
        <v>0</v>
      </c>
      <c r="BH3068">
        <v>1</v>
      </c>
      <c r="BI3068">
        <v>1</v>
      </c>
      <c r="BJ3068">
        <v>1.1000000000000001</v>
      </c>
      <c r="BK3068">
        <v>2</v>
      </c>
      <c r="BL3068">
        <v>54.66</v>
      </c>
      <c r="BM3068">
        <v>8.1999999999999993</v>
      </c>
      <c r="BN3068">
        <v>62.86</v>
      </c>
      <c r="BO3068">
        <v>62.86</v>
      </c>
      <c r="BQ3068" t="s">
        <v>851</v>
      </c>
      <c r="BR3068" t="s">
        <v>84</v>
      </c>
      <c r="BS3068" s="3">
        <v>45803</v>
      </c>
      <c r="BT3068" s="4">
        <v>0.33611111111111114</v>
      </c>
      <c r="BU3068" t="s">
        <v>3031</v>
      </c>
      <c r="BV3068" t="s">
        <v>86</v>
      </c>
      <c r="BY3068">
        <v>5320</v>
      </c>
      <c r="CA3068" t="s">
        <v>853</v>
      </c>
      <c r="CC3068" t="s">
        <v>76</v>
      </c>
      <c r="CD3068">
        <v>1666</v>
      </c>
      <c r="CE3068" t="s">
        <v>176</v>
      </c>
      <c r="CF3068" s="3">
        <v>45804</v>
      </c>
      <c r="CI3068">
        <v>1</v>
      </c>
      <c r="CJ3068">
        <v>1</v>
      </c>
      <c r="CK3068">
        <v>22</v>
      </c>
      <c r="CL3068" t="s">
        <v>89</v>
      </c>
    </row>
    <row r="3069" spans="1:90" x14ac:dyDescent="0.3">
      <c r="A3069" t="s">
        <v>72</v>
      </c>
      <c r="B3069" t="s">
        <v>73</v>
      </c>
      <c r="C3069" t="s">
        <v>74</v>
      </c>
      <c r="E3069" t="str">
        <f>"080065528453"</f>
        <v>080065528453</v>
      </c>
      <c r="F3069" s="3">
        <v>45800</v>
      </c>
      <c r="G3069">
        <v>202602</v>
      </c>
      <c r="H3069" t="s">
        <v>75</v>
      </c>
      <c r="I3069" t="s">
        <v>76</v>
      </c>
      <c r="J3069" t="s">
        <v>77</v>
      </c>
      <c r="K3069" t="s">
        <v>78</v>
      </c>
      <c r="L3069" t="s">
        <v>97</v>
      </c>
      <c r="M3069" t="s">
        <v>98</v>
      </c>
      <c r="N3069" t="s">
        <v>99</v>
      </c>
      <c r="O3069" t="s">
        <v>82</v>
      </c>
      <c r="P3069" t="str">
        <f>"4170040449                    "</f>
        <v xml:space="preserve">4170040449                    </v>
      </c>
      <c r="Q3069">
        <v>0</v>
      </c>
      <c r="R3069">
        <v>0</v>
      </c>
      <c r="S3069">
        <v>0</v>
      </c>
      <c r="T3069">
        <v>0</v>
      </c>
      <c r="U3069">
        <v>0</v>
      </c>
      <c r="V3069">
        <v>0</v>
      </c>
      <c r="W3069">
        <v>0</v>
      </c>
      <c r="X3069">
        <v>0</v>
      </c>
      <c r="Y3069">
        <v>0</v>
      </c>
      <c r="Z3069">
        <v>0</v>
      </c>
      <c r="AA3069">
        <v>0</v>
      </c>
      <c r="AB3069">
        <v>0</v>
      </c>
      <c r="AC3069">
        <v>0</v>
      </c>
      <c r="AD3069">
        <v>0</v>
      </c>
      <c r="AE3069">
        <v>0</v>
      </c>
      <c r="AF3069">
        <v>0</v>
      </c>
      <c r="AG3069">
        <v>0</v>
      </c>
      <c r="AH3069">
        <v>0</v>
      </c>
      <c r="AI3069">
        <v>0</v>
      </c>
      <c r="AJ3069">
        <v>0</v>
      </c>
      <c r="AK3069">
        <v>0</v>
      </c>
      <c r="AL3069">
        <v>0</v>
      </c>
      <c r="AM3069">
        <v>0</v>
      </c>
      <c r="AN3069">
        <v>0</v>
      </c>
      <c r="AO3069">
        <v>0</v>
      </c>
      <c r="AP3069">
        <v>0</v>
      </c>
      <c r="AQ3069">
        <v>16.7</v>
      </c>
      <c r="AR3069">
        <v>0</v>
      </c>
      <c r="AS3069">
        <v>0</v>
      </c>
      <c r="AT3069">
        <v>0</v>
      </c>
      <c r="AU3069">
        <v>0</v>
      </c>
      <c r="AV3069">
        <v>0</v>
      </c>
      <c r="AW3069">
        <v>0</v>
      </c>
      <c r="AX3069">
        <v>0</v>
      </c>
      <c r="AY3069">
        <v>0</v>
      </c>
      <c r="AZ3069">
        <v>0</v>
      </c>
      <c r="BA3069">
        <v>0</v>
      </c>
      <c r="BB3069">
        <v>0</v>
      </c>
      <c r="BC3069">
        <v>0</v>
      </c>
      <c r="BD3069">
        <v>0</v>
      </c>
      <c r="BE3069">
        <v>0</v>
      </c>
      <c r="BF3069">
        <v>0</v>
      </c>
      <c r="BG3069">
        <v>0</v>
      </c>
      <c r="BH3069">
        <v>1</v>
      </c>
      <c r="BI3069">
        <v>1</v>
      </c>
      <c r="BJ3069">
        <v>0.2</v>
      </c>
      <c r="BK3069">
        <v>1</v>
      </c>
      <c r="BL3069">
        <v>54.66</v>
      </c>
      <c r="BM3069">
        <v>8.1999999999999993</v>
      </c>
      <c r="BN3069">
        <v>62.86</v>
      </c>
      <c r="BO3069">
        <v>62.86</v>
      </c>
      <c r="BQ3069" t="s">
        <v>100</v>
      </c>
      <c r="BR3069" t="s">
        <v>84</v>
      </c>
      <c r="BS3069" s="3">
        <v>45803</v>
      </c>
      <c r="BT3069" s="4">
        <v>0.33333333333333331</v>
      </c>
      <c r="BU3069" t="s">
        <v>3032</v>
      </c>
      <c r="BV3069" t="s">
        <v>86</v>
      </c>
      <c r="BY3069">
        <v>1200</v>
      </c>
      <c r="CA3069" t="s">
        <v>102</v>
      </c>
      <c r="CC3069" t="s">
        <v>98</v>
      </c>
      <c r="CD3069">
        <v>1459</v>
      </c>
      <c r="CE3069" t="s">
        <v>176</v>
      </c>
      <c r="CF3069" s="3">
        <v>45804</v>
      </c>
      <c r="CI3069">
        <v>1</v>
      </c>
      <c r="CJ3069">
        <v>1</v>
      </c>
      <c r="CK3069">
        <v>22</v>
      </c>
      <c r="CL3069" t="s">
        <v>89</v>
      </c>
    </row>
    <row r="3070" spans="1:90" x14ac:dyDescent="0.3">
      <c r="A3070" t="s">
        <v>72</v>
      </c>
      <c r="B3070" t="s">
        <v>73</v>
      </c>
      <c r="C3070" t="s">
        <v>74</v>
      </c>
      <c r="E3070" t="str">
        <f>"080065528465"</f>
        <v>080065528465</v>
      </c>
      <c r="F3070" s="3">
        <v>45800</v>
      </c>
      <c r="G3070">
        <v>202602</v>
      </c>
      <c r="H3070" t="s">
        <v>75</v>
      </c>
      <c r="I3070" t="s">
        <v>76</v>
      </c>
      <c r="J3070" t="s">
        <v>77</v>
      </c>
      <c r="K3070" t="s">
        <v>78</v>
      </c>
      <c r="L3070" t="s">
        <v>103</v>
      </c>
      <c r="M3070" t="s">
        <v>104</v>
      </c>
      <c r="N3070" t="s">
        <v>633</v>
      </c>
      <c r="O3070" t="s">
        <v>82</v>
      </c>
      <c r="P3070" t="str">
        <f>"4170040381                    "</f>
        <v xml:space="preserve">4170040381                    </v>
      </c>
      <c r="Q3070">
        <v>0</v>
      </c>
      <c r="R3070">
        <v>0</v>
      </c>
      <c r="S3070">
        <v>0</v>
      </c>
      <c r="T3070">
        <v>0</v>
      </c>
      <c r="U3070">
        <v>0</v>
      </c>
      <c r="V3070">
        <v>0</v>
      </c>
      <c r="W3070">
        <v>0</v>
      </c>
      <c r="X3070">
        <v>0</v>
      </c>
      <c r="Y3070">
        <v>0</v>
      </c>
      <c r="Z3070">
        <v>0</v>
      </c>
      <c r="AA3070">
        <v>0</v>
      </c>
      <c r="AB3070">
        <v>0</v>
      </c>
      <c r="AC3070">
        <v>0</v>
      </c>
      <c r="AD3070">
        <v>0</v>
      </c>
      <c r="AE3070">
        <v>0</v>
      </c>
      <c r="AF3070">
        <v>0</v>
      </c>
      <c r="AG3070">
        <v>0</v>
      </c>
      <c r="AH3070">
        <v>0</v>
      </c>
      <c r="AI3070">
        <v>0</v>
      </c>
      <c r="AJ3070">
        <v>0</v>
      </c>
      <c r="AK3070">
        <v>0</v>
      </c>
      <c r="AL3070">
        <v>0</v>
      </c>
      <c r="AM3070">
        <v>0</v>
      </c>
      <c r="AN3070">
        <v>0</v>
      </c>
      <c r="AO3070">
        <v>0</v>
      </c>
      <c r="AP3070">
        <v>0</v>
      </c>
      <c r="AQ3070">
        <v>42.75</v>
      </c>
      <c r="AR3070">
        <v>0</v>
      </c>
      <c r="AS3070">
        <v>0</v>
      </c>
      <c r="AT3070">
        <v>0</v>
      </c>
      <c r="AU3070">
        <v>0</v>
      </c>
      <c r="AV3070">
        <v>0</v>
      </c>
      <c r="AW3070">
        <v>0</v>
      </c>
      <c r="AX3070">
        <v>0</v>
      </c>
      <c r="AY3070">
        <v>0</v>
      </c>
      <c r="AZ3070">
        <v>0</v>
      </c>
      <c r="BA3070">
        <v>0</v>
      </c>
      <c r="BB3070">
        <v>0</v>
      </c>
      <c r="BC3070">
        <v>0</v>
      </c>
      <c r="BD3070">
        <v>0</v>
      </c>
      <c r="BE3070">
        <v>0</v>
      </c>
      <c r="BF3070">
        <v>0</v>
      </c>
      <c r="BG3070">
        <v>0</v>
      </c>
      <c r="BH3070">
        <v>1</v>
      </c>
      <c r="BI3070">
        <v>4</v>
      </c>
      <c r="BJ3070">
        <v>1.7</v>
      </c>
      <c r="BK3070">
        <v>4</v>
      </c>
      <c r="BL3070">
        <v>139.91</v>
      </c>
      <c r="BM3070">
        <v>20.99</v>
      </c>
      <c r="BN3070">
        <v>160.9</v>
      </c>
      <c r="BO3070">
        <v>160.9</v>
      </c>
      <c r="BQ3070" t="s">
        <v>634</v>
      </c>
      <c r="BR3070" t="s">
        <v>84</v>
      </c>
      <c r="BS3070" s="3">
        <v>45803</v>
      </c>
      <c r="BT3070" s="4">
        <v>0.41666666666666669</v>
      </c>
      <c r="BU3070" t="s">
        <v>635</v>
      </c>
      <c r="BV3070" t="s">
        <v>86</v>
      </c>
      <c r="BY3070">
        <v>8512</v>
      </c>
      <c r="CA3070" t="s">
        <v>440</v>
      </c>
      <c r="CC3070" t="s">
        <v>104</v>
      </c>
      <c r="CD3070">
        <v>3212</v>
      </c>
      <c r="CE3070" t="s">
        <v>176</v>
      </c>
      <c r="CF3070" s="3">
        <v>45803</v>
      </c>
      <c r="CI3070">
        <v>2</v>
      </c>
      <c r="CJ3070">
        <v>1</v>
      </c>
      <c r="CK3070">
        <v>21</v>
      </c>
      <c r="CL3070" t="s">
        <v>89</v>
      </c>
    </row>
    <row r="3071" spans="1:90" x14ac:dyDescent="0.3">
      <c r="A3071" t="s">
        <v>72</v>
      </c>
      <c r="B3071" t="s">
        <v>73</v>
      </c>
      <c r="C3071" t="s">
        <v>74</v>
      </c>
      <c r="E3071" t="str">
        <f>"080065528483"</f>
        <v>080065528483</v>
      </c>
      <c r="F3071" s="3">
        <v>45800</v>
      </c>
      <c r="G3071">
        <v>202602</v>
      </c>
      <c r="H3071" t="s">
        <v>75</v>
      </c>
      <c r="I3071" t="s">
        <v>76</v>
      </c>
      <c r="J3071" t="s">
        <v>77</v>
      </c>
      <c r="K3071" t="s">
        <v>78</v>
      </c>
      <c r="L3071" t="s">
        <v>90</v>
      </c>
      <c r="M3071" t="s">
        <v>91</v>
      </c>
      <c r="N3071" t="s">
        <v>2348</v>
      </c>
      <c r="O3071" t="s">
        <v>82</v>
      </c>
      <c r="P3071" t="str">
        <f>"4170040394                    "</f>
        <v xml:space="preserve">4170040394                    </v>
      </c>
      <c r="Q3071">
        <v>0</v>
      </c>
      <c r="R3071">
        <v>0</v>
      </c>
      <c r="S3071">
        <v>0</v>
      </c>
      <c r="T3071">
        <v>0</v>
      </c>
      <c r="U3071">
        <v>0</v>
      </c>
      <c r="V3071">
        <v>0</v>
      </c>
      <c r="W3071">
        <v>0</v>
      </c>
      <c r="X3071">
        <v>0</v>
      </c>
      <c r="Y3071">
        <v>0</v>
      </c>
      <c r="Z3071">
        <v>0</v>
      </c>
      <c r="AA3071">
        <v>0</v>
      </c>
      <c r="AB3071">
        <v>0</v>
      </c>
      <c r="AC3071">
        <v>0</v>
      </c>
      <c r="AD3071">
        <v>0</v>
      </c>
      <c r="AE3071">
        <v>0</v>
      </c>
      <c r="AF3071">
        <v>0</v>
      </c>
      <c r="AG3071">
        <v>0</v>
      </c>
      <c r="AH3071">
        <v>0</v>
      </c>
      <c r="AI3071">
        <v>0</v>
      </c>
      <c r="AJ3071">
        <v>0</v>
      </c>
      <c r="AK3071">
        <v>0</v>
      </c>
      <c r="AL3071">
        <v>0</v>
      </c>
      <c r="AM3071">
        <v>0</v>
      </c>
      <c r="AN3071">
        <v>0</v>
      </c>
      <c r="AO3071">
        <v>0</v>
      </c>
      <c r="AP3071">
        <v>0</v>
      </c>
      <c r="AQ3071">
        <v>21.38</v>
      </c>
      <c r="AR3071">
        <v>0</v>
      </c>
      <c r="AS3071">
        <v>0</v>
      </c>
      <c r="AT3071">
        <v>0</v>
      </c>
      <c r="AU3071">
        <v>0</v>
      </c>
      <c r="AV3071">
        <v>0</v>
      </c>
      <c r="AW3071">
        <v>0</v>
      </c>
      <c r="AX3071">
        <v>0</v>
      </c>
      <c r="AY3071">
        <v>0</v>
      </c>
      <c r="AZ3071">
        <v>0</v>
      </c>
      <c r="BA3071">
        <v>0</v>
      </c>
      <c r="BB3071">
        <v>0</v>
      </c>
      <c r="BC3071">
        <v>0</v>
      </c>
      <c r="BD3071">
        <v>0</v>
      </c>
      <c r="BE3071">
        <v>0</v>
      </c>
      <c r="BF3071">
        <v>0</v>
      </c>
      <c r="BG3071">
        <v>0</v>
      </c>
      <c r="BH3071">
        <v>1</v>
      </c>
      <c r="BI3071">
        <v>1</v>
      </c>
      <c r="BJ3071">
        <v>0.2</v>
      </c>
      <c r="BK3071">
        <v>1</v>
      </c>
      <c r="BL3071">
        <v>69.98</v>
      </c>
      <c r="BM3071">
        <v>10.5</v>
      </c>
      <c r="BN3071">
        <v>80.48</v>
      </c>
      <c r="BO3071">
        <v>80.48</v>
      </c>
      <c r="BQ3071" t="s">
        <v>2349</v>
      </c>
      <c r="BR3071" t="s">
        <v>84</v>
      </c>
      <c r="BS3071" s="3">
        <v>45803</v>
      </c>
      <c r="BT3071" s="4">
        <v>0.39374999999999999</v>
      </c>
      <c r="BU3071" t="s">
        <v>3033</v>
      </c>
      <c r="BV3071" t="s">
        <v>86</v>
      </c>
      <c r="BY3071">
        <v>1200</v>
      </c>
      <c r="CA3071" t="s">
        <v>95</v>
      </c>
      <c r="CC3071" t="s">
        <v>91</v>
      </c>
      <c r="CD3071">
        <v>6056</v>
      </c>
      <c r="CE3071" t="s">
        <v>176</v>
      </c>
      <c r="CF3071" s="3">
        <v>45803</v>
      </c>
      <c r="CI3071">
        <v>1</v>
      </c>
      <c r="CJ3071">
        <v>1</v>
      </c>
      <c r="CK3071">
        <v>21</v>
      </c>
      <c r="CL3071" t="s">
        <v>89</v>
      </c>
    </row>
    <row r="3072" spans="1:90" x14ac:dyDescent="0.3">
      <c r="A3072" t="s">
        <v>72</v>
      </c>
      <c r="B3072" t="s">
        <v>73</v>
      </c>
      <c r="C3072" t="s">
        <v>74</v>
      </c>
      <c r="E3072" t="str">
        <f>"080065528511"</f>
        <v>080065528511</v>
      </c>
      <c r="F3072" s="3">
        <v>45800</v>
      </c>
      <c r="G3072">
        <v>202602</v>
      </c>
      <c r="H3072" t="s">
        <v>75</v>
      </c>
      <c r="I3072" t="s">
        <v>76</v>
      </c>
      <c r="J3072" t="s">
        <v>77</v>
      </c>
      <c r="K3072" t="s">
        <v>78</v>
      </c>
      <c r="L3072" t="s">
        <v>103</v>
      </c>
      <c r="M3072" t="s">
        <v>104</v>
      </c>
      <c r="N3072" t="s">
        <v>633</v>
      </c>
      <c r="O3072" t="s">
        <v>82</v>
      </c>
      <c r="P3072" t="str">
        <f>"4170040411                    "</f>
        <v xml:space="preserve">4170040411                    </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c r="AI3072">
        <v>0</v>
      </c>
      <c r="AJ3072">
        <v>0</v>
      </c>
      <c r="AK3072">
        <v>0</v>
      </c>
      <c r="AL3072">
        <v>0</v>
      </c>
      <c r="AM3072">
        <v>0</v>
      </c>
      <c r="AN3072">
        <v>0</v>
      </c>
      <c r="AO3072">
        <v>0</v>
      </c>
      <c r="AP3072">
        <v>0</v>
      </c>
      <c r="AQ3072">
        <v>32.07</v>
      </c>
      <c r="AR3072">
        <v>0</v>
      </c>
      <c r="AS3072">
        <v>0</v>
      </c>
      <c r="AT3072">
        <v>0</v>
      </c>
      <c r="AU3072">
        <v>0</v>
      </c>
      <c r="AV3072">
        <v>0</v>
      </c>
      <c r="AW3072">
        <v>0</v>
      </c>
      <c r="AX3072">
        <v>0</v>
      </c>
      <c r="AY3072">
        <v>0</v>
      </c>
      <c r="AZ3072">
        <v>0</v>
      </c>
      <c r="BA3072">
        <v>0</v>
      </c>
      <c r="BB3072">
        <v>0</v>
      </c>
      <c r="BC3072">
        <v>0</v>
      </c>
      <c r="BD3072">
        <v>0</v>
      </c>
      <c r="BE3072">
        <v>0</v>
      </c>
      <c r="BF3072">
        <v>0</v>
      </c>
      <c r="BG3072">
        <v>0</v>
      </c>
      <c r="BH3072">
        <v>1</v>
      </c>
      <c r="BI3072">
        <v>3</v>
      </c>
      <c r="BJ3072">
        <v>1.8</v>
      </c>
      <c r="BK3072">
        <v>3</v>
      </c>
      <c r="BL3072">
        <v>104.95</v>
      </c>
      <c r="BM3072">
        <v>15.74</v>
      </c>
      <c r="BN3072">
        <v>120.69</v>
      </c>
      <c r="BO3072">
        <v>120.69</v>
      </c>
      <c r="BQ3072" t="s">
        <v>634</v>
      </c>
      <c r="BR3072" t="s">
        <v>84</v>
      </c>
      <c r="BS3072" s="3">
        <v>45803</v>
      </c>
      <c r="BT3072" s="4">
        <v>0.41666666666666669</v>
      </c>
      <c r="BU3072" t="s">
        <v>635</v>
      </c>
      <c r="BV3072" t="s">
        <v>86</v>
      </c>
      <c r="BY3072">
        <v>9044</v>
      </c>
      <c r="CA3072" t="s">
        <v>440</v>
      </c>
      <c r="CC3072" t="s">
        <v>104</v>
      </c>
      <c r="CD3072">
        <v>3212</v>
      </c>
      <c r="CE3072" t="s">
        <v>176</v>
      </c>
      <c r="CF3072" s="3">
        <v>45803</v>
      </c>
      <c r="CI3072">
        <v>2</v>
      </c>
      <c r="CJ3072">
        <v>1</v>
      </c>
      <c r="CK3072">
        <v>21</v>
      </c>
      <c r="CL3072" t="s">
        <v>89</v>
      </c>
    </row>
    <row r="3073" spans="1:90" x14ac:dyDescent="0.3">
      <c r="A3073" t="s">
        <v>72</v>
      </c>
      <c r="B3073" t="s">
        <v>73</v>
      </c>
      <c r="C3073" t="s">
        <v>74</v>
      </c>
      <c r="E3073" t="str">
        <f>"080065528580"</f>
        <v>080065528580</v>
      </c>
      <c r="F3073" s="3">
        <v>45800</v>
      </c>
      <c r="G3073">
        <v>202602</v>
      </c>
      <c r="H3073" t="s">
        <v>75</v>
      </c>
      <c r="I3073" t="s">
        <v>76</v>
      </c>
      <c r="J3073" t="s">
        <v>77</v>
      </c>
      <c r="K3073" t="s">
        <v>78</v>
      </c>
      <c r="L3073" t="s">
        <v>350</v>
      </c>
      <c r="M3073" t="s">
        <v>351</v>
      </c>
      <c r="N3073" t="s">
        <v>3034</v>
      </c>
      <c r="O3073" t="s">
        <v>82</v>
      </c>
      <c r="P3073" t="str">
        <f>"4170040391                    "</f>
        <v xml:space="preserve">4170040391                    </v>
      </c>
      <c r="Q3073">
        <v>0</v>
      </c>
      <c r="R3073">
        <v>0</v>
      </c>
      <c r="S3073">
        <v>0</v>
      </c>
      <c r="T3073">
        <v>0</v>
      </c>
      <c r="U3073">
        <v>0</v>
      </c>
      <c r="V3073">
        <v>0</v>
      </c>
      <c r="W3073">
        <v>0</v>
      </c>
      <c r="X3073">
        <v>0</v>
      </c>
      <c r="Y3073">
        <v>0</v>
      </c>
      <c r="Z3073">
        <v>0</v>
      </c>
      <c r="AA3073">
        <v>0</v>
      </c>
      <c r="AB3073">
        <v>0</v>
      </c>
      <c r="AC3073">
        <v>0</v>
      </c>
      <c r="AD3073">
        <v>0</v>
      </c>
      <c r="AE3073">
        <v>0</v>
      </c>
      <c r="AF3073">
        <v>0</v>
      </c>
      <c r="AG3073">
        <v>0</v>
      </c>
      <c r="AH3073">
        <v>0</v>
      </c>
      <c r="AI3073">
        <v>0</v>
      </c>
      <c r="AJ3073">
        <v>0</v>
      </c>
      <c r="AK3073">
        <v>0</v>
      </c>
      <c r="AL3073">
        <v>0</v>
      </c>
      <c r="AM3073">
        <v>0</v>
      </c>
      <c r="AN3073">
        <v>0</v>
      </c>
      <c r="AO3073">
        <v>0</v>
      </c>
      <c r="AP3073">
        <v>0</v>
      </c>
      <c r="AQ3073">
        <v>21.38</v>
      </c>
      <c r="AR3073">
        <v>0</v>
      </c>
      <c r="AS3073">
        <v>0</v>
      </c>
      <c r="AT3073">
        <v>0</v>
      </c>
      <c r="AU3073">
        <v>0</v>
      </c>
      <c r="AV3073">
        <v>0</v>
      </c>
      <c r="AW3073">
        <v>0</v>
      </c>
      <c r="AX3073">
        <v>0</v>
      </c>
      <c r="AY3073">
        <v>0</v>
      </c>
      <c r="AZ3073">
        <v>0</v>
      </c>
      <c r="BA3073">
        <v>0</v>
      </c>
      <c r="BB3073">
        <v>0</v>
      </c>
      <c r="BC3073">
        <v>0</v>
      </c>
      <c r="BD3073">
        <v>0</v>
      </c>
      <c r="BE3073">
        <v>0</v>
      </c>
      <c r="BF3073">
        <v>0</v>
      </c>
      <c r="BG3073">
        <v>0</v>
      </c>
      <c r="BH3073">
        <v>1</v>
      </c>
      <c r="BI3073">
        <v>1</v>
      </c>
      <c r="BJ3073">
        <v>0.2</v>
      </c>
      <c r="BK3073">
        <v>1</v>
      </c>
      <c r="BL3073">
        <v>69.98</v>
      </c>
      <c r="BM3073">
        <v>10.5</v>
      </c>
      <c r="BN3073">
        <v>80.48</v>
      </c>
      <c r="BO3073">
        <v>80.48</v>
      </c>
      <c r="BQ3073" t="s">
        <v>3035</v>
      </c>
      <c r="BR3073" t="s">
        <v>84</v>
      </c>
      <c r="BS3073" s="3">
        <v>45803</v>
      </c>
      <c r="BT3073" s="4">
        <v>0.36041666666666666</v>
      </c>
      <c r="BU3073" t="s">
        <v>3036</v>
      </c>
      <c r="BV3073" t="s">
        <v>86</v>
      </c>
      <c r="BY3073">
        <v>1200</v>
      </c>
      <c r="CA3073" t="s">
        <v>2093</v>
      </c>
      <c r="CC3073" t="s">
        <v>351</v>
      </c>
      <c r="CD3073">
        <v>4068</v>
      </c>
      <c r="CE3073" t="s">
        <v>176</v>
      </c>
      <c r="CF3073" s="3">
        <v>45804</v>
      </c>
      <c r="CI3073">
        <v>1</v>
      </c>
      <c r="CJ3073">
        <v>1</v>
      </c>
      <c r="CK3073">
        <v>21</v>
      </c>
      <c r="CL3073" t="s">
        <v>89</v>
      </c>
    </row>
    <row r="3074" spans="1:90" x14ac:dyDescent="0.3">
      <c r="A3074" t="s">
        <v>72</v>
      </c>
      <c r="B3074" t="s">
        <v>73</v>
      </c>
      <c r="C3074" t="s">
        <v>74</v>
      </c>
      <c r="E3074" t="str">
        <f>"080065528609"</f>
        <v>080065528609</v>
      </c>
      <c r="F3074" s="3">
        <v>45800</v>
      </c>
      <c r="G3074">
        <v>202602</v>
      </c>
      <c r="H3074" t="s">
        <v>75</v>
      </c>
      <c r="I3074" t="s">
        <v>76</v>
      </c>
      <c r="J3074" t="s">
        <v>77</v>
      </c>
      <c r="K3074" t="s">
        <v>78</v>
      </c>
      <c r="L3074" t="s">
        <v>90</v>
      </c>
      <c r="M3074" t="s">
        <v>91</v>
      </c>
      <c r="N3074" t="s">
        <v>543</v>
      </c>
      <c r="O3074" t="s">
        <v>82</v>
      </c>
      <c r="P3074" t="str">
        <f>"4170040299                    "</f>
        <v xml:space="preserve">4170040299                    </v>
      </c>
      <c r="Q3074">
        <v>0</v>
      </c>
      <c r="R3074">
        <v>0</v>
      </c>
      <c r="S3074">
        <v>0</v>
      </c>
      <c r="T3074">
        <v>0</v>
      </c>
      <c r="U3074">
        <v>0</v>
      </c>
      <c r="V3074">
        <v>0</v>
      </c>
      <c r="W3074">
        <v>0</v>
      </c>
      <c r="X3074">
        <v>0</v>
      </c>
      <c r="Y3074">
        <v>0</v>
      </c>
      <c r="Z3074">
        <v>0</v>
      </c>
      <c r="AA3074">
        <v>0</v>
      </c>
      <c r="AB3074">
        <v>0</v>
      </c>
      <c r="AC3074">
        <v>0</v>
      </c>
      <c r="AD3074">
        <v>0</v>
      </c>
      <c r="AE3074">
        <v>0</v>
      </c>
      <c r="AF3074">
        <v>0</v>
      </c>
      <c r="AG3074">
        <v>0</v>
      </c>
      <c r="AH3074">
        <v>0</v>
      </c>
      <c r="AI3074">
        <v>0</v>
      </c>
      <c r="AJ3074">
        <v>0</v>
      </c>
      <c r="AK3074">
        <v>0</v>
      </c>
      <c r="AL3074">
        <v>0</v>
      </c>
      <c r="AM3074">
        <v>0</v>
      </c>
      <c r="AN3074">
        <v>0</v>
      </c>
      <c r="AO3074">
        <v>0</v>
      </c>
      <c r="AP3074">
        <v>0</v>
      </c>
      <c r="AQ3074">
        <v>21.38</v>
      </c>
      <c r="AR3074">
        <v>0</v>
      </c>
      <c r="AS3074">
        <v>0</v>
      </c>
      <c r="AT3074">
        <v>0</v>
      </c>
      <c r="AU3074">
        <v>0</v>
      </c>
      <c r="AV3074">
        <v>0</v>
      </c>
      <c r="AW3074">
        <v>0</v>
      </c>
      <c r="AX3074">
        <v>0</v>
      </c>
      <c r="AY3074">
        <v>0</v>
      </c>
      <c r="AZ3074">
        <v>0</v>
      </c>
      <c r="BA3074">
        <v>0</v>
      </c>
      <c r="BB3074">
        <v>0</v>
      </c>
      <c r="BC3074">
        <v>0</v>
      </c>
      <c r="BD3074">
        <v>0</v>
      </c>
      <c r="BE3074">
        <v>0</v>
      </c>
      <c r="BF3074">
        <v>0</v>
      </c>
      <c r="BG3074">
        <v>0</v>
      </c>
      <c r="BH3074">
        <v>1</v>
      </c>
      <c r="BI3074">
        <v>1</v>
      </c>
      <c r="BJ3074">
        <v>0.2</v>
      </c>
      <c r="BK3074">
        <v>1</v>
      </c>
      <c r="BL3074">
        <v>69.98</v>
      </c>
      <c r="BM3074">
        <v>10.5</v>
      </c>
      <c r="BN3074">
        <v>80.48</v>
      </c>
      <c r="BO3074">
        <v>80.48</v>
      </c>
      <c r="BQ3074" t="s">
        <v>544</v>
      </c>
      <c r="BR3074" t="s">
        <v>84</v>
      </c>
      <c r="BS3074" s="3">
        <v>45803</v>
      </c>
      <c r="BT3074" s="4">
        <v>0.35486111111111113</v>
      </c>
      <c r="BU3074" t="s">
        <v>1764</v>
      </c>
      <c r="BV3074" t="s">
        <v>86</v>
      </c>
      <c r="BY3074">
        <v>1200</v>
      </c>
      <c r="CA3074" t="s">
        <v>283</v>
      </c>
      <c r="CC3074" t="s">
        <v>91</v>
      </c>
      <c r="CD3074">
        <v>6001</v>
      </c>
      <c r="CE3074" t="s">
        <v>176</v>
      </c>
      <c r="CF3074" s="3">
        <v>45803</v>
      </c>
      <c r="CI3074">
        <v>1</v>
      </c>
      <c r="CJ3074">
        <v>1</v>
      </c>
      <c r="CK3074">
        <v>21</v>
      </c>
      <c r="CL3074" t="s">
        <v>89</v>
      </c>
    </row>
    <row r="3075" spans="1:90" x14ac:dyDescent="0.3">
      <c r="A3075" t="s">
        <v>72</v>
      </c>
      <c r="B3075" t="s">
        <v>73</v>
      </c>
      <c r="C3075" t="s">
        <v>74</v>
      </c>
      <c r="E3075" t="str">
        <f>"080065528638"</f>
        <v>080065528638</v>
      </c>
      <c r="F3075" s="3">
        <v>45800</v>
      </c>
      <c r="G3075">
        <v>202602</v>
      </c>
      <c r="H3075" t="s">
        <v>75</v>
      </c>
      <c r="I3075" t="s">
        <v>76</v>
      </c>
      <c r="J3075" t="s">
        <v>77</v>
      </c>
      <c r="K3075" t="s">
        <v>78</v>
      </c>
      <c r="L3075" t="s">
        <v>79</v>
      </c>
      <c r="M3075" t="s">
        <v>80</v>
      </c>
      <c r="N3075" t="s">
        <v>415</v>
      </c>
      <c r="O3075" t="s">
        <v>82</v>
      </c>
      <c r="P3075" t="str">
        <f>"4170040332                    "</f>
        <v xml:space="preserve">4170040332                    </v>
      </c>
      <c r="Q3075">
        <v>0</v>
      </c>
      <c r="R3075">
        <v>0</v>
      </c>
      <c r="S3075">
        <v>0</v>
      </c>
      <c r="T3075">
        <v>0</v>
      </c>
      <c r="U3075">
        <v>0</v>
      </c>
      <c r="V3075">
        <v>0</v>
      </c>
      <c r="W3075">
        <v>0</v>
      </c>
      <c r="X3075">
        <v>0</v>
      </c>
      <c r="Y3075">
        <v>0</v>
      </c>
      <c r="Z3075">
        <v>0</v>
      </c>
      <c r="AA3075">
        <v>0</v>
      </c>
      <c r="AB3075">
        <v>0</v>
      </c>
      <c r="AC3075">
        <v>0</v>
      </c>
      <c r="AD3075">
        <v>0</v>
      </c>
      <c r="AE3075">
        <v>0</v>
      </c>
      <c r="AF3075">
        <v>0</v>
      </c>
      <c r="AG3075">
        <v>0</v>
      </c>
      <c r="AH3075">
        <v>0</v>
      </c>
      <c r="AI3075">
        <v>0</v>
      </c>
      <c r="AJ3075">
        <v>0</v>
      </c>
      <c r="AK3075">
        <v>0</v>
      </c>
      <c r="AL3075">
        <v>0</v>
      </c>
      <c r="AM3075">
        <v>0</v>
      </c>
      <c r="AN3075">
        <v>0</v>
      </c>
      <c r="AO3075">
        <v>0</v>
      </c>
      <c r="AP3075">
        <v>0</v>
      </c>
      <c r="AQ3075">
        <v>21.38</v>
      </c>
      <c r="AR3075">
        <v>0</v>
      </c>
      <c r="AS3075">
        <v>0</v>
      </c>
      <c r="AT3075">
        <v>0</v>
      </c>
      <c r="AU3075">
        <v>0</v>
      </c>
      <c r="AV3075">
        <v>0</v>
      </c>
      <c r="AW3075">
        <v>0</v>
      </c>
      <c r="AX3075">
        <v>0</v>
      </c>
      <c r="AY3075">
        <v>0</v>
      </c>
      <c r="AZ3075">
        <v>0</v>
      </c>
      <c r="BA3075">
        <v>0</v>
      </c>
      <c r="BB3075">
        <v>0</v>
      </c>
      <c r="BC3075">
        <v>0</v>
      </c>
      <c r="BD3075">
        <v>0</v>
      </c>
      <c r="BE3075">
        <v>0</v>
      </c>
      <c r="BF3075">
        <v>0</v>
      </c>
      <c r="BG3075">
        <v>0</v>
      </c>
      <c r="BH3075">
        <v>1</v>
      </c>
      <c r="BI3075">
        <v>1</v>
      </c>
      <c r="BJ3075">
        <v>0.2</v>
      </c>
      <c r="BK3075">
        <v>1</v>
      </c>
      <c r="BL3075">
        <v>69.98</v>
      </c>
      <c r="BM3075">
        <v>10.5</v>
      </c>
      <c r="BN3075">
        <v>80.48</v>
      </c>
      <c r="BO3075">
        <v>80.48</v>
      </c>
      <c r="BQ3075" t="s">
        <v>416</v>
      </c>
      <c r="BR3075" t="s">
        <v>84</v>
      </c>
      <c r="BS3075" s="3">
        <v>45803</v>
      </c>
      <c r="BT3075" s="4">
        <v>0.41875000000000001</v>
      </c>
      <c r="BU3075" t="s">
        <v>1152</v>
      </c>
      <c r="BV3075" t="s">
        <v>86</v>
      </c>
      <c r="BY3075">
        <v>1200</v>
      </c>
      <c r="CA3075" t="s">
        <v>87</v>
      </c>
      <c r="CC3075" t="s">
        <v>80</v>
      </c>
      <c r="CD3075">
        <v>3610</v>
      </c>
      <c r="CE3075" t="s">
        <v>176</v>
      </c>
      <c r="CF3075" s="3">
        <v>45803</v>
      </c>
      <c r="CI3075">
        <v>1</v>
      </c>
      <c r="CJ3075">
        <v>1</v>
      </c>
      <c r="CK3075">
        <v>21</v>
      </c>
      <c r="CL3075" t="s">
        <v>89</v>
      </c>
    </row>
    <row r="3076" spans="1:90" x14ac:dyDescent="0.3">
      <c r="A3076" t="s">
        <v>72</v>
      </c>
      <c r="B3076" t="s">
        <v>73</v>
      </c>
      <c r="C3076" t="s">
        <v>74</v>
      </c>
      <c r="E3076" t="str">
        <f>"080065528672"</f>
        <v>080065528672</v>
      </c>
      <c r="F3076" s="3">
        <v>45800</v>
      </c>
      <c r="G3076">
        <v>202602</v>
      </c>
      <c r="H3076" t="s">
        <v>75</v>
      </c>
      <c r="I3076" t="s">
        <v>76</v>
      </c>
      <c r="J3076" t="s">
        <v>77</v>
      </c>
      <c r="K3076" t="s">
        <v>78</v>
      </c>
      <c r="L3076" t="s">
        <v>75</v>
      </c>
      <c r="M3076" t="s">
        <v>76</v>
      </c>
      <c r="N3076" t="s">
        <v>1030</v>
      </c>
      <c r="O3076" t="s">
        <v>82</v>
      </c>
      <c r="P3076" t="str">
        <f>"4170040452                    "</f>
        <v xml:space="preserve">4170040452                    </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c r="AJ3076">
        <v>0</v>
      </c>
      <c r="AK3076">
        <v>0</v>
      </c>
      <c r="AL3076">
        <v>0</v>
      </c>
      <c r="AM3076">
        <v>0</v>
      </c>
      <c r="AN3076">
        <v>0</v>
      </c>
      <c r="AO3076">
        <v>0</v>
      </c>
      <c r="AP3076">
        <v>0</v>
      </c>
      <c r="AQ3076">
        <v>16.7</v>
      </c>
      <c r="AR3076">
        <v>0</v>
      </c>
      <c r="AS3076">
        <v>0</v>
      </c>
      <c r="AT3076">
        <v>0</v>
      </c>
      <c r="AU3076">
        <v>0</v>
      </c>
      <c r="AV3076">
        <v>0</v>
      </c>
      <c r="AW3076">
        <v>0</v>
      </c>
      <c r="AX3076">
        <v>0</v>
      </c>
      <c r="AY3076">
        <v>0</v>
      </c>
      <c r="AZ3076">
        <v>0</v>
      </c>
      <c r="BA3076">
        <v>0</v>
      </c>
      <c r="BB3076">
        <v>0</v>
      </c>
      <c r="BC3076">
        <v>0</v>
      </c>
      <c r="BD3076">
        <v>0</v>
      </c>
      <c r="BE3076">
        <v>0</v>
      </c>
      <c r="BF3076">
        <v>0</v>
      </c>
      <c r="BG3076">
        <v>0</v>
      </c>
      <c r="BH3076">
        <v>1</v>
      </c>
      <c r="BI3076">
        <v>1</v>
      </c>
      <c r="BJ3076">
        <v>0.2</v>
      </c>
      <c r="BK3076">
        <v>1</v>
      </c>
      <c r="BL3076">
        <v>54.66</v>
      </c>
      <c r="BM3076">
        <v>8.1999999999999993</v>
      </c>
      <c r="BN3076">
        <v>62.86</v>
      </c>
      <c r="BO3076">
        <v>62.86</v>
      </c>
      <c r="BQ3076" t="s">
        <v>1031</v>
      </c>
      <c r="BR3076" t="s">
        <v>84</v>
      </c>
      <c r="BS3076" s="3">
        <v>45803</v>
      </c>
      <c r="BT3076" s="4">
        <v>0.33333333333333331</v>
      </c>
      <c r="BU3076" t="s">
        <v>3037</v>
      </c>
      <c r="BV3076" t="s">
        <v>86</v>
      </c>
      <c r="BY3076">
        <v>1200</v>
      </c>
      <c r="CA3076" t="s">
        <v>115</v>
      </c>
      <c r="CC3076" t="s">
        <v>76</v>
      </c>
      <c r="CD3076">
        <v>1600</v>
      </c>
      <c r="CE3076" t="s">
        <v>88</v>
      </c>
      <c r="CF3076" s="3">
        <v>45803</v>
      </c>
      <c r="CI3076">
        <v>1</v>
      </c>
      <c r="CJ3076">
        <v>1</v>
      </c>
      <c r="CK3076">
        <v>22</v>
      </c>
      <c r="CL3076" t="s">
        <v>89</v>
      </c>
    </row>
    <row r="3077" spans="1:90" x14ac:dyDescent="0.3">
      <c r="A3077" t="s">
        <v>72</v>
      </c>
      <c r="B3077" t="s">
        <v>73</v>
      </c>
      <c r="C3077" t="s">
        <v>74</v>
      </c>
      <c r="E3077" t="str">
        <f>"080065528695"</f>
        <v>080065528695</v>
      </c>
      <c r="F3077" s="3">
        <v>45800</v>
      </c>
      <c r="G3077">
        <v>202602</v>
      </c>
      <c r="H3077" t="s">
        <v>75</v>
      </c>
      <c r="I3077" t="s">
        <v>76</v>
      </c>
      <c r="J3077" t="s">
        <v>77</v>
      </c>
      <c r="K3077" t="s">
        <v>78</v>
      </c>
      <c r="L3077" t="s">
        <v>75</v>
      </c>
      <c r="M3077" t="s">
        <v>76</v>
      </c>
      <c r="N3077" t="s">
        <v>601</v>
      </c>
      <c r="O3077" t="s">
        <v>82</v>
      </c>
      <c r="P3077" t="str">
        <f>"4170040340                    "</f>
        <v xml:space="preserve">4170040340                    </v>
      </c>
      <c r="Q3077">
        <v>0</v>
      </c>
      <c r="R3077">
        <v>0</v>
      </c>
      <c r="S3077">
        <v>0</v>
      </c>
      <c r="T3077">
        <v>0</v>
      </c>
      <c r="U3077">
        <v>0</v>
      </c>
      <c r="V3077">
        <v>0</v>
      </c>
      <c r="W3077">
        <v>0</v>
      </c>
      <c r="X3077">
        <v>0</v>
      </c>
      <c r="Y3077">
        <v>0</v>
      </c>
      <c r="Z3077">
        <v>0</v>
      </c>
      <c r="AA3077">
        <v>0</v>
      </c>
      <c r="AB3077">
        <v>0</v>
      </c>
      <c r="AC3077">
        <v>0</v>
      </c>
      <c r="AD3077">
        <v>0</v>
      </c>
      <c r="AE3077">
        <v>0</v>
      </c>
      <c r="AF3077">
        <v>0</v>
      </c>
      <c r="AG3077">
        <v>0</v>
      </c>
      <c r="AH3077">
        <v>0</v>
      </c>
      <c r="AI3077">
        <v>0</v>
      </c>
      <c r="AJ3077">
        <v>0</v>
      </c>
      <c r="AK3077">
        <v>0</v>
      </c>
      <c r="AL3077">
        <v>0</v>
      </c>
      <c r="AM3077">
        <v>0</v>
      </c>
      <c r="AN3077">
        <v>0</v>
      </c>
      <c r="AO3077">
        <v>0</v>
      </c>
      <c r="AP3077">
        <v>0</v>
      </c>
      <c r="AQ3077">
        <v>16.7</v>
      </c>
      <c r="AR3077">
        <v>0</v>
      </c>
      <c r="AS3077">
        <v>0</v>
      </c>
      <c r="AT3077">
        <v>0</v>
      </c>
      <c r="AU3077">
        <v>0</v>
      </c>
      <c r="AV3077">
        <v>0</v>
      </c>
      <c r="AW3077">
        <v>0</v>
      </c>
      <c r="AX3077">
        <v>0</v>
      </c>
      <c r="AY3077">
        <v>0</v>
      </c>
      <c r="AZ3077">
        <v>0</v>
      </c>
      <c r="BA3077">
        <v>0</v>
      </c>
      <c r="BB3077">
        <v>0</v>
      </c>
      <c r="BC3077">
        <v>0</v>
      </c>
      <c r="BD3077">
        <v>0</v>
      </c>
      <c r="BE3077">
        <v>0</v>
      </c>
      <c r="BF3077">
        <v>0</v>
      </c>
      <c r="BG3077">
        <v>0</v>
      </c>
      <c r="BH3077">
        <v>1</v>
      </c>
      <c r="BI3077">
        <v>1</v>
      </c>
      <c r="BJ3077">
        <v>0.2</v>
      </c>
      <c r="BK3077">
        <v>1</v>
      </c>
      <c r="BL3077">
        <v>54.66</v>
      </c>
      <c r="BM3077">
        <v>8.1999999999999993</v>
      </c>
      <c r="BN3077">
        <v>62.86</v>
      </c>
      <c r="BO3077">
        <v>62.86</v>
      </c>
      <c r="BQ3077" t="s">
        <v>603</v>
      </c>
      <c r="BR3077" t="s">
        <v>84</v>
      </c>
      <c r="BS3077" s="3">
        <v>45803</v>
      </c>
      <c r="BT3077" s="4">
        <v>0.33541666666666664</v>
      </c>
      <c r="BU3077" t="s">
        <v>3003</v>
      </c>
      <c r="BV3077" t="s">
        <v>86</v>
      </c>
      <c r="BY3077">
        <v>1200</v>
      </c>
      <c r="CA3077" t="s">
        <v>2929</v>
      </c>
      <c r="CC3077" t="s">
        <v>76</v>
      </c>
      <c r="CD3077">
        <v>1645</v>
      </c>
      <c r="CE3077" t="s">
        <v>88</v>
      </c>
      <c r="CF3077" s="3">
        <v>45803</v>
      </c>
      <c r="CI3077">
        <v>1</v>
      </c>
      <c r="CJ3077">
        <v>1</v>
      </c>
      <c r="CK3077">
        <v>22</v>
      </c>
      <c r="CL3077" t="s">
        <v>89</v>
      </c>
    </row>
    <row r="3078" spans="1:90" x14ac:dyDescent="0.3">
      <c r="A3078" t="s">
        <v>72</v>
      </c>
      <c r="B3078" t="s">
        <v>73</v>
      </c>
      <c r="C3078" t="s">
        <v>74</v>
      </c>
      <c r="E3078" t="str">
        <f>"080065528729"</f>
        <v>080065528729</v>
      </c>
      <c r="F3078" s="3">
        <v>45800</v>
      </c>
      <c r="G3078">
        <v>202602</v>
      </c>
      <c r="H3078" t="s">
        <v>75</v>
      </c>
      <c r="I3078" t="s">
        <v>76</v>
      </c>
      <c r="J3078" t="s">
        <v>77</v>
      </c>
      <c r="K3078" t="s">
        <v>78</v>
      </c>
      <c r="L3078" t="s">
        <v>259</v>
      </c>
      <c r="M3078" t="s">
        <v>260</v>
      </c>
      <c r="N3078" t="s">
        <v>3038</v>
      </c>
      <c r="O3078" t="s">
        <v>82</v>
      </c>
      <c r="P3078" t="str">
        <f>"4170040302                    "</f>
        <v xml:space="preserve">4170040302                    </v>
      </c>
      <c r="Q3078">
        <v>0</v>
      </c>
      <c r="R3078">
        <v>0</v>
      </c>
      <c r="S3078">
        <v>0</v>
      </c>
      <c r="T3078">
        <v>0</v>
      </c>
      <c r="U3078">
        <v>0</v>
      </c>
      <c r="V3078">
        <v>0</v>
      </c>
      <c r="W3078">
        <v>0</v>
      </c>
      <c r="X3078">
        <v>0</v>
      </c>
      <c r="Y3078">
        <v>0</v>
      </c>
      <c r="Z3078">
        <v>0</v>
      </c>
      <c r="AA3078">
        <v>0</v>
      </c>
      <c r="AB3078">
        <v>0</v>
      </c>
      <c r="AC3078">
        <v>0</v>
      </c>
      <c r="AD3078">
        <v>0</v>
      </c>
      <c r="AE3078">
        <v>0</v>
      </c>
      <c r="AF3078">
        <v>0</v>
      </c>
      <c r="AG3078">
        <v>0</v>
      </c>
      <c r="AH3078">
        <v>0</v>
      </c>
      <c r="AI3078">
        <v>0</v>
      </c>
      <c r="AJ3078">
        <v>0</v>
      </c>
      <c r="AK3078">
        <v>0</v>
      </c>
      <c r="AL3078">
        <v>0</v>
      </c>
      <c r="AM3078">
        <v>0</v>
      </c>
      <c r="AN3078">
        <v>0</v>
      </c>
      <c r="AO3078">
        <v>0</v>
      </c>
      <c r="AP3078">
        <v>0</v>
      </c>
      <c r="AQ3078">
        <v>41.43</v>
      </c>
      <c r="AR3078">
        <v>0</v>
      </c>
      <c r="AS3078">
        <v>0</v>
      </c>
      <c r="AT3078">
        <v>0</v>
      </c>
      <c r="AU3078">
        <v>0</v>
      </c>
      <c r="AV3078">
        <v>0</v>
      </c>
      <c r="AW3078">
        <v>16.739999999999998</v>
      </c>
      <c r="AX3078">
        <v>0</v>
      </c>
      <c r="AY3078">
        <v>0</v>
      </c>
      <c r="AZ3078">
        <v>0</v>
      </c>
      <c r="BA3078">
        <v>0</v>
      </c>
      <c r="BB3078">
        <v>0</v>
      </c>
      <c r="BC3078">
        <v>0</v>
      </c>
      <c r="BD3078">
        <v>0</v>
      </c>
      <c r="BE3078">
        <v>0</v>
      </c>
      <c r="BF3078">
        <v>0</v>
      </c>
      <c r="BG3078">
        <v>0</v>
      </c>
      <c r="BH3078">
        <v>1</v>
      </c>
      <c r="BI3078">
        <v>1</v>
      </c>
      <c r="BJ3078">
        <v>0.2</v>
      </c>
      <c r="BK3078">
        <v>1</v>
      </c>
      <c r="BL3078">
        <v>152.33000000000001</v>
      </c>
      <c r="BM3078">
        <v>22.85</v>
      </c>
      <c r="BN3078">
        <v>175.18</v>
      </c>
      <c r="BO3078">
        <v>175.18</v>
      </c>
      <c r="BQ3078" t="s">
        <v>3039</v>
      </c>
      <c r="BR3078" t="s">
        <v>84</v>
      </c>
      <c r="BS3078" s="3">
        <v>45803</v>
      </c>
      <c r="BT3078" s="4">
        <v>0.63194444444444442</v>
      </c>
      <c r="BU3078" t="s">
        <v>3040</v>
      </c>
      <c r="BV3078" t="s">
        <v>86</v>
      </c>
      <c r="BY3078">
        <v>1200</v>
      </c>
      <c r="BZ3078" t="s">
        <v>30</v>
      </c>
      <c r="CA3078" t="s">
        <v>3041</v>
      </c>
      <c r="CC3078" t="s">
        <v>260</v>
      </c>
      <c r="CD3078" s="5" t="s">
        <v>3042</v>
      </c>
      <c r="CE3078" t="s">
        <v>88</v>
      </c>
      <c r="CF3078" s="3">
        <v>45804</v>
      </c>
      <c r="CI3078">
        <v>1</v>
      </c>
      <c r="CJ3078">
        <v>1</v>
      </c>
      <c r="CK3078">
        <v>23</v>
      </c>
      <c r="CL3078" t="s">
        <v>89</v>
      </c>
    </row>
    <row r="3079" spans="1:90" x14ac:dyDescent="0.3">
      <c r="A3079" t="s">
        <v>72</v>
      </c>
      <c r="B3079" t="s">
        <v>73</v>
      </c>
      <c r="C3079" t="s">
        <v>74</v>
      </c>
      <c r="E3079" t="str">
        <f>"080065528755"</f>
        <v>080065528755</v>
      </c>
      <c r="F3079" s="3">
        <v>45800</v>
      </c>
      <c r="G3079">
        <v>202602</v>
      </c>
      <c r="H3079" t="s">
        <v>75</v>
      </c>
      <c r="I3079" t="s">
        <v>76</v>
      </c>
      <c r="J3079" t="s">
        <v>77</v>
      </c>
      <c r="K3079" t="s">
        <v>78</v>
      </c>
      <c r="L3079" t="s">
        <v>90</v>
      </c>
      <c r="M3079" t="s">
        <v>91</v>
      </c>
      <c r="N3079" t="s">
        <v>92</v>
      </c>
      <c r="O3079" t="s">
        <v>82</v>
      </c>
      <c r="P3079" t="str">
        <f>"4170040291                    "</f>
        <v xml:space="preserve">4170040291                    </v>
      </c>
      <c r="Q3079">
        <v>0</v>
      </c>
      <c r="R3079">
        <v>0</v>
      </c>
      <c r="S3079">
        <v>0</v>
      </c>
      <c r="T3079">
        <v>0</v>
      </c>
      <c r="U3079">
        <v>0</v>
      </c>
      <c r="V3079">
        <v>0</v>
      </c>
      <c r="W3079">
        <v>0</v>
      </c>
      <c r="X3079">
        <v>0</v>
      </c>
      <c r="Y3079">
        <v>0</v>
      </c>
      <c r="Z3079">
        <v>0</v>
      </c>
      <c r="AA3079">
        <v>0</v>
      </c>
      <c r="AB3079">
        <v>0</v>
      </c>
      <c r="AC3079">
        <v>0</v>
      </c>
      <c r="AD3079">
        <v>0</v>
      </c>
      <c r="AE3079">
        <v>0</v>
      </c>
      <c r="AF3079">
        <v>0</v>
      </c>
      <c r="AG3079">
        <v>0</v>
      </c>
      <c r="AH3079">
        <v>0</v>
      </c>
      <c r="AI3079">
        <v>0</v>
      </c>
      <c r="AJ3079">
        <v>0</v>
      </c>
      <c r="AK3079">
        <v>0</v>
      </c>
      <c r="AL3079">
        <v>0</v>
      </c>
      <c r="AM3079">
        <v>0</v>
      </c>
      <c r="AN3079">
        <v>0</v>
      </c>
      <c r="AO3079">
        <v>0</v>
      </c>
      <c r="AP3079">
        <v>0</v>
      </c>
      <c r="AQ3079">
        <v>21.38</v>
      </c>
      <c r="AR3079">
        <v>0</v>
      </c>
      <c r="AS3079">
        <v>0</v>
      </c>
      <c r="AT3079">
        <v>0</v>
      </c>
      <c r="AU3079">
        <v>0</v>
      </c>
      <c r="AV3079">
        <v>0</v>
      </c>
      <c r="AW3079">
        <v>0</v>
      </c>
      <c r="AX3079">
        <v>0</v>
      </c>
      <c r="AY3079">
        <v>0</v>
      </c>
      <c r="AZ3079">
        <v>0</v>
      </c>
      <c r="BA3079">
        <v>0</v>
      </c>
      <c r="BB3079">
        <v>0</v>
      </c>
      <c r="BC3079">
        <v>0</v>
      </c>
      <c r="BD3079">
        <v>0</v>
      </c>
      <c r="BE3079">
        <v>0</v>
      </c>
      <c r="BF3079">
        <v>0</v>
      </c>
      <c r="BG3079">
        <v>0</v>
      </c>
      <c r="BH3079">
        <v>1</v>
      </c>
      <c r="BI3079">
        <v>1</v>
      </c>
      <c r="BJ3079">
        <v>0.2</v>
      </c>
      <c r="BK3079">
        <v>1</v>
      </c>
      <c r="BL3079">
        <v>69.98</v>
      </c>
      <c r="BM3079">
        <v>10.5</v>
      </c>
      <c r="BN3079">
        <v>80.48</v>
      </c>
      <c r="BO3079">
        <v>80.48</v>
      </c>
      <c r="BQ3079" t="s">
        <v>93</v>
      </c>
      <c r="BR3079" t="s">
        <v>84</v>
      </c>
      <c r="BS3079" s="3">
        <v>45803</v>
      </c>
      <c r="BT3079" s="4">
        <v>0.36736111111111114</v>
      </c>
      <c r="BU3079" t="s">
        <v>94</v>
      </c>
      <c r="BV3079" t="s">
        <v>86</v>
      </c>
      <c r="BY3079">
        <v>1200</v>
      </c>
      <c r="CA3079" t="s">
        <v>95</v>
      </c>
      <c r="CC3079" t="s">
        <v>91</v>
      </c>
      <c r="CD3079">
        <v>6001</v>
      </c>
      <c r="CE3079" t="s">
        <v>88</v>
      </c>
      <c r="CF3079" s="3">
        <v>45803</v>
      </c>
      <c r="CI3079">
        <v>1</v>
      </c>
      <c r="CJ3079">
        <v>1</v>
      </c>
      <c r="CK3079">
        <v>21</v>
      </c>
      <c r="CL3079" t="s">
        <v>89</v>
      </c>
    </row>
    <row r="3080" spans="1:90" x14ac:dyDescent="0.3">
      <c r="A3080" t="s">
        <v>72</v>
      </c>
      <c r="B3080" t="s">
        <v>73</v>
      </c>
      <c r="C3080" t="s">
        <v>74</v>
      </c>
      <c r="E3080" t="str">
        <f>"R080065512982"</f>
        <v>R080065512982</v>
      </c>
      <c r="F3080" s="3">
        <v>45800</v>
      </c>
      <c r="G3080">
        <v>202602</v>
      </c>
      <c r="H3080" t="s">
        <v>75</v>
      </c>
      <c r="I3080" t="s">
        <v>76</v>
      </c>
      <c r="J3080" t="s">
        <v>77</v>
      </c>
      <c r="K3080" t="s">
        <v>78</v>
      </c>
      <c r="L3080" t="s">
        <v>2009</v>
      </c>
      <c r="M3080" t="s">
        <v>2010</v>
      </c>
      <c r="N3080" t="s">
        <v>2942</v>
      </c>
      <c r="O3080" t="s">
        <v>82</v>
      </c>
      <c r="P3080" t="str">
        <f>"4170040122                    "</f>
        <v xml:space="preserve">4170040122                    </v>
      </c>
      <c r="Q3080">
        <v>0</v>
      </c>
      <c r="R3080">
        <v>0</v>
      </c>
      <c r="S3080">
        <v>0</v>
      </c>
      <c r="T3080">
        <v>0</v>
      </c>
      <c r="U3080">
        <v>0</v>
      </c>
      <c r="V3080">
        <v>0</v>
      </c>
      <c r="W3080">
        <v>0</v>
      </c>
      <c r="X3080">
        <v>0</v>
      </c>
      <c r="Y3080">
        <v>0</v>
      </c>
      <c r="Z3080">
        <v>0</v>
      </c>
      <c r="AA3080">
        <v>0</v>
      </c>
      <c r="AB3080">
        <v>0</v>
      </c>
      <c r="AC3080">
        <v>0</v>
      </c>
      <c r="AD3080">
        <v>0</v>
      </c>
      <c r="AE3080">
        <v>0</v>
      </c>
      <c r="AF3080">
        <v>0</v>
      </c>
      <c r="AG3080">
        <v>0</v>
      </c>
      <c r="AH3080">
        <v>0</v>
      </c>
      <c r="AI3080">
        <v>0</v>
      </c>
      <c r="AJ3080">
        <v>0</v>
      </c>
      <c r="AK3080">
        <v>0</v>
      </c>
      <c r="AL3080">
        <v>0</v>
      </c>
      <c r="AM3080">
        <v>0</v>
      </c>
      <c r="AN3080">
        <v>0</v>
      </c>
      <c r="AO3080">
        <v>0</v>
      </c>
      <c r="AP3080">
        <v>0</v>
      </c>
      <c r="AQ3080">
        <v>60.14</v>
      </c>
      <c r="AR3080">
        <v>0</v>
      </c>
      <c r="AS3080">
        <v>0</v>
      </c>
      <c r="AT3080">
        <v>0</v>
      </c>
      <c r="AU3080">
        <v>0</v>
      </c>
      <c r="AV3080">
        <v>0</v>
      </c>
      <c r="AW3080">
        <v>0</v>
      </c>
      <c r="AX3080">
        <v>0</v>
      </c>
      <c r="AY3080">
        <v>0</v>
      </c>
      <c r="AZ3080">
        <v>0</v>
      </c>
      <c r="BA3080">
        <v>0</v>
      </c>
      <c r="BB3080">
        <v>0</v>
      </c>
      <c r="BC3080">
        <v>0</v>
      </c>
      <c r="BD3080">
        <v>0</v>
      </c>
      <c r="BE3080">
        <v>0</v>
      </c>
      <c r="BF3080">
        <v>0</v>
      </c>
      <c r="BG3080">
        <v>0</v>
      </c>
      <c r="BH3080">
        <v>1</v>
      </c>
      <c r="BI3080">
        <v>3</v>
      </c>
      <c r="BJ3080">
        <v>2.7</v>
      </c>
      <c r="BK3080">
        <v>3</v>
      </c>
      <c r="BL3080">
        <v>196.82</v>
      </c>
      <c r="BM3080">
        <v>29.52</v>
      </c>
      <c r="BN3080">
        <v>226.34</v>
      </c>
      <c r="BO3080">
        <v>226.34</v>
      </c>
      <c r="BQ3080" t="s">
        <v>2943</v>
      </c>
      <c r="BR3080" t="s">
        <v>2943</v>
      </c>
      <c r="BS3080" s="3">
        <v>45804</v>
      </c>
      <c r="BT3080" s="4">
        <v>0.51527777777777772</v>
      </c>
      <c r="BU3080" t="s">
        <v>3043</v>
      </c>
      <c r="BV3080" t="s">
        <v>86</v>
      </c>
      <c r="BY3080">
        <v>13440</v>
      </c>
      <c r="BZ3080" t="s">
        <v>3044</v>
      </c>
      <c r="CA3080" t="s">
        <v>2615</v>
      </c>
      <c r="CC3080" t="s">
        <v>2010</v>
      </c>
      <c r="CD3080">
        <v>1133</v>
      </c>
      <c r="CE3080" t="s">
        <v>221</v>
      </c>
      <c r="CF3080" s="3">
        <v>45805</v>
      </c>
      <c r="CI3080">
        <v>2</v>
      </c>
      <c r="CJ3080">
        <v>2</v>
      </c>
      <c r="CK3080">
        <v>23</v>
      </c>
      <c r="CL3080" t="s">
        <v>89</v>
      </c>
    </row>
    <row r="3081" spans="1:90" x14ac:dyDescent="0.3">
      <c r="A3081" t="s">
        <v>72</v>
      </c>
      <c r="B3081" t="s">
        <v>73</v>
      </c>
      <c r="C3081" t="s">
        <v>74</v>
      </c>
      <c r="E3081" t="str">
        <f>"080065528780"</f>
        <v>080065528780</v>
      </c>
      <c r="F3081" s="3">
        <v>45800</v>
      </c>
      <c r="G3081">
        <v>202602</v>
      </c>
      <c r="H3081" t="s">
        <v>75</v>
      </c>
      <c r="I3081" t="s">
        <v>76</v>
      </c>
      <c r="J3081" t="s">
        <v>77</v>
      </c>
      <c r="K3081" t="s">
        <v>78</v>
      </c>
      <c r="L3081" t="s">
        <v>130</v>
      </c>
      <c r="M3081" t="s">
        <v>131</v>
      </c>
      <c r="N3081" t="s">
        <v>709</v>
      </c>
      <c r="O3081" t="s">
        <v>82</v>
      </c>
      <c r="P3081" t="str">
        <f>"4170040388                    "</f>
        <v xml:space="preserve">4170040388                    </v>
      </c>
      <c r="Q3081">
        <v>0</v>
      </c>
      <c r="R3081">
        <v>0</v>
      </c>
      <c r="S3081">
        <v>0</v>
      </c>
      <c r="T3081">
        <v>0</v>
      </c>
      <c r="U3081">
        <v>0</v>
      </c>
      <c r="V3081">
        <v>0</v>
      </c>
      <c r="W3081">
        <v>0</v>
      </c>
      <c r="X3081">
        <v>0</v>
      </c>
      <c r="Y3081">
        <v>0</v>
      </c>
      <c r="Z3081">
        <v>0</v>
      </c>
      <c r="AA3081">
        <v>0</v>
      </c>
      <c r="AB3081">
        <v>0</v>
      </c>
      <c r="AC3081">
        <v>0</v>
      </c>
      <c r="AD3081">
        <v>0</v>
      </c>
      <c r="AE3081">
        <v>0</v>
      </c>
      <c r="AF3081">
        <v>0</v>
      </c>
      <c r="AG3081">
        <v>0</v>
      </c>
      <c r="AH3081">
        <v>0</v>
      </c>
      <c r="AI3081">
        <v>0</v>
      </c>
      <c r="AJ3081">
        <v>0</v>
      </c>
      <c r="AK3081">
        <v>0</v>
      </c>
      <c r="AL3081">
        <v>0</v>
      </c>
      <c r="AM3081">
        <v>0</v>
      </c>
      <c r="AN3081">
        <v>0</v>
      </c>
      <c r="AO3081">
        <v>0</v>
      </c>
      <c r="AP3081">
        <v>0</v>
      </c>
      <c r="AQ3081">
        <v>21.38</v>
      </c>
      <c r="AR3081">
        <v>0</v>
      </c>
      <c r="AS3081">
        <v>0</v>
      </c>
      <c r="AT3081">
        <v>0</v>
      </c>
      <c r="AU3081">
        <v>0</v>
      </c>
      <c r="AV3081">
        <v>0</v>
      </c>
      <c r="AW3081">
        <v>0</v>
      </c>
      <c r="AX3081">
        <v>0</v>
      </c>
      <c r="AY3081">
        <v>0</v>
      </c>
      <c r="AZ3081">
        <v>0</v>
      </c>
      <c r="BA3081">
        <v>0</v>
      </c>
      <c r="BB3081">
        <v>0</v>
      </c>
      <c r="BC3081">
        <v>0</v>
      </c>
      <c r="BD3081">
        <v>0</v>
      </c>
      <c r="BE3081">
        <v>0</v>
      </c>
      <c r="BF3081">
        <v>0</v>
      </c>
      <c r="BG3081">
        <v>0</v>
      </c>
      <c r="BH3081">
        <v>1</v>
      </c>
      <c r="BI3081">
        <v>1</v>
      </c>
      <c r="BJ3081">
        <v>0.2</v>
      </c>
      <c r="BK3081">
        <v>1</v>
      </c>
      <c r="BL3081">
        <v>69.98</v>
      </c>
      <c r="BM3081">
        <v>10.5</v>
      </c>
      <c r="BN3081">
        <v>80.48</v>
      </c>
      <c r="BO3081">
        <v>80.48</v>
      </c>
      <c r="BQ3081" t="s">
        <v>710</v>
      </c>
      <c r="BR3081" t="s">
        <v>84</v>
      </c>
      <c r="BS3081" s="3">
        <v>45803</v>
      </c>
      <c r="BT3081" s="4">
        <v>0.35902777777777778</v>
      </c>
      <c r="BU3081" t="s">
        <v>2361</v>
      </c>
      <c r="BV3081" t="s">
        <v>86</v>
      </c>
      <c r="BY3081">
        <v>1200</v>
      </c>
      <c r="CA3081" t="s">
        <v>712</v>
      </c>
      <c r="CC3081" t="s">
        <v>131</v>
      </c>
      <c r="CD3081">
        <v>7530</v>
      </c>
      <c r="CE3081" t="s">
        <v>88</v>
      </c>
      <c r="CF3081" s="3">
        <v>45804</v>
      </c>
      <c r="CI3081">
        <v>1</v>
      </c>
      <c r="CJ3081">
        <v>1</v>
      </c>
      <c r="CK3081">
        <v>21</v>
      </c>
      <c r="CL3081" t="s">
        <v>89</v>
      </c>
    </row>
    <row r="3082" spans="1:90" x14ac:dyDescent="0.3">
      <c r="A3082" t="s">
        <v>72</v>
      </c>
      <c r="B3082" t="s">
        <v>73</v>
      </c>
      <c r="C3082" t="s">
        <v>74</v>
      </c>
      <c r="E3082" t="str">
        <f>"080065528793"</f>
        <v>080065528793</v>
      </c>
      <c r="F3082" s="3">
        <v>45800</v>
      </c>
      <c r="G3082">
        <v>202602</v>
      </c>
      <c r="H3082" t="s">
        <v>75</v>
      </c>
      <c r="I3082" t="s">
        <v>76</v>
      </c>
      <c r="J3082" t="s">
        <v>77</v>
      </c>
      <c r="K3082" t="s">
        <v>78</v>
      </c>
      <c r="L3082" t="s">
        <v>130</v>
      </c>
      <c r="M3082" t="s">
        <v>131</v>
      </c>
      <c r="N3082" t="s">
        <v>1066</v>
      </c>
      <c r="O3082" t="s">
        <v>82</v>
      </c>
      <c r="P3082" t="str">
        <f>"4170040362                    "</f>
        <v xml:space="preserve">4170040362                    </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c r="AJ3082">
        <v>0</v>
      </c>
      <c r="AK3082">
        <v>0</v>
      </c>
      <c r="AL3082">
        <v>0</v>
      </c>
      <c r="AM3082">
        <v>0</v>
      </c>
      <c r="AN3082">
        <v>0</v>
      </c>
      <c r="AO3082">
        <v>0</v>
      </c>
      <c r="AP3082">
        <v>0</v>
      </c>
      <c r="AQ3082">
        <v>21.38</v>
      </c>
      <c r="AR3082">
        <v>0</v>
      </c>
      <c r="AS3082">
        <v>0</v>
      </c>
      <c r="AT3082">
        <v>0</v>
      </c>
      <c r="AU3082">
        <v>0</v>
      </c>
      <c r="AV3082">
        <v>0</v>
      </c>
      <c r="AW3082">
        <v>0</v>
      </c>
      <c r="AX3082">
        <v>0</v>
      </c>
      <c r="AY3082">
        <v>0</v>
      </c>
      <c r="AZ3082">
        <v>0</v>
      </c>
      <c r="BA3082">
        <v>0</v>
      </c>
      <c r="BB3082">
        <v>0</v>
      </c>
      <c r="BC3082">
        <v>0</v>
      </c>
      <c r="BD3082">
        <v>0</v>
      </c>
      <c r="BE3082">
        <v>0</v>
      </c>
      <c r="BF3082">
        <v>0</v>
      </c>
      <c r="BG3082">
        <v>0</v>
      </c>
      <c r="BH3082">
        <v>1</v>
      </c>
      <c r="BI3082">
        <v>1</v>
      </c>
      <c r="BJ3082">
        <v>0.2</v>
      </c>
      <c r="BK3082">
        <v>1</v>
      </c>
      <c r="BL3082">
        <v>69.98</v>
      </c>
      <c r="BM3082">
        <v>10.5</v>
      </c>
      <c r="BN3082">
        <v>80.48</v>
      </c>
      <c r="BO3082">
        <v>80.48</v>
      </c>
      <c r="BQ3082" t="s">
        <v>1067</v>
      </c>
      <c r="BR3082" t="s">
        <v>84</v>
      </c>
      <c r="BS3082" s="3">
        <v>45803</v>
      </c>
      <c r="BT3082" s="4">
        <v>0.40763888888888888</v>
      </c>
      <c r="BU3082" t="s">
        <v>1202</v>
      </c>
      <c r="BV3082" t="s">
        <v>86</v>
      </c>
      <c r="BY3082">
        <v>1200</v>
      </c>
      <c r="CA3082" t="s">
        <v>712</v>
      </c>
      <c r="CC3082" t="s">
        <v>131</v>
      </c>
      <c r="CD3082">
        <v>7561</v>
      </c>
      <c r="CE3082" t="s">
        <v>88</v>
      </c>
      <c r="CF3082" s="3">
        <v>45804</v>
      </c>
      <c r="CI3082">
        <v>1</v>
      </c>
      <c r="CJ3082">
        <v>1</v>
      </c>
      <c r="CK3082">
        <v>21</v>
      </c>
      <c r="CL3082" t="s">
        <v>89</v>
      </c>
    </row>
    <row r="3083" spans="1:90" x14ac:dyDescent="0.3">
      <c r="A3083" t="s">
        <v>72</v>
      </c>
      <c r="B3083" t="s">
        <v>73</v>
      </c>
      <c r="C3083" t="s">
        <v>74</v>
      </c>
      <c r="E3083" t="str">
        <f>"080065528799"</f>
        <v>080065528799</v>
      </c>
      <c r="F3083" s="3">
        <v>45800</v>
      </c>
      <c r="G3083">
        <v>202602</v>
      </c>
      <c r="H3083" t="s">
        <v>75</v>
      </c>
      <c r="I3083" t="s">
        <v>76</v>
      </c>
      <c r="J3083" t="s">
        <v>77</v>
      </c>
      <c r="K3083" t="s">
        <v>78</v>
      </c>
      <c r="L3083" t="s">
        <v>117</v>
      </c>
      <c r="M3083" t="s">
        <v>118</v>
      </c>
      <c r="N3083" t="s">
        <v>1421</v>
      </c>
      <c r="O3083" t="s">
        <v>82</v>
      </c>
      <c r="P3083" t="str">
        <f>"4170040430                    "</f>
        <v xml:space="preserve">4170040430                    </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0</v>
      </c>
      <c r="AL3083">
        <v>0</v>
      </c>
      <c r="AM3083">
        <v>0</v>
      </c>
      <c r="AN3083">
        <v>0</v>
      </c>
      <c r="AO3083">
        <v>0</v>
      </c>
      <c r="AP3083">
        <v>0</v>
      </c>
      <c r="AQ3083">
        <v>16.7</v>
      </c>
      <c r="AR3083">
        <v>0</v>
      </c>
      <c r="AS3083">
        <v>0</v>
      </c>
      <c r="AT3083">
        <v>0</v>
      </c>
      <c r="AU3083">
        <v>0</v>
      </c>
      <c r="AV3083">
        <v>0</v>
      </c>
      <c r="AW3083">
        <v>16.739999999999998</v>
      </c>
      <c r="AX3083">
        <v>0</v>
      </c>
      <c r="AY3083">
        <v>0</v>
      </c>
      <c r="AZ3083">
        <v>0</v>
      </c>
      <c r="BA3083">
        <v>0</v>
      </c>
      <c r="BB3083">
        <v>0</v>
      </c>
      <c r="BC3083">
        <v>0</v>
      </c>
      <c r="BD3083">
        <v>0</v>
      </c>
      <c r="BE3083">
        <v>0</v>
      </c>
      <c r="BF3083">
        <v>0</v>
      </c>
      <c r="BG3083">
        <v>0</v>
      </c>
      <c r="BH3083">
        <v>1</v>
      </c>
      <c r="BI3083">
        <v>1</v>
      </c>
      <c r="BJ3083">
        <v>0.2</v>
      </c>
      <c r="BK3083">
        <v>1</v>
      </c>
      <c r="BL3083">
        <v>71.400000000000006</v>
      </c>
      <c r="BM3083">
        <v>10.71</v>
      </c>
      <c r="BN3083">
        <v>82.11</v>
      </c>
      <c r="BO3083">
        <v>82.11</v>
      </c>
      <c r="BQ3083" t="s">
        <v>1422</v>
      </c>
      <c r="BR3083" t="s">
        <v>84</v>
      </c>
      <c r="BS3083" s="3">
        <v>45803</v>
      </c>
      <c r="BT3083" s="4">
        <v>0.42777777777777776</v>
      </c>
      <c r="BU3083" t="s">
        <v>1423</v>
      </c>
      <c r="BV3083" t="s">
        <v>86</v>
      </c>
      <c r="BY3083">
        <v>1200</v>
      </c>
      <c r="BZ3083" t="s">
        <v>30</v>
      </c>
      <c r="CA3083" t="s">
        <v>1424</v>
      </c>
      <c r="CC3083" t="s">
        <v>118</v>
      </c>
      <c r="CD3083">
        <v>2188</v>
      </c>
      <c r="CE3083" t="s">
        <v>88</v>
      </c>
      <c r="CF3083" s="3">
        <v>45804</v>
      </c>
      <c r="CI3083">
        <v>1</v>
      </c>
      <c r="CJ3083">
        <v>1</v>
      </c>
      <c r="CK3083">
        <v>22</v>
      </c>
      <c r="CL3083" t="s">
        <v>89</v>
      </c>
    </row>
    <row r="3084" spans="1:90" x14ac:dyDescent="0.3">
      <c r="A3084" t="s">
        <v>72</v>
      </c>
      <c r="B3084" t="s">
        <v>73</v>
      </c>
      <c r="C3084" t="s">
        <v>74</v>
      </c>
      <c r="E3084" t="str">
        <f>"080065528814"</f>
        <v>080065528814</v>
      </c>
      <c r="F3084" s="3">
        <v>45800</v>
      </c>
      <c r="G3084">
        <v>202602</v>
      </c>
      <c r="H3084" t="s">
        <v>75</v>
      </c>
      <c r="I3084" t="s">
        <v>76</v>
      </c>
      <c r="J3084" t="s">
        <v>77</v>
      </c>
      <c r="K3084" t="s">
        <v>78</v>
      </c>
      <c r="L3084" t="s">
        <v>624</v>
      </c>
      <c r="M3084" t="s">
        <v>625</v>
      </c>
      <c r="N3084" t="s">
        <v>626</v>
      </c>
      <c r="O3084" t="s">
        <v>82</v>
      </c>
      <c r="P3084" t="str">
        <f>"4170040309                    "</f>
        <v xml:space="preserve">4170040309                    </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0</v>
      </c>
      <c r="AL3084">
        <v>0</v>
      </c>
      <c r="AM3084">
        <v>0</v>
      </c>
      <c r="AN3084">
        <v>0</v>
      </c>
      <c r="AO3084">
        <v>0</v>
      </c>
      <c r="AP3084">
        <v>0</v>
      </c>
      <c r="AQ3084">
        <v>41.43</v>
      </c>
      <c r="AR3084">
        <v>0</v>
      </c>
      <c r="AS3084">
        <v>0</v>
      </c>
      <c r="AT3084">
        <v>0</v>
      </c>
      <c r="AU3084">
        <v>0</v>
      </c>
      <c r="AV3084">
        <v>0</v>
      </c>
      <c r="AW3084">
        <v>0</v>
      </c>
      <c r="AX3084">
        <v>0</v>
      </c>
      <c r="AY3084">
        <v>0</v>
      </c>
      <c r="AZ3084">
        <v>0</v>
      </c>
      <c r="BA3084">
        <v>0</v>
      </c>
      <c r="BB3084">
        <v>0</v>
      </c>
      <c r="BC3084">
        <v>0</v>
      </c>
      <c r="BD3084">
        <v>0</v>
      </c>
      <c r="BE3084">
        <v>0</v>
      </c>
      <c r="BF3084">
        <v>0</v>
      </c>
      <c r="BG3084">
        <v>0</v>
      </c>
      <c r="BH3084">
        <v>1</v>
      </c>
      <c r="BI3084">
        <v>1</v>
      </c>
      <c r="BJ3084">
        <v>0.2</v>
      </c>
      <c r="BK3084">
        <v>1</v>
      </c>
      <c r="BL3084">
        <v>135.59</v>
      </c>
      <c r="BM3084">
        <v>20.34</v>
      </c>
      <c r="BN3084">
        <v>155.93</v>
      </c>
      <c r="BO3084">
        <v>155.93</v>
      </c>
      <c r="BQ3084" t="s">
        <v>627</v>
      </c>
      <c r="BR3084" t="s">
        <v>84</v>
      </c>
      <c r="BS3084" s="3">
        <v>45803</v>
      </c>
      <c r="BT3084" s="4">
        <v>0.35555555555555557</v>
      </c>
      <c r="BU3084" t="s">
        <v>1674</v>
      </c>
      <c r="BV3084" t="s">
        <v>86</v>
      </c>
      <c r="BY3084">
        <v>1200</v>
      </c>
      <c r="CC3084" t="s">
        <v>625</v>
      </c>
      <c r="CD3084">
        <v>1947</v>
      </c>
      <c r="CE3084" t="s">
        <v>88</v>
      </c>
      <c r="CF3084" s="3">
        <v>45803</v>
      </c>
      <c r="CI3084">
        <v>1</v>
      </c>
      <c r="CJ3084">
        <v>1</v>
      </c>
      <c r="CK3084">
        <v>23</v>
      </c>
      <c r="CL3084" t="s">
        <v>89</v>
      </c>
    </row>
    <row r="3085" spans="1:90" x14ac:dyDescent="0.3">
      <c r="A3085" t="s">
        <v>72</v>
      </c>
      <c r="B3085" t="s">
        <v>73</v>
      </c>
      <c r="C3085" t="s">
        <v>74</v>
      </c>
      <c r="E3085" t="str">
        <f>"080065528824"</f>
        <v>080065528824</v>
      </c>
      <c r="F3085" s="3">
        <v>45800</v>
      </c>
      <c r="G3085">
        <v>202602</v>
      </c>
      <c r="H3085" t="s">
        <v>75</v>
      </c>
      <c r="I3085" t="s">
        <v>76</v>
      </c>
      <c r="J3085" t="s">
        <v>77</v>
      </c>
      <c r="K3085" t="s">
        <v>78</v>
      </c>
      <c r="L3085" t="s">
        <v>143</v>
      </c>
      <c r="M3085" t="s">
        <v>144</v>
      </c>
      <c r="N3085" t="s">
        <v>3045</v>
      </c>
      <c r="O3085" t="s">
        <v>82</v>
      </c>
      <c r="P3085" t="str">
        <f>"4170040369                    "</f>
        <v xml:space="preserve">4170040369                    </v>
      </c>
      <c r="Q3085">
        <v>0</v>
      </c>
      <c r="R3085">
        <v>0</v>
      </c>
      <c r="S3085">
        <v>0</v>
      </c>
      <c r="T3085">
        <v>0</v>
      </c>
      <c r="U3085">
        <v>0</v>
      </c>
      <c r="V3085">
        <v>0</v>
      </c>
      <c r="W3085">
        <v>0</v>
      </c>
      <c r="X3085">
        <v>0</v>
      </c>
      <c r="Y3085">
        <v>0</v>
      </c>
      <c r="Z3085">
        <v>0</v>
      </c>
      <c r="AA3085">
        <v>0</v>
      </c>
      <c r="AB3085">
        <v>0</v>
      </c>
      <c r="AC3085">
        <v>0</v>
      </c>
      <c r="AD3085">
        <v>0</v>
      </c>
      <c r="AE3085">
        <v>0</v>
      </c>
      <c r="AF3085">
        <v>0</v>
      </c>
      <c r="AG3085">
        <v>0</v>
      </c>
      <c r="AH3085">
        <v>0</v>
      </c>
      <c r="AI3085">
        <v>0</v>
      </c>
      <c r="AJ3085">
        <v>0</v>
      </c>
      <c r="AK3085">
        <v>0</v>
      </c>
      <c r="AL3085">
        <v>0</v>
      </c>
      <c r="AM3085">
        <v>0</v>
      </c>
      <c r="AN3085">
        <v>0</v>
      </c>
      <c r="AO3085">
        <v>0</v>
      </c>
      <c r="AP3085">
        <v>0</v>
      </c>
      <c r="AQ3085">
        <v>16.7</v>
      </c>
      <c r="AR3085">
        <v>0</v>
      </c>
      <c r="AS3085">
        <v>0</v>
      </c>
      <c r="AT3085">
        <v>0</v>
      </c>
      <c r="AU3085">
        <v>0</v>
      </c>
      <c r="AV3085">
        <v>0</v>
      </c>
      <c r="AW3085">
        <v>0</v>
      </c>
      <c r="AX3085">
        <v>0</v>
      </c>
      <c r="AY3085">
        <v>0</v>
      </c>
      <c r="AZ3085">
        <v>0</v>
      </c>
      <c r="BA3085">
        <v>0</v>
      </c>
      <c r="BB3085">
        <v>0</v>
      </c>
      <c r="BC3085">
        <v>0</v>
      </c>
      <c r="BD3085">
        <v>0</v>
      </c>
      <c r="BE3085">
        <v>0</v>
      </c>
      <c r="BF3085">
        <v>0</v>
      </c>
      <c r="BG3085">
        <v>0</v>
      </c>
      <c r="BH3085">
        <v>1</v>
      </c>
      <c r="BI3085">
        <v>1</v>
      </c>
      <c r="BJ3085">
        <v>0.2</v>
      </c>
      <c r="BK3085">
        <v>1</v>
      </c>
      <c r="BL3085">
        <v>54.66</v>
      </c>
      <c r="BM3085">
        <v>8.1999999999999993</v>
      </c>
      <c r="BN3085">
        <v>62.86</v>
      </c>
      <c r="BO3085">
        <v>62.86</v>
      </c>
      <c r="BQ3085" t="s">
        <v>3046</v>
      </c>
      <c r="BR3085" t="s">
        <v>84</v>
      </c>
      <c r="BS3085" s="3">
        <v>45803</v>
      </c>
      <c r="BT3085" s="4">
        <v>0.39930555555555558</v>
      </c>
      <c r="BU3085" t="s">
        <v>3047</v>
      </c>
      <c r="BV3085" t="s">
        <v>86</v>
      </c>
      <c r="BY3085">
        <v>1200</v>
      </c>
      <c r="CA3085" t="s">
        <v>3048</v>
      </c>
      <c r="CC3085" t="s">
        <v>144</v>
      </c>
      <c r="CD3085">
        <v>1419</v>
      </c>
      <c r="CE3085" t="s">
        <v>88</v>
      </c>
      <c r="CF3085" s="3">
        <v>45803</v>
      </c>
      <c r="CI3085">
        <v>1</v>
      </c>
      <c r="CJ3085">
        <v>1</v>
      </c>
      <c r="CK3085">
        <v>22</v>
      </c>
      <c r="CL3085" t="s">
        <v>89</v>
      </c>
    </row>
    <row r="3086" spans="1:90" x14ac:dyDescent="0.3">
      <c r="A3086" t="s">
        <v>72</v>
      </c>
      <c r="B3086" t="s">
        <v>73</v>
      </c>
      <c r="C3086" t="s">
        <v>74</v>
      </c>
      <c r="E3086" t="str">
        <f>"080065528844"</f>
        <v>080065528844</v>
      </c>
      <c r="F3086" s="3">
        <v>45800</v>
      </c>
      <c r="G3086">
        <v>202602</v>
      </c>
      <c r="H3086" t="s">
        <v>75</v>
      </c>
      <c r="I3086" t="s">
        <v>76</v>
      </c>
      <c r="J3086" t="s">
        <v>77</v>
      </c>
      <c r="K3086" t="s">
        <v>78</v>
      </c>
      <c r="L3086" t="s">
        <v>130</v>
      </c>
      <c r="M3086" t="s">
        <v>131</v>
      </c>
      <c r="N3086" t="s">
        <v>1874</v>
      </c>
      <c r="O3086" t="s">
        <v>82</v>
      </c>
      <c r="P3086" t="str">
        <f>"4170040308                    "</f>
        <v xml:space="preserve">4170040308                    </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0</v>
      </c>
      <c r="AJ3086">
        <v>0</v>
      </c>
      <c r="AK3086">
        <v>0</v>
      </c>
      <c r="AL3086">
        <v>0</v>
      </c>
      <c r="AM3086">
        <v>0</v>
      </c>
      <c r="AN3086">
        <v>0</v>
      </c>
      <c r="AO3086">
        <v>0</v>
      </c>
      <c r="AP3086">
        <v>0</v>
      </c>
      <c r="AQ3086">
        <v>21.38</v>
      </c>
      <c r="AR3086">
        <v>0</v>
      </c>
      <c r="AS3086">
        <v>0</v>
      </c>
      <c r="AT3086">
        <v>0</v>
      </c>
      <c r="AU3086">
        <v>0</v>
      </c>
      <c r="AV3086">
        <v>0</v>
      </c>
      <c r="AW3086">
        <v>0</v>
      </c>
      <c r="AX3086">
        <v>0</v>
      </c>
      <c r="AY3086">
        <v>0</v>
      </c>
      <c r="AZ3086">
        <v>0</v>
      </c>
      <c r="BA3086">
        <v>0</v>
      </c>
      <c r="BB3086">
        <v>0</v>
      </c>
      <c r="BC3086">
        <v>0</v>
      </c>
      <c r="BD3086">
        <v>0</v>
      </c>
      <c r="BE3086">
        <v>0</v>
      </c>
      <c r="BF3086">
        <v>0</v>
      </c>
      <c r="BG3086">
        <v>0</v>
      </c>
      <c r="BH3086">
        <v>1</v>
      </c>
      <c r="BI3086">
        <v>1</v>
      </c>
      <c r="BJ3086">
        <v>0.2</v>
      </c>
      <c r="BK3086">
        <v>1</v>
      </c>
      <c r="BL3086">
        <v>69.98</v>
      </c>
      <c r="BM3086">
        <v>10.5</v>
      </c>
      <c r="BN3086">
        <v>80.48</v>
      </c>
      <c r="BO3086">
        <v>80.48</v>
      </c>
      <c r="BQ3086" t="s">
        <v>1875</v>
      </c>
      <c r="BR3086" t="s">
        <v>84</v>
      </c>
      <c r="BS3086" s="3">
        <v>45803</v>
      </c>
      <c r="BT3086" s="4">
        <v>0.37152777777777779</v>
      </c>
      <c r="BU3086" t="s">
        <v>1876</v>
      </c>
      <c r="BV3086" t="s">
        <v>86</v>
      </c>
      <c r="BY3086">
        <v>1200</v>
      </c>
      <c r="CA3086" t="s">
        <v>784</v>
      </c>
      <c r="CC3086" t="s">
        <v>131</v>
      </c>
      <c r="CD3086">
        <v>7405</v>
      </c>
      <c r="CE3086" t="s">
        <v>88</v>
      </c>
      <c r="CF3086" s="3">
        <v>45804</v>
      </c>
      <c r="CI3086">
        <v>1</v>
      </c>
      <c r="CJ3086">
        <v>1</v>
      </c>
      <c r="CK3086">
        <v>21</v>
      </c>
      <c r="CL3086" t="s">
        <v>89</v>
      </c>
    </row>
    <row r="3087" spans="1:90" x14ac:dyDescent="0.3">
      <c r="A3087" t="s">
        <v>72</v>
      </c>
      <c r="B3087" t="s">
        <v>73</v>
      </c>
      <c r="C3087" t="s">
        <v>74</v>
      </c>
      <c r="E3087" t="str">
        <f>"080065528863"</f>
        <v>080065528863</v>
      </c>
      <c r="F3087" s="3">
        <v>45800</v>
      </c>
      <c r="G3087">
        <v>202602</v>
      </c>
      <c r="H3087" t="s">
        <v>75</v>
      </c>
      <c r="I3087" t="s">
        <v>76</v>
      </c>
      <c r="J3087" t="s">
        <v>77</v>
      </c>
      <c r="K3087" t="s">
        <v>78</v>
      </c>
      <c r="L3087" t="s">
        <v>143</v>
      </c>
      <c r="M3087" t="s">
        <v>144</v>
      </c>
      <c r="N3087" t="s">
        <v>2158</v>
      </c>
      <c r="O3087" t="s">
        <v>82</v>
      </c>
      <c r="P3087" t="str">
        <f>"4170040319                    "</f>
        <v xml:space="preserve">4170040319                    </v>
      </c>
      <c r="Q3087">
        <v>0</v>
      </c>
      <c r="R3087">
        <v>0</v>
      </c>
      <c r="S3087">
        <v>0</v>
      </c>
      <c r="T3087">
        <v>0</v>
      </c>
      <c r="U3087">
        <v>0</v>
      </c>
      <c r="V3087">
        <v>0</v>
      </c>
      <c r="W3087">
        <v>0</v>
      </c>
      <c r="X3087">
        <v>0</v>
      </c>
      <c r="Y3087">
        <v>0</v>
      </c>
      <c r="Z3087">
        <v>0</v>
      </c>
      <c r="AA3087">
        <v>0</v>
      </c>
      <c r="AB3087">
        <v>0</v>
      </c>
      <c r="AC3087">
        <v>0</v>
      </c>
      <c r="AD3087">
        <v>0</v>
      </c>
      <c r="AE3087">
        <v>0</v>
      </c>
      <c r="AF3087">
        <v>0</v>
      </c>
      <c r="AG3087">
        <v>0</v>
      </c>
      <c r="AH3087">
        <v>0</v>
      </c>
      <c r="AI3087">
        <v>0</v>
      </c>
      <c r="AJ3087">
        <v>0</v>
      </c>
      <c r="AK3087">
        <v>0</v>
      </c>
      <c r="AL3087">
        <v>0</v>
      </c>
      <c r="AM3087">
        <v>0</v>
      </c>
      <c r="AN3087">
        <v>0</v>
      </c>
      <c r="AO3087">
        <v>0</v>
      </c>
      <c r="AP3087">
        <v>0</v>
      </c>
      <c r="AQ3087">
        <v>16.7</v>
      </c>
      <c r="AR3087">
        <v>0</v>
      </c>
      <c r="AS3087">
        <v>0</v>
      </c>
      <c r="AT3087">
        <v>0</v>
      </c>
      <c r="AU3087">
        <v>0</v>
      </c>
      <c r="AV3087">
        <v>0</v>
      </c>
      <c r="AW3087">
        <v>0</v>
      </c>
      <c r="AX3087">
        <v>0</v>
      </c>
      <c r="AY3087">
        <v>0</v>
      </c>
      <c r="AZ3087">
        <v>0</v>
      </c>
      <c r="BA3087">
        <v>0</v>
      </c>
      <c r="BB3087">
        <v>0</v>
      </c>
      <c r="BC3087">
        <v>0</v>
      </c>
      <c r="BD3087">
        <v>0</v>
      </c>
      <c r="BE3087">
        <v>0</v>
      </c>
      <c r="BF3087">
        <v>0</v>
      </c>
      <c r="BG3087">
        <v>0</v>
      </c>
      <c r="BH3087">
        <v>1</v>
      </c>
      <c r="BI3087">
        <v>1</v>
      </c>
      <c r="BJ3087">
        <v>0.2</v>
      </c>
      <c r="BK3087">
        <v>1</v>
      </c>
      <c r="BL3087">
        <v>54.66</v>
      </c>
      <c r="BM3087">
        <v>8.1999999999999993</v>
      </c>
      <c r="BN3087">
        <v>62.86</v>
      </c>
      <c r="BO3087">
        <v>62.86</v>
      </c>
      <c r="BQ3087" t="s">
        <v>2159</v>
      </c>
      <c r="BR3087" t="s">
        <v>84</v>
      </c>
      <c r="BS3087" s="3">
        <v>45803</v>
      </c>
      <c r="BT3087" s="4">
        <v>0.41111111111111109</v>
      </c>
      <c r="BU3087" t="s">
        <v>3049</v>
      </c>
      <c r="BV3087" t="s">
        <v>86</v>
      </c>
      <c r="BY3087">
        <v>1200</v>
      </c>
      <c r="CA3087" t="s">
        <v>765</v>
      </c>
      <c r="CC3087" t="s">
        <v>144</v>
      </c>
      <c r="CD3087">
        <v>1422</v>
      </c>
      <c r="CE3087" t="s">
        <v>88</v>
      </c>
      <c r="CF3087" s="3">
        <v>45803</v>
      </c>
      <c r="CI3087">
        <v>1</v>
      </c>
      <c r="CJ3087">
        <v>1</v>
      </c>
      <c r="CK3087">
        <v>22</v>
      </c>
      <c r="CL3087" t="s">
        <v>89</v>
      </c>
    </row>
    <row r="3088" spans="1:90" x14ac:dyDescent="0.3">
      <c r="A3088" t="s">
        <v>72</v>
      </c>
      <c r="B3088" t="s">
        <v>73</v>
      </c>
      <c r="C3088" t="s">
        <v>74</v>
      </c>
      <c r="E3088" t="str">
        <f>"080065528870"</f>
        <v>080065528870</v>
      </c>
      <c r="F3088" s="3">
        <v>45800</v>
      </c>
      <c r="G3088">
        <v>202602</v>
      </c>
      <c r="H3088" t="s">
        <v>75</v>
      </c>
      <c r="I3088" t="s">
        <v>76</v>
      </c>
      <c r="J3088" t="s">
        <v>77</v>
      </c>
      <c r="K3088" t="s">
        <v>78</v>
      </c>
      <c r="L3088" t="s">
        <v>232</v>
      </c>
      <c r="M3088" t="s">
        <v>233</v>
      </c>
      <c r="N3088" t="s">
        <v>1147</v>
      </c>
      <c r="O3088" t="s">
        <v>82</v>
      </c>
      <c r="P3088" t="str">
        <f>"4170040335                    "</f>
        <v xml:space="preserve">4170040335                    </v>
      </c>
      <c r="Q3088">
        <v>0</v>
      </c>
      <c r="R3088">
        <v>0</v>
      </c>
      <c r="S3088">
        <v>0</v>
      </c>
      <c r="T3088">
        <v>0</v>
      </c>
      <c r="U3088">
        <v>0</v>
      </c>
      <c r="V3088">
        <v>0</v>
      </c>
      <c r="W3088">
        <v>0</v>
      </c>
      <c r="X3088">
        <v>0</v>
      </c>
      <c r="Y3088">
        <v>0</v>
      </c>
      <c r="Z3088">
        <v>0</v>
      </c>
      <c r="AA3088">
        <v>0</v>
      </c>
      <c r="AB3088">
        <v>0</v>
      </c>
      <c r="AC3088">
        <v>0</v>
      </c>
      <c r="AD3088">
        <v>0</v>
      </c>
      <c r="AE3088">
        <v>0</v>
      </c>
      <c r="AF3088">
        <v>0</v>
      </c>
      <c r="AG3088">
        <v>0</v>
      </c>
      <c r="AH3088">
        <v>0</v>
      </c>
      <c r="AI3088">
        <v>0</v>
      </c>
      <c r="AJ3088">
        <v>0</v>
      </c>
      <c r="AK3088">
        <v>0</v>
      </c>
      <c r="AL3088">
        <v>0</v>
      </c>
      <c r="AM3088">
        <v>0</v>
      </c>
      <c r="AN3088">
        <v>0</v>
      </c>
      <c r="AO3088">
        <v>0</v>
      </c>
      <c r="AP3088">
        <v>0</v>
      </c>
      <c r="AQ3088">
        <v>21.38</v>
      </c>
      <c r="AR3088">
        <v>0</v>
      </c>
      <c r="AS3088">
        <v>0</v>
      </c>
      <c r="AT3088">
        <v>0</v>
      </c>
      <c r="AU3088">
        <v>0</v>
      </c>
      <c r="AV3088">
        <v>0</v>
      </c>
      <c r="AW3088">
        <v>0</v>
      </c>
      <c r="AX3088">
        <v>0</v>
      </c>
      <c r="AY3088">
        <v>0</v>
      </c>
      <c r="AZ3088">
        <v>0</v>
      </c>
      <c r="BA3088">
        <v>0</v>
      </c>
      <c r="BB3088">
        <v>0</v>
      </c>
      <c r="BC3088">
        <v>0</v>
      </c>
      <c r="BD3088">
        <v>0</v>
      </c>
      <c r="BE3088">
        <v>0</v>
      </c>
      <c r="BF3088">
        <v>0</v>
      </c>
      <c r="BG3088">
        <v>0</v>
      </c>
      <c r="BH3088">
        <v>1</v>
      </c>
      <c r="BI3088">
        <v>1</v>
      </c>
      <c r="BJ3088">
        <v>0.2</v>
      </c>
      <c r="BK3088">
        <v>1</v>
      </c>
      <c r="BL3088">
        <v>69.98</v>
      </c>
      <c r="BM3088">
        <v>10.5</v>
      </c>
      <c r="BN3088">
        <v>80.48</v>
      </c>
      <c r="BO3088">
        <v>80.48</v>
      </c>
      <c r="BQ3088" t="s">
        <v>1148</v>
      </c>
      <c r="BR3088" t="s">
        <v>84</v>
      </c>
      <c r="BS3088" s="3">
        <v>45803</v>
      </c>
      <c r="BT3088" s="4">
        <v>0.3347222222222222</v>
      </c>
      <c r="BU3088" t="s">
        <v>1149</v>
      </c>
      <c r="BV3088" t="s">
        <v>86</v>
      </c>
      <c r="BY3088">
        <v>1200</v>
      </c>
      <c r="CA3088" t="s">
        <v>1150</v>
      </c>
      <c r="CC3088" t="s">
        <v>233</v>
      </c>
      <c r="CD3088" s="5" t="s">
        <v>238</v>
      </c>
      <c r="CE3088" t="s">
        <v>88</v>
      </c>
      <c r="CF3088" s="3">
        <v>45803</v>
      </c>
      <c r="CI3088">
        <v>1</v>
      </c>
      <c r="CJ3088">
        <v>1</v>
      </c>
      <c r="CK3088">
        <v>21</v>
      </c>
      <c r="CL3088" t="s">
        <v>89</v>
      </c>
    </row>
    <row r="3089" spans="1:90" x14ac:dyDescent="0.3">
      <c r="A3089" t="s">
        <v>72</v>
      </c>
      <c r="B3089" t="s">
        <v>73</v>
      </c>
      <c r="C3089" t="s">
        <v>74</v>
      </c>
      <c r="E3089" t="str">
        <f>"080065528882"</f>
        <v>080065528882</v>
      </c>
      <c r="F3089" s="3">
        <v>45800</v>
      </c>
      <c r="G3089">
        <v>202602</v>
      </c>
      <c r="H3089" t="s">
        <v>75</v>
      </c>
      <c r="I3089" t="s">
        <v>76</v>
      </c>
      <c r="J3089" t="s">
        <v>77</v>
      </c>
      <c r="K3089" t="s">
        <v>78</v>
      </c>
      <c r="L3089" t="s">
        <v>79</v>
      </c>
      <c r="M3089" t="s">
        <v>80</v>
      </c>
      <c r="N3089" t="s">
        <v>880</v>
      </c>
      <c r="O3089" t="s">
        <v>82</v>
      </c>
      <c r="P3089" t="str">
        <f>"4170040283                    "</f>
        <v xml:space="preserve">4170040283                    </v>
      </c>
      <c r="Q3089">
        <v>0</v>
      </c>
      <c r="R3089">
        <v>0</v>
      </c>
      <c r="S3089">
        <v>0</v>
      </c>
      <c r="T3089">
        <v>0</v>
      </c>
      <c r="U3089">
        <v>0</v>
      </c>
      <c r="V3089">
        <v>0</v>
      </c>
      <c r="W3089">
        <v>0</v>
      </c>
      <c r="X3089">
        <v>0</v>
      </c>
      <c r="Y3089">
        <v>0</v>
      </c>
      <c r="Z3089">
        <v>0</v>
      </c>
      <c r="AA3089">
        <v>0</v>
      </c>
      <c r="AB3089">
        <v>0</v>
      </c>
      <c r="AC3089">
        <v>0</v>
      </c>
      <c r="AD3089">
        <v>0</v>
      </c>
      <c r="AE3089">
        <v>0</v>
      </c>
      <c r="AF3089">
        <v>0</v>
      </c>
      <c r="AG3089">
        <v>0</v>
      </c>
      <c r="AH3089">
        <v>0</v>
      </c>
      <c r="AI3089">
        <v>0</v>
      </c>
      <c r="AJ3089">
        <v>0</v>
      </c>
      <c r="AK3089">
        <v>0</v>
      </c>
      <c r="AL3089">
        <v>0</v>
      </c>
      <c r="AM3089">
        <v>0</v>
      </c>
      <c r="AN3089">
        <v>0</v>
      </c>
      <c r="AO3089">
        <v>0</v>
      </c>
      <c r="AP3089">
        <v>0</v>
      </c>
      <c r="AQ3089">
        <v>21.38</v>
      </c>
      <c r="AR3089">
        <v>0</v>
      </c>
      <c r="AS3089">
        <v>0</v>
      </c>
      <c r="AT3089">
        <v>0</v>
      </c>
      <c r="AU3089">
        <v>0</v>
      </c>
      <c r="AV3089">
        <v>0</v>
      </c>
      <c r="AW3089">
        <v>0</v>
      </c>
      <c r="AX3089">
        <v>0</v>
      </c>
      <c r="AY3089">
        <v>0</v>
      </c>
      <c r="AZ3089">
        <v>0</v>
      </c>
      <c r="BA3089">
        <v>0</v>
      </c>
      <c r="BB3089">
        <v>0</v>
      </c>
      <c r="BC3089">
        <v>0</v>
      </c>
      <c r="BD3089">
        <v>0</v>
      </c>
      <c r="BE3089">
        <v>0</v>
      </c>
      <c r="BF3089">
        <v>0</v>
      </c>
      <c r="BG3089">
        <v>0</v>
      </c>
      <c r="BH3089">
        <v>1</v>
      </c>
      <c r="BI3089">
        <v>1</v>
      </c>
      <c r="BJ3089">
        <v>0.2</v>
      </c>
      <c r="BK3089">
        <v>1</v>
      </c>
      <c r="BL3089">
        <v>69.98</v>
      </c>
      <c r="BM3089">
        <v>10.5</v>
      </c>
      <c r="BN3089">
        <v>80.48</v>
      </c>
      <c r="BO3089">
        <v>80.48</v>
      </c>
      <c r="BQ3089" t="s">
        <v>881</v>
      </c>
      <c r="BR3089" t="s">
        <v>84</v>
      </c>
      <c r="BS3089" s="3">
        <v>45803</v>
      </c>
      <c r="BT3089" s="4">
        <v>0.39791666666666664</v>
      </c>
      <c r="BU3089" t="s">
        <v>882</v>
      </c>
      <c r="BV3089" t="s">
        <v>86</v>
      </c>
      <c r="BY3089">
        <v>1200</v>
      </c>
      <c r="CA3089" t="s">
        <v>160</v>
      </c>
      <c r="CC3089" t="s">
        <v>80</v>
      </c>
      <c r="CD3089">
        <v>3620</v>
      </c>
      <c r="CE3089" t="s">
        <v>88</v>
      </c>
      <c r="CF3089" s="3">
        <v>45803</v>
      </c>
      <c r="CI3089">
        <v>1</v>
      </c>
      <c r="CJ3089">
        <v>1</v>
      </c>
      <c r="CK3089">
        <v>21</v>
      </c>
      <c r="CL3089" t="s">
        <v>89</v>
      </c>
    </row>
    <row r="3090" spans="1:90" x14ac:dyDescent="0.3">
      <c r="A3090" t="s">
        <v>72</v>
      </c>
      <c r="B3090" t="s">
        <v>73</v>
      </c>
      <c r="C3090" t="s">
        <v>74</v>
      </c>
      <c r="E3090" t="str">
        <f>"080065528904"</f>
        <v>080065528904</v>
      </c>
      <c r="F3090" s="3">
        <v>45800</v>
      </c>
      <c r="G3090">
        <v>202602</v>
      </c>
      <c r="H3090" t="s">
        <v>75</v>
      </c>
      <c r="I3090" t="s">
        <v>76</v>
      </c>
      <c r="J3090" t="s">
        <v>77</v>
      </c>
      <c r="K3090" t="s">
        <v>78</v>
      </c>
      <c r="L3090" t="s">
        <v>713</v>
      </c>
      <c r="M3090" t="s">
        <v>714</v>
      </c>
      <c r="N3090" t="s">
        <v>715</v>
      </c>
      <c r="O3090" t="s">
        <v>82</v>
      </c>
      <c r="P3090" t="str">
        <f>"4170040456                    "</f>
        <v xml:space="preserve">4170040456                    </v>
      </c>
      <c r="Q3090">
        <v>0</v>
      </c>
      <c r="R3090">
        <v>0</v>
      </c>
      <c r="S3090">
        <v>0</v>
      </c>
      <c r="T3090">
        <v>0</v>
      </c>
      <c r="U3090">
        <v>0</v>
      </c>
      <c r="V3090">
        <v>0</v>
      </c>
      <c r="W3090">
        <v>0</v>
      </c>
      <c r="X3090">
        <v>0</v>
      </c>
      <c r="Y3090">
        <v>0</v>
      </c>
      <c r="Z3090">
        <v>0</v>
      </c>
      <c r="AA3090">
        <v>0</v>
      </c>
      <c r="AB3090">
        <v>0</v>
      </c>
      <c r="AC3090">
        <v>0</v>
      </c>
      <c r="AD3090">
        <v>0</v>
      </c>
      <c r="AE3090">
        <v>0</v>
      </c>
      <c r="AF3090">
        <v>0</v>
      </c>
      <c r="AG3090">
        <v>0</v>
      </c>
      <c r="AH3090">
        <v>0</v>
      </c>
      <c r="AI3090">
        <v>0</v>
      </c>
      <c r="AJ3090">
        <v>0</v>
      </c>
      <c r="AK3090">
        <v>0</v>
      </c>
      <c r="AL3090">
        <v>0</v>
      </c>
      <c r="AM3090">
        <v>0</v>
      </c>
      <c r="AN3090">
        <v>0</v>
      </c>
      <c r="AO3090">
        <v>0</v>
      </c>
      <c r="AP3090">
        <v>0</v>
      </c>
      <c r="AQ3090">
        <v>41.43</v>
      </c>
      <c r="AR3090">
        <v>0</v>
      </c>
      <c r="AS3090">
        <v>0</v>
      </c>
      <c r="AT3090">
        <v>0</v>
      </c>
      <c r="AU3090">
        <v>0</v>
      </c>
      <c r="AV3090">
        <v>0</v>
      </c>
      <c r="AW3090">
        <v>0</v>
      </c>
      <c r="AX3090">
        <v>0</v>
      </c>
      <c r="AY3090">
        <v>0</v>
      </c>
      <c r="AZ3090">
        <v>0</v>
      </c>
      <c r="BA3090">
        <v>0</v>
      </c>
      <c r="BB3090">
        <v>0</v>
      </c>
      <c r="BC3090">
        <v>0</v>
      </c>
      <c r="BD3090">
        <v>0</v>
      </c>
      <c r="BE3090">
        <v>0</v>
      </c>
      <c r="BF3090">
        <v>0</v>
      </c>
      <c r="BG3090">
        <v>0</v>
      </c>
      <c r="BH3090">
        <v>1</v>
      </c>
      <c r="BI3090">
        <v>1</v>
      </c>
      <c r="BJ3090">
        <v>0.2</v>
      </c>
      <c r="BK3090">
        <v>1</v>
      </c>
      <c r="BL3090">
        <v>135.59</v>
      </c>
      <c r="BM3090">
        <v>20.34</v>
      </c>
      <c r="BN3090">
        <v>155.93</v>
      </c>
      <c r="BO3090">
        <v>155.93</v>
      </c>
      <c r="BQ3090" t="s">
        <v>716</v>
      </c>
      <c r="BR3090" t="s">
        <v>84</v>
      </c>
      <c r="BS3090" s="3">
        <v>45803</v>
      </c>
      <c r="BT3090" s="4">
        <v>0.56597222222222221</v>
      </c>
      <c r="BU3090" t="s">
        <v>2421</v>
      </c>
      <c r="BV3090" t="s">
        <v>86</v>
      </c>
      <c r="BY3090">
        <v>1200</v>
      </c>
      <c r="CA3090" t="s">
        <v>718</v>
      </c>
      <c r="CC3090" t="s">
        <v>714</v>
      </c>
      <c r="CD3090">
        <v>6300</v>
      </c>
      <c r="CE3090" t="s">
        <v>88</v>
      </c>
      <c r="CF3090" s="3">
        <v>45803</v>
      </c>
      <c r="CI3090">
        <v>2</v>
      </c>
      <c r="CJ3090">
        <v>1</v>
      </c>
      <c r="CK3090">
        <v>23</v>
      </c>
      <c r="CL3090" t="s">
        <v>89</v>
      </c>
    </row>
    <row r="3091" spans="1:90" x14ac:dyDescent="0.3">
      <c r="A3091" t="s">
        <v>72</v>
      </c>
      <c r="B3091" t="s">
        <v>73</v>
      </c>
      <c r="C3091" t="s">
        <v>74</v>
      </c>
      <c r="E3091" t="str">
        <f>"080065528923"</f>
        <v>080065528923</v>
      </c>
      <c r="F3091" s="3">
        <v>45800</v>
      </c>
      <c r="G3091">
        <v>202602</v>
      </c>
      <c r="H3091" t="s">
        <v>75</v>
      </c>
      <c r="I3091" t="s">
        <v>76</v>
      </c>
      <c r="J3091" t="s">
        <v>77</v>
      </c>
      <c r="K3091" t="s">
        <v>78</v>
      </c>
      <c r="L3091" t="s">
        <v>130</v>
      </c>
      <c r="M3091" t="s">
        <v>131</v>
      </c>
      <c r="N3091" t="s">
        <v>709</v>
      </c>
      <c r="O3091" t="s">
        <v>82</v>
      </c>
      <c r="P3091" t="str">
        <f>"4170040389                    "</f>
        <v xml:space="preserve">4170040389                    </v>
      </c>
      <c r="Q3091">
        <v>0</v>
      </c>
      <c r="R3091">
        <v>0</v>
      </c>
      <c r="S3091">
        <v>0</v>
      </c>
      <c r="T3091">
        <v>0</v>
      </c>
      <c r="U3091">
        <v>0</v>
      </c>
      <c r="V3091">
        <v>0</v>
      </c>
      <c r="W3091">
        <v>0</v>
      </c>
      <c r="X3091">
        <v>0</v>
      </c>
      <c r="Y3091">
        <v>0</v>
      </c>
      <c r="Z3091">
        <v>0</v>
      </c>
      <c r="AA3091">
        <v>0</v>
      </c>
      <c r="AB3091">
        <v>0</v>
      </c>
      <c r="AC3091">
        <v>0</v>
      </c>
      <c r="AD3091">
        <v>0</v>
      </c>
      <c r="AE3091">
        <v>0</v>
      </c>
      <c r="AF3091">
        <v>0</v>
      </c>
      <c r="AG3091">
        <v>0</v>
      </c>
      <c r="AH3091">
        <v>0</v>
      </c>
      <c r="AI3091">
        <v>0</v>
      </c>
      <c r="AJ3091">
        <v>0</v>
      </c>
      <c r="AK3091">
        <v>0</v>
      </c>
      <c r="AL3091">
        <v>0</v>
      </c>
      <c r="AM3091">
        <v>0</v>
      </c>
      <c r="AN3091">
        <v>0</v>
      </c>
      <c r="AO3091">
        <v>0</v>
      </c>
      <c r="AP3091">
        <v>0</v>
      </c>
      <c r="AQ3091">
        <v>21.38</v>
      </c>
      <c r="AR3091">
        <v>0</v>
      </c>
      <c r="AS3091">
        <v>0</v>
      </c>
      <c r="AT3091">
        <v>0</v>
      </c>
      <c r="AU3091">
        <v>0</v>
      </c>
      <c r="AV3091">
        <v>0</v>
      </c>
      <c r="AW3091">
        <v>0</v>
      </c>
      <c r="AX3091">
        <v>0</v>
      </c>
      <c r="AY3091">
        <v>0</v>
      </c>
      <c r="AZ3091">
        <v>0</v>
      </c>
      <c r="BA3091">
        <v>0</v>
      </c>
      <c r="BB3091">
        <v>0</v>
      </c>
      <c r="BC3091">
        <v>0</v>
      </c>
      <c r="BD3091">
        <v>0</v>
      </c>
      <c r="BE3091">
        <v>0</v>
      </c>
      <c r="BF3091">
        <v>0</v>
      </c>
      <c r="BG3091">
        <v>0</v>
      </c>
      <c r="BH3091">
        <v>1</v>
      </c>
      <c r="BI3091">
        <v>1</v>
      </c>
      <c r="BJ3091">
        <v>0.2</v>
      </c>
      <c r="BK3091">
        <v>1</v>
      </c>
      <c r="BL3091">
        <v>69.98</v>
      </c>
      <c r="BM3091">
        <v>10.5</v>
      </c>
      <c r="BN3091">
        <v>80.48</v>
      </c>
      <c r="BO3091">
        <v>80.48</v>
      </c>
      <c r="BQ3091" t="s">
        <v>710</v>
      </c>
      <c r="BR3091" t="s">
        <v>84</v>
      </c>
      <c r="BS3091" s="3">
        <v>45803</v>
      </c>
      <c r="BT3091" s="4">
        <v>0.36041666666666666</v>
      </c>
      <c r="BU3091" t="s">
        <v>2361</v>
      </c>
      <c r="BV3091" t="s">
        <v>86</v>
      </c>
      <c r="BY3091">
        <v>1200</v>
      </c>
      <c r="CA3091" t="s">
        <v>712</v>
      </c>
      <c r="CC3091" t="s">
        <v>131</v>
      </c>
      <c r="CD3091">
        <v>7530</v>
      </c>
      <c r="CE3091" t="s">
        <v>88</v>
      </c>
      <c r="CF3091" s="3">
        <v>45804</v>
      </c>
      <c r="CI3091">
        <v>1</v>
      </c>
      <c r="CJ3091">
        <v>1</v>
      </c>
      <c r="CK3091">
        <v>21</v>
      </c>
      <c r="CL3091" t="s">
        <v>89</v>
      </c>
    </row>
    <row r="3092" spans="1:90" x14ac:dyDescent="0.3">
      <c r="A3092" t="s">
        <v>72</v>
      </c>
      <c r="B3092" t="s">
        <v>73</v>
      </c>
      <c r="C3092" t="s">
        <v>74</v>
      </c>
      <c r="E3092" t="str">
        <f>"080065528950"</f>
        <v>080065528950</v>
      </c>
      <c r="F3092" s="3">
        <v>45800</v>
      </c>
      <c r="G3092">
        <v>202602</v>
      </c>
      <c r="H3092" t="s">
        <v>75</v>
      </c>
      <c r="I3092" t="s">
        <v>76</v>
      </c>
      <c r="J3092" t="s">
        <v>77</v>
      </c>
      <c r="K3092" t="s">
        <v>78</v>
      </c>
      <c r="L3092" t="s">
        <v>215</v>
      </c>
      <c r="M3092" t="s">
        <v>216</v>
      </c>
      <c r="N3092" t="s">
        <v>1228</v>
      </c>
      <c r="O3092" t="s">
        <v>82</v>
      </c>
      <c r="P3092" t="str">
        <f>"4170040371                    "</f>
        <v xml:space="preserve">4170040371                    </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0</v>
      </c>
      <c r="AJ3092">
        <v>0</v>
      </c>
      <c r="AK3092">
        <v>0</v>
      </c>
      <c r="AL3092">
        <v>0</v>
      </c>
      <c r="AM3092">
        <v>0</v>
      </c>
      <c r="AN3092">
        <v>0</v>
      </c>
      <c r="AO3092">
        <v>0</v>
      </c>
      <c r="AP3092">
        <v>0</v>
      </c>
      <c r="AQ3092">
        <v>41.43</v>
      </c>
      <c r="AR3092">
        <v>0</v>
      </c>
      <c r="AS3092">
        <v>0</v>
      </c>
      <c r="AT3092">
        <v>0</v>
      </c>
      <c r="AU3092">
        <v>0</v>
      </c>
      <c r="AV3092">
        <v>0</v>
      </c>
      <c r="AW3092">
        <v>0</v>
      </c>
      <c r="AX3092">
        <v>0</v>
      </c>
      <c r="AY3092">
        <v>0</v>
      </c>
      <c r="AZ3092">
        <v>0</v>
      </c>
      <c r="BA3092">
        <v>0</v>
      </c>
      <c r="BB3092">
        <v>0</v>
      </c>
      <c r="BC3092">
        <v>0</v>
      </c>
      <c r="BD3092">
        <v>0</v>
      </c>
      <c r="BE3092">
        <v>0</v>
      </c>
      <c r="BF3092">
        <v>0</v>
      </c>
      <c r="BG3092">
        <v>0</v>
      </c>
      <c r="BH3092">
        <v>1</v>
      </c>
      <c r="BI3092">
        <v>2</v>
      </c>
      <c r="BJ3092">
        <v>1.4</v>
      </c>
      <c r="BK3092">
        <v>2</v>
      </c>
      <c r="BL3092">
        <v>135.59</v>
      </c>
      <c r="BM3092">
        <v>20.34</v>
      </c>
      <c r="BN3092">
        <v>155.93</v>
      </c>
      <c r="BO3092">
        <v>155.93</v>
      </c>
      <c r="BQ3092" t="s">
        <v>3050</v>
      </c>
      <c r="BR3092" t="s">
        <v>84</v>
      </c>
      <c r="BS3092" s="3">
        <v>45803</v>
      </c>
      <c r="BT3092" s="4">
        <v>0.74513888888888891</v>
      </c>
      <c r="BU3092" t="s">
        <v>3051</v>
      </c>
      <c r="BV3092" t="s">
        <v>86</v>
      </c>
      <c r="BY3092">
        <v>7000</v>
      </c>
      <c r="CA3092" t="s">
        <v>3052</v>
      </c>
      <c r="CC3092" t="s">
        <v>216</v>
      </c>
      <c r="CD3092">
        <v>4430</v>
      </c>
      <c r="CE3092" t="s">
        <v>96</v>
      </c>
      <c r="CF3092" s="3">
        <v>45804</v>
      </c>
      <c r="CI3092">
        <v>1</v>
      </c>
      <c r="CJ3092">
        <v>1</v>
      </c>
      <c r="CK3092">
        <v>23</v>
      </c>
      <c r="CL3092" t="s">
        <v>89</v>
      </c>
    </row>
    <row r="3093" spans="1:90" x14ac:dyDescent="0.3">
      <c r="A3093" t="s">
        <v>72</v>
      </c>
      <c r="B3093" t="s">
        <v>73</v>
      </c>
      <c r="C3093" t="s">
        <v>74</v>
      </c>
      <c r="E3093" t="str">
        <f>"080065528976"</f>
        <v>080065528976</v>
      </c>
      <c r="F3093" s="3">
        <v>45800</v>
      </c>
      <c r="G3093">
        <v>202602</v>
      </c>
      <c r="H3093" t="s">
        <v>75</v>
      </c>
      <c r="I3093" t="s">
        <v>76</v>
      </c>
      <c r="J3093" t="s">
        <v>77</v>
      </c>
      <c r="K3093" t="s">
        <v>78</v>
      </c>
      <c r="L3093" t="s">
        <v>103</v>
      </c>
      <c r="M3093" t="s">
        <v>104</v>
      </c>
      <c r="N3093" t="s">
        <v>633</v>
      </c>
      <c r="O3093" t="s">
        <v>82</v>
      </c>
      <c r="P3093" t="str">
        <f>"4170040447                    "</f>
        <v xml:space="preserve">4170040447                    </v>
      </c>
      <c r="Q3093">
        <v>0</v>
      </c>
      <c r="R3093">
        <v>0</v>
      </c>
      <c r="S3093">
        <v>0</v>
      </c>
      <c r="T3093">
        <v>0</v>
      </c>
      <c r="U3093">
        <v>0</v>
      </c>
      <c r="V3093">
        <v>0</v>
      </c>
      <c r="W3093">
        <v>0</v>
      </c>
      <c r="X3093">
        <v>0</v>
      </c>
      <c r="Y3093">
        <v>0</v>
      </c>
      <c r="Z3093">
        <v>0</v>
      </c>
      <c r="AA3093">
        <v>0</v>
      </c>
      <c r="AB3093">
        <v>0</v>
      </c>
      <c r="AC3093">
        <v>0</v>
      </c>
      <c r="AD3093">
        <v>0</v>
      </c>
      <c r="AE3093">
        <v>0</v>
      </c>
      <c r="AF3093">
        <v>0</v>
      </c>
      <c r="AG3093">
        <v>0</v>
      </c>
      <c r="AH3093">
        <v>0</v>
      </c>
      <c r="AI3093">
        <v>0</v>
      </c>
      <c r="AJ3093">
        <v>0</v>
      </c>
      <c r="AK3093">
        <v>0</v>
      </c>
      <c r="AL3093">
        <v>0</v>
      </c>
      <c r="AM3093">
        <v>0</v>
      </c>
      <c r="AN3093">
        <v>0</v>
      </c>
      <c r="AO3093">
        <v>0</v>
      </c>
      <c r="AP3093">
        <v>0</v>
      </c>
      <c r="AQ3093">
        <v>53.43</v>
      </c>
      <c r="AR3093">
        <v>0</v>
      </c>
      <c r="AS3093">
        <v>0</v>
      </c>
      <c r="AT3093">
        <v>0</v>
      </c>
      <c r="AU3093">
        <v>0</v>
      </c>
      <c r="AV3093">
        <v>0</v>
      </c>
      <c r="AW3093">
        <v>0</v>
      </c>
      <c r="AX3093">
        <v>0</v>
      </c>
      <c r="AY3093">
        <v>0</v>
      </c>
      <c r="AZ3093">
        <v>0</v>
      </c>
      <c r="BA3093">
        <v>0</v>
      </c>
      <c r="BB3093">
        <v>0</v>
      </c>
      <c r="BC3093">
        <v>0</v>
      </c>
      <c r="BD3093">
        <v>0</v>
      </c>
      <c r="BE3093">
        <v>0</v>
      </c>
      <c r="BF3093">
        <v>0</v>
      </c>
      <c r="BG3093">
        <v>0</v>
      </c>
      <c r="BH3093">
        <v>1</v>
      </c>
      <c r="BI3093">
        <v>5</v>
      </c>
      <c r="BJ3093">
        <v>1.4</v>
      </c>
      <c r="BK3093">
        <v>5</v>
      </c>
      <c r="BL3093">
        <v>174.87</v>
      </c>
      <c r="BM3093">
        <v>26.23</v>
      </c>
      <c r="BN3093">
        <v>201.1</v>
      </c>
      <c r="BO3093">
        <v>201.1</v>
      </c>
      <c r="BQ3093" t="s">
        <v>634</v>
      </c>
      <c r="BR3093" t="s">
        <v>84</v>
      </c>
      <c r="BS3093" s="3">
        <v>45803</v>
      </c>
      <c r="BT3093" s="4">
        <v>0.41666666666666669</v>
      </c>
      <c r="BU3093" t="s">
        <v>635</v>
      </c>
      <c r="BV3093" t="s">
        <v>86</v>
      </c>
      <c r="BY3093">
        <v>7000</v>
      </c>
      <c r="CA3093" t="s">
        <v>440</v>
      </c>
      <c r="CC3093" t="s">
        <v>104</v>
      </c>
      <c r="CD3093">
        <v>3212</v>
      </c>
      <c r="CE3093" t="s">
        <v>96</v>
      </c>
      <c r="CF3093" s="3">
        <v>45803</v>
      </c>
      <c r="CI3093">
        <v>2</v>
      </c>
      <c r="CJ3093">
        <v>1</v>
      </c>
      <c r="CK3093">
        <v>21</v>
      </c>
      <c r="CL3093" t="s">
        <v>89</v>
      </c>
    </row>
    <row r="3094" spans="1:90" x14ac:dyDescent="0.3">
      <c r="A3094" t="s">
        <v>72</v>
      </c>
      <c r="B3094" t="s">
        <v>73</v>
      </c>
      <c r="C3094" t="s">
        <v>74</v>
      </c>
      <c r="E3094" t="str">
        <f>"080065529052"</f>
        <v>080065529052</v>
      </c>
      <c r="F3094" s="3">
        <v>45800</v>
      </c>
      <c r="G3094">
        <v>202602</v>
      </c>
      <c r="H3094" t="s">
        <v>75</v>
      </c>
      <c r="I3094" t="s">
        <v>76</v>
      </c>
      <c r="J3094" t="s">
        <v>77</v>
      </c>
      <c r="K3094" t="s">
        <v>78</v>
      </c>
      <c r="L3094" t="s">
        <v>103</v>
      </c>
      <c r="M3094" t="s">
        <v>104</v>
      </c>
      <c r="N3094" t="s">
        <v>686</v>
      </c>
      <c r="O3094" t="s">
        <v>82</v>
      </c>
      <c r="P3094" t="str">
        <f>"4170040305                    "</f>
        <v xml:space="preserve">4170040305                    </v>
      </c>
      <c r="Q3094">
        <v>0</v>
      </c>
      <c r="R3094">
        <v>0</v>
      </c>
      <c r="S3094">
        <v>0</v>
      </c>
      <c r="T3094">
        <v>0</v>
      </c>
      <c r="U3094">
        <v>0</v>
      </c>
      <c r="V3094">
        <v>0</v>
      </c>
      <c r="W3094">
        <v>0</v>
      </c>
      <c r="X3094">
        <v>0</v>
      </c>
      <c r="Y3094">
        <v>0</v>
      </c>
      <c r="Z3094">
        <v>0</v>
      </c>
      <c r="AA3094">
        <v>0</v>
      </c>
      <c r="AB3094">
        <v>0</v>
      </c>
      <c r="AC3094">
        <v>0</v>
      </c>
      <c r="AD3094">
        <v>0</v>
      </c>
      <c r="AE3094">
        <v>0</v>
      </c>
      <c r="AF3094">
        <v>0</v>
      </c>
      <c r="AG3094">
        <v>0</v>
      </c>
      <c r="AH3094">
        <v>0</v>
      </c>
      <c r="AI3094">
        <v>0</v>
      </c>
      <c r="AJ3094">
        <v>0</v>
      </c>
      <c r="AK3094">
        <v>0</v>
      </c>
      <c r="AL3094">
        <v>0</v>
      </c>
      <c r="AM3094">
        <v>0</v>
      </c>
      <c r="AN3094">
        <v>0</v>
      </c>
      <c r="AO3094">
        <v>0</v>
      </c>
      <c r="AP3094">
        <v>0</v>
      </c>
      <c r="AQ3094">
        <v>106.85</v>
      </c>
      <c r="AR3094">
        <v>0</v>
      </c>
      <c r="AS3094">
        <v>0</v>
      </c>
      <c r="AT3094">
        <v>0</v>
      </c>
      <c r="AU3094">
        <v>0</v>
      </c>
      <c r="AV3094">
        <v>0</v>
      </c>
      <c r="AW3094">
        <v>0</v>
      </c>
      <c r="AX3094">
        <v>0</v>
      </c>
      <c r="AY3094">
        <v>0</v>
      </c>
      <c r="AZ3094">
        <v>0</v>
      </c>
      <c r="BA3094">
        <v>0</v>
      </c>
      <c r="BB3094">
        <v>0</v>
      </c>
      <c r="BC3094">
        <v>0</v>
      </c>
      <c r="BD3094">
        <v>0</v>
      </c>
      <c r="BE3094">
        <v>0</v>
      </c>
      <c r="BF3094">
        <v>0</v>
      </c>
      <c r="BG3094">
        <v>0</v>
      </c>
      <c r="BH3094">
        <v>1</v>
      </c>
      <c r="BI3094">
        <v>9</v>
      </c>
      <c r="BJ3094">
        <v>9.8000000000000007</v>
      </c>
      <c r="BK3094">
        <v>10</v>
      </c>
      <c r="BL3094">
        <v>349.69</v>
      </c>
      <c r="BM3094">
        <v>52.45</v>
      </c>
      <c r="BN3094">
        <v>402.14</v>
      </c>
      <c r="BO3094">
        <v>402.14</v>
      </c>
      <c r="BQ3094" t="s">
        <v>687</v>
      </c>
      <c r="BR3094" t="s">
        <v>84</v>
      </c>
      <c r="BS3094" s="3">
        <v>45803</v>
      </c>
      <c r="BT3094" s="4">
        <v>0.41805555555555557</v>
      </c>
      <c r="BU3094" t="s">
        <v>1168</v>
      </c>
      <c r="BV3094" t="s">
        <v>86</v>
      </c>
      <c r="BY3094">
        <v>48944</v>
      </c>
      <c r="CA3094" t="s">
        <v>1169</v>
      </c>
      <c r="CC3094" t="s">
        <v>104</v>
      </c>
      <c r="CD3094">
        <v>3201</v>
      </c>
      <c r="CE3094" t="s">
        <v>96</v>
      </c>
      <c r="CF3094" s="3">
        <v>45803</v>
      </c>
      <c r="CI3094">
        <v>1</v>
      </c>
      <c r="CJ3094">
        <v>1</v>
      </c>
      <c r="CK3094">
        <v>21</v>
      </c>
      <c r="CL3094" t="s">
        <v>89</v>
      </c>
    </row>
    <row r="3095" spans="1:90" x14ac:dyDescent="0.3">
      <c r="A3095" t="s">
        <v>72</v>
      </c>
      <c r="B3095" t="s">
        <v>73</v>
      </c>
      <c r="C3095" t="s">
        <v>74</v>
      </c>
      <c r="E3095" t="str">
        <f>"080065529097"</f>
        <v>080065529097</v>
      </c>
      <c r="F3095" s="3">
        <v>45800</v>
      </c>
      <c r="G3095">
        <v>202602</v>
      </c>
      <c r="H3095" t="s">
        <v>75</v>
      </c>
      <c r="I3095" t="s">
        <v>76</v>
      </c>
      <c r="J3095" t="s">
        <v>77</v>
      </c>
      <c r="K3095" t="s">
        <v>78</v>
      </c>
      <c r="L3095" t="s">
        <v>103</v>
      </c>
      <c r="M3095" t="s">
        <v>104</v>
      </c>
      <c r="N3095" t="s">
        <v>633</v>
      </c>
      <c r="O3095" t="s">
        <v>82</v>
      </c>
      <c r="P3095" t="str">
        <f>"4170040377                    "</f>
        <v xml:space="preserve">4170040377                    </v>
      </c>
      <c r="Q3095">
        <v>0</v>
      </c>
      <c r="R3095">
        <v>0</v>
      </c>
      <c r="S3095">
        <v>0</v>
      </c>
      <c r="T3095">
        <v>0</v>
      </c>
      <c r="U3095">
        <v>0</v>
      </c>
      <c r="V3095">
        <v>0</v>
      </c>
      <c r="W3095">
        <v>0</v>
      </c>
      <c r="X3095">
        <v>0</v>
      </c>
      <c r="Y3095">
        <v>0</v>
      </c>
      <c r="Z3095">
        <v>0</v>
      </c>
      <c r="AA3095">
        <v>0</v>
      </c>
      <c r="AB3095">
        <v>0</v>
      </c>
      <c r="AC3095">
        <v>0</v>
      </c>
      <c r="AD3095">
        <v>0</v>
      </c>
      <c r="AE3095">
        <v>0</v>
      </c>
      <c r="AF3095">
        <v>0</v>
      </c>
      <c r="AG3095">
        <v>0</v>
      </c>
      <c r="AH3095">
        <v>0</v>
      </c>
      <c r="AI3095">
        <v>0</v>
      </c>
      <c r="AJ3095">
        <v>0</v>
      </c>
      <c r="AK3095">
        <v>0</v>
      </c>
      <c r="AL3095">
        <v>0</v>
      </c>
      <c r="AM3095">
        <v>0</v>
      </c>
      <c r="AN3095">
        <v>0</v>
      </c>
      <c r="AO3095">
        <v>0</v>
      </c>
      <c r="AP3095">
        <v>0</v>
      </c>
      <c r="AQ3095">
        <v>74.8</v>
      </c>
      <c r="AR3095">
        <v>0</v>
      </c>
      <c r="AS3095">
        <v>0</v>
      </c>
      <c r="AT3095">
        <v>0</v>
      </c>
      <c r="AU3095">
        <v>0</v>
      </c>
      <c r="AV3095">
        <v>0</v>
      </c>
      <c r="AW3095">
        <v>0</v>
      </c>
      <c r="AX3095">
        <v>0</v>
      </c>
      <c r="AY3095">
        <v>0</v>
      </c>
      <c r="AZ3095">
        <v>0</v>
      </c>
      <c r="BA3095">
        <v>0</v>
      </c>
      <c r="BB3095">
        <v>0</v>
      </c>
      <c r="BC3095">
        <v>0</v>
      </c>
      <c r="BD3095">
        <v>0</v>
      </c>
      <c r="BE3095">
        <v>0</v>
      </c>
      <c r="BF3095">
        <v>0</v>
      </c>
      <c r="BG3095">
        <v>0</v>
      </c>
      <c r="BH3095">
        <v>1</v>
      </c>
      <c r="BI3095">
        <v>7</v>
      </c>
      <c r="BJ3095">
        <v>2</v>
      </c>
      <c r="BK3095">
        <v>7</v>
      </c>
      <c r="BL3095">
        <v>244.8</v>
      </c>
      <c r="BM3095">
        <v>36.72</v>
      </c>
      <c r="BN3095">
        <v>281.52</v>
      </c>
      <c r="BO3095">
        <v>281.52</v>
      </c>
      <c r="BQ3095" t="s">
        <v>634</v>
      </c>
      <c r="BR3095" t="s">
        <v>84</v>
      </c>
      <c r="BS3095" s="3">
        <v>45803</v>
      </c>
      <c r="BT3095" s="4">
        <v>0.41666666666666669</v>
      </c>
      <c r="BU3095" t="s">
        <v>2229</v>
      </c>
      <c r="BV3095" t="s">
        <v>86</v>
      </c>
      <c r="BY3095">
        <v>10108</v>
      </c>
      <c r="CA3095" t="s">
        <v>440</v>
      </c>
      <c r="CC3095" t="s">
        <v>104</v>
      </c>
      <c r="CD3095">
        <v>3212</v>
      </c>
      <c r="CE3095" t="s">
        <v>96</v>
      </c>
      <c r="CF3095" s="3">
        <v>45803</v>
      </c>
      <c r="CI3095">
        <v>2</v>
      </c>
      <c r="CJ3095">
        <v>1</v>
      </c>
      <c r="CK3095">
        <v>21</v>
      </c>
      <c r="CL3095" t="s">
        <v>89</v>
      </c>
    </row>
    <row r="3096" spans="1:90" x14ac:dyDescent="0.3">
      <c r="A3096" t="s">
        <v>72</v>
      </c>
      <c r="B3096" t="s">
        <v>73</v>
      </c>
      <c r="C3096" t="s">
        <v>74</v>
      </c>
      <c r="E3096" t="str">
        <f>"080065529140"</f>
        <v>080065529140</v>
      </c>
      <c r="F3096" s="3">
        <v>45800</v>
      </c>
      <c r="G3096">
        <v>202602</v>
      </c>
      <c r="H3096" t="s">
        <v>75</v>
      </c>
      <c r="I3096" t="s">
        <v>76</v>
      </c>
      <c r="J3096" t="s">
        <v>77</v>
      </c>
      <c r="K3096" t="s">
        <v>78</v>
      </c>
      <c r="L3096" t="s">
        <v>672</v>
      </c>
      <c r="M3096" t="s">
        <v>673</v>
      </c>
      <c r="N3096" t="s">
        <v>674</v>
      </c>
      <c r="O3096" t="s">
        <v>82</v>
      </c>
      <c r="P3096" t="str">
        <f>"4170040336                    "</f>
        <v xml:space="preserve">4170040336                    </v>
      </c>
      <c r="Q3096">
        <v>0</v>
      </c>
      <c r="R3096">
        <v>0</v>
      </c>
      <c r="S3096">
        <v>0</v>
      </c>
      <c r="T3096">
        <v>0</v>
      </c>
      <c r="U3096">
        <v>0</v>
      </c>
      <c r="V3096">
        <v>0</v>
      </c>
      <c r="W3096">
        <v>0</v>
      </c>
      <c r="X3096">
        <v>0</v>
      </c>
      <c r="Y3096">
        <v>0</v>
      </c>
      <c r="Z3096">
        <v>0</v>
      </c>
      <c r="AA3096">
        <v>0</v>
      </c>
      <c r="AB3096">
        <v>0</v>
      </c>
      <c r="AC3096">
        <v>0</v>
      </c>
      <c r="AD3096">
        <v>0</v>
      </c>
      <c r="AE3096">
        <v>0</v>
      </c>
      <c r="AF3096">
        <v>0</v>
      </c>
      <c r="AG3096">
        <v>0</v>
      </c>
      <c r="AH3096">
        <v>0</v>
      </c>
      <c r="AI3096">
        <v>0</v>
      </c>
      <c r="AJ3096">
        <v>0</v>
      </c>
      <c r="AK3096">
        <v>0</v>
      </c>
      <c r="AL3096">
        <v>0</v>
      </c>
      <c r="AM3096">
        <v>0</v>
      </c>
      <c r="AN3096">
        <v>0</v>
      </c>
      <c r="AO3096">
        <v>0</v>
      </c>
      <c r="AP3096">
        <v>0</v>
      </c>
      <c r="AQ3096">
        <v>60.14</v>
      </c>
      <c r="AR3096">
        <v>0</v>
      </c>
      <c r="AS3096">
        <v>0</v>
      </c>
      <c r="AT3096">
        <v>0</v>
      </c>
      <c r="AU3096">
        <v>0</v>
      </c>
      <c r="AV3096">
        <v>0</v>
      </c>
      <c r="AW3096">
        <v>0</v>
      </c>
      <c r="AX3096">
        <v>0</v>
      </c>
      <c r="AY3096">
        <v>0</v>
      </c>
      <c r="AZ3096">
        <v>0</v>
      </c>
      <c r="BA3096">
        <v>0</v>
      </c>
      <c r="BB3096">
        <v>0</v>
      </c>
      <c r="BC3096">
        <v>0</v>
      </c>
      <c r="BD3096">
        <v>0</v>
      </c>
      <c r="BE3096">
        <v>0</v>
      </c>
      <c r="BF3096">
        <v>0</v>
      </c>
      <c r="BG3096">
        <v>0</v>
      </c>
      <c r="BH3096">
        <v>1</v>
      </c>
      <c r="BI3096">
        <v>3</v>
      </c>
      <c r="BJ3096">
        <v>0.6</v>
      </c>
      <c r="BK3096">
        <v>3</v>
      </c>
      <c r="BL3096">
        <v>196.82</v>
      </c>
      <c r="BM3096">
        <v>29.52</v>
      </c>
      <c r="BN3096">
        <v>226.34</v>
      </c>
      <c r="BO3096">
        <v>226.34</v>
      </c>
      <c r="BQ3096" t="s">
        <v>675</v>
      </c>
      <c r="BR3096" t="s">
        <v>84</v>
      </c>
      <c r="BS3096" s="3">
        <v>45803</v>
      </c>
      <c r="BT3096" s="4">
        <v>0.40694444444444444</v>
      </c>
      <c r="BU3096" t="s">
        <v>1627</v>
      </c>
      <c r="BV3096" t="s">
        <v>86</v>
      </c>
      <c r="BY3096">
        <v>3192</v>
      </c>
      <c r="CA3096" t="s">
        <v>677</v>
      </c>
      <c r="CC3096" t="s">
        <v>673</v>
      </c>
      <c r="CD3096">
        <v>2531</v>
      </c>
      <c r="CE3096" t="s">
        <v>116</v>
      </c>
      <c r="CF3096" s="3">
        <v>45804</v>
      </c>
      <c r="CI3096">
        <v>1</v>
      </c>
      <c r="CJ3096">
        <v>1</v>
      </c>
      <c r="CK3096">
        <v>23</v>
      </c>
      <c r="CL3096" t="s">
        <v>89</v>
      </c>
    </row>
    <row r="3097" spans="1:90" x14ac:dyDescent="0.3">
      <c r="A3097" t="s">
        <v>72</v>
      </c>
      <c r="B3097" t="s">
        <v>73</v>
      </c>
      <c r="C3097" t="s">
        <v>74</v>
      </c>
      <c r="E3097" t="str">
        <f>"080065529389"</f>
        <v>080065529389</v>
      </c>
      <c r="F3097" s="3">
        <v>45800</v>
      </c>
      <c r="G3097">
        <v>202602</v>
      </c>
      <c r="H3097" t="s">
        <v>75</v>
      </c>
      <c r="I3097" t="s">
        <v>76</v>
      </c>
      <c r="J3097" t="s">
        <v>77</v>
      </c>
      <c r="K3097" t="s">
        <v>78</v>
      </c>
      <c r="L3097" t="s">
        <v>350</v>
      </c>
      <c r="M3097" t="s">
        <v>351</v>
      </c>
      <c r="N3097" t="s">
        <v>1523</v>
      </c>
      <c r="O3097" t="s">
        <v>82</v>
      </c>
      <c r="P3097" t="str">
        <f>"4170040357                    "</f>
        <v xml:space="preserve">4170040357                    </v>
      </c>
      <c r="Q3097">
        <v>0</v>
      </c>
      <c r="R3097">
        <v>0</v>
      </c>
      <c r="S3097">
        <v>0</v>
      </c>
      <c r="T3097">
        <v>0</v>
      </c>
      <c r="U3097">
        <v>0</v>
      </c>
      <c r="V3097">
        <v>0</v>
      </c>
      <c r="W3097">
        <v>0</v>
      </c>
      <c r="X3097">
        <v>0</v>
      </c>
      <c r="Y3097">
        <v>0</v>
      </c>
      <c r="Z3097">
        <v>0</v>
      </c>
      <c r="AA3097">
        <v>0</v>
      </c>
      <c r="AB3097">
        <v>0</v>
      </c>
      <c r="AC3097">
        <v>0</v>
      </c>
      <c r="AD3097">
        <v>0</v>
      </c>
      <c r="AE3097">
        <v>0</v>
      </c>
      <c r="AF3097">
        <v>0</v>
      </c>
      <c r="AG3097">
        <v>0</v>
      </c>
      <c r="AH3097">
        <v>0</v>
      </c>
      <c r="AI3097">
        <v>0</v>
      </c>
      <c r="AJ3097">
        <v>0</v>
      </c>
      <c r="AK3097">
        <v>0</v>
      </c>
      <c r="AL3097">
        <v>0</v>
      </c>
      <c r="AM3097">
        <v>0</v>
      </c>
      <c r="AN3097">
        <v>0</v>
      </c>
      <c r="AO3097">
        <v>0</v>
      </c>
      <c r="AP3097">
        <v>0</v>
      </c>
      <c r="AQ3097">
        <v>64.12</v>
      </c>
      <c r="AR3097">
        <v>0</v>
      </c>
      <c r="AS3097">
        <v>0</v>
      </c>
      <c r="AT3097">
        <v>0</v>
      </c>
      <c r="AU3097">
        <v>0</v>
      </c>
      <c r="AV3097">
        <v>0</v>
      </c>
      <c r="AW3097">
        <v>0</v>
      </c>
      <c r="AX3097">
        <v>0</v>
      </c>
      <c r="AY3097">
        <v>0</v>
      </c>
      <c r="AZ3097">
        <v>0</v>
      </c>
      <c r="BA3097">
        <v>0</v>
      </c>
      <c r="BB3097">
        <v>0</v>
      </c>
      <c r="BC3097">
        <v>0</v>
      </c>
      <c r="BD3097">
        <v>0</v>
      </c>
      <c r="BE3097">
        <v>0</v>
      </c>
      <c r="BF3097">
        <v>0</v>
      </c>
      <c r="BG3097">
        <v>0</v>
      </c>
      <c r="BH3097">
        <v>1</v>
      </c>
      <c r="BI3097">
        <v>2</v>
      </c>
      <c r="BJ3097">
        <v>5.8</v>
      </c>
      <c r="BK3097">
        <v>6</v>
      </c>
      <c r="BL3097">
        <v>209.84</v>
      </c>
      <c r="BM3097">
        <v>31.48</v>
      </c>
      <c r="BN3097">
        <v>241.32</v>
      </c>
      <c r="BO3097">
        <v>241.32</v>
      </c>
      <c r="BQ3097" t="s">
        <v>1524</v>
      </c>
      <c r="BR3097" t="s">
        <v>84</v>
      </c>
      <c r="BS3097" s="3">
        <v>45803</v>
      </c>
      <c r="BT3097" s="4">
        <v>0.43263888888888891</v>
      </c>
      <c r="BU3097" t="s">
        <v>3053</v>
      </c>
      <c r="BV3097" t="s">
        <v>86</v>
      </c>
      <c r="BY3097">
        <v>29160</v>
      </c>
      <c r="CA3097" t="s">
        <v>1526</v>
      </c>
      <c r="CC3097" t="s">
        <v>351</v>
      </c>
      <c r="CD3097">
        <v>4093</v>
      </c>
      <c r="CE3097" t="s">
        <v>2869</v>
      </c>
      <c r="CF3097" s="3">
        <v>45803</v>
      </c>
      <c r="CI3097">
        <v>1</v>
      </c>
      <c r="CJ3097">
        <v>1</v>
      </c>
      <c r="CK3097">
        <v>21</v>
      </c>
      <c r="CL3097" t="s">
        <v>89</v>
      </c>
    </row>
    <row r="3098" spans="1:90" x14ac:dyDescent="0.3">
      <c r="A3098" t="s">
        <v>72</v>
      </c>
      <c r="B3098" t="s">
        <v>73</v>
      </c>
      <c r="C3098" t="s">
        <v>74</v>
      </c>
      <c r="E3098" t="str">
        <f>"080065529414"</f>
        <v>080065529414</v>
      </c>
      <c r="F3098" s="3">
        <v>45800</v>
      </c>
      <c r="G3098">
        <v>202602</v>
      </c>
      <c r="H3098" t="s">
        <v>75</v>
      </c>
      <c r="I3098" t="s">
        <v>76</v>
      </c>
      <c r="J3098" t="s">
        <v>77</v>
      </c>
      <c r="K3098" t="s">
        <v>78</v>
      </c>
      <c r="L3098" t="s">
        <v>130</v>
      </c>
      <c r="M3098" t="s">
        <v>131</v>
      </c>
      <c r="N3098" t="s">
        <v>3054</v>
      </c>
      <c r="O3098" t="s">
        <v>82</v>
      </c>
      <c r="P3098" t="str">
        <f>"4170040457                    "</f>
        <v xml:space="preserve">4170040457                    </v>
      </c>
      <c r="Q3098">
        <v>0</v>
      </c>
      <c r="R3098">
        <v>0</v>
      </c>
      <c r="S3098">
        <v>0</v>
      </c>
      <c r="T3098">
        <v>0</v>
      </c>
      <c r="U3098">
        <v>0</v>
      </c>
      <c r="V3098">
        <v>0</v>
      </c>
      <c r="W3098">
        <v>0</v>
      </c>
      <c r="X3098">
        <v>0</v>
      </c>
      <c r="Y3098">
        <v>0</v>
      </c>
      <c r="Z3098">
        <v>0</v>
      </c>
      <c r="AA3098">
        <v>0</v>
      </c>
      <c r="AB3098">
        <v>0</v>
      </c>
      <c r="AC3098">
        <v>0</v>
      </c>
      <c r="AD3098">
        <v>0</v>
      </c>
      <c r="AE3098">
        <v>0</v>
      </c>
      <c r="AF3098">
        <v>0</v>
      </c>
      <c r="AG3098">
        <v>0</v>
      </c>
      <c r="AH3098">
        <v>0</v>
      </c>
      <c r="AI3098">
        <v>0</v>
      </c>
      <c r="AJ3098">
        <v>0</v>
      </c>
      <c r="AK3098">
        <v>0</v>
      </c>
      <c r="AL3098">
        <v>0</v>
      </c>
      <c r="AM3098">
        <v>0</v>
      </c>
      <c r="AN3098">
        <v>0</v>
      </c>
      <c r="AO3098">
        <v>0</v>
      </c>
      <c r="AP3098">
        <v>0</v>
      </c>
      <c r="AQ3098">
        <v>21.38</v>
      </c>
      <c r="AR3098">
        <v>0</v>
      </c>
      <c r="AS3098">
        <v>0</v>
      </c>
      <c r="AT3098">
        <v>0</v>
      </c>
      <c r="AU3098">
        <v>0</v>
      </c>
      <c r="AV3098">
        <v>0</v>
      </c>
      <c r="AW3098">
        <v>0</v>
      </c>
      <c r="AX3098">
        <v>0</v>
      </c>
      <c r="AY3098">
        <v>0</v>
      </c>
      <c r="AZ3098">
        <v>0</v>
      </c>
      <c r="BA3098">
        <v>0</v>
      </c>
      <c r="BB3098">
        <v>0</v>
      </c>
      <c r="BC3098">
        <v>0</v>
      </c>
      <c r="BD3098">
        <v>0</v>
      </c>
      <c r="BE3098">
        <v>0</v>
      </c>
      <c r="BF3098">
        <v>0</v>
      </c>
      <c r="BG3098">
        <v>0</v>
      </c>
      <c r="BH3098">
        <v>1</v>
      </c>
      <c r="BI3098">
        <v>1</v>
      </c>
      <c r="BJ3098">
        <v>0.2</v>
      </c>
      <c r="BK3098">
        <v>1</v>
      </c>
      <c r="BL3098">
        <v>69.98</v>
      </c>
      <c r="BM3098">
        <v>10.5</v>
      </c>
      <c r="BN3098">
        <v>80.48</v>
      </c>
      <c r="BO3098">
        <v>80.48</v>
      </c>
      <c r="BQ3098" t="s">
        <v>3055</v>
      </c>
      <c r="BR3098" t="s">
        <v>84</v>
      </c>
      <c r="BS3098" s="3">
        <v>45803</v>
      </c>
      <c r="BT3098" s="4">
        <v>0.40625</v>
      </c>
      <c r="BU3098" t="s">
        <v>3056</v>
      </c>
      <c r="BV3098" t="s">
        <v>86</v>
      </c>
      <c r="BY3098">
        <v>1200</v>
      </c>
      <c r="CA3098" t="s">
        <v>2358</v>
      </c>
      <c r="CC3098" t="s">
        <v>131</v>
      </c>
      <c r="CD3098">
        <v>7925</v>
      </c>
      <c r="CE3098" t="s">
        <v>88</v>
      </c>
      <c r="CF3098" s="3">
        <v>45804</v>
      </c>
      <c r="CI3098">
        <v>1</v>
      </c>
      <c r="CJ3098">
        <v>1</v>
      </c>
      <c r="CK3098">
        <v>21</v>
      </c>
      <c r="CL3098" t="s">
        <v>89</v>
      </c>
    </row>
    <row r="3099" spans="1:90" x14ac:dyDescent="0.3">
      <c r="A3099" t="s">
        <v>72</v>
      </c>
      <c r="B3099" t="s">
        <v>73</v>
      </c>
      <c r="C3099" t="s">
        <v>74</v>
      </c>
      <c r="E3099" t="str">
        <f>"080065529426"</f>
        <v>080065529426</v>
      </c>
      <c r="F3099" s="3">
        <v>45800</v>
      </c>
      <c r="G3099">
        <v>202602</v>
      </c>
      <c r="H3099" t="s">
        <v>75</v>
      </c>
      <c r="I3099" t="s">
        <v>76</v>
      </c>
      <c r="J3099" t="s">
        <v>77</v>
      </c>
      <c r="K3099" t="s">
        <v>78</v>
      </c>
      <c r="L3099" t="s">
        <v>75</v>
      </c>
      <c r="M3099" t="s">
        <v>76</v>
      </c>
      <c r="N3099" t="s">
        <v>390</v>
      </c>
      <c r="O3099" t="s">
        <v>602</v>
      </c>
      <c r="P3099" t="str">
        <f>"4170040451                    "</f>
        <v xml:space="preserve">4170040451                    </v>
      </c>
      <c r="Q3099">
        <v>0</v>
      </c>
      <c r="R3099">
        <v>0</v>
      </c>
      <c r="S3099">
        <v>0</v>
      </c>
      <c r="T3099">
        <v>0</v>
      </c>
      <c r="U3099">
        <v>0</v>
      </c>
      <c r="V3099">
        <v>0</v>
      </c>
      <c r="W3099">
        <v>0</v>
      </c>
      <c r="X3099">
        <v>0</v>
      </c>
      <c r="Y3099">
        <v>0</v>
      </c>
      <c r="Z3099">
        <v>0</v>
      </c>
      <c r="AA3099">
        <v>0</v>
      </c>
      <c r="AB3099">
        <v>0</v>
      </c>
      <c r="AC3099">
        <v>0</v>
      </c>
      <c r="AD3099">
        <v>0</v>
      </c>
      <c r="AE3099">
        <v>0</v>
      </c>
      <c r="AF3099">
        <v>0</v>
      </c>
      <c r="AG3099">
        <v>0</v>
      </c>
      <c r="AH3099">
        <v>0</v>
      </c>
      <c r="AI3099">
        <v>0</v>
      </c>
      <c r="AJ3099">
        <v>0</v>
      </c>
      <c r="AK3099">
        <v>0</v>
      </c>
      <c r="AL3099">
        <v>0</v>
      </c>
      <c r="AM3099">
        <v>0</v>
      </c>
      <c r="AN3099">
        <v>0</v>
      </c>
      <c r="AO3099">
        <v>0</v>
      </c>
      <c r="AP3099">
        <v>0</v>
      </c>
      <c r="AQ3099">
        <v>16.71</v>
      </c>
      <c r="AR3099">
        <v>0</v>
      </c>
      <c r="AS3099">
        <v>0</v>
      </c>
      <c r="AT3099">
        <v>0</v>
      </c>
      <c r="AU3099">
        <v>0</v>
      </c>
      <c r="AV3099">
        <v>0</v>
      </c>
      <c r="AW3099">
        <v>0</v>
      </c>
      <c r="AX3099">
        <v>0</v>
      </c>
      <c r="AY3099">
        <v>0</v>
      </c>
      <c r="AZ3099">
        <v>0</v>
      </c>
      <c r="BA3099">
        <v>0</v>
      </c>
      <c r="BB3099">
        <v>0</v>
      </c>
      <c r="BC3099">
        <v>0</v>
      </c>
      <c r="BD3099">
        <v>0</v>
      </c>
      <c r="BE3099">
        <v>0</v>
      </c>
      <c r="BF3099">
        <v>0</v>
      </c>
      <c r="BG3099">
        <v>0</v>
      </c>
      <c r="BH3099">
        <v>1</v>
      </c>
      <c r="BI3099">
        <v>4</v>
      </c>
      <c r="BJ3099">
        <v>7.5</v>
      </c>
      <c r="BK3099">
        <v>8</v>
      </c>
      <c r="BL3099">
        <v>54.68</v>
      </c>
      <c r="BM3099">
        <v>8.1999999999999993</v>
      </c>
      <c r="BN3099">
        <v>62.88</v>
      </c>
      <c r="BO3099">
        <v>62.88</v>
      </c>
      <c r="BQ3099" t="s">
        <v>391</v>
      </c>
      <c r="BR3099" t="s">
        <v>84</v>
      </c>
      <c r="BS3099" s="3">
        <v>45803</v>
      </c>
      <c r="BT3099" s="4">
        <v>0.34027777777777779</v>
      </c>
      <c r="BU3099" t="s">
        <v>2078</v>
      </c>
      <c r="BV3099" t="s">
        <v>86</v>
      </c>
      <c r="BY3099">
        <v>37544</v>
      </c>
      <c r="CA3099" t="s">
        <v>115</v>
      </c>
      <c r="CC3099" t="s">
        <v>76</v>
      </c>
      <c r="CD3099">
        <v>1600</v>
      </c>
      <c r="CE3099" t="s">
        <v>221</v>
      </c>
      <c r="CF3099" s="3">
        <v>45803</v>
      </c>
      <c r="CI3099">
        <v>1</v>
      </c>
      <c r="CJ3099">
        <v>1</v>
      </c>
      <c r="CK3099">
        <v>32</v>
      </c>
      <c r="CL3099" t="s">
        <v>89</v>
      </c>
    </row>
    <row r="3100" spans="1:90" x14ac:dyDescent="0.3">
      <c r="A3100" t="s">
        <v>72</v>
      </c>
      <c r="B3100" t="s">
        <v>73</v>
      </c>
      <c r="C3100" t="s">
        <v>74</v>
      </c>
      <c r="E3100" t="str">
        <f>"080065529431"</f>
        <v>080065529431</v>
      </c>
      <c r="F3100" s="3">
        <v>45800</v>
      </c>
      <c r="G3100">
        <v>202602</v>
      </c>
      <c r="H3100" t="s">
        <v>75</v>
      </c>
      <c r="I3100" t="s">
        <v>76</v>
      </c>
      <c r="J3100" t="s">
        <v>77</v>
      </c>
      <c r="K3100" t="s">
        <v>78</v>
      </c>
      <c r="L3100" t="s">
        <v>350</v>
      </c>
      <c r="M3100" t="s">
        <v>351</v>
      </c>
      <c r="N3100" t="s">
        <v>459</v>
      </c>
      <c r="O3100" t="s">
        <v>82</v>
      </c>
      <c r="P3100" t="str">
        <f>"4170040342                    "</f>
        <v xml:space="preserve">4170040342                    </v>
      </c>
      <c r="Q3100">
        <v>0</v>
      </c>
      <c r="R3100">
        <v>0</v>
      </c>
      <c r="S3100">
        <v>0</v>
      </c>
      <c r="T3100">
        <v>0</v>
      </c>
      <c r="U3100">
        <v>0</v>
      </c>
      <c r="V3100">
        <v>0</v>
      </c>
      <c r="W3100">
        <v>0</v>
      </c>
      <c r="X3100">
        <v>0</v>
      </c>
      <c r="Y3100">
        <v>0</v>
      </c>
      <c r="Z3100">
        <v>0</v>
      </c>
      <c r="AA3100">
        <v>0</v>
      </c>
      <c r="AB3100">
        <v>0</v>
      </c>
      <c r="AC3100">
        <v>0</v>
      </c>
      <c r="AD3100">
        <v>0</v>
      </c>
      <c r="AE3100">
        <v>0</v>
      </c>
      <c r="AF3100">
        <v>0</v>
      </c>
      <c r="AG3100">
        <v>0</v>
      </c>
      <c r="AH3100">
        <v>0</v>
      </c>
      <c r="AI3100">
        <v>0</v>
      </c>
      <c r="AJ3100">
        <v>0</v>
      </c>
      <c r="AK3100">
        <v>0</v>
      </c>
      <c r="AL3100">
        <v>0</v>
      </c>
      <c r="AM3100">
        <v>0</v>
      </c>
      <c r="AN3100">
        <v>0</v>
      </c>
      <c r="AO3100">
        <v>0</v>
      </c>
      <c r="AP3100">
        <v>0</v>
      </c>
      <c r="AQ3100">
        <v>21.38</v>
      </c>
      <c r="AR3100">
        <v>0</v>
      </c>
      <c r="AS3100">
        <v>0</v>
      </c>
      <c r="AT3100">
        <v>0</v>
      </c>
      <c r="AU3100">
        <v>0</v>
      </c>
      <c r="AV3100">
        <v>0</v>
      </c>
      <c r="AW3100">
        <v>0</v>
      </c>
      <c r="AX3100">
        <v>0</v>
      </c>
      <c r="AY3100">
        <v>0</v>
      </c>
      <c r="AZ3100">
        <v>0</v>
      </c>
      <c r="BA3100">
        <v>0</v>
      </c>
      <c r="BB3100">
        <v>0</v>
      </c>
      <c r="BC3100">
        <v>0</v>
      </c>
      <c r="BD3100">
        <v>0</v>
      </c>
      <c r="BE3100">
        <v>0</v>
      </c>
      <c r="BF3100">
        <v>0</v>
      </c>
      <c r="BG3100">
        <v>0</v>
      </c>
      <c r="BH3100">
        <v>1</v>
      </c>
      <c r="BI3100">
        <v>1</v>
      </c>
      <c r="BJ3100">
        <v>0.2</v>
      </c>
      <c r="BK3100">
        <v>1</v>
      </c>
      <c r="BL3100">
        <v>69.98</v>
      </c>
      <c r="BM3100">
        <v>10.5</v>
      </c>
      <c r="BN3100">
        <v>80.48</v>
      </c>
      <c r="BO3100">
        <v>80.48</v>
      </c>
      <c r="BQ3100" t="s">
        <v>460</v>
      </c>
      <c r="BR3100" t="s">
        <v>84</v>
      </c>
      <c r="BS3100" s="3">
        <v>45803</v>
      </c>
      <c r="BT3100" s="4">
        <v>0.31874999999999998</v>
      </c>
      <c r="BU3100" t="s">
        <v>461</v>
      </c>
      <c r="BV3100" t="s">
        <v>86</v>
      </c>
      <c r="BY3100">
        <v>1200</v>
      </c>
      <c r="CA3100" t="s">
        <v>462</v>
      </c>
      <c r="CC3100" t="s">
        <v>351</v>
      </c>
      <c r="CD3100">
        <v>4000</v>
      </c>
      <c r="CE3100" t="s">
        <v>88</v>
      </c>
      <c r="CF3100" s="3">
        <v>45803</v>
      </c>
      <c r="CI3100">
        <v>1</v>
      </c>
      <c r="CJ3100">
        <v>1</v>
      </c>
      <c r="CK3100">
        <v>21</v>
      </c>
      <c r="CL3100" t="s">
        <v>89</v>
      </c>
    </row>
    <row r="3101" spans="1:90" x14ac:dyDescent="0.3">
      <c r="A3101" t="s">
        <v>72</v>
      </c>
      <c r="B3101" t="s">
        <v>73</v>
      </c>
      <c r="C3101" t="s">
        <v>74</v>
      </c>
      <c r="E3101" t="str">
        <f>"080065529440"</f>
        <v>080065529440</v>
      </c>
      <c r="F3101" s="3">
        <v>45800</v>
      </c>
      <c r="G3101">
        <v>202602</v>
      </c>
      <c r="H3101" t="s">
        <v>75</v>
      </c>
      <c r="I3101" t="s">
        <v>76</v>
      </c>
      <c r="J3101" t="s">
        <v>77</v>
      </c>
      <c r="K3101" t="s">
        <v>78</v>
      </c>
      <c r="L3101" t="s">
        <v>75</v>
      </c>
      <c r="M3101" t="s">
        <v>76</v>
      </c>
      <c r="N3101" t="s">
        <v>390</v>
      </c>
      <c r="O3101" t="s">
        <v>82</v>
      </c>
      <c r="P3101" t="str">
        <f>"4170040304                    "</f>
        <v xml:space="preserve">4170040304                    </v>
      </c>
      <c r="Q3101">
        <v>0</v>
      </c>
      <c r="R3101">
        <v>0</v>
      </c>
      <c r="S3101">
        <v>0</v>
      </c>
      <c r="T3101">
        <v>0</v>
      </c>
      <c r="U3101">
        <v>0</v>
      </c>
      <c r="V3101">
        <v>0</v>
      </c>
      <c r="W3101">
        <v>0</v>
      </c>
      <c r="X3101">
        <v>0</v>
      </c>
      <c r="Y3101">
        <v>0</v>
      </c>
      <c r="Z3101">
        <v>0</v>
      </c>
      <c r="AA3101">
        <v>0</v>
      </c>
      <c r="AB3101">
        <v>0</v>
      </c>
      <c r="AC3101">
        <v>0</v>
      </c>
      <c r="AD3101">
        <v>0</v>
      </c>
      <c r="AE3101">
        <v>0</v>
      </c>
      <c r="AF3101">
        <v>0</v>
      </c>
      <c r="AG3101">
        <v>0</v>
      </c>
      <c r="AH3101">
        <v>0</v>
      </c>
      <c r="AI3101">
        <v>0</v>
      </c>
      <c r="AJ3101">
        <v>0</v>
      </c>
      <c r="AK3101">
        <v>0</v>
      </c>
      <c r="AL3101">
        <v>0</v>
      </c>
      <c r="AM3101">
        <v>0</v>
      </c>
      <c r="AN3101">
        <v>0</v>
      </c>
      <c r="AO3101">
        <v>0</v>
      </c>
      <c r="AP3101">
        <v>0</v>
      </c>
      <c r="AQ3101">
        <v>16.7</v>
      </c>
      <c r="AR3101">
        <v>0</v>
      </c>
      <c r="AS3101">
        <v>0</v>
      </c>
      <c r="AT3101">
        <v>0</v>
      </c>
      <c r="AU3101">
        <v>0</v>
      </c>
      <c r="AV3101">
        <v>0</v>
      </c>
      <c r="AW3101">
        <v>0</v>
      </c>
      <c r="AX3101">
        <v>0</v>
      </c>
      <c r="AY3101">
        <v>0</v>
      </c>
      <c r="AZ3101">
        <v>0</v>
      </c>
      <c r="BA3101">
        <v>0</v>
      </c>
      <c r="BB3101">
        <v>0</v>
      </c>
      <c r="BC3101">
        <v>0</v>
      </c>
      <c r="BD3101">
        <v>0</v>
      </c>
      <c r="BE3101">
        <v>0</v>
      </c>
      <c r="BF3101">
        <v>0</v>
      </c>
      <c r="BG3101">
        <v>0</v>
      </c>
      <c r="BH3101">
        <v>1</v>
      </c>
      <c r="BI3101">
        <v>1</v>
      </c>
      <c r="BJ3101">
        <v>0.2</v>
      </c>
      <c r="BK3101">
        <v>1</v>
      </c>
      <c r="BL3101">
        <v>54.66</v>
      </c>
      <c r="BM3101">
        <v>8.1999999999999993</v>
      </c>
      <c r="BN3101">
        <v>62.86</v>
      </c>
      <c r="BO3101">
        <v>62.86</v>
      </c>
      <c r="BQ3101" t="s">
        <v>391</v>
      </c>
      <c r="BR3101" t="s">
        <v>84</v>
      </c>
      <c r="BS3101" s="3">
        <v>45803</v>
      </c>
      <c r="BT3101" s="4">
        <v>0.34027777777777779</v>
      </c>
      <c r="BU3101" t="s">
        <v>2078</v>
      </c>
      <c r="BV3101" t="s">
        <v>86</v>
      </c>
      <c r="BY3101">
        <v>1200</v>
      </c>
      <c r="CA3101" t="s">
        <v>115</v>
      </c>
      <c r="CC3101" t="s">
        <v>76</v>
      </c>
      <c r="CD3101">
        <v>1600</v>
      </c>
      <c r="CE3101" t="s">
        <v>176</v>
      </c>
      <c r="CF3101" s="3">
        <v>45803</v>
      </c>
      <c r="CI3101">
        <v>1</v>
      </c>
      <c r="CJ3101">
        <v>1</v>
      </c>
      <c r="CK3101">
        <v>22</v>
      </c>
      <c r="CL3101" t="s">
        <v>89</v>
      </c>
    </row>
    <row r="3102" spans="1:90" x14ac:dyDescent="0.3">
      <c r="A3102" t="s">
        <v>72</v>
      </c>
      <c r="B3102" t="s">
        <v>73</v>
      </c>
      <c r="C3102" t="s">
        <v>74</v>
      </c>
      <c r="E3102" t="str">
        <f>"080065529441"</f>
        <v>080065529441</v>
      </c>
      <c r="F3102" s="3">
        <v>45800</v>
      </c>
      <c r="G3102">
        <v>202602</v>
      </c>
      <c r="H3102" t="s">
        <v>75</v>
      </c>
      <c r="I3102" t="s">
        <v>76</v>
      </c>
      <c r="J3102" t="s">
        <v>77</v>
      </c>
      <c r="K3102" t="s">
        <v>78</v>
      </c>
      <c r="L3102" t="s">
        <v>130</v>
      </c>
      <c r="M3102" t="s">
        <v>131</v>
      </c>
      <c r="N3102" t="s">
        <v>665</v>
      </c>
      <c r="O3102" t="s">
        <v>82</v>
      </c>
      <c r="P3102" t="str">
        <f>"4170040366                    "</f>
        <v xml:space="preserve">4170040366                    </v>
      </c>
      <c r="Q3102">
        <v>0</v>
      </c>
      <c r="R3102">
        <v>0</v>
      </c>
      <c r="S3102">
        <v>0</v>
      </c>
      <c r="T3102">
        <v>0</v>
      </c>
      <c r="U3102">
        <v>0</v>
      </c>
      <c r="V3102">
        <v>0</v>
      </c>
      <c r="W3102">
        <v>0</v>
      </c>
      <c r="X3102">
        <v>0</v>
      </c>
      <c r="Y3102">
        <v>0</v>
      </c>
      <c r="Z3102">
        <v>0</v>
      </c>
      <c r="AA3102">
        <v>0</v>
      </c>
      <c r="AB3102">
        <v>0</v>
      </c>
      <c r="AC3102">
        <v>0</v>
      </c>
      <c r="AD3102">
        <v>0</v>
      </c>
      <c r="AE3102">
        <v>0</v>
      </c>
      <c r="AF3102">
        <v>0</v>
      </c>
      <c r="AG3102">
        <v>0</v>
      </c>
      <c r="AH3102">
        <v>0</v>
      </c>
      <c r="AI3102">
        <v>0</v>
      </c>
      <c r="AJ3102">
        <v>0</v>
      </c>
      <c r="AK3102">
        <v>0</v>
      </c>
      <c r="AL3102">
        <v>0</v>
      </c>
      <c r="AM3102">
        <v>0</v>
      </c>
      <c r="AN3102">
        <v>0</v>
      </c>
      <c r="AO3102">
        <v>0</v>
      </c>
      <c r="AP3102">
        <v>0</v>
      </c>
      <c r="AQ3102">
        <v>21.38</v>
      </c>
      <c r="AR3102">
        <v>0</v>
      </c>
      <c r="AS3102">
        <v>0</v>
      </c>
      <c r="AT3102">
        <v>0</v>
      </c>
      <c r="AU3102">
        <v>0</v>
      </c>
      <c r="AV3102">
        <v>0</v>
      </c>
      <c r="AW3102">
        <v>0</v>
      </c>
      <c r="AX3102">
        <v>0</v>
      </c>
      <c r="AY3102">
        <v>0</v>
      </c>
      <c r="AZ3102">
        <v>0</v>
      </c>
      <c r="BA3102">
        <v>0</v>
      </c>
      <c r="BB3102">
        <v>0</v>
      </c>
      <c r="BC3102">
        <v>0</v>
      </c>
      <c r="BD3102">
        <v>0</v>
      </c>
      <c r="BE3102">
        <v>0</v>
      </c>
      <c r="BF3102">
        <v>0</v>
      </c>
      <c r="BG3102">
        <v>0</v>
      </c>
      <c r="BH3102">
        <v>1</v>
      </c>
      <c r="BI3102">
        <v>1</v>
      </c>
      <c r="BJ3102">
        <v>1.7</v>
      </c>
      <c r="BK3102">
        <v>2</v>
      </c>
      <c r="BL3102">
        <v>69.98</v>
      </c>
      <c r="BM3102">
        <v>10.5</v>
      </c>
      <c r="BN3102">
        <v>80.48</v>
      </c>
      <c r="BO3102">
        <v>80.48</v>
      </c>
      <c r="BQ3102" t="s">
        <v>666</v>
      </c>
      <c r="BR3102" t="s">
        <v>84</v>
      </c>
      <c r="BS3102" s="3">
        <v>45803</v>
      </c>
      <c r="BT3102" s="4">
        <v>0.40694444444444444</v>
      </c>
      <c r="BU3102" t="s">
        <v>667</v>
      </c>
      <c r="BV3102" t="s">
        <v>86</v>
      </c>
      <c r="BY3102">
        <v>8512</v>
      </c>
      <c r="CA3102" t="s">
        <v>668</v>
      </c>
      <c r="CC3102" t="s">
        <v>131</v>
      </c>
      <c r="CD3102">
        <v>7535</v>
      </c>
      <c r="CE3102" t="s">
        <v>176</v>
      </c>
      <c r="CF3102" s="3">
        <v>45804</v>
      </c>
      <c r="CI3102">
        <v>1</v>
      </c>
      <c r="CJ3102">
        <v>1</v>
      </c>
      <c r="CK3102">
        <v>21</v>
      </c>
      <c r="CL3102" t="s">
        <v>89</v>
      </c>
    </row>
    <row r="3103" spans="1:90" x14ac:dyDescent="0.3">
      <c r="A3103" t="s">
        <v>72</v>
      </c>
      <c r="B3103" t="s">
        <v>73</v>
      </c>
      <c r="C3103" t="s">
        <v>74</v>
      </c>
      <c r="E3103" t="str">
        <f>"080065529459"</f>
        <v>080065529459</v>
      </c>
      <c r="F3103" s="3">
        <v>45800</v>
      </c>
      <c r="G3103">
        <v>202602</v>
      </c>
      <c r="H3103" t="s">
        <v>75</v>
      </c>
      <c r="I3103" t="s">
        <v>76</v>
      </c>
      <c r="J3103" t="s">
        <v>77</v>
      </c>
      <c r="K3103" t="s">
        <v>78</v>
      </c>
      <c r="L3103" t="s">
        <v>130</v>
      </c>
      <c r="M3103" t="s">
        <v>131</v>
      </c>
      <c r="N3103" t="s">
        <v>3057</v>
      </c>
      <c r="O3103" t="s">
        <v>82</v>
      </c>
      <c r="P3103" t="str">
        <f>"4170040311                    "</f>
        <v xml:space="preserve">4170040311                    </v>
      </c>
      <c r="Q3103">
        <v>0</v>
      </c>
      <c r="R3103">
        <v>0</v>
      </c>
      <c r="S3103">
        <v>0</v>
      </c>
      <c r="T3103">
        <v>0</v>
      </c>
      <c r="U3103">
        <v>0</v>
      </c>
      <c r="V3103">
        <v>0</v>
      </c>
      <c r="W3103">
        <v>0</v>
      </c>
      <c r="X3103">
        <v>0</v>
      </c>
      <c r="Y3103">
        <v>0</v>
      </c>
      <c r="Z3103">
        <v>0</v>
      </c>
      <c r="AA3103">
        <v>0</v>
      </c>
      <c r="AB3103">
        <v>0</v>
      </c>
      <c r="AC3103">
        <v>0</v>
      </c>
      <c r="AD3103">
        <v>0</v>
      </c>
      <c r="AE3103">
        <v>0</v>
      </c>
      <c r="AF3103">
        <v>0</v>
      </c>
      <c r="AG3103">
        <v>0</v>
      </c>
      <c r="AH3103">
        <v>0</v>
      </c>
      <c r="AI3103">
        <v>0</v>
      </c>
      <c r="AJ3103">
        <v>0</v>
      </c>
      <c r="AK3103">
        <v>0</v>
      </c>
      <c r="AL3103">
        <v>0</v>
      </c>
      <c r="AM3103">
        <v>0</v>
      </c>
      <c r="AN3103">
        <v>0</v>
      </c>
      <c r="AO3103">
        <v>0</v>
      </c>
      <c r="AP3103">
        <v>0</v>
      </c>
      <c r="AQ3103">
        <v>21.38</v>
      </c>
      <c r="AR3103">
        <v>0</v>
      </c>
      <c r="AS3103">
        <v>0</v>
      </c>
      <c r="AT3103">
        <v>0</v>
      </c>
      <c r="AU3103">
        <v>0</v>
      </c>
      <c r="AV3103">
        <v>0</v>
      </c>
      <c r="AW3103">
        <v>0</v>
      </c>
      <c r="AX3103">
        <v>0</v>
      </c>
      <c r="AY3103">
        <v>0</v>
      </c>
      <c r="AZ3103">
        <v>0</v>
      </c>
      <c r="BA3103">
        <v>0</v>
      </c>
      <c r="BB3103">
        <v>0</v>
      </c>
      <c r="BC3103">
        <v>0</v>
      </c>
      <c r="BD3103">
        <v>0</v>
      </c>
      <c r="BE3103">
        <v>0</v>
      </c>
      <c r="BF3103">
        <v>0</v>
      </c>
      <c r="BG3103">
        <v>0</v>
      </c>
      <c r="BH3103">
        <v>1</v>
      </c>
      <c r="BI3103">
        <v>1</v>
      </c>
      <c r="BJ3103">
        <v>0.2</v>
      </c>
      <c r="BK3103">
        <v>1</v>
      </c>
      <c r="BL3103">
        <v>69.98</v>
      </c>
      <c r="BM3103">
        <v>10.5</v>
      </c>
      <c r="BN3103">
        <v>80.48</v>
      </c>
      <c r="BO3103">
        <v>80.48</v>
      </c>
      <c r="BQ3103" t="s">
        <v>3058</v>
      </c>
      <c r="BR3103" t="s">
        <v>84</v>
      </c>
      <c r="BS3103" s="3">
        <v>45803</v>
      </c>
      <c r="BT3103" s="4">
        <v>0.41597222222222224</v>
      </c>
      <c r="BU3103" t="s">
        <v>3059</v>
      </c>
      <c r="BV3103" t="s">
        <v>86</v>
      </c>
      <c r="BY3103">
        <v>1200</v>
      </c>
      <c r="CA3103" t="s">
        <v>1416</v>
      </c>
      <c r="CC3103" t="s">
        <v>131</v>
      </c>
      <c r="CD3103">
        <v>7925</v>
      </c>
      <c r="CE3103" t="s">
        <v>176</v>
      </c>
      <c r="CF3103" s="3">
        <v>45804</v>
      </c>
      <c r="CI3103">
        <v>1</v>
      </c>
      <c r="CJ3103">
        <v>1</v>
      </c>
      <c r="CK3103">
        <v>21</v>
      </c>
      <c r="CL3103" t="s">
        <v>89</v>
      </c>
    </row>
    <row r="3104" spans="1:90" x14ac:dyDescent="0.3">
      <c r="A3104" t="s">
        <v>72</v>
      </c>
      <c r="B3104" t="s">
        <v>73</v>
      </c>
      <c r="C3104" t="s">
        <v>74</v>
      </c>
      <c r="E3104" t="str">
        <f>"080065529468"</f>
        <v>080065529468</v>
      </c>
      <c r="F3104" s="3">
        <v>45800</v>
      </c>
      <c r="G3104">
        <v>202602</v>
      </c>
      <c r="H3104" t="s">
        <v>75</v>
      </c>
      <c r="I3104" t="s">
        <v>76</v>
      </c>
      <c r="J3104" t="s">
        <v>77</v>
      </c>
      <c r="K3104" t="s">
        <v>78</v>
      </c>
      <c r="L3104" t="s">
        <v>103</v>
      </c>
      <c r="M3104" t="s">
        <v>104</v>
      </c>
      <c r="N3104" t="s">
        <v>437</v>
      </c>
      <c r="O3104" t="s">
        <v>82</v>
      </c>
      <c r="P3104" t="str">
        <f>"4170040346                    "</f>
        <v xml:space="preserve">4170040346                    </v>
      </c>
      <c r="Q3104">
        <v>0</v>
      </c>
      <c r="R3104">
        <v>0</v>
      </c>
      <c r="S3104">
        <v>0</v>
      </c>
      <c r="T3104">
        <v>0</v>
      </c>
      <c r="U3104">
        <v>0</v>
      </c>
      <c r="V3104">
        <v>0</v>
      </c>
      <c r="W3104">
        <v>0</v>
      </c>
      <c r="X3104">
        <v>0</v>
      </c>
      <c r="Y3104">
        <v>0</v>
      </c>
      <c r="Z3104">
        <v>0</v>
      </c>
      <c r="AA3104">
        <v>0</v>
      </c>
      <c r="AB3104">
        <v>0</v>
      </c>
      <c r="AC3104">
        <v>0</v>
      </c>
      <c r="AD3104">
        <v>0</v>
      </c>
      <c r="AE3104">
        <v>0</v>
      </c>
      <c r="AF3104">
        <v>0</v>
      </c>
      <c r="AG3104">
        <v>0</v>
      </c>
      <c r="AH3104">
        <v>0</v>
      </c>
      <c r="AI3104">
        <v>0</v>
      </c>
      <c r="AJ3104">
        <v>0</v>
      </c>
      <c r="AK3104">
        <v>0</v>
      </c>
      <c r="AL3104">
        <v>0</v>
      </c>
      <c r="AM3104">
        <v>0</v>
      </c>
      <c r="AN3104">
        <v>0</v>
      </c>
      <c r="AO3104">
        <v>0</v>
      </c>
      <c r="AP3104">
        <v>0</v>
      </c>
      <c r="AQ3104">
        <v>42.75</v>
      </c>
      <c r="AR3104">
        <v>0</v>
      </c>
      <c r="AS3104">
        <v>0</v>
      </c>
      <c r="AT3104">
        <v>0</v>
      </c>
      <c r="AU3104">
        <v>0</v>
      </c>
      <c r="AV3104">
        <v>0</v>
      </c>
      <c r="AW3104">
        <v>0</v>
      </c>
      <c r="AX3104">
        <v>0</v>
      </c>
      <c r="AY3104">
        <v>0</v>
      </c>
      <c r="AZ3104">
        <v>0</v>
      </c>
      <c r="BA3104">
        <v>0</v>
      </c>
      <c r="BB3104">
        <v>0</v>
      </c>
      <c r="BC3104">
        <v>0</v>
      </c>
      <c r="BD3104">
        <v>0</v>
      </c>
      <c r="BE3104">
        <v>0</v>
      </c>
      <c r="BF3104">
        <v>0</v>
      </c>
      <c r="BG3104">
        <v>0</v>
      </c>
      <c r="BH3104">
        <v>1</v>
      </c>
      <c r="BI3104">
        <v>4</v>
      </c>
      <c r="BJ3104">
        <v>1.7</v>
      </c>
      <c r="BK3104">
        <v>4</v>
      </c>
      <c r="BL3104">
        <v>139.91</v>
      </c>
      <c r="BM3104">
        <v>20.99</v>
      </c>
      <c r="BN3104">
        <v>160.9</v>
      </c>
      <c r="BO3104">
        <v>160.9</v>
      </c>
      <c r="BQ3104" t="s">
        <v>438</v>
      </c>
      <c r="BR3104" t="s">
        <v>84</v>
      </c>
      <c r="BS3104" s="3">
        <v>45803</v>
      </c>
      <c r="BT3104" s="4">
        <v>0.41666666666666669</v>
      </c>
      <c r="BU3104" t="s">
        <v>3060</v>
      </c>
      <c r="BV3104" t="s">
        <v>86</v>
      </c>
      <c r="BY3104">
        <v>8512</v>
      </c>
      <c r="CA3104" t="s">
        <v>440</v>
      </c>
      <c r="CC3104" t="s">
        <v>104</v>
      </c>
      <c r="CD3104">
        <v>3212</v>
      </c>
      <c r="CE3104" t="s">
        <v>176</v>
      </c>
      <c r="CF3104" s="3">
        <v>45803</v>
      </c>
      <c r="CI3104">
        <v>2</v>
      </c>
      <c r="CJ3104">
        <v>1</v>
      </c>
      <c r="CK3104">
        <v>21</v>
      </c>
      <c r="CL3104" t="s">
        <v>89</v>
      </c>
    </row>
    <row r="3105" spans="1:90" x14ac:dyDescent="0.3">
      <c r="A3105" t="s">
        <v>72</v>
      </c>
      <c r="B3105" t="s">
        <v>73</v>
      </c>
      <c r="C3105" t="s">
        <v>74</v>
      </c>
      <c r="E3105" t="str">
        <f>"080065529477"</f>
        <v>080065529477</v>
      </c>
      <c r="F3105" s="3">
        <v>45800</v>
      </c>
      <c r="G3105">
        <v>202602</v>
      </c>
      <c r="H3105" t="s">
        <v>75</v>
      </c>
      <c r="I3105" t="s">
        <v>76</v>
      </c>
      <c r="J3105" t="s">
        <v>77</v>
      </c>
      <c r="K3105" t="s">
        <v>78</v>
      </c>
      <c r="L3105" t="s">
        <v>360</v>
      </c>
      <c r="M3105" t="s">
        <v>361</v>
      </c>
      <c r="N3105" t="s">
        <v>362</v>
      </c>
      <c r="O3105" t="s">
        <v>82</v>
      </c>
      <c r="P3105" t="str">
        <f>"4170040429                    "</f>
        <v xml:space="preserve">4170040429                    </v>
      </c>
      <c r="Q3105">
        <v>0</v>
      </c>
      <c r="R3105">
        <v>0</v>
      </c>
      <c r="S3105">
        <v>0</v>
      </c>
      <c r="T3105">
        <v>0</v>
      </c>
      <c r="U3105">
        <v>0</v>
      </c>
      <c r="V3105">
        <v>0</v>
      </c>
      <c r="W3105">
        <v>0</v>
      </c>
      <c r="X3105">
        <v>0</v>
      </c>
      <c r="Y3105">
        <v>0</v>
      </c>
      <c r="Z3105">
        <v>0</v>
      </c>
      <c r="AA3105">
        <v>0</v>
      </c>
      <c r="AB3105">
        <v>0</v>
      </c>
      <c r="AC3105">
        <v>0</v>
      </c>
      <c r="AD3105">
        <v>0</v>
      </c>
      <c r="AE3105">
        <v>0</v>
      </c>
      <c r="AF3105">
        <v>0</v>
      </c>
      <c r="AG3105">
        <v>0</v>
      </c>
      <c r="AH3105">
        <v>0</v>
      </c>
      <c r="AI3105">
        <v>0</v>
      </c>
      <c r="AJ3105">
        <v>0</v>
      </c>
      <c r="AK3105">
        <v>0</v>
      </c>
      <c r="AL3105">
        <v>0</v>
      </c>
      <c r="AM3105">
        <v>0</v>
      </c>
      <c r="AN3105">
        <v>0</v>
      </c>
      <c r="AO3105">
        <v>0</v>
      </c>
      <c r="AP3105">
        <v>0</v>
      </c>
      <c r="AQ3105">
        <v>41.43</v>
      </c>
      <c r="AR3105">
        <v>0</v>
      </c>
      <c r="AS3105">
        <v>0</v>
      </c>
      <c r="AT3105">
        <v>0</v>
      </c>
      <c r="AU3105">
        <v>0</v>
      </c>
      <c r="AV3105">
        <v>0</v>
      </c>
      <c r="AW3105">
        <v>0</v>
      </c>
      <c r="AX3105">
        <v>0</v>
      </c>
      <c r="AY3105">
        <v>0</v>
      </c>
      <c r="AZ3105">
        <v>0</v>
      </c>
      <c r="BA3105">
        <v>0</v>
      </c>
      <c r="BB3105">
        <v>0</v>
      </c>
      <c r="BC3105">
        <v>0</v>
      </c>
      <c r="BD3105">
        <v>0</v>
      </c>
      <c r="BE3105">
        <v>0</v>
      </c>
      <c r="BF3105">
        <v>0</v>
      </c>
      <c r="BG3105">
        <v>0</v>
      </c>
      <c r="BH3105">
        <v>1</v>
      </c>
      <c r="BI3105">
        <v>1</v>
      </c>
      <c r="BJ3105">
        <v>0.2</v>
      </c>
      <c r="BK3105">
        <v>1</v>
      </c>
      <c r="BL3105">
        <v>135.59</v>
      </c>
      <c r="BM3105">
        <v>20.34</v>
      </c>
      <c r="BN3105">
        <v>155.93</v>
      </c>
      <c r="BO3105">
        <v>155.93</v>
      </c>
      <c r="BQ3105" t="s">
        <v>363</v>
      </c>
      <c r="BR3105" t="s">
        <v>84</v>
      </c>
      <c r="BS3105" s="3">
        <v>45803</v>
      </c>
      <c r="BT3105" s="4">
        <v>0.62916666666666665</v>
      </c>
      <c r="BU3105" t="s">
        <v>1246</v>
      </c>
      <c r="BV3105" t="s">
        <v>86</v>
      </c>
      <c r="BY3105">
        <v>1200</v>
      </c>
      <c r="CA3105" t="s">
        <v>365</v>
      </c>
      <c r="CC3105" t="s">
        <v>361</v>
      </c>
      <c r="CD3105">
        <v>7299</v>
      </c>
      <c r="CE3105" t="s">
        <v>176</v>
      </c>
      <c r="CF3105" s="3">
        <v>45804</v>
      </c>
      <c r="CI3105">
        <v>1</v>
      </c>
      <c r="CJ3105">
        <v>1</v>
      </c>
      <c r="CK3105">
        <v>23</v>
      </c>
      <c r="CL3105" t="s">
        <v>89</v>
      </c>
    </row>
    <row r="3106" spans="1:90" x14ac:dyDescent="0.3">
      <c r="A3106" t="s">
        <v>72</v>
      </c>
      <c r="B3106" t="s">
        <v>73</v>
      </c>
      <c r="C3106" t="s">
        <v>74</v>
      </c>
      <c r="E3106" t="str">
        <f>"080065529488"</f>
        <v>080065529488</v>
      </c>
      <c r="F3106" s="3">
        <v>45800</v>
      </c>
      <c r="G3106">
        <v>202602</v>
      </c>
      <c r="H3106" t="s">
        <v>75</v>
      </c>
      <c r="I3106" t="s">
        <v>76</v>
      </c>
      <c r="J3106" t="s">
        <v>77</v>
      </c>
      <c r="K3106" t="s">
        <v>78</v>
      </c>
      <c r="L3106" t="s">
        <v>810</v>
      </c>
      <c r="M3106" t="s">
        <v>811</v>
      </c>
      <c r="N3106" t="s">
        <v>812</v>
      </c>
      <c r="O3106" t="s">
        <v>82</v>
      </c>
      <c r="P3106" t="str">
        <f>"4170040406                    "</f>
        <v xml:space="preserve">4170040406                    </v>
      </c>
      <c r="Q3106">
        <v>0</v>
      </c>
      <c r="R3106">
        <v>0</v>
      </c>
      <c r="S3106">
        <v>0</v>
      </c>
      <c r="T3106">
        <v>0</v>
      </c>
      <c r="U3106">
        <v>0</v>
      </c>
      <c r="V3106">
        <v>0</v>
      </c>
      <c r="W3106">
        <v>0</v>
      </c>
      <c r="X3106">
        <v>0</v>
      </c>
      <c r="Y3106">
        <v>0</v>
      </c>
      <c r="Z3106">
        <v>0</v>
      </c>
      <c r="AA3106">
        <v>0</v>
      </c>
      <c r="AB3106">
        <v>0</v>
      </c>
      <c r="AC3106">
        <v>0</v>
      </c>
      <c r="AD3106">
        <v>0</v>
      </c>
      <c r="AE3106">
        <v>0</v>
      </c>
      <c r="AF3106">
        <v>0</v>
      </c>
      <c r="AG3106">
        <v>0</v>
      </c>
      <c r="AH3106">
        <v>0</v>
      </c>
      <c r="AI3106">
        <v>0</v>
      </c>
      <c r="AJ3106">
        <v>0</v>
      </c>
      <c r="AK3106">
        <v>0</v>
      </c>
      <c r="AL3106">
        <v>0</v>
      </c>
      <c r="AM3106">
        <v>0</v>
      </c>
      <c r="AN3106">
        <v>0</v>
      </c>
      <c r="AO3106">
        <v>0</v>
      </c>
      <c r="AP3106">
        <v>0</v>
      </c>
      <c r="AQ3106">
        <v>41.43</v>
      </c>
      <c r="AR3106">
        <v>0</v>
      </c>
      <c r="AS3106">
        <v>0</v>
      </c>
      <c r="AT3106">
        <v>0</v>
      </c>
      <c r="AU3106">
        <v>0</v>
      </c>
      <c r="AV3106">
        <v>0</v>
      </c>
      <c r="AW3106">
        <v>0</v>
      </c>
      <c r="AX3106">
        <v>0</v>
      </c>
      <c r="AY3106">
        <v>0</v>
      </c>
      <c r="AZ3106">
        <v>0</v>
      </c>
      <c r="BA3106">
        <v>0</v>
      </c>
      <c r="BB3106">
        <v>0</v>
      </c>
      <c r="BC3106">
        <v>0</v>
      </c>
      <c r="BD3106">
        <v>0</v>
      </c>
      <c r="BE3106">
        <v>0</v>
      </c>
      <c r="BF3106">
        <v>0</v>
      </c>
      <c r="BG3106">
        <v>0</v>
      </c>
      <c r="BH3106">
        <v>1</v>
      </c>
      <c r="BI3106">
        <v>1</v>
      </c>
      <c r="BJ3106">
        <v>0.2</v>
      </c>
      <c r="BK3106">
        <v>1</v>
      </c>
      <c r="BL3106">
        <v>135.59</v>
      </c>
      <c r="BM3106">
        <v>20.34</v>
      </c>
      <c r="BN3106">
        <v>155.93</v>
      </c>
      <c r="BO3106">
        <v>155.93</v>
      </c>
      <c r="BQ3106" t="s">
        <v>813</v>
      </c>
      <c r="BR3106" t="s">
        <v>84</v>
      </c>
      <c r="BS3106" s="3">
        <v>45803</v>
      </c>
      <c r="BT3106" s="4">
        <v>0.35555555555555557</v>
      </c>
      <c r="BU3106" t="s">
        <v>2576</v>
      </c>
      <c r="BV3106" t="s">
        <v>86</v>
      </c>
      <c r="BY3106">
        <v>1200</v>
      </c>
      <c r="CA3106" t="s">
        <v>3061</v>
      </c>
      <c r="CC3106" t="s">
        <v>811</v>
      </c>
      <c r="CD3106">
        <v>7110</v>
      </c>
      <c r="CE3106" t="s">
        <v>88</v>
      </c>
      <c r="CF3106" s="3">
        <v>45804</v>
      </c>
      <c r="CI3106">
        <v>1</v>
      </c>
      <c r="CJ3106">
        <v>1</v>
      </c>
      <c r="CK3106">
        <v>23</v>
      </c>
      <c r="CL3106" t="s">
        <v>89</v>
      </c>
    </row>
    <row r="3107" spans="1:90" x14ac:dyDescent="0.3">
      <c r="A3107" t="s">
        <v>72</v>
      </c>
      <c r="B3107" t="s">
        <v>73</v>
      </c>
      <c r="C3107" t="s">
        <v>74</v>
      </c>
      <c r="E3107" t="str">
        <f>"080065529504"</f>
        <v>080065529504</v>
      </c>
      <c r="F3107" s="3">
        <v>45800</v>
      </c>
      <c r="G3107">
        <v>202602</v>
      </c>
      <c r="H3107" t="s">
        <v>75</v>
      </c>
      <c r="I3107" t="s">
        <v>76</v>
      </c>
      <c r="J3107" t="s">
        <v>77</v>
      </c>
      <c r="K3107" t="s">
        <v>78</v>
      </c>
      <c r="L3107" t="s">
        <v>97</v>
      </c>
      <c r="M3107" t="s">
        <v>98</v>
      </c>
      <c r="N3107" t="s">
        <v>99</v>
      </c>
      <c r="O3107" t="s">
        <v>82</v>
      </c>
      <c r="P3107" t="str">
        <f>"4170040363                    "</f>
        <v xml:space="preserve">4170040363                    </v>
      </c>
      <c r="Q3107">
        <v>0</v>
      </c>
      <c r="R3107">
        <v>0</v>
      </c>
      <c r="S3107">
        <v>0</v>
      </c>
      <c r="T3107">
        <v>0</v>
      </c>
      <c r="U3107">
        <v>0</v>
      </c>
      <c r="V3107">
        <v>0</v>
      </c>
      <c r="W3107">
        <v>0</v>
      </c>
      <c r="X3107">
        <v>0</v>
      </c>
      <c r="Y3107">
        <v>0</v>
      </c>
      <c r="Z3107">
        <v>0</v>
      </c>
      <c r="AA3107">
        <v>0</v>
      </c>
      <c r="AB3107">
        <v>0</v>
      </c>
      <c r="AC3107">
        <v>0</v>
      </c>
      <c r="AD3107">
        <v>0</v>
      </c>
      <c r="AE3107">
        <v>0</v>
      </c>
      <c r="AF3107">
        <v>0</v>
      </c>
      <c r="AG3107">
        <v>0</v>
      </c>
      <c r="AH3107">
        <v>0</v>
      </c>
      <c r="AI3107">
        <v>0</v>
      </c>
      <c r="AJ3107">
        <v>0</v>
      </c>
      <c r="AK3107">
        <v>0</v>
      </c>
      <c r="AL3107">
        <v>0</v>
      </c>
      <c r="AM3107">
        <v>0</v>
      </c>
      <c r="AN3107">
        <v>0</v>
      </c>
      <c r="AO3107">
        <v>0</v>
      </c>
      <c r="AP3107">
        <v>0</v>
      </c>
      <c r="AQ3107">
        <v>16.7</v>
      </c>
      <c r="AR3107">
        <v>0</v>
      </c>
      <c r="AS3107">
        <v>0</v>
      </c>
      <c r="AT3107">
        <v>0</v>
      </c>
      <c r="AU3107">
        <v>0</v>
      </c>
      <c r="AV3107">
        <v>0</v>
      </c>
      <c r="AW3107">
        <v>0</v>
      </c>
      <c r="AX3107">
        <v>0</v>
      </c>
      <c r="AY3107">
        <v>0</v>
      </c>
      <c r="AZ3107">
        <v>0</v>
      </c>
      <c r="BA3107">
        <v>0</v>
      </c>
      <c r="BB3107">
        <v>0</v>
      </c>
      <c r="BC3107">
        <v>0</v>
      </c>
      <c r="BD3107">
        <v>0</v>
      </c>
      <c r="BE3107">
        <v>0</v>
      </c>
      <c r="BF3107">
        <v>0</v>
      </c>
      <c r="BG3107">
        <v>0</v>
      </c>
      <c r="BH3107">
        <v>1</v>
      </c>
      <c r="BI3107">
        <v>1</v>
      </c>
      <c r="BJ3107">
        <v>1.4</v>
      </c>
      <c r="BK3107">
        <v>2</v>
      </c>
      <c r="BL3107">
        <v>54.66</v>
      </c>
      <c r="BM3107">
        <v>8.1999999999999993</v>
      </c>
      <c r="BN3107">
        <v>62.86</v>
      </c>
      <c r="BO3107">
        <v>62.86</v>
      </c>
      <c r="BQ3107" t="s">
        <v>100</v>
      </c>
      <c r="BR3107" t="s">
        <v>84</v>
      </c>
      <c r="BS3107" s="3">
        <v>45803</v>
      </c>
      <c r="BT3107" s="4">
        <v>0.33263888888888887</v>
      </c>
      <c r="BU3107" t="s">
        <v>3032</v>
      </c>
      <c r="BV3107" t="s">
        <v>86</v>
      </c>
      <c r="BY3107">
        <v>7000</v>
      </c>
      <c r="CA3107" t="s">
        <v>102</v>
      </c>
      <c r="CC3107" t="s">
        <v>98</v>
      </c>
      <c r="CD3107">
        <v>1459</v>
      </c>
      <c r="CE3107" t="s">
        <v>96</v>
      </c>
      <c r="CF3107" s="3">
        <v>45804</v>
      </c>
      <c r="CI3107">
        <v>1</v>
      </c>
      <c r="CJ3107">
        <v>1</v>
      </c>
      <c r="CK3107">
        <v>22</v>
      </c>
      <c r="CL3107" t="s">
        <v>89</v>
      </c>
    </row>
    <row r="3108" spans="1:90" x14ac:dyDescent="0.3">
      <c r="A3108" t="s">
        <v>72</v>
      </c>
      <c r="B3108" t="s">
        <v>73</v>
      </c>
      <c r="C3108" t="s">
        <v>74</v>
      </c>
      <c r="E3108" t="str">
        <f>"080065529511"</f>
        <v>080065529511</v>
      </c>
      <c r="F3108" s="3">
        <v>45800</v>
      </c>
      <c r="G3108">
        <v>202602</v>
      </c>
      <c r="H3108" t="s">
        <v>75</v>
      </c>
      <c r="I3108" t="s">
        <v>76</v>
      </c>
      <c r="J3108" t="s">
        <v>77</v>
      </c>
      <c r="K3108" t="s">
        <v>78</v>
      </c>
      <c r="L3108" t="s">
        <v>1885</v>
      </c>
      <c r="M3108" t="s">
        <v>1886</v>
      </c>
      <c r="N3108" t="s">
        <v>1887</v>
      </c>
      <c r="O3108" t="s">
        <v>82</v>
      </c>
      <c r="P3108" t="str">
        <f>"4170040323                    "</f>
        <v xml:space="preserve">4170040323                    </v>
      </c>
      <c r="Q3108">
        <v>0</v>
      </c>
      <c r="R3108">
        <v>0</v>
      </c>
      <c r="S3108">
        <v>0</v>
      </c>
      <c r="T3108">
        <v>0</v>
      </c>
      <c r="U3108">
        <v>0</v>
      </c>
      <c r="V3108">
        <v>0</v>
      </c>
      <c r="W3108">
        <v>0</v>
      </c>
      <c r="X3108">
        <v>0</v>
      </c>
      <c r="Y3108">
        <v>0</v>
      </c>
      <c r="Z3108">
        <v>0</v>
      </c>
      <c r="AA3108">
        <v>0</v>
      </c>
      <c r="AB3108">
        <v>0</v>
      </c>
      <c r="AC3108">
        <v>0</v>
      </c>
      <c r="AD3108">
        <v>0</v>
      </c>
      <c r="AE3108">
        <v>0</v>
      </c>
      <c r="AF3108">
        <v>0</v>
      </c>
      <c r="AG3108">
        <v>0</v>
      </c>
      <c r="AH3108">
        <v>0</v>
      </c>
      <c r="AI3108">
        <v>0</v>
      </c>
      <c r="AJ3108">
        <v>0</v>
      </c>
      <c r="AK3108">
        <v>0</v>
      </c>
      <c r="AL3108">
        <v>0</v>
      </c>
      <c r="AM3108">
        <v>0</v>
      </c>
      <c r="AN3108">
        <v>0</v>
      </c>
      <c r="AO3108">
        <v>0</v>
      </c>
      <c r="AP3108">
        <v>0</v>
      </c>
      <c r="AQ3108">
        <v>41.43</v>
      </c>
      <c r="AR3108">
        <v>0</v>
      </c>
      <c r="AS3108">
        <v>0</v>
      </c>
      <c r="AT3108">
        <v>0</v>
      </c>
      <c r="AU3108">
        <v>0</v>
      </c>
      <c r="AV3108">
        <v>0</v>
      </c>
      <c r="AW3108">
        <v>0</v>
      </c>
      <c r="AX3108">
        <v>0</v>
      </c>
      <c r="AY3108">
        <v>0</v>
      </c>
      <c r="AZ3108">
        <v>0</v>
      </c>
      <c r="BA3108">
        <v>0</v>
      </c>
      <c r="BB3108">
        <v>0</v>
      </c>
      <c r="BC3108">
        <v>0</v>
      </c>
      <c r="BD3108">
        <v>0</v>
      </c>
      <c r="BE3108">
        <v>0</v>
      </c>
      <c r="BF3108">
        <v>0</v>
      </c>
      <c r="BG3108">
        <v>0</v>
      </c>
      <c r="BH3108">
        <v>1</v>
      </c>
      <c r="BI3108">
        <v>1</v>
      </c>
      <c r="BJ3108">
        <v>0.2</v>
      </c>
      <c r="BK3108">
        <v>1</v>
      </c>
      <c r="BL3108">
        <v>135.59</v>
      </c>
      <c r="BM3108">
        <v>20.34</v>
      </c>
      <c r="BN3108">
        <v>155.93</v>
      </c>
      <c r="BO3108">
        <v>155.93</v>
      </c>
      <c r="BQ3108" t="s">
        <v>1888</v>
      </c>
      <c r="BR3108" t="s">
        <v>84</v>
      </c>
      <c r="BS3108" s="3">
        <v>45803</v>
      </c>
      <c r="BT3108" s="4">
        <v>0.41666666666666669</v>
      </c>
      <c r="BU3108" t="s">
        <v>3062</v>
      </c>
      <c r="BV3108" t="s">
        <v>86</v>
      </c>
      <c r="BY3108">
        <v>1200</v>
      </c>
      <c r="CA3108" t="s">
        <v>3063</v>
      </c>
      <c r="CC3108" t="s">
        <v>1886</v>
      </c>
      <c r="CD3108">
        <v>3310</v>
      </c>
      <c r="CE3108" t="s">
        <v>88</v>
      </c>
      <c r="CF3108" s="3">
        <v>45803</v>
      </c>
      <c r="CI3108">
        <v>1</v>
      </c>
      <c r="CJ3108">
        <v>1</v>
      </c>
      <c r="CK3108">
        <v>23</v>
      </c>
      <c r="CL3108" t="s">
        <v>89</v>
      </c>
    </row>
    <row r="3109" spans="1:90" x14ac:dyDescent="0.3">
      <c r="A3109" t="s">
        <v>72</v>
      </c>
      <c r="B3109" t="s">
        <v>73</v>
      </c>
      <c r="C3109" t="s">
        <v>74</v>
      </c>
      <c r="E3109" t="str">
        <f>"080065529531"</f>
        <v>080065529531</v>
      </c>
      <c r="F3109" s="3">
        <v>45800</v>
      </c>
      <c r="G3109">
        <v>202602</v>
      </c>
      <c r="H3109" t="s">
        <v>75</v>
      </c>
      <c r="I3109" t="s">
        <v>76</v>
      </c>
      <c r="J3109" t="s">
        <v>77</v>
      </c>
      <c r="K3109" t="s">
        <v>78</v>
      </c>
      <c r="L3109" t="s">
        <v>463</v>
      </c>
      <c r="M3109" t="s">
        <v>464</v>
      </c>
      <c r="N3109" t="s">
        <v>585</v>
      </c>
      <c r="O3109" t="s">
        <v>82</v>
      </c>
      <c r="P3109" t="str">
        <f>"4170040353                    "</f>
        <v xml:space="preserve">4170040353                    </v>
      </c>
      <c r="Q3109">
        <v>0</v>
      </c>
      <c r="R3109">
        <v>0</v>
      </c>
      <c r="S3109">
        <v>0</v>
      </c>
      <c r="T3109">
        <v>0</v>
      </c>
      <c r="U3109">
        <v>0</v>
      </c>
      <c r="V3109">
        <v>0</v>
      </c>
      <c r="W3109">
        <v>0</v>
      </c>
      <c r="X3109">
        <v>0</v>
      </c>
      <c r="Y3109">
        <v>0</v>
      </c>
      <c r="Z3109">
        <v>0</v>
      </c>
      <c r="AA3109">
        <v>0</v>
      </c>
      <c r="AB3109">
        <v>0</v>
      </c>
      <c r="AC3109">
        <v>0</v>
      </c>
      <c r="AD3109">
        <v>0</v>
      </c>
      <c r="AE3109">
        <v>0</v>
      </c>
      <c r="AF3109">
        <v>0</v>
      </c>
      <c r="AG3109">
        <v>0</v>
      </c>
      <c r="AH3109">
        <v>0</v>
      </c>
      <c r="AI3109">
        <v>0</v>
      </c>
      <c r="AJ3109">
        <v>0</v>
      </c>
      <c r="AK3109">
        <v>0</v>
      </c>
      <c r="AL3109">
        <v>0</v>
      </c>
      <c r="AM3109">
        <v>0</v>
      </c>
      <c r="AN3109">
        <v>0</v>
      </c>
      <c r="AO3109">
        <v>0</v>
      </c>
      <c r="AP3109">
        <v>0</v>
      </c>
      <c r="AQ3109">
        <v>37.409999999999997</v>
      </c>
      <c r="AR3109">
        <v>0</v>
      </c>
      <c r="AS3109">
        <v>0</v>
      </c>
      <c r="AT3109">
        <v>0</v>
      </c>
      <c r="AU3109">
        <v>0</v>
      </c>
      <c r="AV3109">
        <v>0</v>
      </c>
      <c r="AW3109">
        <v>0</v>
      </c>
      <c r="AX3109">
        <v>0</v>
      </c>
      <c r="AY3109">
        <v>0</v>
      </c>
      <c r="AZ3109">
        <v>0</v>
      </c>
      <c r="BA3109">
        <v>0</v>
      </c>
      <c r="BB3109">
        <v>0</v>
      </c>
      <c r="BC3109">
        <v>0</v>
      </c>
      <c r="BD3109">
        <v>0</v>
      </c>
      <c r="BE3109">
        <v>0</v>
      </c>
      <c r="BF3109">
        <v>0</v>
      </c>
      <c r="BG3109">
        <v>0</v>
      </c>
      <c r="BH3109">
        <v>1</v>
      </c>
      <c r="BI3109">
        <v>1</v>
      </c>
      <c r="BJ3109">
        <v>3.4</v>
      </c>
      <c r="BK3109">
        <v>3.5</v>
      </c>
      <c r="BL3109">
        <v>122.43</v>
      </c>
      <c r="BM3109">
        <v>18.36</v>
      </c>
      <c r="BN3109">
        <v>140.79</v>
      </c>
      <c r="BO3109">
        <v>140.79</v>
      </c>
      <c r="BQ3109" t="s">
        <v>586</v>
      </c>
      <c r="BR3109" t="s">
        <v>84</v>
      </c>
      <c r="BS3109" s="3">
        <v>45803</v>
      </c>
      <c r="BT3109" s="4">
        <v>0.33611111111111114</v>
      </c>
      <c r="BU3109" t="s">
        <v>1300</v>
      </c>
      <c r="BV3109" t="s">
        <v>86</v>
      </c>
      <c r="BY3109">
        <v>16965</v>
      </c>
      <c r="CA3109" t="s">
        <v>588</v>
      </c>
      <c r="CC3109" t="s">
        <v>464</v>
      </c>
      <c r="CD3109">
        <v>5201</v>
      </c>
      <c r="CE3109" t="s">
        <v>96</v>
      </c>
      <c r="CF3109" s="3">
        <v>45804</v>
      </c>
      <c r="CI3109">
        <v>1</v>
      </c>
      <c r="CJ3109">
        <v>1</v>
      </c>
      <c r="CK3109">
        <v>21</v>
      </c>
      <c r="CL3109" t="s">
        <v>89</v>
      </c>
    </row>
    <row r="3110" spans="1:90" x14ac:dyDescent="0.3">
      <c r="A3110" t="s">
        <v>72</v>
      </c>
      <c r="B3110" t="s">
        <v>73</v>
      </c>
      <c r="C3110" t="s">
        <v>74</v>
      </c>
      <c r="E3110" t="str">
        <f>"080065529579"</f>
        <v>080065529579</v>
      </c>
      <c r="F3110" s="3">
        <v>45800</v>
      </c>
      <c r="G3110">
        <v>202602</v>
      </c>
      <c r="H3110" t="s">
        <v>75</v>
      </c>
      <c r="I3110" t="s">
        <v>76</v>
      </c>
      <c r="J3110" t="s">
        <v>77</v>
      </c>
      <c r="K3110" t="s">
        <v>78</v>
      </c>
      <c r="L3110" t="s">
        <v>177</v>
      </c>
      <c r="M3110" t="s">
        <v>178</v>
      </c>
      <c r="N3110" t="s">
        <v>2408</v>
      </c>
      <c r="O3110" t="s">
        <v>82</v>
      </c>
      <c r="P3110" t="str">
        <f>"4170040284                    "</f>
        <v xml:space="preserve">4170040284                    </v>
      </c>
      <c r="Q3110">
        <v>0</v>
      </c>
      <c r="R3110">
        <v>0</v>
      </c>
      <c r="S3110">
        <v>0</v>
      </c>
      <c r="T3110">
        <v>0</v>
      </c>
      <c r="U3110">
        <v>0</v>
      </c>
      <c r="V3110">
        <v>0</v>
      </c>
      <c r="W3110">
        <v>0</v>
      </c>
      <c r="X3110">
        <v>0</v>
      </c>
      <c r="Y3110">
        <v>0</v>
      </c>
      <c r="Z3110">
        <v>0</v>
      </c>
      <c r="AA3110">
        <v>0</v>
      </c>
      <c r="AB3110">
        <v>0</v>
      </c>
      <c r="AC3110">
        <v>0</v>
      </c>
      <c r="AD3110">
        <v>0</v>
      </c>
      <c r="AE3110">
        <v>0</v>
      </c>
      <c r="AF3110">
        <v>0</v>
      </c>
      <c r="AG3110">
        <v>0</v>
      </c>
      <c r="AH3110">
        <v>0</v>
      </c>
      <c r="AI3110">
        <v>0</v>
      </c>
      <c r="AJ3110">
        <v>0</v>
      </c>
      <c r="AK3110">
        <v>0</v>
      </c>
      <c r="AL3110">
        <v>0</v>
      </c>
      <c r="AM3110">
        <v>0</v>
      </c>
      <c r="AN3110">
        <v>0</v>
      </c>
      <c r="AO3110">
        <v>0</v>
      </c>
      <c r="AP3110">
        <v>0</v>
      </c>
      <c r="AQ3110">
        <v>53.43</v>
      </c>
      <c r="AR3110">
        <v>0</v>
      </c>
      <c r="AS3110">
        <v>0</v>
      </c>
      <c r="AT3110">
        <v>0</v>
      </c>
      <c r="AU3110">
        <v>0</v>
      </c>
      <c r="AV3110">
        <v>0</v>
      </c>
      <c r="AW3110">
        <v>0</v>
      </c>
      <c r="AX3110">
        <v>0</v>
      </c>
      <c r="AY3110">
        <v>0</v>
      </c>
      <c r="AZ3110">
        <v>0</v>
      </c>
      <c r="BA3110">
        <v>0</v>
      </c>
      <c r="BB3110">
        <v>0</v>
      </c>
      <c r="BC3110">
        <v>0</v>
      </c>
      <c r="BD3110">
        <v>0</v>
      </c>
      <c r="BE3110">
        <v>0</v>
      </c>
      <c r="BF3110">
        <v>0</v>
      </c>
      <c r="BG3110">
        <v>0</v>
      </c>
      <c r="BH3110">
        <v>1</v>
      </c>
      <c r="BI3110">
        <v>5</v>
      </c>
      <c r="BJ3110">
        <v>3.4</v>
      </c>
      <c r="BK3110">
        <v>5</v>
      </c>
      <c r="BL3110">
        <v>174.87</v>
      </c>
      <c r="BM3110">
        <v>26.23</v>
      </c>
      <c r="BN3110">
        <v>201.1</v>
      </c>
      <c r="BO3110">
        <v>201.1</v>
      </c>
      <c r="BQ3110" t="s">
        <v>2409</v>
      </c>
      <c r="BR3110" t="s">
        <v>84</v>
      </c>
      <c r="BS3110" s="3">
        <v>45803</v>
      </c>
      <c r="BT3110" s="4">
        <v>0.34722222222222221</v>
      </c>
      <c r="BU3110" t="s">
        <v>3064</v>
      </c>
      <c r="BV3110" t="s">
        <v>86</v>
      </c>
      <c r="BY3110">
        <v>16965</v>
      </c>
      <c r="CA3110" t="s">
        <v>182</v>
      </c>
      <c r="CC3110" t="s">
        <v>178</v>
      </c>
      <c r="CD3110">
        <v>6229</v>
      </c>
      <c r="CE3110" t="s">
        <v>96</v>
      </c>
      <c r="CF3110" s="3">
        <v>45803</v>
      </c>
      <c r="CI3110">
        <v>1</v>
      </c>
      <c r="CJ3110">
        <v>1</v>
      </c>
      <c r="CK3110">
        <v>21</v>
      </c>
      <c r="CL3110" t="s">
        <v>89</v>
      </c>
    </row>
    <row r="3111" spans="1:90" x14ac:dyDescent="0.3">
      <c r="A3111" t="s">
        <v>72</v>
      </c>
      <c r="B3111" t="s">
        <v>73</v>
      </c>
      <c r="C3111" t="s">
        <v>74</v>
      </c>
      <c r="E3111" t="str">
        <f>"080065529601"</f>
        <v>080065529601</v>
      </c>
      <c r="F3111" s="3">
        <v>45800</v>
      </c>
      <c r="G3111">
        <v>202602</v>
      </c>
      <c r="H3111" t="s">
        <v>75</v>
      </c>
      <c r="I3111" t="s">
        <v>76</v>
      </c>
      <c r="J3111" t="s">
        <v>77</v>
      </c>
      <c r="K3111" t="s">
        <v>78</v>
      </c>
      <c r="L3111" t="s">
        <v>79</v>
      </c>
      <c r="M3111" t="s">
        <v>80</v>
      </c>
      <c r="N3111" t="s">
        <v>862</v>
      </c>
      <c r="O3111" t="s">
        <v>82</v>
      </c>
      <c r="P3111" t="str">
        <f>"4170040287                    "</f>
        <v xml:space="preserve">4170040287                    </v>
      </c>
      <c r="Q3111">
        <v>0</v>
      </c>
      <c r="R3111">
        <v>0</v>
      </c>
      <c r="S3111">
        <v>0</v>
      </c>
      <c r="T3111">
        <v>0</v>
      </c>
      <c r="U3111">
        <v>0</v>
      </c>
      <c r="V3111">
        <v>0</v>
      </c>
      <c r="W3111">
        <v>0</v>
      </c>
      <c r="X3111">
        <v>0</v>
      </c>
      <c r="Y3111">
        <v>0</v>
      </c>
      <c r="Z3111">
        <v>0</v>
      </c>
      <c r="AA3111">
        <v>0</v>
      </c>
      <c r="AB3111">
        <v>0</v>
      </c>
      <c r="AC3111">
        <v>0</v>
      </c>
      <c r="AD3111">
        <v>0</v>
      </c>
      <c r="AE3111">
        <v>0</v>
      </c>
      <c r="AF3111">
        <v>0</v>
      </c>
      <c r="AG3111">
        <v>0</v>
      </c>
      <c r="AH3111">
        <v>0</v>
      </c>
      <c r="AI3111">
        <v>0</v>
      </c>
      <c r="AJ3111">
        <v>0</v>
      </c>
      <c r="AK3111">
        <v>0</v>
      </c>
      <c r="AL3111">
        <v>0</v>
      </c>
      <c r="AM3111">
        <v>0</v>
      </c>
      <c r="AN3111">
        <v>0</v>
      </c>
      <c r="AO3111">
        <v>0</v>
      </c>
      <c r="AP3111">
        <v>0</v>
      </c>
      <c r="AQ3111">
        <v>53.43</v>
      </c>
      <c r="AR3111">
        <v>0</v>
      </c>
      <c r="AS3111">
        <v>0</v>
      </c>
      <c r="AT3111">
        <v>0</v>
      </c>
      <c r="AU3111">
        <v>0</v>
      </c>
      <c r="AV3111">
        <v>0</v>
      </c>
      <c r="AW3111">
        <v>0</v>
      </c>
      <c r="AX3111">
        <v>0</v>
      </c>
      <c r="AY3111">
        <v>0</v>
      </c>
      <c r="AZ3111">
        <v>0</v>
      </c>
      <c r="BA3111">
        <v>0</v>
      </c>
      <c r="BB3111">
        <v>0</v>
      </c>
      <c r="BC3111">
        <v>0</v>
      </c>
      <c r="BD3111">
        <v>0</v>
      </c>
      <c r="BE3111">
        <v>0</v>
      </c>
      <c r="BF3111">
        <v>0</v>
      </c>
      <c r="BG3111">
        <v>0</v>
      </c>
      <c r="BH3111">
        <v>1</v>
      </c>
      <c r="BI3111">
        <v>5</v>
      </c>
      <c r="BJ3111">
        <v>4.8</v>
      </c>
      <c r="BK3111">
        <v>5</v>
      </c>
      <c r="BL3111">
        <v>174.87</v>
      </c>
      <c r="BM3111">
        <v>26.23</v>
      </c>
      <c r="BN3111">
        <v>201.1</v>
      </c>
      <c r="BO3111">
        <v>201.1</v>
      </c>
      <c r="BQ3111" t="s">
        <v>863</v>
      </c>
      <c r="BR3111" t="s">
        <v>84</v>
      </c>
      <c r="BS3111" s="3">
        <v>45803</v>
      </c>
      <c r="BT3111" s="4">
        <v>0.58402777777777781</v>
      </c>
      <c r="BU3111" t="s">
        <v>3065</v>
      </c>
      <c r="BV3111" t="s">
        <v>89</v>
      </c>
      <c r="BW3111" t="s">
        <v>296</v>
      </c>
      <c r="BX3111" t="s">
        <v>325</v>
      </c>
      <c r="BY3111">
        <v>23751</v>
      </c>
      <c r="CA3111" t="s">
        <v>1046</v>
      </c>
      <c r="CC3111" t="s">
        <v>80</v>
      </c>
      <c r="CD3111">
        <v>3610</v>
      </c>
      <c r="CE3111" t="s">
        <v>96</v>
      </c>
      <c r="CF3111" s="3">
        <v>45803</v>
      </c>
      <c r="CI3111">
        <v>1</v>
      </c>
      <c r="CJ3111">
        <v>1</v>
      </c>
      <c r="CK3111">
        <v>21</v>
      </c>
      <c r="CL3111" t="s">
        <v>89</v>
      </c>
    </row>
    <row r="3112" spans="1:90" x14ac:dyDescent="0.3">
      <c r="A3112" t="s">
        <v>72</v>
      </c>
      <c r="B3112" t="s">
        <v>73</v>
      </c>
      <c r="C3112" t="s">
        <v>74</v>
      </c>
      <c r="E3112" t="str">
        <f>"080065529662"</f>
        <v>080065529662</v>
      </c>
      <c r="F3112" s="3">
        <v>45800</v>
      </c>
      <c r="G3112">
        <v>202602</v>
      </c>
      <c r="H3112" t="s">
        <v>75</v>
      </c>
      <c r="I3112" t="s">
        <v>76</v>
      </c>
      <c r="J3112" t="s">
        <v>77</v>
      </c>
      <c r="K3112" t="s">
        <v>78</v>
      </c>
      <c r="L3112" t="s">
        <v>130</v>
      </c>
      <c r="M3112" t="s">
        <v>131</v>
      </c>
      <c r="N3112" t="s">
        <v>3066</v>
      </c>
      <c r="O3112" t="s">
        <v>82</v>
      </c>
      <c r="P3112" t="str">
        <f>"4170040448                    "</f>
        <v xml:space="preserve">4170040448                    </v>
      </c>
      <c r="Q3112">
        <v>0</v>
      </c>
      <c r="R3112">
        <v>0</v>
      </c>
      <c r="S3112">
        <v>0</v>
      </c>
      <c r="T3112">
        <v>0</v>
      </c>
      <c r="U3112">
        <v>0</v>
      </c>
      <c r="V3112">
        <v>0</v>
      </c>
      <c r="W3112">
        <v>0</v>
      </c>
      <c r="X3112">
        <v>0</v>
      </c>
      <c r="Y3112">
        <v>0</v>
      </c>
      <c r="Z3112">
        <v>0</v>
      </c>
      <c r="AA3112">
        <v>0</v>
      </c>
      <c r="AB3112">
        <v>0</v>
      </c>
      <c r="AC3112">
        <v>0</v>
      </c>
      <c r="AD3112">
        <v>0</v>
      </c>
      <c r="AE3112">
        <v>0</v>
      </c>
      <c r="AF3112">
        <v>0</v>
      </c>
      <c r="AG3112">
        <v>0</v>
      </c>
      <c r="AH3112">
        <v>0</v>
      </c>
      <c r="AI3112">
        <v>0</v>
      </c>
      <c r="AJ3112">
        <v>0</v>
      </c>
      <c r="AK3112">
        <v>0</v>
      </c>
      <c r="AL3112">
        <v>0</v>
      </c>
      <c r="AM3112">
        <v>0</v>
      </c>
      <c r="AN3112">
        <v>0</v>
      </c>
      <c r="AO3112">
        <v>0</v>
      </c>
      <c r="AP3112">
        <v>0</v>
      </c>
      <c r="AQ3112">
        <v>128.22</v>
      </c>
      <c r="AR3112">
        <v>0</v>
      </c>
      <c r="AS3112">
        <v>0</v>
      </c>
      <c r="AT3112">
        <v>0</v>
      </c>
      <c r="AU3112">
        <v>0</v>
      </c>
      <c r="AV3112">
        <v>0</v>
      </c>
      <c r="AW3112">
        <v>0</v>
      </c>
      <c r="AX3112">
        <v>0</v>
      </c>
      <c r="AY3112">
        <v>0</v>
      </c>
      <c r="AZ3112">
        <v>0</v>
      </c>
      <c r="BA3112">
        <v>0</v>
      </c>
      <c r="BB3112">
        <v>0</v>
      </c>
      <c r="BC3112">
        <v>0</v>
      </c>
      <c r="BD3112">
        <v>0</v>
      </c>
      <c r="BE3112">
        <v>0</v>
      </c>
      <c r="BF3112">
        <v>0</v>
      </c>
      <c r="BG3112">
        <v>0</v>
      </c>
      <c r="BH3112">
        <v>1</v>
      </c>
      <c r="BI3112">
        <v>12</v>
      </c>
      <c r="BJ3112">
        <v>8.9</v>
      </c>
      <c r="BK3112">
        <v>12</v>
      </c>
      <c r="BL3112">
        <v>419.62</v>
      </c>
      <c r="BM3112">
        <v>62.94</v>
      </c>
      <c r="BN3112">
        <v>482.56</v>
      </c>
      <c r="BO3112">
        <v>482.56</v>
      </c>
      <c r="BQ3112" t="s">
        <v>3067</v>
      </c>
      <c r="BR3112" t="s">
        <v>84</v>
      </c>
      <c r="BS3112" s="3">
        <v>45803</v>
      </c>
      <c r="BT3112" s="4">
        <v>0.36736111111111114</v>
      </c>
      <c r="BU3112" t="s">
        <v>3068</v>
      </c>
      <c r="BV3112" t="s">
        <v>86</v>
      </c>
      <c r="BY3112">
        <v>44640</v>
      </c>
      <c r="CA3112" t="s">
        <v>712</v>
      </c>
      <c r="CC3112" t="s">
        <v>131</v>
      </c>
      <c r="CD3112">
        <v>7535</v>
      </c>
      <c r="CE3112" t="s">
        <v>96</v>
      </c>
      <c r="CF3112" s="3">
        <v>45804</v>
      </c>
      <c r="CI3112">
        <v>1</v>
      </c>
      <c r="CJ3112">
        <v>1</v>
      </c>
      <c r="CK3112">
        <v>21</v>
      </c>
      <c r="CL3112" t="s">
        <v>89</v>
      </c>
    </row>
    <row r="3113" spans="1:90" x14ac:dyDescent="0.3">
      <c r="A3113" t="s">
        <v>72</v>
      </c>
      <c r="B3113" t="s">
        <v>73</v>
      </c>
      <c r="C3113" t="s">
        <v>74</v>
      </c>
      <c r="E3113" t="str">
        <f>"080065529975"</f>
        <v>080065529975</v>
      </c>
      <c r="F3113" s="3">
        <v>45800</v>
      </c>
      <c r="G3113">
        <v>202602</v>
      </c>
      <c r="H3113" t="s">
        <v>75</v>
      </c>
      <c r="I3113" t="s">
        <v>76</v>
      </c>
      <c r="J3113" t="s">
        <v>77</v>
      </c>
      <c r="K3113" t="s">
        <v>78</v>
      </c>
      <c r="L3113" t="s">
        <v>1456</v>
      </c>
      <c r="M3113" t="s">
        <v>1457</v>
      </c>
      <c r="N3113" t="s">
        <v>1458</v>
      </c>
      <c r="O3113" t="s">
        <v>82</v>
      </c>
      <c r="P3113" t="str">
        <f>"4170040295                    "</f>
        <v xml:space="preserve">4170040295                    </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c r="AI3113">
        <v>0</v>
      </c>
      <c r="AJ3113">
        <v>0</v>
      </c>
      <c r="AK3113">
        <v>0</v>
      </c>
      <c r="AL3113">
        <v>0</v>
      </c>
      <c r="AM3113">
        <v>0</v>
      </c>
      <c r="AN3113">
        <v>0</v>
      </c>
      <c r="AO3113">
        <v>0</v>
      </c>
      <c r="AP3113">
        <v>0</v>
      </c>
      <c r="AQ3113">
        <v>21.38</v>
      </c>
      <c r="AR3113">
        <v>0</v>
      </c>
      <c r="AS3113">
        <v>0</v>
      </c>
      <c r="AT3113">
        <v>0</v>
      </c>
      <c r="AU3113">
        <v>0</v>
      </c>
      <c r="AV3113">
        <v>0</v>
      </c>
      <c r="AW3113">
        <v>0</v>
      </c>
      <c r="AX3113">
        <v>0</v>
      </c>
      <c r="AY3113">
        <v>0</v>
      </c>
      <c r="AZ3113">
        <v>0</v>
      </c>
      <c r="BA3113">
        <v>0</v>
      </c>
      <c r="BB3113">
        <v>0</v>
      </c>
      <c r="BC3113">
        <v>0</v>
      </c>
      <c r="BD3113">
        <v>0</v>
      </c>
      <c r="BE3113">
        <v>0</v>
      </c>
      <c r="BF3113">
        <v>0</v>
      </c>
      <c r="BG3113">
        <v>0</v>
      </c>
      <c r="BH3113">
        <v>1</v>
      </c>
      <c r="BI3113">
        <v>1</v>
      </c>
      <c r="BJ3113">
        <v>0.2</v>
      </c>
      <c r="BK3113">
        <v>1</v>
      </c>
      <c r="BL3113">
        <v>69.98</v>
      </c>
      <c r="BM3113">
        <v>10.5</v>
      </c>
      <c r="BN3113">
        <v>80.48</v>
      </c>
      <c r="BO3113">
        <v>80.48</v>
      </c>
      <c r="BQ3113" t="s">
        <v>1459</v>
      </c>
      <c r="BR3113" t="s">
        <v>84</v>
      </c>
      <c r="BS3113" s="3">
        <v>45803</v>
      </c>
      <c r="BT3113" s="4">
        <v>0.49930555555555556</v>
      </c>
      <c r="BU3113" t="s">
        <v>3069</v>
      </c>
      <c r="BV3113" t="s">
        <v>86</v>
      </c>
      <c r="BY3113">
        <v>1200</v>
      </c>
      <c r="CA3113" t="s">
        <v>3070</v>
      </c>
      <c r="CC3113" t="s">
        <v>1457</v>
      </c>
      <c r="CD3113">
        <v>6529</v>
      </c>
      <c r="CE3113" t="s">
        <v>88</v>
      </c>
      <c r="CF3113" s="3">
        <v>45803</v>
      </c>
      <c r="CI3113">
        <v>1</v>
      </c>
      <c r="CJ3113">
        <v>1</v>
      </c>
      <c r="CK3113">
        <v>21</v>
      </c>
      <c r="CL3113" t="s">
        <v>89</v>
      </c>
    </row>
    <row r="3114" spans="1:90" x14ac:dyDescent="0.3">
      <c r="A3114" t="s">
        <v>72</v>
      </c>
      <c r="B3114" t="s">
        <v>73</v>
      </c>
      <c r="C3114" t="s">
        <v>74</v>
      </c>
      <c r="E3114" t="str">
        <f>"080065529986"</f>
        <v>080065529986</v>
      </c>
      <c r="F3114" s="3">
        <v>45800</v>
      </c>
      <c r="G3114">
        <v>202602</v>
      </c>
      <c r="H3114" t="s">
        <v>75</v>
      </c>
      <c r="I3114" t="s">
        <v>76</v>
      </c>
      <c r="J3114" t="s">
        <v>77</v>
      </c>
      <c r="K3114" t="s">
        <v>78</v>
      </c>
      <c r="L3114" t="s">
        <v>445</v>
      </c>
      <c r="M3114" t="s">
        <v>446</v>
      </c>
      <c r="N3114" t="s">
        <v>508</v>
      </c>
      <c r="O3114" t="s">
        <v>82</v>
      </c>
      <c r="P3114" t="str">
        <f>"4170040269                    "</f>
        <v xml:space="preserve">4170040269                    </v>
      </c>
      <c r="Q3114">
        <v>0</v>
      </c>
      <c r="R3114">
        <v>0</v>
      </c>
      <c r="S3114">
        <v>0</v>
      </c>
      <c r="T3114">
        <v>0</v>
      </c>
      <c r="U3114">
        <v>0</v>
      </c>
      <c r="V3114">
        <v>0</v>
      </c>
      <c r="W3114">
        <v>0</v>
      </c>
      <c r="X3114">
        <v>0</v>
      </c>
      <c r="Y3114">
        <v>0</v>
      </c>
      <c r="Z3114">
        <v>0</v>
      </c>
      <c r="AA3114">
        <v>0</v>
      </c>
      <c r="AB3114">
        <v>0</v>
      </c>
      <c r="AC3114">
        <v>0</v>
      </c>
      <c r="AD3114">
        <v>0</v>
      </c>
      <c r="AE3114">
        <v>0</v>
      </c>
      <c r="AF3114">
        <v>0</v>
      </c>
      <c r="AG3114">
        <v>0</v>
      </c>
      <c r="AH3114">
        <v>0</v>
      </c>
      <c r="AI3114">
        <v>0</v>
      </c>
      <c r="AJ3114">
        <v>0</v>
      </c>
      <c r="AK3114">
        <v>0</v>
      </c>
      <c r="AL3114">
        <v>0</v>
      </c>
      <c r="AM3114">
        <v>0</v>
      </c>
      <c r="AN3114">
        <v>0</v>
      </c>
      <c r="AO3114">
        <v>0</v>
      </c>
      <c r="AP3114">
        <v>0</v>
      </c>
      <c r="AQ3114">
        <v>134.97</v>
      </c>
      <c r="AR3114">
        <v>0</v>
      </c>
      <c r="AS3114">
        <v>0</v>
      </c>
      <c r="AT3114">
        <v>0</v>
      </c>
      <c r="AU3114">
        <v>0</v>
      </c>
      <c r="AV3114">
        <v>0</v>
      </c>
      <c r="AW3114">
        <v>0</v>
      </c>
      <c r="AX3114">
        <v>0</v>
      </c>
      <c r="AY3114">
        <v>0</v>
      </c>
      <c r="AZ3114">
        <v>0</v>
      </c>
      <c r="BA3114">
        <v>0</v>
      </c>
      <c r="BB3114">
        <v>0</v>
      </c>
      <c r="BC3114">
        <v>0</v>
      </c>
      <c r="BD3114">
        <v>0</v>
      </c>
      <c r="BE3114">
        <v>0</v>
      </c>
      <c r="BF3114">
        <v>0</v>
      </c>
      <c r="BG3114">
        <v>0</v>
      </c>
      <c r="BH3114">
        <v>1</v>
      </c>
      <c r="BI3114">
        <v>7</v>
      </c>
      <c r="BJ3114">
        <v>3.2</v>
      </c>
      <c r="BK3114">
        <v>7</v>
      </c>
      <c r="BL3114">
        <v>441.73</v>
      </c>
      <c r="BM3114">
        <v>66.260000000000005</v>
      </c>
      <c r="BN3114">
        <v>507.99</v>
      </c>
      <c r="BO3114">
        <v>507.99</v>
      </c>
      <c r="BQ3114" t="s">
        <v>509</v>
      </c>
      <c r="BR3114" t="s">
        <v>84</v>
      </c>
      <c r="BS3114" s="3">
        <v>45803</v>
      </c>
      <c r="BT3114" s="4">
        <v>0.55833333333333335</v>
      </c>
      <c r="BU3114" t="s">
        <v>3071</v>
      </c>
      <c r="BV3114" t="s">
        <v>89</v>
      </c>
      <c r="BW3114" t="s">
        <v>1905</v>
      </c>
      <c r="BX3114" t="s">
        <v>3072</v>
      </c>
      <c r="BY3114">
        <v>16128</v>
      </c>
      <c r="CA3114" t="s">
        <v>2538</v>
      </c>
      <c r="CC3114" t="s">
        <v>446</v>
      </c>
      <c r="CD3114">
        <v>4400</v>
      </c>
      <c r="CE3114" t="s">
        <v>221</v>
      </c>
      <c r="CF3114" s="3">
        <v>45804</v>
      </c>
      <c r="CI3114">
        <v>1</v>
      </c>
      <c r="CJ3114">
        <v>1</v>
      </c>
      <c r="CK3114">
        <v>23</v>
      </c>
      <c r="CL3114" t="s">
        <v>89</v>
      </c>
    </row>
    <row r="3115" spans="1:90" x14ac:dyDescent="0.3">
      <c r="A3115" t="s">
        <v>72</v>
      </c>
      <c r="B3115" t="s">
        <v>73</v>
      </c>
      <c r="C3115" t="s">
        <v>74</v>
      </c>
      <c r="E3115" t="str">
        <f>"080065530009"</f>
        <v>080065530009</v>
      </c>
      <c r="F3115" s="3">
        <v>45800</v>
      </c>
      <c r="G3115">
        <v>202602</v>
      </c>
      <c r="H3115" t="s">
        <v>75</v>
      </c>
      <c r="I3115" t="s">
        <v>76</v>
      </c>
      <c r="J3115" t="s">
        <v>77</v>
      </c>
      <c r="K3115" t="s">
        <v>78</v>
      </c>
      <c r="L3115" t="s">
        <v>103</v>
      </c>
      <c r="M3115" t="s">
        <v>104</v>
      </c>
      <c r="N3115" t="s">
        <v>633</v>
      </c>
      <c r="O3115" t="s">
        <v>82</v>
      </c>
      <c r="P3115" t="str">
        <f>"4170040434                    "</f>
        <v xml:space="preserve">4170040434                    </v>
      </c>
      <c r="Q3115">
        <v>0</v>
      </c>
      <c r="R3115">
        <v>0</v>
      </c>
      <c r="S3115">
        <v>0</v>
      </c>
      <c r="T3115">
        <v>0</v>
      </c>
      <c r="U3115">
        <v>0</v>
      </c>
      <c r="V3115">
        <v>0</v>
      </c>
      <c r="W3115">
        <v>0</v>
      </c>
      <c r="X3115">
        <v>0</v>
      </c>
      <c r="Y3115">
        <v>0</v>
      </c>
      <c r="Z3115">
        <v>0</v>
      </c>
      <c r="AA3115">
        <v>0</v>
      </c>
      <c r="AB3115">
        <v>0</v>
      </c>
      <c r="AC3115">
        <v>0</v>
      </c>
      <c r="AD3115">
        <v>0</v>
      </c>
      <c r="AE3115">
        <v>0</v>
      </c>
      <c r="AF3115">
        <v>0</v>
      </c>
      <c r="AG3115">
        <v>0</v>
      </c>
      <c r="AH3115">
        <v>0</v>
      </c>
      <c r="AI3115">
        <v>0</v>
      </c>
      <c r="AJ3115">
        <v>0</v>
      </c>
      <c r="AK3115">
        <v>0</v>
      </c>
      <c r="AL3115">
        <v>0</v>
      </c>
      <c r="AM3115">
        <v>0</v>
      </c>
      <c r="AN3115">
        <v>0</v>
      </c>
      <c r="AO3115">
        <v>0</v>
      </c>
      <c r="AP3115">
        <v>0</v>
      </c>
      <c r="AQ3115">
        <v>21.38</v>
      </c>
      <c r="AR3115">
        <v>0</v>
      </c>
      <c r="AS3115">
        <v>0</v>
      </c>
      <c r="AT3115">
        <v>0</v>
      </c>
      <c r="AU3115">
        <v>0</v>
      </c>
      <c r="AV3115">
        <v>0</v>
      </c>
      <c r="AW3115">
        <v>0</v>
      </c>
      <c r="AX3115">
        <v>0</v>
      </c>
      <c r="AY3115">
        <v>0</v>
      </c>
      <c r="AZ3115">
        <v>0</v>
      </c>
      <c r="BA3115">
        <v>0</v>
      </c>
      <c r="BB3115">
        <v>0</v>
      </c>
      <c r="BC3115">
        <v>0</v>
      </c>
      <c r="BD3115">
        <v>0</v>
      </c>
      <c r="BE3115">
        <v>0</v>
      </c>
      <c r="BF3115">
        <v>0</v>
      </c>
      <c r="BG3115">
        <v>0</v>
      </c>
      <c r="BH3115">
        <v>1</v>
      </c>
      <c r="BI3115">
        <v>1</v>
      </c>
      <c r="BJ3115">
        <v>0.2</v>
      </c>
      <c r="BK3115">
        <v>1</v>
      </c>
      <c r="BL3115">
        <v>69.98</v>
      </c>
      <c r="BM3115">
        <v>10.5</v>
      </c>
      <c r="BN3115">
        <v>80.48</v>
      </c>
      <c r="BO3115">
        <v>80.48</v>
      </c>
      <c r="BQ3115" t="s">
        <v>634</v>
      </c>
      <c r="BR3115" t="s">
        <v>84</v>
      </c>
      <c r="BS3115" s="3">
        <v>45805</v>
      </c>
      <c r="BT3115" s="4">
        <v>0.5</v>
      </c>
      <c r="BU3115" t="s">
        <v>3073</v>
      </c>
      <c r="BV3115" t="s">
        <v>89</v>
      </c>
      <c r="BY3115">
        <v>1200</v>
      </c>
      <c r="CA3115" t="s">
        <v>2367</v>
      </c>
      <c r="CC3115" t="s">
        <v>104</v>
      </c>
      <c r="CD3115">
        <v>3212</v>
      </c>
      <c r="CE3115" t="s">
        <v>88</v>
      </c>
      <c r="CF3115" s="3">
        <v>45806</v>
      </c>
      <c r="CI3115">
        <v>2</v>
      </c>
      <c r="CJ3115">
        <v>3</v>
      </c>
      <c r="CK3115">
        <v>21</v>
      </c>
      <c r="CL3115" t="s">
        <v>89</v>
      </c>
    </row>
    <row r="3116" spans="1:90" x14ac:dyDescent="0.3">
      <c r="A3116" t="s">
        <v>72</v>
      </c>
      <c r="B3116" t="s">
        <v>73</v>
      </c>
      <c r="C3116" t="s">
        <v>74</v>
      </c>
      <c r="E3116" t="str">
        <f>"080065530018"</f>
        <v>080065530018</v>
      </c>
      <c r="F3116" s="3">
        <v>45800</v>
      </c>
      <c r="G3116">
        <v>202602</v>
      </c>
      <c r="H3116" t="s">
        <v>75</v>
      </c>
      <c r="I3116" t="s">
        <v>76</v>
      </c>
      <c r="J3116" t="s">
        <v>77</v>
      </c>
      <c r="K3116" t="s">
        <v>78</v>
      </c>
      <c r="L3116" t="s">
        <v>103</v>
      </c>
      <c r="M3116" t="s">
        <v>104</v>
      </c>
      <c r="N3116" t="s">
        <v>105</v>
      </c>
      <c r="O3116" t="s">
        <v>82</v>
      </c>
      <c r="P3116" t="str">
        <f>"4170040271                    "</f>
        <v xml:space="preserve">4170040271                    </v>
      </c>
      <c r="Q3116">
        <v>0</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c r="AJ3116">
        <v>0</v>
      </c>
      <c r="AK3116">
        <v>0</v>
      </c>
      <c r="AL3116">
        <v>0</v>
      </c>
      <c r="AM3116">
        <v>0</v>
      </c>
      <c r="AN3116">
        <v>0</v>
      </c>
      <c r="AO3116">
        <v>0</v>
      </c>
      <c r="AP3116">
        <v>0</v>
      </c>
      <c r="AQ3116">
        <v>96.17</v>
      </c>
      <c r="AR3116">
        <v>0</v>
      </c>
      <c r="AS3116">
        <v>0</v>
      </c>
      <c r="AT3116">
        <v>0</v>
      </c>
      <c r="AU3116">
        <v>0</v>
      </c>
      <c r="AV3116">
        <v>0</v>
      </c>
      <c r="AW3116">
        <v>0</v>
      </c>
      <c r="AX3116">
        <v>0</v>
      </c>
      <c r="AY3116">
        <v>0</v>
      </c>
      <c r="AZ3116">
        <v>0</v>
      </c>
      <c r="BA3116">
        <v>0</v>
      </c>
      <c r="BB3116">
        <v>0</v>
      </c>
      <c r="BC3116">
        <v>0</v>
      </c>
      <c r="BD3116">
        <v>0</v>
      </c>
      <c r="BE3116">
        <v>0</v>
      </c>
      <c r="BF3116">
        <v>0</v>
      </c>
      <c r="BG3116">
        <v>0</v>
      </c>
      <c r="BH3116">
        <v>1</v>
      </c>
      <c r="BI3116">
        <v>9</v>
      </c>
      <c r="BJ3116">
        <v>4.0999999999999996</v>
      </c>
      <c r="BK3116">
        <v>9</v>
      </c>
      <c r="BL3116">
        <v>314.73</v>
      </c>
      <c r="BM3116">
        <v>47.21</v>
      </c>
      <c r="BN3116">
        <v>361.94</v>
      </c>
      <c r="BO3116">
        <v>361.94</v>
      </c>
      <c r="BQ3116" t="s">
        <v>106</v>
      </c>
      <c r="BR3116" t="s">
        <v>84</v>
      </c>
      <c r="BS3116" s="3">
        <v>45804</v>
      </c>
      <c r="BT3116" s="4">
        <v>0.41666666666666669</v>
      </c>
      <c r="BU3116" t="s">
        <v>430</v>
      </c>
      <c r="BV3116" t="s">
        <v>89</v>
      </c>
      <c r="BY3116">
        <v>20736</v>
      </c>
      <c r="CA3116" t="s">
        <v>108</v>
      </c>
      <c r="CC3116" t="s">
        <v>104</v>
      </c>
      <c r="CD3116">
        <v>3201</v>
      </c>
      <c r="CE3116" t="s">
        <v>221</v>
      </c>
      <c r="CF3116" s="3">
        <v>45804</v>
      </c>
      <c r="CI3116">
        <v>1</v>
      </c>
      <c r="CJ3116">
        <v>2</v>
      </c>
      <c r="CK3116">
        <v>21</v>
      </c>
      <c r="CL3116" t="s">
        <v>89</v>
      </c>
    </row>
    <row r="3117" spans="1:90" x14ac:dyDescent="0.3">
      <c r="A3117" t="s">
        <v>72</v>
      </c>
      <c r="B3117" t="s">
        <v>73</v>
      </c>
      <c r="C3117" t="s">
        <v>74</v>
      </c>
      <c r="E3117" t="str">
        <f>"080065530037"</f>
        <v>080065530037</v>
      </c>
      <c r="F3117" s="3">
        <v>45800</v>
      </c>
      <c r="G3117">
        <v>202602</v>
      </c>
      <c r="H3117" t="s">
        <v>75</v>
      </c>
      <c r="I3117" t="s">
        <v>76</v>
      </c>
      <c r="J3117" t="s">
        <v>77</v>
      </c>
      <c r="K3117" t="s">
        <v>78</v>
      </c>
      <c r="L3117" t="s">
        <v>177</v>
      </c>
      <c r="M3117" t="s">
        <v>178</v>
      </c>
      <c r="N3117" t="s">
        <v>393</v>
      </c>
      <c r="O3117" t="s">
        <v>82</v>
      </c>
      <c r="P3117" t="str">
        <f>"4170040444                    "</f>
        <v xml:space="preserve">4170040444                    </v>
      </c>
      <c r="Q3117">
        <v>0</v>
      </c>
      <c r="R3117">
        <v>0</v>
      </c>
      <c r="S3117">
        <v>0</v>
      </c>
      <c r="T3117">
        <v>0</v>
      </c>
      <c r="U3117">
        <v>0</v>
      </c>
      <c r="V3117">
        <v>0</v>
      </c>
      <c r="W3117">
        <v>0</v>
      </c>
      <c r="X3117">
        <v>0</v>
      </c>
      <c r="Y3117">
        <v>0</v>
      </c>
      <c r="Z3117">
        <v>0</v>
      </c>
      <c r="AA3117">
        <v>0</v>
      </c>
      <c r="AB3117">
        <v>0</v>
      </c>
      <c r="AC3117">
        <v>0</v>
      </c>
      <c r="AD3117">
        <v>0</v>
      </c>
      <c r="AE3117">
        <v>0</v>
      </c>
      <c r="AF3117">
        <v>0</v>
      </c>
      <c r="AG3117">
        <v>0</v>
      </c>
      <c r="AH3117">
        <v>0</v>
      </c>
      <c r="AI3117">
        <v>0</v>
      </c>
      <c r="AJ3117">
        <v>0</v>
      </c>
      <c r="AK3117">
        <v>0</v>
      </c>
      <c r="AL3117">
        <v>0</v>
      </c>
      <c r="AM3117">
        <v>0</v>
      </c>
      <c r="AN3117">
        <v>0</v>
      </c>
      <c r="AO3117">
        <v>0</v>
      </c>
      <c r="AP3117">
        <v>0</v>
      </c>
      <c r="AQ3117">
        <v>21.38</v>
      </c>
      <c r="AR3117">
        <v>0</v>
      </c>
      <c r="AS3117">
        <v>0</v>
      </c>
      <c r="AT3117">
        <v>0</v>
      </c>
      <c r="AU3117">
        <v>0</v>
      </c>
      <c r="AV3117">
        <v>0</v>
      </c>
      <c r="AW3117">
        <v>0</v>
      </c>
      <c r="AX3117">
        <v>0</v>
      </c>
      <c r="AY3117">
        <v>0</v>
      </c>
      <c r="AZ3117">
        <v>0</v>
      </c>
      <c r="BA3117">
        <v>0</v>
      </c>
      <c r="BB3117">
        <v>0</v>
      </c>
      <c r="BC3117">
        <v>0</v>
      </c>
      <c r="BD3117">
        <v>0</v>
      </c>
      <c r="BE3117">
        <v>0</v>
      </c>
      <c r="BF3117">
        <v>0</v>
      </c>
      <c r="BG3117">
        <v>0</v>
      </c>
      <c r="BH3117">
        <v>1</v>
      </c>
      <c r="BI3117">
        <v>1</v>
      </c>
      <c r="BJ3117">
        <v>0.2</v>
      </c>
      <c r="BK3117">
        <v>1</v>
      </c>
      <c r="BL3117">
        <v>69.98</v>
      </c>
      <c r="BM3117">
        <v>10.5</v>
      </c>
      <c r="BN3117">
        <v>80.48</v>
      </c>
      <c r="BO3117">
        <v>80.48</v>
      </c>
      <c r="BQ3117" t="s">
        <v>394</v>
      </c>
      <c r="BR3117" t="s">
        <v>84</v>
      </c>
      <c r="BS3117" s="3">
        <v>45803</v>
      </c>
      <c r="BT3117" s="4">
        <v>0.33611111111111114</v>
      </c>
      <c r="BU3117" t="s">
        <v>395</v>
      </c>
      <c r="BV3117" t="s">
        <v>86</v>
      </c>
      <c r="BY3117">
        <v>1200</v>
      </c>
      <c r="CA3117" t="s">
        <v>182</v>
      </c>
      <c r="CC3117" t="s">
        <v>178</v>
      </c>
      <c r="CD3117">
        <v>6230</v>
      </c>
      <c r="CE3117" t="s">
        <v>88</v>
      </c>
      <c r="CF3117" s="3">
        <v>45803</v>
      </c>
      <c r="CI3117">
        <v>1</v>
      </c>
      <c r="CJ3117">
        <v>1</v>
      </c>
      <c r="CK3117">
        <v>21</v>
      </c>
      <c r="CL3117" t="s">
        <v>89</v>
      </c>
    </row>
    <row r="3118" spans="1:90" x14ac:dyDescent="0.3">
      <c r="A3118" t="s">
        <v>72</v>
      </c>
      <c r="B3118" t="s">
        <v>73</v>
      </c>
      <c r="C3118" t="s">
        <v>74</v>
      </c>
      <c r="E3118" t="str">
        <f>"080065530047"</f>
        <v>080065530047</v>
      </c>
      <c r="F3118" s="3">
        <v>45800</v>
      </c>
      <c r="G3118">
        <v>202602</v>
      </c>
      <c r="H3118" t="s">
        <v>75</v>
      </c>
      <c r="I3118" t="s">
        <v>76</v>
      </c>
      <c r="J3118" t="s">
        <v>77</v>
      </c>
      <c r="K3118" t="s">
        <v>78</v>
      </c>
      <c r="L3118" t="s">
        <v>123</v>
      </c>
      <c r="M3118" t="s">
        <v>123</v>
      </c>
      <c r="N3118" t="s">
        <v>766</v>
      </c>
      <c r="O3118" t="s">
        <v>82</v>
      </c>
      <c r="P3118" t="str">
        <f>"4170040364                    "</f>
        <v xml:space="preserve">4170040364                    </v>
      </c>
      <c r="Q3118">
        <v>0</v>
      </c>
      <c r="R3118">
        <v>0</v>
      </c>
      <c r="S3118">
        <v>0</v>
      </c>
      <c r="T3118">
        <v>0</v>
      </c>
      <c r="U3118">
        <v>0</v>
      </c>
      <c r="V3118">
        <v>0</v>
      </c>
      <c r="W3118">
        <v>0</v>
      </c>
      <c r="X3118">
        <v>0</v>
      </c>
      <c r="Y3118">
        <v>0</v>
      </c>
      <c r="Z3118">
        <v>0</v>
      </c>
      <c r="AA3118">
        <v>0</v>
      </c>
      <c r="AB3118">
        <v>0</v>
      </c>
      <c r="AC3118">
        <v>0</v>
      </c>
      <c r="AD3118">
        <v>0</v>
      </c>
      <c r="AE3118">
        <v>0</v>
      </c>
      <c r="AF3118">
        <v>0</v>
      </c>
      <c r="AG3118">
        <v>0</v>
      </c>
      <c r="AH3118">
        <v>0</v>
      </c>
      <c r="AI3118">
        <v>0</v>
      </c>
      <c r="AJ3118">
        <v>0</v>
      </c>
      <c r="AK3118">
        <v>0</v>
      </c>
      <c r="AL3118">
        <v>0</v>
      </c>
      <c r="AM3118">
        <v>0</v>
      </c>
      <c r="AN3118">
        <v>0</v>
      </c>
      <c r="AO3118">
        <v>0</v>
      </c>
      <c r="AP3118">
        <v>0</v>
      </c>
      <c r="AQ3118">
        <v>41.43</v>
      </c>
      <c r="AR3118">
        <v>0</v>
      </c>
      <c r="AS3118">
        <v>0</v>
      </c>
      <c r="AT3118">
        <v>0</v>
      </c>
      <c r="AU3118">
        <v>0</v>
      </c>
      <c r="AV3118">
        <v>0</v>
      </c>
      <c r="AW3118">
        <v>0</v>
      </c>
      <c r="AX3118">
        <v>0</v>
      </c>
      <c r="AY3118">
        <v>0</v>
      </c>
      <c r="AZ3118">
        <v>0</v>
      </c>
      <c r="BA3118">
        <v>0</v>
      </c>
      <c r="BB3118">
        <v>0</v>
      </c>
      <c r="BC3118">
        <v>0</v>
      </c>
      <c r="BD3118">
        <v>0</v>
      </c>
      <c r="BE3118">
        <v>0</v>
      </c>
      <c r="BF3118">
        <v>0</v>
      </c>
      <c r="BG3118">
        <v>0</v>
      </c>
      <c r="BH3118">
        <v>1</v>
      </c>
      <c r="BI3118">
        <v>1</v>
      </c>
      <c r="BJ3118">
        <v>1.1000000000000001</v>
      </c>
      <c r="BK3118">
        <v>1.5</v>
      </c>
      <c r="BL3118">
        <v>135.59</v>
      </c>
      <c r="BM3118">
        <v>20.34</v>
      </c>
      <c r="BN3118">
        <v>155.93</v>
      </c>
      <c r="BO3118">
        <v>155.93</v>
      </c>
      <c r="BQ3118" t="s">
        <v>767</v>
      </c>
      <c r="BR3118" t="s">
        <v>84</v>
      </c>
      <c r="BS3118" s="3">
        <v>45803</v>
      </c>
      <c r="BT3118" s="4">
        <v>0.53611111111111109</v>
      </c>
      <c r="BU3118" t="s">
        <v>768</v>
      </c>
      <c r="BV3118" t="s">
        <v>86</v>
      </c>
      <c r="BY3118">
        <v>5320</v>
      </c>
      <c r="CA3118" t="s">
        <v>128</v>
      </c>
      <c r="CC3118" t="s">
        <v>123</v>
      </c>
      <c r="CD3118">
        <v>7646</v>
      </c>
      <c r="CE3118" t="s">
        <v>116</v>
      </c>
      <c r="CF3118" s="3">
        <v>45804</v>
      </c>
      <c r="CI3118">
        <v>1</v>
      </c>
      <c r="CJ3118">
        <v>1</v>
      </c>
      <c r="CK3118">
        <v>23</v>
      </c>
      <c r="CL3118" t="s">
        <v>89</v>
      </c>
    </row>
    <row r="3119" spans="1:90" x14ac:dyDescent="0.3">
      <c r="A3119" t="s">
        <v>72</v>
      </c>
      <c r="B3119" t="s">
        <v>73</v>
      </c>
      <c r="C3119" t="s">
        <v>74</v>
      </c>
      <c r="E3119" t="str">
        <f>"080065530078"</f>
        <v>080065530078</v>
      </c>
      <c r="F3119" s="3">
        <v>45800</v>
      </c>
      <c r="G3119">
        <v>202602</v>
      </c>
      <c r="H3119" t="s">
        <v>75</v>
      </c>
      <c r="I3119" t="s">
        <v>76</v>
      </c>
      <c r="J3119" t="s">
        <v>77</v>
      </c>
      <c r="K3119" t="s">
        <v>78</v>
      </c>
      <c r="L3119" t="s">
        <v>117</v>
      </c>
      <c r="M3119" t="s">
        <v>118</v>
      </c>
      <c r="N3119" t="s">
        <v>1052</v>
      </c>
      <c r="O3119" t="s">
        <v>82</v>
      </c>
      <c r="P3119" t="str">
        <f>"4170040361                    "</f>
        <v xml:space="preserve">4170040361                    </v>
      </c>
      <c r="Q3119">
        <v>0</v>
      </c>
      <c r="R3119">
        <v>0</v>
      </c>
      <c r="S3119">
        <v>0</v>
      </c>
      <c r="T3119">
        <v>0</v>
      </c>
      <c r="U3119">
        <v>0</v>
      </c>
      <c r="V3119">
        <v>0</v>
      </c>
      <c r="W3119">
        <v>0</v>
      </c>
      <c r="X3119">
        <v>0</v>
      </c>
      <c r="Y3119">
        <v>0</v>
      </c>
      <c r="Z3119">
        <v>0</v>
      </c>
      <c r="AA3119">
        <v>0</v>
      </c>
      <c r="AB3119">
        <v>0</v>
      </c>
      <c r="AC3119">
        <v>0</v>
      </c>
      <c r="AD3119">
        <v>0</v>
      </c>
      <c r="AE3119">
        <v>0</v>
      </c>
      <c r="AF3119">
        <v>0</v>
      </c>
      <c r="AG3119">
        <v>0</v>
      </c>
      <c r="AH3119">
        <v>0</v>
      </c>
      <c r="AI3119">
        <v>0</v>
      </c>
      <c r="AJ3119">
        <v>0</v>
      </c>
      <c r="AK3119">
        <v>0</v>
      </c>
      <c r="AL3119">
        <v>0</v>
      </c>
      <c r="AM3119">
        <v>0</v>
      </c>
      <c r="AN3119">
        <v>0</v>
      </c>
      <c r="AO3119">
        <v>0</v>
      </c>
      <c r="AP3119">
        <v>0</v>
      </c>
      <c r="AQ3119">
        <v>16.7</v>
      </c>
      <c r="AR3119">
        <v>0</v>
      </c>
      <c r="AS3119">
        <v>0</v>
      </c>
      <c r="AT3119">
        <v>0</v>
      </c>
      <c r="AU3119">
        <v>0</v>
      </c>
      <c r="AV3119">
        <v>0</v>
      </c>
      <c r="AW3119">
        <v>0</v>
      </c>
      <c r="AX3119">
        <v>0</v>
      </c>
      <c r="AY3119">
        <v>0</v>
      </c>
      <c r="AZ3119">
        <v>0</v>
      </c>
      <c r="BA3119">
        <v>0</v>
      </c>
      <c r="BB3119">
        <v>0</v>
      </c>
      <c r="BC3119">
        <v>0</v>
      </c>
      <c r="BD3119">
        <v>0</v>
      </c>
      <c r="BE3119">
        <v>0</v>
      </c>
      <c r="BF3119">
        <v>0</v>
      </c>
      <c r="BG3119">
        <v>0</v>
      </c>
      <c r="BH3119">
        <v>1</v>
      </c>
      <c r="BI3119">
        <v>1</v>
      </c>
      <c r="BJ3119">
        <v>0.2</v>
      </c>
      <c r="BK3119">
        <v>1</v>
      </c>
      <c r="BL3119">
        <v>54.66</v>
      </c>
      <c r="BM3119">
        <v>8.1999999999999993</v>
      </c>
      <c r="BN3119">
        <v>62.86</v>
      </c>
      <c r="BO3119">
        <v>62.86</v>
      </c>
      <c r="BQ3119" t="s">
        <v>1053</v>
      </c>
      <c r="BR3119" t="s">
        <v>84</v>
      </c>
      <c r="BS3119" s="3">
        <v>45803</v>
      </c>
      <c r="BT3119" s="4">
        <v>0.35138888888888886</v>
      </c>
      <c r="BU3119" t="s">
        <v>3074</v>
      </c>
      <c r="BV3119" t="s">
        <v>86</v>
      </c>
      <c r="BY3119">
        <v>1200</v>
      </c>
      <c r="CA3119" t="s">
        <v>275</v>
      </c>
      <c r="CC3119" t="s">
        <v>118</v>
      </c>
      <c r="CD3119">
        <v>2016</v>
      </c>
      <c r="CE3119" t="s">
        <v>88</v>
      </c>
      <c r="CF3119" s="3">
        <v>45803</v>
      </c>
      <c r="CI3119">
        <v>1</v>
      </c>
      <c r="CJ3119">
        <v>1</v>
      </c>
      <c r="CK3119">
        <v>22</v>
      </c>
      <c r="CL3119" t="s">
        <v>89</v>
      </c>
    </row>
    <row r="3120" spans="1:90" x14ac:dyDescent="0.3">
      <c r="A3120" t="s">
        <v>72</v>
      </c>
      <c r="B3120" t="s">
        <v>73</v>
      </c>
      <c r="C3120" t="s">
        <v>74</v>
      </c>
      <c r="E3120" t="str">
        <f>"080065530101"</f>
        <v>080065530101</v>
      </c>
      <c r="F3120" s="3">
        <v>45800</v>
      </c>
      <c r="G3120">
        <v>202602</v>
      </c>
      <c r="H3120" t="s">
        <v>75</v>
      </c>
      <c r="I3120" t="s">
        <v>76</v>
      </c>
      <c r="J3120" t="s">
        <v>77</v>
      </c>
      <c r="K3120" t="s">
        <v>78</v>
      </c>
      <c r="L3120" t="s">
        <v>1241</v>
      </c>
      <c r="M3120" t="s">
        <v>1242</v>
      </c>
      <c r="N3120" t="s">
        <v>1243</v>
      </c>
      <c r="O3120" t="s">
        <v>82</v>
      </c>
      <c r="P3120" t="str">
        <f>"4170040301                    "</f>
        <v xml:space="preserve">4170040301                    </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c r="AI3120">
        <v>0</v>
      </c>
      <c r="AJ3120">
        <v>0</v>
      </c>
      <c r="AK3120">
        <v>0</v>
      </c>
      <c r="AL3120">
        <v>0</v>
      </c>
      <c r="AM3120">
        <v>0</v>
      </c>
      <c r="AN3120">
        <v>0</v>
      </c>
      <c r="AO3120">
        <v>0</v>
      </c>
      <c r="AP3120">
        <v>0</v>
      </c>
      <c r="AQ3120">
        <v>41.43</v>
      </c>
      <c r="AR3120">
        <v>0</v>
      </c>
      <c r="AS3120">
        <v>0</v>
      </c>
      <c r="AT3120">
        <v>0</v>
      </c>
      <c r="AU3120">
        <v>0</v>
      </c>
      <c r="AV3120">
        <v>0</v>
      </c>
      <c r="AW3120">
        <v>0</v>
      </c>
      <c r="AX3120">
        <v>0</v>
      </c>
      <c r="AY3120">
        <v>0</v>
      </c>
      <c r="AZ3120">
        <v>0</v>
      </c>
      <c r="BA3120">
        <v>0</v>
      </c>
      <c r="BB3120">
        <v>0</v>
      </c>
      <c r="BC3120">
        <v>0</v>
      </c>
      <c r="BD3120">
        <v>0</v>
      </c>
      <c r="BE3120">
        <v>0</v>
      </c>
      <c r="BF3120">
        <v>0</v>
      </c>
      <c r="BG3120">
        <v>0</v>
      </c>
      <c r="BH3120">
        <v>1</v>
      </c>
      <c r="BI3120">
        <v>1</v>
      </c>
      <c r="BJ3120">
        <v>1.1000000000000001</v>
      </c>
      <c r="BK3120">
        <v>1.5</v>
      </c>
      <c r="BL3120">
        <v>135.59</v>
      </c>
      <c r="BM3120">
        <v>20.34</v>
      </c>
      <c r="BN3120">
        <v>155.93</v>
      </c>
      <c r="BO3120">
        <v>155.93</v>
      </c>
      <c r="BQ3120" t="s">
        <v>1244</v>
      </c>
      <c r="BR3120" t="s">
        <v>84</v>
      </c>
      <c r="BS3120" s="3">
        <v>45804</v>
      </c>
      <c r="BT3120" s="4">
        <v>0.4375</v>
      </c>
      <c r="BU3120" t="s">
        <v>1994</v>
      </c>
      <c r="BV3120" t="s">
        <v>89</v>
      </c>
      <c r="BW3120" t="s">
        <v>656</v>
      </c>
      <c r="BX3120" t="s">
        <v>1393</v>
      </c>
      <c r="BY3120">
        <v>5320</v>
      </c>
      <c r="CC3120" t="s">
        <v>1242</v>
      </c>
      <c r="CD3120">
        <v>1871</v>
      </c>
      <c r="CE3120" t="s">
        <v>116</v>
      </c>
      <c r="CF3120" s="3">
        <v>45805</v>
      </c>
      <c r="CI3120">
        <v>1</v>
      </c>
      <c r="CJ3120">
        <v>2</v>
      </c>
      <c r="CK3120">
        <v>23</v>
      </c>
      <c r="CL3120" t="s">
        <v>89</v>
      </c>
    </row>
    <row r="3121" spans="1:90" x14ac:dyDescent="0.3">
      <c r="A3121" t="s">
        <v>72</v>
      </c>
      <c r="B3121" t="s">
        <v>73</v>
      </c>
      <c r="C3121" t="s">
        <v>74</v>
      </c>
      <c r="E3121" t="str">
        <f>"080065530106"</f>
        <v>080065530106</v>
      </c>
      <c r="F3121" s="3">
        <v>45800</v>
      </c>
      <c r="G3121">
        <v>202602</v>
      </c>
      <c r="H3121" t="s">
        <v>75</v>
      </c>
      <c r="I3121" t="s">
        <v>76</v>
      </c>
      <c r="J3121" t="s">
        <v>77</v>
      </c>
      <c r="K3121" t="s">
        <v>78</v>
      </c>
      <c r="L3121" t="s">
        <v>130</v>
      </c>
      <c r="M3121" t="s">
        <v>131</v>
      </c>
      <c r="N3121" t="s">
        <v>239</v>
      </c>
      <c r="O3121" t="s">
        <v>82</v>
      </c>
      <c r="P3121" t="str">
        <f>"4170040399                    "</f>
        <v xml:space="preserve">4170040399                    </v>
      </c>
      <c r="Q3121">
        <v>0</v>
      </c>
      <c r="R3121">
        <v>0</v>
      </c>
      <c r="S3121">
        <v>0</v>
      </c>
      <c r="T3121">
        <v>0</v>
      </c>
      <c r="U3121">
        <v>0</v>
      </c>
      <c r="V3121">
        <v>0</v>
      </c>
      <c r="W3121">
        <v>0</v>
      </c>
      <c r="X3121">
        <v>0</v>
      </c>
      <c r="Y3121">
        <v>0</v>
      </c>
      <c r="Z3121">
        <v>0</v>
      </c>
      <c r="AA3121">
        <v>0</v>
      </c>
      <c r="AB3121">
        <v>0</v>
      </c>
      <c r="AC3121">
        <v>0</v>
      </c>
      <c r="AD3121">
        <v>0</v>
      </c>
      <c r="AE3121">
        <v>0</v>
      </c>
      <c r="AF3121">
        <v>0</v>
      </c>
      <c r="AG3121">
        <v>0</v>
      </c>
      <c r="AH3121">
        <v>0</v>
      </c>
      <c r="AI3121">
        <v>0</v>
      </c>
      <c r="AJ3121">
        <v>0</v>
      </c>
      <c r="AK3121">
        <v>0</v>
      </c>
      <c r="AL3121">
        <v>0</v>
      </c>
      <c r="AM3121">
        <v>0</v>
      </c>
      <c r="AN3121">
        <v>0</v>
      </c>
      <c r="AO3121">
        <v>0</v>
      </c>
      <c r="AP3121">
        <v>0</v>
      </c>
      <c r="AQ3121">
        <v>21.38</v>
      </c>
      <c r="AR3121">
        <v>0</v>
      </c>
      <c r="AS3121">
        <v>0</v>
      </c>
      <c r="AT3121">
        <v>0</v>
      </c>
      <c r="AU3121">
        <v>0</v>
      </c>
      <c r="AV3121">
        <v>0</v>
      </c>
      <c r="AW3121">
        <v>0</v>
      </c>
      <c r="AX3121">
        <v>0</v>
      </c>
      <c r="AY3121">
        <v>0</v>
      </c>
      <c r="AZ3121">
        <v>0</v>
      </c>
      <c r="BA3121">
        <v>0</v>
      </c>
      <c r="BB3121">
        <v>0</v>
      </c>
      <c r="BC3121">
        <v>0</v>
      </c>
      <c r="BD3121">
        <v>0</v>
      </c>
      <c r="BE3121">
        <v>0</v>
      </c>
      <c r="BF3121">
        <v>0</v>
      </c>
      <c r="BG3121">
        <v>0</v>
      </c>
      <c r="BH3121">
        <v>1</v>
      </c>
      <c r="BI3121">
        <v>1</v>
      </c>
      <c r="BJ3121">
        <v>0.2</v>
      </c>
      <c r="BK3121">
        <v>1</v>
      </c>
      <c r="BL3121">
        <v>69.98</v>
      </c>
      <c r="BM3121">
        <v>10.5</v>
      </c>
      <c r="BN3121">
        <v>80.48</v>
      </c>
      <c r="BO3121">
        <v>80.48</v>
      </c>
      <c r="BQ3121" t="s">
        <v>240</v>
      </c>
      <c r="BR3121" t="s">
        <v>84</v>
      </c>
      <c r="BS3121" s="3">
        <v>45803</v>
      </c>
      <c r="BT3121" s="4">
        <v>0.36041666666666666</v>
      </c>
      <c r="BU3121" t="s">
        <v>3075</v>
      </c>
      <c r="BV3121" t="s">
        <v>86</v>
      </c>
      <c r="BY3121">
        <v>1200</v>
      </c>
      <c r="CA3121" t="s">
        <v>1634</v>
      </c>
      <c r="CC3121" t="s">
        <v>131</v>
      </c>
      <c r="CD3121">
        <v>7441</v>
      </c>
      <c r="CE3121" t="s">
        <v>88</v>
      </c>
      <c r="CF3121" s="3">
        <v>45804</v>
      </c>
      <c r="CI3121">
        <v>1</v>
      </c>
      <c r="CJ3121">
        <v>1</v>
      </c>
      <c r="CK3121">
        <v>21</v>
      </c>
      <c r="CL3121" t="s">
        <v>89</v>
      </c>
    </row>
    <row r="3122" spans="1:90" x14ac:dyDescent="0.3">
      <c r="A3122" t="s">
        <v>72</v>
      </c>
      <c r="B3122" t="s">
        <v>73</v>
      </c>
      <c r="C3122" t="s">
        <v>74</v>
      </c>
      <c r="E3122" t="str">
        <f>"080065530130"</f>
        <v>080065530130</v>
      </c>
      <c r="F3122" s="3">
        <v>45800</v>
      </c>
      <c r="G3122">
        <v>202602</v>
      </c>
      <c r="H3122" t="s">
        <v>75</v>
      </c>
      <c r="I3122" t="s">
        <v>76</v>
      </c>
      <c r="J3122" t="s">
        <v>77</v>
      </c>
      <c r="K3122" t="s">
        <v>78</v>
      </c>
      <c r="L3122" t="s">
        <v>90</v>
      </c>
      <c r="M3122" t="s">
        <v>91</v>
      </c>
      <c r="N3122" t="s">
        <v>543</v>
      </c>
      <c r="O3122" t="s">
        <v>82</v>
      </c>
      <c r="P3122" t="str">
        <f>"4170040298                    "</f>
        <v xml:space="preserve">4170040298                    </v>
      </c>
      <c r="Q3122">
        <v>0</v>
      </c>
      <c r="R3122">
        <v>0</v>
      </c>
      <c r="S3122">
        <v>0</v>
      </c>
      <c r="T3122">
        <v>0</v>
      </c>
      <c r="U3122">
        <v>0</v>
      </c>
      <c r="V3122">
        <v>0</v>
      </c>
      <c r="W3122">
        <v>0</v>
      </c>
      <c r="X3122">
        <v>0</v>
      </c>
      <c r="Y3122">
        <v>0</v>
      </c>
      <c r="Z3122">
        <v>0</v>
      </c>
      <c r="AA3122">
        <v>0</v>
      </c>
      <c r="AB3122">
        <v>0</v>
      </c>
      <c r="AC3122">
        <v>0</v>
      </c>
      <c r="AD3122">
        <v>0</v>
      </c>
      <c r="AE3122">
        <v>0</v>
      </c>
      <c r="AF3122">
        <v>0</v>
      </c>
      <c r="AG3122">
        <v>0</v>
      </c>
      <c r="AH3122">
        <v>0</v>
      </c>
      <c r="AI3122">
        <v>0</v>
      </c>
      <c r="AJ3122">
        <v>0</v>
      </c>
      <c r="AK3122">
        <v>0</v>
      </c>
      <c r="AL3122">
        <v>0</v>
      </c>
      <c r="AM3122">
        <v>0</v>
      </c>
      <c r="AN3122">
        <v>0</v>
      </c>
      <c r="AO3122">
        <v>0</v>
      </c>
      <c r="AP3122">
        <v>0</v>
      </c>
      <c r="AQ3122">
        <v>32.07</v>
      </c>
      <c r="AR3122">
        <v>0</v>
      </c>
      <c r="AS3122">
        <v>0</v>
      </c>
      <c r="AT3122">
        <v>0</v>
      </c>
      <c r="AU3122">
        <v>0</v>
      </c>
      <c r="AV3122">
        <v>0</v>
      </c>
      <c r="AW3122">
        <v>0</v>
      </c>
      <c r="AX3122">
        <v>0</v>
      </c>
      <c r="AY3122">
        <v>0</v>
      </c>
      <c r="AZ3122">
        <v>0</v>
      </c>
      <c r="BA3122">
        <v>0</v>
      </c>
      <c r="BB3122">
        <v>0</v>
      </c>
      <c r="BC3122">
        <v>0</v>
      </c>
      <c r="BD3122">
        <v>0</v>
      </c>
      <c r="BE3122">
        <v>0</v>
      </c>
      <c r="BF3122">
        <v>0</v>
      </c>
      <c r="BG3122">
        <v>0</v>
      </c>
      <c r="BH3122">
        <v>1</v>
      </c>
      <c r="BI3122">
        <v>3</v>
      </c>
      <c r="BJ3122">
        <v>1.7</v>
      </c>
      <c r="BK3122">
        <v>3</v>
      </c>
      <c r="BL3122">
        <v>104.95</v>
      </c>
      <c r="BM3122">
        <v>15.74</v>
      </c>
      <c r="BN3122">
        <v>120.69</v>
      </c>
      <c r="BO3122">
        <v>120.69</v>
      </c>
      <c r="BQ3122" t="s">
        <v>544</v>
      </c>
      <c r="BR3122" t="s">
        <v>84</v>
      </c>
      <c r="BS3122" s="3">
        <v>45803</v>
      </c>
      <c r="BT3122" s="4">
        <v>0.35347222222222224</v>
      </c>
      <c r="BU3122" t="s">
        <v>1764</v>
      </c>
      <c r="BV3122" t="s">
        <v>86</v>
      </c>
      <c r="BY3122">
        <v>8512</v>
      </c>
      <c r="CA3122" t="s">
        <v>283</v>
      </c>
      <c r="CC3122" t="s">
        <v>91</v>
      </c>
      <c r="CD3122">
        <v>6001</v>
      </c>
      <c r="CE3122" t="s">
        <v>116</v>
      </c>
      <c r="CF3122" s="3">
        <v>45803</v>
      </c>
      <c r="CI3122">
        <v>1</v>
      </c>
      <c r="CJ3122">
        <v>1</v>
      </c>
      <c r="CK3122">
        <v>21</v>
      </c>
      <c r="CL3122" t="s">
        <v>89</v>
      </c>
    </row>
    <row r="3123" spans="1:90" x14ac:dyDescent="0.3">
      <c r="A3123" t="s">
        <v>72</v>
      </c>
      <c r="B3123" t="s">
        <v>73</v>
      </c>
      <c r="C3123" t="s">
        <v>74</v>
      </c>
      <c r="E3123" t="str">
        <f>"080065530131"</f>
        <v>080065530131</v>
      </c>
      <c r="F3123" s="3">
        <v>45800</v>
      </c>
      <c r="G3123">
        <v>202602</v>
      </c>
      <c r="H3123" t="s">
        <v>75</v>
      </c>
      <c r="I3123" t="s">
        <v>76</v>
      </c>
      <c r="J3123" t="s">
        <v>77</v>
      </c>
      <c r="K3123" t="s">
        <v>78</v>
      </c>
      <c r="L3123" t="s">
        <v>177</v>
      </c>
      <c r="M3123" t="s">
        <v>178</v>
      </c>
      <c r="N3123" t="s">
        <v>393</v>
      </c>
      <c r="O3123" t="s">
        <v>82</v>
      </c>
      <c r="P3123" t="str">
        <f>"4170040443                    "</f>
        <v xml:space="preserve">4170040443                    </v>
      </c>
      <c r="Q3123">
        <v>0</v>
      </c>
      <c r="R3123">
        <v>0</v>
      </c>
      <c r="S3123">
        <v>0</v>
      </c>
      <c r="T3123">
        <v>0</v>
      </c>
      <c r="U3123">
        <v>0</v>
      </c>
      <c r="V3123">
        <v>0</v>
      </c>
      <c r="W3123">
        <v>0</v>
      </c>
      <c r="X3123">
        <v>0</v>
      </c>
      <c r="Y3123">
        <v>0</v>
      </c>
      <c r="Z3123">
        <v>0</v>
      </c>
      <c r="AA3123">
        <v>0</v>
      </c>
      <c r="AB3123">
        <v>0</v>
      </c>
      <c r="AC3123">
        <v>0</v>
      </c>
      <c r="AD3123">
        <v>0</v>
      </c>
      <c r="AE3123">
        <v>0</v>
      </c>
      <c r="AF3123">
        <v>0</v>
      </c>
      <c r="AG3123">
        <v>0</v>
      </c>
      <c r="AH3123">
        <v>0</v>
      </c>
      <c r="AI3123">
        <v>0</v>
      </c>
      <c r="AJ3123">
        <v>0</v>
      </c>
      <c r="AK3123">
        <v>0</v>
      </c>
      <c r="AL3123">
        <v>0</v>
      </c>
      <c r="AM3123">
        <v>0</v>
      </c>
      <c r="AN3123">
        <v>0</v>
      </c>
      <c r="AO3123">
        <v>0</v>
      </c>
      <c r="AP3123">
        <v>0</v>
      </c>
      <c r="AQ3123">
        <v>21.38</v>
      </c>
      <c r="AR3123">
        <v>0</v>
      </c>
      <c r="AS3123">
        <v>0</v>
      </c>
      <c r="AT3123">
        <v>0</v>
      </c>
      <c r="AU3123">
        <v>0</v>
      </c>
      <c r="AV3123">
        <v>0</v>
      </c>
      <c r="AW3123">
        <v>0</v>
      </c>
      <c r="AX3123">
        <v>0</v>
      </c>
      <c r="AY3123">
        <v>0</v>
      </c>
      <c r="AZ3123">
        <v>0</v>
      </c>
      <c r="BA3123">
        <v>0</v>
      </c>
      <c r="BB3123">
        <v>0</v>
      </c>
      <c r="BC3123">
        <v>0</v>
      </c>
      <c r="BD3123">
        <v>0</v>
      </c>
      <c r="BE3123">
        <v>0</v>
      </c>
      <c r="BF3123">
        <v>0</v>
      </c>
      <c r="BG3123">
        <v>0</v>
      </c>
      <c r="BH3123">
        <v>1</v>
      </c>
      <c r="BI3123">
        <v>1</v>
      </c>
      <c r="BJ3123">
        <v>0.2</v>
      </c>
      <c r="BK3123">
        <v>1</v>
      </c>
      <c r="BL3123">
        <v>69.98</v>
      </c>
      <c r="BM3123">
        <v>10.5</v>
      </c>
      <c r="BN3123">
        <v>80.48</v>
      </c>
      <c r="BO3123">
        <v>80.48</v>
      </c>
      <c r="BQ3123" t="s">
        <v>394</v>
      </c>
      <c r="BR3123" t="s">
        <v>84</v>
      </c>
      <c r="BS3123" s="3">
        <v>45803</v>
      </c>
      <c r="BT3123" s="4">
        <v>0.33611111111111114</v>
      </c>
      <c r="BU3123" t="s">
        <v>395</v>
      </c>
      <c r="BV3123" t="s">
        <v>86</v>
      </c>
      <c r="BY3123">
        <v>1200</v>
      </c>
      <c r="CA3123" t="s">
        <v>182</v>
      </c>
      <c r="CC3123" t="s">
        <v>178</v>
      </c>
      <c r="CD3123">
        <v>6230</v>
      </c>
      <c r="CE3123" t="s">
        <v>88</v>
      </c>
      <c r="CF3123" s="3">
        <v>45803</v>
      </c>
      <c r="CI3123">
        <v>1</v>
      </c>
      <c r="CJ3123">
        <v>1</v>
      </c>
      <c r="CK3123">
        <v>21</v>
      </c>
      <c r="CL3123" t="s">
        <v>89</v>
      </c>
    </row>
    <row r="3124" spans="1:90" x14ac:dyDescent="0.3">
      <c r="A3124" t="s">
        <v>72</v>
      </c>
      <c r="B3124" t="s">
        <v>73</v>
      </c>
      <c r="C3124" t="s">
        <v>74</v>
      </c>
      <c r="E3124" t="str">
        <f>"080065530155"</f>
        <v>080065530155</v>
      </c>
      <c r="F3124" s="3">
        <v>45800</v>
      </c>
      <c r="G3124">
        <v>202602</v>
      </c>
      <c r="H3124" t="s">
        <v>75</v>
      </c>
      <c r="I3124" t="s">
        <v>76</v>
      </c>
      <c r="J3124" t="s">
        <v>77</v>
      </c>
      <c r="K3124" t="s">
        <v>78</v>
      </c>
      <c r="L3124" t="s">
        <v>75</v>
      </c>
      <c r="M3124" t="s">
        <v>76</v>
      </c>
      <c r="N3124" t="s">
        <v>390</v>
      </c>
      <c r="O3124" t="s">
        <v>82</v>
      </c>
      <c r="P3124" t="str">
        <f>"4170040329                    "</f>
        <v xml:space="preserve">4170040329                    </v>
      </c>
      <c r="Q3124">
        <v>0</v>
      </c>
      <c r="R3124">
        <v>0</v>
      </c>
      <c r="S3124">
        <v>0</v>
      </c>
      <c r="T3124">
        <v>0</v>
      </c>
      <c r="U3124">
        <v>0</v>
      </c>
      <c r="V3124">
        <v>0</v>
      </c>
      <c r="W3124">
        <v>0</v>
      </c>
      <c r="X3124">
        <v>0</v>
      </c>
      <c r="Y3124">
        <v>0</v>
      </c>
      <c r="Z3124">
        <v>0</v>
      </c>
      <c r="AA3124">
        <v>0</v>
      </c>
      <c r="AB3124">
        <v>0</v>
      </c>
      <c r="AC3124">
        <v>0</v>
      </c>
      <c r="AD3124">
        <v>0</v>
      </c>
      <c r="AE3124">
        <v>0</v>
      </c>
      <c r="AF3124">
        <v>0</v>
      </c>
      <c r="AG3124">
        <v>0</v>
      </c>
      <c r="AH3124">
        <v>0</v>
      </c>
      <c r="AI3124">
        <v>0</v>
      </c>
      <c r="AJ3124">
        <v>0</v>
      </c>
      <c r="AK3124">
        <v>0</v>
      </c>
      <c r="AL3124">
        <v>0</v>
      </c>
      <c r="AM3124">
        <v>0</v>
      </c>
      <c r="AN3124">
        <v>0</v>
      </c>
      <c r="AO3124">
        <v>0</v>
      </c>
      <c r="AP3124">
        <v>0</v>
      </c>
      <c r="AQ3124">
        <v>16.7</v>
      </c>
      <c r="AR3124">
        <v>0</v>
      </c>
      <c r="AS3124">
        <v>0</v>
      </c>
      <c r="AT3124">
        <v>0</v>
      </c>
      <c r="AU3124">
        <v>0</v>
      </c>
      <c r="AV3124">
        <v>0</v>
      </c>
      <c r="AW3124">
        <v>0</v>
      </c>
      <c r="AX3124">
        <v>0</v>
      </c>
      <c r="AY3124">
        <v>0</v>
      </c>
      <c r="AZ3124">
        <v>0</v>
      </c>
      <c r="BA3124">
        <v>0</v>
      </c>
      <c r="BB3124">
        <v>0</v>
      </c>
      <c r="BC3124">
        <v>0</v>
      </c>
      <c r="BD3124">
        <v>0</v>
      </c>
      <c r="BE3124">
        <v>0</v>
      </c>
      <c r="BF3124">
        <v>0</v>
      </c>
      <c r="BG3124">
        <v>0</v>
      </c>
      <c r="BH3124">
        <v>1</v>
      </c>
      <c r="BI3124">
        <v>2</v>
      </c>
      <c r="BJ3124">
        <v>3.4</v>
      </c>
      <c r="BK3124">
        <v>4</v>
      </c>
      <c r="BL3124">
        <v>54.66</v>
      </c>
      <c r="BM3124">
        <v>8.1999999999999993</v>
      </c>
      <c r="BN3124">
        <v>62.86</v>
      </c>
      <c r="BO3124">
        <v>62.86</v>
      </c>
      <c r="BQ3124" t="s">
        <v>391</v>
      </c>
      <c r="BR3124" t="s">
        <v>84</v>
      </c>
      <c r="BS3124" s="3">
        <v>45803</v>
      </c>
      <c r="BT3124" s="4">
        <v>0.34027777777777779</v>
      </c>
      <c r="BU3124" t="s">
        <v>2078</v>
      </c>
      <c r="BV3124" t="s">
        <v>86</v>
      </c>
      <c r="BY3124">
        <v>16965</v>
      </c>
      <c r="CA3124" t="s">
        <v>115</v>
      </c>
      <c r="CC3124" t="s">
        <v>76</v>
      </c>
      <c r="CD3124">
        <v>1600</v>
      </c>
      <c r="CE3124" t="s">
        <v>96</v>
      </c>
      <c r="CF3124" s="3">
        <v>45803</v>
      </c>
      <c r="CI3124">
        <v>1</v>
      </c>
      <c r="CJ3124">
        <v>1</v>
      </c>
      <c r="CK3124">
        <v>22</v>
      </c>
      <c r="CL3124" t="s">
        <v>89</v>
      </c>
    </row>
    <row r="3125" spans="1:90" x14ac:dyDescent="0.3">
      <c r="A3125" t="s">
        <v>72</v>
      </c>
      <c r="B3125" t="s">
        <v>73</v>
      </c>
      <c r="C3125" t="s">
        <v>74</v>
      </c>
      <c r="E3125" t="str">
        <f>"080065530151"</f>
        <v>080065530151</v>
      </c>
      <c r="F3125" s="3">
        <v>45800</v>
      </c>
      <c r="G3125">
        <v>202602</v>
      </c>
      <c r="H3125" t="s">
        <v>75</v>
      </c>
      <c r="I3125" t="s">
        <v>76</v>
      </c>
      <c r="J3125" t="s">
        <v>77</v>
      </c>
      <c r="K3125" t="s">
        <v>78</v>
      </c>
      <c r="L3125" t="s">
        <v>90</v>
      </c>
      <c r="M3125" t="s">
        <v>91</v>
      </c>
      <c r="N3125" t="s">
        <v>92</v>
      </c>
      <c r="O3125" t="s">
        <v>82</v>
      </c>
      <c r="P3125" t="str">
        <f>"4170040280                    "</f>
        <v xml:space="preserve">4170040280                    </v>
      </c>
      <c r="Q3125">
        <v>0</v>
      </c>
      <c r="R3125">
        <v>0</v>
      </c>
      <c r="S3125">
        <v>0</v>
      </c>
      <c r="T3125">
        <v>0</v>
      </c>
      <c r="U3125">
        <v>0</v>
      </c>
      <c r="V3125">
        <v>0</v>
      </c>
      <c r="W3125">
        <v>0</v>
      </c>
      <c r="X3125">
        <v>0</v>
      </c>
      <c r="Y3125">
        <v>0</v>
      </c>
      <c r="Z3125">
        <v>0</v>
      </c>
      <c r="AA3125">
        <v>0</v>
      </c>
      <c r="AB3125">
        <v>0</v>
      </c>
      <c r="AC3125">
        <v>0</v>
      </c>
      <c r="AD3125">
        <v>0</v>
      </c>
      <c r="AE3125">
        <v>0</v>
      </c>
      <c r="AF3125">
        <v>0</v>
      </c>
      <c r="AG3125">
        <v>0</v>
      </c>
      <c r="AH3125">
        <v>0</v>
      </c>
      <c r="AI3125">
        <v>0</v>
      </c>
      <c r="AJ3125">
        <v>0</v>
      </c>
      <c r="AK3125">
        <v>0</v>
      </c>
      <c r="AL3125">
        <v>0</v>
      </c>
      <c r="AM3125">
        <v>0</v>
      </c>
      <c r="AN3125">
        <v>0</v>
      </c>
      <c r="AO3125">
        <v>0</v>
      </c>
      <c r="AP3125">
        <v>0</v>
      </c>
      <c r="AQ3125">
        <v>21.38</v>
      </c>
      <c r="AR3125">
        <v>0</v>
      </c>
      <c r="AS3125">
        <v>0</v>
      </c>
      <c r="AT3125">
        <v>0</v>
      </c>
      <c r="AU3125">
        <v>0</v>
      </c>
      <c r="AV3125">
        <v>0</v>
      </c>
      <c r="AW3125">
        <v>0</v>
      </c>
      <c r="AX3125">
        <v>0</v>
      </c>
      <c r="AY3125">
        <v>0</v>
      </c>
      <c r="AZ3125">
        <v>0</v>
      </c>
      <c r="BA3125">
        <v>0</v>
      </c>
      <c r="BB3125">
        <v>0</v>
      </c>
      <c r="BC3125">
        <v>0</v>
      </c>
      <c r="BD3125">
        <v>0</v>
      </c>
      <c r="BE3125">
        <v>0</v>
      </c>
      <c r="BF3125">
        <v>0</v>
      </c>
      <c r="BG3125">
        <v>0</v>
      </c>
      <c r="BH3125">
        <v>1</v>
      </c>
      <c r="BI3125">
        <v>1</v>
      </c>
      <c r="BJ3125">
        <v>0.2</v>
      </c>
      <c r="BK3125">
        <v>1</v>
      </c>
      <c r="BL3125">
        <v>69.98</v>
      </c>
      <c r="BM3125">
        <v>10.5</v>
      </c>
      <c r="BN3125">
        <v>80.48</v>
      </c>
      <c r="BO3125">
        <v>80.48</v>
      </c>
      <c r="BQ3125" t="s">
        <v>93</v>
      </c>
      <c r="BR3125" t="s">
        <v>84</v>
      </c>
      <c r="BS3125" s="3">
        <v>45803</v>
      </c>
      <c r="BT3125" s="4">
        <v>0.36736111111111114</v>
      </c>
      <c r="BU3125" t="s">
        <v>94</v>
      </c>
      <c r="BV3125" t="s">
        <v>86</v>
      </c>
      <c r="BY3125">
        <v>1200</v>
      </c>
      <c r="CA3125" t="s">
        <v>95</v>
      </c>
      <c r="CC3125" t="s">
        <v>91</v>
      </c>
      <c r="CD3125">
        <v>6001</v>
      </c>
      <c r="CE3125" t="s">
        <v>88</v>
      </c>
      <c r="CF3125" s="3">
        <v>45803</v>
      </c>
      <c r="CI3125">
        <v>1</v>
      </c>
      <c r="CJ3125">
        <v>1</v>
      </c>
      <c r="CK3125">
        <v>21</v>
      </c>
      <c r="CL3125" t="s">
        <v>89</v>
      </c>
    </row>
    <row r="3126" spans="1:90" x14ac:dyDescent="0.3">
      <c r="A3126" t="s">
        <v>72</v>
      </c>
      <c r="B3126" t="s">
        <v>73</v>
      </c>
      <c r="C3126" t="s">
        <v>74</v>
      </c>
      <c r="E3126" t="str">
        <f>"080065530174"</f>
        <v>080065530174</v>
      </c>
      <c r="F3126" s="3">
        <v>45800</v>
      </c>
      <c r="G3126">
        <v>202602</v>
      </c>
      <c r="H3126" t="s">
        <v>75</v>
      </c>
      <c r="I3126" t="s">
        <v>76</v>
      </c>
      <c r="J3126" t="s">
        <v>77</v>
      </c>
      <c r="K3126" t="s">
        <v>78</v>
      </c>
      <c r="L3126" t="s">
        <v>117</v>
      </c>
      <c r="M3126" t="s">
        <v>118</v>
      </c>
      <c r="N3126" t="s">
        <v>1019</v>
      </c>
      <c r="O3126" t="s">
        <v>82</v>
      </c>
      <c r="P3126" t="str">
        <f>"4170040312                    "</f>
        <v xml:space="preserve">4170040312                    </v>
      </c>
      <c r="Q3126">
        <v>0</v>
      </c>
      <c r="R3126">
        <v>0</v>
      </c>
      <c r="S3126">
        <v>0</v>
      </c>
      <c r="T3126">
        <v>0</v>
      </c>
      <c r="U3126">
        <v>0</v>
      </c>
      <c r="V3126">
        <v>0</v>
      </c>
      <c r="W3126">
        <v>0</v>
      </c>
      <c r="X3126">
        <v>0</v>
      </c>
      <c r="Y3126">
        <v>0</v>
      </c>
      <c r="Z3126">
        <v>0</v>
      </c>
      <c r="AA3126">
        <v>0</v>
      </c>
      <c r="AB3126">
        <v>0</v>
      </c>
      <c r="AC3126">
        <v>0</v>
      </c>
      <c r="AD3126">
        <v>0</v>
      </c>
      <c r="AE3126">
        <v>0</v>
      </c>
      <c r="AF3126">
        <v>0</v>
      </c>
      <c r="AG3126">
        <v>0</v>
      </c>
      <c r="AH3126">
        <v>0</v>
      </c>
      <c r="AI3126">
        <v>0</v>
      </c>
      <c r="AJ3126">
        <v>0</v>
      </c>
      <c r="AK3126">
        <v>0</v>
      </c>
      <c r="AL3126">
        <v>0</v>
      </c>
      <c r="AM3126">
        <v>0</v>
      </c>
      <c r="AN3126">
        <v>0</v>
      </c>
      <c r="AO3126">
        <v>0</v>
      </c>
      <c r="AP3126">
        <v>0</v>
      </c>
      <c r="AQ3126">
        <v>16.7</v>
      </c>
      <c r="AR3126">
        <v>0</v>
      </c>
      <c r="AS3126">
        <v>0</v>
      </c>
      <c r="AT3126">
        <v>0</v>
      </c>
      <c r="AU3126">
        <v>0</v>
      </c>
      <c r="AV3126">
        <v>0</v>
      </c>
      <c r="AW3126">
        <v>0</v>
      </c>
      <c r="AX3126">
        <v>0</v>
      </c>
      <c r="AY3126">
        <v>0</v>
      </c>
      <c r="AZ3126">
        <v>0</v>
      </c>
      <c r="BA3126">
        <v>0</v>
      </c>
      <c r="BB3126">
        <v>0</v>
      </c>
      <c r="BC3126">
        <v>0</v>
      </c>
      <c r="BD3126">
        <v>0</v>
      </c>
      <c r="BE3126">
        <v>0</v>
      </c>
      <c r="BF3126">
        <v>0</v>
      </c>
      <c r="BG3126">
        <v>0</v>
      </c>
      <c r="BH3126">
        <v>1</v>
      </c>
      <c r="BI3126">
        <v>1</v>
      </c>
      <c r="BJ3126">
        <v>0.2</v>
      </c>
      <c r="BK3126">
        <v>1</v>
      </c>
      <c r="BL3126">
        <v>54.66</v>
      </c>
      <c r="BM3126">
        <v>8.1999999999999993</v>
      </c>
      <c r="BN3126">
        <v>62.86</v>
      </c>
      <c r="BO3126">
        <v>62.86</v>
      </c>
      <c r="BQ3126" t="s">
        <v>1020</v>
      </c>
      <c r="BR3126" t="s">
        <v>84</v>
      </c>
      <c r="BS3126" s="3">
        <v>45803</v>
      </c>
      <c r="BT3126" s="4">
        <v>0.4201388888888889</v>
      </c>
      <c r="BU3126" t="s">
        <v>1021</v>
      </c>
      <c r="BV3126" t="s">
        <v>86</v>
      </c>
      <c r="BY3126">
        <v>1200</v>
      </c>
      <c r="CA3126" t="s">
        <v>275</v>
      </c>
      <c r="CC3126" t="s">
        <v>118</v>
      </c>
      <c r="CD3126">
        <v>2013</v>
      </c>
      <c r="CE3126" t="s">
        <v>88</v>
      </c>
      <c r="CF3126" s="3">
        <v>45803</v>
      </c>
      <c r="CI3126">
        <v>1</v>
      </c>
      <c r="CJ3126">
        <v>1</v>
      </c>
      <c r="CK3126">
        <v>22</v>
      </c>
      <c r="CL3126" t="s">
        <v>89</v>
      </c>
    </row>
    <row r="3127" spans="1:90" x14ac:dyDescent="0.3">
      <c r="A3127" t="s">
        <v>72</v>
      </c>
      <c r="B3127" t="s">
        <v>73</v>
      </c>
      <c r="C3127" t="s">
        <v>74</v>
      </c>
      <c r="E3127" t="str">
        <f>"080065530184"</f>
        <v>080065530184</v>
      </c>
      <c r="F3127" s="3">
        <v>45800</v>
      </c>
      <c r="G3127">
        <v>202602</v>
      </c>
      <c r="H3127" t="s">
        <v>75</v>
      </c>
      <c r="I3127" t="s">
        <v>76</v>
      </c>
      <c r="J3127" t="s">
        <v>77</v>
      </c>
      <c r="K3127" t="s">
        <v>78</v>
      </c>
      <c r="L3127" t="s">
        <v>350</v>
      </c>
      <c r="M3127" t="s">
        <v>351</v>
      </c>
      <c r="N3127" t="s">
        <v>876</v>
      </c>
      <c r="O3127" t="s">
        <v>82</v>
      </c>
      <c r="P3127" t="str">
        <f>"4170040352                    "</f>
        <v xml:space="preserve">4170040352                    </v>
      </c>
      <c r="Q3127">
        <v>0</v>
      </c>
      <c r="R3127">
        <v>0</v>
      </c>
      <c r="S3127">
        <v>0</v>
      </c>
      <c r="T3127">
        <v>0</v>
      </c>
      <c r="U3127">
        <v>0</v>
      </c>
      <c r="V3127">
        <v>0</v>
      </c>
      <c r="W3127">
        <v>0</v>
      </c>
      <c r="X3127">
        <v>0</v>
      </c>
      <c r="Y3127">
        <v>0</v>
      </c>
      <c r="Z3127">
        <v>0</v>
      </c>
      <c r="AA3127">
        <v>0</v>
      </c>
      <c r="AB3127">
        <v>0</v>
      </c>
      <c r="AC3127">
        <v>0</v>
      </c>
      <c r="AD3127">
        <v>0</v>
      </c>
      <c r="AE3127">
        <v>0</v>
      </c>
      <c r="AF3127">
        <v>0</v>
      </c>
      <c r="AG3127">
        <v>0</v>
      </c>
      <c r="AH3127">
        <v>0</v>
      </c>
      <c r="AI3127">
        <v>0</v>
      </c>
      <c r="AJ3127">
        <v>0</v>
      </c>
      <c r="AK3127">
        <v>0</v>
      </c>
      <c r="AL3127">
        <v>0</v>
      </c>
      <c r="AM3127">
        <v>0</v>
      </c>
      <c r="AN3127">
        <v>0</v>
      </c>
      <c r="AO3127">
        <v>0</v>
      </c>
      <c r="AP3127">
        <v>0</v>
      </c>
      <c r="AQ3127">
        <v>21.38</v>
      </c>
      <c r="AR3127">
        <v>0</v>
      </c>
      <c r="AS3127">
        <v>0</v>
      </c>
      <c r="AT3127">
        <v>0</v>
      </c>
      <c r="AU3127">
        <v>0</v>
      </c>
      <c r="AV3127">
        <v>0</v>
      </c>
      <c r="AW3127">
        <v>0</v>
      </c>
      <c r="AX3127">
        <v>0</v>
      </c>
      <c r="AY3127">
        <v>0</v>
      </c>
      <c r="AZ3127">
        <v>0</v>
      </c>
      <c r="BA3127">
        <v>0</v>
      </c>
      <c r="BB3127">
        <v>0</v>
      </c>
      <c r="BC3127">
        <v>0</v>
      </c>
      <c r="BD3127">
        <v>0</v>
      </c>
      <c r="BE3127">
        <v>0</v>
      </c>
      <c r="BF3127">
        <v>0</v>
      </c>
      <c r="BG3127">
        <v>0</v>
      </c>
      <c r="BH3127">
        <v>1</v>
      </c>
      <c r="BI3127">
        <v>1</v>
      </c>
      <c r="BJ3127">
        <v>1.1000000000000001</v>
      </c>
      <c r="BK3127">
        <v>1.5</v>
      </c>
      <c r="BL3127">
        <v>69.98</v>
      </c>
      <c r="BM3127">
        <v>10.5</v>
      </c>
      <c r="BN3127">
        <v>80.48</v>
      </c>
      <c r="BO3127">
        <v>80.48</v>
      </c>
      <c r="BQ3127" t="s">
        <v>1409</v>
      </c>
      <c r="BR3127" t="s">
        <v>84</v>
      </c>
      <c r="BS3127" s="3">
        <v>45803</v>
      </c>
      <c r="BT3127" s="4">
        <v>0.38680555555555557</v>
      </c>
      <c r="BU3127" t="s">
        <v>3076</v>
      </c>
      <c r="BV3127" t="s">
        <v>86</v>
      </c>
      <c r="BY3127">
        <v>5320</v>
      </c>
      <c r="CA3127" t="s">
        <v>1410</v>
      </c>
      <c r="CC3127" t="s">
        <v>351</v>
      </c>
      <c r="CD3127">
        <v>4001</v>
      </c>
      <c r="CE3127" t="s">
        <v>116</v>
      </c>
      <c r="CF3127" s="3">
        <v>45803</v>
      </c>
      <c r="CI3127">
        <v>1</v>
      </c>
      <c r="CJ3127">
        <v>1</v>
      </c>
      <c r="CK3127">
        <v>21</v>
      </c>
      <c r="CL3127" t="s">
        <v>89</v>
      </c>
    </row>
    <row r="3128" spans="1:90" x14ac:dyDescent="0.3">
      <c r="A3128" t="s">
        <v>72</v>
      </c>
      <c r="B3128" t="s">
        <v>73</v>
      </c>
      <c r="C3128" t="s">
        <v>74</v>
      </c>
      <c r="E3128" t="str">
        <f>"080065530235"</f>
        <v>080065530235</v>
      </c>
      <c r="F3128" s="3">
        <v>45800</v>
      </c>
      <c r="G3128">
        <v>202602</v>
      </c>
      <c r="H3128" t="s">
        <v>75</v>
      </c>
      <c r="I3128" t="s">
        <v>76</v>
      </c>
      <c r="J3128" t="s">
        <v>77</v>
      </c>
      <c r="K3128" t="s">
        <v>78</v>
      </c>
      <c r="L3128" t="s">
        <v>136</v>
      </c>
      <c r="M3128" t="s">
        <v>137</v>
      </c>
      <c r="N3128" t="s">
        <v>161</v>
      </c>
      <c r="O3128" t="s">
        <v>82</v>
      </c>
      <c r="P3128" t="str">
        <f>"4170040315                    "</f>
        <v xml:space="preserve">4170040315                    </v>
      </c>
      <c r="Q3128">
        <v>0</v>
      </c>
      <c r="R3128">
        <v>0</v>
      </c>
      <c r="S3128">
        <v>0</v>
      </c>
      <c r="T3128">
        <v>0</v>
      </c>
      <c r="U3128">
        <v>0</v>
      </c>
      <c r="V3128">
        <v>0</v>
      </c>
      <c r="W3128">
        <v>0</v>
      </c>
      <c r="X3128">
        <v>0</v>
      </c>
      <c r="Y3128">
        <v>0</v>
      </c>
      <c r="Z3128">
        <v>0</v>
      </c>
      <c r="AA3128">
        <v>0</v>
      </c>
      <c r="AB3128">
        <v>0</v>
      </c>
      <c r="AC3128">
        <v>0</v>
      </c>
      <c r="AD3128">
        <v>0</v>
      </c>
      <c r="AE3128">
        <v>0</v>
      </c>
      <c r="AF3128">
        <v>0</v>
      </c>
      <c r="AG3128">
        <v>0</v>
      </c>
      <c r="AH3128">
        <v>0</v>
      </c>
      <c r="AI3128">
        <v>0</v>
      </c>
      <c r="AJ3128">
        <v>0</v>
      </c>
      <c r="AK3128">
        <v>0</v>
      </c>
      <c r="AL3128">
        <v>0</v>
      </c>
      <c r="AM3128">
        <v>0</v>
      </c>
      <c r="AN3128">
        <v>0</v>
      </c>
      <c r="AO3128">
        <v>0</v>
      </c>
      <c r="AP3128">
        <v>0</v>
      </c>
      <c r="AQ3128">
        <v>21.38</v>
      </c>
      <c r="AR3128">
        <v>0</v>
      </c>
      <c r="AS3128">
        <v>0</v>
      </c>
      <c r="AT3128">
        <v>0</v>
      </c>
      <c r="AU3128">
        <v>0</v>
      </c>
      <c r="AV3128">
        <v>0</v>
      </c>
      <c r="AW3128">
        <v>0</v>
      </c>
      <c r="AX3128">
        <v>0</v>
      </c>
      <c r="AY3128">
        <v>0</v>
      </c>
      <c r="AZ3128">
        <v>0</v>
      </c>
      <c r="BA3128">
        <v>0</v>
      </c>
      <c r="BB3128">
        <v>0</v>
      </c>
      <c r="BC3128">
        <v>0</v>
      </c>
      <c r="BD3128">
        <v>0</v>
      </c>
      <c r="BE3128">
        <v>0</v>
      </c>
      <c r="BF3128">
        <v>0</v>
      </c>
      <c r="BG3128">
        <v>0</v>
      </c>
      <c r="BH3128">
        <v>1</v>
      </c>
      <c r="BI3128">
        <v>1</v>
      </c>
      <c r="BJ3128">
        <v>0.2</v>
      </c>
      <c r="BK3128">
        <v>1</v>
      </c>
      <c r="BL3128">
        <v>69.98</v>
      </c>
      <c r="BM3128">
        <v>10.5</v>
      </c>
      <c r="BN3128">
        <v>80.48</v>
      </c>
      <c r="BO3128">
        <v>80.48</v>
      </c>
      <c r="BQ3128" t="s">
        <v>162</v>
      </c>
      <c r="BR3128" t="s">
        <v>84</v>
      </c>
      <c r="BS3128" s="3">
        <v>45803</v>
      </c>
      <c r="BT3128" s="4">
        <v>0.38333333333333336</v>
      </c>
      <c r="BU3128" t="s">
        <v>1337</v>
      </c>
      <c r="BV3128" t="s">
        <v>86</v>
      </c>
      <c r="BY3128">
        <v>1200</v>
      </c>
      <c r="CA3128" t="s">
        <v>199</v>
      </c>
      <c r="CC3128" t="s">
        <v>137</v>
      </c>
      <c r="CD3128" s="5" t="s">
        <v>165</v>
      </c>
      <c r="CE3128" t="s">
        <v>88</v>
      </c>
      <c r="CF3128" s="3">
        <v>45803</v>
      </c>
      <c r="CI3128">
        <v>1</v>
      </c>
      <c r="CJ3128">
        <v>1</v>
      </c>
      <c r="CK3128">
        <v>21</v>
      </c>
      <c r="CL3128" t="s">
        <v>89</v>
      </c>
    </row>
    <row r="3129" spans="1:90" x14ac:dyDescent="0.3">
      <c r="A3129" t="s">
        <v>72</v>
      </c>
      <c r="B3129" t="s">
        <v>73</v>
      </c>
      <c r="C3129" t="s">
        <v>74</v>
      </c>
      <c r="E3129" t="str">
        <f>"080065530243"</f>
        <v>080065530243</v>
      </c>
      <c r="F3129" s="3">
        <v>45800</v>
      </c>
      <c r="G3129">
        <v>202602</v>
      </c>
      <c r="H3129" t="s">
        <v>75</v>
      </c>
      <c r="I3129" t="s">
        <v>76</v>
      </c>
      <c r="J3129" t="s">
        <v>77</v>
      </c>
      <c r="K3129" t="s">
        <v>78</v>
      </c>
      <c r="L3129" t="s">
        <v>844</v>
      </c>
      <c r="M3129" t="s">
        <v>845</v>
      </c>
      <c r="N3129" t="s">
        <v>846</v>
      </c>
      <c r="O3129" t="s">
        <v>82</v>
      </c>
      <c r="P3129" t="str">
        <f>"4170040370                    "</f>
        <v xml:space="preserve">4170040370                    </v>
      </c>
      <c r="Q3129">
        <v>0</v>
      </c>
      <c r="R3129">
        <v>0</v>
      </c>
      <c r="S3129">
        <v>0</v>
      </c>
      <c r="T3129">
        <v>0</v>
      </c>
      <c r="U3129">
        <v>0</v>
      </c>
      <c r="V3129">
        <v>0</v>
      </c>
      <c r="W3129">
        <v>0</v>
      </c>
      <c r="X3129">
        <v>0</v>
      </c>
      <c r="Y3129">
        <v>0</v>
      </c>
      <c r="Z3129">
        <v>0</v>
      </c>
      <c r="AA3129">
        <v>0</v>
      </c>
      <c r="AB3129">
        <v>0</v>
      </c>
      <c r="AC3129">
        <v>0</v>
      </c>
      <c r="AD3129">
        <v>0</v>
      </c>
      <c r="AE3129">
        <v>0</v>
      </c>
      <c r="AF3129">
        <v>0</v>
      </c>
      <c r="AG3129">
        <v>0</v>
      </c>
      <c r="AH3129">
        <v>0</v>
      </c>
      <c r="AI3129">
        <v>0</v>
      </c>
      <c r="AJ3129">
        <v>0</v>
      </c>
      <c r="AK3129">
        <v>0</v>
      </c>
      <c r="AL3129">
        <v>0</v>
      </c>
      <c r="AM3129">
        <v>0</v>
      </c>
      <c r="AN3129">
        <v>0</v>
      </c>
      <c r="AO3129">
        <v>0</v>
      </c>
      <c r="AP3129">
        <v>0</v>
      </c>
      <c r="AQ3129">
        <v>21.38</v>
      </c>
      <c r="AR3129">
        <v>0</v>
      </c>
      <c r="AS3129">
        <v>0</v>
      </c>
      <c r="AT3129">
        <v>0</v>
      </c>
      <c r="AU3129">
        <v>0</v>
      </c>
      <c r="AV3129">
        <v>0</v>
      </c>
      <c r="AW3129">
        <v>0</v>
      </c>
      <c r="AX3129">
        <v>0</v>
      </c>
      <c r="AY3129">
        <v>0</v>
      </c>
      <c r="AZ3129">
        <v>0</v>
      </c>
      <c r="BA3129">
        <v>0</v>
      </c>
      <c r="BB3129">
        <v>0</v>
      </c>
      <c r="BC3129">
        <v>0</v>
      </c>
      <c r="BD3129">
        <v>0</v>
      </c>
      <c r="BE3129">
        <v>0</v>
      </c>
      <c r="BF3129">
        <v>0</v>
      </c>
      <c r="BG3129">
        <v>0</v>
      </c>
      <c r="BH3129">
        <v>1</v>
      </c>
      <c r="BI3129">
        <v>1</v>
      </c>
      <c r="BJ3129">
        <v>1.9</v>
      </c>
      <c r="BK3129">
        <v>2</v>
      </c>
      <c r="BL3129">
        <v>69.98</v>
      </c>
      <c r="BM3129">
        <v>10.5</v>
      </c>
      <c r="BN3129">
        <v>80.48</v>
      </c>
      <c r="BO3129">
        <v>80.48</v>
      </c>
      <c r="BQ3129" t="s">
        <v>847</v>
      </c>
      <c r="BR3129" t="s">
        <v>84</v>
      </c>
      <c r="BS3129" s="3">
        <v>45803</v>
      </c>
      <c r="BT3129" s="4">
        <v>0.37083333333333335</v>
      </c>
      <c r="BU3129" t="s">
        <v>2897</v>
      </c>
      <c r="BV3129" t="s">
        <v>86</v>
      </c>
      <c r="BY3129">
        <v>9600</v>
      </c>
      <c r="CA3129" t="s">
        <v>849</v>
      </c>
      <c r="CC3129" t="s">
        <v>845</v>
      </c>
      <c r="CD3129">
        <v>7600</v>
      </c>
      <c r="CE3129" t="s">
        <v>96</v>
      </c>
      <c r="CF3129" s="3">
        <v>45804</v>
      </c>
      <c r="CI3129">
        <v>1</v>
      </c>
      <c r="CJ3129">
        <v>1</v>
      </c>
      <c r="CK3129">
        <v>21</v>
      </c>
      <c r="CL3129" t="s">
        <v>89</v>
      </c>
    </row>
    <row r="3130" spans="1:90" x14ac:dyDescent="0.3">
      <c r="A3130" t="s">
        <v>72</v>
      </c>
      <c r="B3130" t="s">
        <v>73</v>
      </c>
      <c r="C3130" t="s">
        <v>74</v>
      </c>
      <c r="E3130" t="str">
        <f>"080065530290"</f>
        <v>080065530290</v>
      </c>
      <c r="F3130" s="3">
        <v>45800</v>
      </c>
      <c r="G3130">
        <v>202602</v>
      </c>
      <c r="H3130" t="s">
        <v>75</v>
      </c>
      <c r="I3130" t="s">
        <v>76</v>
      </c>
      <c r="J3130" t="s">
        <v>77</v>
      </c>
      <c r="K3130" t="s">
        <v>78</v>
      </c>
      <c r="L3130" t="s">
        <v>222</v>
      </c>
      <c r="M3130" t="s">
        <v>223</v>
      </c>
      <c r="N3130" t="s">
        <v>224</v>
      </c>
      <c r="O3130" t="s">
        <v>82</v>
      </c>
      <c r="P3130" t="str">
        <f>"4170040282                    "</f>
        <v xml:space="preserve">4170040282                    </v>
      </c>
      <c r="Q3130">
        <v>0</v>
      </c>
      <c r="R3130">
        <v>0</v>
      </c>
      <c r="S3130">
        <v>0</v>
      </c>
      <c r="T3130">
        <v>0</v>
      </c>
      <c r="U3130">
        <v>0</v>
      </c>
      <c r="V3130">
        <v>0</v>
      </c>
      <c r="W3130">
        <v>0</v>
      </c>
      <c r="X3130">
        <v>0</v>
      </c>
      <c r="Y3130">
        <v>0</v>
      </c>
      <c r="Z3130">
        <v>0</v>
      </c>
      <c r="AA3130">
        <v>0</v>
      </c>
      <c r="AB3130">
        <v>0</v>
      </c>
      <c r="AC3130">
        <v>0</v>
      </c>
      <c r="AD3130">
        <v>0</v>
      </c>
      <c r="AE3130">
        <v>0</v>
      </c>
      <c r="AF3130">
        <v>0</v>
      </c>
      <c r="AG3130">
        <v>0</v>
      </c>
      <c r="AH3130">
        <v>0</v>
      </c>
      <c r="AI3130">
        <v>0</v>
      </c>
      <c r="AJ3130">
        <v>0</v>
      </c>
      <c r="AK3130">
        <v>0</v>
      </c>
      <c r="AL3130">
        <v>0</v>
      </c>
      <c r="AM3130">
        <v>0</v>
      </c>
      <c r="AN3130">
        <v>0</v>
      </c>
      <c r="AO3130">
        <v>0</v>
      </c>
      <c r="AP3130">
        <v>0</v>
      </c>
      <c r="AQ3130">
        <v>30.07</v>
      </c>
      <c r="AR3130">
        <v>0</v>
      </c>
      <c r="AS3130">
        <v>0</v>
      </c>
      <c r="AT3130">
        <v>0</v>
      </c>
      <c r="AU3130">
        <v>0</v>
      </c>
      <c r="AV3130">
        <v>0</v>
      </c>
      <c r="AW3130">
        <v>0</v>
      </c>
      <c r="AX3130">
        <v>0</v>
      </c>
      <c r="AY3130">
        <v>0</v>
      </c>
      <c r="AZ3130">
        <v>0</v>
      </c>
      <c r="BA3130">
        <v>0</v>
      </c>
      <c r="BB3130">
        <v>0</v>
      </c>
      <c r="BC3130">
        <v>0</v>
      </c>
      <c r="BD3130">
        <v>0</v>
      </c>
      <c r="BE3130">
        <v>0</v>
      </c>
      <c r="BF3130">
        <v>0</v>
      </c>
      <c r="BG3130">
        <v>0</v>
      </c>
      <c r="BH3130">
        <v>1</v>
      </c>
      <c r="BI3130">
        <v>1</v>
      </c>
      <c r="BJ3130">
        <v>0.2</v>
      </c>
      <c r="BK3130">
        <v>1</v>
      </c>
      <c r="BL3130">
        <v>98.42</v>
      </c>
      <c r="BM3130">
        <v>14.76</v>
      </c>
      <c r="BN3130">
        <v>113.18</v>
      </c>
      <c r="BO3130">
        <v>113.18</v>
      </c>
      <c r="BQ3130" t="s">
        <v>225</v>
      </c>
      <c r="BR3130" t="s">
        <v>84</v>
      </c>
      <c r="BS3130" s="3">
        <v>45803</v>
      </c>
      <c r="BT3130" s="4">
        <v>0.4861111111111111</v>
      </c>
      <c r="BU3130" t="s">
        <v>226</v>
      </c>
      <c r="BV3130" t="s">
        <v>86</v>
      </c>
      <c r="BY3130">
        <v>1200</v>
      </c>
      <c r="CA3130" t="s">
        <v>227</v>
      </c>
      <c r="CC3130" t="s">
        <v>223</v>
      </c>
      <c r="CD3130">
        <v>1754</v>
      </c>
      <c r="CE3130" t="s">
        <v>88</v>
      </c>
      <c r="CF3130" s="3">
        <v>45803</v>
      </c>
      <c r="CI3130">
        <v>1</v>
      </c>
      <c r="CJ3130">
        <v>1</v>
      </c>
      <c r="CK3130">
        <v>24</v>
      </c>
      <c r="CL3130" t="s">
        <v>89</v>
      </c>
    </row>
    <row r="3131" spans="1:90" x14ac:dyDescent="0.3">
      <c r="A3131" t="s">
        <v>72</v>
      </c>
      <c r="B3131" t="s">
        <v>73</v>
      </c>
      <c r="C3131" t="s">
        <v>74</v>
      </c>
      <c r="E3131" t="str">
        <f>"080065530485"</f>
        <v>080065530485</v>
      </c>
      <c r="F3131" s="3">
        <v>45800</v>
      </c>
      <c r="G3131">
        <v>202602</v>
      </c>
      <c r="H3131" t="s">
        <v>75</v>
      </c>
      <c r="I3131" t="s">
        <v>76</v>
      </c>
      <c r="J3131" t="s">
        <v>77</v>
      </c>
      <c r="K3131" t="s">
        <v>78</v>
      </c>
      <c r="L3131" t="s">
        <v>79</v>
      </c>
      <c r="M3131" t="s">
        <v>80</v>
      </c>
      <c r="N3131" t="s">
        <v>415</v>
      </c>
      <c r="O3131" t="s">
        <v>82</v>
      </c>
      <c r="P3131" t="str">
        <f>"4170040316                    "</f>
        <v xml:space="preserve">4170040316                    </v>
      </c>
      <c r="Q3131">
        <v>0</v>
      </c>
      <c r="R3131">
        <v>0</v>
      </c>
      <c r="S3131">
        <v>0</v>
      </c>
      <c r="T3131">
        <v>0</v>
      </c>
      <c r="U3131">
        <v>0</v>
      </c>
      <c r="V3131">
        <v>0</v>
      </c>
      <c r="W3131">
        <v>0</v>
      </c>
      <c r="X3131">
        <v>0</v>
      </c>
      <c r="Y3131">
        <v>0</v>
      </c>
      <c r="Z3131">
        <v>0</v>
      </c>
      <c r="AA3131">
        <v>0</v>
      </c>
      <c r="AB3131">
        <v>0</v>
      </c>
      <c r="AC3131">
        <v>0</v>
      </c>
      <c r="AD3131">
        <v>0</v>
      </c>
      <c r="AE3131">
        <v>0</v>
      </c>
      <c r="AF3131">
        <v>0</v>
      </c>
      <c r="AG3131">
        <v>0</v>
      </c>
      <c r="AH3131">
        <v>0</v>
      </c>
      <c r="AI3131">
        <v>0</v>
      </c>
      <c r="AJ3131">
        <v>0</v>
      </c>
      <c r="AK3131">
        <v>0</v>
      </c>
      <c r="AL3131">
        <v>0</v>
      </c>
      <c r="AM3131">
        <v>0</v>
      </c>
      <c r="AN3131">
        <v>0</v>
      </c>
      <c r="AO3131">
        <v>0</v>
      </c>
      <c r="AP3131">
        <v>0</v>
      </c>
      <c r="AQ3131">
        <v>53.43</v>
      </c>
      <c r="AR3131">
        <v>0</v>
      </c>
      <c r="AS3131">
        <v>0</v>
      </c>
      <c r="AT3131">
        <v>0</v>
      </c>
      <c r="AU3131">
        <v>0</v>
      </c>
      <c r="AV3131">
        <v>0</v>
      </c>
      <c r="AW3131">
        <v>0</v>
      </c>
      <c r="AX3131">
        <v>0</v>
      </c>
      <c r="AY3131">
        <v>0</v>
      </c>
      <c r="AZ3131">
        <v>0</v>
      </c>
      <c r="BA3131">
        <v>0</v>
      </c>
      <c r="BB3131">
        <v>0</v>
      </c>
      <c r="BC3131">
        <v>0</v>
      </c>
      <c r="BD3131">
        <v>0</v>
      </c>
      <c r="BE3131">
        <v>0</v>
      </c>
      <c r="BF3131">
        <v>0</v>
      </c>
      <c r="BG3131">
        <v>0</v>
      </c>
      <c r="BH3131">
        <v>1</v>
      </c>
      <c r="BI3131">
        <v>5</v>
      </c>
      <c r="BJ3131">
        <v>4.0999999999999996</v>
      </c>
      <c r="BK3131">
        <v>5</v>
      </c>
      <c r="BL3131">
        <v>174.87</v>
      </c>
      <c r="BM3131">
        <v>26.23</v>
      </c>
      <c r="BN3131">
        <v>201.1</v>
      </c>
      <c r="BO3131">
        <v>201.1</v>
      </c>
      <c r="BQ3131" t="s">
        <v>416</v>
      </c>
      <c r="BR3131" t="s">
        <v>84</v>
      </c>
      <c r="BS3131" s="3">
        <v>45803</v>
      </c>
      <c r="BT3131" s="4">
        <v>0.66597222222222219</v>
      </c>
      <c r="BU3131" t="s">
        <v>1152</v>
      </c>
      <c r="BV3131" t="s">
        <v>89</v>
      </c>
      <c r="BW3131" t="s">
        <v>296</v>
      </c>
      <c r="BX3131" t="s">
        <v>325</v>
      </c>
      <c r="BY3131">
        <v>20358</v>
      </c>
      <c r="CA3131" t="s">
        <v>87</v>
      </c>
      <c r="CC3131" t="s">
        <v>80</v>
      </c>
      <c r="CD3131">
        <v>3610</v>
      </c>
      <c r="CE3131" t="s">
        <v>96</v>
      </c>
      <c r="CF3131" s="3">
        <v>45803</v>
      </c>
      <c r="CI3131">
        <v>1</v>
      </c>
      <c r="CJ3131">
        <v>1</v>
      </c>
      <c r="CK3131">
        <v>21</v>
      </c>
      <c r="CL3131" t="s">
        <v>89</v>
      </c>
    </row>
    <row r="3132" spans="1:90" x14ac:dyDescent="0.3">
      <c r="A3132" t="s">
        <v>72</v>
      </c>
      <c r="B3132" t="s">
        <v>73</v>
      </c>
      <c r="C3132" t="s">
        <v>74</v>
      </c>
      <c r="E3132" t="str">
        <f>"080065530540"</f>
        <v>080065530540</v>
      </c>
      <c r="F3132" s="3">
        <v>45800</v>
      </c>
      <c r="G3132">
        <v>202602</v>
      </c>
      <c r="H3132" t="s">
        <v>75</v>
      </c>
      <c r="I3132" t="s">
        <v>76</v>
      </c>
      <c r="J3132" t="s">
        <v>77</v>
      </c>
      <c r="K3132" t="s">
        <v>78</v>
      </c>
      <c r="L3132" t="s">
        <v>648</v>
      </c>
      <c r="M3132" t="s">
        <v>649</v>
      </c>
      <c r="N3132" t="s">
        <v>762</v>
      </c>
      <c r="O3132" t="s">
        <v>82</v>
      </c>
      <c r="P3132" t="str">
        <f>"4170040436                    "</f>
        <v xml:space="preserve">4170040436                    </v>
      </c>
      <c r="Q3132">
        <v>0</v>
      </c>
      <c r="R3132">
        <v>0</v>
      </c>
      <c r="S3132">
        <v>0</v>
      </c>
      <c r="T3132">
        <v>0</v>
      </c>
      <c r="U3132">
        <v>0</v>
      </c>
      <c r="V3132">
        <v>0</v>
      </c>
      <c r="W3132">
        <v>0</v>
      </c>
      <c r="X3132">
        <v>0</v>
      </c>
      <c r="Y3132">
        <v>0</v>
      </c>
      <c r="Z3132">
        <v>0</v>
      </c>
      <c r="AA3132">
        <v>0</v>
      </c>
      <c r="AB3132">
        <v>0</v>
      </c>
      <c r="AC3132">
        <v>0</v>
      </c>
      <c r="AD3132">
        <v>0</v>
      </c>
      <c r="AE3132">
        <v>0</v>
      </c>
      <c r="AF3132">
        <v>0</v>
      </c>
      <c r="AG3132">
        <v>0</v>
      </c>
      <c r="AH3132">
        <v>0</v>
      </c>
      <c r="AI3132">
        <v>0</v>
      </c>
      <c r="AJ3132">
        <v>0</v>
      </c>
      <c r="AK3132">
        <v>0</v>
      </c>
      <c r="AL3132">
        <v>0</v>
      </c>
      <c r="AM3132">
        <v>0</v>
      </c>
      <c r="AN3132">
        <v>0</v>
      </c>
      <c r="AO3132">
        <v>0</v>
      </c>
      <c r="AP3132">
        <v>0</v>
      </c>
      <c r="AQ3132">
        <v>16.7</v>
      </c>
      <c r="AR3132">
        <v>0</v>
      </c>
      <c r="AS3132">
        <v>0</v>
      </c>
      <c r="AT3132">
        <v>0</v>
      </c>
      <c r="AU3132">
        <v>0</v>
      </c>
      <c r="AV3132">
        <v>0</v>
      </c>
      <c r="AW3132">
        <v>0</v>
      </c>
      <c r="AX3132">
        <v>0</v>
      </c>
      <c r="AY3132">
        <v>0</v>
      </c>
      <c r="AZ3132">
        <v>0</v>
      </c>
      <c r="BA3132">
        <v>0</v>
      </c>
      <c r="BB3132">
        <v>0</v>
      </c>
      <c r="BC3132">
        <v>0</v>
      </c>
      <c r="BD3132">
        <v>0</v>
      </c>
      <c r="BE3132">
        <v>0</v>
      </c>
      <c r="BF3132">
        <v>0</v>
      </c>
      <c r="BG3132">
        <v>0</v>
      </c>
      <c r="BH3132">
        <v>1</v>
      </c>
      <c r="BI3132">
        <v>2</v>
      </c>
      <c r="BJ3132">
        <v>0.9</v>
      </c>
      <c r="BK3132">
        <v>2</v>
      </c>
      <c r="BL3132">
        <v>54.66</v>
      </c>
      <c r="BM3132">
        <v>8.1999999999999993</v>
      </c>
      <c r="BN3132">
        <v>62.86</v>
      </c>
      <c r="BO3132">
        <v>62.86</v>
      </c>
      <c r="BQ3132" t="s">
        <v>763</v>
      </c>
      <c r="BR3132" t="s">
        <v>84</v>
      </c>
      <c r="BS3132" s="3">
        <v>45803</v>
      </c>
      <c r="BT3132" s="4">
        <v>0.37013888888888891</v>
      </c>
      <c r="BU3132" t="s">
        <v>763</v>
      </c>
      <c r="BV3132" t="s">
        <v>86</v>
      </c>
      <c r="BY3132">
        <v>4560</v>
      </c>
      <c r="CA3132" t="s">
        <v>937</v>
      </c>
      <c r="CC3132" t="s">
        <v>649</v>
      </c>
      <c r="CD3132">
        <v>1559</v>
      </c>
      <c r="CE3132" t="s">
        <v>116</v>
      </c>
      <c r="CF3132" s="3">
        <v>45804</v>
      </c>
      <c r="CI3132">
        <v>1</v>
      </c>
      <c r="CJ3132">
        <v>1</v>
      </c>
      <c r="CK3132">
        <v>22</v>
      </c>
      <c r="CL3132" t="s">
        <v>89</v>
      </c>
    </row>
    <row r="3133" spans="1:90" x14ac:dyDescent="0.3">
      <c r="A3133" t="s">
        <v>72</v>
      </c>
      <c r="B3133" t="s">
        <v>73</v>
      </c>
      <c r="C3133" t="s">
        <v>74</v>
      </c>
      <c r="E3133" t="str">
        <f>"080065530590"</f>
        <v>080065530590</v>
      </c>
      <c r="F3133" s="3">
        <v>45800</v>
      </c>
      <c r="G3133">
        <v>202602</v>
      </c>
      <c r="H3133" t="s">
        <v>75</v>
      </c>
      <c r="I3133" t="s">
        <v>76</v>
      </c>
      <c r="J3133" t="s">
        <v>77</v>
      </c>
      <c r="K3133" t="s">
        <v>78</v>
      </c>
      <c r="L3133" t="s">
        <v>350</v>
      </c>
      <c r="M3133" t="s">
        <v>351</v>
      </c>
      <c r="N3133" t="s">
        <v>459</v>
      </c>
      <c r="O3133" t="s">
        <v>82</v>
      </c>
      <c r="P3133" t="str">
        <f>"4170040307                    "</f>
        <v xml:space="preserve">4170040307                    </v>
      </c>
      <c r="Q3133">
        <v>0</v>
      </c>
      <c r="R3133">
        <v>0</v>
      </c>
      <c r="S3133">
        <v>0</v>
      </c>
      <c r="T3133">
        <v>0</v>
      </c>
      <c r="U3133">
        <v>0</v>
      </c>
      <c r="V3133">
        <v>0</v>
      </c>
      <c r="W3133">
        <v>0</v>
      </c>
      <c r="X3133">
        <v>0</v>
      </c>
      <c r="Y3133">
        <v>0</v>
      </c>
      <c r="Z3133">
        <v>0</v>
      </c>
      <c r="AA3133">
        <v>0</v>
      </c>
      <c r="AB3133">
        <v>0</v>
      </c>
      <c r="AC3133">
        <v>0</v>
      </c>
      <c r="AD3133">
        <v>0</v>
      </c>
      <c r="AE3133">
        <v>0</v>
      </c>
      <c r="AF3133">
        <v>0</v>
      </c>
      <c r="AG3133">
        <v>0</v>
      </c>
      <c r="AH3133">
        <v>0</v>
      </c>
      <c r="AI3133">
        <v>0</v>
      </c>
      <c r="AJ3133">
        <v>0</v>
      </c>
      <c r="AK3133">
        <v>0</v>
      </c>
      <c r="AL3133">
        <v>0</v>
      </c>
      <c r="AM3133">
        <v>0</v>
      </c>
      <c r="AN3133">
        <v>0</v>
      </c>
      <c r="AO3133">
        <v>0</v>
      </c>
      <c r="AP3133">
        <v>0</v>
      </c>
      <c r="AQ3133">
        <v>21.38</v>
      </c>
      <c r="AR3133">
        <v>0</v>
      </c>
      <c r="AS3133">
        <v>0</v>
      </c>
      <c r="AT3133">
        <v>0</v>
      </c>
      <c r="AU3133">
        <v>0</v>
      </c>
      <c r="AV3133">
        <v>0</v>
      </c>
      <c r="AW3133">
        <v>0</v>
      </c>
      <c r="AX3133">
        <v>0</v>
      </c>
      <c r="AY3133">
        <v>0</v>
      </c>
      <c r="AZ3133">
        <v>0</v>
      </c>
      <c r="BA3133">
        <v>0</v>
      </c>
      <c r="BB3133">
        <v>0</v>
      </c>
      <c r="BC3133">
        <v>0</v>
      </c>
      <c r="BD3133">
        <v>0</v>
      </c>
      <c r="BE3133">
        <v>0</v>
      </c>
      <c r="BF3133">
        <v>0</v>
      </c>
      <c r="BG3133">
        <v>0</v>
      </c>
      <c r="BH3133">
        <v>1</v>
      </c>
      <c r="BI3133">
        <v>1</v>
      </c>
      <c r="BJ3133">
        <v>1.1000000000000001</v>
      </c>
      <c r="BK3133">
        <v>1.5</v>
      </c>
      <c r="BL3133">
        <v>69.98</v>
      </c>
      <c r="BM3133">
        <v>10.5</v>
      </c>
      <c r="BN3133">
        <v>80.48</v>
      </c>
      <c r="BO3133">
        <v>80.48</v>
      </c>
      <c r="BQ3133" t="s">
        <v>460</v>
      </c>
      <c r="BR3133" t="s">
        <v>84</v>
      </c>
      <c r="BS3133" s="3">
        <v>45803</v>
      </c>
      <c r="BT3133" s="4">
        <v>0.31874999999999998</v>
      </c>
      <c r="BU3133" t="s">
        <v>461</v>
      </c>
      <c r="BV3133" t="s">
        <v>86</v>
      </c>
      <c r="BY3133">
        <v>5320</v>
      </c>
      <c r="CA3133" t="s">
        <v>462</v>
      </c>
      <c r="CC3133" t="s">
        <v>351</v>
      </c>
      <c r="CD3133">
        <v>4051</v>
      </c>
      <c r="CE3133" t="s">
        <v>176</v>
      </c>
      <c r="CF3133" s="3">
        <v>45803</v>
      </c>
      <c r="CI3133">
        <v>1</v>
      </c>
      <c r="CJ3133">
        <v>1</v>
      </c>
      <c r="CK3133">
        <v>21</v>
      </c>
      <c r="CL3133" t="s">
        <v>89</v>
      </c>
    </row>
    <row r="3134" spans="1:90" x14ac:dyDescent="0.3">
      <c r="A3134" t="s">
        <v>72</v>
      </c>
      <c r="B3134" t="s">
        <v>73</v>
      </c>
      <c r="C3134" t="s">
        <v>74</v>
      </c>
      <c r="E3134" t="str">
        <f>"080065530633"</f>
        <v>080065530633</v>
      </c>
      <c r="F3134" s="3">
        <v>45800</v>
      </c>
      <c r="G3134">
        <v>202602</v>
      </c>
      <c r="H3134" t="s">
        <v>75</v>
      </c>
      <c r="I3134" t="s">
        <v>76</v>
      </c>
      <c r="J3134" t="s">
        <v>77</v>
      </c>
      <c r="K3134" t="s">
        <v>78</v>
      </c>
      <c r="L3134" t="s">
        <v>489</v>
      </c>
      <c r="M3134" t="s">
        <v>490</v>
      </c>
      <c r="N3134" t="s">
        <v>491</v>
      </c>
      <c r="O3134" t="s">
        <v>82</v>
      </c>
      <c r="P3134" t="str">
        <f>"4170040273                    "</f>
        <v xml:space="preserve">4170040273                    </v>
      </c>
      <c r="Q3134">
        <v>0</v>
      </c>
      <c r="R3134">
        <v>0</v>
      </c>
      <c r="S3134">
        <v>0</v>
      </c>
      <c r="T3134">
        <v>0</v>
      </c>
      <c r="U3134">
        <v>0</v>
      </c>
      <c r="V3134">
        <v>0</v>
      </c>
      <c r="W3134">
        <v>0</v>
      </c>
      <c r="X3134">
        <v>0</v>
      </c>
      <c r="Y3134">
        <v>0</v>
      </c>
      <c r="Z3134">
        <v>0</v>
      </c>
      <c r="AA3134">
        <v>0</v>
      </c>
      <c r="AB3134">
        <v>0</v>
      </c>
      <c r="AC3134">
        <v>0</v>
      </c>
      <c r="AD3134">
        <v>0</v>
      </c>
      <c r="AE3134">
        <v>0</v>
      </c>
      <c r="AF3134">
        <v>0</v>
      </c>
      <c r="AG3134">
        <v>0</v>
      </c>
      <c r="AH3134">
        <v>0</v>
      </c>
      <c r="AI3134">
        <v>0</v>
      </c>
      <c r="AJ3134">
        <v>0</v>
      </c>
      <c r="AK3134">
        <v>0</v>
      </c>
      <c r="AL3134">
        <v>0</v>
      </c>
      <c r="AM3134">
        <v>0</v>
      </c>
      <c r="AN3134">
        <v>0</v>
      </c>
      <c r="AO3134">
        <v>0</v>
      </c>
      <c r="AP3134">
        <v>0</v>
      </c>
      <c r="AQ3134">
        <v>116.27</v>
      </c>
      <c r="AR3134">
        <v>0</v>
      </c>
      <c r="AS3134">
        <v>0</v>
      </c>
      <c r="AT3134">
        <v>0</v>
      </c>
      <c r="AU3134">
        <v>0</v>
      </c>
      <c r="AV3134">
        <v>0</v>
      </c>
      <c r="AW3134">
        <v>0</v>
      </c>
      <c r="AX3134">
        <v>0</v>
      </c>
      <c r="AY3134">
        <v>0</v>
      </c>
      <c r="AZ3134">
        <v>0</v>
      </c>
      <c r="BA3134">
        <v>0</v>
      </c>
      <c r="BB3134">
        <v>0</v>
      </c>
      <c r="BC3134">
        <v>0</v>
      </c>
      <c r="BD3134">
        <v>0</v>
      </c>
      <c r="BE3134">
        <v>0</v>
      </c>
      <c r="BF3134">
        <v>0</v>
      </c>
      <c r="BG3134">
        <v>0</v>
      </c>
      <c r="BH3134">
        <v>1</v>
      </c>
      <c r="BI3134">
        <v>6</v>
      </c>
      <c r="BJ3134">
        <v>3.4</v>
      </c>
      <c r="BK3134">
        <v>6</v>
      </c>
      <c r="BL3134">
        <v>380.51</v>
      </c>
      <c r="BM3134">
        <v>57.08</v>
      </c>
      <c r="BN3134">
        <v>437.59</v>
      </c>
      <c r="BO3134">
        <v>437.59</v>
      </c>
      <c r="BQ3134" t="s">
        <v>492</v>
      </c>
      <c r="BR3134" t="s">
        <v>84</v>
      </c>
      <c r="BS3134" s="3">
        <v>45803</v>
      </c>
      <c r="BT3134" s="4">
        <v>0.49444444444444446</v>
      </c>
      <c r="BU3134" t="s">
        <v>912</v>
      </c>
      <c r="BV3134" t="s">
        <v>86</v>
      </c>
      <c r="BY3134">
        <v>16965</v>
      </c>
      <c r="CA3134" t="s">
        <v>913</v>
      </c>
      <c r="CC3134" t="s">
        <v>490</v>
      </c>
      <c r="CD3134">
        <v>2740</v>
      </c>
      <c r="CE3134" t="s">
        <v>176</v>
      </c>
      <c r="CF3134" s="3">
        <v>45804</v>
      </c>
      <c r="CI3134">
        <v>1</v>
      </c>
      <c r="CJ3134">
        <v>1</v>
      </c>
      <c r="CK3134">
        <v>23</v>
      </c>
      <c r="CL3134" t="s">
        <v>89</v>
      </c>
    </row>
    <row r="3135" spans="1:90" x14ac:dyDescent="0.3">
      <c r="A3135" t="s">
        <v>72</v>
      </c>
      <c r="B3135" t="s">
        <v>73</v>
      </c>
      <c r="C3135" t="s">
        <v>74</v>
      </c>
      <c r="E3135" t="str">
        <f>"080065530672"</f>
        <v>080065530672</v>
      </c>
      <c r="F3135" s="3">
        <v>45800</v>
      </c>
      <c r="G3135">
        <v>202602</v>
      </c>
      <c r="H3135" t="s">
        <v>75</v>
      </c>
      <c r="I3135" t="s">
        <v>76</v>
      </c>
      <c r="J3135" t="s">
        <v>77</v>
      </c>
      <c r="K3135" t="s">
        <v>78</v>
      </c>
      <c r="L3135" t="s">
        <v>143</v>
      </c>
      <c r="M3135" t="s">
        <v>144</v>
      </c>
      <c r="N3135" t="s">
        <v>3077</v>
      </c>
      <c r="O3135" t="s">
        <v>82</v>
      </c>
      <c r="P3135" t="str">
        <f>"4170040293                    "</f>
        <v xml:space="preserve">4170040293                    </v>
      </c>
      <c r="Q3135">
        <v>0</v>
      </c>
      <c r="R3135">
        <v>0</v>
      </c>
      <c r="S3135">
        <v>0</v>
      </c>
      <c r="T3135">
        <v>0</v>
      </c>
      <c r="U3135">
        <v>0</v>
      </c>
      <c r="V3135">
        <v>0</v>
      </c>
      <c r="W3135">
        <v>0</v>
      </c>
      <c r="X3135">
        <v>0</v>
      </c>
      <c r="Y3135">
        <v>0</v>
      </c>
      <c r="Z3135">
        <v>0</v>
      </c>
      <c r="AA3135">
        <v>0</v>
      </c>
      <c r="AB3135">
        <v>0</v>
      </c>
      <c r="AC3135">
        <v>0</v>
      </c>
      <c r="AD3135">
        <v>0</v>
      </c>
      <c r="AE3135">
        <v>0</v>
      </c>
      <c r="AF3135">
        <v>0</v>
      </c>
      <c r="AG3135">
        <v>0</v>
      </c>
      <c r="AH3135">
        <v>0</v>
      </c>
      <c r="AI3135">
        <v>0</v>
      </c>
      <c r="AJ3135">
        <v>0</v>
      </c>
      <c r="AK3135">
        <v>0</v>
      </c>
      <c r="AL3135">
        <v>0</v>
      </c>
      <c r="AM3135">
        <v>0</v>
      </c>
      <c r="AN3135">
        <v>0</v>
      </c>
      <c r="AO3135">
        <v>0</v>
      </c>
      <c r="AP3135">
        <v>0</v>
      </c>
      <c r="AQ3135">
        <v>16.7</v>
      </c>
      <c r="AR3135">
        <v>0</v>
      </c>
      <c r="AS3135">
        <v>0</v>
      </c>
      <c r="AT3135">
        <v>0</v>
      </c>
      <c r="AU3135">
        <v>0</v>
      </c>
      <c r="AV3135">
        <v>0</v>
      </c>
      <c r="AW3135">
        <v>0</v>
      </c>
      <c r="AX3135">
        <v>0</v>
      </c>
      <c r="AY3135">
        <v>0</v>
      </c>
      <c r="AZ3135">
        <v>0</v>
      </c>
      <c r="BA3135">
        <v>0</v>
      </c>
      <c r="BB3135">
        <v>0</v>
      </c>
      <c r="BC3135">
        <v>0</v>
      </c>
      <c r="BD3135">
        <v>0</v>
      </c>
      <c r="BE3135">
        <v>0</v>
      </c>
      <c r="BF3135">
        <v>0</v>
      </c>
      <c r="BG3135">
        <v>0</v>
      </c>
      <c r="BH3135">
        <v>1</v>
      </c>
      <c r="BI3135">
        <v>5</v>
      </c>
      <c r="BJ3135">
        <v>4.5</v>
      </c>
      <c r="BK3135">
        <v>5</v>
      </c>
      <c r="BL3135">
        <v>54.66</v>
      </c>
      <c r="BM3135">
        <v>8.1999999999999993</v>
      </c>
      <c r="BN3135">
        <v>62.86</v>
      </c>
      <c r="BO3135">
        <v>62.86</v>
      </c>
      <c r="BQ3135" t="s">
        <v>3078</v>
      </c>
      <c r="BR3135" t="s">
        <v>84</v>
      </c>
      <c r="BS3135" s="3">
        <v>45803</v>
      </c>
      <c r="BT3135" s="4">
        <v>0.36666666666666664</v>
      </c>
      <c r="BU3135" t="s">
        <v>3079</v>
      </c>
      <c r="BV3135" t="s">
        <v>86</v>
      </c>
      <c r="BY3135">
        <v>22620</v>
      </c>
      <c r="CA3135" t="s">
        <v>3080</v>
      </c>
      <c r="CC3135" t="s">
        <v>144</v>
      </c>
      <c r="CD3135">
        <v>1401</v>
      </c>
      <c r="CE3135" t="s">
        <v>176</v>
      </c>
      <c r="CF3135" s="3">
        <v>45803</v>
      </c>
      <c r="CI3135">
        <v>1</v>
      </c>
      <c r="CJ3135">
        <v>1</v>
      </c>
      <c r="CK3135">
        <v>22</v>
      </c>
      <c r="CL3135" t="s">
        <v>89</v>
      </c>
    </row>
    <row r="3136" spans="1:90" x14ac:dyDescent="0.3">
      <c r="A3136" t="s">
        <v>72</v>
      </c>
      <c r="B3136" t="s">
        <v>73</v>
      </c>
      <c r="C3136" t="s">
        <v>74</v>
      </c>
      <c r="E3136" t="str">
        <f>"080065530755"</f>
        <v>080065530755</v>
      </c>
      <c r="F3136" s="3">
        <v>45800</v>
      </c>
      <c r="G3136">
        <v>202602</v>
      </c>
      <c r="H3136" t="s">
        <v>75</v>
      </c>
      <c r="I3136" t="s">
        <v>76</v>
      </c>
      <c r="J3136" t="s">
        <v>77</v>
      </c>
      <c r="K3136" t="s">
        <v>78</v>
      </c>
      <c r="L3136" t="s">
        <v>117</v>
      </c>
      <c r="M3136" t="s">
        <v>118</v>
      </c>
      <c r="N3136" t="s">
        <v>2468</v>
      </c>
      <c r="O3136" t="s">
        <v>300</v>
      </c>
      <c r="P3136" t="str">
        <f>"4170040459                    "</f>
        <v xml:space="preserve">4170040459                    </v>
      </c>
      <c r="Q3136">
        <v>0</v>
      </c>
      <c r="R3136">
        <v>0</v>
      </c>
      <c r="S3136">
        <v>0</v>
      </c>
      <c r="T3136">
        <v>0</v>
      </c>
      <c r="U3136">
        <v>0</v>
      </c>
      <c r="V3136">
        <v>0</v>
      </c>
      <c r="W3136">
        <v>0</v>
      </c>
      <c r="X3136">
        <v>0</v>
      </c>
      <c r="Y3136">
        <v>0</v>
      </c>
      <c r="Z3136">
        <v>0</v>
      </c>
      <c r="AA3136">
        <v>0</v>
      </c>
      <c r="AB3136">
        <v>0</v>
      </c>
      <c r="AC3136">
        <v>0</v>
      </c>
      <c r="AD3136">
        <v>0</v>
      </c>
      <c r="AE3136">
        <v>0</v>
      </c>
      <c r="AF3136">
        <v>0</v>
      </c>
      <c r="AG3136">
        <v>0</v>
      </c>
      <c r="AH3136">
        <v>0</v>
      </c>
      <c r="AI3136">
        <v>0</v>
      </c>
      <c r="AJ3136">
        <v>0</v>
      </c>
      <c r="AK3136">
        <v>0</v>
      </c>
      <c r="AL3136">
        <v>0</v>
      </c>
      <c r="AM3136">
        <v>0</v>
      </c>
      <c r="AN3136">
        <v>0</v>
      </c>
      <c r="AO3136">
        <v>0</v>
      </c>
      <c r="AP3136">
        <v>0</v>
      </c>
      <c r="AQ3136">
        <v>66.42</v>
      </c>
      <c r="AR3136">
        <v>0</v>
      </c>
      <c r="AS3136">
        <v>0</v>
      </c>
      <c r="AT3136">
        <v>0</v>
      </c>
      <c r="AU3136">
        <v>0</v>
      </c>
      <c r="AV3136">
        <v>0</v>
      </c>
      <c r="AW3136">
        <v>0</v>
      </c>
      <c r="AX3136">
        <v>0</v>
      </c>
      <c r="AY3136">
        <v>0</v>
      </c>
      <c r="AZ3136">
        <v>0</v>
      </c>
      <c r="BA3136">
        <v>0</v>
      </c>
      <c r="BB3136">
        <v>0</v>
      </c>
      <c r="BC3136">
        <v>0</v>
      </c>
      <c r="BD3136">
        <v>0</v>
      </c>
      <c r="BE3136">
        <v>0</v>
      </c>
      <c r="BF3136">
        <v>0</v>
      </c>
      <c r="BG3136">
        <v>0</v>
      </c>
      <c r="BH3136">
        <v>3</v>
      </c>
      <c r="BI3136">
        <v>21</v>
      </c>
      <c r="BJ3136">
        <v>51.9</v>
      </c>
      <c r="BK3136">
        <v>52</v>
      </c>
      <c r="BL3136">
        <v>222.95</v>
      </c>
      <c r="BM3136">
        <v>33.44</v>
      </c>
      <c r="BN3136">
        <v>256.39</v>
      </c>
      <c r="BO3136">
        <v>256.39</v>
      </c>
      <c r="BQ3136" t="s">
        <v>2469</v>
      </c>
      <c r="BR3136" t="s">
        <v>84</v>
      </c>
      <c r="BS3136" s="3">
        <v>45803</v>
      </c>
      <c r="BT3136" s="4">
        <v>0.38124999999999998</v>
      </c>
      <c r="BU3136" t="s">
        <v>2470</v>
      </c>
      <c r="BV3136" t="s">
        <v>86</v>
      </c>
      <c r="BY3136">
        <v>259590</v>
      </c>
      <c r="CC3136" t="s">
        <v>118</v>
      </c>
      <c r="CD3136">
        <v>2007</v>
      </c>
      <c r="CE3136" t="s">
        <v>176</v>
      </c>
      <c r="CF3136" s="3">
        <v>45803</v>
      </c>
      <c r="CI3136">
        <v>1</v>
      </c>
      <c r="CJ3136">
        <v>1</v>
      </c>
      <c r="CK3136">
        <v>42</v>
      </c>
      <c r="CL3136" t="s">
        <v>89</v>
      </c>
    </row>
    <row r="3137" spans="1:90" x14ac:dyDescent="0.3">
      <c r="A3137" t="s">
        <v>72</v>
      </c>
      <c r="B3137" t="s">
        <v>73</v>
      </c>
      <c r="C3137" t="s">
        <v>74</v>
      </c>
      <c r="E3137" t="str">
        <f>"080065530824"</f>
        <v>080065530824</v>
      </c>
      <c r="F3137" s="3">
        <v>45800</v>
      </c>
      <c r="G3137">
        <v>202602</v>
      </c>
      <c r="H3137" t="s">
        <v>75</v>
      </c>
      <c r="I3137" t="s">
        <v>76</v>
      </c>
      <c r="J3137" t="s">
        <v>77</v>
      </c>
      <c r="K3137" t="s">
        <v>78</v>
      </c>
      <c r="L3137" t="s">
        <v>1864</v>
      </c>
      <c r="M3137" t="s">
        <v>1865</v>
      </c>
      <c r="N3137" t="s">
        <v>3081</v>
      </c>
      <c r="O3137" t="s">
        <v>82</v>
      </c>
      <c r="P3137" t="str">
        <f>"4170040343                    "</f>
        <v xml:space="preserve">4170040343                    </v>
      </c>
      <c r="Q3137">
        <v>0</v>
      </c>
      <c r="R3137">
        <v>0</v>
      </c>
      <c r="S3137">
        <v>0</v>
      </c>
      <c r="T3137">
        <v>0</v>
      </c>
      <c r="U3137">
        <v>0</v>
      </c>
      <c r="V3137">
        <v>0</v>
      </c>
      <c r="W3137">
        <v>0</v>
      </c>
      <c r="X3137">
        <v>0</v>
      </c>
      <c r="Y3137">
        <v>0</v>
      </c>
      <c r="Z3137">
        <v>0</v>
      </c>
      <c r="AA3137">
        <v>0</v>
      </c>
      <c r="AB3137">
        <v>0</v>
      </c>
      <c r="AC3137">
        <v>0</v>
      </c>
      <c r="AD3137">
        <v>0</v>
      </c>
      <c r="AE3137">
        <v>0</v>
      </c>
      <c r="AF3137">
        <v>0</v>
      </c>
      <c r="AG3137">
        <v>0</v>
      </c>
      <c r="AH3137">
        <v>0</v>
      </c>
      <c r="AI3137">
        <v>0</v>
      </c>
      <c r="AJ3137">
        <v>0</v>
      </c>
      <c r="AK3137">
        <v>0</v>
      </c>
      <c r="AL3137">
        <v>0</v>
      </c>
      <c r="AM3137">
        <v>0</v>
      </c>
      <c r="AN3137">
        <v>0</v>
      </c>
      <c r="AO3137">
        <v>0</v>
      </c>
      <c r="AP3137">
        <v>0</v>
      </c>
      <c r="AQ3137">
        <v>60.14</v>
      </c>
      <c r="AR3137">
        <v>0</v>
      </c>
      <c r="AS3137">
        <v>0</v>
      </c>
      <c r="AT3137">
        <v>0</v>
      </c>
      <c r="AU3137">
        <v>0</v>
      </c>
      <c r="AV3137">
        <v>0</v>
      </c>
      <c r="AW3137">
        <v>16.739999999999998</v>
      </c>
      <c r="AX3137">
        <v>0</v>
      </c>
      <c r="AY3137">
        <v>0</v>
      </c>
      <c r="AZ3137">
        <v>0</v>
      </c>
      <c r="BA3137">
        <v>0</v>
      </c>
      <c r="BB3137">
        <v>0</v>
      </c>
      <c r="BC3137">
        <v>0</v>
      </c>
      <c r="BD3137">
        <v>0</v>
      </c>
      <c r="BE3137">
        <v>0</v>
      </c>
      <c r="BF3137">
        <v>0</v>
      </c>
      <c r="BG3137">
        <v>0</v>
      </c>
      <c r="BH3137">
        <v>1</v>
      </c>
      <c r="BI3137">
        <v>3</v>
      </c>
      <c r="BJ3137">
        <v>0.6</v>
      </c>
      <c r="BK3137">
        <v>3</v>
      </c>
      <c r="BL3137">
        <v>213.56</v>
      </c>
      <c r="BM3137">
        <v>32.03</v>
      </c>
      <c r="BN3137">
        <v>245.59</v>
      </c>
      <c r="BO3137">
        <v>245.59</v>
      </c>
      <c r="BQ3137" t="s">
        <v>3082</v>
      </c>
      <c r="BR3137" t="s">
        <v>84</v>
      </c>
      <c r="BS3137" s="3">
        <v>45803</v>
      </c>
      <c r="BT3137" s="4">
        <v>0.4375</v>
      </c>
      <c r="BU3137" t="s">
        <v>3083</v>
      </c>
      <c r="BV3137" t="s">
        <v>86</v>
      </c>
      <c r="BY3137">
        <v>3192</v>
      </c>
      <c r="BZ3137" t="s">
        <v>30</v>
      </c>
      <c r="CA3137" t="s">
        <v>3084</v>
      </c>
      <c r="CC3137" t="s">
        <v>1865</v>
      </c>
      <c r="CD3137">
        <v>8460</v>
      </c>
      <c r="CE3137" t="s">
        <v>116</v>
      </c>
      <c r="CF3137" s="3">
        <v>45804</v>
      </c>
      <c r="CI3137">
        <v>1</v>
      </c>
      <c r="CJ3137">
        <v>1</v>
      </c>
      <c r="CK3137">
        <v>23</v>
      </c>
      <c r="CL3137" t="s">
        <v>89</v>
      </c>
    </row>
    <row r="3138" spans="1:90" x14ac:dyDescent="0.3">
      <c r="A3138" t="s">
        <v>72</v>
      </c>
      <c r="B3138" t="s">
        <v>73</v>
      </c>
      <c r="C3138" t="s">
        <v>74</v>
      </c>
      <c r="E3138" t="str">
        <f>"080065530848"</f>
        <v>080065530848</v>
      </c>
      <c r="F3138" s="3">
        <v>45800</v>
      </c>
      <c r="G3138">
        <v>202602</v>
      </c>
      <c r="H3138" t="s">
        <v>75</v>
      </c>
      <c r="I3138" t="s">
        <v>76</v>
      </c>
      <c r="J3138" t="s">
        <v>77</v>
      </c>
      <c r="K3138" t="s">
        <v>78</v>
      </c>
      <c r="L3138" t="s">
        <v>1214</v>
      </c>
      <c r="M3138" t="s">
        <v>1215</v>
      </c>
      <c r="N3138" t="s">
        <v>1216</v>
      </c>
      <c r="O3138" t="s">
        <v>82</v>
      </c>
      <c r="P3138" t="str">
        <f>"4170040325                    "</f>
        <v xml:space="preserve">4170040325                    </v>
      </c>
      <c r="Q3138">
        <v>0</v>
      </c>
      <c r="R3138">
        <v>0</v>
      </c>
      <c r="S3138">
        <v>0</v>
      </c>
      <c r="T3138">
        <v>0</v>
      </c>
      <c r="U3138">
        <v>0</v>
      </c>
      <c r="V3138">
        <v>0</v>
      </c>
      <c r="W3138">
        <v>0</v>
      </c>
      <c r="X3138">
        <v>0</v>
      </c>
      <c r="Y3138">
        <v>0</v>
      </c>
      <c r="Z3138">
        <v>0</v>
      </c>
      <c r="AA3138">
        <v>0</v>
      </c>
      <c r="AB3138">
        <v>0</v>
      </c>
      <c r="AC3138">
        <v>0</v>
      </c>
      <c r="AD3138">
        <v>0</v>
      </c>
      <c r="AE3138">
        <v>0</v>
      </c>
      <c r="AF3138">
        <v>0</v>
      </c>
      <c r="AG3138">
        <v>0</v>
      </c>
      <c r="AH3138">
        <v>0</v>
      </c>
      <c r="AI3138">
        <v>0</v>
      </c>
      <c r="AJ3138">
        <v>0</v>
      </c>
      <c r="AK3138">
        <v>0</v>
      </c>
      <c r="AL3138">
        <v>0</v>
      </c>
      <c r="AM3138">
        <v>0</v>
      </c>
      <c r="AN3138">
        <v>0</v>
      </c>
      <c r="AO3138">
        <v>0</v>
      </c>
      <c r="AP3138">
        <v>0</v>
      </c>
      <c r="AQ3138">
        <v>21.38</v>
      </c>
      <c r="AR3138">
        <v>0</v>
      </c>
      <c r="AS3138">
        <v>0</v>
      </c>
      <c r="AT3138">
        <v>0</v>
      </c>
      <c r="AU3138">
        <v>0</v>
      </c>
      <c r="AV3138">
        <v>0</v>
      </c>
      <c r="AW3138">
        <v>0</v>
      </c>
      <c r="AX3138">
        <v>0</v>
      </c>
      <c r="AY3138">
        <v>0</v>
      </c>
      <c r="AZ3138">
        <v>0</v>
      </c>
      <c r="BA3138">
        <v>0</v>
      </c>
      <c r="BB3138">
        <v>0</v>
      </c>
      <c r="BC3138">
        <v>0</v>
      </c>
      <c r="BD3138">
        <v>0</v>
      </c>
      <c r="BE3138">
        <v>0</v>
      </c>
      <c r="BF3138">
        <v>0</v>
      </c>
      <c r="BG3138">
        <v>0</v>
      </c>
      <c r="BH3138">
        <v>1</v>
      </c>
      <c r="BI3138">
        <v>1</v>
      </c>
      <c r="BJ3138">
        <v>1.1000000000000001</v>
      </c>
      <c r="BK3138">
        <v>1.5</v>
      </c>
      <c r="BL3138">
        <v>69.98</v>
      </c>
      <c r="BM3138">
        <v>10.5</v>
      </c>
      <c r="BN3138">
        <v>80.48</v>
      </c>
      <c r="BO3138">
        <v>80.48</v>
      </c>
      <c r="BQ3138" t="s">
        <v>1217</v>
      </c>
      <c r="BR3138" t="s">
        <v>84</v>
      </c>
      <c r="BS3138" s="3">
        <v>45803</v>
      </c>
      <c r="BT3138" s="4">
        <v>0.375</v>
      </c>
      <c r="BU3138" t="s">
        <v>2581</v>
      </c>
      <c r="BV3138" t="s">
        <v>86</v>
      </c>
      <c r="BY3138">
        <v>5320</v>
      </c>
      <c r="CA3138" t="s">
        <v>1219</v>
      </c>
      <c r="CC3138" t="s">
        <v>1215</v>
      </c>
      <c r="CD3138">
        <v>4302</v>
      </c>
      <c r="CE3138" t="s">
        <v>116</v>
      </c>
      <c r="CF3138" s="3">
        <v>45804</v>
      </c>
      <c r="CI3138">
        <v>1</v>
      </c>
      <c r="CJ3138">
        <v>1</v>
      </c>
      <c r="CK3138">
        <v>21</v>
      </c>
      <c r="CL3138" t="s">
        <v>89</v>
      </c>
    </row>
    <row r="3139" spans="1:90" x14ac:dyDescent="0.3">
      <c r="A3139" t="s">
        <v>72</v>
      </c>
      <c r="B3139" t="s">
        <v>73</v>
      </c>
      <c r="C3139" t="s">
        <v>74</v>
      </c>
      <c r="E3139" t="str">
        <f>"080065531252"</f>
        <v>080065531252</v>
      </c>
      <c r="F3139" s="3">
        <v>45800</v>
      </c>
      <c r="G3139">
        <v>202602</v>
      </c>
      <c r="H3139" t="s">
        <v>75</v>
      </c>
      <c r="I3139" t="s">
        <v>76</v>
      </c>
      <c r="J3139" t="s">
        <v>77</v>
      </c>
      <c r="K3139" t="s">
        <v>78</v>
      </c>
      <c r="L3139" t="s">
        <v>130</v>
      </c>
      <c r="M3139" t="s">
        <v>131</v>
      </c>
      <c r="N3139" t="s">
        <v>709</v>
      </c>
      <c r="O3139" t="s">
        <v>300</v>
      </c>
      <c r="P3139" t="str">
        <f>"4170040292                    "</f>
        <v xml:space="preserve">4170040292                    </v>
      </c>
      <c r="Q3139">
        <v>0</v>
      </c>
      <c r="R3139">
        <v>0</v>
      </c>
      <c r="S3139">
        <v>0</v>
      </c>
      <c r="T3139">
        <v>0</v>
      </c>
      <c r="U3139">
        <v>0</v>
      </c>
      <c r="V3139">
        <v>0</v>
      </c>
      <c r="W3139">
        <v>0</v>
      </c>
      <c r="X3139">
        <v>0</v>
      </c>
      <c r="Y3139">
        <v>0</v>
      </c>
      <c r="Z3139">
        <v>0</v>
      </c>
      <c r="AA3139">
        <v>0</v>
      </c>
      <c r="AB3139">
        <v>0</v>
      </c>
      <c r="AC3139">
        <v>0</v>
      </c>
      <c r="AD3139">
        <v>0</v>
      </c>
      <c r="AE3139">
        <v>0</v>
      </c>
      <c r="AF3139">
        <v>0</v>
      </c>
      <c r="AG3139">
        <v>0</v>
      </c>
      <c r="AH3139">
        <v>0</v>
      </c>
      <c r="AI3139">
        <v>0</v>
      </c>
      <c r="AJ3139">
        <v>0</v>
      </c>
      <c r="AK3139">
        <v>0</v>
      </c>
      <c r="AL3139">
        <v>0</v>
      </c>
      <c r="AM3139">
        <v>0</v>
      </c>
      <c r="AN3139">
        <v>0</v>
      </c>
      <c r="AO3139">
        <v>0</v>
      </c>
      <c r="AP3139">
        <v>0</v>
      </c>
      <c r="AQ3139">
        <v>53.3</v>
      </c>
      <c r="AR3139">
        <v>0</v>
      </c>
      <c r="AS3139">
        <v>0</v>
      </c>
      <c r="AT3139">
        <v>0</v>
      </c>
      <c r="AU3139">
        <v>0</v>
      </c>
      <c r="AV3139">
        <v>0</v>
      </c>
      <c r="AW3139">
        <v>0</v>
      </c>
      <c r="AX3139">
        <v>0</v>
      </c>
      <c r="AY3139">
        <v>0</v>
      </c>
      <c r="AZ3139">
        <v>0</v>
      </c>
      <c r="BA3139">
        <v>0</v>
      </c>
      <c r="BB3139">
        <v>0</v>
      </c>
      <c r="BC3139">
        <v>0</v>
      </c>
      <c r="BD3139">
        <v>0</v>
      </c>
      <c r="BE3139">
        <v>0</v>
      </c>
      <c r="BF3139">
        <v>0</v>
      </c>
      <c r="BG3139">
        <v>0</v>
      </c>
      <c r="BH3139">
        <v>2</v>
      </c>
      <c r="BI3139">
        <v>22</v>
      </c>
      <c r="BJ3139">
        <v>11.5</v>
      </c>
      <c r="BK3139">
        <v>22</v>
      </c>
      <c r="BL3139">
        <v>180.01</v>
      </c>
      <c r="BM3139">
        <v>27</v>
      </c>
      <c r="BN3139">
        <v>207.01</v>
      </c>
      <c r="BO3139">
        <v>207.01</v>
      </c>
      <c r="BQ3139" t="s">
        <v>710</v>
      </c>
      <c r="BR3139" t="s">
        <v>84</v>
      </c>
      <c r="BS3139" s="3">
        <v>45803</v>
      </c>
      <c r="BT3139" s="4">
        <v>0.36041666666666666</v>
      </c>
      <c r="BU3139" t="s">
        <v>2361</v>
      </c>
      <c r="BV3139" t="s">
        <v>86</v>
      </c>
      <c r="BY3139">
        <v>28674</v>
      </c>
      <c r="CA3139" t="s">
        <v>712</v>
      </c>
      <c r="CC3139" t="s">
        <v>131</v>
      </c>
      <c r="CD3139">
        <v>7530</v>
      </c>
      <c r="CE3139" t="s">
        <v>576</v>
      </c>
      <c r="CF3139" s="3">
        <v>45804</v>
      </c>
      <c r="CI3139">
        <v>3</v>
      </c>
      <c r="CJ3139">
        <v>1</v>
      </c>
      <c r="CK3139">
        <v>41</v>
      </c>
      <c r="CL3139" t="s">
        <v>89</v>
      </c>
    </row>
    <row r="3140" spans="1:90" x14ac:dyDescent="0.3">
      <c r="A3140" t="s">
        <v>72</v>
      </c>
      <c r="B3140" t="s">
        <v>73</v>
      </c>
      <c r="C3140" t="s">
        <v>74</v>
      </c>
      <c r="E3140" t="str">
        <f>"080065531418"</f>
        <v>080065531418</v>
      </c>
      <c r="F3140" s="3">
        <v>45800</v>
      </c>
      <c r="G3140">
        <v>202602</v>
      </c>
      <c r="H3140" t="s">
        <v>75</v>
      </c>
      <c r="I3140" t="s">
        <v>76</v>
      </c>
      <c r="J3140" t="s">
        <v>77</v>
      </c>
      <c r="K3140" t="s">
        <v>78</v>
      </c>
      <c r="L3140" t="s">
        <v>130</v>
      </c>
      <c r="M3140" t="s">
        <v>131</v>
      </c>
      <c r="N3140" t="s">
        <v>665</v>
      </c>
      <c r="O3140" t="s">
        <v>300</v>
      </c>
      <c r="P3140" t="str">
        <f>"4170040495                    "</f>
        <v xml:space="preserve">4170040495                    </v>
      </c>
      <c r="Q3140">
        <v>0</v>
      </c>
      <c r="R3140">
        <v>0</v>
      </c>
      <c r="S3140">
        <v>0</v>
      </c>
      <c r="T3140">
        <v>0</v>
      </c>
      <c r="U3140">
        <v>0</v>
      </c>
      <c r="V3140">
        <v>0</v>
      </c>
      <c r="W3140">
        <v>0</v>
      </c>
      <c r="X3140">
        <v>0</v>
      </c>
      <c r="Y3140">
        <v>0</v>
      </c>
      <c r="Z3140">
        <v>0</v>
      </c>
      <c r="AA3140">
        <v>0</v>
      </c>
      <c r="AB3140">
        <v>0</v>
      </c>
      <c r="AC3140">
        <v>0</v>
      </c>
      <c r="AD3140">
        <v>0</v>
      </c>
      <c r="AE3140">
        <v>0</v>
      </c>
      <c r="AF3140">
        <v>0</v>
      </c>
      <c r="AG3140">
        <v>0</v>
      </c>
      <c r="AH3140">
        <v>0</v>
      </c>
      <c r="AI3140">
        <v>0</v>
      </c>
      <c r="AJ3140">
        <v>0</v>
      </c>
      <c r="AK3140">
        <v>0</v>
      </c>
      <c r="AL3140">
        <v>0</v>
      </c>
      <c r="AM3140">
        <v>0</v>
      </c>
      <c r="AN3140">
        <v>0</v>
      </c>
      <c r="AO3140">
        <v>0</v>
      </c>
      <c r="AP3140">
        <v>0</v>
      </c>
      <c r="AQ3140">
        <v>123.3</v>
      </c>
      <c r="AR3140">
        <v>0</v>
      </c>
      <c r="AS3140">
        <v>0</v>
      </c>
      <c r="AT3140">
        <v>0</v>
      </c>
      <c r="AU3140">
        <v>0</v>
      </c>
      <c r="AV3140">
        <v>0</v>
      </c>
      <c r="AW3140">
        <v>0</v>
      </c>
      <c r="AX3140">
        <v>0</v>
      </c>
      <c r="AY3140">
        <v>0</v>
      </c>
      <c r="AZ3140">
        <v>0</v>
      </c>
      <c r="BA3140">
        <v>0</v>
      </c>
      <c r="BB3140">
        <v>0</v>
      </c>
      <c r="BC3140">
        <v>0</v>
      </c>
      <c r="BD3140">
        <v>0</v>
      </c>
      <c r="BE3140">
        <v>0</v>
      </c>
      <c r="BF3140">
        <v>0</v>
      </c>
      <c r="BG3140">
        <v>0</v>
      </c>
      <c r="BH3140">
        <v>1</v>
      </c>
      <c r="BI3140">
        <v>49</v>
      </c>
      <c r="BJ3140">
        <v>62.8</v>
      </c>
      <c r="BK3140">
        <v>63</v>
      </c>
      <c r="BL3140">
        <v>409.09</v>
      </c>
      <c r="BM3140">
        <v>61.36</v>
      </c>
      <c r="BN3140">
        <v>470.45</v>
      </c>
      <c r="BO3140">
        <v>470.45</v>
      </c>
      <c r="BQ3140" t="s">
        <v>666</v>
      </c>
      <c r="BR3140" t="s">
        <v>84</v>
      </c>
      <c r="BS3140" s="3">
        <v>45804</v>
      </c>
      <c r="BT3140" s="4">
        <v>0.36180555555555555</v>
      </c>
      <c r="BU3140" t="s">
        <v>3085</v>
      </c>
      <c r="BV3140" t="s">
        <v>86</v>
      </c>
      <c r="BY3140">
        <v>314160</v>
      </c>
      <c r="CA3140" t="s">
        <v>1641</v>
      </c>
      <c r="CC3140" t="s">
        <v>131</v>
      </c>
      <c r="CD3140">
        <v>7535</v>
      </c>
      <c r="CE3140" t="s">
        <v>546</v>
      </c>
      <c r="CF3140" s="3">
        <v>45805</v>
      </c>
      <c r="CI3140">
        <v>3</v>
      </c>
      <c r="CJ3140">
        <v>2</v>
      </c>
      <c r="CK3140">
        <v>41</v>
      </c>
      <c r="CL3140" t="s">
        <v>89</v>
      </c>
    </row>
    <row r="3141" spans="1:90" x14ac:dyDescent="0.3">
      <c r="A3141" t="s">
        <v>72</v>
      </c>
      <c r="B3141" t="s">
        <v>73</v>
      </c>
      <c r="C3141" t="s">
        <v>74</v>
      </c>
      <c r="E3141" t="str">
        <f>"080065532020"</f>
        <v>080065532020</v>
      </c>
      <c r="F3141" s="3">
        <v>45800</v>
      </c>
      <c r="G3141">
        <v>202602</v>
      </c>
      <c r="H3141" t="s">
        <v>75</v>
      </c>
      <c r="I3141" t="s">
        <v>76</v>
      </c>
      <c r="J3141" t="s">
        <v>77</v>
      </c>
      <c r="K3141" t="s">
        <v>78</v>
      </c>
      <c r="L3141" t="s">
        <v>177</v>
      </c>
      <c r="M3141" t="s">
        <v>178</v>
      </c>
      <c r="N3141" t="s">
        <v>212</v>
      </c>
      <c r="O3141" t="s">
        <v>82</v>
      </c>
      <c r="P3141" t="str">
        <f>"4170040270                    "</f>
        <v xml:space="preserve">4170040270                    </v>
      </c>
      <c r="Q3141">
        <v>0</v>
      </c>
      <c r="R3141">
        <v>0</v>
      </c>
      <c r="S3141">
        <v>0</v>
      </c>
      <c r="T3141">
        <v>0</v>
      </c>
      <c r="U3141">
        <v>0</v>
      </c>
      <c r="V3141">
        <v>0</v>
      </c>
      <c r="W3141">
        <v>0</v>
      </c>
      <c r="X3141">
        <v>0</v>
      </c>
      <c r="Y3141">
        <v>0</v>
      </c>
      <c r="Z3141">
        <v>0</v>
      </c>
      <c r="AA3141">
        <v>0</v>
      </c>
      <c r="AB3141">
        <v>0</v>
      </c>
      <c r="AC3141">
        <v>0</v>
      </c>
      <c r="AD3141">
        <v>0</v>
      </c>
      <c r="AE3141">
        <v>0</v>
      </c>
      <c r="AF3141">
        <v>0</v>
      </c>
      <c r="AG3141">
        <v>0</v>
      </c>
      <c r="AH3141">
        <v>0</v>
      </c>
      <c r="AI3141">
        <v>0</v>
      </c>
      <c r="AJ3141">
        <v>0</v>
      </c>
      <c r="AK3141">
        <v>0</v>
      </c>
      <c r="AL3141">
        <v>0</v>
      </c>
      <c r="AM3141">
        <v>0</v>
      </c>
      <c r="AN3141">
        <v>0</v>
      </c>
      <c r="AO3141">
        <v>0</v>
      </c>
      <c r="AP3141">
        <v>0</v>
      </c>
      <c r="AQ3141">
        <v>192.32</v>
      </c>
      <c r="AR3141">
        <v>0</v>
      </c>
      <c r="AS3141">
        <v>0</v>
      </c>
      <c r="AT3141">
        <v>0</v>
      </c>
      <c r="AU3141">
        <v>0</v>
      </c>
      <c r="AV3141">
        <v>0</v>
      </c>
      <c r="AW3141">
        <v>0</v>
      </c>
      <c r="AX3141">
        <v>0</v>
      </c>
      <c r="AY3141">
        <v>0</v>
      </c>
      <c r="AZ3141">
        <v>0</v>
      </c>
      <c r="BA3141">
        <v>0</v>
      </c>
      <c r="BB3141">
        <v>0</v>
      </c>
      <c r="BC3141">
        <v>0</v>
      </c>
      <c r="BD3141">
        <v>0</v>
      </c>
      <c r="BE3141">
        <v>0</v>
      </c>
      <c r="BF3141">
        <v>0</v>
      </c>
      <c r="BG3141">
        <v>0</v>
      </c>
      <c r="BH3141">
        <v>2</v>
      </c>
      <c r="BI3141">
        <v>18</v>
      </c>
      <c r="BJ3141">
        <v>8.8000000000000007</v>
      </c>
      <c r="BK3141">
        <v>18</v>
      </c>
      <c r="BL3141">
        <v>629.4</v>
      </c>
      <c r="BM3141">
        <v>94.41</v>
      </c>
      <c r="BN3141">
        <v>723.81</v>
      </c>
      <c r="BO3141">
        <v>723.81</v>
      </c>
      <c r="BQ3141" t="s">
        <v>213</v>
      </c>
      <c r="BR3141" t="s">
        <v>84</v>
      </c>
      <c r="BS3141" s="3">
        <v>45803</v>
      </c>
      <c r="BT3141" s="4">
        <v>0.43263888888888891</v>
      </c>
      <c r="BU3141" t="s">
        <v>1568</v>
      </c>
      <c r="BV3141" t="s">
        <v>86</v>
      </c>
      <c r="BY3141">
        <v>22000</v>
      </c>
      <c r="CA3141" t="s">
        <v>3086</v>
      </c>
      <c r="CC3141" t="s">
        <v>178</v>
      </c>
      <c r="CD3141">
        <v>6229</v>
      </c>
      <c r="CE3141" t="s">
        <v>550</v>
      </c>
      <c r="CF3141" s="3">
        <v>45803</v>
      </c>
      <c r="CI3141">
        <v>1</v>
      </c>
      <c r="CJ3141">
        <v>1</v>
      </c>
      <c r="CK3141">
        <v>21</v>
      </c>
      <c r="CL3141" t="s">
        <v>89</v>
      </c>
    </row>
    <row r="3142" spans="1:90" x14ac:dyDescent="0.3">
      <c r="A3142" t="s">
        <v>72</v>
      </c>
      <c r="B3142" t="s">
        <v>73</v>
      </c>
      <c r="C3142" t="s">
        <v>74</v>
      </c>
      <c r="E3142" t="str">
        <f>"080065532754"</f>
        <v>080065532754</v>
      </c>
      <c r="F3142" s="3">
        <v>45800</v>
      </c>
      <c r="G3142">
        <v>202602</v>
      </c>
      <c r="H3142" t="s">
        <v>75</v>
      </c>
      <c r="I3142" t="s">
        <v>76</v>
      </c>
      <c r="J3142" t="s">
        <v>77</v>
      </c>
      <c r="K3142" t="s">
        <v>78</v>
      </c>
      <c r="L3142" t="s">
        <v>177</v>
      </c>
      <c r="M3142" t="s">
        <v>178</v>
      </c>
      <c r="N3142" t="s">
        <v>212</v>
      </c>
      <c r="O3142" t="s">
        <v>300</v>
      </c>
      <c r="P3142" t="str">
        <f>"4170040272                    "</f>
        <v xml:space="preserve">4170040272                    </v>
      </c>
      <c r="Q3142">
        <v>0</v>
      </c>
      <c r="R3142">
        <v>0</v>
      </c>
      <c r="S3142">
        <v>0</v>
      </c>
      <c r="T3142">
        <v>0</v>
      </c>
      <c r="U3142">
        <v>0</v>
      </c>
      <c r="V3142">
        <v>0</v>
      </c>
      <c r="W3142">
        <v>0</v>
      </c>
      <c r="X3142">
        <v>0</v>
      </c>
      <c r="Y3142">
        <v>0</v>
      </c>
      <c r="Z3142">
        <v>0</v>
      </c>
      <c r="AA3142">
        <v>0</v>
      </c>
      <c r="AB3142">
        <v>0</v>
      </c>
      <c r="AC3142">
        <v>0</v>
      </c>
      <c r="AD3142">
        <v>0</v>
      </c>
      <c r="AE3142">
        <v>0</v>
      </c>
      <c r="AF3142">
        <v>0</v>
      </c>
      <c r="AG3142">
        <v>0</v>
      </c>
      <c r="AH3142">
        <v>0</v>
      </c>
      <c r="AI3142">
        <v>0</v>
      </c>
      <c r="AJ3142">
        <v>0</v>
      </c>
      <c r="AK3142">
        <v>0</v>
      </c>
      <c r="AL3142">
        <v>0</v>
      </c>
      <c r="AM3142">
        <v>0</v>
      </c>
      <c r="AN3142">
        <v>0</v>
      </c>
      <c r="AO3142">
        <v>0</v>
      </c>
      <c r="AP3142">
        <v>0</v>
      </c>
      <c r="AQ3142">
        <v>56.72</v>
      </c>
      <c r="AR3142">
        <v>0</v>
      </c>
      <c r="AS3142">
        <v>0</v>
      </c>
      <c r="AT3142">
        <v>0</v>
      </c>
      <c r="AU3142">
        <v>0</v>
      </c>
      <c r="AV3142">
        <v>0</v>
      </c>
      <c r="AW3142">
        <v>0</v>
      </c>
      <c r="AX3142">
        <v>0</v>
      </c>
      <c r="AY3142">
        <v>0</v>
      </c>
      <c r="AZ3142">
        <v>0</v>
      </c>
      <c r="BA3142">
        <v>0</v>
      </c>
      <c r="BB3142">
        <v>0</v>
      </c>
      <c r="BC3142">
        <v>0</v>
      </c>
      <c r="BD3142">
        <v>0</v>
      </c>
      <c r="BE3142">
        <v>0</v>
      </c>
      <c r="BF3142">
        <v>0</v>
      </c>
      <c r="BG3142">
        <v>0</v>
      </c>
      <c r="BH3142">
        <v>3</v>
      </c>
      <c r="BI3142">
        <v>24</v>
      </c>
      <c r="BJ3142">
        <v>14.8</v>
      </c>
      <c r="BK3142">
        <v>24</v>
      </c>
      <c r="BL3142">
        <v>191.19</v>
      </c>
      <c r="BM3142">
        <v>28.68</v>
      </c>
      <c r="BN3142">
        <v>219.87</v>
      </c>
      <c r="BO3142">
        <v>219.87</v>
      </c>
      <c r="BQ3142" t="s">
        <v>213</v>
      </c>
      <c r="BR3142" t="s">
        <v>84</v>
      </c>
      <c r="BS3142" s="3">
        <v>45803</v>
      </c>
      <c r="BT3142" s="4">
        <v>0.43263888888888891</v>
      </c>
      <c r="BU3142" t="s">
        <v>1568</v>
      </c>
      <c r="BV3142" t="s">
        <v>86</v>
      </c>
      <c r="BY3142">
        <v>24684</v>
      </c>
      <c r="CA3142" t="s">
        <v>3086</v>
      </c>
      <c r="CC3142" t="s">
        <v>178</v>
      </c>
      <c r="CD3142">
        <v>6229</v>
      </c>
      <c r="CE3142" t="s">
        <v>550</v>
      </c>
      <c r="CF3142" s="3">
        <v>45803</v>
      </c>
      <c r="CI3142">
        <v>3</v>
      </c>
      <c r="CJ3142">
        <v>1</v>
      </c>
      <c r="CK3142">
        <v>41</v>
      </c>
      <c r="CL3142" t="s">
        <v>89</v>
      </c>
    </row>
    <row r="3143" spans="1:90" x14ac:dyDescent="0.3">
      <c r="A3143" t="s">
        <v>72</v>
      </c>
      <c r="B3143" t="s">
        <v>73</v>
      </c>
      <c r="C3143" t="s">
        <v>74</v>
      </c>
      <c r="E3143" t="str">
        <f>"080065532860"</f>
        <v>080065532860</v>
      </c>
      <c r="F3143" s="3">
        <v>45800</v>
      </c>
      <c r="G3143">
        <v>202602</v>
      </c>
      <c r="H3143" t="s">
        <v>75</v>
      </c>
      <c r="I3143" t="s">
        <v>76</v>
      </c>
      <c r="J3143" t="s">
        <v>77</v>
      </c>
      <c r="K3143" t="s">
        <v>78</v>
      </c>
      <c r="L3143" t="s">
        <v>90</v>
      </c>
      <c r="M3143" t="s">
        <v>91</v>
      </c>
      <c r="N3143" t="s">
        <v>914</v>
      </c>
      <c r="O3143" t="s">
        <v>82</v>
      </c>
      <c r="P3143" t="str">
        <f>"4170040514                    "</f>
        <v xml:space="preserve">4170040514                    </v>
      </c>
      <c r="Q3143">
        <v>0</v>
      </c>
      <c r="R3143">
        <v>0</v>
      </c>
      <c r="S3143">
        <v>0</v>
      </c>
      <c r="T3143">
        <v>0</v>
      </c>
      <c r="U3143">
        <v>0</v>
      </c>
      <c r="V3143">
        <v>0</v>
      </c>
      <c r="W3143">
        <v>0</v>
      </c>
      <c r="X3143">
        <v>0</v>
      </c>
      <c r="Y3143">
        <v>0</v>
      </c>
      <c r="Z3143">
        <v>0</v>
      </c>
      <c r="AA3143">
        <v>0</v>
      </c>
      <c r="AB3143">
        <v>0</v>
      </c>
      <c r="AC3143">
        <v>0</v>
      </c>
      <c r="AD3143">
        <v>0</v>
      </c>
      <c r="AE3143">
        <v>0</v>
      </c>
      <c r="AF3143">
        <v>0</v>
      </c>
      <c r="AG3143">
        <v>0</v>
      </c>
      <c r="AH3143">
        <v>0</v>
      </c>
      <c r="AI3143">
        <v>0</v>
      </c>
      <c r="AJ3143">
        <v>0</v>
      </c>
      <c r="AK3143">
        <v>0</v>
      </c>
      <c r="AL3143">
        <v>0</v>
      </c>
      <c r="AM3143">
        <v>0</v>
      </c>
      <c r="AN3143">
        <v>0</v>
      </c>
      <c r="AO3143">
        <v>0</v>
      </c>
      <c r="AP3143">
        <v>0</v>
      </c>
      <c r="AQ3143">
        <v>21.38</v>
      </c>
      <c r="AR3143">
        <v>0</v>
      </c>
      <c r="AS3143">
        <v>0</v>
      </c>
      <c r="AT3143">
        <v>0</v>
      </c>
      <c r="AU3143">
        <v>0</v>
      </c>
      <c r="AV3143">
        <v>0</v>
      </c>
      <c r="AW3143">
        <v>0</v>
      </c>
      <c r="AX3143">
        <v>0</v>
      </c>
      <c r="AY3143">
        <v>0</v>
      </c>
      <c r="AZ3143">
        <v>0</v>
      </c>
      <c r="BA3143">
        <v>0</v>
      </c>
      <c r="BB3143">
        <v>0</v>
      </c>
      <c r="BC3143">
        <v>0</v>
      </c>
      <c r="BD3143">
        <v>0</v>
      </c>
      <c r="BE3143">
        <v>0</v>
      </c>
      <c r="BF3143">
        <v>0</v>
      </c>
      <c r="BG3143">
        <v>0</v>
      </c>
      <c r="BH3143">
        <v>1</v>
      </c>
      <c r="BI3143">
        <v>1</v>
      </c>
      <c r="BJ3143">
        <v>1.1000000000000001</v>
      </c>
      <c r="BK3143">
        <v>1.5</v>
      </c>
      <c r="BL3143">
        <v>69.98</v>
      </c>
      <c r="BM3143">
        <v>10.5</v>
      </c>
      <c r="BN3143">
        <v>80.48</v>
      </c>
      <c r="BO3143">
        <v>80.48</v>
      </c>
      <c r="BQ3143" t="s">
        <v>915</v>
      </c>
      <c r="BR3143" t="s">
        <v>84</v>
      </c>
      <c r="BS3143" s="3">
        <v>45803</v>
      </c>
      <c r="BT3143" s="4">
        <v>0.41388888888888886</v>
      </c>
      <c r="BU3143" t="s">
        <v>1926</v>
      </c>
      <c r="BV3143" t="s">
        <v>86</v>
      </c>
      <c r="BY3143">
        <v>5520</v>
      </c>
      <c r="CA3143" t="s">
        <v>95</v>
      </c>
      <c r="CC3143" t="s">
        <v>91</v>
      </c>
      <c r="CD3143">
        <v>6001</v>
      </c>
      <c r="CE3143" t="s">
        <v>116</v>
      </c>
      <c r="CF3143" s="3">
        <v>45803</v>
      </c>
      <c r="CI3143">
        <v>1</v>
      </c>
      <c r="CJ3143">
        <v>1</v>
      </c>
      <c r="CK3143">
        <v>21</v>
      </c>
      <c r="CL3143" t="s">
        <v>89</v>
      </c>
    </row>
    <row r="3144" spans="1:90" x14ac:dyDescent="0.3">
      <c r="A3144" t="s">
        <v>72</v>
      </c>
      <c r="B3144" t="s">
        <v>73</v>
      </c>
      <c r="C3144" t="s">
        <v>74</v>
      </c>
      <c r="E3144" t="str">
        <f>"080065532879"</f>
        <v>080065532879</v>
      </c>
      <c r="F3144" s="3">
        <v>45800</v>
      </c>
      <c r="G3144">
        <v>202602</v>
      </c>
      <c r="H3144" t="s">
        <v>75</v>
      </c>
      <c r="I3144" t="s">
        <v>76</v>
      </c>
      <c r="J3144" t="s">
        <v>77</v>
      </c>
      <c r="K3144" t="s">
        <v>78</v>
      </c>
      <c r="L3144" t="s">
        <v>90</v>
      </c>
      <c r="M3144" t="s">
        <v>91</v>
      </c>
      <c r="N3144" t="s">
        <v>563</v>
      </c>
      <c r="O3144" t="s">
        <v>82</v>
      </c>
      <c r="P3144" t="str">
        <f>"4170040402                    "</f>
        <v xml:space="preserve">4170040402                    </v>
      </c>
      <c r="Q3144">
        <v>0</v>
      </c>
      <c r="R3144">
        <v>0</v>
      </c>
      <c r="S3144">
        <v>0</v>
      </c>
      <c r="T3144">
        <v>0</v>
      </c>
      <c r="U3144">
        <v>0</v>
      </c>
      <c r="V3144">
        <v>0</v>
      </c>
      <c r="W3144">
        <v>0</v>
      </c>
      <c r="X3144">
        <v>0</v>
      </c>
      <c r="Y3144">
        <v>0</v>
      </c>
      <c r="Z3144">
        <v>0</v>
      </c>
      <c r="AA3144">
        <v>0</v>
      </c>
      <c r="AB3144">
        <v>0</v>
      </c>
      <c r="AC3144">
        <v>0</v>
      </c>
      <c r="AD3144">
        <v>0</v>
      </c>
      <c r="AE3144">
        <v>0</v>
      </c>
      <c r="AF3144">
        <v>0</v>
      </c>
      <c r="AG3144">
        <v>0</v>
      </c>
      <c r="AH3144">
        <v>0</v>
      </c>
      <c r="AI3144">
        <v>0</v>
      </c>
      <c r="AJ3144">
        <v>0</v>
      </c>
      <c r="AK3144">
        <v>0</v>
      </c>
      <c r="AL3144">
        <v>0</v>
      </c>
      <c r="AM3144">
        <v>0</v>
      </c>
      <c r="AN3144">
        <v>0</v>
      </c>
      <c r="AO3144">
        <v>0</v>
      </c>
      <c r="AP3144">
        <v>0</v>
      </c>
      <c r="AQ3144">
        <v>21.38</v>
      </c>
      <c r="AR3144">
        <v>0</v>
      </c>
      <c r="AS3144">
        <v>0</v>
      </c>
      <c r="AT3144">
        <v>0</v>
      </c>
      <c r="AU3144">
        <v>0</v>
      </c>
      <c r="AV3144">
        <v>0</v>
      </c>
      <c r="AW3144">
        <v>0</v>
      </c>
      <c r="AX3144">
        <v>0</v>
      </c>
      <c r="AY3144">
        <v>0</v>
      </c>
      <c r="AZ3144">
        <v>0</v>
      </c>
      <c r="BA3144">
        <v>0</v>
      </c>
      <c r="BB3144">
        <v>0</v>
      </c>
      <c r="BC3144">
        <v>0</v>
      </c>
      <c r="BD3144">
        <v>0</v>
      </c>
      <c r="BE3144">
        <v>0</v>
      </c>
      <c r="BF3144">
        <v>0</v>
      </c>
      <c r="BG3144">
        <v>0</v>
      </c>
      <c r="BH3144">
        <v>1</v>
      </c>
      <c r="BI3144">
        <v>2</v>
      </c>
      <c r="BJ3144">
        <v>1.4</v>
      </c>
      <c r="BK3144">
        <v>2</v>
      </c>
      <c r="BL3144">
        <v>69.98</v>
      </c>
      <c r="BM3144">
        <v>10.5</v>
      </c>
      <c r="BN3144">
        <v>80.48</v>
      </c>
      <c r="BO3144">
        <v>80.48</v>
      </c>
      <c r="BQ3144" t="s">
        <v>564</v>
      </c>
      <c r="BR3144" t="s">
        <v>84</v>
      </c>
      <c r="BS3144" s="3">
        <v>45803</v>
      </c>
      <c r="BT3144" s="4">
        <v>0.34722222222222221</v>
      </c>
      <c r="BU3144" t="s">
        <v>780</v>
      </c>
      <c r="BV3144" t="s">
        <v>86</v>
      </c>
      <c r="BY3144">
        <v>7000</v>
      </c>
      <c r="CA3144" t="s">
        <v>566</v>
      </c>
      <c r="CC3144" t="s">
        <v>91</v>
      </c>
      <c r="CD3144">
        <v>6001</v>
      </c>
      <c r="CE3144" t="s">
        <v>116</v>
      </c>
      <c r="CF3144" s="3">
        <v>45803</v>
      </c>
      <c r="CI3144">
        <v>1</v>
      </c>
      <c r="CJ3144">
        <v>1</v>
      </c>
      <c r="CK3144">
        <v>21</v>
      </c>
      <c r="CL3144" t="s">
        <v>89</v>
      </c>
    </row>
    <row r="3145" spans="1:90" x14ac:dyDescent="0.3">
      <c r="A3145" t="s">
        <v>72</v>
      </c>
      <c r="B3145" t="s">
        <v>73</v>
      </c>
      <c r="C3145" t="s">
        <v>74</v>
      </c>
      <c r="E3145" t="str">
        <f>"080065533006"</f>
        <v>080065533006</v>
      </c>
      <c r="F3145" s="3">
        <v>45800</v>
      </c>
      <c r="G3145">
        <v>202602</v>
      </c>
      <c r="H3145" t="s">
        <v>75</v>
      </c>
      <c r="I3145" t="s">
        <v>76</v>
      </c>
      <c r="J3145" t="s">
        <v>77</v>
      </c>
      <c r="K3145" t="s">
        <v>78</v>
      </c>
      <c r="L3145" t="s">
        <v>648</v>
      </c>
      <c r="M3145" t="s">
        <v>649</v>
      </c>
      <c r="N3145" t="s">
        <v>762</v>
      </c>
      <c r="O3145" t="s">
        <v>82</v>
      </c>
      <c r="P3145" t="str">
        <f>"4170040502                    "</f>
        <v xml:space="preserve">4170040502                    </v>
      </c>
      <c r="Q3145">
        <v>0</v>
      </c>
      <c r="R3145">
        <v>0</v>
      </c>
      <c r="S3145">
        <v>0</v>
      </c>
      <c r="T3145">
        <v>0</v>
      </c>
      <c r="U3145">
        <v>0</v>
      </c>
      <c r="V3145">
        <v>0</v>
      </c>
      <c r="W3145">
        <v>0</v>
      </c>
      <c r="X3145">
        <v>0</v>
      </c>
      <c r="Y3145">
        <v>0</v>
      </c>
      <c r="Z3145">
        <v>0</v>
      </c>
      <c r="AA3145">
        <v>0</v>
      </c>
      <c r="AB3145">
        <v>0</v>
      </c>
      <c r="AC3145">
        <v>0</v>
      </c>
      <c r="AD3145">
        <v>0</v>
      </c>
      <c r="AE3145">
        <v>0</v>
      </c>
      <c r="AF3145">
        <v>0</v>
      </c>
      <c r="AG3145">
        <v>0</v>
      </c>
      <c r="AH3145">
        <v>0</v>
      </c>
      <c r="AI3145">
        <v>0</v>
      </c>
      <c r="AJ3145">
        <v>0</v>
      </c>
      <c r="AK3145">
        <v>0</v>
      </c>
      <c r="AL3145">
        <v>0</v>
      </c>
      <c r="AM3145">
        <v>0</v>
      </c>
      <c r="AN3145">
        <v>0</v>
      </c>
      <c r="AO3145">
        <v>0</v>
      </c>
      <c r="AP3145">
        <v>0</v>
      </c>
      <c r="AQ3145">
        <v>16.7</v>
      </c>
      <c r="AR3145">
        <v>0</v>
      </c>
      <c r="AS3145">
        <v>0</v>
      </c>
      <c r="AT3145">
        <v>0</v>
      </c>
      <c r="AU3145">
        <v>0</v>
      </c>
      <c r="AV3145">
        <v>0</v>
      </c>
      <c r="AW3145">
        <v>0</v>
      </c>
      <c r="AX3145">
        <v>0</v>
      </c>
      <c r="AY3145">
        <v>0</v>
      </c>
      <c r="AZ3145">
        <v>0</v>
      </c>
      <c r="BA3145">
        <v>0</v>
      </c>
      <c r="BB3145">
        <v>0</v>
      </c>
      <c r="BC3145">
        <v>0</v>
      </c>
      <c r="BD3145">
        <v>0</v>
      </c>
      <c r="BE3145">
        <v>0</v>
      </c>
      <c r="BF3145">
        <v>0</v>
      </c>
      <c r="BG3145">
        <v>0</v>
      </c>
      <c r="BH3145">
        <v>1</v>
      </c>
      <c r="BI3145">
        <v>1</v>
      </c>
      <c r="BJ3145">
        <v>0.2</v>
      </c>
      <c r="BK3145">
        <v>1</v>
      </c>
      <c r="BL3145">
        <v>54.66</v>
      </c>
      <c r="BM3145">
        <v>8.1999999999999993</v>
      </c>
      <c r="BN3145">
        <v>62.86</v>
      </c>
      <c r="BO3145">
        <v>62.86</v>
      </c>
      <c r="BQ3145" t="s">
        <v>763</v>
      </c>
      <c r="BR3145" t="s">
        <v>84</v>
      </c>
      <c r="BS3145" s="3">
        <v>45803</v>
      </c>
      <c r="BT3145" s="4">
        <v>0.36875000000000002</v>
      </c>
      <c r="BU3145" t="s">
        <v>763</v>
      </c>
      <c r="BV3145" t="s">
        <v>86</v>
      </c>
      <c r="BY3145">
        <v>1200</v>
      </c>
      <c r="CA3145" t="s">
        <v>937</v>
      </c>
      <c r="CC3145" t="s">
        <v>649</v>
      </c>
      <c r="CD3145">
        <v>1559</v>
      </c>
      <c r="CE3145" t="s">
        <v>88</v>
      </c>
      <c r="CF3145" s="3">
        <v>45804</v>
      </c>
      <c r="CI3145">
        <v>1</v>
      </c>
      <c r="CJ3145">
        <v>1</v>
      </c>
      <c r="CK3145">
        <v>22</v>
      </c>
      <c r="CL3145" t="s">
        <v>89</v>
      </c>
    </row>
    <row r="3146" spans="1:90" x14ac:dyDescent="0.3">
      <c r="A3146" t="s">
        <v>72</v>
      </c>
      <c r="B3146" t="s">
        <v>73</v>
      </c>
      <c r="C3146" t="s">
        <v>74</v>
      </c>
      <c r="E3146" t="str">
        <f>"080065533044"</f>
        <v>080065533044</v>
      </c>
      <c r="F3146" s="3">
        <v>45800</v>
      </c>
      <c r="G3146">
        <v>202602</v>
      </c>
      <c r="H3146" t="s">
        <v>75</v>
      </c>
      <c r="I3146" t="s">
        <v>76</v>
      </c>
      <c r="J3146" t="s">
        <v>77</v>
      </c>
      <c r="K3146" t="s">
        <v>78</v>
      </c>
      <c r="L3146" t="s">
        <v>648</v>
      </c>
      <c r="M3146" t="s">
        <v>649</v>
      </c>
      <c r="N3146" t="s">
        <v>1702</v>
      </c>
      <c r="O3146" t="s">
        <v>300</v>
      </c>
      <c r="P3146" t="str">
        <f>"4170040520                    "</f>
        <v xml:space="preserve">4170040520                    </v>
      </c>
      <c r="Q3146">
        <v>0</v>
      </c>
      <c r="R3146">
        <v>0</v>
      </c>
      <c r="S3146">
        <v>0</v>
      </c>
      <c r="T3146">
        <v>0</v>
      </c>
      <c r="U3146">
        <v>0</v>
      </c>
      <c r="V3146">
        <v>0</v>
      </c>
      <c r="W3146">
        <v>0</v>
      </c>
      <c r="X3146">
        <v>0</v>
      </c>
      <c r="Y3146">
        <v>0</v>
      </c>
      <c r="Z3146">
        <v>0</v>
      </c>
      <c r="AA3146">
        <v>0</v>
      </c>
      <c r="AB3146">
        <v>0</v>
      </c>
      <c r="AC3146">
        <v>0</v>
      </c>
      <c r="AD3146">
        <v>0</v>
      </c>
      <c r="AE3146">
        <v>0</v>
      </c>
      <c r="AF3146">
        <v>0</v>
      </c>
      <c r="AG3146">
        <v>0</v>
      </c>
      <c r="AH3146">
        <v>0</v>
      </c>
      <c r="AI3146">
        <v>0</v>
      </c>
      <c r="AJ3146">
        <v>0</v>
      </c>
      <c r="AK3146">
        <v>0</v>
      </c>
      <c r="AL3146">
        <v>0</v>
      </c>
      <c r="AM3146">
        <v>0</v>
      </c>
      <c r="AN3146">
        <v>0</v>
      </c>
      <c r="AO3146">
        <v>0</v>
      </c>
      <c r="AP3146">
        <v>0</v>
      </c>
      <c r="AQ3146">
        <v>31.91</v>
      </c>
      <c r="AR3146">
        <v>0</v>
      </c>
      <c r="AS3146">
        <v>0</v>
      </c>
      <c r="AT3146">
        <v>0</v>
      </c>
      <c r="AU3146">
        <v>0</v>
      </c>
      <c r="AV3146">
        <v>0</v>
      </c>
      <c r="AW3146">
        <v>0</v>
      </c>
      <c r="AX3146">
        <v>0</v>
      </c>
      <c r="AY3146">
        <v>0</v>
      </c>
      <c r="AZ3146">
        <v>0</v>
      </c>
      <c r="BA3146">
        <v>0</v>
      </c>
      <c r="BB3146">
        <v>0</v>
      </c>
      <c r="BC3146">
        <v>0</v>
      </c>
      <c r="BD3146">
        <v>0</v>
      </c>
      <c r="BE3146">
        <v>0</v>
      </c>
      <c r="BF3146">
        <v>0</v>
      </c>
      <c r="BG3146">
        <v>0</v>
      </c>
      <c r="BH3146">
        <v>1</v>
      </c>
      <c r="BI3146">
        <v>3</v>
      </c>
      <c r="BJ3146">
        <v>1.3</v>
      </c>
      <c r="BK3146">
        <v>3</v>
      </c>
      <c r="BL3146">
        <v>110</v>
      </c>
      <c r="BM3146">
        <v>16.5</v>
      </c>
      <c r="BN3146">
        <v>126.5</v>
      </c>
      <c r="BO3146">
        <v>126.5</v>
      </c>
      <c r="BQ3146" t="s">
        <v>1703</v>
      </c>
      <c r="BR3146" t="s">
        <v>84</v>
      </c>
      <c r="BS3146" s="3">
        <v>45803</v>
      </c>
      <c r="BT3146" s="4">
        <v>0.36180555555555555</v>
      </c>
      <c r="BU3146" t="s">
        <v>1014</v>
      </c>
      <c r="BV3146" t="s">
        <v>86</v>
      </c>
      <c r="BY3146">
        <v>6555</v>
      </c>
      <c r="CC3146" t="s">
        <v>649</v>
      </c>
      <c r="CD3146">
        <v>1559</v>
      </c>
      <c r="CE3146" t="s">
        <v>1047</v>
      </c>
      <c r="CF3146" s="3">
        <v>45804</v>
      </c>
      <c r="CI3146">
        <v>1</v>
      </c>
      <c r="CJ3146">
        <v>1</v>
      </c>
      <c r="CK3146">
        <v>42</v>
      </c>
      <c r="CL3146" t="s">
        <v>89</v>
      </c>
    </row>
    <row r="3147" spans="1:90" x14ac:dyDescent="0.3">
      <c r="A3147" t="s">
        <v>72</v>
      </c>
      <c r="B3147" t="s">
        <v>73</v>
      </c>
      <c r="C3147" t="s">
        <v>74</v>
      </c>
      <c r="E3147" t="str">
        <f>"080065533136"</f>
        <v>080065533136</v>
      </c>
      <c r="F3147" s="3">
        <v>45800</v>
      </c>
      <c r="G3147">
        <v>202602</v>
      </c>
      <c r="H3147" t="s">
        <v>75</v>
      </c>
      <c r="I3147" t="s">
        <v>76</v>
      </c>
      <c r="J3147" t="s">
        <v>77</v>
      </c>
      <c r="K3147" t="s">
        <v>78</v>
      </c>
      <c r="L3147" t="s">
        <v>130</v>
      </c>
      <c r="M3147" t="s">
        <v>131</v>
      </c>
      <c r="N3147" t="s">
        <v>343</v>
      </c>
      <c r="O3147" t="s">
        <v>82</v>
      </c>
      <c r="P3147" t="str">
        <f>"4170040489                    "</f>
        <v xml:space="preserve">4170040489                    </v>
      </c>
      <c r="Q3147">
        <v>0</v>
      </c>
      <c r="R3147">
        <v>0</v>
      </c>
      <c r="S3147">
        <v>0</v>
      </c>
      <c r="T3147">
        <v>0</v>
      </c>
      <c r="U3147">
        <v>0</v>
      </c>
      <c r="V3147">
        <v>0</v>
      </c>
      <c r="W3147">
        <v>0</v>
      </c>
      <c r="X3147">
        <v>0</v>
      </c>
      <c r="Y3147">
        <v>0</v>
      </c>
      <c r="Z3147">
        <v>0</v>
      </c>
      <c r="AA3147">
        <v>0</v>
      </c>
      <c r="AB3147">
        <v>0</v>
      </c>
      <c r="AC3147">
        <v>0</v>
      </c>
      <c r="AD3147">
        <v>0</v>
      </c>
      <c r="AE3147">
        <v>0</v>
      </c>
      <c r="AF3147">
        <v>0</v>
      </c>
      <c r="AG3147">
        <v>0</v>
      </c>
      <c r="AH3147">
        <v>0</v>
      </c>
      <c r="AI3147">
        <v>0</v>
      </c>
      <c r="AJ3147">
        <v>0</v>
      </c>
      <c r="AK3147">
        <v>0</v>
      </c>
      <c r="AL3147">
        <v>0</v>
      </c>
      <c r="AM3147">
        <v>0</v>
      </c>
      <c r="AN3147">
        <v>0</v>
      </c>
      <c r="AO3147">
        <v>0</v>
      </c>
      <c r="AP3147">
        <v>0</v>
      </c>
      <c r="AQ3147">
        <v>37.409999999999997</v>
      </c>
      <c r="AR3147">
        <v>0</v>
      </c>
      <c r="AS3147">
        <v>0</v>
      </c>
      <c r="AT3147">
        <v>0</v>
      </c>
      <c r="AU3147">
        <v>0</v>
      </c>
      <c r="AV3147">
        <v>0</v>
      </c>
      <c r="AW3147">
        <v>0</v>
      </c>
      <c r="AX3147">
        <v>0</v>
      </c>
      <c r="AY3147">
        <v>0</v>
      </c>
      <c r="AZ3147">
        <v>0</v>
      </c>
      <c r="BA3147">
        <v>0</v>
      </c>
      <c r="BB3147">
        <v>0</v>
      </c>
      <c r="BC3147">
        <v>0</v>
      </c>
      <c r="BD3147">
        <v>0</v>
      </c>
      <c r="BE3147">
        <v>0</v>
      </c>
      <c r="BF3147">
        <v>0</v>
      </c>
      <c r="BG3147">
        <v>0</v>
      </c>
      <c r="BH3147">
        <v>1</v>
      </c>
      <c r="BI3147">
        <v>1</v>
      </c>
      <c r="BJ3147">
        <v>3.1</v>
      </c>
      <c r="BK3147">
        <v>3.5</v>
      </c>
      <c r="BL3147">
        <v>122.43</v>
      </c>
      <c r="BM3147">
        <v>18.36</v>
      </c>
      <c r="BN3147">
        <v>140.79</v>
      </c>
      <c r="BO3147">
        <v>140.79</v>
      </c>
      <c r="BQ3147" t="s">
        <v>344</v>
      </c>
      <c r="BR3147" t="s">
        <v>84</v>
      </c>
      <c r="BS3147" s="3">
        <v>45803</v>
      </c>
      <c r="BT3147" s="4">
        <v>0.39374999999999999</v>
      </c>
      <c r="BU3147" t="s">
        <v>345</v>
      </c>
      <c r="BV3147" t="s">
        <v>86</v>
      </c>
      <c r="BY3147">
        <v>15360</v>
      </c>
      <c r="CA3147" t="s">
        <v>242</v>
      </c>
      <c r="CC3147" t="s">
        <v>131</v>
      </c>
      <c r="CD3147">
        <v>7441</v>
      </c>
      <c r="CE3147" t="s">
        <v>96</v>
      </c>
      <c r="CF3147" s="3">
        <v>45804</v>
      </c>
      <c r="CI3147">
        <v>1</v>
      </c>
      <c r="CJ3147">
        <v>1</v>
      </c>
      <c r="CK3147">
        <v>21</v>
      </c>
      <c r="CL3147" t="s">
        <v>89</v>
      </c>
    </row>
    <row r="3148" spans="1:90" x14ac:dyDescent="0.3">
      <c r="A3148" t="s">
        <v>72</v>
      </c>
      <c r="B3148" t="s">
        <v>73</v>
      </c>
      <c r="C3148" t="s">
        <v>74</v>
      </c>
      <c r="E3148" t="str">
        <f>"080065533152"</f>
        <v>080065533152</v>
      </c>
      <c r="F3148" s="3">
        <v>45800</v>
      </c>
      <c r="G3148">
        <v>202602</v>
      </c>
      <c r="H3148" t="s">
        <v>75</v>
      </c>
      <c r="I3148" t="s">
        <v>76</v>
      </c>
      <c r="J3148" t="s">
        <v>77</v>
      </c>
      <c r="K3148" t="s">
        <v>78</v>
      </c>
      <c r="L3148" t="s">
        <v>117</v>
      </c>
      <c r="M3148" t="s">
        <v>118</v>
      </c>
      <c r="N3148" t="s">
        <v>2226</v>
      </c>
      <c r="O3148" t="s">
        <v>82</v>
      </c>
      <c r="P3148" t="str">
        <f>"4170040483                    "</f>
        <v xml:space="preserve">4170040483                    </v>
      </c>
      <c r="Q3148">
        <v>0</v>
      </c>
      <c r="R3148">
        <v>0</v>
      </c>
      <c r="S3148">
        <v>0</v>
      </c>
      <c r="T3148">
        <v>0</v>
      </c>
      <c r="U3148">
        <v>0</v>
      </c>
      <c r="V3148">
        <v>0</v>
      </c>
      <c r="W3148">
        <v>0</v>
      </c>
      <c r="X3148">
        <v>0</v>
      </c>
      <c r="Y3148">
        <v>0</v>
      </c>
      <c r="Z3148">
        <v>0</v>
      </c>
      <c r="AA3148">
        <v>0</v>
      </c>
      <c r="AB3148">
        <v>0</v>
      </c>
      <c r="AC3148">
        <v>0</v>
      </c>
      <c r="AD3148">
        <v>0</v>
      </c>
      <c r="AE3148">
        <v>0</v>
      </c>
      <c r="AF3148">
        <v>0</v>
      </c>
      <c r="AG3148">
        <v>0</v>
      </c>
      <c r="AH3148">
        <v>0</v>
      </c>
      <c r="AI3148">
        <v>0</v>
      </c>
      <c r="AJ3148">
        <v>0</v>
      </c>
      <c r="AK3148">
        <v>0</v>
      </c>
      <c r="AL3148">
        <v>0</v>
      </c>
      <c r="AM3148">
        <v>0</v>
      </c>
      <c r="AN3148">
        <v>0</v>
      </c>
      <c r="AO3148">
        <v>0</v>
      </c>
      <c r="AP3148">
        <v>0</v>
      </c>
      <c r="AQ3148">
        <v>16.7</v>
      </c>
      <c r="AR3148">
        <v>0</v>
      </c>
      <c r="AS3148">
        <v>0</v>
      </c>
      <c r="AT3148">
        <v>0</v>
      </c>
      <c r="AU3148">
        <v>0</v>
      </c>
      <c r="AV3148">
        <v>0</v>
      </c>
      <c r="AW3148">
        <v>0</v>
      </c>
      <c r="AX3148">
        <v>0</v>
      </c>
      <c r="AY3148">
        <v>0</v>
      </c>
      <c r="AZ3148">
        <v>0</v>
      </c>
      <c r="BA3148">
        <v>0</v>
      </c>
      <c r="BB3148">
        <v>0</v>
      </c>
      <c r="BC3148">
        <v>0</v>
      </c>
      <c r="BD3148">
        <v>0</v>
      </c>
      <c r="BE3148">
        <v>0</v>
      </c>
      <c r="BF3148">
        <v>0</v>
      </c>
      <c r="BG3148">
        <v>0</v>
      </c>
      <c r="BH3148">
        <v>1</v>
      </c>
      <c r="BI3148">
        <v>1</v>
      </c>
      <c r="BJ3148">
        <v>1.3</v>
      </c>
      <c r="BK3148">
        <v>2</v>
      </c>
      <c r="BL3148">
        <v>54.66</v>
      </c>
      <c r="BM3148">
        <v>8.1999999999999993</v>
      </c>
      <c r="BN3148">
        <v>62.86</v>
      </c>
      <c r="BO3148">
        <v>62.86</v>
      </c>
      <c r="BQ3148" t="s">
        <v>2227</v>
      </c>
      <c r="BR3148" t="s">
        <v>84</v>
      </c>
      <c r="BS3148" s="3">
        <v>45803</v>
      </c>
      <c r="BT3148" s="4">
        <v>0.43402777777777779</v>
      </c>
      <c r="BU3148" t="s">
        <v>2228</v>
      </c>
      <c r="BV3148" t="s">
        <v>86</v>
      </c>
      <c r="BY3148">
        <v>6384</v>
      </c>
      <c r="CA3148" t="s">
        <v>535</v>
      </c>
      <c r="CC3148" t="s">
        <v>118</v>
      </c>
      <c r="CD3148">
        <v>2197</v>
      </c>
      <c r="CE3148" t="s">
        <v>116</v>
      </c>
      <c r="CF3148" s="3">
        <v>45803</v>
      </c>
      <c r="CI3148">
        <v>1</v>
      </c>
      <c r="CJ3148">
        <v>1</v>
      </c>
      <c r="CK3148">
        <v>22</v>
      </c>
      <c r="CL3148" t="s">
        <v>89</v>
      </c>
    </row>
    <row r="3149" spans="1:90" x14ac:dyDescent="0.3">
      <c r="A3149" t="s">
        <v>72</v>
      </c>
      <c r="B3149" t="s">
        <v>73</v>
      </c>
      <c r="C3149" t="s">
        <v>74</v>
      </c>
      <c r="E3149" t="str">
        <f>"080065533165"</f>
        <v>080065533165</v>
      </c>
      <c r="F3149" s="3">
        <v>45800</v>
      </c>
      <c r="G3149">
        <v>202602</v>
      </c>
      <c r="H3149" t="s">
        <v>75</v>
      </c>
      <c r="I3149" t="s">
        <v>76</v>
      </c>
      <c r="J3149" t="s">
        <v>77</v>
      </c>
      <c r="K3149" t="s">
        <v>78</v>
      </c>
      <c r="L3149" t="s">
        <v>75</v>
      </c>
      <c r="M3149" t="s">
        <v>76</v>
      </c>
      <c r="N3149" t="s">
        <v>346</v>
      </c>
      <c r="O3149" t="s">
        <v>300</v>
      </c>
      <c r="P3149" t="str">
        <f>"4170040470                    "</f>
        <v xml:space="preserve">4170040470                    </v>
      </c>
      <c r="Q3149">
        <v>0</v>
      </c>
      <c r="R3149">
        <v>0</v>
      </c>
      <c r="S3149">
        <v>0</v>
      </c>
      <c r="T3149">
        <v>0</v>
      </c>
      <c r="U3149">
        <v>0</v>
      </c>
      <c r="V3149">
        <v>0</v>
      </c>
      <c r="W3149">
        <v>0</v>
      </c>
      <c r="X3149">
        <v>0</v>
      </c>
      <c r="Y3149">
        <v>0</v>
      </c>
      <c r="Z3149">
        <v>0</v>
      </c>
      <c r="AA3149">
        <v>0</v>
      </c>
      <c r="AB3149">
        <v>0</v>
      </c>
      <c r="AC3149">
        <v>0</v>
      </c>
      <c r="AD3149">
        <v>0</v>
      </c>
      <c r="AE3149">
        <v>0</v>
      </c>
      <c r="AF3149">
        <v>0</v>
      </c>
      <c r="AG3149">
        <v>0</v>
      </c>
      <c r="AH3149">
        <v>0</v>
      </c>
      <c r="AI3149">
        <v>0</v>
      </c>
      <c r="AJ3149">
        <v>0</v>
      </c>
      <c r="AK3149">
        <v>0</v>
      </c>
      <c r="AL3149">
        <v>0</v>
      </c>
      <c r="AM3149">
        <v>0</v>
      </c>
      <c r="AN3149">
        <v>0</v>
      </c>
      <c r="AO3149">
        <v>0</v>
      </c>
      <c r="AP3149">
        <v>0</v>
      </c>
      <c r="AQ3149">
        <v>35.64</v>
      </c>
      <c r="AR3149">
        <v>0</v>
      </c>
      <c r="AS3149">
        <v>0</v>
      </c>
      <c r="AT3149">
        <v>0</v>
      </c>
      <c r="AU3149">
        <v>0</v>
      </c>
      <c r="AV3149">
        <v>0</v>
      </c>
      <c r="AW3149">
        <v>0</v>
      </c>
      <c r="AX3149">
        <v>0</v>
      </c>
      <c r="AY3149">
        <v>0</v>
      </c>
      <c r="AZ3149">
        <v>0</v>
      </c>
      <c r="BA3149">
        <v>0</v>
      </c>
      <c r="BB3149">
        <v>0</v>
      </c>
      <c r="BC3149">
        <v>0</v>
      </c>
      <c r="BD3149">
        <v>0</v>
      </c>
      <c r="BE3149">
        <v>0</v>
      </c>
      <c r="BF3149">
        <v>0</v>
      </c>
      <c r="BG3149">
        <v>0</v>
      </c>
      <c r="BH3149">
        <v>1</v>
      </c>
      <c r="BI3149">
        <v>19</v>
      </c>
      <c r="BJ3149">
        <v>8.9</v>
      </c>
      <c r="BK3149">
        <v>19</v>
      </c>
      <c r="BL3149">
        <v>122.21</v>
      </c>
      <c r="BM3149">
        <v>18.329999999999998</v>
      </c>
      <c r="BN3149">
        <v>140.54</v>
      </c>
      <c r="BO3149">
        <v>140.54</v>
      </c>
      <c r="BQ3149" t="s">
        <v>347</v>
      </c>
      <c r="BR3149" t="s">
        <v>84</v>
      </c>
      <c r="BS3149" s="3">
        <v>45803</v>
      </c>
      <c r="BT3149" s="4">
        <v>0.36527777777777776</v>
      </c>
      <c r="BU3149" t="s">
        <v>348</v>
      </c>
      <c r="BV3149" t="s">
        <v>86</v>
      </c>
      <c r="BY3149">
        <v>44640</v>
      </c>
      <c r="CA3149" t="s">
        <v>349</v>
      </c>
      <c r="CC3149" t="s">
        <v>76</v>
      </c>
      <c r="CD3149">
        <v>1619</v>
      </c>
      <c r="CE3149" t="s">
        <v>96</v>
      </c>
      <c r="CF3149" s="3">
        <v>45803</v>
      </c>
      <c r="CI3149">
        <v>1</v>
      </c>
      <c r="CJ3149">
        <v>1</v>
      </c>
      <c r="CK3149">
        <v>42</v>
      </c>
      <c r="CL3149" t="s">
        <v>89</v>
      </c>
    </row>
    <row r="3150" spans="1:90" x14ac:dyDescent="0.3">
      <c r="A3150" t="s">
        <v>72</v>
      </c>
      <c r="B3150" t="s">
        <v>73</v>
      </c>
      <c r="C3150" t="s">
        <v>74</v>
      </c>
      <c r="E3150" t="str">
        <f>"080065533227"</f>
        <v>080065533227</v>
      </c>
      <c r="F3150" s="3">
        <v>45800</v>
      </c>
      <c r="G3150">
        <v>202602</v>
      </c>
      <c r="H3150" t="s">
        <v>75</v>
      </c>
      <c r="I3150" t="s">
        <v>76</v>
      </c>
      <c r="J3150" t="s">
        <v>77</v>
      </c>
      <c r="K3150" t="s">
        <v>78</v>
      </c>
      <c r="L3150" t="s">
        <v>136</v>
      </c>
      <c r="M3150" t="s">
        <v>137</v>
      </c>
      <c r="N3150" t="s">
        <v>1235</v>
      </c>
      <c r="O3150" t="s">
        <v>300</v>
      </c>
      <c r="P3150" t="str">
        <f>"4170040327                    "</f>
        <v xml:space="preserve">4170040327                    </v>
      </c>
      <c r="Q3150">
        <v>0</v>
      </c>
      <c r="R3150">
        <v>0</v>
      </c>
      <c r="S3150">
        <v>0</v>
      </c>
      <c r="T3150">
        <v>0</v>
      </c>
      <c r="U3150">
        <v>0</v>
      </c>
      <c r="V3150">
        <v>0</v>
      </c>
      <c r="W3150">
        <v>0</v>
      </c>
      <c r="X3150">
        <v>0</v>
      </c>
      <c r="Y3150">
        <v>0</v>
      </c>
      <c r="Z3150">
        <v>0</v>
      </c>
      <c r="AA3150">
        <v>0</v>
      </c>
      <c r="AB3150">
        <v>0</v>
      </c>
      <c r="AC3150">
        <v>0</v>
      </c>
      <c r="AD3150">
        <v>0</v>
      </c>
      <c r="AE3150">
        <v>0</v>
      </c>
      <c r="AF3150">
        <v>0</v>
      </c>
      <c r="AG3150">
        <v>0</v>
      </c>
      <c r="AH3150">
        <v>0</v>
      </c>
      <c r="AI3150">
        <v>0</v>
      </c>
      <c r="AJ3150">
        <v>0</v>
      </c>
      <c r="AK3150">
        <v>0</v>
      </c>
      <c r="AL3150">
        <v>0</v>
      </c>
      <c r="AM3150">
        <v>0</v>
      </c>
      <c r="AN3150">
        <v>0</v>
      </c>
      <c r="AO3150">
        <v>0</v>
      </c>
      <c r="AP3150">
        <v>0</v>
      </c>
      <c r="AQ3150">
        <v>72.08</v>
      </c>
      <c r="AR3150">
        <v>0</v>
      </c>
      <c r="AS3150">
        <v>0</v>
      </c>
      <c r="AT3150">
        <v>0</v>
      </c>
      <c r="AU3150">
        <v>0</v>
      </c>
      <c r="AV3150">
        <v>0</v>
      </c>
      <c r="AW3150">
        <v>0</v>
      </c>
      <c r="AX3150">
        <v>0</v>
      </c>
      <c r="AY3150">
        <v>0</v>
      </c>
      <c r="AZ3150">
        <v>0</v>
      </c>
      <c r="BA3150">
        <v>0</v>
      </c>
      <c r="BB3150">
        <v>0</v>
      </c>
      <c r="BC3150">
        <v>0</v>
      </c>
      <c r="BD3150">
        <v>0</v>
      </c>
      <c r="BE3150">
        <v>0</v>
      </c>
      <c r="BF3150">
        <v>0</v>
      </c>
      <c r="BG3150">
        <v>0</v>
      </c>
      <c r="BH3150">
        <v>1</v>
      </c>
      <c r="BI3150">
        <v>21</v>
      </c>
      <c r="BJ3150">
        <v>32.6</v>
      </c>
      <c r="BK3150">
        <v>33</v>
      </c>
      <c r="BL3150">
        <v>241.47</v>
      </c>
      <c r="BM3150">
        <v>36.22</v>
      </c>
      <c r="BN3150">
        <v>277.69</v>
      </c>
      <c r="BO3150">
        <v>277.69</v>
      </c>
      <c r="BQ3150" t="s">
        <v>1236</v>
      </c>
      <c r="BR3150" t="s">
        <v>84</v>
      </c>
      <c r="BS3150" s="3">
        <v>45803</v>
      </c>
      <c r="BT3150" s="4">
        <v>0.40763888888888888</v>
      </c>
      <c r="BU3150" t="s">
        <v>1237</v>
      </c>
      <c r="BV3150" t="s">
        <v>86</v>
      </c>
      <c r="BY3150">
        <v>162840</v>
      </c>
      <c r="CA3150" t="s">
        <v>1238</v>
      </c>
      <c r="CC3150" t="s">
        <v>137</v>
      </c>
      <c r="CD3150" s="5" t="s">
        <v>1239</v>
      </c>
      <c r="CE3150" t="s">
        <v>96</v>
      </c>
      <c r="CF3150" s="3">
        <v>45803</v>
      </c>
      <c r="CI3150">
        <v>1</v>
      </c>
      <c r="CJ3150">
        <v>1</v>
      </c>
      <c r="CK3150">
        <v>41</v>
      </c>
      <c r="CL3150" t="s">
        <v>89</v>
      </c>
    </row>
    <row r="3151" spans="1:90" x14ac:dyDescent="0.3">
      <c r="A3151" t="s">
        <v>72</v>
      </c>
      <c r="B3151" t="s">
        <v>73</v>
      </c>
      <c r="C3151" t="s">
        <v>74</v>
      </c>
      <c r="E3151" t="str">
        <f>"080065533325"</f>
        <v>080065533325</v>
      </c>
      <c r="F3151" s="3">
        <v>45800</v>
      </c>
      <c r="G3151">
        <v>202602</v>
      </c>
      <c r="H3151" t="s">
        <v>75</v>
      </c>
      <c r="I3151" t="s">
        <v>76</v>
      </c>
      <c r="J3151" t="s">
        <v>77</v>
      </c>
      <c r="K3151" t="s">
        <v>78</v>
      </c>
      <c r="L3151" t="s">
        <v>90</v>
      </c>
      <c r="M3151" t="s">
        <v>91</v>
      </c>
      <c r="N3151" t="s">
        <v>515</v>
      </c>
      <c r="O3151" t="s">
        <v>82</v>
      </c>
      <c r="P3151" t="str">
        <f>"4170040475                    "</f>
        <v xml:space="preserve">4170040475                    </v>
      </c>
      <c r="Q3151">
        <v>0</v>
      </c>
      <c r="R3151">
        <v>0</v>
      </c>
      <c r="S3151">
        <v>0</v>
      </c>
      <c r="T3151">
        <v>0</v>
      </c>
      <c r="U3151">
        <v>0</v>
      </c>
      <c r="V3151">
        <v>0</v>
      </c>
      <c r="W3151">
        <v>0</v>
      </c>
      <c r="X3151">
        <v>0</v>
      </c>
      <c r="Y3151">
        <v>0</v>
      </c>
      <c r="Z3151">
        <v>0</v>
      </c>
      <c r="AA3151">
        <v>0</v>
      </c>
      <c r="AB3151">
        <v>0</v>
      </c>
      <c r="AC3151">
        <v>0</v>
      </c>
      <c r="AD3151">
        <v>0</v>
      </c>
      <c r="AE3151">
        <v>0</v>
      </c>
      <c r="AF3151">
        <v>0</v>
      </c>
      <c r="AG3151">
        <v>0</v>
      </c>
      <c r="AH3151">
        <v>0</v>
      </c>
      <c r="AI3151">
        <v>0</v>
      </c>
      <c r="AJ3151">
        <v>0</v>
      </c>
      <c r="AK3151">
        <v>0</v>
      </c>
      <c r="AL3151">
        <v>0</v>
      </c>
      <c r="AM3151">
        <v>0</v>
      </c>
      <c r="AN3151">
        <v>0</v>
      </c>
      <c r="AO3151">
        <v>0</v>
      </c>
      <c r="AP3151">
        <v>0</v>
      </c>
      <c r="AQ3151">
        <v>21.38</v>
      </c>
      <c r="AR3151">
        <v>0</v>
      </c>
      <c r="AS3151">
        <v>0</v>
      </c>
      <c r="AT3151">
        <v>0</v>
      </c>
      <c r="AU3151">
        <v>0</v>
      </c>
      <c r="AV3151">
        <v>0</v>
      </c>
      <c r="AW3151">
        <v>0</v>
      </c>
      <c r="AX3151">
        <v>0</v>
      </c>
      <c r="AY3151">
        <v>0</v>
      </c>
      <c r="AZ3151">
        <v>0</v>
      </c>
      <c r="BA3151">
        <v>0</v>
      </c>
      <c r="BB3151">
        <v>0</v>
      </c>
      <c r="BC3151">
        <v>0</v>
      </c>
      <c r="BD3151">
        <v>0</v>
      </c>
      <c r="BE3151">
        <v>0</v>
      </c>
      <c r="BF3151">
        <v>0</v>
      </c>
      <c r="BG3151">
        <v>0</v>
      </c>
      <c r="BH3151">
        <v>1</v>
      </c>
      <c r="BI3151">
        <v>1</v>
      </c>
      <c r="BJ3151">
        <v>0.2</v>
      </c>
      <c r="BK3151">
        <v>1</v>
      </c>
      <c r="BL3151">
        <v>69.98</v>
      </c>
      <c r="BM3151">
        <v>10.5</v>
      </c>
      <c r="BN3151">
        <v>80.48</v>
      </c>
      <c r="BO3151">
        <v>80.48</v>
      </c>
      <c r="BQ3151" t="s">
        <v>516</v>
      </c>
      <c r="BR3151" t="s">
        <v>84</v>
      </c>
      <c r="BS3151" s="3">
        <v>45803</v>
      </c>
      <c r="BT3151" s="4">
        <v>0.4152777777777778</v>
      </c>
      <c r="BU3151" t="s">
        <v>517</v>
      </c>
      <c r="BV3151" t="s">
        <v>86</v>
      </c>
      <c r="BY3151">
        <v>1200</v>
      </c>
      <c r="CA3151" t="s">
        <v>271</v>
      </c>
      <c r="CC3151" t="s">
        <v>91</v>
      </c>
      <c r="CD3151">
        <v>6001</v>
      </c>
      <c r="CE3151" t="s">
        <v>88</v>
      </c>
      <c r="CF3151" s="3">
        <v>45803</v>
      </c>
      <c r="CI3151">
        <v>1</v>
      </c>
      <c r="CJ3151">
        <v>1</v>
      </c>
      <c r="CK3151">
        <v>21</v>
      </c>
      <c r="CL3151" t="s">
        <v>89</v>
      </c>
    </row>
    <row r="3152" spans="1:90" x14ac:dyDescent="0.3">
      <c r="A3152" t="s">
        <v>72</v>
      </c>
      <c r="B3152" t="s">
        <v>73</v>
      </c>
      <c r="C3152" t="s">
        <v>74</v>
      </c>
      <c r="E3152" t="str">
        <f>"080065533342"</f>
        <v>080065533342</v>
      </c>
      <c r="F3152" s="3">
        <v>45800</v>
      </c>
      <c r="G3152">
        <v>202602</v>
      </c>
      <c r="H3152" t="s">
        <v>75</v>
      </c>
      <c r="I3152" t="s">
        <v>76</v>
      </c>
      <c r="J3152" t="s">
        <v>77</v>
      </c>
      <c r="K3152" t="s">
        <v>78</v>
      </c>
      <c r="L3152" t="s">
        <v>350</v>
      </c>
      <c r="M3152" t="s">
        <v>351</v>
      </c>
      <c r="N3152" t="s">
        <v>876</v>
      </c>
      <c r="O3152" t="s">
        <v>82</v>
      </c>
      <c r="P3152" t="str">
        <f>"4170040469                    "</f>
        <v xml:space="preserve">4170040469                    </v>
      </c>
      <c r="Q3152">
        <v>0</v>
      </c>
      <c r="R3152">
        <v>0</v>
      </c>
      <c r="S3152">
        <v>0</v>
      </c>
      <c r="T3152">
        <v>0</v>
      </c>
      <c r="U3152">
        <v>0</v>
      </c>
      <c r="V3152">
        <v>0</v>
      </c>
      <c r="W3152">
        <v>0</v>
      </c>
      <c r="X3152">
        <v>0</v>
      </c>
      <c r="Y3152">
        <v>0</v>
      </c>
      <c r="Z3152">
        <v>0</v>
      </c>
      <c r="AA3152">
        <v>0</v>
      </c>
      <c r="AB3152">
        <v>0</v>
      </c>
      <c r="AC3152">
        <v>0</v>
      </c>
      <c r="AD3152">
        <v>0</v>
      </c>
      <c r="AE3152">
        <v>0</v>
      </c>
      <c r="AF3152">
        <v>0</v>
      </c>
      <c r="AG3152">
        <v>0</v>
      </c>
      <c r="AH3152">
        <v>0</v>
      </c>
      <c r="AI3152">
        <v>0</v>
      </c>
      <c r="AJ3152">
        <v>0</v>
      </c>
      <c r="AK3152">
        <v>0</v>
      </c>
      <c r="AL3152">
        <v>0</v>
      </c>
      <c r="AM3152">
        <v>0</v>
      </c>
      <c r="AN3152">
        <v>0</v>
      </c>
      <c r="AO3152">
        <v>0</v>
      </c>
      <c r="AP3152">
        <v>0</v>
      </c>
      <c r="AQ3152">
        <v>21.38</v>
      </c>
      <c r="AR3152">
        <v>0</v>
      </c>
      <c r="AS3152">
        <v>0</v>
      </c>
      <c r="AT3152">
        <v>0</v>
      </c>
      <c r="AU3152">
        <v>0</v>
      </c>
      <c r="AV3152">
        <v>0</v>
      </c>
      <c r="AW3152">
        <v>0</v>
      </c>
      <c r="AX3152">
        <v>0</v>
      </c>
      <c r="AY3152">
        <v>0</v>
      </c>
      <c r="AZ3152">
        <v>0</v>
      </c>
      <c r="BA3152">
        <v>0</v>
      </c>
      <c r="BB3152">
        <v>0</v>
      </c>
      <c r="BC3152">
        <v>0</v>
      </c>
      <c r="BD3152">
        <v>0</v>
      </c>
      <c r="BE3152">
        <v>0</v>
      </c>
      <c r="BF3152">
        <v>0</v>
      </c>
      <c r="BG3152">
        <v>0</v>
      </c>
      <c r="BH3152">
        <v>1</v>
      </c>
      <c r="BI3152">
        <v>1</v>
      </c>
      <c r="BJ3152">
        <v>0.2</v>
      </c>
      <c r="BK3152">
        <v>1</v>
      </c>
      <c r="BL3152">
        <v>69.98</v>
      </c>
      <c r="BM3152">
        <v>10.5</v>
      </c>
      <c r="BN3152">
        <v>80.48</v>
      </c>
      <c r="BO3152">
        <v>80.48</v>
      </c>
      <c r="BQ3152" t="s">
        <v>877</v>
      </c>
      <c r="BR3152" t="s">
        <v>84</v>
      </c>
      <c r="BS3152" s="3">
        <v>45803</v>
      </c>
      <c r="BT3152" s="4">
        <v>0.41249999999999998</v>
      </c>
      <c r="BU3152" t="s">
        <v>3087</v>
      </c>
      <c r="BV3152" t="s">
        <v>86</v>
      </c>
      <c r="BY3152">
        <v>1200</v>
      </c>
      <c r="CA3152" t="s">
        <v>879</v>
      </c>
      <c r="CC3152" t="s">
        <v>351</v>
      </c>
      <c r="CD3152">
        <v>4001</v>
      </c>
      <c r="CE3152" t="s">
        <v>176</v>
      </c>
      <c r="CF3152" s="3">
        <v>45803</v>
      </c>
      <c r="CI3152">
        <v>1</v>
      </c>
      <c r="CJ3152">
        <v>1</v>
      </c>
      <c r="CK3152">
        <v>21</v>
      </c>
      <c r="CL3152" t="s">
        <v>89</v>
      </c>
    </row>
    <row r="3153" spans="1:90" x14ac:dyDescent="0.3">
      <c r="A3153" t="s">
        <v>72</v>
      </c>
      <c r="B3153" t="s">
        <v>73</v>
      </c>
      <c r="C3153" t="s">
        <v>74</v>
      </c>
      <c r="E3153" t="str">
        <f>"080065533348"</f>
        <v>080065533348</v>
      </c>
      <c r="F3153" s="3">
        <v>45800</v>
      </c>
      <c r="G3153">
        <v>202602</v>
      </c>
      <c r="H3153" t="s">
        <v>75</v>
      </c>
      <c r="I3153" t="s">
        <v>76</v>
      </c>
      <c r="J3153" t="s">
        <v>77</v>
      </c>
      <c r="K3153" t="s">
        <v>78</v>
      </c>
      <c r="L3153" t="s">
        <v>624</v>
      </c>
      <c r="M3153" t="s">
        <v>625</v>
      </c>
      <c r="N3153" t="s">
        <v>481</v>
      </c>
      <c r="O3153" t="s">
        <v>82</v>
      </c>
      <c r="P3153" t="str">
        <f>"4170040511                    "</f>
        <v xml:space="preserve">4170040511                    </v>
      </c>
      <c r="Q3153">
        <v>0</v>
      </c>
      <c r="R3153">
        <v>0</v>
      </c>
      <c r="S3153">
        <v>0</v>
      </c>
      <c r="T3153">
        <v>0</v>
      </c>
      <c r="U3153">
        <v>0</v>
      </c>
      <c r="V3153">
        <v>0</v>
      </c>
      <c r="W3153">
        <v>0</v>
      </c>
      <c r="X3153">
        <v>0</v>
      </c>
      <c r="Y3153">
        <v>0</v>
      </c>
      <c r="Z3153">
        <v>0</v>
      </c>
      <c r="AA3153">
        <v>0</v>
      </c>
      <c r="AB3153">
        <v>0</v>
      </c>
      <c r="AC3153">
        <v>0</v>
      </c>
      <c r="AD3153">
        <v>0</v>
      </c>
      <c r="AE3153">
        <v>0</v>
      </c>
      <c r="AF3153">
        <v>0</v>
      </c>
      <c r="AG3153">
        <v>0</v>
      </c>
      <c r="AH3153">
        <v>0</v>
      </c>
      <c r="AI3153">
        <v>0</v>
      </c>
      <c r="AJ3153">
        <v>0</v>
      </c>
      <c r="AK3153">
        <v>0</v>
      </c>
      <c r="AL3153">
        <v>0</v>
      </c>
      <c r="AM3153">
        <v>0</v>
      </c>
      <c r="AN3153">
        <v>0</v>
      </c>
      <c r="AO3153">
        <v>0</v>
      </c>
      <c r="AP3153">
        <v>0</v>
      </c>
      <c r="AQ3153">
        <v>41.43</v>
      </c>
      <c r="AR3153">
        <v>0</v>
      </c>
      <c r="AS3153">
        <v>0</v>
      </c>
      <c r="AT3153">
        <v>0</v>
      </c>
      <c r="AU3153">
        <v>0</v>
      </c>
      <c r="AV3153">
        <v>0</v>
      </c>
      <c r="AW3153">
        <v>0</v>
      </c>
      <c r="AX3153">
        <v>0</v>
      </c>
      <c r="AY3153">
        <v>0</v>
      </c>
      <c r="AZ3153">
        <v>0</v>
      </c>
      <c r="BA3153">
        <v>0</v>
      </c>
      <c r="BB3153">
        <v>0</v>
      </c>
      <c r="BC3153">
        <v>0</v>
      </c>
      <c r="BD3153">
        <v>0</v>
      </c>
      <c r="BE3153">
        <v>0</v>
      </c>
      <c r="BF3153">
        <v>0</v>
      </c>
      <c r="BG3153">
        <v>0</v>
      </c>
      <c r="BH3153">
        <v>1</v>
      </c>
      <c r="BI3153">
        <v>2</v>
      </c>
      <c r="BJ3153">
        <v>1.6</v>
      </c>
      <c r="BK3153">
        <v>2</v>
      </c>
      <c r="BL3153">
        <v>135.59</v>
      </c>
      <c r="BM3153">
        <v>20.34</v>
      </c>
      <c r="BN3153">
        <v>155.93</v>
      </c>
      <c r="BO3153">
        <v>155.93</v>
      </c>
      <c r="BQ3153" t="s">
        <v>1025</v>
      </c>
      <c r="BR3153" t="s">
        <v>84</v>
      </c>
      <c r="BS3153" s="3">
        <v>45804</v>
      </c>
      <c r="BT3153" s="4">
        <v>0.43055555555555558</v>
      </c>
      <c r="BU3153" t="s">
        <v>3088</v>
      </c>
      <c r="BV3153" t="s">
        <v>89</v>
      </c>
      <c r="BY3153">
        <v>8064</v>
      </c>
      <c r="CC3153" t="s">
        <v>625</v>
      </c>
      <c r="CD3153">
        <v>1947</v>
      </c>
      <c r="CE3153" t="s">
        <v>176</v>
      </c>
      <c r="CF3153" s="3">
        <v>45805</v>
      </c>
      <c r="CI3153">
        <v>1</v>
      </c>
      <c r="CJ3153">
        <v>2</v>
      </c>
      <c r="CK3153">
        <v>23</v>
      </c>
      <c r="CL3153" t="s">
        <v>89</v>
      </c>
    </row>
    <row r="3154" spans="1:90" x14ac:dyDescent="0.3">
      <c r="A3154" t="s">
        <v>72</v>
      </c>
      <c r="B3154" t="s">
        <v>73</v>
      </c>
      <c r="C3154" t="s">
        <v>74</v>
      </c>
      <c r="E3154" t="str">
        <f>"080065533359"</f>
        <v>080065533359</v>
      </c>
      <c r="F3154" s="3">
        <v>45800</v>
      </c>
      <c r="G3154">
        <v>202602</v>
      </c>
      <c r="H3154" t="s">
        <v>75</v>
      </c>
      <c r="I3154" t="s">
        <v>76</v>
      </c>
      <c r="J3154" t="s">
        <v>77</v>
      </c>
      <c r="K3154" t="s">
        <v>78</v>
      </c>
      <c r="L3154" t="s">
        <v>130</v>
      </c>
      <c r="M3154" t="s">
        <v>131</v>
      </c>
      <c r="N3154" t="s">
        <v>343</v>
      </c>
      <c r="O3154" t="s">
        <v>82</v>
      </c>
      <c r="P3154" t="str">
        <f>"4170040509                    "</f>
        <v xml:space="preserve">4170040509                    </v>
      </c>
      <c r="Q3154">
        <v>0</v>
      </c>
      <c r="R3154">
        <v>0</v>
      </c>
      <c r="S3154">
        <v>0</v>
      </c>
      <c r="T3154">
        <v>0</v>
      </c>
      <c r="U3154">
        <v>0</v>
      </c>
      <c r="V3154">
        <v>0</v>
      </c>
      <c r="W3154">
        <v>0</v>
      </c>
      <c r="X3154">
        <v>0</v>
      </c>
      <c r="Y3154">
        <v>0</v>
      </c>
      <c r="Z3154">
        <v>0</v>
      </c>
      <c r="AA3154">
        <v>0</v>
      </c>
      <c r="AB3154">
        <v>0</v>
      </c>
      <c r="AC3154">
        <v>0</v>
      </c>
      <c r="AD3154">
        <v>0</v>
      </c>
      <c r="AE3154">
        <v>0</v>
      </c>
      <c r="AF3154">
        <v>0</v>
      </c>
      <c r="AG3154">
        <v>0</v>
      </c>
      <c r="AH3154">
        <v>0</v>
      </c>
      <c r="AI3154">
        <v>0</v>
      </c>
      <c r="AJ3154">
        <v>0</v>
      </c>
      <c r="AK3154">
        <v>0</v>
      </c>
      <c r="AL3154">
        <v>0</v>
      </c>
      <c r="AM3154">
        <v>0</v>
      </c>
      <c r="AN3154">
        <v>0</v>
      </c>
      <c r="AO3154">
        <v>0</v>
      </c>
      <c r="AP3154">
        <v>0</v>
      </c>
      <c r="AQ3154">
        <v>21.38</v>
      </c>
      <c r="AR3154">
        <v>0</v>
      </c>
      <c r="AS3154">
        <v>0</v>
      </c>
      <c r="AT3154">
        <v>0</v>
      </c>
      <c r="AU3154">
        <v>0</v>
      </c>
      <c r="AV3154">
        <v>0</v>
      </c>
      <c r="AW3154">
        <v>0</v>
      </c>
      <c r="AX3154">
        <v>0</v>
      </c>
      <c r="AY3154">
        <v>0</v>
      </c>
      <c r="AZ3154">
        <v>0</v>
      </c>
      <c r="BA3154">
        <v>0</v>
      </c>
      <c r="BB3154">
        <v>0</v>
      </c>
      <c r="BC3154">
        <v>0</v>
      </c>
      <c r="BD3154">
        <v>0</v>
      </c>
      <c r="BE3154">
        <v>0</v>
      </c>
      <c r="BF3154">
        <v>0</v>
      </c>
      <c r="BG3154">
        <v>0</v>
      </c>
      <c r="BH3154">
        <v>1</v>
      </c>
      <c r="BI3154">
        <v>1</v>
      </c>
      <c r="BJ3154">
        <v>0.2</v>
      </c>
      <c r="BK3154">
        <v>1</v>
      </c>
      <c r="BL3154">
        <v>69.98</v>
      </c>
      <c r="BM3154">
        <v>10.5</v>
      </c>
      <c r="BN3154">
        <v>80.48</v>
      </c>
      <c r="BO3154">
        <v>80.48</v>
      </c>
      <c r="BQ3154" t="s">
        <v>344</v>
      </c>
      <c r="BR3154" t="s">
        <v>84</v>
      </c>
      <c r="BS3154" s="3">
        <v>45803</v>
      </c>
      <c r="BT3154" s="4">
        <v>0.39374999999999999</v>
      </c>
      <c r="BU3154" t="s">
        <v>345</v>
      </c>
      <c r="BV3154" t="s">
        <v>86</v>
      </c>
      <c r="BY3154">
        <v>1200</v>
      </c>
      <c r="CA3154" t="s">
        <v>242</v>
      </c>
      <c r="CC3154" t="s">
        <v>131</v>
      </c>
      <c r="CD3154">
        <v>7441</v>
      </c>
      <c r="CE3154" t="s">
        <v>176</v>
      </c>
      <c r="CF3154" s="3">
        <v>45804</v>
      </c>
      <c r="CI3154">
        <v>1</v>
      </c>
      <c r="CJ3154">
        <v>1</v>
      </c>
      <c r="CK3154">
        <v>21</v>
      </c>
      <c r="CL3154" t="s">
        <v>89</v>
      </c>
    </row>
    <row r="3155" spans="1:90" x14ac:dyDescent="0.3">
      <c r="A3155" t="s">
        <v>72</v>
      </c>
      <c r="B3155" t="s">
        <v>73</v>
      </c>
      <c r="C3155" t="s">
        <v>74</v>
      </c>
      <c r="E3155" t="str">
        <f>"080065533370"</f>
        <v>080065533370</v>
      </c>
      <c r="F3155" s="3">
        <v>45800</v>
      </c>
      <c r="G3155">
        <v>202602</v>
      </c>
      <c r="H3155" t="s">
        <v>75</v>
      </c>
      <c r="I3155" t="s">
        <v>76</v>
      </c>
      <c r="J3155" t="s">
        <v>77</v>
      </c>
      <c r="K3155" t="s">
        <v>78</v>
      </c>
      <c r="L3155" t="s">
        <v>136</v>
      </c>
      <c r="M3155" t="s">
        <v>137</v>
      </c>
      <c r="N3155" t="s">
        <v>250</v>
      </c>
      <c r="O3155" t="s">
        <v>82</v>
      </c>
      <c r="P3155" t="str">
        <f>"4170040482                    "</f>
        <v xml:space="preserve">4170040482                    </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0</v>
      </c>
      <c r="AL3155">
        <v>0</v>
      </c>
      <c r="AM3155">
        <v>0</v>
      </c>
      <c r="AN3155">
        <v>0</v>
      </c>
      <c r="AO3155">
        <v>0</v>
      </c>
      <c r="AP3155">
        <v>0</v>
      </c>
      <c r="AQ3155">
        <v>37.409999999999997</v>
      </c>
      <c r="AR3155">
        <v>0</v>
      </c>
      <c r="AS3155">
        <v>0</v>
      </c>
      <c r="AT3155">
        <v>0</v>
      </c>
      <c r="AU3155">
        <v>0</v>
      </c>
      <c r="AV3155">
        <v>0</v>
      </c>
      <c r="AW3155">
        <v>0</v>
      </c>
      <c r="AX3155">
        <v>0</v>
      </c>
      <c r="AY3155">
        <v>0</v>
      </c>
      <c r="AZ3155">
        <v>0</v>
      </c>
      <c r="BA3155">
        <v>0</v>
      </c>
      <c r="BB3155">
        <v>0</v>
      </c>
      <c r="BC3155">
        <v>0</v>
      </c>
      <c r="BD3155">
        <v>0</v>
      </c>
      <c r="BE3155">
        <v>0</v>
      </c>
      <c r="BF3155">
        <v>0</v>
      </c>
      <c r="BG3155">
        <v>0</v>
      </c>
      <c r="BH3155">
        <v>1</v>
      </c>
      <c r="BI3155">
        <v>1</v>
      </c>
      <c r="BJ3155">
        <v>3.1</v>
      </c>
      <c r="BK3155">
        <v>3.5</v>
      </c>
      <c r="BL3155">
        <v>122.43</v>
      </c>
      <c r="BM3155">
        <v>18.36</v>
      </c>
      <c r="BN3155">
        <v>140.79</v>
      </c>
      <c r="BO3155">
        <v>140.79</v>
      </c>
      <c r="BQ3155" t="s">
        <v>251</v>
      </c>
      <c r="BR3155" t="s">
        <v>84</v>
      </c>
      <c r="BS3155" s="3">
        <v>45803</v>
      </c>
      <c r="BT3155" s="4">
        <v>0.4</v>
      </c>
      <c r="BU3155" t="s">
        <v>3089</v>
      </c>
      <c r="BV3155" t="s">
        <v>86</v>
      </c>
      <c r="BY3155">
        <v>15360</v>
      </c>
      <c r="CA3155" t="s">
        <v>253</v>
      </c>
      <c r="CC3155" t="s">
        <v>137</v>
      </c>
      <c r="CD3155" s="5" t="s">
        <v>254</v>
      </c>
      <c r="CE3155" t="s">
        <v>176</v>
      </c>
      <c r="CF3155" s="3">
        <v>45803</v>
      </c>
      <c r="CI3155">
        <v>1</v>
      </c>
      <c r="CJ3155">
        <v>1</v>
      </c>
      <c r="CK3155">
        <v>21</v>
      </c>
      <c r="CL3155" t="s">
        <v>89</v>
      </c>
    </row>
    <row r="3156" spans="1:90" x14ac:dyDescent="0.3">
      <c r="A3156" t="s">
        <v>72</v>
      </c>
      <c r="B3156" t="s">
        <v>73</v>
      </c>
      <c r="C3156" t="s">
        <v>74</v>
      </c>
      <c r="E3156" t="str">
        <f>"080065533382"</f>
        <v>080065533382</v>
      </c>
      <c r="F3156" s="3">
        <v>45800</v>
      </c>
      <c r="G3156">
        <v>202602</v>
      </c>
      <c r="H3156" t="s">
        <v>75</v>
      </c>
      <c r="I3156" t="s">
        <v>76</v>
      </c>
      <c r="J3156" t="s">
        <v>77</v>
      </c>
      <c r="K3156" t="s">
        <v>78</v>
      </c>
      <c r="L3156" t="s">
        <v>1214</v>
      </c>
      <c r="M3156" t="s">
        <v>1215</v>
      </c>
      <c r="N3156" t="s">
        <v>1216</v>
      </c>
      <c r="O3156" t="s">
        <v>82</v>
      </c>
      <c r="P3156" t="str">
        <f>"4170040471                    "</f>
        <v xml:space="preserve">4170040471                    </v>
      </c>
      <c r="Q3156">
        <v>0</v>
      </c>
      <c r="R3156">
        <v>0</v>
      </c>
      <c r="S3156">
        <v>0</v>
      </c>
      <c r="T3156">
        <v>0</v>
      </c>
      <c r="U3156">
        <v>0</v>
      </c>
      <c r="V3156">
        <v>0</v>
      </c>
      <c r="W3156">
        <v>0</v>
      </c>
      <c r="X3156">
        <v>0</v>
      </c>
      <c r="Y3156">
        <v>0</v>
      </c>
      <c r="Z3156">
        <v>0</v>
      </c>
      <c r="AA3156">
        <v>0</v>
      </c>
      <c r="AB3156">
        <v>0</v>
      </c>
      <c r="AC3156">
        <v>0</v>
      </c>
      <c r="AD3156">
        <v>0</v>
      </c>
      <c r="AE3156">
        <v>0</v>
      </c>
      <c r="AF3156">
        <v>0</v>
      </c>
      <c r="AG3156">
        <v>0</v>
      </c>
      <c r="AH3156">
        <v>0</v>
      </c>
      <c r="AI3156">
        <v>0</v>
      </c>
      <c r="AJ3156">
        <v>0</v>
      </c>
      <c r="AK3156">
        <v>0</v>
      </c>
      <c r="AL3156">
        <v>0</v>
      </c>
      <c r="AM3156">
        <v>0</v>
      </c>
      <c r="AN3156">
        <v>0</v>
      </c>
      <c r="AO3156">
        <v>0</v>
      </c>
      <c r="AP3156">
        <v>0</v>
      </c>
      <c r="AQ3156">
        <v>21.38</v>
      </c>
      <c r="AR3156">
        <v>0</v>
      </c>
      <c r="AS3156">
        <v>0</v>
      </c>
      <c r="AT3156">
        <v>0</v>
      </c>
      <c r="AU3156">
        <v>0</v>
      </c>
      <c r="AV3156">
        <v>0</v>
      </c>
      <c r="AW3156">
        <v>0</v>
      </c>
      <c r="AX3156">
        <v>0</v>
      </c>
      <c r="AY3156">
        <v>0</v>
      </c>
      <c r="AZ3156">
        <v>0</v>
      </c>
      <c r="BA3156">
        <v>0</v>
      </c>
      <c r="BB3156">
        <v>0</v>
      </c>
      <c r="BC3156">
        <v>0</v>
      </c>
      <c r="BD3156">
        <v>0</v>
      </c>
      <c r="BE3156">
        <v>0</v>
      </c>
      <c r="BF3156">
        <v>0</v>
      </c>
      <c r="BG3156">
        <v>0</v>
      </c>
      <c r="BH3156">
        <v>1</v>
      </c>
      <c r="BI3156">
        <v>1</v>
      </c>
      <c r="BJ3156">
        <v>0.2</v>
      </c>
      <c r="BK3156">
        <v>1</v>
      </c>
      <c r="BL3156">
        <v>69.98</v>
      </c>
      <c r="BM3156">
        <v>10.5</v>
      </c>
      <c r="BN3156">
        <v>80.48</v>
      </c>
      <c r="BO3156">
        <v>80.48</v>
      </c>
      <c r="BQ3156" t="s">
        <v>1217</v>
      </c>
      <c r="BR3156" t="s">
        <v>84</v>
      </c>
      <c r="BS3156" s="3">
        <v>45803</v>
      </c>
      <c r="BT3156" s="4">
        <v>0.375</v>
      </c>
      <c r="BU3156" t="s">
        <v>2581</v>
      </c>
      <c r="BV3156" t="s">
        <v>86</v>
      </c>
      <c r="BY3156">
        <v>1200</v>
      </c>
      <c r="CA3156" t="s">
        <v>1219</v>
      </c>
      <c r="CC3156" t="s">
        <v>1215</v>
      </c>
      <c r="CD3156">
        <v>4302</v>
      </c>
      <c r="CE3156" t="s">
        <v>176</v>
      </c>
      <c r="CF3156" s="3">
        <v>45804</v>
      </c>
      <c r="CI3156">
        <v>1</v>
      </c>
      <c r="CJ3156">
        <v>1</v>
      </c>
      <c r="CK3156">
        <v>21</v>
      </c>
      <c r="CL3156" t="s">
        <v>89</v>
      </c>
    </row>
    <row r="3157" spans="1:90" x14ac:dyDescent="0.3">
      <c r="A3157" t="s">
        <v>72</v>
      </c>
      <c r="B3157" t="s">
        <v>73</v>
      </c>
      <c r="C3157" t="s">
        <v>74</v>
      </c>
      <c r="E3157" t="str">
        <f>"080065533408"</f>
        <v>080065533408</v>
      </c>
      <c r="F3157" s="3">
        <v>45800</v>
      </c>
      <c r="G3157">
        <v>202602</v>
      </c>
      <c r="H3157" t="s">
        <v>75</v>
      </c>
      <c r="I3157" t="s">
        <v>76</v>
      </c>
      <c r="J3157" t="s">
        <v>77</v>
      </c>
      <c r="K3157" t="s">
        <v>78</v>
      </c>
      <c r="L3157" t="s">
        <v>232</v>
      </c>
      <c r="M3157" t="s">
        <v>233</v>
      </c>
      <c r="N3157" t="s">
        <v>834</v>
      </c>
      <c r="O3157" t="s">
        <v>82</v>
      </c>
      <c r="P3157" t="str">
        <f>"4170040465                    "</f>
        <v xml:space="preserve">4170040465                    </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c r="AI3157">
        <v>0</v>
      </c>
      <c r="AJ3157">
        <v>0</v>
      </c>
      <c r="AK3157">
        <v>0</v>
      </c>
      <c r="AL3157">
        <v>0</v>
      </c>
      <c r="AM3157">
        <v>0</v>
      </c>
      <c r="AN3157">
        <v>0</v>
      </c>
      <c r="AO3157">
        <v>0</v>
      </c>
      <c r="AP3157">
        <v>0</v>
      </c>
      <c r="AQ3157">
        <v>37.409999999999997</v>
      </c>
      <c r="AR3157">
        <v>0</v>
      </c>
      <c r="AS3157">
        <v>0</v>
      </c>
      <c r="AT3157">
        <v>0</v>
      </c>
      <c r="AU3157">
        <v>0</v>
      </c>
      <c r="AV3157">
        <v>0</v>
      </c>
      <c r="AW3157">
        <v>0</v>
      </c>
      <c r="AX3157">
        <v>0</v>
      </c>
      <c r="AY3157">
        <v>0</v>
      </c>
      <c r="AZ3157">
        <v>0</v>
      </c>
      <c r="BA3157">
        <v>0</v>
      </c>
      <c r="BB3157">
        <v>0</v>
      </c>
      <c r="BC3157">
        <v>0</v>
      </c>
      <c r="BD3157">
        <v>0</v>
      </c>
      <c r="BE3157">
        <v>0</v>
      </c>
      <c r="BF3157">
        <v>0</v>
      </c>
      <c r="BG3157">
        <v>0</v>
      </c>
      <c r="BH3157">
        <v>1</v>
      </c>
      <c r="BI3157">
        <v>2</v>
      </c>
      <c r="BJ3157">
        <v>3.4</v>
      </c>
      <c r="BK3157">
        <v>3.5</v>
      </c>
      <c r="BL3157">
        <v>122.43</v>
      </c>
      <c r="BM3157">
        <v>18.36</v>
      </c>
      <c r="BN3157">
        <v>140.79</v>
      </c>
      <c r="BO3157">
        <v>140.79</v>
      </c>
      <c r="BQ3157" t="s">
        <v>835</v>
      </c>
      <c r="BR3157" t="s">
        <v>84</v>
      </c>
      <c r="BS3157" s="3">
        <v>45803</v>
      </c>
      <c r="BT3157" s="4">
        <v>0.3923611111111111</v>
      </c>
      <c r="BU3157" t="s">
        <v>3090</v>
      </c>
      <c r="BV3157" t="s">
        <v>86</v>
      </c>
      <c r="BY3157">
        <v>16965</v>
      </c>
      <c r="CC3157" t="s">
        <v>233</v>
      </c>
      <c r="CD3157" s="5" t="s">
        <v>238</v>
      </c>
      <c r="CE3157" t="s">
        <v>176</v>
      </c>
      <c r="CF3157" s="3">
        <v>45803</v>
      </c>
      <c r="CI3157">
        <v>1</v>
      </c>
      <c r="CJ3157">
        <v>1</v>
      </c>
      <c r="CK3157">
        <v>21</v>
      </c>
      <c r="CL3157" t="s">
        <v>89</v>
      </c>
    </row>
    <row r="3158" spans="1:90" x14ac:dyDescent="0.3">
      <c r="A3158" t="s">
        <v>72</v>
      </c>
      <c r="B3158" t="s">
        <v>73</v>
      </c>
      <c r="C3158" t="s">
        <v>74</v>
      </c>
      <c r="E3158" t="str">
        <f>"080065533450"</f>
        <v>080065533450</v>
      </c>
      <c r="F3158" s="3">
        <v>45800</v>
      </c>
      <c r="G3158">
        <v>202602</v>
      </c>
      <c r="H3158" t="s">
        <v>75</v>
      </c>
      <c r="I3158" t="s">
        <v>76</v>
      </c>
      <c r="J3158" t="s">
        <v>77</v>
      </c>
      <c r="K3158" t="s">
        <v>78</v>
      </c>
      <c r="L3158" t="s">
        <v>75</v>
      </c>
      <c r="M3158" t="s">
        <v>76</v>
      </c>
      <c r="N3158" t="s">
        <v>1404</v>
      </c>
      <c r="O3158" t="s">
        <v>82</v>
      </c>
      <c r="P3158" t="str">
        <f>"4170040463                    "</f>
        <v xml:space="preserve">4170040463                    </v>
      </c>
      <c r="Q3158">
        <v>0</v>
      </c>
      <c r="R3158">
        <v>0</v>
      </c>
      <c r="S3158">
        <v>0</v>
      </c>
      <c r="T3158">
        <v>0</v>
      </c>
      <c r="U3158">
        <v>0</v>
      </c>
      <c r="V3158">
        <v>0</v>
      </c>
      <c r="W3158">
        <v>0</v>
      </c>
      <c r="X3158">
        <v>0</v>
      </c>
      <c r="Y3158">
        <v>0</v>
      </c>
      <c r="Z3158">
        <v>0</v>
      </c>
      <c r="AA3158">
        <v>0</v>
      </c>
      <c r="AB3158">
        <v>0</v>
      </c>
      <c r="AC3158">
        <v>0</v>
      </c>
      <c r="AD3158">
        <v>0</v>
      </c>
      <c r="AE3158">
        <v>0</v>
      </c>
      <c r="AF3158">
        <v>0</v>
      </c>
      <c r="AG3158">
        <v>0</v>
      </c>
      <c r="AH3158">
        <v>0</v>
      </c>
      <c r="AI3158">
        <v>0</v>
      </c>
      <c r="AJ3158">
        <v>0</v>
      </c>
      <c r="AK3158">
        <v>0</v>
      </c>
      <c r="AL3158">
        <v>0</v>
      </c>
      <c r="AM3158">
        <v>0</v>
      </c>
      <c r="AN3158">
        <v>0</v>
      </c>
      <c r="AO3158">
        <v>0</v>
      </c>
      <c r="AP3158">
        <v>0</v>
      </c>
      <c r="AQ3158">
        <v>16.7</v>
      </c>
      <c r="AR3158">
        <v>0</v>
      </c>
      <c r="AS3158">
        <v>0</v>
      </c>
      <c r="AT3158">
        <v>0</v>
      </c>
      <c r="AU3158">
        <v>0</v>
      </c>
      <c r="AV3158">
        <v>0</v>
      </c>
      <c r="AW3158">
        <v>0</v>
      </c>
      <c r="AX3158">
        <v>0</v>
      </c>
      <c r="AY3158">
        <v>0</v>
      </c>
      <c r="AZ3158">
        <v>0</v>
      </c>
      <c r="BA3158">
        <v>0</v>
      </c>
      <c r="BB3158">
        <v>0</v>
      </c>
      <c r="BC3158">
        <v>0</v>
      </c>
      <c r="BD3158">
        <v>0</v>
      </c>
      <c r="BE3158">
        <v>0</v>
      </c>
      <c r="BF3158">
        <v>0</v>
      </c>
      <c r="BG3158">
        <v>0</v>
      </c>
      <c r="BH3158">
        <v>1</v>
      </c>
      <c r="BI3158">
        <v>2</v>
      </c>
      <c r="BJ3158">
        <v>1.9</v>
      </c>
      <c r="BK3158">
        <v>2</v>
      </c>
      <c r="BL3158">
        <v>54.66</v>
      </c>
      <c r="BM3158">
        <v>8.1999999999999993</v>
      </c>
      <c r="BN3158">
        <v>62.86</v>
      </c>
      <c r="BO3158">
        <v>62.86</v>
      </c>
      <c r="BQ3158" t="s">
        <v>1405</v>
      </c>
      <c r="BR3158" t="s">
        <v>84</v>
      </c>
      <c r="BS3158" s="3">
        <v>45803</v>
      </c>
      <c r="BT3158" s="4">
        <v>0.38819444444444445</v>
      </c>
      <c r="BU3158" t="s">
        <v>1230</v>
      </c>
      <c r="BV3158" t="s">
        <v>86</v>
      </c>
      <c r="BY3158">
        <v>9600</v>
      </c>
      <c r="CA3158" t="s">
        <v>2655</v>
      </c>
      <c r="CC3158" t="s">
        <v>76</v>
      </c>
      <c r="CD3158">
        <v>1601</v>
      </c>
      <c r="CE3158" t="s">
        <v>96</v>
      </c>
      <c r="CF3158" s="3">
        <v>45803</v>
      </c>
      <c r="CI3158">
        <v>1</v>
      </c>
      <c r="CJ3158">
        <v>1</v>
      </c>
      <c r="CK3158">
        <v>22</v>
      </c>
      <c r="CL3158" t="s">
        <v>89</v>
      </c>
    </row>
    <row r="3159" spans="1:90" x14ac:dyDescent="0.3">
      <c r="A3159" t="s">
        <v>72</v>
      </c>
      <c r="B3159" t="s">
        <v>73</v>
      </c>
      <c r="C3159" t="s">
        <v>74</v>
      </c>
      <c r="E3159" t="str">
        <f>"080065533506"</f>
        <v>080065533506</v>
      </c>
      <c r="F3159" s="3">
        <v>45800</v>
      </c>
      <c r="G3159">
        <v>202602</v>
      </c>
      <c r="H3159" t="s">
        <v>75</v>
      </c>
      <c r="I3159" t="s">
        <v>76</v>
      </c>
      <c r="J3159" t="s">
        <v>77</v>
      </c>
      <c r="K3159" t="s">
        <v>78</v>
      </c>
      <c r="L3159" t="s">
        <v>75</v>
      </c>
      <c r="M3159" t="s">
        <v>76</v>
      </c>
      <c r="N3159" t="s">
        <v>601</v>
      </c>
      <c r="O3159" t="s">
        <v>82</v>
      </c>
      <c r="P3159" t="str">
        <f>"4170040439                    "</f>
        <v xml:space="preserve">4170040439                    </v>
      </c>
      <c r="Q3159">
        <v>0</v>
      </c>
      <c r="R3159">
        <v>0</v>
      </c>
      <c r="S3159">
        <v>0</v>
      </c>
      <c r="T3159">
        <v>0</v>
      </c>
      <c r="U3159">
        <v>0</v>
      </c>
      <c r="V3159">
        <v>0</v>
      </c>
      <c r="W3159">
        <v>0</v>
      </c>
      <c r="X3159">
        <v>0</v>
      </c>
      <c r="Y3159">
        <v>0</v>
      </c>
      <c r="Z3159">
        <v>0</v>
      </c>
      <c r="AA3159">
        <v>0</v>
      </c>
      <c r="AB3159">
        <v>0</v>
      </c>
      <c r="AC3159">
        <v>0</v>
      </c>
      <c r="AD3159">
        <v>0</v>
      </c>
      <c r="AE3159">
        <v>0</v>
      </c>
      <c r="AF3159">
        <v>0</v>
      </c>
      <c r="AG3159">
        <v>0</v>
      </c>
      <c r="AH3159">
        <v>0</v>
      </c>
      <c r="AI3159">
        <v>0</v>
      </c>
      <c r="AJ3159">
        <v>0</v>
      </c>
      <c r="AK3159">
        <v>0</v>
      </c>
      <c r="AL3159">
        <v>0</v>
      </c>
      <c r="AM3159">
        <v>0</v>
      </c>
      <c r="AN3159">
        <v>0</v>
      </c>
      <c r="AO3159">
        <v>0</v>
      </c>
      <c r="AP3159">
        <v>0</v>
      </c>
      <c r="AQ3159">
        <v>16.7</v>
      </c>
      <c r="AR3159">
        <v>0</v>
      </c>
      <c r="AS3159">
        <v>0</v>
      </c>
      <c r="AT3159">
        <v>0</v>
      </c>
      <c r="AU3159">
        <v>0</v>
      </c>
      <c r="AV3159">
        <v>0</v>
      </c>
      <c r="AW3159">
        <v>0</v>
      </c>
      <c r="AX3159">
        <v>0</v>
      </c>
      <c r="AY3159">
        <v>0</v>
      </c>
      <c r="AZ3159">
        <v>0</v>
      </c>
      <c r="BA3159">
        <v>0</v>
      </c>
      <c r="BB3159">
        <v>0</v>
      </c>
      <c r="BC3159">
        <v>0</v>
      </c>
      <c r="BD3159">
        <v>0</v>
      </c>
      <c r="BE3159">
        <v>0</v>
      </c>
      <c r="BF3159">
        <v>0</v>
      </c>
      <c r="BG3159">
        <v>0</v>
      </c>
      <c r="BH3159">
        <v>1</v>
      </c>
      <c r="BI3159">
        <v>7</v>
      </c>
      <c r="BJ3159">
        <v>1.7</v>
      </c>
      <c r="BK3159">
        <v>7</v>
      </c>
      <c r="BL3159">
        <v>54.66</v>
      </c>
      <c r="BM3159">
        <v>8.1999999999999993</v>
      </c>
      <c r="BN3159">
        <v>62.86</v>
      </c>
      <c r="BO3159">
        <v>62.86</v>
      </c>
      <c r="BQ3159" t="s">
        <v>603</v>
      </c>
      <c r="BR3159" t="s">
        <v>84</v>
      </c>
      <c r="BS3159" s="3">
        <v>45803</v>
      </c>
      <c r="BT3159" s="4">
        <v>0.33333333333333331</v>
      </c>
      <c r="BU3159" t="s">
        <v>3003</v>
      </c>
      <c r="BV3159" t="s">
        <v>86</v>
      </c>
      <c r="BY3159">
        <v>8512</v>
      </c>
      <c r="CA3159" t="s">
        <v>2929</v>
      </c>
      <c r="CC3159" t="s">
        <v>76</v>
      </c>
      <c r="CD3159">
        <v>1645</v>
      </c>
      <c r="CE3159" t="s">
        <v>116</v>
      </c>
      <c r="CF3159" s="3">
        <v>45803</v>
      </c>
      <c r="CI3159">
        <v>1</v>
      </c>
      <c r="CJ3159">
        <v>1</v>
      </c>
      <c r="CK3159">
        <v>22</v>
      </c>
      <c r="CL3159" t="s">
        <v>89</v>
      </c>
    </row>
    <row r="3160" spans="1:90" x14ac:dyDescent="0.3">
      <c r="A3160" t="s">
        <v>72</v>
      </c>
      <c r="B3160" t="s">
        <v>73</v>
      </c>
      <c r="C3160" t="s">
        <v>74</v>
      </c>
      <c r="E3160" t="str">
        <f>"080065533579"</f>
        <v>080065533579</v>
      </c>
      <c r="F3160" s="3">
        <v>45800</v>
      </c>
      <c r="G3160">
        <v>202602</v>
      </c>
      <c r="H3160" t="s">
        <v>75</v>
      </c>
      <c r="I3160" t="s">
        <v>76</v>
      </c>
      <c r="J3160" t="s">
        <v>77</v>
      </c>
      <c r="K3160" t="s">
        <v>78</v>
      </c>
      <c r="L3160" t="s">
        <v>143</v>
      </c>
      <c r="M3160" t="s">
        <v>144</v>
      </c>
      <c r="N3160" t="s">
        <v>1965</v>
      </c>
      <c r="O3160" t="s">
        <v>602</v>
      </c>
      <c r="P3160" t="str">
        <f>"4170040484                    "</f>
        <v xml:space="preserve">4170040484                    </v>
      </c>
      <c r="Q3160">
        <v>0</v>
      </c>
      <c r="R3160">
        <v>0</v>
      </c>
      <c r="S3160">
        <v>0</v>
      </c>
      <c r="T3160">
        <v>0</v>
      </c>
      <c r="U3160">
        <v>0</v>
      </c>
      <c r="V3160">
        <v>0</v>
      </c>
      <c r="W3160">
        <v>0</v>
      </c>
      <c r="X3160">
        <v>0</v>
      </c>
      <c r="Y3160">
        <v>0</v>
      </c>
      <c r="Z3160">
        <v>0</v>
      </c>
      <c r="AA3160">
        <v>0</v>
      </c>
      <c r="AB3160">
        <v>0</v>
      </c>
      <c r="AC3160">
        <v>0</v>
      </c>
      <c r="AD3160">
        <v>0</v>
      </c>
      <c r="AE3160">
        <v>0</v>
      </c>
      <c r="AF3160">
        <v>0</v>
      </c>
      <c r="AG3160">
        <v>0</v>
      </c>
      <c r="AH3160">
        <v>0</v>
      </c>
      <c r="AI3160">
        <v>0</v>
      </c>
      <c r="AJ3160">
        <v>0</v>
      </c>
      <c r="AK3160">
        <v>0</v>
      </c>
      <c r="AL3160">
        <v>0</v>
      </c>
      <c r="AM3160">
        <v>0</v>
      </c>
      <c r="AN3160">
        <v>0</v>
      </c>
      <c r="AO3160">
        <v>0</v>
      </c>
      <c r="AP3160">
        <v>0</v>
      </c>
      <c r="AQ3160">
        <v>16.71</v>
      </c>
      <c r="AR3160">
        <v>0</v>
      </c>
      <c r="AS3160">
        <v>0</v>
      </c>
      <c r="AT3160">
        <v>0</v>
      </c>
      <c r="AU3160">
        <v>0</v>
      </c>
      <c r="AV3160">
        <v>0</v>
      </c>
      <c r="AW3160">
        <v>0</v>
      </c>
      <c r="AX3160">
        <v>0</v>
      </c>
      <c r="AY3160">
        <v>0</v>
      </c>
      <c r="AZ3160">
        <v>0</v>
      </c>
      <c r="BA3160">
        <v>0</v>
      </c>
      <c r="BB3160">
        <v>0</v>
      </c>
      <c r="BC3160">
        <v>0</v>
      </c>
      <c r="BD3160">
        <v>0</v>
      </c>
      <c r="BE3160">
        <v>0</v>
      </c>
      <c r="BF3160">
        <v>0</v>
      </c>
      <c r="BG3160">
        <v>0</v>
      </c>
      <c r="BH3160">
        <v>1</v>
      </c>
      <c r="BI3160">
        <v>8</v>
      </c>
      <c r="BJ3160">
        <v>7.7</v>
      </c>
      <c r="BK3160">
        <v>8</v>
      </c>
      <c r="BL3160">
        <v>54.68</v>
      </c>
      <c r="BM3160">
        <v>8.1999999999999993</v>
      </c>
      <c r="BN3160">
        <v>62.88</v>
      </c>
      <c r="BO3160">
        <v>62.88</v>
      </c>
      <c r="BQ3160" t="s">
        <v>1966</v>
      </c>
      <c r="BR3160" t="s">
        <v>84</v>
      </c>
      <c r="BS3160" s="3">
        <v>45804</v>
      </c>
      <c r="BT3160" s="4">
        <v>0.41666666666666669</v>
      </c>
      <c r="BU3160" t="s">
        <v>407</v>
      </c>
      <c r="BV3160" t="s">
        <v>89</v>
      </c>
      <c r="BW3160" t="s">
        <v>148</v>
      </c>
      <c r="BX3160" t="s">
        <v>149</v>
      </c>
      <c r="BY3160">
        <v>38454</v>
      </c>
      <c r="CA3160" t="s">
        <v>765</v>
      </c>
      <c r="CC3160" t="s">
        <v>144</v>
      </c>
      <c r="CD3160">
        <v>1401</v>
      </c>
      <c r="CE3160" t="s">
        <v>96</v>
      </c>
      <c r="CF3160" s="3">
        <v>45805</v>
      </c>
      <c r="CI3160">
        <v>1</v>
      </c>
      <c r="CJ3160">
        <v>2</v>
      </c>
      <c r="CK3160">
        <v>32</v>
      </c>
      <c r="CL3160" t="s">
        <v>89</v>
      </c>
    </row>
    <row r="3161" spans="1:90" x14ac:dyDescent="0.3">
      <c r="A3161" t="s">
        <v>72</v>
      </c>
      <c r="B3161" t="s">
        <v>73</v>
      </c>
      <c r="C3161" t="s">
        <v>74</v>
      </c>
      <c r="E3161" t="str">
        <f>"080065533643"</f>
        <v>080065533643</v>
      </c>
      <c r="F3161" s="3">
        <v>45800</v>
      </c>
      <c r="G3161">
        <v>202602</v>
      </c>
      <c r="H3161" t="s">
        <v>75</v>
      </c>
      <c r="I3161" t="s">
        <v>76</v>
      </c>
      <c r="J3161" t="s">
        <v>77</v>
      </c>
      <c r="K3161" t="s">
        <v>78</v>
      </c>
      <c r="L3161" t="s">
        <v>350</v>
      </c>
      <c r="M3161" t="s">
        <v>351</v>
      </c>
      <c r="N3161" t="s">
        <v>876</v>
      </c>
      <c r="O3161" t="s">
        <v>82</v>
      </c>
      <c r="P3161" t="str">
        <f>"4170040487                    "</f>
        <v xml:space="preserve">4170040487                    </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c r="AI3161">
        <v>0</v>
      </c>
      <c r="AJ3161">
        <v>0</v>
      </c>
      <c r="AK3161">
        <v>0</v>
      </c>
      <c r="AL3161">
        <v>0</v>
      </c>
      <c r="AM3161">
        <v>0</v>
      </c>
      <c r="AN3161">
        <v>0</v>
      </c>
      <c r="AO3161">
        <v>0</v>
      </c>
      <c r="AP3161">
        <v>0</v>
      </c>
      <c r="AQ3161">
        <v>48.09</v>
      </c>
      <c r="AR3161">
        <v>0</v>
      </c>
      <c r="AS3161">
        <v>0</v>
      </c>
      <c r="AT3161">
        <v>0</v>
      </c>
      <c r="AU3161">
        <v>0</v>
      </c>
      <c r="AV3161">
        <v>0</v>
      </c>
      <c r="AW3161">
        <v>0</v>
      </c>
      <c r="AX3161">
        <v>0</v>
      </c>
      <c r="AY3161">
        <v>0</v>
      </c>
      <c r="AZ3161">
        <v>0</v>
      </c>
      <c r="BA3161">
        <v>0</v>
      </c>
      <c r="BB3161">
        <v>0</v>
      </c>
      <c r="BC3161">
        <v>0</v>
      </c>
      <c r="BD3161">
        <v>0</v>
      </c>
      <c r="BE3161">
        <v>0</v>
      </c>
      <c r="BF3161">
        <v>0</v>
      </c>
      <c r="BG3161">
        <v>0</v>
      </c>
      <c r="BH3161">
        <v>1</v>
      </c>
      <c r="BI3161">
        <v>1</v>
      </c>
      <c r="BJ3161">
        <v>4.5</v>
      </c>
      <c r="BK3161">
        <v>4.5</v>
      </c>
      <c r="BL3161">
        <v>157.38999999999999</v>
      </c>
      <c r="BM3161">
        <v>23.61</v>
      </c>
      <c r="BN3161">
        <v>181</v>
      </c>
      <c r="BO3161">
        <v>181</v>
      </c>
      <c r="BQ3161" t="s">
        <v>1409</v>
      </c>
      <c r="BR3161" t="s">
        <v>84</v>
      </c>
      <c r="BS3161" s="3">
        <v>45803</v>
      </c>
      <c r="BT3161" s="4">
        <v>0.38680555555555557</v>
      </c>
      <c r="BU3161" t="s">
        <v>3076</v>
      </c>
      <c r="BV3161" t="s">
        <v>86</v>
      </c>
      <c r="BY3161">
        <v>22620</v>
      </c>
      <c r="CA3161" t="s">
        <v>1410</v>
      </c>
      <c r="CC3161" t="s">
        <v>351</v>
      </c>
      <c r="CD3161">
        <v>4001</v>
      </c>
      <c r="CE3161" t="s">
        <v>96</v>
      </c>
      <c r="CF3161" s="3">
        <v>45803</v>
      </c>
      <c r="CI3161">
        <v>1</v>
      </c>
      <c r="CJ3161">
        <v>1</v>
      </c>
      <c r="CK3161">
        <v>21</v>
      </c>
      <c r="CL3161" t="s">
        <v>89</v>
      </c>
    </row>
    <row r="3162" spans="1:90" x14ac:dyDescent="0.3">
      <c r="A3162" t="s">
        <v>72</v>
      </c>
      <c r="B3162" t="s">
        <v>73</v>
      </c>
      <c r="C3162" t="s">
        <v>74</v>
      </c>
      <c r="E3162" t="str">
        <f>"080065533818"</f>
        <v>080065533818</v>
      </c>
      <c r="F3162" s="3">
        <v>45800</v>
      </c>
      <c r="G3162">
        <v>202602</v>
      </c>
      <c r="H3162" t="s">
        <v>75</v>
      </c>
      <c r="I3162" t="s">
        <v>76</v>
      </c>
      <c r="J3162" t="s">
        <v>77</v>
      </c>
      <c r="K3162" t="s">
        <v>78</v>
      </c>
      <c r="L3162" t="s">
        <v>117</v>
      </c>
      <c r="M3162" t="s">
        <v>118</v>
      </c>
      <c r="N3162" t="s">
        <v>2226</v>
      </c>
      <c r="O3162" t="s">
        <v>82</v>
      </c>
      <c r="P3162" t="str">
        <f>"4170040467                    "</f>
        <v xml:space="preserve">4170040467                    </v>
      </c>
      <c r="Q3162">
        <v>0</v>
      </c>
      <c r="R3162">
        <v>0</v>
      </c>
      <c r="S3162">
        <v>0</v>
      </c>
      <c r="T3162">
        <v>0</v>
      </c>
      <c r="U3162">
        <v>0</v>
      </c>
      <c r="V3162">
        <v>0</v>
      </c>
      <c r="W3162">
        <v>0</v>
      </c>
      <c r="X3162">
        <v>0</v>
      </c>
      <c r="Y3162">
        <v>0</v>
      </c>
      <c r="Z3162">
        <v>0</v>
      </c>
      <c r="AA3162">
        <v>0</v>
      </c>
      <c r="AB3162">
        <v>0</v>
      </c>
      <c r="AC3162">
        <v>0</v>
      </c>
      <c r="AD3162">
        <v>0</v>
      </c>
      <c r="AE3162">
        <v>0</v>
      </c>
      <c r="AF3162">
        <v>0</v>
      </c>
      <c r="AG3162">
        <v>0</v>
      </c>
      <c r="AH3162">
        <v>0</v>
      </c>
      <c r="AI3162">
        <v>0</v>
      </c>
      <c r="AJ3162">
        <v>0</v>
      </c>
      <c r="AK3162">
        <v>0</v>
      </c>
      <c r="AL3162">
        <v>0</v>
      </c>
      <c r="AM3162">
        <v>0</v>
      </c>
      <c r="AN3162">
        <v>0</v>
      </c>
      <c r="AO3162">
        <v>0</v>
      </c>
      <c r="AP3162">
        <v>0</v>
      </c>
      <c r="AQ3162">
        <v>16.7</v>
      </c>
      <c r="AR3162">
        <v>0</v>
      </c>
      <c r="AS3162">
        <v>0</v>
      </c>
      <c r="AT3162">
        <v>0</v>
      </c>
      <c r="AU3162">
        <v>0</v>
      </c>
      <c r="AV3162">
        <v>0</v>
      </c>
      <c r="AW3162">
        <v>0</v>
      </c>
      <c r="AX3162">
        <v>0</v>
      </c>
      <c r="AY3162">
        <v>0</v>
      </c>
      <c r="AZ3162">
        <v>0</v>
      </c>
      <c r="BA3162">
        <v>0</v>
      </c>
      <c r="BB3162">
        <v>0</v>
      </c>
      <c r="BC3162">
        <v>0</v>
      </c>
      <c r="BD3162">
        <v>0</v>
      </c>
      <c r="BE3162">
        <v>0</v>
      </c>
      <c r="BF3162">
        <v>0</v>
      </c>
      <c r="BG3162">
        <v>0</v>
      </c>
      <c r="BH3162">
        <v>1</v>
      </c>
      <c r="BI3162">
        <v>1</v>
      </c>
      <c r="BJ3162">
        <v>0.2</v>
      </c>
      <c r="BK3162">
        <v>1</v>
      </c>
      <c r="BL3162">
        <v>54.66</v>
      </c>
      <c r="BM3162">
        <v>8.1999999999999993</v>
      </c>
      <c r="BN3162">
        <v>62.86</v>
      </c>
      <c r="BO3162">
        <v>62.86</v>
      </c>
      <c r="BQ3162" t="s">
        <v>2227</v>
      </c>
      <c r="BR3162" t="s">
        <v>84</v>
      </c>
      <c r="BS3162" s="3">
        <v>45803</v>
      </c>
      <c r="BT3162" s="4">
        <v>0.43402777777777779</v>
      </c>
      <c r="BU3162" t="s">
        <v>2228</v>
      </c>
      <c r="BV3162" t="s">
        <v>86</v>
      </c>
      <c r="BY3162">
        <v>1200</v>
      </c>
      <c r="CA3162" t="s">
        <v>535</v>
      </c>
      <c r="CC3162" t="s">
        <v>118</v>
      </c>
      <c r="CD3162">
        <v>2197</v>
      </c>
      <c r="CE3162" t="s">
        <v>88</v>
      </c>
      <c r="CF3162" s="3">
        <v>45803</v>
      </c>
      <c r="CI3162">
        <v>1</v>
      </c>
      <c r="CJ3162">
        <v>1</v>
      </c>
      <c r="CK3162">
        <v>22</v>
      </c>
      <c r="CL3162" t="s">
        <v>89</v>
      </c>
    </row>
    <row r="3163" spans="1:90" x14ac:dyDescent="0.3">
      <c r="A3163" t="s">
        <v>72</v>
      </c>
      <c r="B3163" t="s">
        <v>73</v>
      </c>
      <c r="C3163" t="s">
        <v>74</v>
      </c>
      <c r="E3163" t="str">
        <f>"080065533827"</f>
        <v>080065533827</v>
      </c>
      <c r="F3163" s="3">
        <v>45800</v>
      </c>
      <c r="G3163">
        <v>202602</v>
      </c>
      <c r="H3163" t="s">
        <v>75</v>
      </c>
      <c r="I3163" t="s">
        <v>76</v>
      </c>
      <c r="J3163" t="s">
        <v>77</v>
      </c>
      <c r="K3163" t="s">
        <v>78</v>
      </c>
      <c r="L3163" t="s">
        <v>177</v>
      </c>
      <c r="M3163" t="s">
        <v>178</v>
      </c>
      <c r="N3163" t="s">
        <v>212</v>
      </c>
      <c r="O3163" t="s">
        <v>300</v>
      </c>
      <c r="P3163" t="str">
        <f>"4170040494                    "</f>
        <v xml:space="preserve">4170040494                    </v>
      </c>
      <c r="Q3163">
        <v>0</v>
      </c>
      <c r="R3163">
        <v>0</v>
      </c>
      <c r="S3163">
        <v>0</v>
      </c>
      <c r="T3163">
        <v>0</v>
      </c>
      <c r="U3163">
        <v>0</v>
      </c>
      <c r="V3163">
        <v>0</v>
      </c>
      <c r="W3163">
        <v>0</v>
      </c>
      <c r="X3163">
        <v>0</v>
      </c>
      <c r="Y3163">
        <v>0</v>
      </c>
      <c r="Z3163">
        <v>0</v>
      </c>
      <c r="AA3163">
        <v>0</v>
      </c>
      <c r="AB3163">
        <v>0</v>
      </c>
      <c r="AC3163">
        <v>0</v>
      </c>
      <c r="AD3163">
        <v>0</v>
      </c>
      <c r="AE3163">
        <v>0</v>
      </c>
      <c r="AF3163">
        <v>0</v>
      </c>
      <c r="AG3163">
        <v>0</v>
      </c>
      <c r="AH3163">
        <v>0</v>
      </c>
      <c r="AI3163">
        <v>0</v>
      </c>
      <c r="AJ3163">
        <v>0</v>
      </c>
      <c r="AK3163">
        <v>0</v>
      </c>
      <c r="AL3163">
        <v>0</v>
      </c>
      <c r="AM3163">
        <v>0</v>
      </c>
      <c r="AN3163">
        <v>0</v>
      </c>
      <c r="AO3163">
        <v>0</v>
      </c>
      <c r="AP3163">
        <v>0</v>
      </c>
      <c r="AQ3163">
        <v>51.59</v>
      </c>
      <c r="AR3163">
        <v>0</v>
      </c>
      <c r="AS3163">
        <v>0</v>
      </c>
      <c r="AT3163">
        <v>0</v>
      </c>
      <c r="AU3163">
        <v>0</v>
      </c>
      <c r="AV3163">
        <v>0</v>
      </c>
      <c r="AW3163">
        <v>0</v>
      </c>
      <c r="AX3163">
        <v>0</v>
      </c>
      <c r="AY3163">
        <v>0</v>
      </c>
      <c r="AZ3163">
        <v>0</v>
      </c>
      <c r="BA3163">
        <v>0</v>
      </c>
      <c r="BB3163">
        <v>0</v>
      </c>
      <c r="BC3163">
        <v>0</v>
      </c>
      <c r="BD3163">
        <v>0</v>
      </c>
      <c r="BE3163">
        <v>0</v>
      </c>
      <c r="BF3163">
        <v>0</v>
      </c>
      <c r="BG3163">
        <v>0</v>
      </c>
      <c r="BH3163">
        <v>1</v>
      </c>
      <c r="BI3163">
        <v>11</v>
      </c>
      <c r="BJ3163">
        <v>20.8</v>
      </c>
      <c r="BK3163">
        <v>21</v>
      </c>
      <c r="BL3163">
        <v>174.42</v>
      </c>
      <c r="BM3163">
        <v>26.16</v>
      </c>
      <c r="BN3163">
        <v>200.58</v>
      </c>
      <c r="BO3163">
        <v>200.58</v>
      </c>
      <c r="BQ3163" t="s">
        <v>213</v>
      </c>
      <c r="BR3163" t="s">
        <v>84</v>
      </c>
      <c r="BS3163" s="3">
        <v>45803</v>
      </c>
      <c r="BT3163" s="4">
        <v>0.43263888888888891</v>
      </c>
      <c r="BU3163" t="s">
        <v>1568</v>
      </c>
      <c r="BV3163" t="s">
        <v>86</v>
      </c>
      <c r="BY3163">
        <v>103840</v>
      </c>
      <c r="CA3163" t="s">
        <v>3086</v>
      </c>
      <c r="CC3163" t="s">
        <v>178</v>
      </c>
      <c r="CD3163">
        <v>6229</v>
      </c>
      <c r="CE3163" t="s">
        <v>96</v>
      </c>
      <c r="CF3163" s="3">
        <v>45803</v>
      </c>
      <c r="CI3163">
        <v>3</v>
      </c>
      <c r="CJ3163">
        <v>1</v>
      </c>
      <c r="CK3163">
        <v>41</v>
      </c>
      <c r="CL3163" t="s">
        <v>89</v>
      </c>
    </row>
    <row r="3164" spans="1:90" x14ac:dyDescent="0.3">
      <c r="A3164" t="s">
        <v>72</v>
      </c>
      <c r="B3164" t="s">
        <v>73</v>
      </c>
      <c r="C3164" t="s">
        <v>74</v>
      </c>
      <c r="E3164" t="str">
        <f>"080065533847"</f>
        <v>080065533847</v>
      </c>
      <c r="F3164" s="3">
        <v>45800</v>
      </c>
      <c r="G3164">
        <v>202602</v>
      </c>
      <c r="H3164" t="s">
        <v>75</v>
      </c>
      <c r="I3164" t="s">
        <v>76</v>
      </c>
      <c r="J3164" t="s">
        <v>77</v>
      </c>
      <c r="K3164" t="s">
        <v>78</v>
      </c>
      <c r="L3164" t="s">
        <v>755</v>
      </c>
      <c r="M3164" t="s">
        <v>756</v>
      </c>
      <c r="N3164" t="s">
        <v>757</v>
      </c>
      <c r="O3164" t="s">
        <v>82</v>
      </c>
      <c r="P3164" t="str">
        <f>"4170040288                    "</f>
        <v xml:space="preserve">4170040288                    </v>
      </c>
      <c r="Q3164">
        <v>0</v>
      </c>
      <c r="R3164">
        <v>0</v>
      </c>
      <c r="S3164">
        <v>0</v>
      </c>
      <c r="T3164">
        <v>0</v>
      </c>
      <c r="U3164">
        <v>0</v>
      </c>
      <c r="V3164">
        <v>0</v>
      </c>
      <c r="W3164">
        <v>0</v>
      </c>
      <c r="X3164">
        <v>0</v>
      </c>
      <c r="Y3164">
        <v>0</v>
      </c>
      <c r="Z3164">
        <v>0</v>
      </c>
      <c r="AA3164">
        <v>0</v>
      </c>
      <c r="AB3164">
        <v>0</v>
      </c>
      <c r="AC3164">
        <v>0</v>
      </c>
      <c r="AD3164">
        <v>0</v>
      </c>
      <c r="AE3164">
        <v>0</v>
      </c>
      <c r="AF3164">
        <v>0</v>
      </c>
      <c r="AG3164">
        <v>0</v>
      </c>
      <c r="AH3164">
        <v>0</v>
      </c>
      <c r="AI3164">
        <v>0</v>
      </c>
      <c r="AJ3164">
        <v>0</v>
      </c>
      <c r="AK3164">
        <v>0</v>
      </c>
      <c r="AL3164">
        <v>0</v>
      </c>
      <c r="AM3164">
        <v>0</v>
      </c>
      <c r="AN3164">
        <v>0</v>
      </c>
      <c r="AO3164">
        <v>0</v>
      </c>
      <c r="AP3164">
        <v>0</v>
      </c>
      <c r="AQ3164">
        <v>16.7</v>
      </c>
      <c r="AR3164">
        <v>0</v>
      </c>
      <c r="AS3164">
        <v>0</v>
      </c>
      <c r="AT3164">
        <v>0</v>
      </c>
      <c r="AU3164">
        <v>0</v>
      </c>
      <c r="AV3164">
        <v>0</v>
      </c>
      <c r="AW3164">
        <v>0</v>
      </c>
      <c r="AX3164">
        <v>0</v>
      </c>
      <c r="AY3164">
        <v>0</v>
      </c>
      <c r="AZ3164">
        <v>0</v>
      </c>
      <c r="BA3164">
        <v>0</v>
      </c>
      <c r="BB3164">
        <v>0</v>
      </c>
      <c r="BC3164">
        <v>0</v>
      </c>
      <c r="BD3164">
        <v>0</v>
      </c>
      <c r="BE3164">
        <v>0</v>
      </c>
      <c r="BF3164">
        <v>0</v>
      </c>
      <c r="BG3164">
        <v>0</v>
      </c>
      <c r="BH3164">
        <v>1</v>
      </c>
      <c r="BI3164">
        <v>1</v>
      </c>
      <c r="BJ3164">
        <v>0.2</v>
      </c>
      <c r="BK3164">
        <v>1</v>
      </c>
      <c r="BL3164">
        <v>54.66</v>
      </c>
      <c r="BM3164">
        <v>8.1999999999999993</v>
      </c>
      <c r="BN3164">
        <v>62.86</v>
      </c>
      <c r="BO3164">
        <v>62.86</v>
      </c>
      <c r="BQ3164" t="s">
        <v>758</v>
      </c>
      <c r="BR3164" t="s">
        <v>84</v>
      </c>
      <c r="BS3164" s="3">
        <v>45803</v>
      </c>
      <c r="BT3164" s="4">
        <v>0.40069444444444446</v>
      </c>
      <c r="BU3164" t="s">
        <v>759</v>
      </c>
      <c r="BV3164" t="s">
        <v>86</v>
      </c>
      <c r="BY3164">
        <v>1200</v>
      </c>
      <c r="CA3164" t="s">
        <v>761</v>
      </c>
      <c r="CC3164" t="s">
        <v>756</v>
      </c>
      <c r="CD3164">
        <v>1682</v>
      </c>
      <c r="CE3164" t="s">
        <v>88</v>
      </c>
      <c r="CF3164" s="3">
        <v>45804</v>
      </c>
      <c r="CI3164">
        <v>1</v>
      </c>
      <c r="CJ3164">
        <v>1</v>
      </c>
      <c r="CK3164">
        <v>22</v>
      </c>
      <c r="CL3164" t="s">
        <v>89</v>
      </c>
    </row>
    <row r="3165" spans="1:90" x14ac:dyDescent="0.3">
      <c r="A3165" t="s">
        <v>72</v>
      </c>
      <c r="B3165" t="s">
        <v>73</v>
      </c>
      <c r="C3165" t="s">
        <v>74</v>
      </c>
      <c r="E3165" t="str">
        <f>"080065533865"</f>
        <v>080065533865</v>
      </c>
      <c r="F3165" s="3">
        <v>45800</v>
      </c>
      <c r="G3165">
        <v>202602</v>
      </c>
      <c r="H3165" t="s">
        <v>75</v>
      </c>
      <c r="I3165" t="s">
        <v>76</v>
      </c>
      <c r="J3165" t="s">
        <v>77</v>
      </c>
      <c r="K3165" t="s">
        <v>78</v>
      </c>
      <c r="L3165" t="s">
        <v>130</v>
      </c>
      <c r="M3165" t="s">
        <v>131</v>
      </c>
      <c r="N3165" t="s">
        <v>1280</v>
      </c>
      <c r="O3165" t="s">
        <v>82</v>
      </c>
      <c r="P3165" t="str">
        <f>"4170040512                    "</f>
        <v xml:space="preserve">4170040512                    </v>
      </c>
      <c r="Q3165">
        <v>0</v>
      </c>
      <c r="R3165">
        <v>0</v>
      </c>
      <c r="S3165">
        <v>0</v>
      </c>
      <c r="T3165">
        <v>0</v>
      </c>
      <c r="U3165">
        <v>0</v>
      </c>
      <c r="V3165">
        <v>0</v>
      </c>
      <c r="W3165">
        <v>0</v>
      </c>
      <c r="X3165">
        <v>0</v>
      </c>
      <c r="Y3165">
        <v>0</v>
      </c>
      <c r="Z3165">
        <v>0</v>
      </c>
      <c r="AA3165">
        <v>0</v>
      </c>
      <c r="AB3165">
        <v>0</v>
      </c>
      <c r="AC3165">
        <v>0</v>
      </c>
      <c r="AD3165">
        <v>0</v>
      </c>
      <c r="AE3165">
        <v>0</v>
      </c>
      <c r="AF3165">
        <v>0</v>
      </c>
      <c r="AG3165">
        <v>0</v>
      </c>
      <c r="AH3165">
        <v>0</v>
      </c>
      <c r="AI3165">
        <v>0</v>
      </c>
      <c r="AJ3165">
        <v>0</v>
      </c>
      <c r="AK3165">
        <v>0</v>
      </c>
      <c r="AL3165">
        <v>0</v>
      </c>
      <c r="AM3165">
        <v>0</v>
      </c>
      <c r="AN3165">
        <v>0</v>
      </c>
      <c r="AO3165">
        <v>0</v>
      </c>
      <c r="AP3165">
        <v>0</v>
      </c>
      <c r="AQ3165">
        <v>32.07</v>
      </c>
      <c r="AR3165">
        <v>0</v>
      </c>
      <c r="AS3165">
        <v>0</v>
      </c>
      <c r="AT3165">
        <v>0</v>
      </c>
      <c r="AU3165">
        <v>0</v>
      </c>
      <c r="AV3165">
        <v>0</v>
      </c>
      <c r="AW3165">
        <v>0</v>
      </c>
      <c r="AX3165">
        <v>0</v>
      </c>
      <c r="AY3165">
        <v>0</v>
      </c>
      <c r="AZ3165">
        <v>0</v>
      </c>
      <c r="BA3165">
        <v>0</v>
      </c>
      <c r="BB3165">
        <v>0</v>
      </c>
      <c r="BC3165">
        <v>0</v>
      </c>
      <c r="BD3165">
        <v>0</v>
      </c>
      <c r="BE3165">
        <v>0</v>
      </c>
      <c r="BF3165">
        <v>0</v>
      </c>
      <c r="BG3165">
        <v>0</v>
      </c>
      <c r="BH3165">
        <v>1</v>
      </c>
      <c r="BI3165">
        <v>3</v>
      </c>
      <c r="BJ3165">
        <v>1.6</v>
      </c>
      <c r="BK3165">
        <v>3</v>
      </c>
      <c r="BL3165">
        <v>104.95</v>
      </c>
      <c r="BM3165">
        <v>15.74</v>
      </c>
      <c r="BN3165">
        <v>120.69</v>
      </c>
      <c r="BO3165">
        <v>120.69</v>
      </c>
      <c r="BQ3165" t="s">
        <v>1281</v>
      </c>
      <c r="BR3165" t="s">
        <v>84</v>
      </c>
      <c r="BS3165" s="3">
        <v>45803</v>
      </c>
      <c r="BT3165" s="4">
        <v>0.37013888888888891</v>
      </c>
      <c r="BU3165" t="s">
        <v>3091</v>
      </c>
      <c r="BV3165" t="s">
        <v>86</v>
      </c>
      <c r="BY3165">
        <v>7980</v>
      </c>
      <c r="CA3165" t="s">
        <v>2971</v>
      </c>
      <c r="CC3165" t="s">
        <v>131</v>
      </c>
      <c r="CD3165">
        <v>7490</v>
      </c>
      <c r="CE3165" t="s">
        <v>116</v>
      </c>
      <c r="CF3165" s="3">
        <v>45804</v>
      </c>
      <c r="CI3165">
        <v>1</v>
      </c>
      <c r="CJ3165">
        <v>1</v>
      </c>
      <c r="CK3165">
        <v>21</v>
      </c>
      <c r="CL3165" t="s">
        <v>89</v>
      </c>
    </row>
    <row r="3166" spans="1:90" x14ac:dyDescent="0.3">
      <c r="A3166" t="s">
        <v>72</v>
      </c>
      <c r="B3166" t="s">
        <v>73</v>
      </c>
      <c r="C3166" t="s">
        <v>74</v>
      </c>
      <c r="E3166" t="str">
        <f>"080065533881"</f>
        <v>080065533881</v>
      </c>
      <c r="F3166" s="3">
        <v>45800</v>
      </c>
      <c r="G3166">
        <v>202602</v>
      </c>
      <c r="H3166" t="s">
        <v>75</v>
      </c>
      <c r="I3166" t="s">
        <v>76</v>
      </c>
      <c r="J3166" t="s">
        <v>77</v>
      </c>
      <c r="K3166" t="s">
        <v>78</v>
      </c>
      <c r="L3166" t="s">
        <v>75</v>
      </c>
      <c r="M3166" t="s">
        <v>76</v>
      </c>
      <c r="N3166" t="s">
        <v>601</v>
      </c>
      <c r="O3166" t="s">
        <v>82</v>
      </c>
      <c r="P3166" t="str">
        <f>"4170040441                    "</f>
        <v xml:space="preserve">4170040441                    </v>
      </c>
      <c r="Q3166">
        <v>0</v>
      </c>
      <c r="R3166">
        <v>0</v>
      </c>
      <c r="S3166">
        <v>0</v>
      </c>
      <c r="T3166">
        <v>0</v>
      </c>
      <c r="U3166">
        <v>0</v>
      </c>
      <c r="V3166">
        <v>0</v>
      </c>
      <c r="W3166">
        <v>0</v>
      </c>
      <c r="X3166">
        <v>0</v>
      </c>
      <c r="Y3166">
        <v>0</v>
      </c>
      <c r="Z3166">
        <v>0</v>
      </c>
      <c r="AA3166">
        <v>0</v>
      </c>
      <c r="AB3166">
        <v>0</v>
      </c>
      <c r="AC3166">
        <v>0</v>
      </c>
      <c r="AD3166">
        <v>0</v>
      </c>
      <c r="AE3166">
        <v>0</v>
      </c>
      <c r="AF3166">
        <v>0</v>
      </c>
      <c r="AG3166">
        <v>0</v>
      </c>
      <c r="AH3166">
        <v>0</v>
      </c>
      <c r="AI3166">
        <v>0</v>
      </c>
      <c r="AJ3166">
        <v>0</v>
      </c>
      <c r="AK3166">
        <v>0</v>
      </c>
      <c r="AL3166">
        <v>0</v>
      </c>
      <c r="AM3166">
        <v>0</v>
      </c>
      <c r="AN3166">
        <v>0</v>
      </c>
      <c r="AO3166">
        <v>0</v>
      </c>
      <c r="AP3166">
        <v>0</v>
      </c>
      <c r="AQ3166">
        <v>16.7</v>
      </c>
      <c r="AR3166">
        <v>0</v>
      </c>
      <c r="AS3166">
        <v>0</v>
      </c>
      <c r="AT3166">
        <v>0</v>
      </c>
      <c r="AU3166">
        <v>0</v>
      </c>
      <c r="AV3166">
        <v>0</v>
      </c>
      <c r="AW3166">
        <v>0</v>
      </c>
      <c r="AX3166">
        <v>0</v>
      </c>
      <c r="AY3166">
        <v>0</v>
      </c>
      <c r="AZ3166">
        <v>0</v>
      </c>
      <c r="BA3166">
        <v>0</v>
      </c>
      <c r="BB3166">
        <v>0</v>
      </c>
      <c r="BC3166">
        <v>0</v>
      </c>
      <c r="BD3166">
        <v>0</v>
      </c>
      <c r="BE3166">
        <v>0</v>
      </c>
      <c r="BF3166">
        <v>0</v>
      </c>
      <c r="BG3166">
        <v>0</v>
      </c>
      <c r="BH3166">
        <v>1</v>
      </c>
      <c r="BI3166">
        <v>1</v>
      </c>
      <c r="BJ3166">
        <v>0.2</v>
      </c>
      <c r="BK3166">
        <v>1</v>
      </c>
      <c r="BL3166">
        <v>54.66</v>
      </c>
      <c r="BM3166">
        <v>8.1999999999999993</v>
      </c>
      <c r="BN3166">
        <v>62.86</v>
      </c>
      <c r="BO3166">
        <v>62.86</v>
      </c>
      <c r="BQ3166" t="s">
        <v>603</v>
      </c>
      <c r="BR3166" t="s">
        <v>84</v>
      </c>
      <c r="BS3166" s="3">
        <v>45803</v>
      </c>
      <c r="BT3166" s="4">
        <v>0.33402777777777776</v>
      </c>
      <c r="BU3166" t="s">
        <v>3003</v>
      </c>
      <c r="BV3166" t="s">
        <v>86</v>
      </c>
      <c r="BY3166">
        <v>1200</v>
      </c>
      <c r="CA3166" t="s">
        <v>2929</v>
      </c>
      <c r="CC3166" t="s">
        <v>76</v>
      </c>
      <c r="CD3166">
        <v>1645</v>
      </c>
      <c r="CE3166" t="s">
        <v>88</v>
      </c>
      <c r="CF3166" s="3">
        <v>45803</v>
      </c>
      <c r="CI3166">
        <v>1</v>
      </c>
      <c r="CJ3166">
        <v>1</v>
      </c>
      <c r="CK3166">
        <v>22</v>
      </c>
      <c r="CL3166" t="s">
        <v>89</v>
      </c>
    </row>
    <row r="3167" spans="1:90" x14ac:dyDescent="0.3">
      <c r="A3167" t="s">
        <v>72</v>
      </c>
      <c r="B3167" t="s">
        <v>73</v>
      </c>
      <c r="C3167" t="s">
        <v>74</v>
      </c>
      <c r="E3167" t="str">
        <f>"080065533915"</f>
        <v>080065533915</v>
      </c>
      <c r="F3167" s="3">
        <v>45800</v>
      </c>
      <c r="G3167">
        <v>202602</v>
      </c>
      <c r="H3167" t="s">
        <v>75</v>
      </c>
      <c r="I3167" t="s">
        <v>76</v>
      </c>
      <c r="J3167" t="s">
        <v>77</v>
      </c>
      <c r="K3167" t="s">
        <v>78</v>
      </c>
      <c r="L3167" t="s">
        <v>648</v>
      </c>
      <c r="M3167" t="s">
        <v>649</v>
      </c>
      <c r="N3167" t="s">
        <v>1702</v>
      </c>
      <c r="O3167" t="s">
        <v>82</v>
      </c>
      <c r="P3167" t="str">
        <f>"4170040480                    "</f>
        <v xml:space="preserve">4170040480                    </v>
      </c>
      <c r="Q3167">
        <v>0</v>
      </c>
      <c r="R3167">
        <v>0</v>
      </c>
      <c r="S3167">
        <v>0</v>
      </c>
      <c r="T3167">
        <v>0</v>
      </c>
      <c r="U3167">
        <v>0</v>
      </c>
      <c r="V3167">
        <v>0</v>
      </c>
      <c r="W3167">
        <v>0</v>
      </c>
      <c r="X3167">
        <v>0</v>
      </c>
      <c r="Y3167">
        <v>0</v>
      </c>
      <c r="Z3167">
        <v>0</v>
      </c>
      <c r="AA3167">
        <v>0</v>
      </c>
      <c r="AB3167">
        <v>0</v>
      </c>
      <c r="AC3167">
        <v>0</v>
      </c>
      <c r="AD3167">
        <v>0</v>
      </c>
      <c r="AE3167">
        <v>0</v>
      </c>
      <c r="AF3167">
        <v>0</v>
      </c>
      <c r="AG3167">
        <v>0</v>
      </c>
      <c r="AH3167">
        <v>0</v>
      </c>
      <c r="AI3167">
        <v>0</v>
      </c>
      <c r="AJ3167">
        <v>0</v>
      </c>
      <c r="AK3167">
        <v>0</v>
      </c>
      <c r="AL3167">
        <v>0</v>
      </c>
      <c r="AM3167">
        <v>0</v>
      </c>
      <c r="AN3167">
        <v>0</v>
      </c>
      <c r="AO3167">
        <v>0</v>
      </c>
      <c r="AP3167">
        <v>0</v>
      </c>
      <c r="AQ3167">
        <v>16.7</v>
      </c>
      <c r="AR3167">
        <v>0</v>
      </c>
      <c r="AS3167">
        <v>0</v>
      </c>
      <c r="AT3167">
        <v>0</v>
      </c>
      <c r="AU3167">
        <v>0</v>
      </c>
      <c r="AV3167">
        <v>0</v>
      </c>
      <c r="AW3167">
        <v>0</v>
      </c>
      <c r="AX3167">
        <v>0</v>
      </c>
      <c r="AY3167">
        <v>0</v>
      </c>
      <c r="AZ3167">
        <v>0</v>
      </c>
      <c r="BA3167">
        <v>0</v>
      </c>
      <c r="BB3167">
        <v>0</v>
      </c>
      <c r="BC3167">
        <v>0</v>
      </c>
      <c r="BD3167">
        <v>0</v>
      </c>
      <c r="BE3167">
        <v>0</v>
      </c>
      <c r="BF3167">
        <v>0</v>
      </c>
      <c r="BG3167">
        <v>0</v>
      </c>
      <c r="BH3167">
        <v>1</v>
      </c>
      <c r="BI3167">
        <v>8</v>
      </c>
      <c r="BJ3167">
        <v>1.6</v>
      </c>
      <c r="BK3167">
        <v>8</v>
      </c>
      <c r="BL3167">
        <v>54.66</v>
      </c>
      <c r="BM3167">
        <v>8.1999999999999993</v>
      </c>
      <c r="BN3167">
        <v>62.86</v>
      </c>
      <c r="BO3167">
        <v>62.86</v>
      </c>
      <c r="BQ3167" t="s">
        <v>1703</v>
      </c>
      <c r="BR3167" t="s">
        <v>84</v>
      </c>
      <c r="BS3167" s="3">
        <v>45803</v>
      </c>
      <c r="BT3167" s="4">
        <v>0.36249999999999999</v>
      </c>
      <c r="BU3167" t="s">
        <v>3092</v>
      </c>
      <c r="BV3167" t="s">
        <v>86</v>
      </c>
      <c r="BY3167">
        <v>7980</v>
      </c>
      <c r="CA3167" t="s">
        <v>937</v>
      </c>
      <c r="CC3167" t="s">
        <v>649</v>
      </c>
      <c r="CD3167">
        <v>1559</v>
      </c>
      <c r="CE3167" t="s">
        <v>116</v>
      </c>
      <c r="CF3167" s="3">
        <v>45804</v>
      </c>
      <c r="CI3167">
        <v>1</v>
      </c>
      <c r="CJ3167">
        <v>1</v>
      </c>
      <c r="CK3167">
        <v>22</v>
      </c>
      <c r="CL3167" t="s">
        <v>89</v>
      </c>
    </row>
    <row r="3168" spans="1:90" x14ac:dyDescent="0.3">
      <c r="A3168" t="s">
        <v>72</v>
      </c>
      <c r="B3168" t="s">
        <v>73</v>
      </c>
      <c r="C3168" t="s">
        <v>74</v>
      </c>
      <c r="E3168" t="str">
        <f>"080065533916"</f>
        <v>080065533916</v>
      </c>
      <c r="F3168" s="3">
        <v>45800</v>
      </c>
      <c r="G3168">
        <v>202602</v>
      </c>
      <c r="H3168" t="s">
        <v>75</v>
      </c>
      <c r="I3168" t="s">
        <v>76</v>
      </c>
      <c r="J3168" t="s">
        <v>77</v>
      </c>
      <c r="K3168" t="s">
        <v>78</v>
      </c>
      <c r="L3168" t="s">
        <v>672</v>
      </c>
      <c r="M3168" t="s">
        <v>673</v>
      </c>
      <c r="N3168" t="s">
        <v>674</v>
      </c>
      <c r="O3168" t="s">
        <v>82</v>
      </c>
      <c r="P3168" t="str">
        <f>"4170040466                    "</f>
        <v xml:space="preserve">4170040466                    </v>
      </c>
      <c r="Q3168">
        <v>0</v>
      </c>
      <c r="R3168">
        <v>0</v>
      </c>
      <c r="S3168">
        <v>0</v>
      </c>
      <c r="T3168">
        <v>0</v>
      </c>
      <c r="U3168">
        <v>0</v>
      </c>
      <c r="V3168">
        <v>0</v>
      </c>
      <c r="W3168">
        <v>0</v>
      </c>
      <c r="X3168">
        <v>0</v>
      </c>
      <c r="Y3168">
        <v>0</v>
      </c>
      <c r="Z3168">
        <v>0</v>
      </c>
      <c r="AA3168">
        <v>0</v>
      </c>
      <c r="AB3168">
        <v>0</v>
      </c>
      <c r="AC3168">
        <v>0</v>
      </c>
      <c r="AD3168">
        <v>0</v>
      </c>
      <c r="AE3168">
        <v>0</v>
      </c>
      <c r="AF3168">
        <v>0</v>
      </c>
      <c r="AG3168">
        <v>0</v>
      </c>
      <c r="AH3168">
        <v>0</v>
      </c>
      <c r="AI3168">
        <v>0</v>
      </c>
      <c r="AJ3168">
        <v>0</v>
      </c>
      <c r="AK3168">
        <v>0</v>
      </c>
      <c r="AL3168">
        <v>0</v>
      </c>
      <c r="AM3168">
        <v>0</v>
      </c>
      <c r="AN3168">
        <v>0</v>
      </c>
      <c r="AO3168">
        <v>0</v>
      </c>
      <c r="AP3168">
        <v>0</v>
      </c>
      <c r="AQ3168">
        <v>41.43</v>
      </c>
      <c r="AR3168">
        <v>0</v>
      </c>
      <c r="AS3168">
        <v>0</v>
      </c>
      <c r="AT3168">
        <v>0</v>
      </c>
      <c r="AU3168">
        <v>0</v>
      </c>
      <c r="AV3168">
        <v>0</v>
      </c>
      <c r="AW3168">
        <v>0</v>
      </c>
      <c r="AX3168">
        <v>0</v>
      </c>
      <c r="AY3168">
        <v>0</v>
      </c>
      <c r="AZ3168">
        <v>0</v>
      </c>
      <c r="BA3168">
        <v>0</v>
      </c>
      <c r="BB3168">
        <v>0</v>
      </c>
      <c r="BC3168">
        <v>0</v>
      </c>
      <c r="BD3168">
        <v>0</v>
      </c>
      <c r="BE3168">
        <v>0</v>
      </c>
      <c r="BF3168">
        <v>0</v>
      </c>
      <c r="BG3168">
        <v>0</v>
      </c>
      <c r="BH3168">
        <v>1</v>
      </c>
      <c r="BI3168">
        <v>1</v>
      </c>
      <c r="BJ3168">
        <v>0.2</v>
      </c>
      <c r="BK3168">
        <v>1</v>
      </c>
      <c r="BL3168">
        <v>135.59</v>
      </c>
      <c r="BM3168">
        <v>20.34</v>
      </c>
      <c r="BN3168">
        <v>155.93</v>
      </c>
      <c r="BO3168">
        <v>155.93</v>
      </c>
      <c r="BQ3168" t="s">
        <v>675</v>
      </c>
      <c r="BR3168" t="s">
        <v>84</v>
      </c>
      <c r="BS3168" s="3">
        <v>45803</v>
      </c>
      <c r="BT3168" s="4">
        <v>0.40763888888888888</v>
      </c>
      <c r="BU3168" t="s">
        <v>1627</v>
      </c>
      <c r="BV3168" t="s">
        <v>86</v>
      </c>
      <c r="BY3168">
        <v>1200</v>
      </c>
      <c r="CA3168" t="s">
        <v>677</v>
      </c>
      <c r="CC3168" t="s">
        <v>673</v>
      </c>
      <c r="CD3168">
        <v>2531</v>
      </c>
      <c r="CE3168" t="s">
        <v>88</v>
      </c>
      <c r="CF3168" s="3">
        <v>45804</v>
      </c>
      <c r="CI3168">
        <v>1</v>
      </c>
      <c r="CJ3168">
        <v>1</v>
      </c>
      <c r="CK3168">
        <v>23</v>
      </c>
      <c r="CL3168" t="s">
        <v>89</v>
      </c>
    </row>
    <row r="3169" spans="1:90" x14ac:dyDescent="0.3">
      <c r="A3169" t="s">
        <v>72</v>
      </c>
      <c r="B3169" t="s">
        <v>73</v>
      </c>
      <c r="C3169" t="s">
        <v>74</v>
      </c>
      <c r="E3169" t="str">
        <f>"080065533951"</f>
        <v>080065533951</v>
      </c>
      <c r="F3169" s="3">
        <v>45800</v>
      </c>
      <c r="G3169">
        <v>202602</v>
      </c>
      <c r="H3169" t="s">
        <v>75</v>
      </c>
      <c r="I3169" t="s">
        <v>76</v>
      </c>
      <c r="J3169" t="s">
        <v>77</v>
      </c>
      <c r="K3169" t="s">
        <v>78</v>
      </c>
      <c r="L3169" t="s">
        <v>90</v>
      </c>
      <c r="M3169" t="s">
        <v>91</v>
      </c>
      <c r="N3169" t="s">
        <v>1211</v>
      </c>
      <c r="O3169" t="s">
        <v>82</v>
      </c>
      <c r="P3169" t="str">
        <f>"4170040478                    "</f>
        <v xml:space="preserve">4170040478                    </v>
      </c>
      <c r="Q3169">
        <v>0</v>
      </c>
      <c r="R3169">
        <v>0</v>
      </c>
      <c r="S3169">
        <v>0</v>
      </c>
      <c r="T3169">
        <v>0</v>
      </c>
      <c r="U3169">
        <v>0</v>
      </c>
      <c r="V3169">
        <v>0</v>
      </c>
      <c r="W3169">
        <v>0</v>
      </c>
      <c r="X3169">
        <v>0</v>
      </c>
      <c r="Y3169">
        <v>0</v>
      </c>
      <c r="Z3169">
        <v>0</v>
      </c>
      <c r="AA3169">
        <v>0</v>
      </c>
      <c r="AB3169">
        <v>0</v>
      </c>
      <c r="AC3169">
        <v>0</v>
      </c>
      <c r="AD3169">
        <v>0</v>
      </c>
      <c r="AE3169">
        <v>0</v>
      </c>
      <c r="AF3169">
        <v>0</v>
      </c>
      <c r="AG3169">
        <v>0</v>
      </c>
      <c r="AH3169">
        <v>0</v>
      </c>
      <c r="AI3169">
        <v>0</v>
      </c>
      <c r="AJ3169">
        <v>0</v>
      </c>
      <c r="AK3169">
        <v>0</v>
      </c>
      <c r="AL3169">
        <v>0</v>
      </c>
      <c r="AM3169">
        <v>0</v>
      </c>
      <c r="AN3169">
        <v>0</v>
      </c>
      <c r="AO3169">
        <v>0</v>
      </c>
      <c r="AP3169">
        <v>0</v>
      </c>
      <c r="AQ3169">
        <v>21.38</v>
      </c>
      <c r="AR3169">
        <v>0</v>
      </c>
      <c r="AS3169">
        <v>0</v>
      </c>
      <c r="AT3169">
        <v>0</v>
      </c>
      <c r="AU3169">
        <v>0</v>
      </c>
      <c r="AV3169">
        <v>0</v>
      </c>
      <c r="AW3169">
        <v>0</v>
      </c>
      <c r="AX3169">
        <v>0</v>
      </c>
      <c r="AY3169">
        <v>0</v>
      </c>
      <c r="AZ3169">
        <v>0</v>
      </c>
      <c r="BA3169">
        <v>0</v>
      </c>
      <c r="BB3169">
        <v>0</v>
      </c>
      <c r="BC3169">
        <v>0</v>
      </c>
      <c r="BD3169">
        <v>0</v>
      </c>
      <c r="BE3169">
        <v>0</v>
      </c>
      <c r="BF3169">
        <v>0</v>
      </c>
      <c r="BG3169">
        <v>0</v>
      </c>
      <c r="BH3169">
        <v>1</v>
      </c>
      <c r="BI3169">
        <v>1</v>
      </c>
      <c r="BJ3169">
        <v>0.2</v>
      </c>
      <c r="BK3169">
        <v>1</v>
      </c>
      <c r="BL3169">
        <v>69.98</v>
      </c>
      <c r="BM3169">
        <v>10.5</v>
      </c>
      <c r="BN3169">
        <v>80.48</v>
      </c>
      <c r="BO3169">
        <v>80.48</v>
      </c>
      <c r="BQ3169" t="s">
        <v>1212</v>
      </c>
      <c r="BR3169" t="s">
        <v>84</v>
      </c>
      <c r="BS3169" s="3">
        <v>45803</v>
      </c>
      <c r="BT3169" s="4">
        <v>0.38611111111111113</v>
      </c>
      <c r="BU3169" t="s">
        <v>1467</v>
      </c>
      <c r="BV3169" t="s">
        <v>86</v>
      </c>
      <c r="BY3169">
        <v>1200</v>
      </c>
      <c r="CA3169" t="s">
        <v>283</v>
      </c>
      <c r="CC3169" t="s">
        <v>91</v>
      </c>
      <c r="CD3169">
        <v>6012</v>
      </c>
      <c r="CE3169" t="s">
        <v>88</v>
      </c>
      <c r="CF3169" s="3">
        <v>45803</v>
      </c>
      <c r="CI3169">
        <v>1</v>
      </c>
      <c r="CJ3169">
        <v>1</v>
      </c>
      <c r="CK3169">
        <v>21</v>
      </c>
      <c r="CL3169" t="s">
        <v>89</v>
      </c>
    </row>
    <row r="3170" spans="1:90" x14ac:dyDescent="0.3">
      <c r="A3170" t="s">
        <v>72</v>
      </c>
      <c r="B3170" t="s">
        <v>73</v>
      </c>
      <c r="C3170" t="s">
        <v>74</v>
      </c>
      <c r="E3170" t="str">
        <f>"080065533964"</f>
        <v>080065533964</v>
      </c>
      <c r="F3170" s="3">
        <v>45800</v>
      </c>
      <c r="G3170">
        <v>202602</v>
      </c>
      <c r="H3170" t="s">
        <v>75</v>
      </c>
      <c r="I3170" t="s">
        <v>76</v>
      </c>
      <c r="J3170" t="s">
        <v>77</v>
      </c>
      <c r="K3170" t="s">
        <v>78</v>
      </c>
      <c r="L3170" t="s">
        <v>103</v>
      </c>
      <c r="M3170" t="s">
        <v>104</v>
      </c>
      <c r="N3170" t="s">
        <v>105</v>
      </c>
      <c r="O3170" t="s">
        <v>300</v>
      </c>
      <c r="P3170" t="str">
        <f>"4170040331                    "</f>
        <v xml:space="preserve">4170040331                    </v>
      </c>
      <c r="Q3170">
        <v>0</v>
      </c>
      <c r="R3170">
        <v>0</v>
      </c>
      <c r="S3170">
        <v>0</v>
      </c>
      <c r="T3170">
        <v>0</v>
      </c>
      <c r="U3170">
        <v>0</v>
      </c>
      <c r="V3170">
        <v>0</v>
      </c>
      <c r="W3170">
        <v>0</v>
      </c>
      <c r="X3170">
        <v>0</v>
      </c>
      <c r="Y3170">
        <v>0</v>
      </c>
      <c r="Z3170">
        <v>0</v>
      </c>
      <c r="AA3170">
        <v>0</v>
      </c>
      <c r="AB3170">
        <v>0</v>
      </c>
      <c r="AC3170">
        <v>0</v>
      </c>
      <c r="AD3170">
        <v>0</v>
      </c>
      <c r="AE3170">
        <v>0</v>
      </c>
      <c r="AF3170">
        <v>0</v>
      </c>
      <c r="AG3170">
        <v>0</v>
      </c>
      <c r="AH3170">
        <v>0</v>
      </c>
      <c r="AI3170">
        <v>0</v>
      </c>
      <c r="AJ3170">
        <v>0</v>
      </c>
      <c r="AK3170">
        <v>0</v>
      </c>
      <c r="AL3170">
        <v>0</v>
      </c>
      <c r="AM3170">
        <v>0</v>
      </c>
      <c r="AN3170">
        <v>0</v>
      </c>
      <c r="AO3170">
        <v>0</v>
      </c>
      <c r="AP3170">
        <v>0</v>
      </c>
      <c r="AQ3170">
        <v>49.89</v>
      </c>
      <c r="AR3170">
        <v>0</v>
      </c>
      <c r="AS3170">
        <v>0</v>
      </c>
      <c r="AT3170">
        <v>0</v>
      </c>
      <c r="AU3170">
        <v>0</v>
      </c>
      <c r="AV3170">
        <v>0</v>
      </c>
      <c r="AW3170">
        <v>0</v>
      </c>
      <c r="AX3170">
        <v>0</v>
      </c>
      <c r="AY3170">
        <v>0</v>
      </c>
      <c r="AZ3170">
        <v>0</v>
      </c>
      <c r="BA3170">
        <v>0</v>
      </c>
      <c r="BB3170">
        <v>0</v>
      </c>
      <c r="BC3170">
        <v>0</v>
      </c>
      <c r="BD3170">
        <v>0</v>
      </c>
      <c r="BE3170">
        <v>0</v>
      </c>
      <c r="BF3170">
        <v>0</v>
      </c>
      <c r="BG3170">
        <v>0</v>
      </c>
      <c r="BH3170">
        <v>1</v>
      </c>
      <c r="BI3170">
        <v>14</v>
      </c>
      <c r="BJ3170">
        <v>19.8</v>
      </c>
      <c r="BK3170">
        <v>20</v>
      </c>
      <c r="BL3170">
        <v>168.84</v>
      </c>
      <c r="BM3170">
        <v>25.33</v>
      </c>
      <c r="BN3170">
        <v>194.17</v>
      </c>
      <c r="BO3170">
        <v>194.17</v>
      </c>
      <c r="BQ3170" t="s">
        <v>106</v>
      </c>
      <c r="BR3170" t="s">
        <v>84</v>
      </c>
      <c r="BS3170" s="3">
        <v>45804</v>
      </c>
      <c r="BT3170" s="4">
        <v>0.46805555555555556</v>
      </c>
      <c r="BU3170" t="s">
        <v>430</v>
      </c>
      <c r="BV3170" t="s">
        <v>86</v>
      </c>
      <c r="BY3170">
        <v>99144</v>
      </c>
      <c r="CA3170" t="s">
        <v>108</v>
      </c>
      <c r="CC3170" t="s">
        <v>104</v>
      </c>
      <c r="CD3170">
        <v>3201</v>
      </c>
      <c r="CE3170" t="s">
        <v>221</v>
      </c>
      <c r="CF3170" s="3">
        <v>45804</v>
      </c>
      <c r="CI3170">
        <v>2</v>
      </c>
      <c r="CJ3170">
        <v>2</v>
      </c>
      <c r="CK3170">
        <v>41</v>
      </c>
      <c r="CL3170" t="s">
        <v>89</v>
      </c>
    </row>
    <row r="3171" spans="1:90" x14ac:dyDescent="0.3">
      <c r="A3171" t="s">
        <v>72</v>
      </c>
      <c r="B3171" t="s">
        <v>73</v>
      </c>
      <c r="C3171" t="s">
        <v>74</v>
      </c>
      <c r="E3171" t="str">
        <f>"080065534010"</f>
        <v>080065534010</v>
      </c>
      <c r="F3171" s="3">
        <v>45800</v>
      </c>
      <c r="G3171">
        <v>202602</v>
      </c>
      <c r="H3171" t="s">
        <v>75</v>
      </c>
      <c r="I3171" t="s">
        <v>76</v>
      </c>
      <c r="J3171" t="s">
        <v>77</v>
      </c>
      <c r="K3171" t="s">
        <v>78</v>
      </c>
      <c r="L3171" t="s">
        <v>624</v>
      </c>
      <c r="M3171" t="s">
        <v>625</v>
      </c>
      <c r="N3171" t="s">
        <v>626</v>
      </c>
      <c r="O3171" t="s">
        <v>300</v>
      </c>
      <c r="P3171" t="str">
        <f>"4170040031                    "</f>
        <v xml:space="preserve">4170040031                    </v>
      </c>
      <c r="Q3171">
        <v>0</v>
      </c>
      <c r="R3171">
        <v>0</v>
      </c>
      <c r="S3171">
        <v>0</v>
      </c>
      <c r="T3171">
        <v>0</v>
      </c>
      <c r="U3171">
        <v>0</v>
      </c>
      <c r="V3171">
        <v>0</v>
      </c>
      <c r="W3171">
        <v>0</v>
      </c>
      <c r="X3171">
        <v>0</v>
      </c>
      <c r="Y3171">
        <v>0</v>
      </c>
      <c r="Z3171">
        <v>0</v>
      </c>
      <c r="AA3171">
        <v>0</v>
      </c>
      <c r="AB3171">
        <v>0</v>
      </c>
      <c r="AC3171">
        <v>0</v>
      </c>
      <c r="AD3171">
        <v>0</v>
      </c>
      <c r="AE3171">
        <v>0</v>
      </c>
      <c r="AF3171">
        <v>0</v>
      </c>
      <c r="AG3171">
        <v>0</v>
      </c>
      <c r="AH3171">
        <v>0</v>
      </c>
      <c r="AI3171">
        <v>0</v>
      </c>
      <c r="AJ3171">
        <v>0</v>
      </c>
      <c r="AK3171">
        <v>0</v>
      </c>
      <c r="AL3171">
        <v>0</v>
      </c>
      <c r="AM3171">
        <v>0</v>
      </c>
      <c r="AN3171">
        <v>0</v>
      </c>
      <c r="AO3171">
        <v>0</v>
      </c>
      <c r="AP3171">
        <v>0</v>
      </c>
      <c r="AQ3171">
        <v>64.28</v>
      </c>
      <c r="AR3171">
        <v>0</v>
      </c>
      <c r="AS3171">
        <v>0</v>
      </c>
      <c r="AT3171">
        <v>0</v>
      </c>
      <c r="AU3171">
        <v>0</v>
      </c>
      <c r="AV3171">
        <v>0</v>
      </c>
      <c r="AW3171">
        <v>0</v>
      </c>
      <c r="AX3171">
        <v>0</v>
      </c>
      <c r="AY3171">
        <v>0</v>
      </c>
      <c r="AZ3171">
        <v>0</v>
      </c>
      <c r="BA3171">
        <v>0</v>
      </c>
      <c r="BB3171">
        <v>0</v>
      </c>
      <c r="BC3171">
        <v>0</v>
      </c>
      <c r="BD3171">
        <v>0</v>
      </c>
      <c r="BE3171">
        <v>0</v>
      </c>
      <c r="BF3171">
        <v>0</v>
      </c>
      <c r="BG3171">
        <v>0</v>
      </c>
      <c r="BH3171">
        <v>1</v>
      </c>
      <c r="BI3171">
        <v>17</v>
      </c>
      <c r="BJ3171">
        <v>15.1</v>
      </c>
      <c r="BK3171">
        <v>17</v>
      </c>
      <c r="BL3171">
        <v>215.94</v>
      </c>
      <c r="BM3171">
        <v>32.39</v>
      </c>
      <c r="BN3171">
        <v>248.33</v>
      </c>
      <c r="BO3171">
        <v>248.33</v>
      </c>
      <c r="BQ3171" t="s">
        <v>627</v>
      </c>
      <c r="BR3171" t="s">
        <v>84</v>
      </c>
      <c r="BS3171" s="3">
        <v>45803</v>
      </c>
      <c r="BT3171" s="4">
        <v>0.35555555555555557</v>
      </c>
      <c r="BU3171" t="s">
        <v>1674</v>
      </c>
      <c r="BV3171" t="s">
        <v>86</v>
      </c>
      <c r="BY3171">
        <v>75600</v>
      </c>
      <c r="CC3171" t="s">
        <v>625</v>
      </c>
      <c r="CD3171">
        <v>1947</v>
      </c>
      <c r="CE3171" t="s">
        <v>550</v>
      </c>
      <c r="CF3171" s="3">
        <v>45803</v>
      </c>
      <c r="CI3171">
        <v>1</v>
      </c>
      <c r="CJ3171">
        <v>1</v>
      </c>
      <c r="CK3171">
        <v>43</v>
      </c>
      <c r="CL3171" t="s">
        <v>89</v>
      </c>
    </row>
    <row r="3172" spans="1:90" x14ac:dyDescent="0.3">
      <c r="A3172" t="s">
        <v>72</v>
      </c>
      <c r="B3172" t="s">
        <v>73</v>
      </c>
      <c r="C3172" t="s">
        <v>74</v>
      </c>
      <c r="E3172" t="str">
        <f>"080065534059"</f>
        <v>080065534059</v>
      </c>
      <c r="F3172" s="3">
        <v>45800</v>
      </c>
      <c r="G3172">
        <v>202602</v>
      </c>
      <c r="H3172" t="s">
        <v>75</v>
      </c>
      <c r="I3172" t="s">
        <v>76</v>
      </c>
      <c r="J3172" t="s">
        <v>77</v>
      </c>
      <c r="K3172" t="s">
        <v>78</v>
      </c>
      <c r="L3172" t="s">
        <v>123</v>
      </c>
      <c r="M3172" t="s">
        <v>123</v>
      </c>
      <c r="N3172" t="s">
        <v>766</v>
      </c>
      <c r="O3172" t="s">
        <v>82</v>
      </c>
      <c r="P3172" t="str">
        <f>"4170040505                    "</f>
        <v xml:space="preserve">4170040505                    </v>
      </c>
      <c r="Q3172">
        <v>0</v>
      </c>
      <c r="R3172">
        <v>0</v>
      </c>
      <c r="S3172">
        <v>0</v>
      </c>
      <c r="T3172">
        <v>0</v>
      </c>
      <c r="U3172">
        <v>0</v>
      </c>
      <c r="V3172">
        <v>0</v>
      </c>
      <c r="W3172">
        <v>0</v>
      </c>
      <c r="X3172">
        <v>0</v>
      </c>
      <c r="Y3172">
        <v>0</v>
      </c>
      <c r="Z3172">
        <v>0</v>
      </c>
      <c r="AA3172">
        <v>0</v>
      </c>
      <c r="AB3172">
        <v>0</v>
      </c>
      <c r="AC3172">
        <v>0</v>
      </c>
      <c r="AD3172">
        <v>0</v>
      </c>
      <c r="AE3172">
        <v>0</v>
      </c>
      <c r="AF3172">
        <v>0</v>
      </c>
      <c r="AG3172">
        <v>0</v>
      </c>
      <c r="AH3172">
        <v>0</v>
      </c>
      <c r="AI3172">
        <v>0</v>
      </c>
      <c r="AJ3172">
        <v>0</v>
      </c>
      <c r="AK3172">
        <v>0</v>
      </c>
      <c r="AL3172">
        <v>0</v>
      </c>
      <c r="AM3172">
        <v>0</v>
      </c>
      <c r="AN3172">
        <v>0</v>
      </c>
      <c r="AO3172">
        <v>0</v>
      </c>
      <c r="AP3172">
        <v>0</v>
      </c>
      <c r="AQ3172">
        <v>78.849999999999994</v>
      </c>
      <c r="AR3172">
        <v>0</v>
      </c>
      <c r="AS3172">
        <v>0</v>
      </c>
      <c r="AT3172">
        <v>0</v>
      </c>
      <c r="AU3172">
        <v>0</v>
      </c>
      <c r="AV3172">
        <v>0</v>
      </c>
      <c r="AW3172">
        <v>0</v>
      </c>
      <c r="AX3172">
        <v>0</v>
      </c>
      <c r="AY3172">
        <v>0</v>
      </c>
      <c r="AZ3172">
        <v>0</v>
      </c>
      <c r="BA3172">
        <v>0</v>
      </c>
      <c r="BB3172">
        <v>0</v>
      </c>
      <c r="BC3172">
        <v>0</v>
      </c>
      <c r="BD3172">
        <v>0</v>
      </c>
      <c r="BE3172">
        <v>0</v>
      </c>
      <c r="BF3172">
        <v>0</v>
      </c>
      <c r="BG3172">
        <v>0</v>
      </c>
      <c r="BH3172">
        <v>1</v>
      </c>
      <c r="BI3172">
        <v>4</v>
      </c>
      <c r="BJ3172">
        <v>0.9</v>
      </c>
      <c r="BK3172">
        <v>4</v>
      </c>
      <c r="BL3172">
        <v>258.05</v>
      </c>
      <c r="BM3172">
        <v>38.71</v>
      </c>
      <c r="BN3172">
        <v>296.76</v>
      </c>
      <c r="BO3172">
        <v>296.76</v>
      </c>
      <c r="BQ3172" t="s">
        <v>767</v>
      </c>
      <c r="BR3172" t="s">
        <v>84</v>
      </c>
      <c r="BS3172" s="3">
        <v>45803</v>
      </c>
      <c r="BT3172" s="4">
        <v>0.53611111111111109</v>
      </c>
      <c r="BU3172" t="s">
        <v>768</v>
      </c>
      <c r="BV3172" t="s">
        <v>86</v>
      </c>
      <c r="BY3172">
        <v>4560</v>
      </c>
      <c r="CA3172" t="s">
        <v>128</v>
      </c>
      <c r="CC3172" t="s">
        <v>123</v>
      </c>
      <c r="CD3172">
        <v>7646</v>
      </c>
      <c r="CE3172" t="s">
        <v>116</v>
      </c>
      <c r="CF3172" s="3">
        <v>45804</v>
      </c>
      <c r="CI3172">
        <v>1</v>
      </c>
      <c r="CJ3172">
        <v>1</v>
      </c>
      <c r="CK3172">
        <v>23</v>
      </c>
      <c r="CL3172" t="s">
        <v>89</v>
      </c>
    </row>
    <row r="3173" spans="1:90" x14ac:dyDescent="0.3">
      <c r="A3173" t="s">
        <v>72</v>
      </c>
      <c r="B3173" t="s">
        <v>73</v>
      </c>
      <c r="C3173" t="s">
        <v>74</v>
      </c>
      <c r="E3173" t="str">
        <f>"080065534084"</f>
        <v>080065534084</v>
      </c>
      <c r="F3173" s="3">
        <v>45800</v>
      </c>
      <c r="G3173">
        <v>202602</v>
      </c>
      <c r="H3173" t="s">
        <v>75</v>
      </c>
      <c r="I3173" t="s">
        <v>76</v>
      </c>
      <c r="J3173" t="s">
        <v>77</v>
      </c>
      <c r="K3173" t="s">
        <v>78</v>
      </c>
      <c r="L3173" t="s">
        <v>672</v>
      </c>
      <c r="M3173" t="s">
        <v>673</v>
      </c>
      <c r="N3173" t="s">
        <v>674</v>
      </c>
      <c r="O3173" t="s">
        <v>300</v>
      </c>
      <c r="P3173" t="str">
        <f>"4170040501                    "</f>
        <v xml:space="preserve">4170040501                    </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0</v>
      </c>
      <c r="AJ3173">
        <v>0</v>
      </c>
      <c r="AK3173">
        <v>0</v>
      </c>
      <c r="AL3173">
        <v>0</v>
      </c>
      <c r="AM3173">
        <v>0</v>
      </c>
      <c r="AN3173">
        <v>0</v>
      </c>
      <c r="AO3173">
        <v>0</v>
      </c>
      <c r="AP3173">
        <v>0</v>
      </c>
      <c r="AQ3173">
        <v>120.88</v>
      </c>
      <c r="AR3173">
        <v>0</v>
      </c>
      <c r="AS3173">
        <v>0</v>
      </c>
      <c r="AT3173">
        <v>0</v>
      </c>
      <c r="AU3173">
        <v>0</v>
      </c>
      <c r="AV3173">
        <v>0</v>
      </c>
      <c r="AW3173">
        <v>0</v>
      </c>
      <c r="AX3173">
        <v>0</v>
      </c>
      <c r="AY3173">
        <v>0</v>
      </c>
      <c r="AZ3173">
        <v>0</v>
      </c>
      <c r="BA3173">
        <v>0</v>
      </c>
      <c r="BB3173">
        <v>0</v>
      </c>
      <c r="BC3173">
        <v>0</v>
      </c>
      <c r="BD3173">
        <v>0</v>
      </c>
      <c r="BE3173">
        <v>0</v>
      </c>
      <c r="BF3173">
        <v>0</v>
      </c>
      <c r="BG3173">
        <v>0</v>
      </c>
      <c r="BH3173">
        <v>2</v>
      </c>
      <c r="BI3173">
        <v>36</v>
      </c>
      <c r="BJ3173">
        <v>32</v>
      </c>
      <c r="BK3173">
        <v>36</v>
      </c>
      <c r="BL3173">
        <v>401.17</v>
      </c>
      <c r="BM3173">
        <v>60.18</v>
      </c>
      <c r="BN3173">
        <v>461.35</v>
      </c>
      <c r="BO3173">
        <v>461.35</v>
      </c>
      <c r="BQ3173" t="s">
        <v>675</v>
      </c>
      <c r="BR3173" t="s">
        <v>84</v>
      </c>
      <c r="BS3173" s="3">
        <v>45803</v>
      </c>
      <c r="BT3173" s="4">
        <v>0.40694444444444444</v>
      </c>
      <c r="BU3173" t="s">
        <v>1627</v>
      </c>
      <c r="BV3173" t="s">
        <v>86</v>
      </c>
      <c r="BY3173">
        <v>80000</v>
      </c>
      <c r="CA3173" t="s">
        <v>677</v>
      </c>
      <c r="CC3173" t="s">
        <v>673</v>
      </c>
      <c r="CD3173">
        <v>2531</v>
      </c>
      <c r="CE3173" t="s">
        <v>96</v>
      </c>
      <c r="CF3173" s="3">
        <v>45804</v>
      </c>
      <c r="CI3173">
        <v>1</v>
      </c>
      <c r="CJ3173">
        <v>1</v>
      </c>
      <c r="CK3173">
        <v>43</v>
      </c>
      <c r="CL3173" t="s">
        <v>89</v>
      </c>
    </row>
    <row r="3174" spans="1:90" x14ac:dyDescent="0.3">
      <c r="A3174" t="s">
        <v>72</v>
      </c>
      <c r="B3174" t="s">
        <v>73</v>
      </c>
      <c r="C3174" t="s">
        <v>74</v>
      </c>
      <c r="E3174" t="str">
        <f>"080065534248"</f>
        <v>080065534248</v>
      </c>
      <c r="F3174" s="3">
        <v>45800</v>
      </c>
      <c r="G3174">
        <v>202602</v>
      </c>
      <c r="H3174" t="s">
        <v>75</v>
      </c>
      <c r="I3174" t="s">
        <v>76</v>
      </c>
      <c r="J3174" t="s">
        <v>77</v>
      </c>
      <c r="K3174" t="s">
        <v>78</v>
      </c>
      <c r="L3174" t="s">
        <v>123</v>
      </c>
      <c r="M3174" t="s">
        <v>123</v>
      </c>
      <c r="N3174" t="s">
        <v>766</v>
      </c>
      <c r="O3174" t="s">
        <v>82</v>
      </c>
      <c r="P3174" t="str">
        <f>"4170040479                    "</f>
        <v xml:space="preserve">4170040479                    </v>
      </c>
      <c r="Q3174">
        <v>0</v>
      </c>
      <c r="R3174">
        <v>0</v>
      </c>
      <c r="S3174">
        <v>0</v>
      </c>
      <c r="T3174">
        <v>0</v>
      </c>
      <c r="U3174">
        <v>0</v>
      </c>
      <c r="V3174">
        <v>0</v>
      </c>
      <c r="W3174">
        <v>0</v>
      </c>
      <c r="X3174">
        <v>0</v>
      </c>
      <c r="Y3174">
        <v>0</v>
      </c>
      <c r="Z3174">
        <v>0</v>
      </c>
      <c r="AA3174">
        <v>0</v>
      </c>
      <c r="AB3174">
        <v>0</v>
      </c>
      <c r="AC3174">
        <v>0</v>
      </c>
      <c r="AD3174">
        <v>0</v>
      </c>
      <c r="AE3174">
        <v>0</v>
      </c>
      <c r="AF3174">
        <v>0</v>
      </c>
      <c r="AG3174">
        <v>0</v>
      </c>
      <c r="AH3174">
        <v>0</v>
      </c>
      <c r="AI3174">
        <v>0</v>
      </c>
      <c r="AJ3174">
        <v>0</v>
      </c>
      <c r="AK3174">
        <v>0</v>
      </c>
      <c r="AL3174">
        <v>0</v>
      </c>
      <c r="AM3174">
        <v>0</v>
      </c>
      <c r="AN3174">
        <v>0</v>
      </c>
      <c r="AO3174">
        <v>0</v>
      </c>
      <c r="AP3174">
        <v>0</v>
      </c>
      <c r="AQ3174">
        <v>60.14</v>
      </c>
      <c r="AR3174">
        <v>0</v>
      </c>
      <c r="AS3174">
        <v>0</v>
      </c>
      <c r="AT3174">
        <v>0</v>
      </c>
      <c r="AU3174">
        <v>0</v>
      </c>
      <c r="AV3174">
        <v>0</v>
      </c>
      <c r="AW3174">
        <v>0</v>
      </c>
      <c r="AX3174">
        <v>0</v>
      </c>
      <c r="AY3174">
        <v>0</v>
      </c>
      <c r="AZ3174">
        <v>0</v>
      </c>
      <c r="BA3174">
        <v>0</v>
      </c>
      <c r="BB3174">
        <v>0</v>
      </c>
      <c r="BC3174">
        <v>0</v>
      </c>
      <c r="BD3174">
        <v>0</v>
      </c>
      <c r="BE3174">
        <v>0</v>
      </c>
      <c r="BF3174">
        <v>0</v>
      </c>
      <c r="BG3174">
        <v>0</v>
      </c>
      <c r="BH3174">
        <v>1</v>
      </c>
      <c r="BI3174">
        <v>3</v>
      </c>
      <c r="BJ3174">
        <v>0.9</v>
      </c>
      <c r="BK3174">
        <v>3</v>
      </c>
      <c r="BL3174">
        <v>196.82</v>
      </c>
      <c r="BM3174">
        <v>29.52</v>
      </c>
      <c r="BN3174">
        <v>226.34</v>
      </c>
      <c r="BO3174">
        <v>226.34</v>
      </c>
      <c r="BQ3174" t="s">
        <v>767</v>
      </c>
      <c r="BR3174" t="s">
        <v>84</v>
      </c>
      <c r="BS3174" s="3">
        <v>45803</v>
      </c>
      <c r="BT3174" s="4">
        <v>0.53611111111111109</v>
      </c>
      <c r="BU3174" t="s">
        <v>768</v>
      </c>
      <c r="BV3174" t="s">
        <v>86</v>
      </c>
      <c r="BY3174">
        <v>4560</v>
      </c>
      <c r="CA3174" t="s">
        <v>128</v>
      </c>
      <c r="CC3174" t="s">
        <v>123</v>
      </c>
      <c r="CD3174">
        <v>7646</v>
      </c>
      <c r="CE3174" t="s">
        <v>116</v>
      </c>
      <c r="CF3174" s="3">
        <v>45804</v>
      </c>
      <c r="CI3174">
        <v>1</v>
      </c>
      <c r="CJ3174">
        <v>1</v>
      </c>
      <c r="CK3174">
        <v>23</v>
      </c>
      <c r="CL3174" t="s">
        <v>89</v>
      </c>
    </row>
    <row r="3175" spans="1:90" x14ac:dyDescent="0.3">
      <c r="A3175" t="s">
        <v>72</v>
      </c>
      <c r="B3175" t="s">
        <v>73</v>
      </c>
      <c r="C3175" t="s">
        <v>74</v>
      </c>
      <c r="E3175" t="str">
        <f>"080065534276"</f>
        <v>080065534276</v>
      </c>
      <c r="F3175" s="3">
        <v>45800</v>
      </c>
      <c r="G3175">
        <v>202602</v>
      </c>
      <c r="H3175" t="s">
        <v>75</v>
      </c>
      <c r="I3175" t="s">
        <v>76</v>
      </c>
      <c r="J3175" t="s">
        <v>77</v>
      </c>
      <c r="K3175" t="s">
        <v>78</v>
      </c>
      <c r="L3175" t="s">
        <v>79</v>
      </c>
      <c r="M3175" t="s">
        <v>80</v>
      </c>
      <c r="N3175" t="s">
        <v>415</v>
      </c>
      <c r="O3175" t="s">
        <v>82</v>
      </c>
      <c r="P3175" t="str">
        <f>"4170040472                    "</f>
        <v xml:space="preserve">4170040472                    </v>
      </c>
      <c r="Q3175">
        <v>0</v>
      </c>
      <c r="R3175">
        <v>0</v>
      </c>
      <c r="S3175">
        <v>0</v>
      </c>
      <c r="T3175">
        <v>0</v>
      </c>
      <c r="U3175">
        <v>0</v>
      </c>
      <c r="V3175">
        <v>0</v>
      </c>
      <c r="W3175">
        <v>0</v>
      </c>
      <c r="X3175">
        <v>0</v>
      </c>
      <c r="Y3175">
        <v>0</v>
      </c>
      <c r="Z3175">
        <v>0</v>
      </c>
      <c r="AA3175">
        <v>0</v>
      </c>
      <c r="AB3175">
        <v>0</v>
      </c>
      <c r="AC3175">
        <v>0</v>
      </c>
      <c r="AD3175">
        <v>0</v>
      </c>
      <c r="AE3175">
        <v>0</v>
      </c>
      <c r="AF3175">
        <v>0</v>
      </c>
      <c r="AG3175">
        <v>0</v>
      </c>
      <c r="AH3175">
        <v>0</v>
      </c>
      <c r="AI3175">
        <v>0</v>
      </c>
      <c r="AJ3175">
        <v>0</v>
      </c>
      <c r="AK3175">
        <v>0</v>
      </c>
      <c r="AL3175">
        <v>0</v>
      </c>
      <c r="AM3175">
        <v>0</v>
      </c>
      <c r="AN3175">
        <v>0</v>
      </c>
      <c r="AO3175">
        <v>0</v>
      </c>
      <c r="AP3175">
        <v>0</v>
      </c>
      <c r="AQ3175">
        <v>85.48</v>
      </c>
      <c r="AR3175">
        <v>0</v>
      </c>
      <c r="AS3175">
        <v>0</v>
      </c>
      <c r="AT3175">
        <v>0</v>
      </c>
      <c r="AU3175">
        <v>0</v>
      </c>
      <c r="AV3175">
        <v>0</v>
      </c>
      <c r="AW3175">
        <v>0</v>
      </c>
      <c r="AX3175">
        <v>0</v>
      </c>
      <c r="AY3175">
        <v>0</v>
      </c>
      <c r="AZ3175">
        <v>0</v>
      </c>
      <c r="BA3175">
        <v>0</v>
      </c>
      <c r="BB3175">
        <v>0</v>
      </c>
      <c r="BC3175">
        <v>0</v>
      </c>
      <c r="BD3175">
        <v>0</v>
      </c>
      <c r="BE3175">
        <v>0</v>
      </c>
      <c r="BF3175">
        <v>0</v>
      </c>
      <c r="BG3175">
        <v>0</v>
      </c>
      <c r="BH3175">
        <v>1</v>
      </c>
      <c r="BI3175">
        <v>8</v>
      </c>
      <c r="BJ3175">
        <v>3.4</v>
      </c>
      <c r="BK3175">
        <v>8</v>
      </c>
      <c r="BL3175">
        <v>279.76</v>
      </c>
      <c r="BM3175">
        <v>41.96</v>
      </c>
      <c r="BN3175">
        <v>321.72000000000003</v>
      </c>
      <c r="BO3175">
        <v>321.72000000000003</v>
      </c>
      <c r="BQ3175" t="s">
        <v>416</v>
      </c>
      <c r="BR3175" t="s">
        <v>84</v>
      </c>
      <c r="BS3175" s="3">
        <v>45803</v>
      </c>
      <c r="BT3175" s="4">
        <v>0.4152777777777778</v>
      </c>
      <c r="BU3175" t="s">
        <v>1152</v>
      </c>
      <c r="BV3175" t="s">
        <v>86</v>
      </c>
      <c r="BY3175">
        <v>16965</v>
      </c>
      <c r="CA3175" t="s">
        <v>87</v>
      </c>
      <c r="CC3175" t="s">
        <v>80</v>
      </c>
      <c r="CD3175">
        <v>3610</v>
      </c>
      <c r="CE3175" t="s">
        <v>96</v>
      </c>
      <c r="CF3175" s="3">
        <v>45804</v>
      </c>
      <c r="CI3175">
        <v>1</v>
      </c>
      <c r="CJ3175">
        <v>1</v>
      </c>
      <c r="CK3175">
        <v>21</v>
      </c>
      <c r="CL3175" t="s">
        <v>89</v>
      </c>
    </row>
    <row r="3176" spans="1:90" x14ac:dyDescent="0.3">
      <c r="A3176" t="s">
        <v>72</v>
      </c>
      <c r="B3176" t="s">
        <v>73</v>
      </c>
      <c r="C3176" t="s">
        <v>74</v>
      </c>
      <c r="E3176" t="str">
        <f>"080065534327"</f>
        <v>080065534327</v>
      </c>
      <c r="F3176" s="3">
        <v>45800</v>
      </c>
      <c r="G3176">
        <v>202602</v>
      </c>
      <c r="H3176" t="s">
        <v>75</v>
      </c>
      <c r="I3176" t="s">
        <v>76</v>
      </c>
      <c r="J3176" t="s">
        <v>77</v>
      </c>
      <c r="K3176" t="s">
        <v>78</v>
      </c>
      <c r="L3176" t="s">
        <v>103</v>
      </c>
      <c r="M3176" t="s">
        <v>104</v>
      </c>
      <c r="N3176" t="s">
        <v>686</v>
      </c>
      <c r="O3176" t="s">
        <v>82</v>
      </c>
      <c r="P3176" t="str">
        <f>"4170040506                    "</f>
        <v xml:space="preserve">4170040506                    </v>
      </c>
      <c r="Q3176">
        <v>0</v>
      </c>
      <c r="R3176">
        <v>0</v>
      </c>
      <c r="S3176">
        <v>0</v>
      </c>
      <c r="T3176">
        <v>0</v>
      </c>
      <c r="U3176">
        <v>0</v>
      </c>
      <c r="V3176">
        <v>0</v>
      </c>
      <c r="W3176">
        <v>0</v>
      </c>
      <c r="X3176">
        <v>0</v>
      </c>
      <c r="Y3176">
        <v>0</v>
      </c>
      <c r="Z3176">
        <v>0</v>
      </c>
      <c r="AA3176">
        <v>0</v>
      </c>
      <c r="AB3176">
        <v>0</v>
      </c>
      <c r="AC3176">
        <v>0</v>
      </c>
      <c r="AD3176">
        <v>0</v>
      </c>
      <c r="AE3176">
        <v>0</v>
      </c>
      <c r="AF3176">
        <v>0</v>
      </c>
      <c r="AG3176">
        <v>0</v>
      </c>
      <c r="AH3176">
        <v>0</v>
      </c>
      <c r="AI3176">
        <v>0</v>
      </c>
      <c r="AJ3176">
        <v>0</v>
      </c>
      <c r="AK3176">
        <v>0</v>
      </c>
      <c r="AL3176">
        <v>0</v>
      </c>
      <c r="AM3176">
        <v>0</v>
      </c>
      <c r="AN3176">
        <v>0</v>
      </c>
      <c r="AO3176">
        <v>0</v>
      </c>
      <c r="AP3176">
        <v>0</v>
      </c>
      <c r="AQ3176">
        <v>21.38</v>
      </c>
      <c r="AR3176">
        <v>0</v>
      </c>
      <c r="AS3176">
        <v>0</v>
      </c>
      <c r="AT3176">
        <v>0</v>
      </c>
      <c r="AU3176">
        <v>0</v>
      </c>
      <c r="AV3176">
        <v>0</v>
      </c>
      <c r="AW3176">
        <v>0</v>
      </c>
      <c r="AX3176">
        <v>0</v>
      </c>
      <c r="AY3176">
        <v>0</v>
      </c>
      <c r="AZ3176">
        <v>0</v>
      </c>
      <c r="BA3176">
        <v>0</v>
      </c>
      <c r="BB3176">
        <v>0</v>
      </c>
      <c r="BC3176">
        <v>0</v>
      </c>
      <c r="BD3176">
        <v>0</v>
      </c>
      <c r="BE3176">
        <v>0</v>
      </c>
      <c r="BF3176">
        <v>0</v>
      </c>
      <c r="BG3176">
        <v>0</v>
      </c>
      <c r="BH3176">
        <v>1</v>
      </c>
      <c r="BI3176">
        <v>1</v>
      </c>
      <c r="BJ3176">
        <v>1.1000000000000001</v>
      </c>
      <c r="BK3176">
        <v>1.5</v>
      </c>
      <c r="BL3176">
        <v>69.98</v>
      </c>
      <c r="BM3176">
        <v>10.5</v>
      </c>
      <c r="BN3176">
        <v>80.48</v>
      </c>
      <c r="BO3176">
        <v>80.48</v>
      </c>
      <c r="BQ3176" t="s">
        <v>687</v>
      </c>
      <c r="BR3176" t="s">
        <v>84</v>
      </c>
      <c r="BS3176" s="3">
        <v>45803</v>
      </c>
      <c r="BT3176" s="4">
        <v>0.41805555555555557</v>
      </c>
      <c r="BU3176" t="s">
        <v>1168</v>
      </c>
      <c r="BV3176" t="s">
        <v>86</v>
      </c>
      <c r="BY3176">
        <v>5320</v>
      </c>
      <c r="CA3176" t="s">
        <v>1169</v>
      </c>
      <c r="CC3176" t="s">
        <v>104</v>
      </c>
      <c r="CD3176">
        <v>3201</v>
      </c>
      <c r="CE3176" t="s">
        <v>116</v>
      </c>
      <c r="CF3176" s="3">
        <v>45803</v>
      </c>
      <c r="CI3176">
        <v>1</v>
      </c>
      <c r="CJ3176">
        <v>1</v>
      </c>
      <c r="CK3176">
        <v>21</v>
      </c>
      <c r="CL3176" t="s">
        <v>89</v>
      </c>
    </row>
    <row r="3177" spans="1:90" x14ac:dyDescent="0.3">
      <c r="A3177" t="s">
        <v>72</v>
      </c>
      <c r="B3177" t="s">
        <v>73</v>
      </c>
      <c r="C3177" t="s">
        <v>74</v>
      </c>
      <c r="E3177" t="str">
        <f>"080065534354"</f>
        <v>080065534354</v>
      </c>
      <c r="F3177" s="3">
        <v>45800</v>
      </c>
      <c r="G3177">
        <v>202602</v>
      </c>
      <c r="H3177" t="s">
        <v>75</v>
      </c>
      <c r="I3177" t="s">
        <v>76</v>
      </c>
      <c r="J3177" t="s">
        <v>77</v>
      </c>
      <c r="K3177" t="s">
        <v>78</v>
      </c>
      <c r="L3177" t="s">
        <v>90</v>
      </c>
      <c r="M3177" t="s">
        <v>91</v>
      </c>
      <c r="N3177" t="s">
        <v>371</v>
      </c>
      <c r="O3177" t="s">
        <v>82</v>
      </c>
      <c r="P3177" t="str">
        <f>"4170040503                    "</f>
        <v xml:space="preserve">4170040503                    </v>
      </c>
      <c r="Q3177">
        <v>0</v>
      </c>
      <c r="R3177">
        <v>0</v>
      </c>
      <c r="S3177">
        <v>0</v>
      </c>
      <c r="T3177">
        <v>0</v>
      </c>
      <c r="U3177">
        <v>0</v>
      </c>
      <c r="V3177">
        <v>0</v>
      </c>
      <c r="W3177">
        <v>0</v>
      </c>
      <c r="X3177">
        <v>0</v>
      </c>
      <c r="Y3177">
        <v>0</v>
      </c>
      <c r="Z3177">
        <v>0</v>
      </c>
      <c r="AA3177">
        <v>0</v>
      </c>
      <c r="AB3177">
        <v>0</v>
      </c>
      <c r="AC3177">
        <v>0</v>
      </c>
      <c r="AD3177">
        <v>0</v>
      </c>
      <c r="AE3177">
        <v>0</v>
      </c>
      <c r="AF3177">
        <v>0</v>
      </c>
      <c r="AG3177">
        <v>0</v>
      </c>
      <c r="AH3177">
        <v>0</v>
      </c>
      <c r="AI3177">
        <v>0</v>
      </c>
      <c r="AJ3177">
        <v>0</v>
      </c>
      <c r="AK3177">
        <v>0</v>
      </c>
      <c r="AL3177">
        <v>0</v>
      </c>
      <c r="AM3177">
        <v>0</v>
      </c>
      <c r="AN3177">
        <v>0</v>
      </c>
      <c r="AO3177">
        <v>0</v>
      </c>
      <c r="AP3177">
        <v>0</v>
      </c>
      <c r="AQ3177">
        <v>21.38</v>
      </c>
      <c r="AR3177">
        <v>0</v>
      </c>
      <c r="AS3177">
        <v>0</v>
      </c>
      <c r="AT3177">
        <v>0</v>
      </c>
      <c r="AU3177">
        <v>0</v>
      </c>
      <c r="AV3177">
        <v>0</v>
      </c>
      <c r="AW3177">
        <v>0</v>
      </c>
      <c r="AX3177">
        <v>0</v>
      </c>
      <c r="AY3177">
        <v>0</v>
      </c>
      <c r="AZ3177">
        <v>0</v>
      </c>
      <c r="BA3177">
        <v>0</v>
      </c>
      <c r="BB3177">
        <v>0</v>
      </c>
      <c r="BC3177">
        <v>0</v>
      </c>
      <c r="BD3177">
        <v>0</v>
      </c>
      <c r="BE3177">
        <v>0</v>
      </c>
      <c r="BF3177">
        <v>0</v>
      </c>
      <c r="BG3177">
        <v>0</v>
      </c>
      <c r="BH3177">
        <v>1</v>
      </c>
      <c r="BI3177">
        <v>1</v>
      </c>
      <c r="BJ3177">
        <v>0.2</v>
      </c>
      <c r="BK3177">
        <v>1</v>
      </c>
      <c r="BL3177">
        <v>69.98</v>
      </c>
      <c r="BM3177">
        <v>10.5</v>
      </c>
      <c r="BN3177">
        <v>80.48</v>
      </c>
      <c r="BO3177">
        <v>80.48</v>
      </c>
      <c r="BQ3177" t="s">
        <v>372</v>
      </c>
      <c r="BR3177" t="s">
        <v>84</v>
      </c>
      <c r="BS3177" s="3">
        <v>45803</v>
      </c>
      <c r="BT3177" s="4">
        <v>0.4236111111111111</v>
      </c>
      <c r="BU3177" t="s">
        <v>373</v>
      </c>
      <c r="BV3177" t="s">
        <v>86</v>
      </c>
      <c r="BY3177">
        <v>1200</v>
      </c>
      <c r="CA3177" t="s">
        <v>298</v>
      </c>
      <c r="CC3177" t="s">
        <v>91</v>
      </c>
      <c r="CD3177">
        <v>6001</v>
      </c>
      <c r="CE3177" t="s">
        <v>88</v>
      </c>
      <c r="CF3177" s="3">
        <v>45803</v>
      </c>
      <c r="CI3177">
        <v>1</v>
      </c>
      <c r="CJ3177">
        <v>1</v>
      </c>
      <c r="CK3177">
        <v>21</v>
      </c>
      <c r="CL3177" t="s">
        <v>89</v>
      </c>
    </row>
    <row r="3178" spans="1:90" x14ac:dyDescent="0.3">
      <c r="A3178" t="s">
        <v>72</v>
      </c>
      <c r="B3178" t="s">
        <v>73</v>
      </c>
      <c r="C3178" t="s">
        <v>74</v>
      </c>
      <c r="E3178" t="str">
        <f>"080065534364"</f>
        <v>080065534364</v>
      </c>
      <c r="F3178" s="3">
        <v>45800</v>
      </c>
      <c r="G3178">
        <v>202602</v>
      </c>
      <c r="H3178" t="s">
        <v>75</v>
      </c>
      <c r="I3178" t="s">
        <v>76</v>
      </c>
      <c r="J3178" t="s">
        <v>77</v>
      </c>
      <c r="K3178" t="s">
        <v>78</v>
      </c>
      <c r="L3178" t="s">
        <v>136</v>
      </c>
      <c r="M3178" t="s">
        <v>137</v>
      </c>
      <c r="N3178" t="s">
        <v>3093</v>
      </c>
      <c r="O3178" t="s">
        <v>82</v>
      </c>
      <c r="P3178" t="str">
        <f>"4170040515                    "</f>
        <v xml:space="preserve">4170040515                    </v>
      </c>
      <c r="Q3178">
        <v>0</v>
      </c>
      <c r="R3178">
        <v>0</v>
      </c>
      <c r="S3178">
        <v>0</v>
      </c>
      <c r="T3178">
        <v>0</v>
      </c>
      <c r="U3178">
        <v>0</v>
      </c>
      <c r="V3178">
        <v>0</v>
      </c>
      <c r="W3178">
        <v>0</v>
      </c>
      <c r="X3178">
        <v>0</v>
      </c>
      <c r="Y3178">
        <v>0</v>
      </c>
      <c r="Z3178">
        <v>0</v>
      </c>
      <c r="AA3178">
        <v>0</v>
      </c>
      <c r="AB3178">
        <v>0</v>
      </c>
      <c r="AC3178">
        <v>0</v>
      </c>
      <c r="AD3178">
        <v>0</v>
      </c>
      <c r="AE3178">
        <v>0</v>
      </c>
      <c r="AF3178">
        <v>0</v>
      </c>
      <c r="AG3178">
        <v>0</v>
      </c>
      <c r="AH3178">
        <v>0</v>
      </c>
      <c r="AI3178">
        <v>0</v>
      </c>
      <c r="AJ3178">
        <v>0</v>
      </c>
      <c r="AK3178">
        <v>0</v>
      </c>
      <c r="AL3178">
        <v>0</v>
      </c>
      <c r="AM3178">
        <v>0</v>
      </c>
      <c r="AN3178">
        <v>0</v>
      </c>
      <c r="AO3178">
        <v>0</v>
      </c>
      <c r="AP3178">
        <v>0</v>
      </c>
      <c r="AQ3178">
        <v>21.38</v>
      </c>
      <c r="AR3178">
        <v>0</v>
      </c>
      <c r="AS3178">
        <v>0</v>
      </c>
      <c r="AT3178">
        <v>0</v>
      </c>
      <c r="AU3178">
        <v>0</v>
      </c>
      <c r="AV3178">
        <v>0</v>
      </c>
      <c r="AW3178">
        <v>0</v>
      </c>
      <c r="AX3178">
        <v>0</v>
      </c>
      <c r="AY3178">
        <v>0</v>
      </c>
      <c r="AZ3178">
        <v>0</v>
      </c>
      <c r="BA3178">
        <v>0</v>
      </c>
      <c r="BB3178">
        <v>0</v>
      </c>
      <c r="BC3178">
        <v>0</v>
      </c>
      <c r="BD3178">
        <v>0</v>
      </c>
      <c r="BE3178">
        <v>0</v>
      </c>
      <c r="BF3178">
        <v>0</v>
      </c>
      <c r="BG3178">
        <v>0</v>
      </c>
      <c r="BH3178">
        <v>1</v>
      </c>
      <c r="BI3178">
        <v>1</v>
      </c>
      <c r="BJ3178">
        <v>2</v>
      </c>
      <c r="BK3178">
        <v>2</v>
      </c>
      <c r="BL3178">
        <v>69.98</v>
      </c>
      <c r="BM3178">
        <v>10.5</v>
      </c>
      <c r="BN3178">
        <v>80.48</v>
      </c>
      <c r="BO3178">
        <v>80.48</v>
      </c>
      <c r="BQ3178" t="s">
        <v>3094</v>
      </c>
      <c r="BR3178" t="s">
        <v>84</v>
      </c>
      <c r="BS3178" s="3">
        <v>45803</v>
      </c>
      <c r="BT3178" s="4">
        <v>0.41666666666666669</v>
      </c>
      <c r="BU3178" t="s">
        <v>3095</v>
      </c>
      <c r="BV3178" t="s">
        <v>86</v>
      </c>
      <c r="BY3178">
        <v>9856</v>
      </c>
      <c r="CA3178" t="s">
        <v>199</v>
      </c>
      <c r="CC3178" t="s">
        <v>137</v>
      </c>
      <c r="CD3178" s="5" t="s">
        <v>1786</v>
      </c>
      <c r="CE3178" t="s">
        <v>221</v>
      </c>
      <c r="CF3178" s="3">
        <v>45803</v>
      </c>
      <c r="CI3178">
        <v>1</v>
      </c>
      <c r="CJ3178">
        <v>1</v>
      </c>
      <c r="CK3178">
        <v>21</v>
      </c>
      <c r="CL3178" t="s">
        <v>89</v>
      </c>
    </row>
    <row r="3179" spans="1:90" x14ac:dyDescent="0.3">
      <c r="A3179" t="s">
        <v>72</v>
      </c>
      <c r="B3179" t="s">
        <v>73</v>
      </c>
      <c r="C3179" t="s">
        <v>74</v>
      </c>
      <c r="E3179" t="str">
        <f>"080065534401"</f>
        <v>080065534401</v>
      </c>
      <c r="F3179" s="3">
        <v>45800</v>
      </c>
      <c r="G3179">
        <v>202602</v>
      </c>
      <c r="H3179" t="s">
        <v>75</v>
      </c>
      <c r="I3179" t="s">
        <v>76</v>
      </c>
      <c r="J3179" t="s">
        <v>77</v>
      </c>
      <c r="K3179" t="s">
        <v>78</v>
      </c>
      <c r="L3179" t="s">
        <v>1328</v>
      </c>
      <c r="M3179" t="s">
        <v>1329</v>
      </c>
      <c r="N3179" t="s">
        <v>1330</v>
      </c>
      <c r="O3179" t="s">
        <v>82</v>
      </c>
      <c r="P3179" t="str">
        <f>"4170040524                    "</f>
        <v xml:space="preserve">4170040524                    </v>
      </c>
      <c r="Q3179">
        <v>0</v>
      </c>
      <c r="R3179">
        <v>0</v>
      </c>
      <c r="S3179">
        <v>0</v>
      </c>
      <c r="T3179">
        <v>0</v>
      </c>
      <c r="U3179">
        <v>0</v>
      </c>
      <c r="V3179">
        <v>0</v>
      </c>
      <c r="W3179">
        <v>0</v>
      </c>
      <c r="X3179">
        <v>0</v>
      </c>
      <c r="Y3179">
        <v>0</v>
      </c>
      <c r="Z3179">
        <v>0</v>
      </c>
      <c r="AA3179">
        <v>0</v>
      </c>
      <c r="AB3179">
        <v>0</v>
      </c>
      <c r="AC3179">
        <v>0</v>
      </c>
      <c r="AD3179">
        <v>0</v>
      </c>
      <c r="AE3179">
        <v>0</v>
      </c>
      <c r="AF3179">
        <v>0</v>
      </c>
      <c r="AG3179">
        <v>0</v>
      </c>
      <c r="AH3179">
        <v>0</v>
      </c>
      <c r="AI3179">
        <v>0</v>
      </c>
      <c r="AJ3179">
        <v>0</v>
      </c>
      <c r="AK3179">
        <v>0</v>
      </c>
      <c r="AL3179">
        <v>0</v>
      </c>
      <c r="AM3179">
        <v>0</v>
      </c>
      <c r="AN3179">
        <v>0</v>
      </c>
      <c r="AO3179">
        <v>0</v>
      </c>
      <c r="AP3179">
        <v>0</v>
      </c>
      <c r="AQ3179">
        <v>59.36</v>
      </c>
      <c r="AR3179">
        <v>0</v>
      </c>
      <c r="AS3179">
        <v>0</v>
      </c>
      <c r="AT3179">
        <v>0</v>
      </c>
      <c r="AU3179">
        <v>0</v>
      </c>
      <c r="AV3179">
        <v>0</v>
      </c>
      <c r="AW3179">
        <v>0</v>
      </c>
      <c r="AX3179">
        <v>0</v>
      </c>
      <c r="AY3179">
        <v>0</v>
      </c>
      <c r="AZ3179">
        <v>0</v>
      </c>
      <c r="BA3179">
        <v>0</v>
      </c>
      <c r="BB3179">
        <v>0</v>
      </c>
      <c r="BC3179">
        <v>0</v>
      </c>
      <c r="BD3179">
        <v>0</v>
      </c>
      <c r="BE3179">
        <v>0</v>
      </c>
      <c r="BF3179">
        <v>0</v>
      </c>
      <c r="BG3179">
        <v>0</v>
      </c>
      <c r="BH3179">
        <v>1</v>
      </c>
      <c r="BI3179">
        <v>4</v>
      </c>
      <c r="BJ3179">
        <v>1.7</v>
      </c>
      <c r="BK3179">
        <v>4</v>
      </c>
      <c r="BL3179">
        <v>194.27</v>
      </c>
      <c r="BM3179">
        <v>29.14</v>
      </c>
      <c r="BN3179">
        <v>223.41</v>
      </c>
      <c r="BO3179">
        <v>223.41</v>
      </c>
      <c r="BQ3179" t="s">
        <v>1331</v>
      </c>
      <c r="BR3179" t="s">
        <v>84</v>
      </c>
      <c r="BS3179" s="3">
        <v>45803</v>
      </c>
      <c r="BT3179" s="4">
        <v>0.33750000000000002</v>
      </c>
      <c r="BU3179" t="s">
        <v>3096</v>
      </c>
      <c r="BV3179" t="s">
        <v>86</v>
      </c>
      <c r="BY3179">
        <v>8736</v>
      </c>
      <c r="CA3179" t="s">
        <v>1332</v>
      </c>
      <c r="CC3179" t="s">
        <v>1329</v>
      </c>
      <c r="CD3179">
        <v>2210</v>
      </c>
      <c r="CE3179" t="s">
        <v>221</v>
      </c>
      <c r="CF3179" s="3">
        <v>45803</v>
      </c>
      <c r="CI3179">
        <v>1</v>
      </c>
      <c r="CJ3179">
        <v>1</v>
      </c>
      <c r="CK3179">
        <v>24</v>
      </c>
      <c r="CL3179" t="s">
        <v>89</v>
      </c>
    </row>
    <row r="3180" spans="1:90" x14ac:dyDescent="0.3">
      <c r="A3180" t="s">
        <v>72</v>
      </c>
      <c r="B3180" t="s">
        <v>73</v>
      </c>
      <c r="C3180" t="s">
        <v>74</v>
      </c>
      <c r="E3180" t="str">
        <f>"080065534403"</f>
        <v>080065534403</v>
      </c>
      <c r="F3180" s="3">
        <v>45800</v>
      </c>
      <c r="G3180">
        <v>202602</v>
      </c>
      <c r="H3180" t="s">
        <v>75</v>
      </c>
      <c r="I3180" t="s">
        <v>76</v>
      </c>
      <c r="J3180" t="s">
        <v>77</v>
      </c>
      <c r="K3180" t="s">
        <v>78</v>
      </c>
      <c r="L3180" t="s">
        <v>97</v>
      </c>
      <c r="M3180" t="s">
        <v>98</v>
      </c>
      <c r="N3180" t="s">
        <v>3097</v>
      </c>
      <c r="O3180" t="s">
        <v>82</v>
      </c>
      <c r="P3180" t="str">
        <f>"4170040526                    "</f>
        <v xml:space="preserve">4170040526                    </v>
      </c>
      <c r="Q3180">
        <v>0</v>
      </c>
      <c r="R3180">
        <v>0</v>
      </c>
      <c r="S3180">
        <v>0</v>
      </c>
      <c r="T3180">
        <v>0</v>
      </c>
      <c r="U3180">
        <v>0</v>
      </c>
      <c r="V3180">
        <v>0</v>
      </c>
      <c r="W3180">
        <v>0</v>
      </c>
      <c r="X3180">
        <v>0</v>
      </c>
      <c r="Y3180">
        <v>0</v>
      </c>
      <c r="Z3180">
        <v>0</v>
      </c>
      <c r="AA3180">
        <v>0</v>
      </c>
      <c r="AB3180">
        <v>0</v>
      </c>
      <c r="AC3180">
        <v>0</v>
      </c>
      <c r="AD3180">
        <v>0</v>
      </c>
      <c r="AE3180">
        <v>0</v>
      </c>
      <c r="AF3180">
        <v>0</v>
      </c>
      <c r="AG3180">
        <v>0</v>
      </c>
      <c r="AH3180">
        <v>0</v>
      </c>
      <c r="AI3180">
        <v>0</v>
      </c>
      <c r="AJ3180">
        <v>0</v>
      </c>
      <c r="AK3180">
        <v>0</v>
      </c>
      <c r="AL3180">
        <v>0</v>
      </c>
      <c r="AM3180">
        <v>0</v>
      </c>
      <c r="AN3180">
        <v>0</v>
      </c>
      <c r="AO3180">
        <v>0</v>
      </c>
      <c r="AP3180">
        <v>0</v>
      </c>
      <c r="AQ3180">
        <v>16.7</v>
      </c>
      <c r="AR3180">
        <v>0</v>
      </c>
      <c r="AS3180">
        <v>0</v>
      </c>
      <c r="AT3180">
        <v>0</v>
      </c>
      <c r="AU3180">
        <v>0</v>
      </c>
      <c r="AV3180">
        <v>0</v>
      </c>
      <c r="AW3180">
        <v>0</v>
      </c>
      <c r="AX3180">
        <v>0</v>
      </c>
      <c r="AY3180">
        <v>0</v>
      </c>
      <c r="AZ3180">
        <v>0</v>
      </c>
      <c r="BA3180">
        <v>0</v>
      </c>
      <c r="BB3180">
        <v>0</v>
      </c>
      <c r="BC3180">
        <v>0</v>
      </c>
      <c r="BD3180">
        <v>0</v>
      </c>
      <c r="BE3180">
        <v>0</v>
      </c>
      <c r="BF3180">
        <v>0</v>
      </c>
      <c r="BG3180">
        <v>0</v>
      </c>
      <c r="BH3180">
        <v>1</v>
      </c>
      <c r="BI3180">
        <v>1</v>
      </c>
      <c r="BJ3180">
        <v>0.2</v>
      </c>
      <c r="BK3180">
        <v>1</v>
      </c>
      <c r="BL3180">
        <v>54.66</v>
      </c>
      <c r="BM3180">
        <v>8.1999999999999993</v>
      </c>
      <c r="BN3180">
        <v>62.86</v>
      </c>
      <c r="BO3180">
        <v>62.86</v>
      </c>
      <c r="BQ3180" t="s">
        <v>3098</v>
      </c>
      <c r="BR3180" t="s">
        <v>84</v>
      </c>
      <c r="BS3180" s="3">
        <v>45803</v>
      </c>
      <c r="BT3180" s="4">
        <v>0.37430555555555556</v>
      </c>
      <c r="BU3180" t="s">
        <v>3099</v>
      </c>
      <c r="BV3180" t="s">
        <v>86</v>
      </c>
      <c r="BY3180">
        <v>1200</v>
      </c>
      <c r="CA3180" t="s">
        <v>175</v>
      </c>
      <c r="CC3180" t="s">
        <v>98</v>
      </c>
      <c r="CD3180">
        <v>1459</v>
      </c>
      <c r="CE3180" t="s">
        <v>88</v>
      </c>
      <c r="CF3180" s="3">
        <v>45804</v>
      </c>
      <c r="CI3180">
        <v>1</v>
      </c>
      <c r="CJ3180">
        <v>1</v>
      </c>
      <c r="CK3180">
        <v>22</v>
      </c>
      <c r="CL3180" t="s">
        <v>89</v>
      </c>
    </row>
    <row r="3181" spans="1:90" x14ac:dyDescent="0.3">
      <c r="A3181" t="s">
        <v>72</v>
      </c>
      <c r="B3181" t="s">
        <v>73</v>
      </c>
      <c r="C3181" t="s">
        <v>74</v>
      </c>
      <c r="E3181" t="str">
        <f>"080065534434"</f>
        <v>080065534434</v>
      </c>
      <c r="F3181" s="3">
        <v>45800</v>
      </c>
      <c r="G3181">
        <v>202602</v>
      </c>
      <c r="H3181" t="s">
        <v>75</v>
      </c>
      <c r="I3181" t="s">
        <v>76</v>
      </c>
      <c r="J3181" t="s">
        <v>77</v>
      </c>
      <c r="K3181" t="s">
        <v>78</v>
      </c>
      <c r="L3181" t="s">
        <v>350</v>
      </c>
      <c r="M3181" t="s">
        <v>351</v>
      </c>
      <c r="N3181" t="s">
        <v>459</v>
      </c>
      <c r="O3181" t="s">
        <v>82</v>
      </c>
      <c r="P3181" t="str">
        <f>"4170040523                    "</f>
        <v xml:space="preserve">4170040523                    </v>
      </c>
      <c r="Q3181">
        <v>0</v>
      </c>
      <c r="R3181">
        <v>0</v>
      </c>
      <c r="S3181">
        <v>0</v>
      </c>
      <c r="T3181">
        <v>0</v>
      </c>
      <c r="U3181">
        <v>0</v>
      </c>
      <c r="V3181">
        <v>0</v>
      </c>
      <c r="W3181">
        <v>0</v>
      </c>
      <c r="X3181">
        <v>0</v>
      </c>
      <c r="Y3181">
        <v>0</v>
      </c>
      <c r="Z3181">
        <v>0</v>
      </c>
      <c r="AA3181">
        <v>0</v>
      </c>
      <c r="AB3181">
        <v>0</v>
      </c>
      <c r="AC3181">
        <v>0</v>
      </c>
      <c r="AD3181">
        <v>0</v>
      </c>
      <c r="AE3181">
        <v>0</v>
      </c>
      <c r="AF3181">
        <v>0</v>
      </c>
      <c r="AG3181">
        <v>0</v>
      </c>
      <c r="AH3181">
        <v>0</v>
      </c>
      <c r="AI3181">
        <v>0</v>
      </c>
      <c r="AJ3181">
        <v>0</v>
      </c>
      <c r="AK3181">
        <v>0</v>
      </c>
      <c r="AL3181">
        <v>0</v>
      </c>
      <c r="AM3181">
        <v>0</v>
      </c>
      <c r="AN3181">
        <v>0</v>
      </c>
      <c r="AO3181">
        <v>0</v>
      </c>
      <c r="AP3181">
        <v>0</v>
      </c>
      <c r="AQ3181">
        <v>21.38</v>
      </c>
      <c r="AR3181">
        <v>0</v>
      </c>
      <c r="AS3181">
        <v>0</v>
      </c>
      <c r="AT3181">
        <v>0</v>
      </c>
      <c r="AU3181">
        <v>0</v>
      </c>
      <c r="AV3181">
        <v>0</v>
      </c>
      <c r="AW3181">
        <v>0</v>
      </c>
      <c r="AX3181">
        <v>0</v>
      </c>
      <c r="AY3181">
        <v>0</v>
      </c>
      <c r="AZ3181">
        <v>0</v>
      </c>
      <c r="BA3181">
        <v>0</v>
      </c>
      <c r="BB3181">
        <v>0</v>
      </c>
      <c r="BC3181">
        <v>0</v>
      </c>
      <c r="BD3181">
        <v>0</v>
      </c>
      <c r="BE3181">
        <v>0</v>
      </c>
      <c r="BF3181">
        <v>0</v>
      </c>
      <c r="BG3181">
        <v>0</v>
      </c>
      <c r="BH3181">
        <v>1</v>
      </c>
      <c r="BI3181">
        <v>1</v>
      </c>
      <c r="BJ3181">
        <v>0.2</v>
      </c>
      <c r="BK3181">
        <v>1</v>
      </c>
      <c r="BL3181">
        <v>69.98</v>
      </c>
      <c r="BM3181">
        <v>10.5</v>
      </c>
      <c r="BN3181">
        <v>80.48</v>
      </c>
      <c r="BO3181">
        <v>80.48</v>
      </c>
      <c r="BQ3181" t="s">
        <v>460</v>
      </c>
      <c r="BR3181" t="s">
        <v>84</v>
      </c>
      <c r="BS3181" s="3">
        <v>45803</v>
      </c>
      <c r="BT3181" s="4">
        <v>0.31874999999999998</v>
      </c>
      <c r="BU3181" t="s">
        <v>461</v>
      </c>
      <c r="BV3181" t="s">
        <v>86</v>
      </c>
      <c r="BY3181">
        <v>1200</v>
      </c>
      <c r="CA3181" t="s">
        <v>462</v>
      </c>
      <c r="CC3181" t="s">
        <v>351</v>
      </c>
      <c r="CD3181">
        <v>4000</v>
      </c>
      <c r="CE3181" t="s">
        <v>88</v>
      </c>
      <c r="CF3181" s="3">
        <v>45803</v>
      </c>
      <c r="CI3181">
        <v>1</v>
      </c>
      <c r="CJ3181">
        <v>1</v>
      </c>
      <c r="CK3181">
        <v>21</v>
      </c>
      <c r="CL3181" t="s">
        <v>89</v>
      </c>
    </row>
    <row r="3182" spans="1:90" x14ac:dyDescent="0.3">
      <c r="A3182" t="s">
        <v>72</v>
      </c>
      <c r="B3182" t="s">
        <v>73</v>
      </c>
      <c r="C3182" t="s">
        <v>74</v>
      </c>
      <c r="E3182" t="str">
        <f>"080065534443"</f>
        <v>080065534443</v>
      </c>
      <c r="F3182" s="3">
        <v>45800</v>
      </c>
      <c r="G3182">
        <v>202602</v>
      </c>
      <c r="H3182" t="s">
        <v>75</v>
      </c>
      <c r="I3182" t="s">
        <v>76</v>
      </c>
      <c r="J3182" t="s">
        <v>77</v>
      </c>
      <c r="K3182" t="s">
        <v>78</v>
      </c>
      <c r="L3182" t="s">
        <v>75</v>
      </c>
      <c r="M3182" t="s">
        <v>76</v>
      </c>
      <c r="N3182" t="s">
        <v>601</v>
      </c>
      <c r="O3182" t="s">
        <v>82</v>
      </c>
      <c r="P3182" t="str">
        <f>"4170040440                    "</f>
        <v xml:space="preserve">4170040440                    </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c r="AI3182">
        <v>0</v>
      </c>
      <c r="AJ3182">
        <v>0</v>
      </c>
      <c r="AK3182">
        <v>0</v>
      </c>
      <c r="AL3182">
        <v>0</v>
      </c>
      <c r="AM3182">
        <v>0</v>
      </c>
      <c r="AN3182">
        <v>0</v>
      </c>
      <c r="AO3182">
        <v>0</v>
      </c>
      <c r="AP3182">
        <v>0</v>
      </c>
      <c r="AQ3182">
        <v>16.7</v>
      </c>
      <c r="AR3182">
        <v>0</v>
      </c>
      <c r="AS3182">
        <v>0</v>
      </c>
      <c r="AT3182">
        <v>0</v>
      </c>
      <c r="AU3182">
        <v>0</v>
      </c>
      <c r="AV3182">
        <v>0</v>
      </c>
      <c r="AW3182">
        <v>0</v>
      </c>
      <c r="AX3182">
        <v>0</v>
      </c>
      <c r="AY3182">
        <v>0</v>
      </c>
      <c r="AZ3182">
        <v>0</v>
      </c>
      <c r="BA3182">
        <v>0</v>
      </c>
      <c r="BB3182">
        <v>0</v>
      </c>
      <c r="BC3182">
        <v>0</v>
      </c>
      <c r="BD3182">
        <v>0</v>
      </c>
      <c r="BE3182">
        <v>0</v>
      </c>
      <c r="BF3182">
        <v>0</v>
      </c>
      <c r="BG3182">
        <v>0</v>
      </c>
      <c r="BH3182">
        <v>1</v>
      </c>
      <c r="BI3182">
        <v>1</v>
      </c>
      <c r="BJ3182">
        <v>0.2</v>
      </c>
      <c r="BK3182">
        <v>1</v>
      </c>
      <c r="BL3182">
        <v>54.66</v>
      </c>
      <c r="BM3182">
        <v>8.1999999999999993</v>
      </c>
      <c r="BN3182">
        <v>62.86</v>
      </c>
      <c r="BO3182">
        <v>62.86</v>
      </c>
      <c r="BQ3182" t="s">
        <v>603</v>
      </c>
      <c r="BR3182" t="s">
        <v>84</v>
      </c>
      <c r="BS3182" s="3">
        <v>45803</v>
      </c>
      <c r="BT3182" s="4">
        <v>0.33333333333333331</v>
      </c>
      <c r="BU3182" t="s">
        <v>3003</v>
      </c>
      <c r="BV3182" t="s">
        <v>86</v>
      </c>
      <c r="BY3182">
        <v>1200</v>
      </c>
      <c r="CA3182" t="s">
        <v>2929</v>
      </c>
      <c r="CC3182" t="s">
        <v>76</v>
      </c>
      <c r="CD3182">
        <v>1645</v>
      </c>
      <c r="CE3182" t="s">
        <v>88</v>
      </c>
      <c r="CF3182" s="3">
        <v>45803</v>
      </c>
      <c r="CI3182">
        <v>1</v>
      </c>
      <c r="CJ3182">
        <v>1</v>
      </c>
      <c r="CK3182">
        <v>22</v>
      </c>
      <c r="CL3182" t="s">
        <v>89</v>
      </c>
    </row>
    <row r="3183" spans="1:90" x14ac:dyDescent="0.3">
      <c r="A3183" t="s">
        <v>72</v>
      </c>
      <c r="B3183" t="s">
        <v>73</v>
      </c>
      <c r="C3183" t="s">
        <v>74</v>
      </c>
      <c r="E3183" t="str">
        <f>"080065534491"</f>
        <v>080065534491</v>
      </c>
      <c r="F3183" s="3">
        <v>45800</v>
      </c>
      <c r="G3183">
        <v>202602</v>
      </c>
      <c r="H3183" t="s">
        <v>75</v>
      </c>
      <c r="I3183" t="s">
        <v>76</v>
      </c>
      <c r="J3183" t="s">
        <v>77</v>
      </c>
      <c r="K3183" t="s">
        <v>78</v>
      </c>
      <c r="L3183" t="s">
        <v>222</v>
      </c>
      <c r="M3183" t="s">
        <v>223</v>
      </c>
      <c r="N3183" t="s">
        <v>984</v>
      </c>
      <c r="O3183" t="s">
        <v>82</v>
      </c>
      <c r="P3183" t="str">
        <f>"4170040091                    "</f>
        <v xml:space="preserve">4170040091                    </v>
      </c>
      <c r="Q3183">
        <v>0</v>
      </c>
      <c r="R3183">
        <v>0</v>
      </c>
      <c r="S3183">
        <v>0</v>
      </c>
      <c r="T3183">
        <v>0</v>
      </c>
      <c r="U3183">
        <v>0</v>
      </c>
      <c r="V3183">
        <v>0</v>
      </c>
      <c r="W3183">
        <v>0</v>
      </c>
      <c r="X3183">
        <v>0</v>
      </c>
      <c r="Y3183">
        <v>0</v>
      </c>
      <c r="Z3183">
        <v>0</v>
      </c>
      <c r="AA3183">
        <v>0</v>
      </c>
      <c r="AB3183">
        <v>0</v>
      </c>
      <c r="AC3183">
        <v>0</v>
      </c>
      <c r="AD3183">
        <v>0</v>
      </c>
      <c r="AE3183">
        <v>0</v>
      </c>
      <c r="AF3183">
        <v>0</v>
      </c>
      <c r="AG3183">
        <v>0</v>
      </c>
      <c r="AH3183">
        <v>0</v>
      </c>
      <c r="AI3183">
        <v>0</v>
      </c>
      <c r="AJ3183">
        <v>0</v>
      </c>
      <c r="AK3183">
        <v>0</v>
      </c>
      <c r="AL3183">
        <v>0</v>
      </c>
      <c r="AM3183">
        <v>0</v>
      </c>
      <c r="AN3183">
        <v>0</v>
      </c>
      <c r="AO3183">
        <v>0</v>
      </c>
      <c r="AP3183">
        <v>0</v>
      </c>
      <c r="AQ3183">
        <v>30.07</v>
      </c>
      <c r="AR3183">
        <v>0</v>
      </c>
      <c r="AS3183">
        <v>0</v>
      </c>
      <c r="AT3183">
        <v>0</v>
      </c>
      <c r="AU3183">
        <v>0</v>
      </c>
      <c r="AV3183">
        <v>0</v>
      </c>
      <c r="AW3183">
        <v>0</v>
      </c>
      <c r="AX3183">
        <v>0</v>
      </c>
      <c r="AY3183">
        <v>0</v>
      </c>
      <c r="AZ3183">
        <v>0</v>
      </c>
      <c r="BA3183">
        <v>0</v>
      </c>
      <c r="BB3183">
        <v>0</v>
      </c>
      <c r="BC3183">
        <v>0</v>
      </c>
      <c r="BD3183">
        <v>0</v>
      </c>
      <c r="BE3183">
        <v>0</v>
      </c>
      <c r="BF3183">
        <v>0</v>
      </c>
      <c r="BG3183">
        <v>0</v>
      </c>
      <c r="BH3183">
        <v>1</v>
      </c>
      <c r="BI3183">
        <v>1</v>
      </c>
      <c r="BJ3183">
        <v>0.2</v>
      </c>
      <c r="BK3183">
        <v>1</v>
      </c>
      <c r="BL3183">
        <v>98.42</v>
      </c>
      <c r="BM3183">
        <v>14.76</v>
      </c>
      <c r="BN3183">
        <v>113.18</v>
      </c>
      <c r="BO3183">
        <v>113.18</v>
      </c>
      <c r="BQ3183" t="s">
        <v>2975</v>
      </c>
      <c r="BR3183" t="s">
        <v>84</v>
      </c>
      <c r="BS3183" s="3">
        <v>45803</v>
      </c>
      <c r="BT3183" s="4">
        <v>0.40208333333333335</v>
      </c>
      <c r="BU3183" t="s">
        <v>2976</v>
      </c>
      <c r="BV3183" t="s">
        <v>86</v>
      </c>
      <c r="BY3183">
        <v>1200</v>
      </c>
      <c r="CA3183" t="s">
        <v>1015</v>
      </c>
      <c r="CC3183" t="s">
        <v>223</v>
      </c>
      <c r="CD3183">
        <v>1739</v>
      </c>
      <c r="CE3183" t="s">
        <v>88</v>
      </c>
      <c r="CF3183" s="3">
        <v>45803</v>
      </c>
      <c r="CI3183">
        <v>1</v>
      </c>
      <c r="CJ3183">
        <v>1</v>
      </c>
      <c r="CK3183">
        <v>24</v>
      </c>
      <c r="CL3183" t="s">
        <v>89</v>
      </c>
    </row>
    <row r="3184" spans="1:90" x14ac:dyDescent="0.3">
      <c r="A3184" t="s">
        <v>72</v>
      </c>
      <c r="B3184" t="s">
        <v>73</v>
      </c>
      <c r="C3184" t="s">
        <v>74</v>
      </c>
      <c r="E3184" t="str">
        <f>"080065534527"</f>
        <v>080065534527</v>
      </c>
      <c r="F3184" s="3">
        <v>45800</v>
      </c>
      <c r="G3184">
        <v>202602</v>
      </c>
      <c r="H3184" t="s">
        <v>75</v>
      </c>
      <c r="I3184" t="s">
        <v>76</v>
      </c>
      <c r="J3184" t="s">
        <v>77</v>
      </c>
      <c r="K3184" t="s">
        <v>78</v>
      </c>
      <c r="L3184" t="s">
        <v>624</v>
      </c>
      <c r="M3184" t="s">
        <v>625</v>
      </c>
      <c r="N3184" t="s">
        <v>626</v>
      </c>
      <c r="O3184" t="s">
        <v>82</v>
      </c>
      <c r="P3184" t="str">
        <f>"4170040310                    "</f>
        <v xml:space="preserve">4170040310                    </v>
      </c>
      <c r="Q3184">
        <v>0</v>
      </c>
      <c r="R3184">
        <v>0</v>
      </c>
      <c r="S3184">
        <v>0</v>
      </c>
      <c r="T3184">
        <v>0</v>
      </c>
      <c r="U3184">
        <v>0</v>
      </c>
      <c r="V3184">
        <v>0</v>
      </c>
      <c r="W3184">
        <v>0</v>
      </c>
      <c r="X3184">
        <v>0</v>
      </c>
      <c r="Y3184">
        <v>0</v>
      </c>
      <c r="Z3184">
        <v>0</v>
      </c>
      <c r="AA3184">
        <v>0</v>
      </c>
      <c r="AB3184">
        <v>0</v>
      </c>
      <c r="AC3184">
        <v>0</v>
      </c>
      <c r="AD3184">
        <v>0</v>
      </c>
      <c r="AE3184">
        <v>0</v>
      </c>
      <c r="AF3184">
        <v>0</v>
      </c>
      <c r="AG3184">
        <v>0</v>
      </c>
      <c r="AH3184">
        <v>0</v>
      </c>
      <c r="AI3184">
        <v>0</v>
      </c>
      <c r="AJ3184">
        <v>0</v>
      </c>
      <c r="AK3184">
        <v>0</v>
      </c>
      <c r="AL3184">
        <v>0</v>
      </c>
      <c r="AM3184">
        <v>0</v>
      </c>
      <c r="AN3184">
        <v>0</v>
      </c>
      <c r="AO3184">
        <v>0</v>
      </c>
      <c r="AP3184">
        <v>0</v>
      </c>
      <c r="AQ3184">
        <v>41.43</v>
      </c>
      <c r="AR3184">
        <v>0</v>
      </c>
      <c r="AS3184">
        <v>0</v>
      </c>
      <c r="AT3184">
        <v>0</v>
      </c>
      <c r="AU3184">
        <v>0</v>
      </c>
      <c r="AV3184">
        <v>0</v>
      </c>
      <c r="AW3184">
        <v>0</v>
      </c>
      <c r="AX3184">
        <v>0</v>
      </c>
      <c r="AY3184">
        <v>0</v>
      </c>
      <c r="AZ3184">
        <v>0</v>
      </c>
      <c r="BA3184">
        <v>0</v>
      </c>
      <c r="BB3184">
        <v>0</v>
      </c>
      <c r="BC3184">
        <v>0</v>
      </c>
      <c r="BD3184">
        <v>0</v>
      </c>
      <c r="BE3184">
        <v>0</v>
      </c>
      <c r="BF3184">
        <v>0</v>
      </c>
      <c r="BG3184">
        <v>0</v>
      </c>
      <c r="BH3184">
        <v>1</v>
      </c>
      <c r="BI3184">
        <v>1</v>
      </c>
      <c r="BJ3184">
        <v>0.2</v>
      </c>
      <c r="BK3184">
        <v>1</v>
      </c>
      <c r="BL3184">
        <v>135.59</v>
      </c>
      <c r="BM3184">
        <v>20.34</v>
      </c>
      <c r="BN3184">
        <v>155.93</v>
      </c>
      <c r="BO3184">
        <v>155.93</v>
      </c>
      <c r="BQ3184" t="s">
        <v>627</v>
      </c>
      <c r="BR3184" t="s">
        <v>84</v>
      </c>
      <c r="BS3184" s="3">
        <v>45803</v>
      </c>
      <c r="BT3184" s="4">
        <v>0.35555555555555557</v>
      </c>
      <c r="BU3184" t="s">
        <v>1674</v>
      </c>
      <c r="BV3184" t="s">
        <v>86</v>
      </c>
      <c r="BY3184">
        <v>1200</v>
      </c>
      <c r="CC3184" t="s">
        <v>625</v>
      </c>
      <c r="CD3184">
        <v>1947</v>
      </c>
      <c r="CE3184" t="s">
        <v>88</v>
      </c>
      <c r="CF3184" s="3">
        <v>45803</v>
      </c>
      <c r="CI3184">
        <v>1</v>
      </c>
      <c r="CJ3184">
        <v>1</v>
      </c>
      <c r="CK3184">
        <v>23</v>
      </c>
      <c r="CL3184" t="s">
        <v>89</v>
      </c>
    </row>
    <row r="3185" spans="1:90" x14ac:dyDescent="0.3">
      <c r="A3185" t="s">
        <v>72</v>
      </c>
      <c r="B3185" t="s">
        <v>73</v>
      </c>
      <c r="C3185" t="s">
        <v>74</v>
      </c>
      <c r="E3185" t="str">
        <f>"080065534558"</f>
        <v>080065534558</v>
      </c>
      <c r="F3185" s="3">
        <v>45800</v>
      </c>
      <c r="G3185">
        <v>202602</v>
      </c>
      <c r="H3185" t="s">
        <v>75</v>
      </c>
      <c r="I3185" t="s">
        <v>76</v>
      </c>
      <c r="J3185" t="s">
        <v>77</v>
      </c>
      <c r="K3185" t="s">
        <v>78</v>
      </c>
      <c r="L3185" t="s">
        <v>222</v>
      </c>
      <c r="M3185" t="s">
        <v>223</v>
      </c>
      <c r="N3185" t="s">
        <v>224</v>
      </c>
      <c r="O3185" t="s">
        <v>82</v>
      </c>
      <c r="P3185" t="str">
        <f>"4170040290                    "</f>
        <v xml:space="preserve">4170040290                    </v>
      </c>
      <c r="Q3185">
        <v>0</v>
      </c>
      <c r="R3185">
        <v>0</v>
      </c>
      <c r="S3185">
        <v>0</v>
      </c>
      <c r="T3185">
        <v>0</v>
      </c>
      <c r="U3185">
        <v>0</v>
      </c>
      <c r="V3185">
        <v>0</v>
      </c>
      <c r="W3185">
        <v>0</v>
      </c>
      <c r="X3185">
        <v>0</v>
      </c>
      <c r="Y3185">
        <v>0</v>
      </c>
      <c r="Z3185">
        <v>0</v>
      </c>
      <c r="AA3185">
        <v>0</v>
      </c>
      <c r="AB3185">
        <v>0</v>
      </c>
      <c r="AC3185">
        <v>0</v>
      </c>
      <c r="AD3185">
        <v>0</v>
      </c>
      <c r="AE3185">
        <v>0</v>
      </c>
      <c r="AF3185">
        <v>0</v>
      </c>
      <c r="AG3185">
        <v>0</v>
      </c>
      <c r="AH3185">
        <v>0</v>
      </c>
      <c r="AI3185">
        <v>0</v>
      </c>
      <c r="AJ3185">
        <v>0</v>
      </c>
      <c r="AK3185">
        <v>0</v>
      </c>
      <c r="AL3185">
        <v>0</v>
      </c>
      <c r="AM3185">
        <v>0</v>
      </c>
      <c r="AN3185">
        <v>0</v>
      </c>
      <c r="AO3185">
        <v>0</v>
      </c>
      <c r="AP3185">
        <v>0</v>
      </c>
      <c r="AQ3185">
        <v>30.07</v>
      </c>
      <c r="AR3185">
        <v>0</v>
      </c>
      <c r="AS3185">
        <v>0</v>
      </c>
      <c r="AT3185">
        <v>0</v>
      </c>
      <c r="AU3185">
        <v>0</v>
      </c>
      <c r="AV3185">
        <v>0</v>
      </c>
      <c r="AW3185">
        <v>0</v>
      </c>
      <c r="AX3185">
        <v>0</v>
      </c>
      <c r="AY3185">
        <v>0</v>
      </c>
      <c r="AZ3185">
        <v>0</v>
      </c>
      <c r="BA3185">
        <v>0</v>
      </c>
      <c r="BB3185">
        <v>0</v>
      </c>
      <c r="BC3185">
        <v>0</v>
      </c>
      <c r="BD3185">
        <v>0</v>
      </c>
      <c r="BE3185">
        <v>0</v>
      </c>
      <c r="BF3185">
        <v>0</v>
      </c>
      <c r="BG3185">
        <v>0</v>
      </c>
      <c r="BH3185">
        <v>1</v>
      </c>
      <c r="BI3185">
        <v>1</v>
      </c>
      <c r="BJ3185">
        <v>0.2</v>
      </c>
      <c r="BK3185">
        <v>1</v>
      </c>
      <c r="BL3185">
        <v>98.42</v>
      </c>
      <c r="BM3185">
        <v>14.76</v>
      </c>
      <c r="BN3185">
        <v>113.18</v>
      </c>
      <c r="BO3185">
        <v>113.18</v>
      </c>
      <c r="BQ3185" t="s">
        <v>225</v>
      </c>
      <c r="BR3185" t="s">
        <v>84</v>
      </c>
      <c r="BS3185" s="3">
        <v>45803</v>
      </c>
      <c r="BT3185" s="4">
        <v>0.4861111111111111</v>
      </c>
      <c r="BU3185" t="s">
        <v>226</v>
      </c>
      <c r="BV3185" t="s">
        <v>86</v>
      </c>
      <c r="BY3185">
        <v>1200</v>
      </c>
      <c r="CA3185" t="s">
        <v>227</v>
      </c>
      <c r="CC3185" t="s">
        <v>223</v>
      </c>
      <c r="CD3185">
        <v>1754</v>
      </c>
      <c r="CE3185" t="s">
        <v>88</v>
      </c>
      <c r="CF3185" s="3">
        <v>45803</v>
      </c>
      <c r="CI3185">
        <v>1</v>
      </c>
      <c r="CJ3185">
        <v>1</v>
      </c>
      <c r="CK3185">
        <v>24</v>
      </c>
      <c r="CL3185" t="s">
        <v>89</v>
      </c>
    </row>
    <row r="3186" spans="1:90" x14ac:dyDescent="0.3">
      <c r="A3186" t="s">
        <v>72</v>
      </c>
      <c r="B3186" t="s">
        <v>73</v>
      </c>
      <c r="C3186" t="s">
        <v>74</v>
      </c>
      <c r="E3186" t="str">
        <f>"080065534587"</f>
        <v>080065534587</v>
      </c>
      <c r="F3186" s="3">
        <v>45800</v>
      </c>
      <c r="G3186">
        <v>202602</v>
      </c>
      <c r="H3186" t="s">
        <v>75</v>
      </c>
      <c r="I3186" t="s">
        <v>76</v>
      </c>
      <c r="J3186" t="s">
        <v>77</v>
      </c>
      <c r="K3186" t="s">
        <v>78</v>
      </c>
      <c r="L3186" t="s">
        <v>136</v>
      </c>
      <c r="M3186" t="s">
        <v>137</v>
      </c>
      <c r="N3186" t="s">
        <v>250</v>
      </c>
      <c r="O3186" t="s">
        <v>82</v>
      </c>
      <c r="P3186" t="str">
        <f>"4170040442                    "</f>
        <v xml:space="preserve">4170040442                    </v>
      </c>
      <c r="Q3186">
        <v>0</v>
      </c>
      <c r="R3186">
        <v>0</v>
      </c>
      <c r="S3186">
        <v>0</v>
      </c>
      <c r="T3186">
        <v>0</v>
      </c>
      <c r="U3186">
        <v>0</v>
      </c>
      <c r="V3186">
        <v>0</v>
      </c>
      <c r="W3186">
        <v>0</v>
      </c>
      <c r="X3186">
        <v>0</v>
      </c>
      <c r="Y3186">
        <v>0</v>
      </c>
      <c r="Z3186">
        <v>0</v>
      </c>
      <c r="AA3186">
        <v>0</v>
      </c>
      <c r="AB3186">
        <v>0</v>
      </c>
      <c r="AC3186">
        <v>0</v>
      </c>
      <c r="AD3186">
        <v>0</v>
      </c>
      <c r="AE3186">
        <v>0</v>
      </c>
      <c r="AF3186">
        <v>0</v>
      </c>
      <c r="AG3186">
        <v>0</v>
      </c>
      <c r="AH3186">
        <v>0</v>
      </c>
      <c r="AI3186">
        <v>0</v>
      </c>
      <c r="AJ3186">
        <v>0</v>
      </c>
      <c r="AK3186">
        <v>0</v>
      </c>
      <c r="AL3186">
        <v>0</v>
      </c>
      <c r="AM3186">
        <v>0</v>
      </c>
      <c r="AN3186">
        <v>0</v>
      </c>
      <c r="AO3186">
        <v>0</v>
      </c>
      <c r="AP3186">
        <v>0</v>
      </c>
      <c r="AQ3186">
        <v>21.38</v>
      </c>
      <c r="AR3186">
        <v>0</v>
      </c>
      <c r="AS3186">
        <v>0</v>
      </c>
      <c r="AT3186">
        <v>0</v>
      </c>
      <c r="AU3186">
        <v>0</v>
      </c>
      <c r="AV3186">
        <v>0</v>
      </c>
      <c r="AW3186">
        <v>0</v>
      </c>
      <c r="AX3186">
        <v>0</v>
      </c>
      <c r="AY3186">
        <v>0</v>
      </c>
      <c r="AZ3186">
        <v>0</v>
      </c>
      <c r="BA3186">
        <v>0</v>
      </c>
      <c r="BB3186">
        <v>0</v>
      </c>
      <c r="BC3186">
        <v>0</v>
      </c>
      <c r="BD3186">
        <v>0</v>
      </c>
      <c r="BE3186">
        <v>0</v>
      </c>
      <c r="BF3186">
        <v>0</v>
      </c>
      <c r="BG3186">
        <v>0</v>
      </c>
      <c r="BH3186">
        <v>1</v>
      </c>
      <c r="BI3186">
        <v>1</v>
      </c>
      <c r="BJ3186">
        <v>0.2</v>
      </c>
      <c r="BK3186">
        <v>1</v>
      </c>
      <c r="BL3186">
        <v>69.98</v>
      </c>
      <c r="BM3186">
        <v>10.5</v>
      </c>
      <c r="BN3186">
        <v>80.48</v>
      </c>
      <c r="BO3186">
        <v>80.48</v>
      </c>
      <c r="BQ3186" t="s">
        <v>251</v>
      </c>
      <c r="BR3186" t="s">
        <v>84</v>
      </c>
      <c r="BS3186" s="3">
        <v>45803</v>
      </c>
      <c r="BT3186" s="4">
        <v>0.4</v>
      </c>
      <c r="BU3186" t="s">
        <v>3089</v>
      </c>
      <c r="BV3186" t="s">
        <v>86</v>
      </c>
      <c r="BY3186">
        <v>1200</v>
      </c>
      <c r="CA3186" t="s">
        <v>253</v>
      </c>
      <c r="CC3186" t="s">
        <v>137</v>
      </c>
      <c r="CD3186" s="5" t="s">
        <v>254</v>
      </c>
      <c r="CE3186" t="s">
        <v>88</v>
      </c>
      <c r="CF3186" s="3">
        <v>45803</v>
      </c>
      <c r="CI3186">
        <v>1</v>
      </c>
      <c r="CJ3186">
        <v>1</v>
      </c>
      <c r="CK3186">
        <v>21</v>
      </c>
      <c r="CL3186" t="s">
        <v>89</v>
      </c>
    </row>
    <row r="3187" spans="1:90" x14ac:dyDescent="0.3">
      <c r="A3187" t="s">
        <v>72</v>
      </c>
      <c r="B3187" t="s">
        <v>73</v>
      </c>
      <c r="C3187" t="s">
        <v>74</v>
      </c>
      <c r="E3187" t="str">
        <f>"080065534827"</f>
        <v>080065534827</v>
      </c>
      <c r="F3187" s="3">
        <v>45800</v>
      </c>
      <c r="G3187">
        <v>202602</v>
      </c>
      <c r="H3187" t="s">
        <v>75</v>
      </c>
      <c r="I3187" t="s">
        <v>76</v>
      </c>
      <c r="J3187" t="s">
        <v>77</v>
      </c>
      <c r="K3187" t="s">
        <v>78</v>
      </c>
      <c r="L3187" t="s">
        <v>90</v>
      </c>
      <c r="M3187" t="s">
        <v>91</v>
      </c>
      <c r="N3187" t="s">
        <v>563</v>
      </c>
      <c r="O3187" t="s">
        <v>82</v>
      </c>
      <c r="P3187" t="str">
        <f>"4170040522                    "</f>
        <v xml:space="preserve">4170040522                    </v>
      </c>
      <c r="Q3187">
        <v>0</v>
      </c>
      <c r="R3187">
        <v>0</v>
      </c>
      <c r="S3187">
        <v>0</v>
      </c>
      <c r="T3187">
        <v>0</v>
      </c>
      <c r="U3187">
        <v>0</v>
      </c>
      <c r="V3187">
        <v>0</v>
      </c>
      <c r="W3187">
        <v>0</v>
      </c>
      <c r="X3187">
        <v>0</v>
      </c>
      <c r="Y3187">
        <v>0</v>
      </c>
      <c r="Z3187">
        <v>0</v>
      </c>
      <c r="AA3187">
        <v>0</v>
      </c>
      <c r="AB3187">
        <v>0</v>
      </c>
      <c r="AC3187">
        <v>0</v>
      </c>
      <c r="AD3187">
        <v>0</v>
      </c>
      <c r="AE3187">
        <v>0</v>
      </c>
      <c r="AF3187">
        <v>0</v>
      </c>
      <c r="AG3187">
        <v>0</v>
      </c>
      <c r="AH3187">
        <v>0</v>
      </c>
      <c r="AI3187">
        <v>0</v>
      </c>
      <c r="AJ3187">
        <v>0</v>
      </c>
      <c r="AK3187">
        <v>0</v>
      </c>
      <c r="AL3187">
        <v>0</v>
      </c>
      <c r="AM3187">
        <v>0</v>
      </c>
      <c r="AN3187">
        <v>0</v>
      </c>
      <c r="AO3187">
        <v>0</v>
      </c>
      <c r="AP3187">
        <v>0</v>
      </c>
      <c r="AQ3187">
        <v>64.12</v>
      </c>
      <c r="AR3187">
        <v>0</v>
      </c>
      <c r="AS3187">
        <v>0</v>
      </c>
      <c r="AT3187">
        <v>0</v>
      </c>
      <c r="AU3187">
        <v>0</v>
      </c>
      <c r="AV3187">
        <v>0</v>
      </c>
      <c r="AW3187">
        <v>0</v>
      </c>
      <c r="AX3187">
        <v>0</v>
      </c>
      <c r="AY3187">
        <v>0</v>
      </c>
      <c r="AZ3187">
        <v>0</v>
      </c>
      <c r="BA3187">
        <v>0</v>
      </c>
      <c r="BB3187">
        <v>0</v>
      </c>
      <c r="BC3187">
        <v>0</v>
      </c>
      <c r="BD3187">
        <v>0</v>
      </c>
      <c r="BE3187">
        <v>0</v>
      </c>
      <c r="BF3187">
        <v>0</v>
      </c>
      <c r="BG3187">
        <v>0</v>
      </c>
      <c r="BH3187">
        <v>1</v>
      </c>
      <c r="BI3187">
        <v>4</v>
      </c>
      <c r="BJ3187">
        <v>5.8</v>
      </c>
      <c r="BK3187">
        <v>6</v>
      </c>
      <c r="BL3187">
        <v>209.84</v>
      </c>
      <c r="BM3187">
        <v>31.48</v>
      </c>
      <c r="BN3187">
        <v>241.32</v>
      </c>
      <c r="BO3187">
        <v>241.32</v>
      </c>
      <c r="BQ3187" t="s">
        <v>564</v>
      </c>
      <c r="BR3187" t="s">
        <v>84</v>
      </c>
      <c r="BS3187" s="3">
        <v>45803</v>
      </c>
      <c r="BT3187" s="4">
        <v>0.34722222222222221</v>
      </c>
      <c r="BU3187" t="s">
        <v>780</v>
      </c>
      <c r="BV3187" t="s">
        <v>86</v>
      </c>
      <c r="BY3187">
        <v>28900</v>
      </c>
      <c r="CA3187" t="s">
        <v>566</v>
      </c>
      <c r="CC3187" t="s">
        <v>91</v>
      </c>
      <c r="CD3187">
        <v>6001</v>
      </c>
      <c r="CE3187" t="s">
        <v>221</v>
      </c>
      <c r="CF3187" s="3">
        <v>45803</v>
      </c>
      <c r="CI3187">
        <v>1</v>
      </c>
      <c r="CJ3187">
        <v>1</v>
      </c>
      <c r="CK3187">
        <v>21</v>
      </c>
      <c r="CL3187" t="s">
        <v>89</v>
      </c>
    </row>
    <row r="3188" spans="1:90" x14ac:dyDescent="0.3">
      <c r="A3188" t="s">
        <v>72</v>
      </c>
      <c r="B3188" t="s">
        <v>73</v>
      </c>
      <c r="C3188" t="s">
        <v>74</v>
      </c>
      <c r="E3188" t="str">
        <f>"080065534882"</f>
        <v>080065534882</v>
      </c>
      <c r="F3188" s="3">
        <v>45800</v>
      </c>
      <c r="G3188">
        <v>202602</v>
      </c>
      <c r="H3188" t="s">
        <v>75</v>
      </c>
      <c r="I3188" t="s">
        <v>76</v>
      </c>
      <c r="J3188" t="s">
        <v>77</v>
      </c>
      <c r="K3188" t="s">
        <v>78</v>
      </c>
      <c r="L3188" t="s">
        <v>75</v>
      </c>
      <c r="M3188" t="s">
        <v>76</v>
      </c>
      <c r="N3188" t="s">
        <v>1321</v>
      </c>
      <c r="O3188" t="s">
        <v>82</v>
      </c>
      <c r="P3188" t="str">
        <f>"4170040513                    "</f>
        <v xml:space="preserve">4170040513                    </v>
      </c>
      <c r="Q3188">
        <v>0</v>
      </c>
      <c r="R3188">
        <v>0</v>
      </c>
      <c r="S3188">
        <v>0</v>
      </c>
      <c r="T3188">
        <v>0</v>
      </c>
      <c r="U3188">
        <v>0</v>
      </c>
      <c r="V3188">
        <v>0</v>
      </c>
      <c r="W3188">
        <v>0</v>
      </c>
      <c r="X3188">
        <v>0</v>
      </c>
      <c r="Y3188">
        <v>0</v>
      </c>
      <c r="Z3188">
        <v>0</v>
      </c>
      <c r="AA3188">
        <v>0</v>
      </c>
      <c r="AB3188">
        <v>0</v>
      </c>
      <c r="AC3188">
        <v>0</v>
      </c>
      <c r="AD3188">
        <v>0</v>
      </c>
      <c r="AE3188">
        <v>0</v>
      </c>
      <c r="AF3188">
        <v>0</v>
      </c>
      <c r="AG3188">
        <v>0</v>
      </c>
      <c r="AH3188">
        <v>0</v>
      </c>
      <c r="AI3188">
        <v>0</v>
      </c>
      <c r="AJ3188">
        <v>0</v>
      </c>
      <c r="AK3188">
        <v>0</v>
      </c>
      <c r="AL3188">
        <v>0</v>
      </c>
      <c r="AM3188">
        <v>0</v>
      </c>
      <c r="AN3188">
        <v>0</v>
      </c>
      <c r="AO3188">
        <v>0</v>
      </c>
      <c r="AP3188">
        <v>0</v>
      </c>
      <c r="AQ3188">
        <v>16.7</v>
      </c>
      <c r="AR3188">
        <v>0</v>
      </c>
      <c r="AS3188">
        <v>0</v>
      </c>
      <c r="AT3188">
        <v>0</v>
      </c>
      <c r="AU3188">
        <v>0</v>
      </c>
      <c r="AV3188">
        <v>0</v>
      </c>
      <c r="AW3188">
        <v>0</v>
      </c>
      <c r="AX3188">
        <v>0</v>
      </c>
      <c r="AY3188">
        <v>0</v>
      </c>
      <c r="AZ3188">
        <v>0</v>
      </c>
      <c r="BA3188">
        <v>0</v>
      </c>
      <c r="BB3188">
        <v>0</v>
      </c>
      <c r="BC3188">
        <v>0</v>
      </c>
      <c r="BD3188">
        <v>0</v>
      </c>
      <c r="BE3188">
        <v>0</v>
      </c>
      <c r="BF3188">
        <v>0</v>
      </c>
      <c r="BG3188">
        <v>0</v>
      </c>
      <c r="BH3188">
        <v>1</v>
      </c>
      <c r="BI3188">
        <v>2</v>
      </c>
      <c r="BJ3188">
        <v>4.0999999999999996</v>
      </c>
      <c r="BK3188">
        <v>5</v>
      </c>
      <c r="BL3188">
        <v>54.66</v>
      </c>
      <c r="BM3188">
        <v>8.1999999999999993</v>
      </c>
      <c r="BN3188">
        <v>62.86</v>
      </c>
      <c r="BO3188">
        <v>62.86</v>
      </c>
      <c r="BQ3188" t="s">
        <v>1322</v>
      </c>
      <c r="BR3188" t="s">
        <v>84</v>
      </c>
      <c r="BS3188" s="3">
        <v>45803</v>
      </c>
      <c r="BT3188" s="4">
        <v>0.38194444444444442</v>
      </c>
      <c r="BU3188" t="s">
        <v>1338</v>
      </c>
      <c r="BV3188" t="s">
        <v>86</v>
      </c>
      <c r="BY3188">
        <v>20358</v>
      </c>
      <c r="CA3188" t="s">
        <v>115</v>
      </c>
      <c r="CC3188" t="s">
        <v>76</v>
      </c>
      <c r="CD3188">
        <v>1618</v>
      </c>
      <c r="CE3188" t="s">
        <v>96</v>
      </c>
      <c r="CF3188" s="3">
        <v>45803</v>
      </c>
      <c r="CI3188">
        <v>1</v>
      </c>
      <c r="CJ3188">
        <v>1</v>
      </c>
      <c r="CK3188">
        <v>22</v>
      </c>
      <c r="CL3188" t="s">
        <v>89</v>
      </c>
    </row>
    <row r="3189" spans="1:90" x14ac:dyDescent="0.3">
      <c r="A3189" t="s">
        <v>72</v>
      </c>
      <c r="B3189" t="s">
        <v>73</v>
      </c>
      <c r="C3189" t="s">
        <v>74</v>
      </c>
      <c r="E3189" t="str">
        <f>"080065534923"</f>
        <v>080065534923</v>
      </c>
      <c r="F3189" s="3">
        <v>45800</v>
      </c>
      <c r="G3189">
        <v>202602</v>
      </c>
      <c r="H3189" t="s">
        <v>75</v>
      </c>
      <c r="I3189" t="s">
        <v>76</v>
      </c>
      <c r="J3189" t="s">
        <v>77</v>
      </c>
      <c r="K3189" t="s">
        <v>78</v>
      </c>
      <c r="L3189" t="s">
        <v>75</v>
      </c>
      <c r="M3189" t="s">
        <v>76</v>
      </c>
      <c r="N3189" t="s">
        <v>2879</v>
      </c>
      <c r="O3189" t="s">
        <v>602</v>
      </c>
      <c r="P3189" t="str">
        <f>"4170040491                    "</f>
        <v xml:space="preserve">4170040491                    </v>
      </c>
      <c r="Q3189">
        <v>0</v>
      </c>
      <c r="R3189">
        <v>0</v>
      </c>
      <c r="S3189">
        <v>0</v>
      </c>
      <c r="T3189">
        <v>0</v>
      </c>
      <c r="U3189">
        <v>0</v>
      </c>
      <c r="V3189">
        <v>0</v>
      </c>
      <c r="W3189">
        <v>0</v>
      </c>
      <c r="X3189">
        <v>0</v>
      </c>
      <c r="Y3189">
        <v>0</v>
      </c>
      <c r="Z3189">
        <v>0</v>
      </c>
      <c r="AA3189">
        <v>0</v>
      </c>
      <c r="AB3189">
        <v>0</v>
      </c>
      <c r="AC3189">
        <v>0</v>
      </c>
      <c r="AD3189">
        <v>0</v>
      </c>
      <c r="AE3189">
        <v>0</v>
      </c>
      <c r="AF3189">
        <v>0</v>
      </c>
      <c r="AG3189">
        <v>0</v>
      </c>
      <c r="AH3189">
        <v>0</v>
      </c>
      <c r="AI3189">
        <v>0</v>
      </c>
      <c r="AJ3189">
        <v>0</v>
      </c>
      <c r="AK3189">
        <v>0</v>
      </c>
      <c r="AL3189">
        <v>0</v>
      </c>
      <c r="AM3189">
        <v>0</v>
      </c>
      <c r="AN3189">
        <v>0</v>
      </c>
      <c r="AO3189">
        <v>0</v>
      </c>
      <c r="AP3189">
        <v>0</v>
      </c>
      <c r="AQ3189">
        <v>24.2</v>
      </c>
      <c r="AR3189">
        <v>0</v>
      </c>
      <c r="AS3189">
        <v>0</v>
      </c>
      <c r="AT3189">
        <v>0</v>
      </c>
      <c r="AU3189">
        <v>0</v>
      </c>
      <c r="AV3189">
        <v>0</v>
      </c>
      <c r="AW3189">
        <v>0</v>
      </c>
      <c r="AX3189">
        <v>0</v>
      </c>
      <c r="AY3189">
        <v>0</v>
      </c>
      <c r="AZ3189">
        <v>0</v>
      </c>
      <c r="BA3189">
        <v>0</v>
      </c>
      <c r="BB3189">
        <v>0</v>
      </c>
      <c r="BC3189">
        <v>0</v>
      </c>
      <c r="BD3189">
        <v>0</v>
      </c>
      <c r="BE3189">
        <v>0</v>
      </c>
      <c r="BF3189">
        <v>0</v>
      </c>
      <c r="BG3189">
        <v>0</v>
      </c>
      <c r="BH3189">
        <v>1</v>
      </c>
      <c r="BI3189">
        <v>12</v>
      </c>
      <c r="BJ3189">
        <v>11.5</v>
      </c>
      <c r="BK3189">
        <v>12</v>
      </c>
      <c r="BL3189">
        <v>79.209999999999994</v>
      </c>
      <c r="BM3189">
        <v>11.88</v>
      </c>
      <c r="BN3189">
        <v>91.09</v>
      </c>
      <c r="BO3189">
        <v>91.09</v>
      </c>
      <c r="BQ3189" t="s">
        <v>2880</v>
      </c>
      <c r="BR3189" t="s">
        <v>84</v>
      </c>
      <c r="BS3189" s="3">
        <v>45803</v>
      </c>
      <c r="BT3189" s="4">
        <v>0.45833333333333331</v>
      </c>
      <c r="BU3189" t="s">
        <v>3100</v>
      </c>
      <c r="BV3189" t="s">
        <v>86</v>
      </c>
      <c r="BY3189">
        <v>57600</v>
      </c>
      <c r="CC3189" t="s">
        <v>76</v>
      </c>
      <c r="CD3189">
        <v>1601</v>
      </c>
      <c r="CE3189" t="s">
        <v>96</v>
      </c>
      <c r="CF3189" s="3">
        <v>45803</v>
      </c>
      <c r="CI3189">
        <v>1</v>
      </c>
      <c r="CJ3189">
        <v>1</v>
      </c>
      <c r="CK3189">
        <v>32</v>
      </c>
      <c r="CL3189" t="s">
        <v>89</v>
      </c>
    </row>
    <row r="3190" spans="1:90" x14ac:dyDescent="0.3">
      <c r="A3190" t="s">
        <v>72</v>
      </c>
      <c r="B3190" t="s">
        <v>73</v>
      </c>
      <c r="C3190" t="s">
        <v>74</v>
      </c>
      <c r="E3190" t="str">
        <f>"080065534976"</f>
        <v>080065534976</v>
      </c>
      <c r="F3190" s="3">
        <v>45800</v>
      </c>
      <c r="G3190">
        <v>202602</v>
      </c>
      <c r="H3190" t="s">
        <v>75</v>
      </c>
      <c r="I3190" t="s">
        <v>76</v>
      </c>
      <c r="J3190" t="s">
        <v>77</v>
      </c>
      <c r="K3190" t="s">
        <v>78</v>
      </c>
      <c r="L3190" t="s">
        <v>90</v>
      </c>
      <c r="M3190" t="s">
        <v>91</v>
      </c>
      <c r="N3190" t="s">
        <v>563</v>
      </c>
      <c r="O3190" t="s">
        <v>300</v>
      </c>
      <c r="P3190" t="str">
        <f>"4170040499                    "</f>
        <v xml:space="preserve">4170040499                    </v>
      </c>
      <c r="Q3190">
        <v>0</v>
      </c>
      <c r="R3190">
        <v>0</v>
      </c>
      <c r="S3190">
        <v>0</v>
      </c>
      <c r="T3190">
        <v>0</v>
      </c>
      <c r="U3190">
        <v>0</v>
      </c>
      <c r="V3190">
        <v>0</v>
      </c>
      <c r="W3190">
        <v>0</v>
      </c>
      <c r="X3190">
        <v>0</v>
      </c>
      <c r="Y3190">
        <v>0</v>
      </c>
      <c r="Z3190">
        <v>0</v>
      </c>
      <c r="AA3190">
        <v>0</v>
      </c>
      <c r="AB3190">
        <v>0</v>
      </c>
      <c r="AC3190">
        <v>0</v>
      </c>
      <c r="AD3190">
        <v>0</v>
      </c>
      <c r="AE3190">
        <v>0</v>
      </c>
      <c r="AF3190">
        <v>0</v>
      </c>
      <c r="AG3190">
        <v>0</v>
      </c>
      <c r="AH3190">
        <v>0</v>
      </c>
      <c r="AI3190">
        <v>0</v>
      </c>
      <c r="AJ3190">
        <v>0</v>
      </c>
      <c r="AK3190">
        <v>0</v>
      </c>
      <c r="AL3190">
        <v>0</v>
      </c>
      <c r="AM3190">
        <v>0</v>
      </c>
      <c r="AN3190">
        <v>0</v>
      </c>
      <c r="AO3190">
        <v>0</v>
      </c>
      <c r="AP3190">
        <v>0</v>
      </c>
      <c r="AQ3190">
        <v>53.3</v>
      </c>
      <c r="AR3190">
        <v>0</v>
      </c>
      <c r="AS3190">
        <v>0</v>
      </c>
      <c r="AT3190">
        <v>0</v>
      </c>
      <c r="AU3190">
        <v>0</v>
      </c>
      <c r="AV3190">
        <v>0</v>
      </c>
      <c r="AW3190">
        <v>0</v>
      </c>
      <c r="AX3190">
        <v>0</v>
      </c>
      <c r="AY3190">
        <v>0</v>
      </c>
      <c r="AZ3190">
        <v>0</v>
      </c>
      <c r="BA3190">
        <v>0</v>
      </c>
      <c r="BB3190">
        <v>0</v>
      </c>
      <c r="BC3190">
        <v>0</v>
      </c>
      <c r="BD3190">
        <v>0</v>
      </c>
      <c r="BE3190">
        <v>0</v>
      </c>
      <c r="BF3190">
        <v>0</v>
      </c>
      <c r="BG3190">
        <v>0</v>
      </c>
      <c r="BH3190">
        <v>1</v>
      </c>
      <c r="BI3190">
        <v>12</v>
      </c>
      <c r="BJ3190">
        <v>21.6</v>
      </c>
      <c r="BK3190">
        <v>22</v>
      </c>
      <c r="BL3190">
        <v>180.01</v>
      </c>
      <c r="BM3190">
        <v>27</v>
      </c>
      <c r="BN3190">
        <v>207.01</v>
      </c>
      <c r="BO3190">
        <v>207.01</v>
      </c>
      <c r="BQ3190" t="s">
        <v>564</v>
      </c>
      <c r="BR3190" t="s">
        <v>84</v>
      </c>
      <c r="BS3190" s="3">
        <v>45803</v>
      </c>
      <c r="BT3190" s="4">
        <v>0.34722222222222221</v>
      </c>
      <c r="BU3190" t="s">
        <v>780</v>
      </c>
      <c r="BV3190" t="s">
        <v>86</v>
      </c>
      <c r="BY3190">
        <v>108000</v>
      </c>
      <c r="CA3190" t="s">
        <v>566</v>
      </c>
      <c r="CC3190" t="s">
        <v>91</v>
      </c>
      <c r="CD3190">
        <v>6001</v>
      </c>
      <c r="CE3190" t="s">
        <v>96</v>
      </c>
      <c r="CF3190" s="3">
        <v>45803</v>
      </c>
      <c r="CI3190">
        <v>3</v>
      </c>
      <c r="CJ3190">
        <v>1</v>
      </c>
      <c r="CK3190">
        <v>41</v>
      </c>
      <c r="CL3190" t="s">
        <v>89</v>
      </c>
    </row>
    <row r="3191" spans="1:90" x14ac:dyDescent="0.3">
      <c r="A3191" t="s">
        <v>72</v>
      </c>
      <c r="B3191" t="s">
        <v>73</v>
      </c>
      <c r="C3191" t="s">
        <v>74</v>
      </c>
      <c r="E3191" t="str">
        <f>"080065534993"</f>
        <v>080065534993</v>
      </c>
      <c r="F3191" s="3">
        <v>45800</v>
      </c>
      <c r="G3191">
        <v>202602</v>
      </c>
      <c r="H3191" t="s">
        <v>75</v>
      </c>
      <c r="I3191" t="s">
        <v>76</v>
      </c>
      <c r="J3191" t="s">
        <v>77</v>
      </c>
      <c r="K3191" t="s">
        <v>78</v>
      </c>
      <c r="L3191" t="s">
        <v>117</v>
      </c>
      <c r="M3191" t="s">
        <v>118</v>
      </c>
      <c r="N3191" t="s">
        <v>532</v>
      </c>
      <c r="O3191" t="s">
        <v>300</v>
      </c>
      <c r="P3191" t="str">
        <f>"4170040490                    "</f>
        <v xml:space="preserve">4170040490                    </v>
      </c>
      <c r="Q3191">
        <v>0</v>
      </c>
      <c r="R3191">
        <v>0</v>
      </c>
      <c r="S3191">
        <v>0</v>
      </c>
      <c r="T3191">
        <v>0</v>
      </c>
      <c r="U3191">
        <v>0</v>
      </c>
      <c r="V3191">
        <v>0</v>
      </c>
      <c r="W3191">
        <v>0</v>
      </c>
      <c r="X3191">
        <v>0</v>
      </c>
      <c r="Y3191">
        <v>0</v>
      </c>
      <c r="Z3191">
        <v>0</v>
      </c>
      <c r="AA3191">
        <v>0</v>
      </c>
      <c r="AB3191">
        <v>0</v>
      </c>
      <c r="AC3191">
        <v>0</v>
      </c>
      <c r="AD3191">
        <v>0</v>
      </c>
      <c r="AE3191">
        <v>0</v>
      </c>
      <c r="AF3191">
        <v>0</v>
      </c>
      <c r="AG3191">
        <v>0</v>
      </c>
      <c r="AH3191">
        <v>0</v>
      </c>
      <c r="AI3191">
        <v>0</v>
      </c>
      <c r="AJ3191">
        <v>0</v>
      </c>
      <c r="AK3191">
        <v>0</v>
      </c>
      <c r="AL3191">
        <v>0</v>
      </c>
      <c r="AM3191">
        <v>0</v>
      </c>
      <c r="AN3191">
        <v>0</v>
      </c>
      <c r="AO3191">
        <v>0</v>
      </c>
      <c r="AP3191">
        <v>0</v>
      </c>
      <c r="AQ3191">
        <v>42.17</v>
      </c>
      <c r="AR3191">
        <v>0</v>
      </c>
      <c r="AS3191">
        <v>0</v>
      </c>
      <c r="AT3191">
        <v>0</v>
      </c>
      <c r="AU3191">
        <v>0</v>
      </c>
      <c r="AV3191">
        <v>0</v>
      </c>
      <c r="AW3191">
        <v>0</v>
      </c>
      <c r="AX3191">
        <v>0</v>
      </c>
      <c r="AY3191">
        <v>0</v>
      </c>
      <c r="AZ3191">
        <v>0</v>
      </c>
      <c r="BA3191">
        <v>0</v>
      </c>
      <c r="BB3191">
        <v>0</v>
      </c>
      <c r="BC3191">
        <v>0</v>
      </c>
      <c r="BD3191">
        <v>0</v>
      </c>
      <c r="BE3191">
        <v>0</v>
      </c>
      <c r="BF3191">
        <v>0</v>
      </c>
      <c r="BG3191">
        <v>0</v>
      </c>
      <c r="BH3191">
        <v>2</v>
      </c>
      <c r="BI3191">
        <v>22</v>
      </c>
      <c r="BJ3191">
        <v>25.9</v>
      </c>
      <c r="BK3191">
        <v>26</v>
      </c>
      <c r="BL3191">
        <v>143.58000000000001</v>
      </c>
      <c r="BM3191">
        <v>21.54</v>
      </c>
      <c r="BN3191">
        <v>165.12</v>
      </c>
      <c r="BO3191">
        <v>165.12</v>
      </c>
      <c r="BQ3191" t="s">
        <v>533</v>
      </c>
      <c r="BR3191" t="s">
        <v>84</v>
      </c>
      <c r="BS3191" s="3">
        <v>45803</v>
      </c>
      <c r="BT3191" s="4">
        <v>0.41666666666666669</v>
      </c>
      <c r="BU3191" t="s">
        <v>348</v>
      </c>
      <c r="BV3191" t="s">
        <v>86</v>
      </c>
      <c r="BY3191">
        <v>129718</v>
      </c>
      <c r="CA3191" t="s">
        <v>535</v>
      </c>
      <c r="CC3191" t="s">
        <v>118</v>
      </c>
      <c r="CD3191">
        <v>2094</v>
      </c>
      <c r="CE3191" t="s">
        <v>96</v>
      </c>
      <c r="CF3191" s="3">
        <v>45803</v>
      </c>
      <c r="CI3191">
        <v>1</v>
      </c>
      <c r="CJ3191">
        <v>1</v>
      </c>
      <c r="CK3191">
        <v>42</v>
      </c>
      <c r="CL3191" t="s">
        <v>89</v>
      </c>
    </row>
    <row r="3192" spans="1:90" x14ac:dyDescent="0.3">
      <c r="A3192" t="s">
        <v>72</v>
      </c>
      <c r="B3192" t="s">
        <v>73</v>
      </c>
      <c r="C3192" t="s">
        <v>74</v>
      </c>
      <c r="E3192" t="str">
        <f>"080065535011"</f>
        <v>080065535011</v>
      </c>
      <c r="F3192" s="3">
        <v>45800</v>
      </c>
      <c r="G3192">
        <v>202602</v>
      </c>
      <c r="H3192" t="s">
        <v>75</v>
      </c>
      <c r="I3192" t="s">
        <v>76</v>
      </c>
      <c r="J3192" t="s">
        <v>77</v>
      </c>
      <c r="K3192" t="s">
        <v>78</v>
      </c>
      <c r="L3192" t="s">
        <v>130</v>
      </c>
      <c r="M3192" t="s">
        <v>131</v>
      </c>
      <c r="N3192" t="s">
        <v>455</v>
      </c>
      <c r="O3192" t="s">
        <v>300</v>
      </c>
      <c r="P3192" t="str">
        <f>"4170040507                    "</f>
        <v xml:space="preserve">4170040507                    </v>
      </c>
      <c r="Q3192">
        <v>0</v>
      </c>
      <c r="R3192">
        <v>0</v>
      </c>
      <c r="S3192">
        <v>0</v>
      </c>
      <c r="T3192">
        <v>0</v>
      </c>
      <c r="U3192">
        <v>0</v>
      </c>
      <c r="V3192">
        <v>0</v>
      </c>
      <c r="W3192">
        <v>0</v>
      </c>
      <c r="X3192">
        <v>0</v>
      </c>
      <c r="Y3192">
        <v>0</v>
      </c>
      <c r="Z3192">
        <v>0</v>
      </c>
      <c r="AA3192">
        <v>0</v>
      </c>
      <c r="AB3192">
        <v>0</v>
      </c>
      <c r="AC3192">
        <v>0</v>
      </c>
      <c r="AD3192">
        <v>0</v>
      </c>
      <c r="AE3192">
        <v>0</v>
      </c>
      <c r="AF3192">
        <v>0</v>
      </c>
      <c r="AG3192">
        <v>0</v>
      </c>
      <c r="AH3192">
        <v>0</v>
      </c>
      <c r="AI3192">
        <v>0</v>
      </c>
      <c r="AJ3192">
        <v>0</v>
      </c>
      <c r="AK3192">
        <v>0</v>
      </c>
      <c r="AL3192">
        <v>0</v>
      </c>
      <c r="AM3192">
        <v>0</v>
      </c>
      <c r="AN3192">
        <v>0</v>
      </c>
      <c r="AO3192">
        <v>0</v>
      </c>
      <c r="AP3192">
        <v>0</v>
      </c>
      <c r="AQ3192">
        <v>46.47</v>
      </c>
      <c r="AR3192">
        <v>0</v>
      </c>
      <c r="AS3192">
        <v>0</v>
      </c>
      <c r="AT3192">
        <v>0</v>
      </c>
      <c r="AU3192">
        <v>0</v>
      </c>
      <c r="AV3192">
        <v>0</v>
      </c>
      <c r="AW3192">
        <v>16.739999999999998</v>
      </c>
      <c r="AX3192">
        <v>0</v>
      </c>
      <c r="AY3192">
        <v>0</v>
      </c>
      <c r="AZ3192">
        <v>0</v>
      </c>
      <c r="BA3192">
        <v>0</v>
      </c>
      <c r="BB3192">
        <v>0</v>
      </c>
      <c r="BC3192">
        <v>0</v>
      </c>
      <c r="BD3192">
        <v>0</v>
      </c>
      <c r="BE3192">
        <v>0</v>
      </c>
      <c r="BF3192">
        <v>0</v>
      </c>
      <c r="BG3192">
        <v>0</v>
      </c>
      <c r="BH3192">
        <v>1</v>
      </c>
      <c r="BI3192">
        <v>9</v>
      </c>
      <c r="BJ3192">
        <v>17.7</v>
      </c>
      <c r="BK3192">
        <v>18</v>
      </c>
      <c r="BL3192">
        <v>174.4</v>
      </c>
      <c r="BM3192">
        <v>26.16</v>
      </c>
      <c r="BN3192">
        <v>200.56</v>
      </c>
      <c r="BO3192">
        <v>200.56</v>
      </c>
      <c r="BQ3192" t="s">
        <v>456</v>
      </c>
      <c r="BR3192" t="s">
        <v>84</v>
      </c>
      <c r="BS3192" s="3">
        <v>45803</v>
      </c>
      <c r="BT3192" s="4">
        <v>0.39027777777777778</v>
      </c>
      <c r="BU3192" t="s">
        <v>3101</v>
      </c>
      <c r="BV3192" t="s">
        <v>86</v>
      </c>
      <c r="BY3192">
        <v>88320</v>
      </c>
      <c r="BZ3192" t="s">
        <v>30</v>
      </c>
      <c r="CA3192" t="s">
        <v>458</v>
      </c>
      <c r="CC3192" t="s">
        <v>131</v>
      </c>
      <c r="CD3192">
        <v>7781</v>
      </c>
      <c r="CE3192" t="s">
        <v>96</v>
      </c>
      <c r="CF3192" s="3">
        <v>45804</v>
      </c>
      <c r="CI3192">
        <v>3</v>
      </c>
      <c r="CJ3192">
        <v>1</v>
      </c>
      <c r="CK3192">
        <v>41</v>
      </c>
      <c r="CL3192" t="s">
        <v>89</v>
      </c>
    </row>
    <row r="3193" spans="1:90" x14ac:dyDescent="0.3">
      <c r="A3193" t="s">
        <v>72</v>
      </c>
      <c r="B3193" t="s">
        <v>73</v>
      </c>
      <c r="C3193" t="s">
        <v>74</v>
      </c>
      <c r="E3193" t="str">
        <f>"080065535045"</f>
        <v>080065535045</v>
      </c>
      <c r="F3193" s="3">
        <v>45800</v>
      </c>
      <c r="G3193">
        <v>202602</v>
      </c>
      <c r="H3193" t="s">
        <v>75</v>
      </c>
      <c r="I3193" t="s">
        <v>76</v>
      </c>
      <c r="J3193" t="s">
        <v>77</v>
      </c>
      <c r="K3193" t="s">
        <v>78</v>
      </c>
      <c r="L3193" t="s">
        <v>90</v>
      </c>
      <c r="M3193" t="s">
        <v>91</v>
      </c>
      <c r="N3193" t="s">
        <v>385</v>
      </c>
      <c r="O3193" t="s">
        <v>82</v>
      </c>
      <c r="P3193" t="str">
        <f>"4170040518                    "</f>
        <v xml:space="preserve">4170040518                    </v>
      </c>
      <c r="Q3193">
        <v>0</v>
      </c>
      <c r="R3193">
        <v>0</v>
      </c>
      <c r="S3193">
        <v>0</v>
      </c>
      <c r="T3193">
        <v>0</v>
      </c>
      <c r="U3193">
        <v>0</v>
      </c>
      <c r="V3193">
        <v>0</v>
      </c>
      <c r="W3193">
        <v>0</v>
      </c>
      <c r="X3193">
        <v>0</v>
      </c>
      <c r="Y3193">
        <v>0</v>
      </c>
      <c r="Z3193">
        <v>0</v>
      </c>
      <c r="AA3193">
        <v>0</v>
      </c>
      <c r="AB3193">
        <v>0</v>
      </c>
      <c r="AC3193">
        <v>0</v>
      </c>
      <c r="AD3193">
        <v>0</v>
      </c>
      <c r="AE3193">
        <v>0</v>
      </c>
      <c r="AF3193">
        <v>0</v>
      </c>
      <c r="AG3193">
        <v>0</v>
      </c>
      <c r="AH3193">
        <v>0</v>
      </c>
      <c r="AI3193">
        <v>0</v>
      </c>
      <c r="AJ3193">
        <v>0</v>
      </c>
      <c r="AK3193">
        <v>0</v>
      </c>
      <c r="AL3193">
        <v>0</v>
      </c>
      <c r="AM3193">
        <v>0</v>
      </c>
      <c r="AN3193">
        <v>0</v>
      </c>
      <c r="AO3193">
        <v>0</v>
      </c>
      <c r="AP3193">
        <v>0</v>
      </c>
      <c r="AQ3193">
        <v>21.38</v>
      </c>
      <c r="AR3193">
        <v>0</v>
      </c>
      <c r="AS3193">
        <v>0</v>
      </c>
      <c r="AT3193">
        <v>0</v>
      </c>
      <c r="AU3193">
        <v>0</v>
      </c>
      <c r="AV3193">
        <v>0</v>
      </c>
      <c r="AW3193">
        <v>0</v>
      </c>
      <c r="AX3193">
        <v>0</v>
      </c>
      <c r="AY3193">
        <v>0</v>
      </c>
      <c r="AZ3193">
        <v>0</v>
      </c>
      <c r="BA3193">
        <v>0</v>
      </c>
      <c r="BB3193">
        <v>0</v>
      </c>
      <c r="BC3193">
        <v>0</v>
      </c>
      <c r="BD3193">
        <v>0</v>
      </c>
      <c r="BE3193">
        <v>0</v>
      </c>
      <c r="BF3193">
        <v>0</v>
      </c>
      <c r="BG3193">
        <v>0</v>
      </c>
      <c r="BH3193">
        <v>1</v>
      </c>
      <c r="BI3193">
        <v>1</v>
      </c>
      <c r="BJ3193">
        <v>0.2</v>
      </c>
      <c r="BK3193">
        <v>1</v>
      </c>
      <c r="BL3193">
        <v>69.98</v>
      </c>
      <c r="BM3193">
        <v>10.5</v>
      </c>
      <c r="BN3193">
        <v>80.48</v>
      </c>
      <c r="BO3193">
        <v>80.48</v>
      </c>
      <c r="BQ3193" t="s">
        <v>386</v>
      </c>
      <c r="BR3193" t="s">
        <v>84</v>
      </c>
      <c r="BS3193" s="3">
        <v>45803</v>
      </c>
      <c r="BT3193" s="4">
        <v>0.43333333333333335</v>
      </c>
      <c r="BU3193" t="s">
        <v>387</v>
      </c>
      <c r="BV3193" t="s">
        <v>86</v>
      </c>
      <c r="BY3193">
        <v>1200</v>
      </c>
      <c r="CA3193" t="s">
        <v>95</v>
      </c>
      <c r="CC3193" t="s">
        <v>91</v>
      </c>
      <c r="CD3193">
        <v>6056</v>
      </c>
      <c r="CE3193" t="s">
        <v>88</v>
      </c>
      <c r="CF3193" s="3">
        <v>45803</v>
      </c>
      <c r="CI3193">
        <v>1</v>
      </c>
      <c r="CJ3193">
        <v>1</v>
      </c>
      <c r="CK3193">
        <v>21</v>
      </c>
      <c r="CL3193" t="s">
        <v>89</v>
      </c>
    </row>
    <row r="3194" spans="1:90" x14ac:dyDescent="0.3">
      <c r="A3194" t="s">
        <v>72</v>
      </c>
      <c r="B3194" t="s">
        <v>73</v>
      </c>
      <c r="C3194" t="s">
        <v>74</v>
      </c>
      <c r="E3194" t="str">
        <f>"080065535048"</f>
        <v>080065535048</v>
      </c>
      <c r="F3194" s="3">
        <v>45800</v>
      </c>
      <c r="G3194">
        <v>202602</v>
      </c>
      <c r="H3194" t="s">
        <v>75</v>
      </c>
      <c r="I3194" t="s">
        <v>76</v>
      </c>
      <c r="J3194" t="s">
        <v>77</v>
      </c>
      <c r="K3194" t="s">
        <v>78</v>
      </c>
      <c r="L3194" t="s">
        <v>2278</v>
      </c>
      <c r="M3194" t="s">
        <v>2279</v>
      </c>
      <c r="N3194" t="s">
        <v>2280</v>
      </c>
      <c r="O3194" t="s">
        <v>82</v>
      </c>
      <c r="P3194" t="str">
        <f>"4170040519                    "</f>
        <v xml:space="preserve">4170040519                    </v>
      </c>
      <c r="Q3194">
        <v>0</v>
      </c>
      <c r="R3194">
        <v>0</v>
      </c>
      <c r="S3194">
        <v>0</v>
      </c>
      <c r="T3194">
        <v>0</v>
      </c>
      <c r="U3194">
        <v>0</v>
      </c>
      <c r="V3194">
        <v>0</v>
      </c>
      <c r="W3194">
        <v>0</v>
      </c>
      <c r="X3194">
        <v>0</v>
      </c>
      <c r="Y3194">
        <v>0</v>
      </c>
      <c r="Z3194">
        <v>0</v>
      </c>
      <c r="AA3194">
        <v>0</v>
      </c>
      <c r="AB3194">
        <v>0</v>
      </c>
      <c r="AC3194">
        <v>0</v>
      </c>
      <c r="AD3194">
        <v>0</v>
      </c>
      <c r="AE3194">
        <v>0</v>
      </c>
      <c r="AF3194">
        <v>0</v>
      </c>
      <c r="AG3194">
        <v>0</v>
      </c>
      <c r="AH3194">
        <v>0</v>
      </c>
      <c r="AI3194">
        <v>0</v>
      </c>
      <c r="AJ3194">
        <v>0</v>
      </c>
      <c r="AK3194">
        <v>0</v>
      </c>
      <c r="AL3194">
        <v>0</v>
      </c>
      <c r="AM3194">
        <v>0</v>
      </c>
      <c r="AN3194">
        <v>0</v>
      </c>
      <c r="AO3194">
        <v>0</v>
      </c>
      <c r="AP3194">
        <v>0</v>
      </c>
      <c r="AQ3194">
        <v>21.38</v>
      </c>
      <c r="AR3194">
        <v>0</v>
      </c>
      <c r="AS3194">
        <v>0</v>
      </c>
      <c r="AT3194">
        <v>0</v>
      </c>
      <c r="AU3194">
        <v>0</v>
      </c>
      <c r="AV3194">
        <v>0</v>
      </c>
      <c r="AW3194">
        <v>0</v>
      </c>
      <c r="AX3194">
        <v>0</v>
      </c>
      <c r="AY3194">
        <v>0</v>
      </c>
      <c r="AZ3194">
        <v>0</v>
      </c>
      <c r="BA3194">
        <v>0</v>
      </c>
      <c r="BB3194">
        <v>0</v>
      </c>
      <c r="BC3194">
        <v>0</v>
      </c>
      <c r="BD3194">
        <v>0</v>
      </c>
      <c r="BE3194">
        <v>0</v>
      </c>
      <c r="BF3194">
        <v>0</v>
      </c>
      <c r="BG3194">
        <v>0</v>
      </c>
      <c r="BH3194">
        <v>1</v>
      </c>
      <c r="BI3194">
        <v>1</v>
      </c>
      <c r="BJ3194">
        <v>0.2</v>
      </c>
      <c r="BK3194">
        <v>1</v>
      </c>
      <c r="BL3194">
        <v>69.98</v>
      </c>
      <c r="BM3194">
        <v>10.5</v>
      </c>
      <c r="BN3194">
        <v>80.48</v>
      </c>
      <c r="BO3194">
        <v>80.48</v>
      </c>
      <c r="BQ3194" t="s">
        <v>2281</v>
      </c>
      <c r="BR3194" t="s">
        <v>84</v>
      </c>
      <c r="BS3194" s="3">
        <v>45803</v>
      </c>
      <c r="BT3194" s="4">
        <v>0.41111111111111109</v>
      </c>
      <c r="BU3194" t="s">
        <v>3102</v>
      </c>
      <c r="BV3194" t="s">
        <v>86</v>
      </c>
      <c r="BY3194">
        <v>1200</v>
      </c>
      <c r="CA3194" t="s">
        <v>326</v>
      </c>
      <c r="CC3194" t="s">
        <v>2279</v>
      </c>
      <c r="CD3194">
        <v>4026</v>
      </c>
      <c r="CE3194" t="s">
        <v>88</v>
      </c>
      <c r="CF3194" s="3">
        <v>45804</v>
      </c>
      <c r="CI3194">
        <v>1</v>
      </c>
      <c r="CJ3194">
        <v>1</v>
      </c>
      <c r="CK3194">
        <v>21</v>
      </c>
      <c r="CL3194" t="s">
        <v>89</v>
      </c>
    </row>
    <row r="3195" spans="1:90" x14ac:dyDescent="0.3">
      <c r="A3195" t="s">
        <v>72</v>
      </c>
      <c r="B3195" t="s">
        <v>73</v>
      </c>
      <c r="C3195" t="s">
        <v>74</v>
      </c>
      <c r="E3195" t="str">
        <f>"080065535072"</f>
        <v>080065535072</v>
      </c>
      <c r="F3195" s="3">
        <v>45800</v>
      </c>
      <c r="G3195">
        <v>202602</v>
      </c>
      <c r="H3195" t="s">
        <v>75</v>
      </c>
      <c r="I3195" t="s">
        <v>76</v>
      </c>
      <c r="J3195" t="s">
        <v>77</v>
      </c>
      <c r="K3195" t="s">
        <v>78</v>
      </c>
      <c r="L3195" t="s">
        <v>90</v>
      </c>
      <c r="M3195" t="s">
        <v>91</v>
      </c>
      <c r="N3195" t="s">
        <v>371</v>
      </c>
      <c r="O3195" t="s">
        <v>82</v>
      </c>
      <c r="P3195" t="str">
        <f>"4170040497                    "</f>
        <v xml:space="preserve">4170040497                    </v>
      </c>
      <c r="Q3195">
        <v>0</v>
      </c>
      <c r="R3195">
        <v>0</v>
      </c>
      <c r="S3195">
        <v>0</v>
      </c>
      <c r="T3195">
        <v>0</v>
      </c>
      <c r="U3195">
        <v>0</v>
      </c>
      <c r="V3195">
        <v>0</v>
      </c>
      <c r="W3195">
        <v>0</v>
      </c>
      <c r="X3195">
        <v>0</v>
      </c>
      <c r="Y3195">
        <v>0</v>
      </c>
      <c r="Z3195">
        <v>0</v>
      </c>
      <c r="AA3195">
        <v>0</v>
      </c>
      <c r="AB3195">
        <v>0</v>
      </c>
      <c r="AC3195">
        <v>0</v>
      </c>
      <c r="AD3195">
        <v>0</v>
      </c>
      <c r="AE3195">
        <v>0</v>
      </c>
      <c r="AF3195">
        <v>0</v>
      </c>
      <c r="AG3195">
        <v>0</v>
      </c>
      <c r="AH3195">
        <v>0</v>
      </c>
      <c r="AI3195">
        <v>0</v>
      </c>
      <c r="AJ3195">
        <v>0</v>
      </c>
      <c r="AK3195">
        <v>0</v>
      </c>
      <c r="AL3195">
        <v>0</v>
      </c>
      <c r="AM3195">
        <v>0</v>
      </c>
      <c r="AN3195">
        <v>0</v>
      </c>
      <c r="AO3195">
        <v>0</v>
      </c>
      <c r="AP3195">
        <v>0</v>
      </c>
      <c r="AQ3195">
        <v>21.38</v>
      </c>
      <c r="AR3195">
        <v>0</v>
      </c>
      <c r="AS3195">
        <v>0</v>
      </c>
      <c r="AT3195">
        <v>0</v>
      </c>
      <c r="AU3195">
        <v>0</v>
      </c>
      <c r="AV3195">
        <v>0</v>
      </c>
      <c r="AW3195">
        <v>0</v>
      </c>
      <c r="AX3195">
        <v>0</v>
      </c>
      <c r="AY3195">
        <v>0</v>
      </c>
      <c r="AZ3195">
        <v>0</v>
      </c>
      <c r="BA3195">
        <v>0</v>
      </c>
      <c r="BB3195">
        <v>0</v>
      </c>
      <c r="BC3195">
        <v>0</v>
      </c>
      <c r="BD3195">
        <v>0</v>
      </c>
      <c r="BE3195">
        <v>0</v>
      </c>
      <c r="BF3195">
        <v>0</v>
      </c>
      <c r="BG3195">
        <v>0</v>
      </c>
      <c r="BH3195">
        <v>1</v>
      </c>
      <c r="BI3195">
        <v>1</v>
      </c>
      <c r="BJ3195">
        <v>0.2</v>
      </c>
      <c r="BK3195">
        <v>1</v>
      </c>
      <c r="BL3195">
        <v>69.98</v>
      </c>
      <c r="BM3195">
        <v>10.5</v>
      </c>
      <c r="BN3195">
        <v>80.48</v>
      </c>
      <c r="BO3195">
        <v>80.48</v>
      </c>
      <c r="BQ3195" t="s">
        <v>372</v>
      </c>
      <c r="BR3195" t="s">
        <v>84</v>
      </c>
      <c r="BS3195" s="3">
        <v>45803</v>
      </c>
      <c r="BT3195" s="4">
        <v>0.4236111111111111</v>
      </c>
      <c r="BU3195" t="s">
        <v>373</v>
      </c>
      <c r="BV3195" t="s">
        <v>86</v>
      </c>
      <c r="BY3195">
        <v>1200</v>
      </c>
      <c r="CA3195" t="s">
        <v>298</v>
      </c>
      <c r="CC3195" t="s">
        <v>91</v>
      </c>
      <c r="CD3195">
        <v>6001</v>
      </c>
      <c r="CE3195" t="s">
        <v>88</v>
      </c>
      <c r="CF3195" s="3">
        <v>45803</v>
      </c>
      <c r="CI3195">
        <v>1</v>
      </c>
      <c r="CJ3195">
        <v>1</v>
      </c>
      <c r="CK3195">
        <v>21</v>
      </c>
      <c r="CL3195" t="s">
        <v>89</v>
      </c>
    </row>
    <row r="3196" spans="1:90" x14ac:dyDescent="0.3">
      <c r="A3196" t="s">
        <v>72</v>
      </c>
      <c r="B3196" t="s">
        <v>73</v>
      </c>
      <c r="C3196" t="s">
        <v>74</v>
      </c>
      <c r="E3196" t="str">
        <f>"080065535078"</f>
        <v>080065535078</v>
      </c>
      <c r="F3196" s="3">
        <v>45800</v>
      </c>
      <c r="G3196">
        <v>202602</v>
      </c>
      <c r="H3196" t="s">
        <v>75</v>
      </c>
      <c r="I3196" t="s">
        <v>76</v>
      </c>
      <c r="J3196" t="s">
        <v>77</v>
      </c>
      <c r="K3196" t="s">
        <v>78</v>
      </c>
      <c r="L3196" t="s">
        <v>90</v>
      </c>
      <c r="M3196" t="s">
        <v>91</v>
      </c>
      <c r="N3196" t="s">
        <v>1835</v>
      </c>
      <c r="O3196" t="s">
        <v>82</v>
      </c>
      <c r="P3196" t="str">
        <f>"4170040521                    "</f>
        <v xml:space="preserve">4170040521                    </v>
      </c>
      <c r="Q3196">
        <v>0</v>
      </c>
      <c r="R3196">
        <v>0</v>
      </c>
      <c r="S3196">
        <v>0</v>
      </c>
      <c r="T3196">
        <v>0</v>
      </c>
      <c r="U3196">
        <v>0</v>
      </c>
      <c r="V3196">
        <v>0</v>
      </c>
      <c r="W3196">
        <v>0</v>
      </c>
      <c r="X3196">
        <v>0</v>
      </c>
      <c r="Y3196">
        <v>0</v>
      </c>
      <c r="Z3196">
        <v>0</v>
      </c>
      <c r="AA3196">
        <v>0</v>
      </c>
      <c r="AB3196">
        <v>0</v>
      </c>
      <c r="AC3196">
        <v>0</v>
      </c>
      <c r="AD3196">
        <v>0</v>
      </c>
      <c r="AE3196">
        <v>0</v>
      </c>
      <c r="AF3196">
        <v>0</v>
      </c>
      <c r="AG3196">
        <v>0</v>
      </c>
      <c r="AH3196">
        <v>0</v>
      </c>
      <c r="AI3196">
        <v>0</v>
      </c>
      <c r="AJ3196">
        <v>0</v>
      </c>
      <c r="AK3196">
        <v>0</v>
      </c>
      <c r="AL3196">
        <v>0</v>
      </c>
      <c r="AM3196">
        <v>0</v>
      </c>
      <c r="AN3196">
        <v>0</v>
      </c>
      <c r="AO3196">
        <v>0</v>
      </c>
      <c r="AP3196">
        <v>0</v>
      </c>
      <c r="AQ3196">
        <v>21.38</v>
      </c>
      <c r="AR3196">
        <v>0</v>
      </c>
      <c r="AS3196">
        <v>0</v>
      </c>
      <c r="AT3196">
        <v>0</v>
      </c>
      <c r="AU3196">
        <v>0</v>
      </c>
      <c r="AV3196">
        <v>0</v>
      </c>
      <c r="AW3196">
        <v>0</v>
      </c>
      <c r="AX3196">
        <v>0</v>
      </c>
      <c r="AY3196">
        <v>0</v>
      </c>
      <c r="AZ3196">
        <v>0</v>
      </c>
      <c r="BA3196">
        <v>0</v>
      </c>
      <c r="BB3196">
        <v>0</v>
      </c>
      <c r="BC3196">
        <v>0</v>
      </c>
      <c r="BD3196">
        <v>0</v>
      </c>
      <c r="BE3196">
        <v>0</v>
      </c>
      <c r="BF3196">
        <v>0</v>
      </c>
      <c r="BG3196">
        <v>0</v>
      </c>
      <c r="BH3196">
        <v>1</v>
      </c>
      <c r="BI3196">
        <v>1</v>
      </c>
      <c r="BJ3196">
        <v>0.2</v>
      </c>
      <c r="BK3196">
        <v>1</v>
      </c>
      <c r="BL3196">
        <v>69.98</v>
      </c>
      <c r="BM3196">
        <v>10.5</v>
      </c>
      <c r="BN3196">
        <v>80.48</v>
      </c>
      <c r="BO3196">
        <v>80.48</v>
      </c>
      <c r="BQ3196" t="s">
        <v>1836</v>
      </c>
      <c r="BR3196" t="s">
        <v>84</v>
      </c>
      <c r="BS3196" s="3">
        <v>45803</v>
      </c>
      <c r="BT3196" s="4">
        <v>0.42222222222222222</v>
      </c>
      <c r="BU3196" t="s">
        <v>3103</v>
      </c>
      <c r="BV3196" t="s">
        <v>86</v>
      </c>
      <c r="BY3196">
        <v>1200</v>
      </c>
      <c r="CA3196" t="s">
        <v>298</v>
      </c>
      <c r="CC3196" t="s">
        <v>91</v>
      </c>
      <c r="CD3196">
        <v>6001</v>
      </c>
      <c r="CE3196" t="s">
        <v>88</v>
      </c>
      <c r="CF3196" s="3">
        <v>45803</v>
      </c>
      <c r="CI3196">
        <v>1</v>
      </c>
      <c r="CJ3196">
        <v>1</v>
      </c>
      <c r="CK3196">
        <v>21</v>
      </c>
      <c r="CL3196" t="s">
        <v>89</v>
      </c>
    </row>
    <row r="3197" spans="1:90" x14ac:dyDescent="0.3">
      <c r="A3197" t="s">
        <v>72</v>
      </c>
      <c r="B3197" t="s">
        <v>73</v>
      </c>
      <c r="C3197" t="s">
        <v>74</v>
      </c>
      <c r="E3197" t="str">
        <f>"080065535088"</f>
        <v>080065535088</v>
      </c>
      <c r="F3197" s="3">
        <v>45800</v>
      </c>
      <c r="G3197">
        <v>202602</v>
      </c>
      <c r="H3197" t="s">
        <v>75</v>
      </c>
      <c r="I3197" t="s">
        <v>76</v>
      </c>
      <c r="J3197" t="s">
        <v>77</v>
      </c>
      <c r="K3197" t="s">
        <v>78</v>
      </c>
      <c r="L3197" t="s">
        <v>90</v>
      </c>
      <c r="M3197" t="s">
        <v>91</v>
      </c>
      <c r="N3197" t="s">
        <v>543</v>
      </c>
      <c r="O3197" t="s">
        <v>82</v>
      </c>
      <c r="P3197" t="str">
        <f>"4170040525                    "</f>
        <v xml:space="preserve">4170040525                    </v>
      </c>
      <c r="Q3197">
        <v>0</v>
      </c>
      <c r="R3197">
        <v>0</v>
      </c>
      <c r="S3197">
        <v>0</v>
      </c>
      <c r="T3197">
        <v>0</v>
      </c>
      <c r="U3197">
        <v>0</v>
      </c>
      <c r="V3197">
        <v>0</v>
      </c>
      <c r="W3197">
        <v>0</v>
      </c>
      <c r="X3197">
        <v>0</v>
      </c>
      <c r="Y3197">
        <v>0</v>
      </c>
      <c r="Z3197">
        <v>0</v>
      </c>
      <c r="AA3197">
        <v>0</v>
      </c>
      <c r="AB3197">
        <v>0</v>
      </c>
      <c r="AC3197">
        <v>0</v>
      </c>
      <c r="AD3197">
        <v>0</v>
      </c>
      <c r="AE3197">
        <v>0</v>
      </c>
      <c r="AF3197">
        <v>0</v>
      </c>
      <c r="AG3197">
        <v>0</v>
      </c>
      <c r="AH3197">
        <v>0</v>
      </c>
      <c r="AI3197">
        <v>0</v>
      </c>
      <c r="AJ3197">
        <v>0</v>
      </c>
      <c r="AK3197">
        <v>0</v>
      </c>
      <c r="AL3197">
        <v>0</v>
      </c>
      <c r="AM3197">
        <v>0</v>
      </c>
      <c r="AN3197">
        <v>0</v>
      </c>
      <c r="AO3197">
        <v>0</v>
      </c>
      <c r="AP3197">
        <v>0</v>
      </c>
      <c r="AQ3197">
        <v>21.38</v>
      </c>
      <c r="AR3197">
        <v>0</v>
      </c>
      <c r="AS3197">
        <v>0</v>
      </c>
      <c r="AT3197">
        <v>0</v>
      </c>
      <c r="AU3197">
        <v>0</v>
      </c>
      <c r="AV3197">
        <v>0</v>
      </c>
      <c r="AW3197">
        <v>0</v>
      </c>
      <c r="AX3197">
        <v>0</v>
      </c>
      <c r="AY3197">
        <v>0</v>
      </c>
      <c r="AZ3197">
        <v>0</v>
      </c>
      <c r="BA3197">
        <v>0</v>
      </c>
      <c r="BB3197">
        <v>0</v>
      </c>
      <c r="BC3197">
        <v>0</v>
      </c>
      <c r="BD3197">
        <v>0</v>
      </c>
      <c r="BE3197">
        <v>0</v>
      </c>
      <c r="BF3197">
        <v>0</v>
      </c>
      <c r="BG3197">
        <v>0</v>
      </c>
      <c r="BH3197">
        <v>1</v>
      </c>
      <c r="BI3197">
        <v>1</v>
      </c>
      <c r="BJ3197">
        <v>0.2</v>
      </c>
      <c r="BK3197">
        <v>1</v>
      </c>
      <c r="BL3197">
        <v>69.98</v>
      </c>
      <c r="BM3197">
        <v>10.5</v>
      </c>
      <c r="BN3197">
        <v>80.48</v>
      </c>
      <c r="BO3197">
        <v>80.48</v>
      </c>
      <c r="BQ3197" t="s">
        <v>544</v>
      </c>
      <c r="BR3197" t="s">
        <v>84</v>
      </c>
      <c r="BS3197" s="3">
        <v>45803</v>
      </c>
      <c r="BT3197" s="4">
        <v>0.35416666666666669</v>
      </c>
      <c r="BU3197" t="s">
        <v>1764</v>
      </c>
      <c r="BV3197" t="s">
        <v>86</v>
      </c>
      <c r="BY3197">
        <v>1200</v>
      </c>
      <c r="CA3197" t="s">
        <v>283</v>
      </c>
      <c r="CC3197" t="s">
        <v>91</v>
      </c>
      <c r="CD3197">
        <v>6001</v>
      </c>
      <c r="CE3197" t="s">
        <v>88</v>
      </c>
      <c r="CF3197" s="3">
        <v>45803</v>
      </c>
      <c r="CI3197">
        <v>1</v>
      </c>
      <c r="CJ3197">
        <v>1</v>
      </c>
      <c r="CK3197">
        <v>21</v>
      </c>
      <c r="CL3197" t="s">
        <v>89</v>
      </c>
    </row>
    <row r="3198" spans="1:90" x14ac:dyDescent="0.3">
      <c r="A3198" t="s">
        <v>72</v>
      </c>
      <c r="B3198" t="s">
        <v>73</v>
      </c>
      <c r="C3198" t="s">
        <v>74</v>
      </c>
      <c r="E3198" t="str">
        <f>"080065535297"</f>
        <v>080065535297</v>
      </c>
      <c r="F3198" s="3">
        <v>45800</v>
      </c>
      <c r="G3198">
        <v>202602</v>
      </c>
      <c r="H3198" t="s">
        <v>75</v>
      </c>
      <c r="I3198" t="s">
        <v>76</v>
      </c>
      <c r="J3198" t="s">
        <v>77</v>
      </c>
      <c r="K3198" t="s">
        <v>78</v>
      </c>
      <c r="L3198" t="s">
        <v>648</v>
      </c>
      <c r="M3198" t="s">
        <v>649</v>
      </c>
      <c r="N3198" t="s">
        <v>3104</v>
      </c>
      <c r="O3198" t="s">
        <v>602</v>
      </c>
      <c r="P3198" t="str">
        <f>"4170040527                    "</f>
        <v xml:space="preserve">4170040527                    </v>
      </c>
      <c r="Q3198">
        <v>0</v>
      </c>
      <c r="R3198">
        <v>0</v>
      </c>
      <c r="S3198">
        <v>0</v>
      </c>
      <c r="T3198">
        <v>0</v>
      </c>
      <c r="U3198">
        <v>0</v>
      </c>
      <c r="V3198">
        <v>0</v>
      </c>
      <c r="W3198">
        <v>0</v>
      </c>
      <c r="X3198">
        <v>0</v>
      </c>
      <c r="Y3198">
        <v>0</v>
      </c>
      <c r="Z3198">
        <v>0</v>
      </c>
      <c r="AA3198">
        <v>0</v>
      </c>
      <c r="AB3198">
        <v>0</v>
      </c>
      <c r="AC3198">
        <v>0</v>
      </c>
      <c r="AD3198">
        <v>0</v>
      </c>
      <c r="AE3198">
        <v>0</v>
      </c>
      <c r="AF3198">
        <v>0</v>
      </c>
      <c r="AG3198">
        <v>0</v>
      </c>
      <c r="AH3198">
        <v>0</v>
      </c>
      <c r="AI3198">
        <v>0</v>
      </c>
      <c r="AJ3198">
        <v>0</v>
      </c>
      <c r="AK3198">
        <v>0</v>
      </c>
      <c r="AL3198">
        <v>0</v>
      </c>
      <c r="AM3198">
        <v>0</v>
      </c>
      <c r="AN3198">
        <v>0</v>
      </c>
      <c r="AO3198">
        <v>0</v>
      </c>
      <c r="AP3198">
        <v>0</v>
      </c>
      <c r="AQ3198">
        <v>18.579999999999998</v>
      </c>
      <c r="AR3198">
        <v>0</v>
      </c>
      <c r="AS3198">
        <v>0</v>
      </c>
      <c r="AT3198">
        <v>0</v>
      </c>
      <c r="AU3198">
        <v>0</v>
      </c>
      <c r="AV3198">
        <v>0</v>
      </c>
      <c r="AW3198">
        <v>0</v>
      </c>
      <c r="AX3198">
        <v>0</v>
      </c>
      <c r="AY3198">
        <v>0</v>
      </c>
      <c r="AZ3198">
        <v>0</v>
      </c>
      <c r="BA3198">
        <v>0</v>
      </c>
      <c r="BB3198">
        <v>0</v>
      </c>
      <c r="BC3198">
        <v>0</v>
      </c>
      <c r="BD3198">
        <v>0</v>
      </c>
      <c r="BE3198">
        <v>0</v>
      </c>
      <c r="BF3198">
        <v>0</v>
      </c>
      <c r="BG3198">
        <v>0</v>
      </c>
      <c r="BH3198">
        <v>1</v>
      </c>
      <c r="BI3198">
        <v>9</v>
      </c>
      <c r="BJ3198">
        <v>3.9</v>
      </c>
      <c r="BK3198">
        <v>9</v>
      </c>
      <c r="BL3198">
        <v>60.81</v>
      </c>
      <c r="BM3198">
        <v>9.1199999999999992</v>
      </c>
      <c r="BN3198">
        <v>69.930000000000007</v>
      </c>
      <c r="BO3198">
        <v>69.930000000000007</v>
      </c>
      <c r="BQ3198" t="s">
        <v>3105</v>
      </c>
      <c r="BR3198" t="s">
        <v>84</v>
      </c>
      <c r="BS3198" s="3">
        <v>45803</v>
      </c>
      <c r="BT3198" s="4">
        <v>0.40625</v>
      </c>
      <c r="BU3198" t="s">
        <v>3106</v>
      </c>
      <c r="BV3198" t="s">
        <v>86</v>
      </c>
      <c r="BY3198">
        <v>19712</v>
      </c>
      <c r="CA3198" t="s">
        <v>937</v>
      </c>
      <c r="CC3198" t="s">
        <v>649</v>
      </c>
      <c r="CD3198">
        <v>1559</v>
      </c>
      <c r="CE3198" t="s">
        <v>221</v>
      </c>
      <c r="CF3198" s="3">
        <v>45804</v>
      </c>
      <c r="CI3198">
        <v>1</v>
      </c>
      <c r="CJ3198">
        <v>1</v>
      </c>
      <c r="CK3198">
        <v>32</v>
      </c>
      <c r="CL3198" t="s">
        <v>89</v>
      </c>
    </row>
    <row r="3199" spans="1:90" x14ac:dyDescent="0.3">
      <c r="A3199" t="s">
        <v>72</v>
      </c>
      <c r="B3199" t="s">
        <v>73</v>
      </c>
      <c r="C3199" t="s">
        <v>74</v>
      </c>
      <c r="E3199" t="str">
        <f>"080065535341"</f>
        <v>080065535341</v>
      </c>
      <c r="F3199" s="3">
        <v>45800</v>
      </c>
      <c r="G3199">
        <v>202602</v>
      </c>
      <c r="H3199" t="s">
        <v>75</v>
      </c>
      <c r="I3199" t="s">
        <v>76</v>
      </c>
      <c r="J3199" t="s">
        <v>77</v>
      </c>
      <c r="K3199" t="s">
        <v>78</v>
      </c>
      <c r="L3199" t="s">
        <v>90</v>
      </c>
      <c r="M3199" t="s">
        <v>91</v>
      </c>
      <c r="N3199" t="s">
        <v>748</v>
      </c>
      <c r="O3199" t="s">
        <v>300</v>
      </c>
      <c r="P3199" t="str">
        <f>"4170040263                    "</f>
        <v xml:space="preserve">4170040263                    </v>
      </c>
      <c r="Q3199">
        <v>0</v>
      </c>
      <c r="R3199">
        <v>0</v>
      </c>
      <c r="S3199">
        <v>0</v>
      </c>
      <c r="T3199">
        <v>0</v>
      </c>
      <c r="U3199">
        <v>0</v>
      </c>
      <c r="V3199">
        <v>0</v>
      </c>
      <c r="W3199">
        <v>0</v>
      </c>
      <c r="X3199">
        <v>0</v>
      </c>
      <c r="Y3199">
        <v>0</v>
      </c>
      <c r="Z3199">
        <v>0</v>
      </c>
      <c r="AA3199">
        <v>0</v>
      </c>
      <c r="AB3199">
        <v>0</v>
      </c>
      <c r="AC3199">
        <v>0</v>
      </c>
      <c r="AD3199">
        <v>0</v>
      </c>
      <c r="AE3199">
        <v>0</v>
      </c>
      <c r="AF3199">
        <v>0</v>
      </c>
      <c r="AG3199">
        <v>0</v>
      </c>
      <c r="AH3199">
        <v>0</v>
      </c>
      <c r="AI3199">
        <v>0</v>
      </c>
      <c r="AJ3199">
        <v>0</v>
      </c>
      <c r="AK3199">
        <v>0</v>
      </c>
      <c r="AL3199">
        <v>0</v>
      </c>
      <c r="AM3199">
        <v>0</v>
      </c>
      <c r="AN3199">
        <v>0</v>
      </c>
      <c r="AO3199">
        <v>0</v>
      </c>
      <c r="AP3199">
        <v>0</v>
      </c>
      <c r="AQ3199">
        <v>68.67</v>
      </c>
      <c r="AR3199">
        <v>0</v>
      </c>
      <c r="AS3199">
        <v>0</v>
      </c>
      <c r="AT3199">
        <v>0</v>
      </c>
      <c r="AU3199">
        <v>0</v>
      </c>
      <c r="AV3199">
        <v>0</v>
      </c>
      <c r="AW3199">
        <v>0</v>
      </c>
      <c r="AX3199">
        <v>0</v>
      </c>
      <c r="AY3199">
        <v>0</v>
      </c>
      <c r="AZ3199">
        <v>0</v>
      </c>
      <c r="BA3199">
        <v>0</v>
      </c>
      <c r="BB3199">
        <v>0</v>
      </c>
      <c r="BC3199">
        <v>0</v>
      </c>
      <c r="BD3199">
        <v>0</v>
      </c>
      <c r="BE3199">
        <v>0</v>
      </c>
      <c r="BF3199">
        <v>0</v>
      </c>
      <c r="BG3199">
        <v>0</v>
      </c>
      <c r="BH3199">
        <v>1</v>
      </c>
      <c r="BI3199">
        <v>25</v>
      </c>
      <c r="BJ3199">
        <v>30.9</v>
      </c>
      <c r="BK3199">
        <v>31</v>
      </c>
      <c r="BL3199">
        <v>230.3</v>
      </c>
      <c r="BM3199">
        <v>34.549999999999997</v>
      </c>
      <c r="BN3199">
        <v>264.85000000000002</v>
      </c>
      <c r="BO3199">
        <v>264.85000000000002</v>
      </c>
      <c r="BQ3199" t="s">
        <v>749</v>
      </c>
      <c r="BR3199" t="s">
        <v>84</v>
      </c>
      <c r="BS3199" s="3">
        <v>45803</v>
      </c>
      <c r="BT3199" s="4">
        <v>0.4</v>
      </c>
      <c r="BU3199" t="s">
        <v>329</v>
      </c>
      <c r="BV3199" t="s">
        <v>86</v>
      </c>
      <c r="BY3199">
        <v>154560</v>
      </c>
      <c r="CA3199" t="s">
        <v>1200</v>
      </c>
      <c r="CC3199" t="s">
        <v>91</v>
      </c>
      <c r="CD3199">
        <v>6045</v>
      </c>
      <c r="CE3199" t="s">
        <v>96</v>
      </c>
      <c r="CF3199" s="3">
        <v>45803</v>
      </c>
      <c r="CI3199">
        <v>3</v>
      </c>
      <c r="CJ3199">
        <v>1</v>
      </c>
      <c r="CK3199">
        <v>41</v>
      </c>
      <c r="CL3199" t="s">
        <v>89</v>
      </c>
    </row>
    <row r="3200" spans="1:90" x14ac:dyDescent="0.3">
      <c r="A3200" t="s">
        <v>72</v>
      </c>
      <c r="B3200" t="s">
        <v>73</v>
      </c>
      <c r="C3200" t="s">
        <v>74</v>
      </c>
      <c r="E3200" t="str">
        <f>"080065535378"</f>
        <v>080065535378</v>
      </c>
      <c r="F3200" s="3">
        <v>45800</v>
      </c>
      <c r="G3200">
        <v>202602</v>
      </c>
      <c r="H3200" t="s">
        <v>75</v>
      </c>
      <c r="I3200" t="s">
        <v>76</v>
      </c>
      <c r="J3200" t="s">
        <v>77</v>
      </c>
      <c r="K3200" t="s">
        <v>78</v>
      </c>
      <c r="L3200" t="s">
        <v>90</v>
      </c>
      <c r="M3200" t="s">
        <v>91</v>
      </c>
      <c r="N3200" t="s">
        <v>92</v>
      </c>
      <c r="O3200" t="s">
        <v>300</v>
      </c>
      <c r="P3200" t="str">
        <f>"4170040488                    "</f>
        <v xml:space="preserve">4170040488                    </v>
      </c>
      <c r="Q3200">
        <v>0</v>
      </c>
      <c r="R3200">
        <v>0</v>
      </c>
      <c r="S3200">
        <v>0</v>
      </c>
      <c r="T3200">
        <v>0</v>
      </c>
      <c r="U3200">
        <v>0</v>
      </c>
      <c r="V3200">
        <v>0</v>
      </c>
      <c r="W3200">
        <v>0</v>
      </c>
      <c r="X3200">
        <v>0</v>
      </c>
      <c r="Y3200">
        <v>0</v>
      </c>
      <c r="Z3200">
        <v>0</v>
      </c>
      <c r="AA3200">
        <v>0</v>
      </c>
      <c r="AB3200">
        <v>0</v>
      </c>
      <c r="AC3200">
        <v>0</v>
      </c>
      <c r="AD3200">
        <v>0</v>
      </c>
      <c r="AE3200">
        <v>0</v>
      </c>
      <c r="AF3200">
        <v>0</v>
      </c>
      <c r="AG3200">
        <v>0</v>
      </c>
      <c r="AH3200">
        <v>0</v>
      </c>
      <c r="AI3200">
        <v>0</v>
      </c>
      <c r="AJ3200">
        <v>0</v>
      </c>
      <c r="AK3200">
        <v>0</v>
      </c>
      <c r="AL3200">
        <v>0</v>
      </c>
      <c r="AM3200">
        <v>0</v>
      </c>
      <c r="AN3200">
        <v>0</v>
      </c>
      <c r="AO3200">
        <v>0</v>
      </c>
      <c r="AP3200">
        <v>0</v>
      </c>
      <c r="AQ3200">
        <v>183.05</v>
      </c>
      <c r="AR3200">
        <v>0</v>
      </c>
      <c r="AS3200">
        <v>0</v>
      </c>
      <c r="AT3200">
        <v>0</v>
      </c>
      <c r="AU3200">
        <v>0</v>
      </c>
      <c r="AV3200">
        <v>0</v>
      </c>
      <c r="AW3200">
        <v>0</v>
      </c>
      <c r="AX3200">
        <v>0</v>
      </c>
      <c r="AY3200">
        <v>0</v>
      </c>
      <c r="AZ3200">
        <v>0</v>
      </c>
      <c r="BA3200">
        <v>0</v>
      </c>
      <c r="BB3200">
        <v>0</v>
      </c>
      <c r="BC3200">
        <v>0</v>
      </c>
      <c r="BD3200">
        <v>0</v>
      </c>
      <c r="BE3200">
        <v>0</v>
      </c>
      <c r="BF3200">
        <v>0</v>
      </c>
      <c r="BG3200">
        <v>0</v>
      </c>
      <c r="BH3200">
        <v>1</v>
      </c>
      <c r="BI3200">
        <v>85</v>
      </c>
      <c r="BJ3200">
        <v>97.6</v>
      </c>
      <c r="BK3200">
        <v>98</v>
      </c>
      <c r="BL3200">
        <v>604.64</v>
      </c>
      <c r="BM3200">
        <v>90.7</v>
      </c>
      <c r="BN3200">
        <v>695.34</v>
      </c>
      <c r="BO3200">
        <v>695.34</v>
      </c>
      <c r="BQ3200" t="s">
        <v>93</v>
      </c>
      <c r="BR3200" t="s">
        <v>84</v>
      </c>
      <c r="BS3200" s="3">
        <v>45803</v>
      </c>
      <c r="BT3200" s="4">
        <v>0.46736111111111112</v>
      </c>
      <c r="BU3200" t="s">
        <v>3107</v>
      </c>
      <c r="BV3200" t="s">
        <v>86</v>
      </c>
      <c r="BY3200">
        <v>488187</v>
      </c>
      <c r="CC3200" t="s">
        <v>91</v>
      </c>
      <c r="CD3200">
        <v>6001</v>
      </c>
      <c r="CE3200" t="s">
        <v>546</v>
      </c>
      <c r="CF3200" s="3">
        <v>45803</v>
      </c>
      <c r="CI3200">
        <v>3</v>
      </c>
      <c r="CJ3200">
        <v>1</v>
      </c>
      <c r="CK3200">
        <v>41</v>
      </c>
      <c r="CL3200" t="s">
        <v>89</v>
      </c>
    </row>
    <row r="3201" spans="1:90" x14ac:dyDescent="0.3">
      <c r="A3201" t="s">
        <v>72</v>
      </c>
      <c r="B3201" t="s">
        <v>73</v>
      </c>
      <c r="C3201" t="s">
        <v>74</v>
      </c>
      <c r="E3201" t="str">
        <f>"080065535392"</f>
        <v>080065535392</v>
      </c>
      <c r="F3201" s="3">
        <v>45800</v>
      </c>
      <c r="G3201">
        <v>202602</v>
      </c>
      <c r="H3201" t="s">
        <v>75</v>
      </c>
      <c r="I3201" t="s">
        <v>76</v>
      </c>
      <c r="J3201" t="s">
        <v>77</v>
      </c>
      <c r="K3201" t="s">
        <v>78</v>
      </c>
      <c r="L3201" t="s">
        <v>177</v>
      </c>
      <c r="M3201" t="s">
        <v>178</v>
      </c>
      <c r="N3201" t="s">
        <v>393</v>
      </c>
      <c r="O3201" t="s">
        <v>82</v>
      </c>
      <c r="P3201" t="str">
        <f>"4170040496                    "</f>
        <v xml:space="preserve">4170040496                    </v>
      </c>
      <c r="Q3201">
        <v>0</v>
      </c>
      <c r="R3201">
        <v>0</v>
      </c>
      <c r="S3201">
        <v>0</v>
      </c>
      <c r="T3201">
        <v>0</v>
      </c>
      <c r="U3201">
        <v>0</v>
      </c>
      <c r="V3201">
        <v>0</v>
      </c>
      <c r="W3201">
        <v>0</v>
      </c>
      <c r="X3201">
        <v>0</v>
      </c>
      <c r="Y3201">
        <v>0</v>
      </c>
      <c r="Z3201">
        <v>0</v>
      </c>
      <c r="AA3201">
        <v>0</v>
      </c>
      <c r="AB3201">
        <v>0</v>
      </c>
      <c r="AC3201">
        <v>0</v>
      </c>
      <c r="AD3201">
        <v>0</v>
      </c>
      <c r="AE3201">
        <v>0</v>
      </c>
      <c r="AF3201">
        <v>0</v>
      </c>
      <c r="AG3201">
        <v>0</v>
      </c>
      <c r="AH3201">
        <v>0</v>
      </c>
      <c r="AI3201">
        <v>0</v>
      </c>
      <c r="AJ3201">
        <v>0</v>
      </c>
      <c r="AK3201">
        <v>0</v>
      </c>
      <c r="AL3201">
        <v>0</v>
      </c>
      <c r="AM3201">
        <v>0</v>
      </c>
      <c r="AN3201">
        <v>0</v>
      </c>
      <c r="AO3201">
        <v>0</v>
      </c>
      <c r="AP3201">
        <v>0</v>
      </c>
      <c r="AQ3201">
        <v>21.38</v>
      </c>
      <c r="AR3201">
        <v>0</v>
      </c>
      <c r="AS3201">
        <v>0</v>
      </c>
      <c r="AT3201">
        <v>0</v>
      </c>
      <c r="AU3201">
        <v>0</v>
      </c>
      <c r="AV3201">
        <v>0</v>
      </c>
      <c r="AW3201">
        <v>0</v>
      </c>
      <c r="AX3201">
        <v>0</v>
      </c>
      <c r="AY3201">
        <v>0</v>
      </c>
      <c r="AZ3201">
        <v>0</v>
      </c>
      <c r="BA3201">
        <v>0</v>
      </c>
      <c r="BB3201">
        <v>0</v>
      </c>
      <c r="BC3201">
        <v>0</v>
      </c>
      <c r="BD3201">
        <v>0</v>
      </c>
      <c r="BE3201">
        <v>0</v>
      </c>
      <c r="BF3201">
        <v>0</v>
      </c>
      <c r="BG3201">
        <v>0</v>
      </c>
      <c r="BH3201">
        <v>1</v>
      </c>
      <c r="BI3201">
        <v>1</v>
      </c>
      <c r="BJ3201">
        <v>0.2</v>
      </c>
      <c r="BK3201">
        <v>1</v>
      </c>
      <c r="BL3201">
        <v>69.98</v>
      </c>
      <c r="BM3201">
        <v>10.5</v>
      </c>
      <c r="BN3201">
        <v>80.48</v>
      </c>
      <c r="BO3201">
        <v>80.48</v>
      </c>
      <c r="BQ3201" t="s">
        <v>394</v>
      </c>
      <c r="BR3201" t="s">
        <v>84</v>
      </c>
      <c r="BS3201" s="3">
        <v>45803</v>
      </c>
      <c r="BT3201" s="4">
        <v>0.33680555555555558</v>
      </c>
      <c r="BU3201" t="s">
        <v>395</v>
      </c>
      <c r="BV3201" t="s">
        <v>86</v>
      </c>
      <c r="BY3201">
        <v>1200</v>
      </c>
      <c r="CA3201" t="s">
        <v>182</v>
      </c>
      <c r="CC3201" t="s">
        <v>178</v>
      </c>
      <c r="CD3201">
        <v>6230</v>
      </c>
      <c r="CE3201" t="s">
        <v>88</v>
      </c>
      <c r="CF3201" s="3">
        <v>45803</v>
      </c>
      <c r="CI3201">
        <v>1</v>
      </c>
      <c r="CJ3201">
        <v>1</v>
      </c>
      <c r="CK3201">
        <v>21</v>
      </c>
      <c r="CL3201" t="s">
        <v>89</v>
      </c>
    </row>
    <row r="3202" spans="1:90" x14ac:dyDescent="0.3">
      <c r="A3202" t="s">
        <v>72</v>
      </c>
      <c r="B3202" t="s">
        <v>73</v>
      </c>
      <c r="C3202" t="s">
        <v>74</v>
      </c>
      <c r="E3202" t="str">
        <f>"080065535414"</f>
        <v>080065535414</v>
      </c>
      <c r="F3202" s="3">
        <v>45800</v>
      </c>
      <c r="G3202">
        <v>202602</v>
      </c>
      <c r="H3202" t="s">
        <v>75</v>
      </c>
      <c r="I3202" t="s">
        <v>76</v>
      </c>
      <c r="J3202" t="s">
        <v>77</v>
      </c>
      <c r="K3202" t="s">
        <v>78</v>
      </c>
      <c r="L3202" t="s">
        <v>136</v>
      </c>
      <c r="M3202" t="s">
        <v>137</v>
      </c>
      <c r="N3202" t="s">
        <v>299</v>
      </c>
      <c r="O3202" t="s">
        <v>82</v>
      </c>
      <c r="P3202" t="str">
        <f>"4170040508                    "</f>
        <v xml:space="preserve">4170040508                    </v>
      </c>
      <c r="Q3202">
        <v>0</v>
      </c>
      <c r="R3202">
        <v>0</v>
      </c>
      <c r="S3202">
        <v>0</v>
      </c>
      <c r="T3202">
        <v>0</v>
      </c>
      <c r="U3202">
        <v>0</v>
      </c>
      <c r="V3202">
        <v>0</v>
      </c>
      <c r="W3202">
        <v>0</v>
      </c>
      <c r="X3202">
        <v>0</v>
      </c>
      <c r="Y3202">
        <v>0</v>
      </c>
      <c r="Z3202">
        <v>0</v>
      </c>
      <c r="AA3202">
        <v>0</v>
      </c>
      <c r="AB3202">
        <v>0</v>
      </c>
      <c r="AC3202">
        <v>0</v>
      </c>
      <c r="AD3202">
        <v>0</v>
      </c>
      <c r="AE3202">
        <v>0</v>
      </c>
      <c r="AF3202">
        <v>0</v>
      </c>
      <c r="AG3202">
        <v>0</v>
      </c>
      <c r="AH3202">
        <v>0</v>
      </c>
      <c r="AI3202">
        <v>0</v>
      </c>
      <c r="AJ3202">
        <v>0</v>
      </c>
      <c r="AK3202">
        <v>0</v>
      </c>
      <c r="AL3202">
        <v>0</v>
      </c>
      <c r="AM3202">
        <v>0</v>
      </c>
      <c r="AN3202">
        <v>0</v>
      </c>
      <c r="AO3202">
        <v>0</v>
      </c>
      <c r="AP3202">
        <v>0</v>
      </c>
      <c r="AQ3202">
        <v>21.38</v>
      </c>
      <c r="AR3202">
        <v>0</v>
      </c>
      <c r="AS3202">
        <v>0</v>
      </c>
      <c r="AT3202">
        <v>0</v>
      </c>
      <c r="AU3202">
        <v>0</v>
      </c>
      <c r="AV3202">
        <v>0</v>
      </c>
      <c r="AW3202">
        <v>0</v>
      </c>
      <c r="AX3202">
        <v>0</v>
      </c>
      <c r="AY3202">
        <v>0</v>
      </c>
      <c r="AZ3202">
        <v>0</v>
      </c>
      <c r="BA3202">
        <v>0</v>
      </c>
      <c r="BB3202">
        <v>0</v>
      </c>
      <c r="BC3202">
        <v>0</v>
      </c>
      <c r="BD3202">
        <v>0</v>
      </c>
      <c r="BE3202">
        <v>0</v>
      </c>
      <c r="BF3202">
        <v>0</v>
      </c>
      <c r="BG3202">
        <v>0</v>
      </c>
      <c r="BH3202">
        <v>1</v>
      </c>
      <c r="BI3202">
        <v>1</v>
      </c>
      <c r="BJ3202">
        <v>0.2</v>
      </c>
      <c r="BK3202">
        <v>1</v>
      </c>
      <c r="BL3202">
        <v>69.98</v>
      </c>
      <c r="BM3202">
        <v>10.5</v>
      </c>
      <c r="BN3202">
        <v>80.48</v>
      </c>
      <c r="BO3202">
        <v>80.48</v>
      </c>
      <c r="BQ3202" t="s">
        <v>301</v>
      </c>
      <c r="BR3202" t="s">
        <v>84</v>
      </c>
      <c r="BS3202" s="3">
        <v>45803</v>
      </c>
      <c r="BT3202" s="4">
        <v>0.35555555555555557</v>
      </c>
      <c r="BU3202" t="s">
        <v>190</v>
      </c>
      <c r="BV3202" t="s">
        <v>86</v>
      </c>
      <c r="BY3202">
        <v>1200</v>
      </c>
      <c r="CA3202" t="s">
        <v>253</v>
      </c>
      <c r="CC3202" t="s">
        <v>137</v>
      </c>
      <c r="CD3202" s="5" t="s">
        <v>254</v>
      </c>
      <c r="CE3202" t="s">
        <v>88</v>
      </c>
      <c r="CF3202" s="3">
        <v>45803</v>
      </c>
      <c r="CI3202">
        <v>1</v>
      </c>
      <c r="CJ3202">
        <v>1</v>
      </c>
      <c r="CK3202">
        <v>21</v>
      </c>
      <c r="CL3202" t="s">
        <v>89</v>
      </c>
    </row>
    <row r="3203" spans="1:90" x14ac:dyDescent="0.3">
      <c r="A3203" t="s">
        <v>72</v>
      </c>
      <c r="B3203" t="s">
        <v>73</v>
      </c>
      <c r="C3203" t="s">
        <v>74</v>
      </c>
      <c r="E3203" t="str">
        <f>"080065535435"</f>
        <v>080065535435</v>
      </c>
      <c r="F3203" s="3">
        <v>45800</v>
      </c>
      <c r="G3203">
        <v>202602</v>
      </c>
      <c r="H3203" t="s">
        <v>75</v>
      </c>
      <c r="I3203" t="s">
        <v>76</v>
      </c>
      <c r="J3203" t="s">
        <v>77</v>
      </c>
      <c r="K3203" t="s">
        <v>78</v>
      </c>
      <c r="L3203" t="s">
        <v>350</v>
      </c>
      <c r="M3203" t="s">
        <v>351</v>
      </c>
      <c r="N3203" t="s">
        <v>459</v>
      </c>
      <c r="O3203" t="s">
        <v>82</v>
      </c>
      <c r="P3203" t="str">
        <f>"4170040476                    "</f>
        <v xml:space="preserve">4170040476                    </v>
      </c>
      <c r="Q3203">
        <v>0</v>
      </c>
      <c r="R3203">
        <v>0</v>
      </c>
      <c r="S3203">
        <v>0</v>
      </c>
      <c r="T3203">
        <v>0</v>
      </c>
      <c r="U3203">
        <v>0</v>
      </c>
      <c r="V3203">
        <v>0</v>
      </c>
      <c r="W3203">
        <v>0</v>
      </c>
      <c r="X3203">
        <v>0</v>
      </c>
      <c r="Y3203">
        <v>0</v>
      </c>
      <c r="Z3203">
        <v>0</v>
      </c>
      <c r="AA3203">
        <v>0</v>
      </c>
      <c r="AB3203">
        <v>0</v>
      </c>
      <c r="AC3203">
        <v>0</v>
      </c>
      <c r="AD3203">
        <v>0</v>
      </c>
      <c r="AE3203">
        <v>0</v>
      </c>
      <c r="AF3203">
        <v>0</v>
      </c>
      <c r="AG3203">
        <v>0</v>
      </c>
      <c r="AH3203">
        <v>0</v>
      </c>
      <c r="AI3203">
        <v>0</v>
      </c>
      <c r="AJ3203">
        <v>0</v>
      </c>
      <c r="AK3203">
        <v>0</v>
      </c>
      <c r="AL3203">
        <v>0</v>
      </c>
      <c r="AM3203">
        <v>0</v>
      </c>
      <c r="AN3203">
        <v>0</v>
      </c>
      <c r="AO3203">
        <v>0</v>
      </c>
      <c r="AP3203">
        <v>0</v>
      </c>
      <c r="AQ3203">
        <v>21.38</v>
      </c>
      <c r="AR3203">
        <v>0</v>
      </c>
      <c r="AS3203">
        <v>0</v>
      </c>
      <c r="AT3203">
        <v>0</v>
      </c>
      <c r="AU3203">
        <v>0</v>
      </c>
      <c r="AV3203">
        <v>0</v>
      </c>
      <c r="AW3203">
        <v>0</v>
      </c>
      <c r="AX3203">
        <v>0</v>
      </c>
      <c r="AY3203">
        <v>0</v>
      </c>
      <c r="AZ3203">
        <v>0</v>
      </c>
      <c r="BA3203">
        <v>0</v>
      </c>
      <c r="BB3203">
        <v>0</v>
      </c>
      <c r="BC3203">
        <v>0</v>
      </c>
      <c r="BD3203">
        <v>0</v>
      </c>
      <c r="BE3203">
        <v>0</v>
      </c>
      <c r="BF3203">
        <v>0</v>
      </c>
      <c r="BG3203">
        <v>0</v>
      </c>
      <c r="BH3203">
        <v>1</v>
      </c>
      <c r="BI3203">
        <v>1</v>
      </c>
      <c r="BJ3203">
        <v>0.2</v>
      </c>
      <c r="BK3203">
        <v>1</v>
      </c>
      <c r="BL3203">
        <v>69.98</v>
      </c>
      <c r="BM3203">
        <v>10.5</v>
      </c>
      <c r="BN3203">
        <v>80.48</v>
      </c>
      <c r="BO3203">
        <v>80.48</v>
      </c>
      <c r="BQ3203" t="s">
        <v>460</v>
      </c>
      <c r="BR3203" t="s">
        <v>84</v>
      </c>
      <c r="BS3203" s="3">
        <v>45803</v>
      </c>
      <c r="BT3203" s="4">
        <v>0.31874999999999998</v>
      </c>
      <c r="BU3203" t="s">
        <v>461</v>
      </c>
      <c r="BV3203" t="s">
        <v>86</v>
      </c>
      <c r="BY3203">
        <v>1200</v>
      </c>
      <c r="CA3203" t="s">
        <v>462</v>
      </c>
      <c r="CC3203" t="s">
        <v>351</v>
      </c>
      <c r="CD3203">
        <v>4000</v>
      </c>
      <c r="CE3203" t="s">
        <v>88</v>
      </c>
      <c r="CF3203" s="3">
        <v>45803</v>
      </c>
      <c r="CI3203">
        <v>1</v>
      </c>
      <c r="CJ3203">
        <v>1</v>
      </c>
      <c r="CK3203">
        <v>21</v>
      </c>
      <c r="CL3203" t="s">
        <v>89</v>
      </c>
    </row>
    <row r="3204" spans="1:90" x14ac:dyDescent="0.3">
      <c r="A3204" t="s">
        <v>72</v>
      </c>
      <c r="B3204" t="s">
        <v>73</v>
      </c>
      <c r="C3204" t="s">
        <v>74</v>
      </c>
      <c r="E3204" t="str">
        <f>"080065535456"</f>
        <v>080065535456</v>
      </c>
      <c r="F3204" s="3">
        <v>45800</v>
      </c>
      <c r="G3204">
        <v>202602</v>
      </c>
      <c r="H3204" t="s">
        <v>75</v>
      </c>
      <c r="I3204" t="s">
        <v>76</v>
      </c>
      <c r="J3204" t="s">
        <v>77</v>
      </c>
      <c r="K3204" t="s">
        <v>78</v>
      </c>
      <c r="L3204" t="s">
        <v>130</v>
      </c>
      <c r="M3204" t="s">
        <v>131</v>
      </c>
      <c r="N3204" t="s">
        <v>239</v>
      </c>
      <c r="O3204" t="s">
        <v>82</v>
      </c>
      <c r="P3204" t="str">
        <f>"4170040504                    "</f>
        <v xml:space="preserve">4170040504                    </v>
      </c>
      <c r="Q3204">
        <v>0</v>
      </c>
      <c r="R3204">
        <v>0</v>
      </c>
      <c r="S3204">
        <v>0</v>
      </c>
      <c r="T3204">
        <v>0</v>
      </c>
      <c r="U3204">
        <v>0</v>
      </c>
      <c r="V3204">
        <v>0</v>
      </c>
      <c r="W3204">
        <v>0</v>
      </c>
      <c r="X3204">
        <v>0</v>
      </c>
      <c r="Y3204">
        <v>0</v>
      </c>
      <c r="Z3204">
        <v>0</v>
      </c>
      <c r="AA3204">
        <v>0</v>
      </c>
      <c r="AB3204">
        <v>0</v>
      </c>
      <c r="AC3204">
        <v>0</v>
      </c>
      <c r="AD3204">
        <v>0</v>
      </c>
      <c r="AE3204">
        <v>0</v>
      </c>
      <c r="AF3204">
        <v>0</v>
      </c>
      <c r="AG3204">
        <v>0</v>
      </c>
      <c r="AH3204">
        <v>0</v>
      </c>
      <c r="AI3204">
        <v>0</v>
      </c>
      <c r="AJ3204">
        <v>0</v>
      </c>
      <c r="AK3204">
        <v>0</v>
      </c>
      <c r="AL3204">
        <v>0</v>
      </c>
      <c r="AM3204">
        <v>0</v>
      </c>
      <c r="AN3204">
        <v>0</v>
      </c>
      <c r="AO3204">
        <v>0</v>
      </c>
      <c r="AP3204">
        <v>0</v>
      </c>
      <c r="AQ3204">
        <v>21.38</v>
      </c>
      <c r="AR3204">
        <v>0</v>
      </c>
      <c r="AS3204">
        <v>0</v>
      </c>
      <c r="AT3204">
        <v>0</v>
      </c>
      <c r="AU3204">
        <v>0</v>
      </c>
      <c r="AV3204">
        <v>0</v>
      </c>
      <c r="AW3204">
        <v>0</v>
      </c>
      <c r="AX3204">
        <v>0</v>
      </c>
      <c r="AY3204">
        <v>0</v>
      </c>
      <c r="AZ3204">
        <v>0</v>
      </c>
      <c r="BA3204">
        <v>0</v>
      </c>
      <c r="BB3204">
        <v>0</v>
      </c>
      <c r="BC3204">
        <v>0</v>
      </c>
      <c r="BD3204">
        <v>0</v>
      </c>
      <c r="BE3204">
        <v>0</v>
      </c>
      <c r="BF3204">
        <v>0</v>
      </c>
      <c r="BG3204">
        <v>0</v>
      </c>
      <c r="BH3204">
        <v>1</v>
      </c>
      <c r="BI3204">
        <v>1</v>
      </c>
      <c r="BJ3204">
        <v>0.2</v>
      </c>
      <c r="BK3204">
        <v>1</v>
      </c>
      <c r="BL3204">
        <v>69.98</v>
      </c>
      <c r="BM3204">
        <v>10.5</v>
      </c>
      <c r="BN3204">
        <v>80.48</v>
      </c>
      <c r="BO3204">
        <v>80.48</v>
      </c>
      <c r="BQ3204" t="s">
        <v>240</v>
      </c>
      <c r="BR3204" t="s">
        <v>84</v>
      </c>
      <c r="BS3204" s="3">
        <v>45803</v>
      </c>
      <c r="BT3204" s="4">
        <v>0.36041666666666666</v>
      </c>
      <c r="BU3204" t="s">
        <v>3075</v>
      </c>
      <c r="BV3204" t="s">
        <v>86</v>
      </c>
      <c r="BY3204">
        <v>1200</v>
      </c>
      <c r="CA3204" t="s">
        <v>1634</v>
      </c>
      <c r="CC3204" t="s">
        <v>131</v>
      </c>
      <c r="CD3204">
        <v>7441</v>
      </c>
      <c r="CE3204" t="s">
        <v>88</v>
      </c>
      <c r="CF3204" s="3">
        <v>45804</v>
      </c>
      <c r="CI3204">
        <v>1</v>
      </c>
      <c r="CJ3204">
        <v>1</v>
      </c>
      <c r="CK3204">
        <v>21</v>
      </c>
      <c r="CL3204" t="s">
        <v>89</v>
      </c>
    </row>
    <row r="3205" spans="1:90" x14ac:dyDescent="0.3">
      <c r="A3205" t="s">
        <v>72</v>
      </c>
      <c r="B3205" t="s">
        <v>73</v>
      </c>
      <c r="C3205" t="s">
        <v>74</v>
      </c>
      <c r="E3205" t="str">
        <f>"080065535500"</f>
        <v>080065535500</v>
      </c>
      <c r="F3205" s="3">
        <v>45800</v>
      </c>
      <c r="G3205">
        <v>202602</v>
      </c>
      <c r="H3205" t="s">
        <v>75</v>
      </c>
      <c r="I3205" t="s">
        <v>76</v>
      </c>
      <c r="J3205" t="s">
        <v>77</v>
      </c>
      <c r="K3205" t="s">
        <v>78</v>
      </c>
      <c r="L3205" t="s">
        <v>75</v>
      </c>
      <c r="M3205" t="s">
        <v>76</v>
      </c>
      <c r="N3205" t="s">
        <v>346</v>
      </c>
      <c r="O3205" t="s">
        <v>82</v>
      </c>
      <c r="P3205" t="str">
        <f>"4170040088                    "</f>
        <v xml:space="preserve">4170040088                    </v>
      </c>
      <c r="Q3205">
        <v>0</v>
      </c>
      <c r="R3205">
        <v>0</v>
      </c>
      <c r="S3205">
        <v>0</v>
      </c>
      <c r="T3205">
        <v>0</v>
      </c>
      <c r="U3205">
        <v>0</v>
      </c>
      <c r="V3205">
        <v>0</v>
      </c>
      <c r="W3205">
        <v>0</v>
      </c>
      <c r="X3205">
        <v>0</v>
      </c>
      <c r="Y3205">
        <v>0</v>
      </c>
      <c r="Z3205">
        <v>0</v>
      </c>
      <c r="AA3205">
        <v>0</v>
      </c>
      <c r="AB3205">
        <v>0</v>
      </c>
      <c r="AC3205">
        <v>0</v>
      </c>
      <c r="AD3205">
        <v>0</v>
      </c>
      <c r="AE3205">
        <v>0</v>
      </c>
      <c r="AF3205">
        <v>0</v>
      </c>
      <c r="AG3205">
        <v>0</v>
      </c>
      <c r="AH3205">
        <v>0</v>
      </c>
      <c r="AI3205">
        <v>0</v>
      </c>
      <c r="AJ3205">
        <v>0</v>
      </c>
      <c r="AK3205">
        <v>0</v>
      </c>
      <c r="AL3205">
        <v>0</v>
      </c>
      <c r="AM3205">
        <v>0</v>
      </c>
      <c r="AN3205">
        <v>0</v>
      </c>
      <c r="AO3205">
        <v>0</v>
      </c>
      <c r="AP3205">
        <v>0</v>
      </c>
      <c r="AQ3205">
        <v>16.7</v>
      </c>
      <c r="AR3205">
        <v>0</v>
      </c>
      <c r="AS3205">
        <v>0</v>
      </c>
      <c r="AT3205">
        <v>0</v>
      </c>
      <c r="AU3205">
        <v>0</v>
      </c>
      <c r="AV3205">
        <v>0</v>
      </c>
      <c r="AW3205">
        <v>0</v>
      </c>
      <c r="AX3205">
        <v>0</v>
      </c>
      <c r="AY3205">
        <v>0</v>
      </c>
      <c r="AZ3205">
        <v>0</v>
      </c>
      <c r="BA3205">
        <v>0</v>
      </c>
      <c r="BB3205">
        <v>0</v>
      </c>
      <c r="BC3205">
        <v>0</v>
      </c>
      <c r="BD3205">
        <v>0</v>
      </c>
      <c r="BE3205">
        <v>0</v>
      </c>
      <c r="BF3205">
        <v>0</v>
      </c>
      <c r="BG3205">
        <v>0</v>
      </c>
      <c r="BH3205">
        <v>1</v>
      </c>
      <c r="BI3205">
        <v>1</v>
      </c>
      <c r="BJ3205">
        <v>0.2</v>
      </c>
      <c r="BK3205">
        <v>1</v>
      </c>
      <c r="BL3205">
        <v>54.66</v>
      </c>
      <c r="BM3205">
        <v>8.1999999999999993</v>
      </c>
      <c r="BN3205">
        <v>62.86</v>
      </c>
      <c r="BO3205">
        <v>62.86</v>
      </c>
      <c r="BQ3205" t="s">
        <v>347</v>
      </c>
      <c r="BR3205" t="s">
        <v>84</v>
      </c>
      <c r="BS3205" s="3">
        <v>45803</v>
      </c>
      <c r="BT3205" s="4">
        <v>0.36527777777777776</v>
      </c>
      <c r="BU3205" t="s">
        <v>348</v>
      </c>
      <c r="BV3205" t="s">
        <v>86</v>
      </c>
      <c r="BY3205">
        <v>1200</v>
      </c>
      <c r="CA3205" t="s">
        <v>349</v>
      </c>
      <c r="CC3205" t="s">
        <v>76</v>
      </c>
      <c r="CD3205">
        <v>1619</v>
      </c>
      <c r="CE3205" t="s">
        <v>88</v>
      </c>
      <c r="CF3205" s="3">
        <v>45803</v>
      </c>
      <c r="CI3205">
        <v>1</v>
      </c>
      <c r="CJ3205">
        <v>1</v>
      </c>
      <c r="CK3205">
        <v>22</v>
      </c>
      <c r="CL3205" t="s">
        <v>89</v>
      </c>
    </row>
    <row r="3206" spans="1:90" x14ac:dyDescent="0.3">
      <c r="A3206" t="s">
        <v>72</v>
      </c>
      <c r="B3206" t="s">
        <v>73</v>
      </c>
      <c r="C3206" t="s">
        <v>74</v>
      </c>
      <c r="E3206" t="str">
        <f>"080065535565"</f>
        <v>080065535565</v>
      </c>
      <c r="F3206" s="3">
        <v>45800</v>
      </c>
      <c r="G3206">
        <v>202602</v>
      </c>
      <c r="H3206" t="s">
        <v>75</v>
      </c>
      <c r="I3206" t="s">
        <v>76</v>
      </c>
      <c r="J3206" t="s">
        <v>77</v>
      </c>
      <c r="K3206" t="s">
        <v>78</v>
      </c>
      <c r="L3206" t="s">
        <v>648</v>
      </c>
      <c r="M3206" t="s">
        <v>649</v>
      </c>
      <c r="N3206" t="s">
        <v>1702</v>
      </c>
      <c r="O3206" t="s">
        <v>82</v>
      </c>
      <c r="P3206" t="str">
        <f>"4170040477                    "</f>
        <v xml:space="preserve">4170040477                    </v>
      </c>
      <c r="Q3206">
        <v>0</v>
      </c>
      <c r="R3206">
        <v>0</v>
      </c>
      <c r="S3206">
        <v>0</v>
      </c>
      <c r="T3206">
        <v>0</v>
      </c>
      <c r="U3206">
        <v>0</v>
      </c>
      <c r="V3206">
        <v>0</v>
      </c>
      <c r="W3206">
        <v>0</v>
      </c>
      <c r="X3206">
        <v>0</v>
      </c>
      <c r="Y3206">
        <v>0</v>
      </c>
      <c r="Z3206">
        <v>0</v>
      </c>
      <c r="AA3206">
        <v>0</v>
      </c>
      <c r="AB3206">
        <v>0</v>
      </c>
      <c r="AC3206">
        <v>0</v>
      </c>
      <c r="AD3206">
        <v>0</v>
      </c>
      <c r="AE3206">
        <v>0</v>
      </c>
      <c r="AF3206">
        <v>0</v>
      </c>
      <c r="AG3206">
        <v>0</v>
      </c>
      <c r="AH3206">
        <v>0</v>
      </c>
      <c r="AI3206">
        <v>0</v>
      </c>
      <c r="AJ3206">
        <v>0</v>
      </c>
      <c r="AK3206">
        <v>0</v>
      </c>
      <c r="AL3206">
        <v>0</v>
      </c>
      <c r="AM3206">
        <v>0</v>
      </c>
      <c r="AN3206">
        <v>0</v>
      </c>
      <c r="AO3206">
        <v>0</v>
      </c>
      <c r="AP3206">
        <v>0</v>
      </c>
      <c r="AQ3206">
        <v>16.7</v>
      </c>
      <c r="AR3206">
        <v>0</v>
      </c>
      <c r="AS3206">
        <v>0</v>
      </c>
      <c r="AT3206">
        <v>0</v>
      </c>
      <c r="AU3206">
        <v>0</v>
      </c>
      <c r="AV3206">
        <v>0</v>
      </c>
      <c r="AW3206">
        <v>0</v>
      </c>
      <c r="AX3206">
        <v>0</v>
      </c>
      <c r="AY3206">
        <v>0</v>
      </c>
      <c r="AZ3206">
        <v>0</v>
      </c>
      <c r="BA3206">
        <v>0</v>
      </c>
      <c r="BB3206">
        <v>0</v>
      </c>
      <c r="BC3206">
        <v>0</v>
      </c>
      <c r="BD3206">
        <v>0</v>
      </c>
      <c r="BE3206">
        <v>0</v>
      </c>
      <c r="BF3206">
        <v>0</v>
      </c>
      <c r="BG3206">
        <v>0</v>
      </c>
      <c r="BH3206">
        <v>1</v>
      </c>
      <c r="BI3206">
        <v>3</v>
      </c>
      <c r="BJ3206">
        <v>3.4</v>
      </c>
      <c r="BK3206">
        <v>4</v>
      </c>
      <c r="BL3206">
        <v>54.66</v>
      </c>
      <c r="BM3206">
        <v>8.1999999999999993</v>
      </c>
      <c r="BN3206">
        <v>62.86</v>
      </c>
      <c r="BO3206">
        <v>62.86</v>
      </c>
      <c r="BQ3206" t="s">
        <v>1703</v>
      </c>
      <c r="BR3206" t="s">
        <v>84</v>
      </c>
      <c r="BS3206" s="3">
        <v>45803</v>
      </c>
      <c r="BT3206" s="4">
        <v>0.37777777777777777</v>
      </c>
      <c r="BU3206" t="s">
        <v>3108</v>
      </c>
      <c r="BV3206" t="s">
        <v>86</v>
      </c>
      <c r="BY3206">
        <v>16965</v>
      </c>
      <c r="CA3206" t="s">
        <v>937</v>
      </c>
      <c r="CC3206" t="s">
        <v>649</v>
      </c>
      <c r="CD3206">
        <v>1559</v>
      </c>
      <c r="CE3206" t="s">
        <v>96</v>
      </c>
      <c r="CF3206" s="3">
        <v>45804</v>
      </c>
      <c r="CI3206">
        <v>1</v>
      </c>
      <c r="CJ3206">
        <v>1</v>
      </c>
      <c r="CK3206">
        <v>22</v>
      </c>
      <c r="CL3206" t="s">
        <v>89</v>
      </c>
    </row>
    <row r="3207" spans="1:90" x14ac:dyDescent="0.3">
      <c r="A3207" t="s">
        <v>72</v>
      </c>
      <c r="B3207" t="s">
        <v>73</v>
      </c>
      <c r="C3207" t="s">
        <v>74</v>
      </c>
      <c r="E3207" t="str">
        <f>"080065535566"</f>
        <v>080065535566</v>
      </c>
      <c r="F3207" s="3">
        <v>45800</v>
      </c>
      <c r="G3207">
        <v>202602</v>
      </c>
      <c r="H3207" t="s">
        <v>75</v>
      </c>
      <c r="I3207" t="s">
        <v>76</v>
      </c>
      <c r="J3207" t="s">
        <v>77</v>
      </c>
      <c r="K3207" t="s">
        <v>78</v>
      </c>
      <c r="L3207" t="s">
        <v>136</v>
      </c>
      <c r="M3207" t="s">
        <v>137</v>
      </c>
      <c r="N3207" t="s">
        <v>1090</v>
      </c>
      <c r="O3207" t="s">
        <v>82</v>
      </c>
      <c r="P3207" t="str">
        <f>"4170040259                    "</f>
        <v xml:space="preserve">4170040259                    </v>
      </c>
      <c r="Q3207">
        <v>0</v>
      </c>
      <c r="R3207">
        <v>0</v>
      </c>
      <c r="S3207">
        <v>0</v>
      </c>
      <c r="T3207">
        <v>0</v>
      </c>
      <c r="U3207">
        <v>0</v>
      </c>
      <c r="V3207">
        <v>0</v>
      </c>
      <c r="W3207">
        <v>0</v>
      </c>
      <c r="X3207">
        <v>0</v>
      </c>
      <c r="Y3207">
        <v>0</v>
      </c>
      <c r="Z3207">
        <v>0</v>
      </c>
      <c r="AA3207">
        <v>0</v>
      </c>
      <c r="AB3207">
        <v>0</v>
      </c>
      <c r="AC3207">
        <v>0</v>
      </c>
      <c r="AD3207">
        <v>0</v>
      </c>
      <c r="AE3207">
        <v>0</v>
      </c>
      <c r="AF3207">
        <v>0</v>
      </c>
      <c r="AG3207">
        <v>0</v>
      </c>
      <c r="AH3207">
        <v>0</v>
      </c>
      <c r="AI3207">
        <v>0</v>
      </c>
      <c r="AJ3207">
        <v>0</v>
      </c>
      <c r="AK3207">
        <v>0</v>
      </c>
      <c r="AL3207">
        <v>0</v>
      </c>
      <c r="AM3207">
        <v>0</v>
      </c>
      <c r="AN3207">
        <v>0</v>
      </c>
      <c r="AO3207">
        <v>0</v>
      </c>
      <c r="AP3207">
        <v>0</v>
      </c>
      <c r="AQ3207">
        <v>21.38</v>
      </c>
      <c r="AR3207">
        <v>0</v>
      </c>
      <c r="AS3207">
        <v>0</v>
      </c>
      <c r="AT3207">
        <v>0</v>
      </c>
      <c r="AU3207">
        <v>0</v>
      </c>
      <c r="AV3207">
        <v>0</v>
      </c>
      <c r="AW3207">
        <v>0</v>
      </c>
      <c r="AX3207">
        <v>0</v>
      </c>
      <c r="AY3207">
        <v>0</v>
      </c>
      <c r="AZ3207">
        <v>0</v>
      </c>
      <c r="BA3207">
        <v>0</v>
      </c>
      <c r="BB3207">
        <v>0</v>
      </c>
      <c r="BC3207">
        <v>0</v>
      </c>
      <c r="BD3207">
        <v>0</v>
      </c>
      <c r="BE3207">
        <v>0</v>
      </c>
      <c r="BF3207">
        <v>0</v>
      </c>
      <c r="BG3207">
        <v>0</v>
      </c>
      <c r="BH3207">
        <v>1</v>
      </c>
      <c r="BI3207">
        <v>1</v>
      </c>
      <c r="BJ3207">
        <v>0.2</v>
      </c>
      <c r="BK3207">
        <v>1</v>
      </c>
      <c r="BL3207">
        <v>69.98</v>
      </c>
      <c r="BM3207">
        <v>10.5</v>
      </c>
      <c r="BN3207">
        <v>80.48</v>
      </c>
      <c r="BO3207">
        <v>80.48</v>
      </c>
      <c r="BQ3207" t="s">
        <v>1091</v>
      </c>
      <c r="BR3207" t="s">
        <v>84</v>
      </c>
      <c r="BS3207" s="3">
        <v>45803</v>
      </c>
      <c r="BT3207" s="4">
        <v>0.36458333333333331</v>
      </c>
      <c r="BU3207" t="s">
        <v>3109</v>
      </c>
      <c r="BV3207" t="s">
        <v>86</v>
      </c>
      <c r="BY3207">
        <v>1200</v>
      </c>
      <c r="CA3207" t="s">
        <v>1093</v>
      </c>
      <c r="CC3207" t="s">
        <v>137</v>
      </c>
      <c r="CD3207" s="5" t="s">
        <v>738</v>
      </c>
      <c r="CE3207" t="s">
        <v>88</v>
      </c>
      <c r="CF3207" s="3">
        <v>45803</v>
      </c>
      <c r="CI3207">
        <v>1</v>
      </c>
      <c r="CJ3207">
        <v>1</v>
      </c>
      <c r="CK3207">
        <v>21</v>
      </c>
      <c r="CL3207" t="s">
        <v>89</v>
      </c>
    </row>
    <row r="3208" spans="1:90" x14ac:dyDescent="0.3">
      <c r="A3208" t="s">
        <v>72</v>
      </c>
      <c r="B3208" t="s">
        <v>73</v>
      </c>
      <c r="C3208" t="s">
        <v>74</v>
      </c>
      <c r="E3208" t="str">
        <f>"080065535604"</f>
        <v>080065535604</v>
      </c>
      <c r="F3208" s="3">
        <v>45800</v>
      </c>
      <c r="G3208">
        <v>202602</v>
      </c>
      <c r="H3208" t="s">
        <v>75</v>
      </c>
      <c r="I3208" t="s">
        <v>76</v>
      </c>
      <c r="J3208" t="s">
        <v>77</v>
      </c>
      <c r="K3208" t="s">
        <v>78</v>
      </c>
      <c r="L3208" t="s">
        <v>90</v>
      </c>
      <c r="M3208" t="s">
        <v>91</v>
      </c>
      <c r="N3208" t="s">
        <v>563</v>
      </c>
      <c r="O3208" t="s">
        <v>300</v>
      </c>
      <c r="P3208" t="str">
        <f>"4170040500                    "</f>
        <v xml:space="preserve">4170040500                    </v>
      </c>
      <c r="Q3208">
        <v>0</v>
      </c>
      <c r="R3208">
        <v>0</v>
      </c>
      <c r="S3208">
        <v>0</v>
      </c>
      <c r="T3208">
        <v>0</v>
      </c>
      <c r="U3208">
        <v>0</v>
      </c>
      <c r="V3208">
        <v>0</v>
      </c>
      <c r="W3208">
        <v>0</v>
      </c>
      <c r="X3208">
        <v>0</v>
      </c>
      <c r="Y3208">
        <v>0</v>
      </c>
      <c r="Z3208">
        <v>0</v>
      </c>
      <c r="AA3208">
        <v>0</v>
      </c>
      <c r="AB3208">
        <v>0</v>
      </c>
      <c r="AC3208">
        <v>0</v>
      </c>
      <c r="AD3208">
        <v>0</v>
      </c>
      <c r="AE3208">
        <v>0</v>
      </c>
      <c r="AF3208">
        <v>0</v>
      </c>
      <c r="AG3208">
        <v>0</v>
      </c>
      <c r="AH3208">
        <v>0</v>
      </c>
      <c r="AI3208">
        <v>0</v>
      </c>
      <c r="AJ3208">
        <v>0</v>
      </c>
      <c r="AK3208">
        <v>0</v>
      </c>
      <c r="AL3208">
        <v>0</v>
      </c>
      <c r="AM3208">
        <v>0</v>
      </c>
      <c r="AN3208">
        <v>0</v>
      </c>
      <c r="AO3208">
        <v>0</v>
      </c>
      <c r="AP3208">
        <v>0</v>
      </c>
      <c r="AQ3208">
        <v>125</v>
      </c>
      <c r="AR3208">
        <v>0</v>
      </c>
      <c r="AS3208">
        <v>0</v>
      </c>
      <c r="AT3208">
        <v>0</v>
      </c>
      <c r="AU3208">
        <v>0</v>
      </c>
      <c r="AV3208">
        <v>0</v>
      </c>
      <c r="AW3208">
        <v>0</v>
      </c>
      <c r="AX3208">
        <v>0</v>
      </c>
      <c r="AY3208">
        <v>0</v>
      </c>
      <c r="AZ3208">
        <v>0</v>
      </c>
      <c r="BA3208">
        <v>0</v>
      </c>
      <c r="BB3208">
        <v>0</v>
      </c>
      <c r="BC3208">
        <v>0</v>
      </c>
      <c r="BD3208">
        <v>0</v>
      </c>
      <c r="BE3208">
        <v>0</v>
      </c>
      <c r="BF3208">
        <v>0</v>
      </c>
      <c r="BG3208">
        <v>0</v>
      </c>
      <c r="BH3208">
        <v>2</v>
      </c>
      <c r="BI3208">
        <v>24</v>
      </c>
      <c r="BJ3208">
        <v>63.6</v>
      </c>
      <c r="BK3208">
        <v>64</v>
      </c>
      <c r="BL3208">
        <v>414.67</v>
      </c>
      <c r="BM3208">
        <v>62.2</v>
      </c>
      <c r="BN3208">
        <v>476.87</v>
      </c>
      <c r="BO3208">
        <v>476.87</v>
      </c>
      <c r="BQ3208" t="s">
        <v>564</v>
      </c>
      <c r="BR3208" t="s">
        <v>84</v>
      </c>
      <c r="BS3208" s="3">
        <v>45803</v>
      </c>
      <c r="BT3208" s="4">
        <v>0.34722222222222221</v>
      </c>
      <c r="BU3208" t="s">
        <v>780</v>
      </c>
      <c r="BV3208" t="s">
        <v>86</v>
      </c>
      <c r="BY3208">
        <v>317772</v>
      </c>
      <c r="CA3208" t="s">
        <v>566</v>
      </c>
      <c r="CC3208" t="s">
        <v>91</v>
      </c>
      <c r="CD3208">
        <v>6001</v>
      </c>
      <c r="CE3208" t="s">
        <v>96</v>
      </c>
      <c r="CF3208" s="3">
        <v>45803</v>
      </c>
      <c r="CI3208">
        <v>3</v>
      </c>
      <c r="CJ3208">
        <v>1</v>
      </c>
      <c r="CK3208">
        <v>41</v>
      </c>
      <c r="CL3208" t="s">
        <v>89</v>
      </c>
    </row>
    <row r="3209" spans="1:90" x14ac:dyDescent="0.3">
      <c r="A3209" t="s">
        <v>72</v>
      </c>
      <c r="B3209" t="s">
        <v>73</v>
      </c>
      <c r="C3209" t="s">
        <v>74</v>
      </c>
      <c r="E3209" t="str">
        <f>"R080065465560"</f>
        <v>R080065465560</v>
      </c>
      <c r="F3209" s="3">
        <v>45800</v>
      </c>
      <c r="G3209">
        <v>202602</v>
      </c>
      <c r="H3209" t="s">
        <v>75</v>
      </c>
      <c r="I3209" t="s">
        <v>76</v>
      </c>
      <c r="J3209" t="s">
        <v>2662</v>
      </c>
      <c r="K3209" t="s">
        <v>78</v>
      </c>
      <c r="L3209" t="s">
        <v>2278</v>
      </c>
      <c r="M3209" t="s">
        <v>2279</v>
      </c>
      <c r="N3209" t="s">
        <v>3110</v>
      </c>
      <c r="O3209" t="s">
        <v>300</v>
      </c>
      <c r="P3209" t="str">
        <f>"4170039295                    "</f>
        <v xml:space="preserve">4170039295                    </v>
      </c>
      <c r="Q3209">
        <v>0</v>
      </c>
      <c r="R3209">
        <v>0</v>
      </c>
      <c r="S3209">
        <v>0</v>
      </c>
      <c r="T3209">
        <v>0</v>
      </c>
      <c r="U3209">
        <v>0</v>
      </c>
      <c r="V3209">
        <v>0</v>
      </c>
      <c r="W3209">
        <v>0</v>
      </c>
      <c r="X3209">
        <v>0</v>
      </c>
      <c r="Y3209">
        <v>0</v>
      </c>
      <c r="Z3209">
        <v>0</v>
      </c>
      <c r="AA3209">
        <v>0</v>
      </c>
      <c r="AB3209">
        <v>0</v>
      </c>
      <c r="AC3209">
        <v>0</v>
      </c>
      <c r="AD3209">
        <v>0</v>
      </c>
      <c r="AE3209">
        <v>0</v>
      </c>
      <c r="AF3209">
        <v>0</v>
      </c>
      <c r="AG3209">
        <v>0</v>
      </c>
      <c r="AH3209">
        <v>0</v>
      </c>
      <c r="AI3209">
        <v>0</v>
      </c>
      <c r="AJ3209">
        <v>0</v>
      </c>
      <c r="AK3209">
        <v>0</v>
      </c>
      <c r="AL3209">
        <v>0</v>
      </c>
      <c r="AM3209">
        <v>0</v>
      </c>
      <c r="AN3209">
        <v>0</v>
      </c>
      <c r="AO3209">
        <v>0</v>
      </c>
      <c r="AP3209">
        <v>0</v>
      </c>
      <c r="AQ3209">
        <v>41.35</v>
      </c>
      <c r="AR3209">
        <v>0</v>
      </c>
      <c r="AS3209">
        <v>0</v>
      </c>
      <c r="AT3209">
        <v>0</v>
      </c>
      <c r="AU3209">
        <v>0</v>
      </c>
      <c r="AV3209">
        <v>0</v>
      </c>
      <c r="AW3209">
        <v>0</v>
      </c>
      <c r="AX3209">
        <v>0</v>
      </c>
      <c r="AY3209">
        <v>0</v>
      </c>
      <c r="AZ3209">
        <v>0</v>
      </c>
      <c r="BA3209">
        <v>0</v>
      </c>
      <c r="BB3209">
        <v>0</v>
      </c>
      <c r="BC3209">
        <v>0</v>
      </c>
      <c r="BD3209">
        <v>0</v>
      </c>
      <c r="BE3209">
        <v>0</v>
      </c>
      <c r="BF3209">
        <v>0</v>
      </c>
      <c r="BG3209">
        <v>0</v>
      </c>
      <c r="BH3209">
        <v>1</v>
      </c>
      <c r="BI3209">
        <v>1</v>
      </c>
      <c r="BJ3209">
        <v>0.2</v>
      </c>
      <c r="BK3209">
        <v>1</v>
      </c>
      <c r="BL3209">
        <v>140.9</v>
      </c>
      <c r="BM3209">
        <v>21.14</v>
      </c>
      <c r="BN3209">
        <v>162.04</v>
      </c>
      <c r="BO3209">
        <v>162.04</v>
      </c>
      <c r="BQ3209" t="s">
        <v>3111</v>
      </c>
      <c r="BR3209" t="s">
        <v>2663</v>
      </c>
      <c r="BS3209" s="3">
        <v>45803</v>
      </c>
      <c r="BT3209" s="4">
        <v>0.46875</v>
      </c>
      <c r="BU3209" t="s">
        <v>3008</v>
      </c>
      <c r="BV3209" t="s">
        <v>86</v>
      </c>
      <c r="BY3209">
        <v>1200</v>
      </c>
      <c r="CA3209" t="s">
        <v>326</v>
      </c>
      <c r="CC3209" t="s">
        <v>2279</v>
      </c>
      <c r="CD3209">
        <v>4026</v>
      </c>
      <c r="CE3209" t="s">
        <v>88</v>
      </c>
      <c r="CF3209" s="3">
        <v>45804</v>
      </c>
      <c r="CI3209">
        <v>1</v>
      </c>
      <c r="CJ3209">
        <v>1</v>
      </c>
      <c r="CK3209">
        <v>41</v>
      </c>
      <c r="CL3209" t="s">
        <v>89</v>
      </c>
    </row>
    <row r="3210" spans="1:90" x14ac:dyDescent="0.3">
      <c r="A3210" t="s">
        <v>72</v>
      </c>
      <c r="B3210" t="s">
        <v>73</v>
      </c>
      <c r="C3210" t="s">
        <v>74</v>
      </c>
      <c r="E3210" t="str">
        <f>"080065531127"</f>
        <v>080065531127</v>
      </c>
      <c r="F3210" s="3">
        <v>45800</v>
      </c>
      <c r="G3210">
        <v>202602</v>
      </c>
      <c r="H3210" t="s">
        <v>75</v>
      </c>
      <c r="I3210" t="s">
        <v>76</v>
      </c>
      <c r="J3210" t="s">
        <v>77</v>
      </c>
      <c r="K3210" t="s">
        <v>78</v>
      </c>
      <c r="L3210" t="s">
        <v>360</v>
      </c>
      <c r="M3210" t="s">
        <v>361</v>
      </c>
      <c r="N3210" t="s">
        <v>362</v>
      </c>
      <c r="O3210" t="s">
        <v>82</v>
      </c>
      <c r="P3210" t="str">
        <f>"4170040356                    "</f>
        <v xml:space="preserve">4170040356                    </v>
      </c>
      <c r="Q3210">
        <v>0</v>
      </c>
      <c r="R3210">
        <v>0</v>
      </c>
      <c r="S3210">
        <v>0</v>
      </c>
      <c r="T3210">
        <v>0</v>
      </c>
      <c r="U3210">
        <v>0</v>
      </c>
      <c r="V3210">
        <v>0</v>
      </c>
      <c r="W3210">
        <v>0</v>
      </c>
      <c r="X3210">
        <v>0</v>
      </c>
      <c r="Y3210">
        <v>0</v>
      </c>
      <c r="Z3210">
        <v>0</v>
      </c>
      <c r="AA3210">
        <v>0</v>
      </c>
      <c r="AB3210">
        <v>0</v>
      </c>
      <c r="AC3210">
        <v>0</v>
      </c>
      <c r="AD3210">
        <v>0</v>
      </c>
      <c r="AE3210">
        <v>0</v>
      </c>
      <c r="AF3210">
        <v>0</v>
      </c>
      <c r="AG3210">
        <v>0</v>
      </c>
      <c r="AH3210">
        <v>0</v>
      </c>
      <c r="AI3210">
        <v>0</v>
      </c>
      <c r="AJ3210">
        <v>0</v>
      </c>
      <c r="AK3210">
        <v>0</v>
      </c>
      <c r="AL3210">
        <v>0</v>
      </c>
      <c r="AM3210">
        <v>0</v>
      </c>
      <c r="AN3210">
        <v>0</v>
      </c>
      <c r="AO3210">
        <v>0</v>
      </c>
      <c r="AP3210">
        <v>0</v>
      </c>
      <c r="AQ3210">
        <v>60.14</v>
      </c>
      <c r="AR3210">
        <v>0</v>
      </c>
      <c r="AS3210">
        <v>0</v>
      </c>
      <c r="AT3210">
        <v>0</v>
      </c>
      <c r="AU3210">
        <v>0</v>
      </c>
      <c r="AV3210">
        <v>0</v>
      </c>
      <c r="AW3210">
        <v>0</v>
      </c>
      <c r="AX3210">
        <v>0</v>
      </c>
      <c r="AY3210">
        <v>0</v>
      </c>
      <c r="AZ3210">
        <v>0</v>
      </c>
      <c r="BA3210">
        <v>0</v>
      </c>
      <c r="BB3210">
        <v>0</v>
      </c>
      <c r="BC3210">
        <v>0</v>
      </c>
      <c r="BD3210">
        <v>0</v>
      </c>
      <c r="BE3210">
        <v>0</v>
      </c>
      <c r="BF3210">
        <v>0</v>
      </c>
      <c r="BG3210">
        <v>0</v>
      </c>
      <c r="BH3210">
        <v>1</v>
      </c>
      <c r="BI3210">
        <v>3</v>
      </c>
      <c r="BJ3210">
        <v>1.9</v>
      </c>
      <c r="BK3210">
        <v>3</v>
      </c>
      <c r="BL3210">
        <v>196.82</v>
      </c>
      <c r="BM3210">
        <v>29.52</v>
      </c>
      <c r="BN3210">
        <v>226.34</v>
      </c>
      <c r="BO3210">
        <v>226.34</v>
      </c>
      <c r="BQ3210" t="s">
        <v>363</v>
      </c>
      <c r="BR3210" t="s">
        <v>84</v>
      </c>
      <c r="BS3210" s="3">
        <v>45803</v>
      </c>
      <c r="BT3210" s="4">
        <v>0.62916666666666665</v>
      </c>
      <c r="BU3210" t="s">
        <v>1246</v>
      </c>
      <c r="BV3210" t="s">
        <v>86</v>
      </c>
      <c r="BY3210">
        <v>9720</v>
      </c>
      <c r="CA3210" t="s">
        <v>365</v>
      </c>
      <c r="CC3210" t="s">
        <v>361</v>
      </c>
      <c r="CD3210">
        <v>7300</v>
      </c>
      <c r="CE3210" t="s">
        <v>176</v>
      </c>
      <c r="CF3210" s="3">
        <v>45804</v>
      </c>
      <c r="CI3210">
        <v>1</v>
      </c>
      <c r="CJ3210">
        <v>1</v>
      </c>
      <c r="CK3210">
        <v>23</v>
      </c>
      <c r="CL3210" t="s">
        <v>89</v>
      </c>
    </row>
    <row r="3211" spans="1:90" x14ac:dyDescent="0.3">
      <c r="A3211" t="s">
        <v>72</v>
      </c>
      <c r="B3211" t="s">
        <v>73</v>
      </c>
      <c r="C3211" t="s">
        <v>74</v>
      </c>
      <c r="E3211" t="str">
        <f>"080065531153"</f>
        <v>080065531153</v>
      </c>
      <c r="F3211" s="3">
        <v>45800</v>
      </c>
      <c r="G3211">
        <v>202602</v>
      </c>
      <c r="H3211" t="s">
        <v>75</v>
      </c>
      <c r="I3211" t="s">
        <v>76</v>
      </c>
      <c r="J3211" t="s">
        <v>77</v>
      </c>
      <c r="K3211" t="s">
        <v>78</v>
      </c>
      <c r="L3211" t="s">
        <v>90</v>
      </c>
      <c r="M3211" t="s">
        <v>91</v>
      </c>
      <c r="N3211" t="s">
        <v>385</v>
      </c>
      <c r="O3211" t="s">
        <v>82</v>
      </c>
      <c r="P3211" t="str">
        <f>"4170040324                    "</f>
        <v xml:space="preserve">4170040324                    </v>
      </c>
      <c r="Q3211">
        <v>0</v>
      </c>
      <c r="R3211">
        <v>0</v>
      </c>
      <c r="S3211">
        <v>0</v>
      </c>
      <c r="T3211">
        <v>0</v>
      </c>
      <c r="U3211">
        <v>0</v>
      </c>
      <c r="V3211">
        <v>0</v>
      </c>
      <c r="W3211">
        <v>0</v>
      </c>
      <c r="X3211">
        <v>0</v>
      </c>
      <c r="Y3211">
        <v>0</v>
      </c>
      <c r="Z3211">
        <v>0</v>
      </c>
      <c r="AA3211">
        <v>0</v>
      </c>
      <c r="AB3211">
        <v>0</v>
      </c>
      <c r="AC3211">
        <v>0</v>
      </c>
      <c r="AD3211">
        <v>0</v>
      </c>
      <c r="AE3211">
        <v>0</v>
      </c>
      <c r="AF3211">
        <v>0</v>
      </c>
      <c r="AG3211">
        <v>0</v>
      </c>
      <c r="AH3211">
        <v>0</v>
      </c>
      <c r="AI3211">
        <v>0</v>
      </c>
      <c r="AJ3211">
        <v>0</v>
      </c>
      <c r="AK3211">
        <v>0</v>
      </c>
      <c r="AL3211">
        <v>0</v>
      </c>
      <c r="AM3211">
        <v>0</v>
      </c>
      <c r="AN3211">
        <v>0</v>
      </c>
      <c r="AO3211">
        <v>0</v>
      </c>
      <c r="AP3211">
        <v>0</v>
      </c>
      <c r="AQ3211">
        <v>21.38</v>
      </c>
      <c r="AR3211">
        <v>0</v>
      </c>
      <c r="AS3211">
        <v>0</v>
      </c>
      <c r="AT3211">
        <v>0</v>
      </c>
      <c r="AU3211">
        <v>0</v>
      </c>
      <c r="AV3211">
        <v>0</v>
      </c>
      <c r="AW3211">
        <v>0</v>
      </c>
      <c r="AX3211">
        <v>0</v>
      </c>
      <c r="AY3211">
        <v>0</v>
      </c>
      <c r="AZ3211">
        <v>0</v>
      </c>
      <c r="BA3211">
        <v>0</v>
      </c>
      <c r="BB3211">
        <v>0</v>
      </c>
      <c r="BC3211">
        <v>0</v>
      </c>
      <c r="BD3211">
        <v>0</v>
      </c>
      <c r="BE3211">
        <v>0</v>
      </c>
      <c r="BF3211">
        <v>0</v>
      </c>
      <c r="BG3211">
        <v>0</v>
      </c>
      <c r="BH3211">
        <v>1</v>
      </c>
      <c r="BI3211">
        <v>2</v>
      </c>
      <c r="BJ3211">
        <v>0.9</v>
      </c>
      <c r="BK3211">
        <v>2</v>
      </c>
      <c r="BL3211">
        <v>69.98</v>
      </c>
      <c r="BM3211">
        <v>10.5</v>
      </c>
      <c r="BN3211">
        <v>80.48</v>
      </c>
      <c r="BO3211">
        <v>80.48</v>
      </c>
      <c r="BQ3211" t="s">
        <v>386</v>
      </c>
      <c r="BR3211" t="s">
        <v>84</v>
      </c>
      <c r="BS3211" s="3">
        <v>45803</v>
      </c>
      <c r="BT3211" s="4">
        <v>0.43333333333333335</v>
      </c>
      <c r="BU3211" t="s">
        <v>387</v>
      </c>
      <c r="BV3211" t="s">
        <v>86</v>
      </c>
      <c r="BY3211">
        <v>4275</v>
      </c>
      <c r="CA3211" t="s">
        <v>95</v>
      </c>
      <c r="CC3211" t="s">
        <v>91</v>
      </c>
      <c r="CD3211">
        <v>6056</v>
      </c>
      <c r="CE3211" t="s">
        <v>176</v>
      </c>
      <c r="CF3211" s="3">
        <v>45803</v>
      </c>
      <c r="CI3211">
        <v>1</v>
      </c>
      <c r="CJ3211">
        <v>1</v>
      </c>
      <c r="CK3211">
        <v>21</v>
      </c>
      <c r="CL3211" t="s">
        <v>89</v>
      </c>
    </row>
    <row r="3212" spans="1:90" x14ac:dyDescent="0.3">
      <c r="A3212" t="s">
        <v>72</v>
      </c>
      <c r="B3212" t="s">
        <v>73</v>
      </c>
      <c r="C3212" t="s">
        <v>74</v>
      </c>
      <c r="E3212" t="str">
        <f>"080065440089"</f>
        <v>080065440089</v>
      </c>
      <c r="F3212" s="3">
        <v>45796</v>
      </c>
      <c r="G3212">
        <v>202602</v>
      </c>
      <c r="H3212" t="s">
        <v>75</v>
      </c>
      <c r="I3212" t="s">
        <v>76</v>
      </c>
      <c r="J3212" t="s">
        <v>77</v>
      </c>
      <c r="K3212" t="s">
        <v>78</v>
      </c>
      <c r="L3212" t="s">
        <v>151</v>
      </c>
      <c r="M3212" t="s">
        <v>152</v>
      </c>
      <c r="N3212" t="s">
        <v>124</v>
      </c>
      <c r="O3212" t="s">
        <v>300</v>
      </c>
      <c r="P3212" t="str">
        <f>"4170039128                    "</f>
        <v xml:space="preserve">4170039128                    </v>
      </c>
      <c r="Q3212">
        <v>0</v>
      </c>
      <c r="R3212">
        <v>0</v>
      </c>
      <c r="S3212">
        <v>0</v>
      </c>
      <c r="T3212">
        <v>0</v>
      </c>
      <c r="U3212">
        <v>0</v>
      </c>
      <c r="V3212">
        <v>0</v>
      </c>
      <c r="W3212">
        <v>0</v>
      </c>
      <c r="X3212">
        <v>0</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58.32</v>
      </c>
      <c r="AR3212">
        <v>0</v>
      </c>
      <c r="AS3212">
        <v>0</v>
      </c>
      <c r="AT3212">
        <v>0</v>
      </c>
      <c r="AU3212">
        <v>0</v>
      </c>
      <c r="AV3212">
        <v>0</v>
      </c>
      <c r="AW3212">
        <v>0</v>
      </c>
      <c r="AX3212">
        <v>0</v>
      </c>
      <c r="AY3212">
        <v>0</v>
      </c>
      <c r="AZ3212">
        <v>0</v>
      </c>
      <c r="BA3212">
        <v>0</v>
      </c>
      <c r="BB3212">
        <v>0</v>
      </c>
      <c r="BC3212">
        <v>0</v>
      </c>
      <c r="BD3212">
        <v>0</v>
      </c>
      <c r="BE3212">
        <v>0</v>
      </c>
      <c r="BF3212">
        <v>0</v>
      </c>
      <c r="BG3212">
        <v>0</v>
      </c>
      <c r="BH3212">
        <v>2</v>
      </c>
      <c r="BI3212">
        <v>9</v>
      </c>
      <c r="BJ3212">
        <v>3.2</v>
      </c>
      <c r="BK3212">
        <v>9</v>
      </c>
      <c r="BL3212">
        <v>196.44</v>
      </c>
      <c r="BM3212">
        <v>29.47</v>
      </c>
      <c r="BN3212">
        <v>225.91</v>
      </c>
      <c r="BO3212">
        <v>225.91</v>
      </c>
      <c r="BQ3212" t="s">
        <v>125</v>
      </c>
      <c r="BR3212" t="s">
        <v>84</v>
      </c>
      <c r="BS3212" s="3">
        <v>45797</v>
      </c>
      <c r="BT3212" s="4">
        <v>0.40694444444444444</v>
      </c>
      <c r="BU3212" t="s">
        <v>3112</v>
      </c>
      <c r="BV3212" t="s">
        <v>86</v>
      </c>
      <c r="BY3212">
        <v>16048</v>
      </c>
      <c r="BZ3212" t="s">
        <v>1795</v>
      </c>
      <c r="CA3212" t="s">
        <v>156</v>
      </c>
      <c r="CC3212" t="s">
        <v>152</v>
      </c>
      <c r="CD3212">
        <v>1900</v>
      </c>
      <c r="CE3212" t="s">
        <v>129</v>
      </c>
      <c r="CF3212" s="3">
        <v>45797</v>
      </c>
      <c r="CI3212">
        <v>1</v>
      </c>
      <c r="CJ3212">
        <v>1</v>
      </c>
      <c r="CK3212">
        <v>43</v>
      </c>
      <c r="CL3212" t="s">
        <v>89</v>
      </c>
    </row>
    <row r="3213" spans="1:90" x14ac:dyDescent="0.3">
      <c r="A3213" t="s">
        <v>72</v>
      </c>
      <c r="B3213" t="s">
        <v>73</v>
      </c>
      <c r="C3213" t="s">
        <v>74</v>
      </c>
      <c r="E3213" t="str">
        <f>"080065441025"</f>
        <v>080065441025</v>
      </c>
      <c r="F3213" s="3">
        <v>45796</v>
      </c>
      <c r="G3213">
        <v>202602</v>
      </c>
      <c r="H3213" t="s">
        <v>75</v>
      </c>
      <c r="I3213" t="s">
        <v>76</v>
      </c>
      <c r="J3213" t="s">
        <v>77</v>
      </c>
      <c r="K3213" t="s">
        <v>78</v>
      </c>
      <c r="L3213" t="s">
        <v>902</v>
      </c>
      <c r="M3213" t="s">
        <v>903</v>
      </c>
      <c r="N3213" t="s">
        <v>904</v>
      </c>
      <c r="O3213" t="s">
        <v>300</v>
      </c>
      <c r="P3213" t="str">
        <f>"4170039175                    "</f>
        <v xml:space="preserve">4170039175                    </v>
      </c>
      <c r="Q3213">
        <v>0</v>
      </c>
      <c r="R3213">
        <v>0</v>
      </c>
      <c r="S3213">
        <v>0</v>
      </c>
      <c r="T3213">
        <v>0</v>
      </c>
      <c r="U3213">
        <v>0</v>
      </c>
      <c r="V3213">
        <v>0</v>
      </c>
      <c r="W3213">
        <v>0</v>
      </c>
      <c r="X3213">
        <v>0</v>
      </c>
      <c r="Y3213">
        <v>0</v>
      </c>
      <c r="Z3213">
        <v>0</v>
      </c>
      <c r="AA3213">
        <v>0</v>
      </c>
      <c r="AB3213">
        <v>0</v>
      </c>
      <c r="AC3213">
        <v>0</v>
      </c>
      <c r="AD3213">
        <v>0</v>
      </c>
      <c r="AE3213">
        <v>0</v>
      </c>
      <c r="AF3213">
        <v>0</v>
      </c>
      <c r="AG3213">
        <v>0</v>
      </c>
      <c r="AH3213">
        <v>0</v>
      </c>
      <c r="AI3213">
        <v>0</v>
      </c>
      <c r="AJ3213">
        <v>0</v>
      </c>
      <c r="AK3213">
        <v>0</v>
      </c>
      <c r="AL3213">
        <v>0</v>
      </c>
      <c r="AM3213">
        <v>0</v>
      </c>
      <c r="AN3213">
        <v>0</v>
      </c>
      <c r="AO3213">
        <v>0</v>
      </c>
      <c r="AP3213">
        <v>0</v>
      </c>
      <c r="AQ3213">
        <v>58.32</v>
      </c>
      <c r="AR3213">
        <v>0</v>
      </c>
      <c r="AS3213">
        <v>0</v>
      </c>
      <c r="AT3213">
        <v>0</v>
      </c>
      <c r="AU3213">
        <v>0</v>
      </c>
      <c r="AV3213">
        <v>0</v>
      </c>
      <c r="AW3213">
        <v>0</v>
      </c>
      <c r="AX3213">
        <v>0</v>
      </c>
      <c r="AY3213">
        <v>0</v>
      </c>
      <c r="AZ3213">
        <v>0</v>
      </c>
      <c r="BA3213">
        <v>0</v>
      </c>
      <c r="BB3213">
        <v>0</v>
      </c>
      <c r="BC3213">
        <v>0</v>
      </c>
      <c r="BD3213">
        <v>0</v>
      </c>
      <c r="BE3213">
        <v>0</v>
      </c>
      <c r="BF3213">
        <v>0</v>
      </c>
      <c r="BG3213">
        <v>0</v>
      </c>
      <c r="BH3213">
        <v>1</v>
      </c>
      <c r="BI3213">
        <v>2</v>
      </c>
      <c r="BJ3213">
        <v>3.7</v>
      </c>
      <c r="BK3213">
        <v>4</v>
      </c>
      <c r="BL3213">
        <v>196.44</v>
      </c>
      <c r="BM3213">
        <v>29.47</v>
      </c>
      <c r="BN3213">
        <v>225.91</v>
      </c>
      <c r="BO3213">
        <v>225.91</v>
      </c>
      <c r="BQ3213" t="s">
        <v>905</v>
      </c>
      <c r="BR3213" t="s">
        <v>84</v>
      </c>
      <c r="BS3213" s="3">
        <v>45797</v>
      </c>
      <c r="BT3213" s="4">
        <v>0.50416666666666665</v>
      </c>
      <c r="BU3213" t="s">
        <v>906</v>
      </c>
      <c r="BV3213" t="s">
        <v>86</v>
      </c>
      <c r="BY3213">
        <v>18480</v>
      </c>
      <c r="BZ3213" t="s">
        <v>1795</v>
      </c>
      <c r="CA3213" t="s">
        <v>1306</v>
      </c>
      <c r="CC3213" t="s">
        <v>903</v>
      </c>
      <c r="CD3213">
        <v>1028</v>
      </c>
      <c r="CE3213" t="s">
        <v>221</v>
      </c>
      <c r="CF3213" s="3">
        <v>45797</v>
      </c>
      <c r="CI3213">
        <v>1</v>
      </c>
      <c r="CJ3213">
        <v>1</v>
      </c>
      <c r="CK3213">
        <v>43</v>
      </c>
      <c r="CL3213" t="s">
        <v>89</v>
      </c>
    </row>
    <row r="3214" spans="1:90" x14ac:dyDescent="0.3">
      <c r="A3214" t="s">
        <v>72</v>
      </c>
      <c r="B3214" t="s">
        <v>73</v>
      </c>
      <c r="C3214" t="s">
        <v>74</v>
      </c>
      <c r="E3214" t="str">
        <f>"080065443075"</f>
        <v>080065443075</v>
      </c>
      <c r="F3214" s="3">
        <v>45796</v>
      </c>
      <c r="G3214">
        <v>202602</v>
      </c>
      <c r="H3214" t="s">
        <v>75</v>
      </c>
      <c r="I3214" t="s">
        <v>76</v>
      </c>
      <c r="J3214" t="s">
        <v>77</v>
      </c>
      <c r="K3214" t="s">
        <v>78</v>
      </c>
      <c r="L3214" t="s">
        <v>902</v>
      </c>
      <c r="M3214" t="s">
        <v>903</v>
      </c>
      <c r="N3214" t="s">
        <v>904</v>
      </c>
      <c r="O3214" t="s">
        <v>300</v>
      </c>
      <c r="P3214" t="str">
        <f>"4170039229                    "</f>
        <v xml:space="preserve">4170039229                    </v>
      </c>
      <c r="Q3214">
        <v>0</v>
      </c>
      <c r="R3214">
        <v>0</v>
      </c>
      <c r="S3214">
        <v>0</v>
      </c>
      <c r="T3214">
        <v>0</v>
      </c>
      <c r="U3214">
        <v>0</v>
      </c>
      <c r="V3214">
        <v>0</v>
      </c>
      <c r="W3214">
        <v>0</v>
      </c>
      <c r="X3214">
        <v>0</v>
      </c>
      <c r="Y3214">
        <v>0</v>
      </c>
      <c r="Z3214">
        <v>0</v>
      </c>
      <c r="AA3214">
        <v>0</v>
      </c>
      <c r="AB3214">
        <v>0</v>
      </c>
      <c r="AC3214">
        <v>0</v>
      </c>
      <c r="AD3214">
        <v>0</v>
      </c>
      <c r="AE3214">
        <v>0</v>
      </c>
      <c r="AF3214">
        <v>0</v>
      </c>
      <c r="AG3214">
        <v>0</v>
      </c>
      <c r="AH3214">
        <v>0</v>
      </c>
      <c r="AI3214">
        <v>0</v>
      </c>
      <c r="AJ3214">
        <v>0</v>
      </c>
      <c r="AK3214">
        <v>0</v>
      </c>
      <c r="AL3214">
        <v>0</v>
      </c>
      <c r="AM3214">
        <v>0</v>
      </c>
      <c r="AN3214">
        <v>0</v>
      </c>
      <c r="AO3214">
        <v>0</v>
      </c>
      <c r="AP3214">
        <v>0</v>
      </c>
      <c r="AQ3214">
        <v>58.32</v>
      </c>
      <c r="AR3214">
        <v>0</v>
      </c>
      <c r="AS3214">
        <v>0</v>
      </c>
      <c r="AT3214">
        <v>0</v>
      </c>
      <c r="AU3214">
        <v>0</v>
      </c>
      <c r="AV3214">
        <v>0</v>
      </c>
      <c r="AW3214">
        <v>0</v>
      </c>
      <c r="AX3214">
        <v>0</v>
      </c>
      <c r="AY3214">
        <v>0</v>
      </c>
      <c r="AZ3214">
        <v>0</v>
      </c>
      <c r="BA3214">
        <v>0</v>
      </c>
      <c r="BB3214">
        <v>0</v>
      </c>
      <c r="BC3214">
        <v>0</v>
      </c>
      <c r="BD3214">
        <v>0</v>
      </c>
      <c r="BE3214">
        <v>0</v>
      </c>
      <c r="BF3214">
        <v>0</v>
      </c>
      <c r="BG3214">
        <v>0</v>
      </c>
      <c r="BH3214">
        <v>1</v>
      </c>
      <c r="BI3214">
        <v>2</v>
      </c>
      <c r="BJ3214">
        <v>4.5</v>
      </c>
      <c r="BK3214">
        <v>5</v>
      </c>
      <c r="BL3214">
        <v>196.44</v>
      </c>
      <c r="BM3214">
        <v>29.47</v>
      </c>
      <c r="BN3214">
        <v>225.91</v>
      </c>
      <c r="BO3214">
        <v>225.91</v>
      </c>
      <c r="BQ3214" t="s">
        <v>905</v>
      </c>
      <c r="BR3214" t="s">
        <v>84</v>
      </c>
      <c r="BS3214" s="3">
        <v>45797</v>
      </c>
      <c r="BT3214" s="4">
        <v>0.50555555555555554</v>
      </c>
      <c r="BU3214" t="s">
        <v>906</v>
      </c>
      <c r="BV3214" t="s">
        <v>86</v>
      </c>
      <c r="BY3214">
        <v>22344</v>
      </c>
      <c r="BZ3214" t="s">
        <v>1795</v>
      </c>
      <c r="CA3214" t="s">
        <v>1306</v>
      </c>
      <c r="CC3214" t="s">
        <v>903</v>
      </c>
      <c r="CD3214">
        <v>1028</v>
      </c>
      <c r="CE3214" t="s">
        <v>221</v>
      </c>
      <c r="CF3214" s="3">
        <v>45797</v>
      </c>
      <c r="CI3214">
        <v>1</v>
      </c>
      <c r="CJ3214">
        <v>1</v>
      </c>
      <c r="CK3214">
        <v>43</v>
      </c>
      <c r="CL3214" t="s">
        <v>89</v>
      </c>
    </row>
    <row r="3215" spans="1:90" x14ac:dyDescent="0.3">
      <c r="A3215" t="s">
        <v>72</v>
      </c>
      <c r="B3215" t="s">
        <v>73</v>
      </c>
      <c r="C3215" t="s">
        <v>74</v>
      </c>
      <c r="E3215" t="str">
        <f>"080065443722"</f>
        <v>080065443722</v>
      </c>
      <c r="F3215" s="3">
        <v>45796</v>
      </c>
      <c r="G3215">
        <v>202602</v>
      </c>
      <c r="H3215" t="s">
        <v>75</v>
      </c>
      <c r="I3215" t="s">
        <v>76</v>
      </c>
      <c r="J3215" t="s">
        <v>77</v>
      </c>
      <c r="K3215" t="s">
        <v>78</v>
      </c>
      <c r="L3215" t="s">
        <v>567</v>
      </c>
      <c r="M3215" t="s">
        <v>568</v>
      </c>
      <c r="N3215" t="s">
        <v>3113</v>
      </c>
      <c r="O3215" t="s">
        <v>300</v>
      </c>
      <c r="P3215" t="str">
        <f>"4170039140                    "</f>
        <v xml:space="preserve">4170039140                    </v>
      </c>
      <c r="Q3215">
        <v>0</v>
      </c>
      <c r="R3215">
        <v>0</v>
      </c>
      <c r="S3215">
        <v>0</v>
      </c>
      <c r="T3215">
        <v>0</v>
      </c>
      <c r="U3215">
        <v>0</v>
      </c>
      <c r="V3215">
        <v>0</v>
      </c>
      <c r="W3215">
        <v>0</v>
      </c>
      <c r="X3215">
        <v>0</v>
      </c>
      <c r="Y3215">
        <v>0</v>
      </c>
      <c r="Z3215">
        <v>0</v>
      </c>
      <c r="AA3215">
        <v>0</v>
      </c>
      <c r="AB3215">
        <v>0</v>
      </c>
      <c r="AC3215">
        <v>0</v>
      </c>
      <c r="AD3215">
        <v>0</v>
      </c>
      <c r="AE3215">
        <v>0</v>
      </c>
      <c r="AF3215">
        <v>0</v>
      </c>
      <c r="AG3215">
        <v>0</v>
      </c>
      <c r="AH3215">
        <v>0</v>
      </c>
      <c r="AI3215">
        <v>0</v>
      </c>
      <c r="AJ3215">
        <v>0</v>
      </c>
      <c r="AK3215">
        <v>0</v>
      </c>
      <c r="AL3215">
        <v>0</v>
      </c>
      <c r="AM3215">
        <v>0</v>
      </c>
      <c r="AN3215">
        <v>0</v>
      </c>
      <c r="AO3215">
        <v>0</v>
      </c>
      <c r="AP3215">
        <v>0</v>
      </c>
      <c r="AQ3215">
        <v>58.32</v>
      </c>
      <c r="AR3215">
        <v>0</v>
      </c>
      <c r="AS3215">
        <v>0</v>
      </c>
      <c r="AT3215">
        <v>0</v>
      </c>
      <c r="AU3215">
        <v>0</v>
      </c>
      <c r="AV3215">
        <v>0</v>
      </c>
      <c r="AW3215">
        <v>16.739999999999998</v>
      </c>
      <c r="AX3215">
        <v>0</v>
      </c>
      <c r="AY3215">
        <v>0</v>
      </c>
      <c r="AZ3215">
        <v>0</v>
      </c>
      <c r="BA3215">
        <v>0</v>
      </c>
      <c r="BB3215">
        <v>0</v>
      </c>
      <c r="BC3215">
        <v>0</v>
      </c>
      <c r="BD3215">
        <v>0</v>
      </c>
      <c r="BE3215">
        <v>0</v>
      </c>
      <c r="BF3215">
        <v>0</v>
      </c>
      <c r="BG3215">
        <v>0</v>
      </c>
      <c r="BH3215">
        <v>2</v>
      </c>
      <c r="BI3215">
        <v>14</v>
      </c>
      <c r="BJ3215">
        <v>5.2</v>
      </c>
      <c r="BK3215">
        <v>14</v>
      </c>
      <c r="BL3215">
        <v>213.18</v>
      </c>
      <c r="BM3215">
        <v>31.98</v>
      </c>
      <c r="BN3215">
        <v>245.16</v>
      </c>
      <c r="BO3215">
        <v>245.16</v>
      </c>
      <c r="BQ3215" t="s">
        <v>3114</v>
      </c>
      <c r="BR3215" t="s">
        <v>84</v>
      </c>
      <c r="BS3215" s="3">
        <v>45805</v>
      </c>
      <c r="BT3215" s="4">
        <v>0.5</v>
      </c>
      <c r="BU3215" t="s">
        <v>3115</v>
      </c>
      <c r="BV3215" t="s">
        <v>89</v>
      </c>
      <c r="BW3215" t="s">
        <v>148</v>
      </c>
      <c r="BX3215" t="s">
        <v>1290</v>
      </c>
      <c r="BY3215">
        <v>25984</v>
      </c>
      <c r="BZ3215" t="s">
        <v>3116</v>
      </c>
      <c r="CC3215" t="s">
        <v>568</v>
      </c>
      <c r="CD3215" s="5" t="s">
        <v>3117</v>
      </c>
      <c r="CE3215" t="s">
        <v>408</v>
      </c>
      <c r="CF3215" s="3">
        <v>45806</v>
      </c>
      <c r="CI3215">
        <v>1</v>
      </c>
      <c r="CJ3215">
        <v>7</v>
      </c>
      <c r="CK3215">
        <v>43</v>
      </c>
      <c r="CL3215" t="s">
        <v>89</v>
      </c>
    </row>
    <row r="3216" spans="1:90" x14ac:dyDescent="0.3">
      <c r="A3216" t="s">
        <v>72</v>
      </c>
      <c r="B3216" t="s">
        <v>73</v>
      </c>
      <c r="C3216" t="s">
        <v>74</v>
      </c>
      <c r="E3216" t="str">
        <f>"080065443870"</f>
        <v>080065443870</v>
      </c>
      <c r="F3216" s="3">
        <v>45796</v>
      </c>
      <c r="G3216">
        <v>202602</v>
      </c>
      <c r="H3216" t="s">
        <v>75</v>
      </c>
      <c r="I3216" t="s">
        <v>76</v>
      </c>
      <c r="J3216" t="s">
        <v>77</v>
      </c>
      <c r="K3216" t="s">
        <v>78</v>
      </c>
      <c r="L3216" t="s">
        <v>624</v>
      </c>
      <c r="M3216" t="s">
        <v>625</v>
      </c>
      <c r="N3216" t="s">
        <v>626</v>
      </c>
      <c r="O3216" t="s">
        <v>300</v>
      </c>
      <c r="P3216" t="str">
        <f>"4170039243                    "</f>
        <v xml:space="preserve">4170039243                    </v>
      </c>
      <c r="Q3216">
        <v>0</v>
      </c>
      <c r="R3216">
        <v>0</v>
      </c>
      <c r="S3216">
        <v>0</v>
      </c>
      <c r="T3216">
        <v>0</v>
      </c>
      <c r="U3216">
        <v>0</v>
      </c>
      <c r="V3216">
        <v>0</v>
      </c>
      <c r="W3216">
        <v>0</v>
      </c>
      <c r="X3216">
        <v>0</v>
      </c>
      <c r="Y3216">
        <v>0</v>
      </c>
      <c r="Z3216">
        <v>0</v>
      </c>
      <c r="AA3216">
        <v>0</v>
      </c>
      <c r="AB3216">
        <v>0</v>
      </c>
      <c r="AC3216">
        <v>0</v>
      </c>
      <c r="AD3216">
        <v>0</v>
      </c>
      <c r="AE3216">
        <v>0</v>
      </c>
      <c r="AF3216">
        <v>0</v>
      </c>
      <c r="AG3216">
        <v>0</v>
      </c>
      <c r="AH3216">
        <v>0</v>
      </c>
      <c r="AI3216">
        <v>0</v>
      </c>
      <c r="AJ3216">
        <v>0</v>
      </c>
      <c r="AK3216">
        <v>0</v>
      </c>
      <c r="AL3216">
        <v>0</v>
      </c>
      <c r="AM3216">
        <v>0</v>
      </c>
      <c r="AN3216">
        <v>0</v>
      </c>
      <c r="AO3216">
        <v>0</v>
      </c>
      <c r="AP3216">
        <v>0</v>
      </c>
      <c r="AQ3216">
        <v>58.32</v>
      </c>
      <c r="AR3216">
        <v>0</v>
      </c>
      <c r="AS3216">
        <v>0</v>
      </c>
      <c r="AT3216">
        <v>0</v>
      </c>
      <c r="AU3216">
        <v>0</v>
      </c>
      <c r="AV3216">
        <v>0</v>
      </c>
      <c r="AW3216">
        <v>0</v>
      </c>
      <c r="AX3216">
        <v>0</v>
      </c>
      <c r="AY3216">
        <v>0</v>
      </c>
      <c r="AZ3216">
        <v>0</v>
      </c>
      <c r="BA3216">
        <v>0</v>
      </c>
      <c r="BB3216">
        <v>0</v>
      </c>
      <c r="BC3216">
        <v>0</v>
      </c>
      <c r="BD3216">
        <v>0</v>
      </c>
      <c r="BE3216">
        <v>0</v>
      </c>
      <c r="BF3216">
        <v>0</v>
      </c>
      <c r="BG3216">
        <v>0</v>
      </c>
      <c r="BH3216">
        <v>1</v>
      </c>
      <c r="BI3216">
        <v>2</v>
      </c>
      <c r="BJ3216">
        <v>3.2</v>
      </c>
      <c r="BK3216">
        <v>4</v>
      </c>
      <c r="BL3216">
        <v>196.44</v>
      </c>
      <c r="BM3216">
        <v>29.47</v>
      </c>
      <c r="BN3216">
        <v>225.91</v>
      </c>
      <c r="BO3216">
        <v>225.91</v>
      </c>
      <c r="BQ3216" t="s">
        <v>627</v>
      </c>
      <c r="BR3216" t="s">
        <v>84</v>
      </c>
      <c r="BS3216" s="3">
        <v>45797</v>
      </c>
      <c r="BT3216" s="4">
        <v>0.35069444444444442</v>
      </c>
      <c r="BU3216" t="s">
        <v>628</v>
      </c>
      <c r="BV3216" t="s">
        <v>86</v>
      </c>
      <c r="BY3216">
        <v>16184</v>
      </c>
      <c r="BZ3216" t="s">
        <v>1795</v>
      </c>
      <c r="CA3216" t="s">
        <v>629</v>
      </c>
      <c r="CC3216" t="s">
        <v>625</v>
      </c>
      <c r="CD3216">
        <v>1947</v>
      </c>
      <c r="CE3216" t="s">
        <v>221</v>
      </c>
      <c r="CF3216" s="3">
        <v>45797</v>
      </c>
      <c r="CI3216">
        <v>1</v>
      </c>
      <c r="CJ3216">
        <v>1</v>
      </c>
      <c r="CK3216">
        <v>43</v>
      </c>
      <c r="CL3216" t="s">
        <v>89</v>
      </c>
    </row>
    <row r="3217" spans="1:90" x14ac:dyDescent="0.3">
      <c r="A3217" t="s">
        <v>72</v>
      </c>
      <c r="B3217" t="s">
        <v>73</v>
      </c>
      <c r="C3217" t="s">
        <v>74</v>
      </c>
      <c r="E3217" t="str">
        <f>"080065487989"</f>
        <v>080065487989</v>
      </c>
      <c r="F3217" s="3">
        <v>45798</v>
      </c>
      <c r="G3217">
        <v>202602</v>
      </c>
      <c r="H3217" t="s">
        <v>75</v>
      </c>
      <c r="I3217" t="s">
        <v>76</v>
      </c>
      <c r="J3217" t="s">
        <v>77</v>
      </c>
      <c r="K3217" t="s">
        <v>78</v>
      </c>
      <c r="L3217" t="s">
        <v>624</v>
      </c>
      <c r="M3217" t="s">
        <v>625</v>
      </c>
      <c r="N3217" t="s">
        <v>626</v>
      </c>
      <c r="O3217" t="s">
        <v>300</v>
      </c>
      <c r="P3217" t="str">
        <f>"4170039885                    "</f>
        <v xml:space="preserve">4170039885                    </v>
      </c>
      <c r="Q3217">
        <v>0</v>
      </c>
      <c r="R3217">
        <v>0</v>
      </c>
      <c r="S3217">
        <v>0</v>
      </c>
      <c r="T3217">
        <v>0</v>
      </c>
      <c r="U3217">
        <v>0</v>
      </c>
      <c r="V3217">
        <v>0</v>
      </c>
      <c r="W3217">
        <v>0</v>
      </c>
      <c r="X3217">
        <v>0</v>
      </c>
      <c r="Y3217">
        <v>0</v>
      </c>
      <c r="Z3217">
        <v>0</v>
      </c>
      <c r="AA3217">
        <v>0</v>
      </c>
      <c r="AB3217">
        <v>0</v>
      </c>
      <c r="AC3217">
        <v>0</v>
      </c>
      <c r="AD3217">
        <v>0</v>
      </c>
      <c r="AE3217">
        <v>0</v>
      </c>
      <c r="AF3217">
        <v>0</v>
      </c>
      <c r="AG3217">
        <v>0</v>
      </c>
      <c r="AH3217">
        <v>0</v>
      </c>
      <c r="AI3217">
        <v>0</v>
      </c>
      <c r="AJ3217">
        <v>0</v>
      </c>
      <c r="AK3217">
        <v>0</v>
      </c>
      <c r="AL3217">
        <v>0</v>
      </c>
      <c r="AM3217">
        <v>0</v>
      </c>
      <c r="AN3217">
        <v>0</v>
      </c>
      <c r="AO3217">
        <v>0</v>
      </c>
      <c r="AP3217">
        <v>0</v>
      </c>
      <c r="AQ3217">
        <v>58.32</v>
      </c>
      <c r="AR3217">
        <v>0</v>
      </c>
      <c r="AS3217">
        <v>0</v>
      </c>
      <c r="AT3217">
        <v>0</v>
      </c>
      <c r="AU3217">
        <v>0</v>
      </c>
      <c r="AV3217">
        <v>0</v>
      </c>
      <c r="AW3217">
        <v>0</v>
      </c>
      <c r="AX3217">
        <v>0</v>
      </c>
      <c r="AY3217">
        <v>0</v>
      </c>
      <c r="AZ3217">
        <v>0</v>
      </c>
      <c r="BA3217">
        <v>0</v>
      </c>
      <c r="BB3217">
        <v>0</v>
      </c>
      <c r="BC3217">
        <v>0</v>
      </c>
      <c r="BD3217">
        <v>0</v>
      </c>
      <c r="BE3217">
        <v>0</v>
      </c>
      <c r="BF3217">
        <v>0</v>
      </c>
      <c r="BG3217">
        <v>0</v>
      </c>
      <c r="BH3217">
        <v>1</v>
      </c>
      <c r="BI3217">
        <v>2</v>
      </c>
      <c r="BJ3217">
        <v>3.4</v>
      </c>
      <c r="BK3217">
        <v>4</v>
      </c>
      <c r="BL3217">
        <v>196.44</v>
      </c>
      <c r="BM3217">
        <v>29.47</v>
      </c>
      <c r="BN3217">
        <v>225.91</v>
      </c>
      <c r="BO3217">
        <v>225.91</v>
      </c>
      <c r="BQ3217" t="s">
        <v>627</v>
      </c>
      <c r="BR3217" t="s">
        <v>84</v>
      </c>
      <c r="BS3217" s="3">
        <v>45799</v>
      </c>
      <c r="BT3217" s="4">
        <v>0.35416666666666669</v>
      </c>
      <c r="BU3217" t="s">
        <v>1674</v>
      </c>
      <c r="BV3217" t="s">
        <v>86</v>
      </c>
      <c r="BY3217">
        <v>17136</v>
      </c>
      <c r="BZ3217" t="s">
        <v>1795</v>
      </c>
      <c r="CC3217" t="s">
        <v>625</v>
      </c>
      <c r="CD3217">
        <v>1947</v>
      </c>
      <c r="CE3217" t="s">
        <v>221</v>
      </c>
      <c r="CF3217" s="3">
        <v>45799</v>
      </c>
      <c r="CI3217">
        <v>1</v>
      </c>
      <c r="CJ3217">
        <v>1</v>
      </c>
      <c r="CK3217">
        <v>43</v>
      </c>
      <c r="CL3217" t="s">
        <v>89</v>
      </c>
    </row>
    <row r="3218" spans="1:90" x14ac:dyDescent="0.3">
      <c r="A3218" t="s">
        <v>72</v>
      </c>
      <c r="B3218" t="s">
        <v>73</v>
      </c>
      <c r="C3218" t="s">
        <v>74</v>
      </c>
      <c r="E3218" t="str">
        <f>"080065488972"</f>
        <v>080065488972</v>
      </c>
      <c r="F3218" s="3">
        <v>45798</v>
      </c>
      <c r="G3218">
        <v>202602</v>
      </c>
      <c r="H3218" t="s">
        <v>75</v>
      </c>
      <c r="I3218" t="s">
        <v>76</v>
      </c>
      <c r="J3218" t="s">
        <v>77</v>
      </c>
      <c r="K3218" t="s">
        <v>78</v>
      </c>
      <c r="L3218" t="s">
        <v>624</v>
      </c>
      <c r="M3218" t="s">
        <v>625</v>
      </c>
      <c r="N3218" t="s">
        <v>626</v>
      </c>
      <c r="O3218" t="s">
        <v>300</v>
      </c>
      <c r="P3218" t="str">
        <f>"4170039683                    "</f>
        <v xml:space="preserve">4170039683                    </v>
      </c>
      <c r="Q3218">
        <v>0</v>
      </c>
      <c r="R3218">
        <v>0</v>
      </c>
      <c r="S3218">
        <v>0</v>
      </c>
      <c r="T3218">
        <v>0</v>
      </c>
      <c r="U3218">
        <v>0</v>
      </c>
      <c r="V3218">
        <v>0</v>
      </c>
      <c r="W3218">
        <v>0</v>
      </c>
      <c r="X3218">
        <v>0</v>
      </c>
      <c r="Y3218">
        <v>0</v>
      </c>
      <c r="Z3218">
        <v>0</v>
      </c>
      <c r="AA3218">
        <v>0</v>
      </c>
      <c r="AB3218">
        <v>0</v>
      </c>
      <c r="AC3218">
        <v>0</v>
      </c>
      <c r="AD3218">
        <v>0</v>
      </c>
      <c r="AE3218">
        <v>0</v>
      </c>
      <c r="AF3218">
        <v>0</v>
      </c>
      <c r="AG3218">
        <v>0</v>
      </c>
      <c r="AH3218">
        <v>0</v>
      </c>
      <c r="AI3218">
        <v>0</v>
      </c>
      <c r="AJ3218">
        <v>0</v>
      </c>
      <c r="AK3218">
        <v>0</v>
      </c>
      <c r="AL3218">
        <v>0</v>
      </c>
      <c r="AM3218">
        <v>0</v>
      </c>
      <c r="AN3218">
        <v>0</v>
      </c>
      <c r="AO3218">
        <v>0</v>
      </c>
      <c r="AP3218">
        <v>0</v>
      </c>
      <c r="AQ3218">
        <v>58.32</v>
      </c>
      <c r="AR3218">
        <v>0</v>
      </c>
      <c r="AS3218">
        <v>0</v>
      </c>
      <c r="AT3218">
        <v>0</v>
      </c>
      <c r="AU3218">
        <v>0</v>
      </c>
      <c r="AV3218">
        <v>0</v>
      </c>
      <c r="AW3218">
        <v>0</v>
      </c>
      <c r="AX3218">
        <v>0</v>
      </c>
      <c r="AY3218">
        <v>0</v>
      </c>
      <c r="AZ3218">
        <v>0</v>
      </c>
      <c r="BA3218">
        <v>0</v>
      </c>
      <c r="BB3218">
        <v>0</v>
      </c>
      <c r="BC3218">
        <v>0</v>
      </c>
      <c r="BD3218">
        <v>0</v>
      </c>
      <c r="BE3218">
        <v>0</v>
      </c>
      <c r="BF3218">
        <v>0</v>
      </c>
      <c r="BG3218">
        <v>0</v>
      </c>
      <c r="BH3218">
        <v>1</v>
      </c>
      <c r="BI3218">
        <v>3</v>
      </c>
      <c r="BJ3218">
        <v>5.5</v>
      </c>
      <c r="BK3218">
        <v>6</v>
      </c>
      <c r="BL3218">
        <v>196.44</v>
      </c>
      <c r="BM3218">
        <v>29.47</v>
      </c>
      <c r="BN3218">
        <v>225.91</v>
      </c>
      <c r="BO3218">
        <v>225.91</v>
      </c>
      <c r="BQ3218" t="s">
        <v>627</v>
      </c>
      <c r="BR3218" t="s">
        <v>84</v>
      </c>
      <c r="BS3218" s="3">
        <v>45799</v>
      </c>
      <c r="BT3218" s="4">
        <v>0.35416666666666669</v>
      </c>
      <c r="BU3218" t="s">
        <v>1674</v>
      </c>
      <c r="BV3218" t="s">
        <v>86</v>
      </c>
      <c r="BY3218">
        <v>27744</v>
      </c>
      <c r="BZ3218" t="s">
        <v>1795</v>
      </c>
      <c r="CC3218" t="s">
        <v>625</v>
      </c>
      <c r="CD3218">
        <v>1947</v>
      </c>
      <c r="CE3218" t="s">
        <v>221</v>
      </c>
      <c r="CF3218" s="3">
        <v>45799</v>
      </c>
      <c r="CI3218">
        <v>1</v>
      </c>
      <c r="CJ3218">
        <v>1</v>
      </c>
      <c r="CK3218">
        <v>43</v>
      </c>
      <c r="CL3218" t="s">
        <v>89</v>
      </c>
    </row>
    <row r="3219" spans="1:90" x14ac:dyDescent="0.3">
      <c r="A3219" t="s">
        <v>72</v>
      </c>
      <c r="B3219" t="s">
        <v>73</v>
      </c>
      <c r="C3219" t="s">
        <v>74</v>
      </c>
      <c r="E3219" t="str">
        <f>"080065496743"</f>
        <v>080065496743</v>
      </c>
      <c r="F3219" s="3">
        <v>45798</v>
      </c>
      <c r="G3219">
        <v>202602</v>
      </c>
      <c r="H3219" t="s">
        <v>75</v>
      </c>
      <c r="I3219" t="s">
        <v>76</v>
      </c>
      <c r="J3219" t="s">
        <v>77</v>
      </c>
      <c r="K3219" t="s">
        <v>78</v>
      </c>
      <c r="L3219" t="s">
        <v>222</v>
      </c>
      <c r="M3219" t="s">
        <v>223</v>
      </c>
      <c r="N3219" t="s">
        <v>1369</v>
      </c>
      <c r="O3219" t="s">
        <v>300</v>
      </c>
      <c r="P3219" t="str">
        <f>"4170039882                    "</f>
        <v xml:space="preserve">4170039882                    </v>
      </c>
      <c r="Q3219">
        <v>0</v>
      </c>
      <c r="R3219">
        <v>0</v>
      </c>
      <c r="S3219">
        <v>0</v>
      </c>
      <c r="T3219">
        <v>0</v>
      </c>
      <c r="U3219">
        <v>0</v>
      </c>
      <c r="V3219">
        <v>0</v>
      </c>
      <c r="W3219">
        <v>0</v>
      </c>
      <c r="X3219">
        <v>0</v>
      </c>
      <c r="Y3219">
        <v>0</v>
      </c>
      <c r="Z3219">
        <v>0</v>
      </c>
      <c r="AA3219">
        <v>0</v>
      </c>
      <c r="AB3219">
        <v>0</v>
      </c>
      <c r="AC3219">
        <v>0</v>
      </c>
      <c r="AD3219">
        <v>0</v>
      </c>
      <c r="AE3219">
        <v>0</v>
      </c>
      <c r="AF3219">
        <v>0</v>
      </c>
      <c r="AG3219">
        <v>0</v>
      </c>
      <c r="AH3219">
        <v>0</v>
      </c>
      <c r="AI3219">
        <v>0</v>
      </c>
      <c r="AJ3219">
        <v>0</v>
      </c>
      <c r="AK3219">
        <v>0</v>
      </c>
      <c r="AL3219">
        <v>0</v>
      </c>
      <c r="AM3219">
        <v>0</v>
      </c>
      <c r="AN3219">
        <v>0</v>
      </c>
      <c r="AO3219">
        <v>0</v>
      </c>
      <c r="AP3219">
        <v>0</v>
      </c>
      <c r="AQ3219">
        <v>45.67</v>
      </c>
      <c r="AR3219">
        <v>0</v>
      </c>
      <c r="AS3219">
        <v>0</v>
      </c>
      <c r="AT3219">
        <v>0</v>
      </c>
      <c r="AU3219">
        <v>0</v>
      </c>
      <c r="AV3219">
        <v>0</v>
      </c>
      <c r="AW3219">
        <v>0</v>
      </c>
      <c r="AX3219">
        <v>0</v>
      </c>
      <c r="AY3219">
        <v>0</v>
      </c>
      <c r="AZ3219">
        <v>0</v>
      </c>
      <c r="BA3219">
        <v>0</v>
      </c>
      <c r="BB3219">
        <v>0</v>
      </c>
      <c r="BC3219">
        <v>0</v>
      </c>
      <c r="BD3219">
        <v>0</v>
      </c>
      <c r="BE3219">
        <v>0</v>
      </c>
      <c r="BF3219">
        <v>0</v>
      </c>
      <c r="BG3219">
        <v>0</v>
      </c>
      <c r="BH3219">
        <v>1</v>
      </c>
      <c r="BI3219">
        <v>5</v>
      </c>
      <c r="BJ3219">
        <v>3.4</v>
      </c>
      <c r="BK3219">
        <v>5</v>
      </c>
      <c r="BL3219">
        <v>155.03</v>
      </c>
      <c r="BM3219">
        <v>23.25</v>
      </c>
      <c r="BN3219">
        <v>178.28</v>
      </c>
      <c r="BO3219">
        <v>178.28</v>
      </c>
      <c r="BQ3219" t="s">
        <v>1370</v>
      </c>
      <c r="BR3219" t="s">
        <v>84</v>
      </c>
      <c r="BS3219" s="3">
        <v>45799</v>
      </c>
      <c r="BT3219" s="4">
        <v>0.33819444444444446</v>
      </c>
      <c r="BU3219" t="s">
        <v>2840</v>
      </c>
      <c r="BV3219" t="s">
        <v>86</v>
      </c>
      <c r="BY3219">
        <v>16965</v>
      </c>
      <c r="BZ3219" t="s">
        <v>1795</v>
      </c>
      <c r="CA3219" t="s">
        <v>592</v>
      </c>
      <c r="CC3219" t="s">
        <v>223</v>
      </c>
      <c r="CD3219">
        <v>1748</v>
      </c>
      <c r="CE3219" t="s">
        <v>419</v>
      </c>
      <c r="CF3219" s="3">
        <v>45799</v>
      </c>
      <c r="CI3219">
        <v>1</v>
      </c>
      <c r="CJ3219">
        <v>1</v>
      </c>
      <c r="CK3219">
        <v>44</v>
      </c>
      <c r="CL3219" t="s">
        <v>89</v>
      </c>
    </row>
    <row r="3220" spans="1:90" x14ac:dyDescent="0.3">
      <c r="A3220" t="s">
        <v>72</v>
      </c>
      <c r="B3220" t="s">
        <v>73</v>
      </c>
      <c r="C3220" t="s">
        <v>74</v>
      </c>
      <c r="E3220" t="str">
        <f>"080065512857"</f>
        <v>080065512857</v>
      </c>
      <c r="F3220" s="3">
        <v>45799</v>
      </c>
      <c r="G3220">
        <v>202602</v>
      </c>
      <c r="H3220" t="s">
        <v>75</v>
      </c>
      <c r="I3220" t="s">
        <v>76</v>
      </c>
      <c r="J3220" t="s">
        <v>77</v>
      </c>
      <c r="K3220" t="s">
        <v>78</v>
      </c>
      <c r="L3220" t="s">
        <v>871</v>
      </c>
      <c r="M3220" t="s">
        <v>872</v>
      </c>
      <c r="N3220" t="s">
        <v>1340</v>
      </c>
      <c r="O3220" t="s">
        <v>300</v>
      </c>
      <c r="P3220" t="str">
        <f>"4170040177                    "</f>
        <v xml:space="preserve">4170040177                    </v>
      </c>
      <c r="Q3220">
        <v>0</v>
      </c>
      <c r="R3220">
        <v>0</v>
      </c>
      <c r="S3220">
        <v>0</v>
      </c>
      <c r="T3220">
        <v>0</v>
      </c>
      <c r="U3220">
        <v>0</v>
      </c>
      <c r="V3220">
        <v>0</v>
      </c>
      <c r="W3220">
        <v>0</v>
      </c>
      <c r="X3220">
        <v>0</v>
      </c>
      <c r="Y3220">
        <v>0</v>
      </c>
      <c r="Z3220">
        <v>0</v>
      </c>
      <c r="AA3220">
        <v>0</v>
      </c>
      <c r="AB3220">
        <v>0</v>
      </c>
      <c r="AC3220">
        <v>0</v>
      </c>
      <c r="AD3220">
        <v>0</v>
      </c>
      <c r="AE3220">
        <v>0</v>
      </c>
      <c r="AF3220">
        <v>0</v>
      </c>
      <c r="AG3220">
        <v>0</v>
      </c>
      <c r="AH3220">
        <v>0</v>
      </c>
      <c r="AI3220">
        <v>0</v>
      </c>
      <c r="AJ3220">
        <v>0</v>
      </c>
      <c r="AK3220">
        <v>0</v>
      </c>
      <c r="AL3220">
        <v>0</v>
      </c>
      <c r="AM3220">
        <v>0</v>
      </c>
      <c r="AN3220">
        <v>0</v>
      </c>
      <c r="AO3220">
        <v>0</v>
      </c>
      <c r="AP3220">
        <v>0</v>
      </c>
      <c r="AQ3220">
        <v>58.32</v>
      </c>
      <c r="AR3220">
        <v>0</v>
      </c>
      <c r="AS3220">
        <v>0</v>
      </c>
      <c r="AT3220">
        <v>0</v>
      </c>
      <c r="AU3220">
        <v>0</v>
      </c>
      <c r="AV3220">
        <v>0</v>
      </c>
      <c r="AW3220">
        <v>0</v>
      </c>
      <c r="AX3220">
        <v>0</v>
      </c>
      <c r="AY3220">
        <v>0</v>
      </c>
      <c r="AZ3220">
        <v>0</v>
      </c>
      <c r="BA3220">
        <v>0</v>
      </c>
      <c r="BB3220">
        <v>0</v>
      </c>
      <c r="BC3220">
        <v>0</v>
      </c>
      <c r="BD3220">
        <v>0</v>
      </c>
      <c r="BE3220">
        <v>0</v>
      </c>
      <c r="BF3220">
        <v>0</v>
      </c>
      <c r="BG3220">
        <v>0</v>
      </c>
      <c r="BH3220">
        <v>1</v>
      </c>
      <c r="BI3220">
        <v>7</v>
      </c>
      <c r="BJ3220">
        <v>6.9</v>
      </c>
      <c r="BK3220">
        <v>7</v>
      </c>
      <c r="BL3220">
        <v>196.44</v>
      </c>
      <c r="BM3220">
        <v>29.47</v>
      </c>
      <c r="BN3220">
        <v>225.91</v>
      </c>
      <c r="BO3220">
        <v>225.91</v>
      </c>
      <c r="BQ3220" t="s">
        <v>1341</v>
      </c>
      <c r="BR3220" t="s">
        <v>84</v>
      </c>
      <c r="BS3220" s="3">
        <v>45800</v>
      </c>
      <c r="BT3220" s="4">
        <v>0.43402777777777779</v>
      </c>
      <c r="BU3220" t="s">
        <v>1342</v>
      </c>
      <c r="BV3220" t="s">
        <v>86</v>
      </c>
      <c r="BY3220">
        <v>34580</v>
      </c>
      <c r="BZ3220" t="s">
        <v>1795</v>
      </c>
      <c r="CA3220" t="s">
        <v>1343</v>
      </c>
      <c r="CC3220" t="s">
        <v>872</v>
      </c>
      <c r="CD3220">
        <v>2302</v>
      </c>
      <c r="CE3220" t="s">
        <v>2200</v>
      </c>
      <c r="CF3220" s="3">
        <v>45800</v>
      </c>
      <c r="CI3220">
        <v>1</v>
      </c>
      <c r="CJ3220">
        <v>1</v>
      </c>
      <c r="CK3220">
        <v>43</v>
      </c>
      <c r="CL3220" t="s">
        <v>89</v>
      </c>
    </row>
    <row r="3221" spans="1:90" x14ac:dyDescent="0.3">
      <c r="A3221" t="s">
        <v>72</v>
      </c>
      <c r="B3221" t="s">
        <v>73</v>
      </c>
      <c r="C3221" t="s">
        <v>74</v>
      </c>
      <c r="E3221" t="str">
        <f>"080065526055"</f>
        <v>080065526055</v>
      </c>
      <c r="F3221" s="3">
        <v>45800</v>
      </c>
      <c r="G3221">
        <v>202602</v>
      </c>
      <c r="H3221" t="s">
        <v>75</v>
      </c>
      <c r="I3221" t="s">
        <v>76</v>
      </c>
      <c r="J3221" t="s">
        <v>1791</v>
      </c>
      <c r="K3221" t="s">
        <v>78</v>
      </c>
      <c r="L3221" t="s">
        <v>222</v>
      </c>
      <c r="M3221" t="s">
        <v>223</v>
      </c>
      <c r="N3221" t="s">
        <v>826</v>
      </c>
      <c r="O3221" t="s">
        <v>300</v>
      </c>
      <c r="P3221" t="str">
        <f>"4170040355                    "</f>
        <v xml:space="preserve">4170040355                    </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c r="AJ3221">
        <v>0</v>
      </c>
      <c r="AK3221">
        <v>0</v>
      </c>
      <c r="AL3221">
        <v>0</v>
      </c>
      <c r="AM3221">
        <v>0</v>
      </c>
      <c r="AN3221">
        <v>0</v>
      </c>
      <c r="AO3221">
        <v>0</v>
      </c>
      <c r="AP3221">
        <v>0</v>
      </c>
      <c r="AQ3221">
        <v>45.67</v>
      </c>
      <c r="AR3221">
        <v>0</v>
      </c>
      <c r="AS3221">
        <v>0</v>
      </c>
      <c r="AT3221">
        <v>0</v>
      </c>
      <c r="AU3221">
        <v>0</v>
      </c>
      <c r="AV3221">
        <v>0</v>
      </c>
      <c r="AW3221">
        <v>0</v>
      </c>
      <c r="AX3221">
        <v>0</v>
      </c>
      <c r="AY3221">
        <v>0</v>
      </c>
      <c r="AZ3221">
        <v>0</v>
      </c>
      <c r="BA3221">
        <v>0</v>
      </c>
      <c r="BB3221">
        <v>0</v>
      </c>
      <c r="BC3221">
        <v>0</v>
      </c>
      <c r="BD3221">
        <v>0</v>
      </c>
      <c r="BE3221">
        <v>0</v>
      </c>
      <c r="BF3221">
        <v>0</v>
      </c>
      <c r="BG3221">
        <v>0</v>
      </c>
      <c r="BH3221">
        <v>1</v>
      </c>
      <c r="BI3221">
        <v>3</v>
      </c>
      <c r="BJ3221">
        <v>4.3</v>
      </c>
      <c r="BK3221">
        <v>5</v>
      </c>
      <c r="BL3221">
        <v>155.03</v>
      </c>
      <c r="BM3221">
        <v>23.25</v>
      </c>
      <c r="BN3221">
        <v>178.28</v>
      </c>
      <c r="BO3221">
        <v>178.28</v>
      </c>
      <c r="BQ3221" t="s">
        <v>3118</v>
      </c>
      <c r="BR3221" t="s">
        <v>1793</v>
      </c>
      <c r="BS3221" s="3">
        <v>45803</v>
      </c>
      <c r="BT3221" s="4">
        <v>0.44583333333333336</v>
      </c>
      <c r="BU3221" t="s">
        <v>1925</v>
      </c>
      <c r="BV3221" t="s">
        <v>86</v>
      </c>
      <c r="BY3221">
        <v>21489</v>
      </c>
      <c r="BZ3221" t="s">
        <v>1795</v>
      </c>
      <c r="CA3221" t="s">
        <v>1015</v>
      </c>
      <c r="CC3221" t="s">
        <v>223</v>
      </c>
      <c r="CD3221">
        <v>1739</v>
      </c>
      <c r="CE3221" t="s">
        <v>419</v>
      </c>
      <c r="CF3221" s="3">
        <v>45803</v>
      </c>
      <c r="CI3221">
        <v>1</v>
      </c>
      <c r="CJ3221">
        <v>1</v>
      </c>
      <c r="CK3221">
        <v>44</v>
      </c>
      <c r="CL3221" t="s">
        <v>89</v>
      </c>
    </row>
    <row r="3222" spans="1:90" x14ac:dyDescent="0.3">
      <c r="A3222" t="s">
        <v>72</v>
      </c>
      <c r="B3222" t="s">
        <v>73</v>
      </c>
      <c r="C3222" t="s">
        <v>74</v>
      </c>
      <c r="E3222" t="str">
        <f>"080065531182"</f>
        <v>080065531182</v>
      </c>
      <c r="F3222" s="3">
        <v>45800</v>
      </c>
      <c r="G3222">
        <v>202602</v>
      </c>
      <c r="H3222" t="s">
        <v>75</v>
      </c>
      <c r="I3222" t="s">
        <v>76</v>
      </c>
      <c r="J3222" t="s">
        <v>77</v>
      </c>
      <c r="K3222" t="s">
        <v>78</v>
      </c>
      <c r="L3222" t="s">
        <v>151</v>
      </c>
      <c r="M3222" t="s">
        <v>152</v>
      </c>
      <c r="N3222" t="s">
        <v>153</v>
      </c>
      <c r="O3222" t="s">
        <v>300</v>
      </c>
      <c r="P3222" t="str">
        <f>"4170040338                    "</f>
        <v xml:space="preserve">4170040338                    </v>
      </c>
      <c r="Q3222">
        <v>0</v>
      </c>
      <c r="R3222">
        <v>0</v>
      </c>
      <c r="S3222">
        <v>0</v>
      </c>
      <c r="T3222">
        <v>0</v>
      </c>
      <c r="U3222">
        <v>0</v>
      </c>
      <c r="V3222">
        <v>0</v>
      </c>
      <c r="W3222">
        <v>0</v>
      </c>
      <c r="X3222">
        <v>0</v>
      </c>
      <c r="Y3222">
        <v>0</v>
      </c>
      <c r="Z3222">
        <v>0</v>
      </c>
      <c r="AA3222">
        <v>0</v>
      </c>
      <c r="AB3222">
        <v>0</v>
      </c>
      <c r="AC3222">
        <v>0</v>
      </c>
      <c r="AD3222">
        <v>0</v>
      </c>
      <c r="AE3222">
        <v>0</v>
      </c>
      <c r="AF3222">
        <v>0</v>
      </c>
      <c r="AG3222">
        <v>0</v>
      </c>
      <c r="AH3222">
        <v>0</v>
      </c>
      <c r="AI3222">
        <v>0</v>
      </c>
      <c r="AJ3222">
        <v>0</v>
      </c>
      <c r="AK3222">
        <v>0</v>
      </c>
      <c r="AL3222">
        <v>0</v>
      </c>
      <c r="AM3222">
        <v>0</v>
      </c>
      <c r="AN3222">
        <v>0</v>
      </c>
      <c r="AO3222">
        <v>0</v>
      </c>
      <c r="AP3222">
        <v>0</v>
      </c>
      <c r="AQ3222">
        <v>58.32</v>
      </c>
      <c r="AR3222">
        <v>0</v>
      </c>
      <c r="AS3222">
        <v>0</v>
      </c>
      <c r="AT3222">
        <v>0</v>
      </c>
      <c r="AU3222">
        <v>0</v>
      </c>
      <c r="AV3222">
        <v>0</v>
      </c>
      <c r="AW3222">
        <v>0</v>
      </c>
      <c r="AX3222">
        <v>0</v>
      </c>
      <c r="AY3222">
        <v>0</v>
      </c>
      <c r="AZ3222">
        <v>0</v>
      </c>
      <c r="BA3222">
        <v>0</v>
      </c>
      <c r="BB3222">
        <v>0</v>
      </c>
      <c r="BC3222">
        <v>0</v>
      </c>
      <c r="BD3222">
        <v>0</v>
      </c>
      <c r="BE3222">
        <v>0</v>
      </c>
      <c r="BF3222">
        <v>0</v>
      </c>
      <c r="BG3222">
        <v>0</v>
      </c>
      <c r="BH3222">
        <v>1</v>
      </c>
      <c r="BI3222">
        <v>4</v>
      </c>
      <c r="BJ3222">
        <v>3.4</v>
      </c>
      <c r="BK3222">
        <v>4</v>
      </c>
      <c r="BL3222">
        <v>196.44</v>
      </c>
      <c r="BM3222">
        <v>29.47</v>
      </c>
      <c r="BN3222">
        <v>225.91</v>
      </c>
      <c r="BO3222">
        <v>225.91</v>
      </c>
      <c r="BQ3222" t="s">
        <v>154</v>
      </c>
      <c r="BR3222" t="s">
        <v>84</v>
      </c>
      <c r="BS3222" s="3">
        <v>45803</v>
      </c>
      <c r="BT3222" s="4">
        <v>0.38263888888888886</v>
      </c>
      <c r="BU3222" t="s">
        <v>927</v>
      </c>
      <c r="BV3222" t="s">
        <v>86</v>
      </c>
      <c r="BY3222">
        <v>16965</v>
      </c>
      <c r="BZ3222" t="s">
        <v>1795</v>
      </c>
      <c r="CA3222" t="s">
        <v>156</v>
      </c>
      <c r="CC3222" t="s">
        <v>152</v>
      </c>
      <c r="CD3222">
        <v>1911</v>
      </c>
      <c r="CE3222" t="s">
        <v>419</v>
      </c>
      <c r="CF3222" s="3">
        <v>45803</v>
      </c>
      <c r="CI3222">
        <v>1</v>
      </c>
      <c r="CJ3222">
        <v>1</v>
      </c>
      <c r="CK3222">
        <v>43</v>
      </c>
      <c r="CL3222" t="s">
        <v>89</v>
      </c>
    </row>
    <row r="3223" spans="1:90" x14ac:dyDescent="0.3">
      <c r="A3223" t="s">
        <v>72</v>
      </c>
      <c r="B3223" t="s">
        <v>73</v>
      </c>
      <c r="C3223" t="s">
        <v>74</v>
      </c>
      <c r="E3223" t="str">
        <f>"080065534930"</f>
        <v>080065534930</v>
      </c>
      <c r="F3223" s="3">
        <v>45800</v>
      </c>
      <c r="G3223">
        <v>202602</v>
      </c>
      <c r="H3223" t="s">
        <v>75</v>
      </c>
      <c r="I3223" t="s">
        <v>76</v>
      </c>
      <c r="J3223" t="s">
        <v>77</v>
      </c>
      <c r="K3223" t="s">
        <v>78</v>
      </c>
      <c r="L3223" t="s">
        <v>222</v>
      </c>
      <c r="M3223" t="s">
        <v>223</v>
      </c>
      <c r="N3223" t="s">
        <v>224</v>
      </c>
      <c r="O3223" t="s">
        <v>300</v>
      </c>
      <c r="P3223" t="str">
        <f>"4170040510                    "</f>
        <v xml:space="preserve">4170040510                    </v>
      </c>
      <c r="Q3223">
        <v>0</v>
      </c>
      <c r="R3223">
        <v>0</v>
      </c>
      <c r="S3223">
        <v>0</v>
      </c>
      <c r="T3223">
        <v>0</v>
      </c>
      <c r="U3223">
        <v>0</v>
      </c>
      <c r="V3223">
        <v>0</v>
      </c>
      <c r="W3223">
        <v>0</v>
      </c>
      <c r="X3223">
        <v>0</v>
      </c>
      <c r="Y3223">
        <v>0</v>
      </c>
      <c r="Z3223">
        <v>0</v>
      </c>
      <c r="AA3223">
        <v>0</v>
      </c>
      <c r="AB3223">
        <v>0</v>
      </c>
      <c r="AC3223">
        <v>0</v>
      </c>
      <c r="AD3223">
        <v>0</v>
      </c>
      <c r="AE3223">
        <v>0</v>
      </c>
      <c r="AF3223">
        <v>0</v>
      </c>
      <c r="AG3223">
        <v>0</v>
      </c>
      <c r="AH3223">
        <v>0</v>
      </c>
      <c r="AI3223">
        <v>0</v>
      </c>
      <c r="AJ3223">
        <v>0</v>
      </c>
      <c r="AK3223">
        <v>0</v>
      </c>
      <c r="AL3223">
        <v>0</v>
      </c>
      <c r="AM3223">
        <v>0</v>
      </c>
      <c r="AN3223">
        <v>0</v>
      </c>
      <c r="AO3223">
        <v>0</v>
      </c>
      <c r="AP3223">
        <v>0</v>
      </c>
      <c r="AQ3223">
        <v>45.67</v>
      </c>
      <c r="AR3223">
        <v>0</v>
      </c>
      <c r="AS3223">
        <v>0</v>
      </c>
      <c r="AT3223">
        <v>0</v>
      </c>
      <c r="AU3223">
        <v>0</v>
      </c>
      <c r="AV3223">
        <v>0</v>
      </c>
      <c r="AW3223">
        <v>0</v>
      </c>
      <c r="AX3223">
        <v>0</v>
      </c>
      <c r="AY3223">
        <v>0</v>
      </c>
      <c r="AZ3223">
        <v>0</v>
      </c>
      <c r="BA3223">
        <v>0</v>
      </c>
      <c r="BB3223">
        <v>0</v>
      </c>
      <c r="BC3223">
        <v>0</v>
      </c>
      <c r="BD3223">
        <v>0</v>
      </c>
      <c r="BE3223">
        <v>0</v>
      </c>
      <c r="BF3223">
        <v>0</v>
      </c>
      <c r="BG3223">
        <v>0</v>
      </c>
      <c r="BH3223">
        <v>1</v>
      </c>
      <c r="BI3223">
        <v>2</v>
      </c>
      <c r="BJ3223">
        <v>7.8</v>
      </c>
      <c r="BK3223">
        <v>8</v>
      </c>
      <c r="BL3223">
        <v>155.03</v>
      </c>
      <c r="BM3223">
        <v>23.25</v>
      </c>
      <c r="BN3223">
        <v>178.28</v>
      </c>
      <c r="BO3223">
        <v>178.28</v>
      </c>
      <c r="BQ3223" t="s">
        <v>225</v>
      </c>
      <c r="BR3223" t="s">
        <v>84</v>
      </c>
      <c r="BS3223" s="3">
        <v>45803</v>
      </c>
      <c r="BT3223" s="4">
        <v>0.48472222222222222</v>
      </c>
      <c r="BU3223" t="s">
        <v>226</v>
      </c>
      <c r="BV3223" t="s">
        <v>86</v>
      </c>
      <c r="BY3223">
        <v>39050</v>
      </c>
      <c r="BZ3223" t="s">
        <v>1795</v>
      </c>
      <c r="CA3223" t="s">
        <v>227</v>
      </c>
      <c r="CC3223" t="s">
        <v>223</v>
      </c>
      <c r="CD3223">
        <v>1754</v>
      </c>
      <c r="CE3223" t="s">
        <v>419</v>
      </c>
      <c r="CF3223" s="3">
        <v>45803</v>
      </c>
      <c r="CI3223">
        <v>1</v>
      </c>
      <c r="CJ3223">
        <v>1</v>
      </c>
      <c r="CK3223">
        <v>44</v>
      </c>
      <c r="CL3223" t="s">
        <v>89</v>
      </c>
    </row>
    <row r="3224" spans="1:90" x14ac:dyDescent="0.3">
      <c r="A3224" t="s">
        <v>72</v>
      </c>
      <c r="B3224" t="s">
        <v>73</v>
      </c>
      <c r="C3224" t="s">
        <v>74</v>
      </c>
      <c r="E3224" t="str">
        <f>"080065553114"</f>
        <v>080065553114</v>
      </c>
      <c r="F3224" s="3">
        <v>45803</v>
      </c>
      <c r="G3224">
        <v>202602</v>
      </c>
      <c r="H3224" t="s">
        <v>75</v>
      </c>
      <c r="I3224" t="s">
        <v>76</v>
      </c>
      <c r="J3224" t="s">
        <v>77</v>
      </c>
      <c r="K3224" t="s">
        <v>78</v>
      </c>
      <c r="L3224" t="s">
        <v>177</v>
      </c>
      <c r="M3224" t="s">
        <v>178</v>
      </c>
      <c r="N3224" t="s">
        <v>212</v>
      </c>
      <c r="O3224" t="s">
        <v>82</v>
      </c>
      <c r="P3224" t="str">
        <f>"4170040632                    "</f>
        <v xml:space="preserve">4170040632                    </v>
      </c>
      <c r="Q3224">
        <v>0</v>
      </c>
      <c r="R3224">
        <v>0</v>
      </c>
      <c r="S3224">
        <v>0</v>
      </c>
      <c r="T3224">
        <v>0</v>
      </c>
      <c r="U3224">
        <v>0</v>
      </c>
      <c r="V3224">
        <v>0</v>
      </c>
      <c r="W3224">
        <v>0</v>
      </c>
      <c r="X3224">
        <v>0</v>
      </c>
      <c r="Y3224">
        <v>0</v>
      </c>
      <c r="Z3224">
        <v>0</v>
      </c>
      <c r="AA3224">
        <v>0</v>
      </c>
      <c r="AB3224">
        <v>0</v>
      </c>
      <c r="AC3224">
        <v>0</v>
      </c>
      <c r="AD3224">
        <v>0</v>
      </c>
      <c r="AE3224">
        <v>0</v>
      </c>
      <c r="AF3224">
        <v>0</v>
      </c>
      <c r="AG3224">
        <v>0</v>
      </c>
      <c r="AH3224">
        <v>0</v>
      </c>
      <c r="AI3224">
        <v>0</v>
      </c>
      <c r="AJ3224">
        <v>0</v>
      </c>
      <c r="AK3224">
        <v>0</v>
      </c>
      <c r="AL3224">
        <v>0</v>
      </c>
      <c r="AM3224">
        <v>0</v>
      </c>
      <c r="AN3224">
        <v>0</v>
      </c>
      <c r="AO3224">
        <v>0</v>
      </c>
      <c r="AP3224">
        <v>0</v>
      </c>
      <c r="AQ3224">
        <v>21.38</v>
      </c>
      <c r="AR3224">
        <v>0</v>
      </c>
      <c r="AS3224">
        <v>0</v>
      </c>
      <c r="AT3224">
        <v>0</v>
      </c>
      <c r="AU3224">
        <v>0</v>
      </c>
      <c r="AV3224">
        <v>0</v>
      </c>
      <c r="AW3224">
        <v>0</v>
      </c>
      <c r="AX3224">
        <v>0</v>
      </c>
      <c r="AY3224">
        <v>0</v>
      </c>
      <c r="AZ3224">
        <v>0</v>
      </c>
      <c r="BA3224">
        <v>0</v>
      </c>
      <c r="BB3224">
        <v>0</v>
      </c>
      <c r="BC3224">
        <v>0</v>
      </c>
      <c r="BD3224">
        <v>0</v>
      </c>
      <c r="BE3224">
        <v>0</v>
      </c>
      <c r="BF3224">
        <v>0</v>
      </c>
      <c r="BG3224">
        <v>0</v>
      </c>
      <c r="BH3224">
        <v>1</v>
      </c>
      <c r="BI3224">
        <v>1</v>
      </c>
      <c r="BJ3224">
        <v>0.2</v>
      </c>
      <c r="BK3224">
        <v>1</v>
      </c>
      <c r="BL3224">
        <v>69.98</v>
      </c>
      <c r="BM3224">
        <v>10.5</v>
      </c>
      <c r="BN3224">
        <v>80.48</v>
      </c>
      <c r="BO3224">
        <v>80.48</v>
      </c>
      <c r="BQ3224" t="s">
        <v>213</v>
      </c>
      <c r="BR3224" t="s">
        <v>84</v>
      </c>
      <c r="BS3224" s="3">
        <v>45804</v>
      </c>
      <c r="BT3224" s="4">
        <v>0.35138888888888886</v>
      </c>
      <c r="BU3224" t="s">
        <v>214</v>
      </c>
      <c r="BV3224" t="s">
        <v>86</v>
      </c>
      <c r="BY3224">
        <v>1200</v>
      </c>
      <c r="CA3224" t="s">
        <v>182</v>
      </c>
      <c r="CC3224" t="s">
        <v>178</v>
      </c>
      <c r="CD3224">
        <v>6229</v>
      </c>
      <c r="CE3224" t="s">
        <v>88</v>
      </c>
      <c r="CF3224" s="3">
        <v>45804</v>
      </c>
      <c r="CI3224">
        <v>1</v>
      </c>
      <c r="CJ3224">
        <v>1</v>
      </c>
      <c r="CK3224">
        <v>21</v>
      </c>
      <c r="CL3224" t="s">
        <v>89</v>
      </c>
    </row>
    <row r="3225" spans="1:90" x14ac:dyDescent="0.3">
      <c r="A3225" t="s">
        <v>72</v>
      </c>
      <c r="B3225" t="s">
        <v>73</v>
      </c>
      <c r="C3225" t="s">
        <v>74</v>
      </c>
      <c r="E3225" t="str">
        <f>"080065553219"</f>
        <v>080065553219</v>
      </c>
      <c r="F3225" s="3">
        <v>45803</v>
      </c>
      <c r="G3225">
        <v>202602</v>
      </c>
      <c r="H3225" t="s">
        <v>75</v>
      </c>
      <c r="I3225" t="s">
        <v>76</v>
      </c>
      <c r="J3225" t="s">
        <v>77</v>
      </c>
      <c r="K3225" t="s">
        <v>78</v>
      </c>
      <c r="L3225" t="s">
        <v>463</v>
      </c>
      <c r="M3225" t="s">
        <v>464</v>
      </c>
      <c r="N3225" t="s">
        <v>585</v>
      </c>
      <c r="O3225" t="s">
        <v>82</v>
      </c>
      <c r="P3225" t="str">
        <f>"4170040585                    "</f>
        <v xml:space="preserve">4170040585                    </v>
      </c>
      <c r="Q3225">
        <v>0</v>
      </c>
      <c r="R3225">
        <v>0</v>
      </c>
      <c r="S3225">
        <v>0</v>
      </c>
      <c r="T3225">
        <v>0</v>
      </c>
      <c r="U3225">
        <v>0</v>
      </c>
      <c r="V3225">
        <v>0</v>
      </c>
      <c r="W3225">
        <v>0</v>
      </c>
      <c r="X3225">
        <v>0</v>
      </c>
      <c r="Y3225">
        <v>0</v>
      </c>
      <c r="Z3225">
        <v>0</v>
      </c>
      <c r="AA3225">
        <v>0</v>
      </c>
      <c r="AB3225">
        <v>0</v>
      </c>
      <c r="AC3225">
        <v>0</v>
      </c>
      <c r="AD3225">
        <v>0</v>
      </c>
      <c r="AE3225">
        <v>0</v>
      </c>
      <c r="AF3225">
        <v>0</v>
      </c>
      <c r="AG3225">
        <v>0</v>
      </c>
      <c r="AH3225">
        <v>0</v>
      </c>
      <c r="AI3225">
        <v>0</v>
      </c>
      <c r="AJ3225">
        <v>0</v>
      </c>
      <c r="AK3225">
        <v>0</v>
      </c>
      <c r="AL3225">
        <v>0</v>
      </c>
      <c r="AM3225">
        <v>0</v>
      </c>
      <c r="AN3225">
        <v>0</v>
      </c>
      <c r="AO3225">
        <v>0</v>
      </c>
      <c r="AP3225">
        <v>0</v>
      </c>
      <c r="AQ3225">
        <v>21.38</v>
      </c>
      <c r="AR3225">
        <v>0</v>
      </c>
      <c r="AS3225">
        <v>0</v>
      </c>
      <c r="AT3225">
        <v>0</v>
      </c>
      <c r="AU3225">
        <v>0</v>
      </c>
      <c r="AV3225">
        <v>0</v>
      </c>
      <c r="AW3225">
        <v>0</v>
      </c>
      <c r="AX3225">
        <v>0</v>
      </c>
      <c r="AY3225">
        <v>0</v>
      </c>
      <c r="AZ3225">
        <v>0</v>
      </c>
      <c r="BA3225">
        <v>0</v>
      </c>
      <c r="BB3225">
        <v>0</v>
      </c>
      <c r="BC3225">
        <v>0</v>
      </c>
      <c r="BD3225">
        <v>0</v>
      </c>
      <c r="BE3225">
        <v>0</v>
      </c>
      <c r="BF3225">
        <v>0</v>
      </c>
      <c r="BG3225">
        <v>0</v>
      </c>
      <c r="BH3225">
        <v>1</v>
      </c>
      <c r="BI3225">
        <v>1</v>
      </c>
      <c r="BJ3225">
        <v>0.2</v>
      </c>
      <c r="BK3225">
        <v>1</v>
      </c>
      <c r="BL3225">
        <v>69.98</v>
      </c>
      <c r="BM3225">
        <v>10.5</v>
      </c>
      <c r="BN3225">
        <v>80.48</v>
      </c>
      <c r="BO3225">
        <v>80.48</v>
      </c>
      <c r="BQ3225" t="s">
        <v>586</v>
      </c>
      <c r="BR3225" t="s">
        <v>84</v>
      </c>
      <c r="BS3225" s="3">
        <v>45804</v>
      </c>
      <c r="BT3225" s="4">
        <v>0.4375</v>
      </c>
      <c r="BU3225" t="s">
        <v>2787</v>
      </c>
      <c r="BV3225" t="s">
        <v>86</v>
      </c>
      <c r="BY3225">
        <v>1200</v>
      </c>
      <c r="CA3225" t="s">
        <v>588</v>
      </c>
      <c r="CC3225" t="s">
        <v>464</v>
      </c>
      <c r="CD3225">
        <v>5201</v>
      </c>
      <c r="CE3225" t="s">
        <v>88</v>
      </c>
      <c r="CF3225" s="3">
        <v>45804</v>
      </c>
      <c r="CI3225">
        <v>1</v>
      </c>
      <c r="CJ3225">
        <v>1</v>
      </c>
      <c r="CK3225">
        <v>21</v>
      </c>
      <c r="CL3225" t="s">
        <v>89</v>
      </c>
    </row>
    <row r="3226" spans="1:90" x14ac:dyDescent="0.3">
      <c r="A3226" t="s">
        <v>72</v>
      </c>
      <c r="B3226" t="s">
        <v>73</v>
      </c>
      <c r="C3226" t="s">
        <v>74</v>
      </c>
      <c r="E3226" t="str">
        <f>"080065553288"</f>
        <v>080065553288</v>
      </c>
      <c r="F3226" s="3">
        <v>45803</v>
      </c>
      <c r="G3226">
        <v>202602</v>
      </c>
      <c r="H3226" t="s">
        <v>75</v>
      </c>
      <c r="I3226" t="s">
        <v>76</v>
      </c>
      <c r="J3226" t="s">
        <v>77</v>
      </c>
      <c r="K3226" t="s">
        <v>78</v>
      </c>
      <c r="L3226" t="s">
        <v>672</v>
      </c>
      <c r="M3226" t="s">
        <v>673</v>
      </c>
      <c r="N3226" t="s">
        <v>674</v>
      </c>
      <c r="O3226" t="s">
        <v>82</v>
      </c>
      <c r="P3226" t="str">
        <f>"4170040623                    "</f>
        <v xml:space="preserve">4170040623                    </v>
      </c>
      <c r="Q3226">
        <v>0</v>
      </c>
      <c r="R3226">
        <v>0</v>
      </c>
      <c r="S3226">
        <v>0</v>
      </c>
      <c r="T3226">
        <v>0</v>
      </c>
      <c r="U3226">
        <v>0</v>
      </c>
      <c r="V3226">
        <v>0</v>
      </c>
      <c r="W3226">
        <v>0</v>
      </c>
      <c r="X3226">
        <v>0</v>
      </c>
      <c r="Y3226">
        <v>0</v>
      </c>
      <c r="Z3226">
        <v>0</v>
      </c>
      <c r="AA3226">
        <v>0</v>
      </c>
      <c r="AB3226">
        <v>0</v>
      </c>
      <c r="AC3226">
        <v>0</v>
      </c>
      <c r="AD3226">
        <v>0</v>
      </c>
      <c r="AE3226">
        <v>0</v>
      </c>
      <c r="AF3226">
        <v>0</v>
      </c>
      <c r="AG3226">
        <v>0</v>
      </c>
      <c r="AH3226">
        <v>0</v>
      </c>
      <c r="AI3226">
        <v>0</v>
      </c>
      <c r="AJ3226">
        <v>0</v>
      </c>
      <c r="AK3226">
        <v>0</v>
      </c>
      <c r="AL3226">
        <v>0</v>
      </c>
      <c r="AM3226">
        <v>0</v>
      </c>
      <c r="AN3226">
        <v>0</v>
      </c>
      <c r="AO3226">
        <v>0</v>
      </c>
      <c r="AP3226">
        <v>0</v>
      </c>
      <c r="AQ3226">
        <v>41.43</v>
      </c>
      <c r="AR3226">
        <v>0</v>
      </c>
      <c r="AS3226">
        <v>0</v>
      </c>
      <c r="AT3226">
        <v>0</v>
      </c>
      <c r="AU3226">
        <v>0</v>
      </c>
      <c r="AV3226">
        <v>0</v>
      </c>
      <c r="AW3226">
        <v>0</v>
      </c>
      <c r="AX3226">
        <v>0</v>
      </c>
      <c r="AY3226">
        <v>0</v>
      </c>
      <c r="AZ3226">
        <v>0</v>
      </c>
      <c r="BA3226">
        <v>0</v>
      </c>
      <c r="BB3226">
        <v>0</v>
      </c>
      <c r="BC3226">
        <v>0</v>
      </c>
      <c r="BD3226">
        <v>0</v>
      </c>
      <c r="BE3226">
        <v>0</v>
      </c>
      <c r="BF3226">
        <v>0</v>
      </c>
      <c r="BG3226">
        <v>0</v>
      </c>
      <c r="BH3226">
        <v>1</v>
      </c>
      <c r="BI3226">
        <v>1</v>
      </c>
      <c r="BJ3226">
        <v>0.2</v>
      </c>
      <c r="BK3226">
        <v>1</v>
      </c>
      <c r="BL3226">
        <v>135.59</v>
      </c>
      <c r="BM3226">
        <v>20.34</v>
      </c>
      <c r="BN3226">
        <v>155.93</v>
      </c>
      <c r="BO3226">
        <v>155.93</v>
      </c>
      <c r="BQ3226" t="s">
        <v>675</v>
      </c>
      <c r="BR3226" t="s">
        <v>84</v>
      </c>
      <c r="BS3226" s="3">
        <v>45804</v>
      </c>
      <c r="BT3226" s="4">
        <v>0.46736111111111112</v>
      </c>
      <c r="BU3226" t="s">
        <v>1512</v>
      </c>
      <c r="BV3226" t="s">
        <v>86</v>
      </c>
      <c r="BY3226">
        <v>1200</v>
      </c>
      <c r="CA3226" t="s">
        <v>677</v>
      </c>
      <c r="CC3226" t="s">
        <v>673</v>
      </c>
      <c r="CD3226">
        <v>2531</v>
      </c>
      <c r="CE3226" t="s">
        <v>88</v>
      </c>
      <c r="CF3226" s="3">
        <v>45805</v>
      </c>
      <c r="CI3226">
        <v>1</v>
      </c>
      <c r="CJ3226">
        <v>1</v>
      </c>
      <c r="CK3226">
        <v>23</v>
      </c>
      <c r="CL3226" t="s">
        <v>89</v>
      </c>
    </row>
    <row r="3227" spans="1:90" x14ac:dyDescent="0.3">
      <c r="A3227" t="s">
        <v>72</v>
      </c>
      <c r="B3227" t="s">
        <v>73</v>
      </c>
      <c r="C3227" t="s">
        <v>74</v>
      </c>
      <c r="E3227" t="str">
        <f>"080065553341"</f>
        <v>080065553341</v>
      </c>
      <c r="F3227" s="3">
        <v>45803</v>
      </c>
      <c r="G3227">
        <v>202602</v>
      </c>
      <c r="H3227" t="s">
        <v>75</v>
      </c>
      <c r="I3227" t="s">
        <v>76</v>
      </c>
      <c r="J3227" t="s">
        <v>77</v>
      </c>
      <c r="K3227" t="s">
        <v>78</v>
      </c>
      <c r="L3227" t="s">
        <v>79</v>
      </c>
      <c r="M3227" t="s">
        <v>80</v>
      </c>
      <c r="N3227" t="s">
        <v>415</v>
      </c>
      <c r="O3227" t="s">
        <v>82</v>
      </c>
      <c r="P3227" t="str">
        <f>"4170040602                    "</f>
        <v xml:space="preserve">4170040602                    </v>
      </c>
      <c r="Q3227">
        <v>0</v>
      </c>
      <c r="R3227">
        <v>0</v>
      </c>
      <c r="S3227">
        <v>0</v>
      </c>
      <c r="T3227">
        <v>0</v>
      </c>
      <c r="U3227">
        <v>0</v>
      </c>
      <c r="V3227">
        <v>0</v>
      </c>
      <c r="W3227">
        <v>0</v>
      </c>
      <c r="X3227">
        <v>0</v>
      </c>
      <c r="Y3227">
        <v>0</v>
      </c>
      <c r="Z3227">
        <v>0</v>
      </c>
      <c r="AA3227">
        <v>0</v>
      </c>
      <c r="AB3227">
        <v>0</v>
      </c>
      <c r="AC3227">
        <v>0</v>
      </c>
      <c r="AD3227">
        <v>0</v>
      </c>
      <c r="AE3227">
        <v>0</v>
      </c>
      <c r="AF3227">
        <v>0</v>
      </c>
      <c r="AG3227">
        <v>0</v>
      </c>
      <c r="AH3227">
        <v>0</v>
      </c>
      <c r="AI3227">
        <v>0</v>
      </c>
      <c r="AJ3227">
        <v>0</v>
      </c>
      <c r="AK3227">
        <v>0</v>
      </c>
      <c r="AL3227">
        <v>0</v>
      </c>
      <c r="AM3227">
        <v>0</v>
      </c>
      <c r="AN3227">
        <v>0</v>
      </c>
      <c r="AO3227">
        <v>0</v>
      </c>
      <c r="AP3227">
        <v>0</v>
      </c>
      <c r="AQ3227">
        <v>21.38</v>
      </c>
      <c r="AR3227">
        <v>0</v>
      </c>
      <c r="AS3227">
        <v>0</v>
      </c>
      <c r="AT3227">
        <v>0</v>
      </c>
      <c r="AU3227">
        <v>0</v>
      </c>
      <c r="AV3227">
        <v>0</v>
      </c>
      <c r="AW3227">
        <v>0</v>
      </c>
      <c r="AX3227">
        <v>0</v>
      </c>
      <c r="AY3227">
        <v>0</v>
      </c>
      <c r="AZ3227">
        <v>0</v>
      </c>
      <c r="BA3227">
        <v>0</v>
      </c>
      <c r="BB3227">
        <v>0</v>
      </c>
      <c r="BC3227">
        <v>0</v>
      </c>
      <c r="BD3227">
        <v>0</v>
      </c>
      <c r="BE3227">
        <v>0</v>
      </c>
      <c r="BF3227">
        <v>0</v>
      </c>
      <c r="BG3227">
        <v>0</v>
      </c>
      <c r="BH3227">
        <v>1</v>
      </c>
      <c r="BI3227">
        <v>1</v>
      </c>
      <c r="BJ3227">
        <v>0.2</v>
      </c>
      <c r="BK3227">
        <v>1</v>
      </c>
      <c r="BL3227">
        <v>69.98</v>
      </c>
      <c r="BM3227">
        <v>10.5</v>
      </c>
      <c r="BN3227">
        <v>80.48</v>
      </c>
      <c r="BO3227">
        <v>80.48</v>
      </c>
      <c r="BQ3227" t="s">
        <v>416</v>
      </c>
      <c r="BR3227" t="s">
        <v>84</v>
      </c>
      <c r="BS3227" s="3">
        <v>45804</v>
      </c>
      <c r="BT3227" s="4">
        <v>0.48888888888888887</v>
      </c>
      <c r="BU3227" t="s">
        <v>1152</v>
      </c>
      <c r="BV3227" t="s">
        <v>86</v>
      </c>
      <c r="BY3227">
        <v>1200</v>
      </c>
      <c r="CA3227" t="s">
        <v>87</v>
      </c>
      <c r="CC3227" t="s">
        <v>80</v>
      </c>
      <c r="CD3227">
        <v>3610</v>
      </c>
      <c r="CE3227" t="s">
        <v>88</v>
      </c>
      <c r="CF3227" s="3">
        <v>45804</v>
      </c>
      <c r="CI3227">
        <v>1</v>
      </c>
      <c r="CJ3227">
        <v>1</v>
      </c>
      <c r="CK3227">
        <v>21</v>
      </c>
      <c r="CL3227" t="s">
        <v>89</v>
      </c>
    </row>
    <row r="3228" spans="1:90" x14ac:dyDescent="0.3">
      <c r="A3228" t="s">
        <v>72</v>
      </c>
      <c r="B3228" t="s">
        <v>73</v>
      </c>
      <c r="C3228" t="s">
        <v>74</v>
      </c>
      <c r="E3228" t="str">
        <f>"080065553649"</f>
        <v>080065553649</v>
      </c>
      <c r="F3228" s="3">
        <v>45803</v>
      </c>
      <c r="G3228">
        <v>202602</v>
      </c>
      <c r="H3228" t="s">
        <v>75</v>
      </c>
      <c r="I3228" t="s">
        <v>76</v>
      </c>
      <c r="J3228" t="s">
        <v>77</v>
      </c>
      <c r="K3228" t="s">
        <v>78</v>
      </c>
      <c r="L3228" t="s">
        <v>177</v>
      </c>
      <c r="M3228" t="s">
        <v>178</v>
      </c>
      <c r="N3228" t="s">
        <v>1232</v>
      </c>
      <c r="O3228" t="s">
        <v>82</v>
      </c>
      <c r="P3228" t="str">
        <f>"4170040573                    "</f>
        <v xml:space="preserve">4170040573                    </v>
      </c>
      <c r="Q3228">
        <v>0</v>
      </c>
      <c r="R3228">
        <v>0</v>
      </c>
      <c r="S3228">
        <v>0</v>
      </c>
      <c r="T3228">
        <v>0</v>
      </c>
      <c r="U3228">
        <v>0</v>
      </c>
      <c r="V3228">
        <v>0</v>
      </c>
      <c r="W3228">
        <v>0</v>
      </c>
      <c r="X3228">
        <v>0</v>
      </c>
      <c r="Y3228">
        <v>0</v>
      </c>
      <c r="Z3228">
        <v>0</v>
      </c>
      <c r="AA3228">
        <v>0</v>
      </c>
      <c r="AB3228">
        <v>0</v>
      </c>
      <c r="AC3228">
        <v>0</v>
      </c>
      <c r="AD3228">
        <v>0</v>
      </c>
      <c r="AE3228">
        <v>0</v>
      </c>
      <c r="AF3228">
        <v>0</v>
      </c>
      <c r="AG3228">
        <v>0</v>
      </c>
      <c r="AH3228">
        <v>0</v>
      </c>
      <c r="AI3228">
        <v>0</v>
      </c>
      <c r="AJ3228">
        <v>0</v>
      </c>
      <c r="AK3228">
        <v>0</v>
      </c>
      <c r="AL3228">
        <v>0</v>
      </c>
      <c r="AM3228">
        <v>0</v>
      </c>
      <c r="AN3228">
        <v>0</v>
      </c>
      <c r="AO3228">
        <v>0</v>
      </c>
      <c r="AP3228">
        <v>0</v>
      </c>
      <c r="AQ3228">
        <v>21.38</v>
      </c>
      <c r="AR3228">
        <v>0</v>
      </c>
      <c r="AS3228">
        <v>0</v>
      </c>
      <c r="AT3228">
        <v>0</v>
      </c>
      <c r="AU3228">
        <v>0</v>
      </c>
      <c r="AV3228">
        <v>0</v>
      </c>
      <c r="AW3228">
        <v>0</v>
      </c>
      <c r="AX3228">
        <v>0</v>
      </c>
      <c r="AY3228">
        <v>0</v>
      </c>
      <c r="AZ3228">
        <v>0</v>
      </c>
      <c r="BA3228">
        <v>0</v>
      </c>
      <c r="BB3228">
        <v>0</v>
      </c>
      <c r="BC3228">
        <v>0</v>
      </c>
      <c r="BD3228">
        <v>0</v>
      </c>
      <c r="BE3228">
        <v>0</v>
      </c>
      <c r="BF3228">
        <v>0</v>
      </c>
      <c r="BG3228">
        <v>0</v>
      </c>
      <c r="BH3228">
        <v>1</v>
      </c>
      <c r="BI3228">
        <v>1</v>
      </c>
      <c r="BJ3228">
        <v>0.6</v>
      </c>
      <c r="BK3228">
        <v>1</v>
      </c>
      <c r="BL3228">
        <v>69.98</v>
      </c>
      <c r="BM3228">
        <v>10.5</v>
      </c>
      <c r="BN3228">
        <v>80.48</v>
      </c>
      <c r="BO3228">
        <v>80.48</v>
      </c>
      <c r="BQ3228" t="s">
        <v>1233</v>
      </c>
      <c r="BR3228" t="s">
        <v>84</v>
      </c>
      <c r="BS3228" s="3">
        <v>45805</v>
      </c>
      <c r="BT3228" s="4">
        <v>0.33888888888888891</v>
      </c>
      <c r="BU3228" t="s">
        <v>3119</v>
      </c>
      <c r="BV3228" t="s">
        <v>89</v>
      </c>
      <c r="BW3228" t="s">
        <v>296</v>
      </c>
      <c r="BX3228" t="s">
        <v>402</v>
      </c>
      <c r="BY3228">
        <v>3192</v>
      </c>
      <c r="CA3228" t="s">
        <v>182</v>
      </c>
      <c r="CC3228" t="s">
        <v>178</v>
      </c>
      <c r="CD3228">
        <v>6229</v>
      </c>
      <c r="CE3228" t="s">
        <v>116</v>
      </c>
      <c r="CF3228" s="3">
        <v>45805</v>
      </c>
      <c r="CI3228">
        <v>1</v>
      </c>
      <c r="CJ3228">
        <v>2</v>
      </c>
      <c r="CK3228">
        <v>21</v>
      </c>
      <c r="CL3228" t="s">
        <v>89</v>
      </c>
    </row>
    <row r="3229" spans="1:90" x14ac:dyDescent="0.3">
      <c r="A3229" t="s">
        <v>72</v>
      </c>
      <c r="B3229" t="s">
        <v>73</v>
      </c>
      <c r="C3229" t="s">
        <v>74</v>
      </c>
      <c r="E3229" t="str">
        <f>"080065553707"</f>
        <v>080065553707</v>
      </c>
      <c r="F3229" s="3">
        <v>45803</v>
      </c>
      <c r="G3229">
        <v>202602</v>
      </c>
      <c r="H3229" t="s">
        <v>75</v>
      </c>
      <c r="I3229" t="s">
        <v>76</v>
      </c>
      <c r="J3229" t="s">
        <v>77</v>
      </c>
      <c r="K3229" t="s">
        <v>78</v>
      </c>
      <c r="L3229" t="s">
        <v>130</v>
      </c>
      <c r="M3229" t="s">
        <v>131</v>
      </c>
      <c r="N3229" t="s">
        <v>239</v>
      </c>
      <c r="O3229" t="s">
        <v>82</v>
      </c>
      <c r="P3229" t="str">
        <f>"4170040567                    "</f>
        <v xml:space="preserve">4170040567                    </v>
      </c>
      <c r="Q3229">
        <v>0</v>
      </c>
      <c r="R3229">
        <v>0</v>
      </c>
      <c r="S3229">
        <v>0</v>
      </c>
      <c r="T3229">
        <v>0</v>
      </c>
      <c r="U3229">
        <v>0</v>
      </c>
      <c r="V3229">
        <v>0</v>
      </c>
      <c r="W3229">
        <v>0</v>
      </c>
      <c r="X3229">
        <v>0</v>
      </c>
      <c r="Y3229">
        <v>0</v>
      </c>
      <c r="Z3229">
        <v>0</v>
      </c>
      <c r="AA3229">
        <v>0</v>
      </c>
      <c r="AB3229">
        <v>0</v>
      </c>
      <c r="AC3229">
        <v>0</v>
      </c>
      <c r="AD3229">
        <v>0</v>
      </c>
      <c r="AE3229">
        <v>0</v>
      </c>
      <c r="AF3229">
        <v>0</v>
      </c>
      <c r="AG3229">
        <v>0</v>
      </c>
      <c r="AH3229">
        <v>0</v>
      </c>
      <c r="AI3229">
        <v>0</v>
      </c>
      <c r="AJ3229">
        <v>0</v>
      </c>
      <c r="AK3229">
        <v>0</v>
      </c>
      <c r="AL3229">
        <v>0</v>
      </c>
      <c r="AM3229">
        <v>0</v>
      </c>
      <c r="AN3229">
        <v>0</v>
      </c>
      <c r="AO3229">
        <v>0</v>
      </c>
      <c r="AP3229">
        <v>0</v>
      </c>
      <c r="AQ3229">
        <v>21.38</v>
      </c>
      <c r="AR3229">
        <v>0</v>
      </c>
      <c r="AS3229">
        <v>0</v>
      </c>
      <c r="AT3229">
        <v>0</v>
      </c>
      <c r="AU3229">
        <v>0</v>
      </c>
      <c r="AV3229">
        <v>0</v>
      </c>
      <c r="AW3229">
        <v>0</v>
      </c>
      <c r="AX3229">
        <v>0</v>
      </c>
      <c r="AY3229">
        <v>0</v>
      </c>
      <c r="AZ3229">
        <v>0</v>
      </c>
      <c r="BA3229">
        <v>0</v>
      </c>
      <c r="BB3229">
        <v>0</v>
      </c>
      <c r="BC3229">
        <v>0</v>
      </c>
      <c r="BD3229">
        <v>0</v>
      </c>
      <c r="BE3229">
        <v>0</v>
      </c>
      <c r="BF3229">
        <v>0</v>
      </c>
      <c r="BG3229">
        <v>0</v>
      </c>
      <c r="BH3229">
        <v>1</v>
      </c>
      <c r="BI3229">
        <v>1</v>
      </c>
      <c r="BJ3229">
        <v>0.2</v>
      </c>
      <c r="BK3229">
        <v>1</v>
      </c>
      <c r="BL3229">
        <v>69.98</v>
      </c>
      <c r="BM3229">
        <v>10.5</v>
      </c>
      <c r="BN3229">
        <v>80.48</v>
      </c>
      <c r="BO3229">
        <v>80.48</v>
      </c>
      <c r="BQ3229" t="s">
        <v>240</v>
      </c>
      <c r="BR3229" t="s">
        <v>84</v>
      </c>
      <c r="BS3229" s="3">
        <v>45804</v>
      </c>
      <c r="BT3229" s="4">
        <v>0.36041666666666666</v>
      </c>
      <c r="BU3229" t="s">
        <v>2832</v>
      </c>
      <c r="BV3229" t="s">
        <v>86</v>
      </c>
      <c r="BY3229">
        <v>1200</v>
      </c>
      <c r="CA3229" t="s">
        <v>242</v>
      </c>
      <c r="CC3229" t="s">
        <v>131</v>
      </c>
      <c r="CD3229">
        <v>7441</v>
      </c>
      <c r="CE3229" t="s">
        <v>88</v>
      </c>
      <c r="CF3229" s="3">
        <v>45805</v>
      </c>
      <c r="CI3229">
        <v>1</v>
      </c>
      <c r="CJ3229">
        <v>1</v>
      </c>
      <c r="CK3229">
        <v>21</v>
      </c>
      <c r="CL3229" t="s">
        <v>89</v>
      </c>
    </row>
    <row r="3230" spans="1:90" x14ac:dyDescent="0.3">
      <c r="A3230" t="s">
        <v>72</v>
      </c>
      <c r="B3230" t="s">
        <v>73</v>
      </c>
      <c r="C3230" t="s">
        <v>74</v>
      </c>
      <c r="E3230" t="str">
        <f>"080065553761"</f>
        <v>080065553761</v>
      </c>
      <c r="F3230" s="3">
        <v>45803</v>
      </c>
      <c r="G3230">
        <v>202602</v>
      </c>
      <c r="H3230" t="s">
        <v>75</v>
      </c>
      <c r="I3230" t="s">
        <v>76</v>
      </c>
      <c r="J3230" t="s">
        <v>77</v>
      </c>
      <c r="K3230" t="s">
        <v>78</v>
      </c>
      <c r="L3230" t="s">
        <v>75</v>
      </c>
      <c r="M3230" t="s">
        <v>76</v>
      </c>
      <c r="N3230" t="s">
        <v>390</v>
      </c>
      <c r="O3230" t="s">
        <v>82</v>
      </c>
      <c r="P3230" t="str">
        <f>"4170040574                    "</f>
        <v xml:space="preserve">4170040574                    </v>
      </c>
      <c r="Q3230">
        <v>0</v>
      </c>
      <c r="R3230">
        <v>0</v>
      </c>
      <c r="S3230">
        <v>0</v>
      </c>
      <c r="T3230">
        <v>0</v>
      </c>
      <c r="U3230">
        <v>0</v>
      </c>
      <c r="V3230">
        <v>0</v>
      </c>
      <c r="W3230">
        <v>0</v>
      </c>
      <c r="X3230">
        <v>0</v>
      </c>
      <c r="Y3230">
        <v>0</v>
      </c>
      <c r="Z3230">
        <v>0</v>
      </c>
      <c r="AA3230">
        <v>0</v>
      </c>
      <c r="AB3230">
        <v>0</v>
      </c>
      <c r="AC3230">
        <v>0</v>
      </c>
      <c r="AD3230">
        <v>0</v>
      </c>
      <c r="AE3230">
        <v>0</v>
      </c>
      <c r="AF3230">
        <v>0</v>
      </c>
      <c r="AG3230">
        <v>0</v>
      </c>
      <c r="AH3230">
        <v>0</v>
      </c>
      <c r="AI3230">
        <v>0</v>
      </c>
      <c r="AJ3230">
        <v>0</v>
      </c>
      <c r="AK3230">
        <v>0</v>
      </c>
      <c r="AL3230">
        <v>0</v>
      </c>
      <c r="AM3230">
        <v>0</v>
      </c>
      <c r="AN3230">
        <v>0</v>
      </c>
      <c r="AO3230">
        <v>0</v>
      </c>
      <c r="AP3230">
        <v>0</v>
      </c>
      <c r="AQ3230">
        <v>16.7</v>
      </c>
      <c r="AR3230">
        <v>0</v>
      </c>
      <c r="AS3230">
        <v>0</v>
      </c>
      <c r="AT3230">
        <v>0</v>
      </c>
      <c r="AU3230">
        <v>0</v>
      </c>
      <c r="AV3230">
        <v>0</v>
      </c>
      <c r="AW3230">
        <v>0</v>
      </c>
      <c r="AX3230">
        <v>0</v>
      </c>
      <c r="AY3230">
        <v>0</v>
      </c>
      <c r="AZ3230">
        <v>0</v>
      </c>
      <c r="BA3230">
        <v>0</v>
      </c>
      <c r="BB3230">
        <v>0</v>
      </c>
      <c r="BC3230">
        <v>0</v>
      </c>
      <c r="BD3230">
        <v>0</v>
      </c>
      <c r="BE3230">
        <v>0</v>
      </c>
      <c r="BF3230">
        <v>0</v>
      </c>
      <c r="BG3230">
        <v>0</v>
      </c>
      <c r="BH3230">
        <v>1</v>
      </c>
      <c r="BI3230">
        <v>1</v>
      </c>
      <c r="BJ3230">
        <v>0.2</v>
      </c>
      <c r="BK3230">
        <v>1</v>
      </c>
      <c r="BL3230">
        <v>54.66</v>
      </c>
      <c r="BM3230">
        <v>8.1999999999999993</v>
      </c>
      <c r="BN3230">
        <v>62.86</v>
      </c>
      <c r="BO3230">
        <v>62.86</v>
      </c>
      <c r="BQ3230" t="s">
        <v>391</v>
      </c>
      <c r="BR3230" t="s">
        <v>84</v>
      </c>
      <c r="BS3230" s="3">
        <v>45804</v>
      </c>
      <c r="BT3230" s="4">
        <v>0.3576388888888889</v>
      </c>
      <c r="BU3230" t="s">
        <v>1060</v>
      </c>
      <c r="BV3230" t="s">
        <v>86</v>
      </c>
      <c r="BY3230">
        <v>1200</v>
      </c>
      <c r="CA3230" t="s">
        <v>115</v>
      </c>
      <c r="CC3230" t="s">
        <v>76</v>
      </c>
      <c r="CD3230">
        <v>1600</v>
      </c>
      <c r="CE3230" t="s">
        <v>88</v>
      </c>
      <c r="CF3230" s="3">
        <v>45805</v>
      </c>
      <c r="CI3230">
        <v>1</v>
      </c>
      <c r="CJ3230">
        <v>1</v>
      </c>
      <c r="CK3230">
        <v>22</v>
      </c>
      <c r="CL3230" t="s">
        <v>89</v>
      </c>
    </row>
    <row r="3231" spans="1:90" x14ac:dyDescent="0.3">
      <c r="A3231" t="s">
        <v>72</v>
      </c>
      <c r="B3231" t="s">
        <v>73</v>
      </c>
      <c r="C3231" t="s">
        <v>74</v>
      </c>
      <c r="E3231" t="str">
        <f>"080065554773"</f>
        <v>080065554773</v>
      </c>
      <c r="F3231" s="3">
        <v>45803</v>
      </c>
      <c r="G3231">
        <v>202602</v>
      </c>
      <c r="H3231" t="s">
        <v>75</v>
      </c>
      <c r="I3231" t="s">
        <v>76</v>
      </c>
      <c r="J3231" t="s">
        <v>77</v>
      </c>
      <c r="K3231" t="s">
        <v>78</v>
      </c>
      <c r="L3231" t="s">
        <v>130</v>
      </c>
      <c r="M3231" t="s">
        <v>131</v>
      </c>
      <c r="N3231" t="s">
        <v>343</v>
      </c>
      <c r="O3231" t="s">
        <v>82</v>
      </c>
      <c r="P3231" t="str">
        <f>"4170040620                    "</f>
        <v xml:space="preserve">4170040620                    </v>
      </c>
      <c r="Q3231">
        <v>0</v>
      </c>
      <c r="R3231">
        <v>0</v>
      </c>
      <c r="S3231">
        <v>0</v>
      </c>
      <c r="T3231">
        <v>0</v>
      </c>
      <c r="U3231">
        <v>0</v>
      </c>
      <c r="V3231">
        <v>0</v>
      </c>
      <c r="W3231">
        <v>0</v>
      </c>
      <c r="X3231">
        <v>0</v>
      </c>
      <c r="Y3231">
        <v>0</v>
      </c>
      <c r="Z3231">
        <v>0</v>
      </c>
      <c r="AA3231">
        <v>0</v>
      </c>
      <c r="AB3231">
        <v>0</v>
      </c>
      <c r="AC3231">
        <v>0</v>
      </c>
      <c r="AD3231">
        <v>0</v>
      </c>
      <c r="AE3231">
        <v>0</v>
      </c>
      <c r="AF3231">
        <v>0</v>
      </c>
      <c r="AG3231">
        <v>0</v>
      </c>
      <c r="AH3231">
        <v>0</v>
      </c>
      <c r="AI3231">
        <v>0</v>
      </c>
      <c r="AJ3231">
        <v>0</v>
      </c>
      <c r="AK3231">
        <v>0</v>
      </c>
      <c r="AL3231">
        <v>0</v>
      </c>
      <c r="AM3231">
        <v>0</v>
      </c>
      <c r="AN3231">
        <v>0</v>
      </c>
      <c r="AO3231">
        <v>0</v>
      </c>
      <c r="AP3231">
        <v>0</v>
      </c>
      <c r="AQ3231">
        <v>21.38</v>
      </c>
      <c r="AR3231">
        <v>0</v>
      </c>
      <c r="AS3231">
        <v>0</v>
      </c>
      <c r="AT3231">
        <v>0</v>
      </c>
      <c r="AU3231">
        <v>0</v>
      </c>
      <c r="AV3231">
        <v>0</v>
      </c>
      <c r="AW3231">
        <v>0</v>
      </c>
      <c r="AX3231">
        <v>0</v>
      </c>
      <c r="AY3231">
        <v>0</v>
      </c>
      <c r="AZ3231">
        <v>0</v>
      </c>
      <c r="BA3231">
        <v>0</v>
      </c>
      <c r="BB3231">
        <v>0</v>
      </c>
      <c r="BC3231">
        <v>0</v>
      </c>
      <c r="BD3231">
        <v>0</v>
      </c>
      <c r="BE3231">
        <v>0</v>
      </c>
      <c r="BF3231">
        <v>0</v>
      </c>
      <c r="BG3231">
        <v>0</v>
      </c>
      <c r="BH3231">
        <v>1</v>
      </c>
      <c r="BI3231">
        <v>2</v>
      </c>
      <c r="BJ3231">
        <v>1.7</v>
      </c>
      <c r="BK3231">
        <v>2</v>
      </c>
      <c r="BL3231">
        <v>69.98</v>
      </c>
      <c r="BM3231">
        <v>10.5</v>
      </c>
      <c r="BN3231">
        <v>80.48</v>
      </c>
      <c r="BO3231">
        <v>80.48</v>
      </c>
      <c r="BQ3231" t="s">
        <v>344</v>
      </c>
      <c r="BR3231" t="s">
        <v>84</v>
      </c>
      <c r="BS3231" s="3">
        <v>45804</v>
      </c>
      <c r="BT3231" s="4">
        <v>0.39930555555555558</v>
      </c>
      <c r="BU3231" t="s">
        <v>345</v>
      </c>
      <c r="BV3231" t="s">
        <v>86</v>
      </c>
      <c r="BY3231">
        <v>8550</v>
      </c>
      <c r="CA3231" t="s">
        <v>242</v>
      </c>
      <c r="CC3231" t="s">
        <v>131</v>
      </c>
      <c r="CD3231">
        <v>7441</v>
      </c>
      <c r="CE3231" t="s">
        <v>116</v>
      </c>
      <c r="CF3231" s="3">
        <v>45805</v>
      </c>
      <c r="CI3231">
        <v>1</v>
      </c>
      <c r="CJ3231">
        <v>1</v>
      </c>
      <c r="CK3231">
        <v>21</v>
      </c>
      <c r="CL3231" t="s">
        <v>89</v>
      </c>
    </row>
    <row r="3232" spans="1:90" x14ac:dyDescent="0.3">
      <c r="A3232" t="s">
        <v>72</v>
      </c>
      <c r="B3232" t="s">
        <v>73</v>
      </c>
      <c r="C3232" t="s">
        <v>74</v>
      </c>
      <c r="E3232" t="str">
        <f>"080065554831"</f>
        <v>080065554831</v>
      </c>
      <c r="F3232" s="3">
        <v>45803</v>
      </c>
      <c r="G3232">
        <v>202602</v>
      </c>
      <c r="H3232" t="s">
        <v>75</v>
      </c>
      <c r="I3232" t="s">
        <v>76</v>
      </c>
      <c r="J3232" t="s">
        <v>77</v>
      </c>
      <c r="K3232" t="s">
        <v>78</v>
      </c>
      <c r="L3232" t="s">
        <v>177</v>
      </c>
      <c r="M3232" t="s">
        <v>178</v>
      </c>
      <c r="N3232" t="s">
        <v>212</v>
      </c>
      <c r="O3232" t="s">
        <v>82</v>
      </c>
      <c r="P3232" t="str">
        <f>"4170040565                    "</f>
        <v xml:space="preserve">4170040565                    </v>
      </c>
      <c r="Q3232">
        <v>0</v>
      </c>
      <c r="R3232">
        <v>0</v>
      </c>
      <c r="S3232">
        <v>0</v>
      </c>
      <c r="T3232">
        <v>0</v>
      </c>
      <c r="U3232">
        <v>0</v>
      </c>
      <c r="V3232">
        <v>0</v>
      </c>
      <c r="W3232">
        <v>0</v>
      </c>
      <c r="X3232">
        <v>0</v>
      </c>
      <c r="Y3232">
        <v>0</v>
      </c>
      <c r="Z3232">
        <v>0</v>
      </c>
      <c r="AA3232">
        <v>0</v>
      </c>
      <c r="AB3232">
        <v>0</v>
      </c>
      <c r="AC3232">
        <v>0</v>
      </c>
      <c r="AD3232">
        <v>0</v>
      </c>
      <c r="AE3232">
        <v>0</v>
      </c>
      <c r="AF3232">
        <v>0</v>
      </c>
      <c r="AG3232">
        <v>0</v>
      </c>
      <c r="AH3232">
        <v>0</v>
      </c>
      <c r="AI3232">
        <v>0</v>
      </c>
      <c r="AJ3232">
        <v>0</v>
      </c>
      <c r="AK3232">
        <v>0</v>
      </c>
      <c r="AL3232">
        <v>0</v>
      </c>
      <c r="AM3232">
        <v>0</v>
      </c>
      <c r="AN3232">
        <v>0</v>
      </c>
      <c r="AO3232">
        <v>0</v>
      </c>
      <c r="AP3232">
        <v>0</v>
      </c>
      <c r="AQ3232">
        <v>21.38</v>
      </c>
      <c r="AR3232">
        <v>0</v>
      </c>
      <c r="AS3232">
        <v>0</v>
      </c>
      <c r="AT3232">
        <v>0</v>
      </c>
      <c r="AU3232">
        <v>0</v>
      </c>
      <c r="AV3232">
        <v>0</v>
      </c>
      <c r="AW3232">
        <v>0</v>
      </c>
      <c r="AX3232">
        <v>0</v>
      </c>
      <c r="AY3232">
        <v>0</v>
      </c>
      <c r="AZ3232">
        <v>0</v>
      </c>
      <c r="BA3232">
        <v>0</v>
      </c>
      <c r="BB3232">
        <v>0</v>
      </c>
      <c r="BC3232">
        <v>0</v>
      </c>
      <c r="BD3232">
        <v>0</v>
      </c>
      <c r="BE3232">
        <v>0</v>
      </c>
      <c r="BF3232">
        <v>0</v>
      </c>
      <c r="BG3232">
        <v>0</v>
      </c>
      <c r="BH3232">
        <v>1</v>
      </c>
      <c r="BI3232">
        <v>1</v>
      </c>
      <c r="BJ3232">
        <v>1.4</v>
      </c>
      <c r="BK3232">
        <v>1.5</v>
      </c>
      <c r="BL3232">
        <v>69.98</v>
      </c>
      <c r="BM3232">
        <v>10.5</v>
      </c>
      <c r="BN3232">
        <v>80.48</v>
      </c>
      <c r="BO3232">
        <v>80.48</v>
      </c>
      <c r="BQ3232" t="s">
        <v>213</v>
      </c>
      <c r="BR3232" t="s">
        <v>84</v>
      </c>
      <c r="BS3232" s="3">
        <v>45804</v>
      </c>
      <c r="BT3232" s="4">
        <v>0.35138888888888886</v>
      </c>
      <c r="BU3232" t="s">
        <v>214</v>
      </c>
      <c r="BV3232" t="s">
        <v>86</v>
      </c>
      <c r="BY3232">
        <v>7000</v>
      </c>
      <c r="CA3232" t="s">
        <v>182</v>
      </c>
      <c r="CC3232" t="s">
        <v>178</v>
      </c>
      <c r="CD3232">
        <v>6229</v>
      </c>
      <c r="CE3232" t="s">
        <v>116</v>
      </c>
      <c r="CF3232" s="3">
        <v>45804</v>
      </c>
      <c r="CI3232">
        <v>1</v>
      </c>
      <c r="CJ3232">
        <v>1</v>
      </c>
      <c r="CK3232">
        <v>21</v>
      </c>
      <c r="CL3232" t="s">
        <v>89</v>
      </c>
    </row>
    <row r="3233" spans="1:90" x14ac:dyDescent="0.3">
      <c r="A3233" t="s">
        <v>72</v>
      </c>
      <c r="B3233" t="s">
        <v>73</v>
      </c>
      <c r="C3233" t="s">
        <v>74</v>
      </c>
      <c r="E3233" t="str">
        <f>"080065554930"</f>
        <v>080065554930</v>
      </c>
      <c r="F3233" s="3">
        <v>45803</v>
      </c>
      <c r="G3233">
        <v>202602</v>
      </c>
      <c r="H3233" t="s">
        <v>75</v>
      </c>
      <c r="I3233" t="s">
        <v>76</v>
      </c>
      <c r="J3233" t="s">
        <v>77</v>
      </c>
      <c r="K3233" t="s">
        <v>78</v>
      </c>
      <c r="L3233" t="s">
        <v>463</v>
      </c>
      <c r="M3233" t="s">
        <v>464</v>
      </c>
      <c r="N3233" t="s">
        <v>744</v>
      </c>
      <c r="O3233" t="s">
        <v>82</v>
      </c>
      <c r="P3233" t="str">
        <f>"4170040605                    "</f>
        <v xml:space="preserve">4170040605                    </v>
      </c>
      <c r="Q3233">
        <v>0</v>
      </c>
      <c r="R3233">
        <v>0</v>
      </c>
      <c r="S3233">
        <v>0</v>
      </c>
      <c r="T3233">
        <v>0</v>
      </c>
      <c r="U3233">
        <v>0</v>
      </c>
      <c r="V3233">
        <v>0</v>
      </c>
      <c r="W3233">
        <v>0</v>
      </c>
      <c r="X3233">
        <v>0</v>
      </c>
      <c r="Y3233">
        <v>0</v>
      </c>
      <c r="Z3233">
        <v>0</v>
      </c>
      <c r="AA3233">
        <v>0</v>
      </c>
      <c r="AB3233">
        <v>0</v>
      </c>
      <c r="AC3233">
        <v>0</v>
      </c>
      <c r="AD3233">
        <v>0</v>
      </c>
      <c r="AE3233">
        <v>0</v>
      </c>
      <c r="AF3233">
        <v>0</v>
      </c>
      <c r="AG3233">
        <v>0</v>
      </c>
      <c r="AH3233">
        <v>0</v>
      </c>
      <c r="AI3233">
        <v>0</v>
      </c>
      <c r="AJ3233">
        <v>0</v>
      </c>
      <c r="AK3233">
        <v>0</v>
      </c>
      <c r="AL3233">
        <v>0</v>
      </c>
      <c r="AM3233">
        <v>0</v>
      </c>
      <c r="AN3233">
        <v>0</v>
      </c>
      <c r="AO3233">
        <v>0</v>
      </c>
      <c r="AP3233">
        <v>0</v>
      </c>
      <c r="AQ3233">
        <v>37.409999999999997</v>
      </c>
      <c r="AR3233">
        <v>0</v>
      </c>
      <c r="AS3233">
        <v>0</v>
      </c>
      <c r="AT3233">
        <v>0</v>
      </c>
      <c r="AU3233">
        <v>0</v>
      </c>
      <c r="AV3233">
        <v>0</v>
      </c>
      <c r="AW3233">
        <v>0</v>
      </c>
      <c r="AX3233">
        <v>0</v>
      </c>
      <c r="AY3233">
        <v>0</v>
      </c>
      <c r="AZ3233">
        <v>0</v>
      </c>
      <c r="BA3233">
        <v>0</v>
      </c>
      <c r="BB3233">
        <v>0</v>
      </c>
      <c r="BC3233">
        <v>0</v>
      </c>
      <c r="BD3233">
        <v>0</v>
      </c>
      <c r="BE3233">
        <v>0</v>
      </c>
      <c r="BF3233">
        <v>0</v>
      </c>
      <c r="BG3233">
        <v>0</v>
      </c>
      <c r="BH3233">
        <v>1</v>
      </c>
      <c r="BI3233">
        <v>3</v>
      </c>
      <c r="BJ3233">
        <v>3.4</v>
      </c>
      <c r="BK3233">
        <v>3.5</v>
      </c>
      <c r="BL3233">
        <v>122.43</v>
      </c>
      <c r="BM3233">
        <v>18.36</v>
      </c>
      <c r="BN3233">
        <v>140.79</v>
      </c>
      <c r="BO3233">
        <v>140.79</v>
      </c>
      <c r="BQ3233" t="s">
        <v>745</v>
      </c>
      <c r="BR3233" t="s">
        <v>84</v>
      </c>
      <c r="BS3233" s="3">
        <v>45804</v>
      </c>
      <c r="BT3233" s="4">
        <v>0.4375</v>
      </c>
      <c r="BU3233" t="s">
        <v>746</v>
      </c>
      <c r="BV3233" t="s">
        <v>86</v>
      </c>
      <c r="BY3233">
        <v>16965</v>
      </c>
      <c r="CA3233" t="s">
        <v>588</v>
      </c>
      <c r="CC3233" t="s">
        <v>464</v>
      </c>
      <c r="CD3233">
        <v>5201</v>
      </c>
      <c r="CE3233" t="s">
        <v>96</v>
      </c>
      <c r="CF3233" s="3">
        <v>45804</v>
      </c>
      <c r="CI3233">
        <v>1</v>
      </c>
      <c r="CJ3233">
        <v>1</v>
      </c>
      <c r="CK3233">
        <v>21</v>
      </c>
      <c r="CL3233" t="s">
        <v>89</v>
      </c>
    </row>
    <row r="3234" spans="1:90" x14ac:dyDescent="0.3">
      <c r="A3234" t="s">
        <v>72</v>
      </c>
      <c r="B3234" t="s">
        <v>73</v>
      </c>
      <c r="C3234" t="s">
        <v>74</v>
      </c>
      <c r="E3234" t="str">
        <f>"080065554972"</f>
        <v>080065554972</v>
      </c>
      <c r="F3234" s="3">
        <v>45803</v>
      </c>
      <c r="G3234">
        <v>202602</v>
      </c>
      <c r="H3234" t="s">
        <v>75</v>
      </c>
      <c r="I3234" t="s">
        <v>76</v>
      </c>
      <c r="J3234" t="s">
        <v>77</v>
      </c>
      <c r="K3234" t="s">
        <v>78</v>
      </c>
      <c r="L3234" t="s">
        <v>75</v>
      </c>
      <c r="M3234" t="s">
        <v>76</v>
      </c>
      <c r="N3234" t="s">
        <v>346</v>
      </c>
      <c r="O3234" t="s">
        <v>82</v>
      </c>
      <c r="P3234" t="str">
        <f>"4170040638                    "</f>
        <v xml:space="preserve">4170040638                    </v>
      </c>
      <c r="Q3234">
        <v>0</v>
      </c>
      <c r="R3234">
        <v>0</v>
      </c>
      <c r="S3234">
        <v>0</v>
      </c>
      <c r="T3234">
        <v>0</v>
      </c>
      <c r="U3234">
        <v>0</v>
      </c>
      <c r="V3234">
        <v>0</v>
      </c>
      <c r="W3234">
        <v>0</v>
      </c>
      <c r="X3234">
        <v>0</v>
      </c>
      <c r="Y3234">
        <v>0</v>
      </c>
      <c r="Z3234">
        <v>0</v>
      </c>
      <c r="AA3234">
        <v>0</v>
      </c>
      <c r="AB3234">
        <v>0</v>
      </c>
      <c r="AC3234">
        <v>0</v>
      </c>
      <c r="AD3234">
        <v>0</v>
      </c>
      <c r="AE3234">
        <v>0</v>
      </c>
      <c r="AF3234">
        <v>0</v>
      </c>
      <c r="AG3234">
        <v>0</v>
      </c>
      <c r="AH3234">
        <v>0</v>
      </c>
      <c r="AI3234">
        <v>0</v>
      </c>
      <c r="AJ3234">
        <v>0</v>
      </c>
      <c r="AK3234">
        <v>0</v>
      </c>
      <c r="AL3234">
        <v>0</v>
      </c>
      <c r="AM3234">
        <v>0</v>
      </c>
      <c r="AN3234">
        <v>0</v>
      </c>
      <c r="AO3234">
        <v>0</v>
      </c>
      <c r="AP3234">
        <v>0</v>
      </c>
      <c r="AQ3234">
        <v>16.7</v>
      </c>
      <c r="AR3234">
        <v>0</v>
      </c>
      <c r="AS3234">
        <v>0</v>
      </c>
      <c r="AT3234">
        <v>0</v>
      </c>
      <c r="AU3234">
        <v>0</v>
      </c>
      <c r="AV3234">
        <v>0</v>
      </c>
      <c r="AW3234">
        <v>0</v>
      </c>
      <c r="AX3234">
        <v>0</v>
      </c>
      <c r="AY3234">
        <v>0</v>
      </c>
      <c r="AZ3234">
        <v>0</v>
      </c>
      <c r="BA3234">
        <v>0</v>
      </c>
      <c r="BB3234">
        <v>0</v>
      </c>
      <c r="BC3234">
        <v>0</v>
      </c>
      <c r="BD3234">
        <v>0</v>
      </c>
      <c r="BE3234">
        <v>0</v>
      </c>
      <c r="BF3234">
        <v>0</v>
      </c>
      <c r="BG3234">
        <v>0</v>
      </c>
      <c r="BH3234">
        <v>1</v>
      </c>
      <c r="BI3234">
        <v>1</v>
      </c>
      <c r="BJ3234">
        <v>0.2</v>
      </c>
      <c r="BK3234">
        <v>1</v>
      </c>
      <c r="BL3234">
        <v>54.66</v>
      </c>
      <c r="BM3234">
        <v>8.1999999999999993</v>
      </c>
      <c r="BN3234">
        <v>62.86</v>
      </c>
      <c r="BO3234">
        <v>62.86</v>
      </c>
      <c r="BQ3234" t="s">
        <v>347</v>
      </c>
      <c r="BR3234" t="s">
        <v>84</v>
      </c>
      <c r="BS3234" s="3">
        <v>45804</v>
      </c>
      <c r="BT3234" s="4">
        <v>0.35069444444444442</v>
      </c>
      <c r="BU3234" t="s">
        <v>407</v>
      </c>
      <c r="BV3234" t="s">
        <v>86</v>
      </c>
      <c r="BY3234">
        <v>1200</v>
      </c>
      <c r="CA3234" t="s">
        <v>349</v>
      </c>
      <c r="CC3234" t="s">
        <v>76</v>
      </c>
      <c r="CD3234">
        <v>1619</v>
      </c>
      <c r="CE3234" t="s">
        <v>88</v>
      </c>
      <c r="CF3234" s="3">
        <v>45804</v>
      </c>
      <c r="CI3234">
        <v>1</v>
      </c>
      <c r="CJ3234">
        <v>1</v>
      </c>
      <c r="CK3234">
        <v>22</v>
      </c>
      <c r="CL3234" t="s">
        <v>89</v>
      </c>
    </row>
    <row r="3235" spans="1:90" x14ac:dyDescent="0.3">
      <c r="A3235" t="s">
        <v>72</v>
      </c>
      <c r="B3235" t="s">
        <v>73</v>
      </c>
      <c r="C3235" t="s">
        <v>74</v>
      </c>
      <c r="E3235" t="str">
        <f>"080065555182"</f>
        <v>080065555182</v>
      </c>
      <c r="F3235" s="3">
        <v>45803</v>
      </c>
      <c r="G3235">
        <v>202602</v>
      </c>
      <c r="H3235" t="s">
        <v>75</v>
      </c>
      <c r="I3235" t="s">
        <v>76</v>
      </c>
      <c r="J3235" t="s">
        <v>77</v>
      </c>
      <c r="K3235" t="s">
        <v>78</v>
      </c>
      <c r="L3235" t="s">
        <v>672</v>
      </c>
      <c r="M3235" t="s">
        <v>673</v>
      </c>
      <c r="N3235" t="s">
        <v>674</v>
      </c>
      <c r="O3235" t="s">
        <v>82</v>
      </c>
      <c r="P3235" t="str">
        <f>"4170040631                    "</f>
        <v xml:space="preserve">4170040631                    </v>
      </c>
      <c r="Q3235">
        <v>0</v>
      </c>
      <c r="R3235">
        <v>0</v>
      </c>
      <c r="S3235">
        <v>0</v>
      </c>
      <c r="T3235">
        <v>0</v>
      </c>
      <c r="U3235">
        <v>0</v>
      </c>
      <c r="V3235">
        <v>0</v>
      </c>
      <c r="W3235">
        <v>0</v>
      </c>
      <c r="X3235">
        <v>0</v>
      </c>
      <c r="Y3235">
        <v>0</v>
      </c>
      <c r="Z3235">
        <v>0</v>
      </c>
      <c r="AA3235">
        <v>0</v>
      </c>
      <c r="AB3235">
        <v>0</v>
      </c>
      <c r="AC3235">
        <v>0</v>
      </c>
      <c r="AD3235">
        <v>0</v>
      </c>
      <c r="AE3235">
        <v>0</v>
      </c>
      <c r="AF3235">
        <v>0</v>
      </c>
      <c r="AG3235">
        <v>0</v>
      </c>
      <c r="AH3235">
        <v>0</v>
      </c>
      <c r="AI3235">
        <v>0</v>
      </c>
      <c r="AJ3235">
        <v>0</v>
      </c>
      <c r="AK3235">
        <v>0</v>
      </c>
      <c r="AL3235">
        <v>0</v>
      </c>
      <c r="AM3235">
        <v>0</v>
      </c>
      <c r="AN3235">
        <v>0</v>
      </c>
      <c r="AO3235">
        <v>0</v>
      </c>
      <c r="AP3235">
        <v>0</v>
      </c>
      <c r="AQ3235">
        <v>41.43</v>
      </c>
      <c r="AR3235">
        <v>0</v>
      </c>
      <c r="AS3235">
        <v>0</v>
      </c>
      <c r="AT3235">
        <v>0</v>
      </c>
      <c r="AU3235">
        <v>0</v>
      </c>
      <c r="AV3235">
        <v>0</v>
      </c>
      <c r="AW3235">
        <v>0</v>
      </c>
      <c r="AX3235">
        <v>0</v>
      </c>
      <c r="AY3235">
        <v>0</v>
      </c>
      <c r="AZ3235">
        <v>0</v>
      </c>
      <c r="BA3235">
        <v>0</v>
      </c>
      <c r="BB3235">
        <v>0</v>
      </c>
      <c r="BC3235">
        <v>0</v>
      </c>
      <c r="BD3235">
        <v>0</v>
      </c>
      <c r="BE3235">
        <v>0</v>
      </c>
      <c r="BF3235">
        <v>0</v>
      </c>
      <c r="BG3235">
        <v>0</v>
      </c>
      <c r="BH3235">
        <v>1</v>
      </c>
      <c r="BI3235">
        <v>1</v>
      </c>
      <c r="BJ3235">
        <v>0.2</v>
      </c>
      <c r="BK3235">
        <v>1</v>
      </c>
      <c r="BL3235">
        <v>135.59</v>
      </c>
      <c r="BM3235">
        <v>20.34</v>
      </c>
      <c r="BN3235">
        <v>155.93</v>
      </c>
      <c r="BO3235">
        <v>155.93</v>
      </c>
      <c r="BQ3235" t="s">
        <v>675</v>
      </c>
      <c r="BR3235" t="s">
        <v>84</v>
      </c>
      <c r="BS3235" s="3">
        <v>45804</v>
      </c>
      <c r="BT3235" s="4">
        <v>0.47013888888888888</v>
      </c>
      <c r="BU3235" t="s">
        <v>1512</v>
      </c>
      <c r="BV3235" t="s">
        <v>86</v>
      </c>
      <c r="BY3235">
        <v>1200</v>
      </c>
      <c r="CA3235" t="s">
        <v>677</v>
      </c>
      <c r="CC3235" t="s">
        <v>673</v>
      </c>
      <c r="CD3235">
        <v>2531</v>
      </c>
      <c r="CE3235" t="s">
        <v>88</v>
      </c>
      <c r="CF3235" s="3">
        <v>45805</v>
      </c>
      <c r="CI3235">
        <v>1</v>
      </c>
      <c r="CJ3235">
        <v>1</v>
      </c>
      <c r="CK3235">
        <v>23</v>
      </c>
      <c r="CL3235" t="s">
        <v>89</v>
      </c>
    </row>
    <row r="3236" spans="1:90" x14ac:dyDescent="0.3">
      <c r="A3236" t="s">
        <v>72</v>
      </c>
      <c r="B3236" t="s">
        <v>73</v>
      </c>
      <c r="C3236" t="s">
        <v>74</v>
      </c>
      <c r="E3236" t="str">
        <f>"080065555234"</f>
        <v>080065555234</v>
      </c>
      <c r="F3236" s="3">
        <v>45803</v>
      </c>
      <c r="G3236">
        <v>202602</v>
      </c>
      <c r="H3236" t="s">
        <v>75</v>
      </c>
      <c r="I3236" t="s">
        <v>76</v>
      </c>
      <c r="J3236" t="s">
        <v>77</v>
      </c>
      <c r="K3236" t="s">
        <v>78</v>
      </c>
      <c r="L3236" t="s">
        <v>177</v>
      </c>
      <c r="M3236" t="s">
        <v>178</v>
      </c>
      <c r="N3236" t="s">
        <v>1439</v>
      </c>
      <c r="O3236" t="s">
        <v>82</v>
      </c>
      <c r="P3236" t="str">
        <f>"4170040533                    "</f>
        <v xml:space="preserve">4170040533                    </v>
      </c>
      <c r="Q3236">
        <v>0</v>
      </c>
      <c r="R3236">
        <v>0</v>
      </c>
      <c r="S3236">
        <v>0</v>
      </c>
      <c r="T3236">
        <v>0</v>
      </c>
      <c r="U3236">
        <v>0</v>
      </c>
      <c r="V3236">
        <v>0</v>
      </c>
      <c r="W3236">
        <v>0</v>
      </c>
      <c r="X3236">
        <v>0</v>
      </c>
      <c r="Y3236">
        <v>0</v>
      </c>
      <c r="Z3236">
        <v>0</v>
      </c>
      <c r="AA3236">
        <v>0</v>
      </c>
      <c r="AB3236">
        <v>0</v>
      </c>
      <c r="AC3236">
        <v>0</v>
      </c>
      <c r="AD3236">
        <v>0</v>
      </c>
      <c r="AE3236">
        <v>0</v>
      </c>
      <c r="AF3236">
        <v>0</v>
      </c>
      <c r="AG3236">
        <v>0</v>
      </c>
      <c r="AH3236">
        <v>0</v>
      </c>
      <c r="AI3236">
        <v>0</v>
      </c>
      <c r="AJ3236">
        <v>0</v>
      </c>
      <c r="AK3236">
        <v>0</v>
      </c>
      <c r="AL3236">
        <v>0</v>
      </c>
      <c r="AM3236">
        <v>0</v>
      </c>
      <c r="AN3236">
        <v>0</v>
      </c>
      <c r="AO3236">
        <v>0</v>
      </c>
      <c r="AP3236">
        <v>0</v>
      </c>
      <c r="AQ3236">
        <v>149.58000000000001</v>
      </c>
      <c r="AR3236">
        <v>0</v>
      </c>
      <c r="AS3236">
        <v>0</v>
      </c>
      <c r="AT3236">
        <v>0</v>
      </c>
      <c r="AU3236">
        <v>0</v>
      </c>
      <c r="AV3236">
        <v>0</v>
      </c>
      <c r="AW3236">
        <v>0</v>
      </c>
      <c r="AX3236">
        <v>0</v>
      </c>
      <c r="AY3236">
        <v>0</v>
      </c>
      <c r="AZ3236">
        <v>0</v>
      </c>
      <c r="BA3236">
        <v>0</v>
      </c>
      <c r="BB3236">
        <v>0</v>
      </c>
      <c r="BC3236">
        <v>0</v>
      </c>
      <c r="BD3236">
        <v>0</v>
      </c>
      <c r="BE3236">
        <v>0</v>
      </c>
      <c r="BF3236">
        <v>0</v>
      </c>
      <c r="BG3236">
        <v>0</v>
      </c>
      <c r="BH3236">
        <v>1</v>
      </c>
      <c r="BI3236">
        <v>14</v>
      </c>
      <c r="BJ3236">
        <v>13.2</v>
      </c>
      <c r="BK3236">
        <v>14</v>
      </c>
      <c r="BL3236">
        <v>489.54</v>
      </c>
      <c r="BM3236">
        <v>73.430000000000007</v>
      </c>
      <c r="BN3236">
        <v>562.97</v>
      </c>
      <c r="BO3236">
        <v>562.97</v>
      </c>
      <c r="BQ3236" t="s">
        <v>1440</v>
      </c>
      <c r="BR3236" t="s">
        <v>84</v>
      </c>
      <c r="BS3236" s="3">
        <v>45805</v>
      </c>
      <c r="BT3236" s="4">
        <v>0.34375</v>
      </c>
      <c r="BU3236" t="s">
        <v>3120</v>
      </c>
      <c r="BV3236" t="s">
        <v>89</v>
      </c>
      <c r="BW3236" t="s">
        <v>296</v>
      </c>
      <c r="BX3236" t="s">
        <v>402</v>
      </c>
      <c r="BY3236">
        <v>66240</v>
      </c>
      <c r="CA3236" t="s">
        <v>182</v>
      </c>
      <c r="CC3236" t="s">
        <v>178</v>
      </c>
      <c r="CD3236">
        <v>6229</v>
      </c>
      <c r="CE3236" t="s">
        <v>550</v>
      </c>
      <c r="CF3236" s="3">
        <v>45805</v>
      </c>
      <c r="CI3236">
        <v>1</v>
      </c>
      <c r="CJ3236">
        <v>2</v>
      </c>
      <c r="CK3236">
        <v>21</v>
      </c>
      <c r="CL3236" t="s">
        <v>89</v>
      </c>
    </row>
    <row r="3237" spans="1:90" x14ac:dyDescent="0.3">
      <c r="A3237" t="s">
        <v>72</v>
      </c>
      <c r="B3237" t="s">
        <v>73</v>
      </c>
      <c r="C3237" t="s">
        <v>74</v>
      </c>
      <c r="E3237" t="str">
        <f>"080065556327"</f>
        <v>080065556327</v>
      </c>
      <c r="F3237" s="3">
        <v>45803</v>
      </c>
      <c r="G3237">
        <v>202602</v>
      </c>
      <c r="H3237" t="s">
        <v>75</v>
      </c>
      <c r="I3237" t="s">
        <v>76</v>
      </c>
      <c r="J3237" t="s">
        <v>77</v>
      </c>
      <c r="K3237" t="s">
        <v>78</v>
      </c>
      <c r="L3237" t="s">
        <v>123</v>
      </c>
      <c r="M3237" t="s">
        <v>123</v>
      </c>
      <c r="N3237" t="s">
        <v>762</v>
      </c>
      <c r="O3237" t="s">
        <v>300</v>
      </c>
      <c r="P3237" t="str">
        <f>"4170040584                    "</f>
        <v xml:space="preserve">4170040584                    </v>
      </c>
      <c r="Q3237">
        <v>0</v>
      </c>
      <c r="R3237">
        <v>0</v>
      </c>
      <c r="S3237">
        <v>0</v>
      </c>
      <c r="T3237">
        <v>0</v>
      </c>
      <c r="U3237">
        <v>0</v>
      </c>
      <c r="V3237">
        <v>0</v>
      </c>
      <c r="W3237">
        <v>0</v>
      </c>
      <c r="X3237">
        <v>0</v>
      </c>
      <c r="Y3237">
        <v>0</v>
      </c>
      <c r="Z3237">
        <v>0</v>
      </c>
      <c r="AA3237">
        <v>0</v>
      </c>
      <c r="AB3237">
        <v>0</v>
      </c>
      <c r="AC3237">
        <v>0</v>
      </c>
      <c r="AD3237">
        <v>0</v>
      </c>
      <c r="AE3237">
        <v>0</v>
      </c>
      <c r="AF3237">
        <v>0</v>
      </c>
      <c r="AG3237">
        <v>0</v>
      </c>
      <c r="AH3237">
        <v>0</v>
      </c>
      <c r="AI3237">
        <v>0</v>
      </c>
      <c r="AJ3237">
        <v>0</v>
      </c>
      <c r="AK3237">
        <v>0</v>
      </c>
      <c r="AL3237">
        <v>0</v>
      </c>
      <c r="AM3237">
        <v>0</v>
      </c>
      <c r="AN3237">
        <v>0</v>
      </c>
      <c r="AO3237">
        <v>0</v>
      </c>
      <c r="AP3237">
        <v>0</v>
      </c>
      <c r="AQ3237">
        <v>123.86</v>
      </c>
      <c r="AR3237">
        <v>0</v>
      </c>
      <c r="AS3237">
        <v>0</v>
      </c>
      <c r="AT3237">
        <v>0</v>
      </c>
      <c r="AU3237">
        <v>0</v>
      </c>
      <c r="AV3237">
        <v>0</v>
      </c>
      <c r="AW3237">
        <v>0</v>
      </c>
      <c r="AX3237">
        <v>0</v>
      </c>
      <c r="AY3237">
        <v>0</v>
      </c>
      <c r="AZ3237">
        <v>0</v>
      </c>
      <c r="BA3237">
        <v>0</v>
      </c>
      <c r="BB3237">
        <v>0</v>
      </c>
      <c r="BC3237">
        <v>0</v>
      </c>
      <c r="BD3237">
        <v>0</v>
      </c>
      <c r="BE3237">
        <v>0</v>
      </c>
      <c r="BF3237">
        <v>0</v>
      </c>
      <c r="BG3237">
        <v>0</v>
      </c>
      <c r="BH3237">
        <v>2</v>
      </c>
      <c r="BI3237">
        <v>16</v>
      </c>
      <c r="BJ3237">
        <v>36.1</v>
      </c>
      <c r="BK3237">
        <v>37</v>
      </c>
      <c r="BL3237">
        <v>410.92</v>
      </c>
      <c r="BM3237">
        <v>61.64</v>
      </c>
      <c r="BN3237">
        <v>472.56</v>
      </c>
      <c r="BO3237">
        <v>472.56</v>
      </c>
      <c r="BQ3237" t="s">
        <v>763</v>
      </c>
      <c r="BR3237" t="s">
        <v>84</v>
      </c>
      <c r="BS3237" s="3">
        <v>45805</v>
      </c>
      <c r="BT3237" s="4">
        <v>0.5625</v>
      </c>
      <c r="BU3237" t="s">
        <v>3121</v>
      </c>
      <c r="BV3237" t="s">
        <v>86</v>
      </c>
      <c r="BY3237">
        <v>180642</v>
      </c>
      <c r="CA3237" t="s">
        <v>128</v>
      </c>
      <c r="CC3237" t="s">
        <v>123</v>
      </c>
      <c r="CD3237">
        <v>7646</v>
      </c>
      <c r="CE3237" t="s">
        <v>221</v>
      </c>
      <c r="CF3237" s="3">
        <v>45806</v>
      </c>
      <c r="CI3237">
        <v>3</v>
      </c>
      <c r="CJ3237">
        <v>2</v>
      </c>
      <c r="CK3237">
        <v>43</v>
      </c>
      <c r="CL3237" t="s">
        <v>89</v>
      </c>
    </row>
    <row r="3238" spans="1:90" x14ac:dyDescent="0.3">
      <c r="A3238" t="s">
        <v>72</v>
      </c>
      <c r="B3238" t="s">
        <v>73</v>
      </c>
      <c r="C3238" t="s">
        <v>74</v>
      </c>
      <c r="E3238" t="str">
        <f>"080065557198"</f>
        <v>080065557198</v>
      </c>
      <c r="F3238" s="3">
        <v>45803</v>
      </c>
      <c r="G3238">
        <v>202602</v>
      </c>
      <c r="H3238" t="s">
        <v>75</v>
      </c>
      <c r="I3238" t="s">
        <v>76</v>
      </c>
      <c r="J3238" t="s">
        <v>77</v>
      </c>
      <c r="K3238" t="s">
        <v>78</v>
      </c>
      <c r="L3238" t="s">
        <v>266</v>
      </c>
      <c r="M3238" t="s">
        <v>267</v>
      </c>
      <c r="N3238" t="s">
        <v>3122</v>
      </c>
      <c r="O3238" t="s">
        <v>82</v>
      </c>
      <c r="P3238" t="str">
        <f>"4170040555                    "</f>
        <v xml:space="preserve">4170040555                    </v>
      </c>
      <c r="Q3238">
        <v>0</v>
      </c>
      <c r="R3238">
        <v>0</v>
      </c>
      <c r="S3238">
        <v>0</v>
      </c>
      <c r="T3238">
        <v>0</v>
      </c>
      <c r="U3238">
        <v>0</v>
      </c>
      <c r="V3238">
        <v>0</v>
      </c>
      <c r="W3238">
        <v>0</v>
      </c>
      <c r="X3238">
        <v>0</v>
      </c>
      <c r="Y3238">
        <v>0</v>
      </c>
      <c r="Z3238">
        <v>0</v>
      </c>
      <c r="AA3238">
        <v>0</v>
      </c>
      <c r="AB3238">
        <v>0</v>
      </c>
      <c r="AC3238">
        <v>0</v>
      </c>
      <c r="AD3238">
        <v>0</v>
      </c>
      <c r="AE3238">
        <v>0</v>
      </c>
      <c r="AF3238">
        <v>0</v>
      </c>
      <c r="AG3238">
        <v>0</v>
      </c>
      <c r="AH3238">
        <v>0</v>
      </c>
      <c r="AI3238">
        <v>0</v>
      </c>
      <c r="AJ3238">
        <v>0</v>
      </c>
      <c r="AK3238">
        <v>0</v>
      </c>
      <c r="AL3238">
        <v>0</v>
      </c>
      <c r="AM3238">
        <v>0</v>
      </c>
      <c r="AN3238">
        <v>0</v>
      </c>
      <c r="AO3238">
        <v>0</v>
      </c>
      <c r="AP3238">
        <v>0</v>
      </c>
      <c r="AQ3238">
        <v>21.38</v>
      </c>
      <c r="AR3238">
        <v>0</v>
      </c>
      <c r="AS3238">
        <v>0</v>
      </c>
      <c r="AT3238">
        <v>0</v>
      </c>
      <c r="AU3238">
        <v>0</v>
      </c>
      <c r="AV3238">
        <v>0</v>
      </c>
      <c r="AW3238">
        <v>0</v>
      </c>
      <c r="AX3238">
        <v>0</v>
      </c>
      <c r="AY3238">
        <v>0</v>
      </c>
      <c r="AZ3238">
        <v>0</v>
      </c>
      <c r="BA3238">
        <v>0</v>
      </c>
      <c r="BB3238">
        <v>0</v>
      </c>
      <c r="BC3238">
        <v>0</v>
      </c>
      <c r="BD3238">
        <v>0</v>
      </c>
      <c r="BE3238">
        <v>0</v>
      </c>
      <c r="BF3238">
        <v>0</v>
      </c>
      <c r="BG3238">
        <v>0</v>
      </c>
      <c r="BH3238">
        <v>1</v>
      </c>
      <c r="BI3238">
        <v>1</v>
      </c>
      <c r="BJ3238">
        <v>0.9</v>
      </c>
      <c r="BK3238">
        <v>1</v>
      </c>
      <c r="BL3238">
        <v>69.98</v>
      </c>
      <c r="BM3238">
        <v>10.5</v>
      </c>
      <c r="BN3238">
        <v>80.48</v>
      </c>
      <c r="BO3238">
        <v>80.48</v>
      </c>
      <c r="BQ3238" t="s">
        <v>3123</v>
      </c>
      <c r="BR3238" t="s">
        <v>84</v>
      </c>
      <c r="BS3238" s="3">
        <v>45805</v>
      </c>
      <c r="BT3238" s="4">
        <v>0.40694444444444444</v>
      </c>
      <c r="BU3238" t="s">
        <v>3124</v>
      </c>
      <c r="BV3238" t="s">
        <v>89</v>
      </c>
      <c r="BW3238" t="s">
        <v>296</v>
      </c>
      <c r="BX3238" t="s">
        <v>2059</v>
      </c>
      <c r="BY3238">
        <v>4275</v>
      </c>
      <c r="CA3238" t="s">
        <v>271</v>
      </c>
      <c r="CC3238" t="s">
        <v>267</v>
      </c>
      <c r="CD3238">
        <v>6220</v>
      </c>
      <c r="CE3238" t="s">
        <v>116</v>
      </c>
      <c r="CF3238" s="3">
        <v>45805</v>
      </c>
      <c r="CI3238">
        <v>1</v>
      </c>
      <c r="CJ3238">
        <v>2</v>
      </c>
      <c r="CK3238">
        <v>21</v>
      </c>
      <c r="CL3238" t="s">
        <v>89</v>
      </c>
    </row>
    <row r="3239" spans="1:90" x14ac:dyDescent="0.3">
      <c r="A3239" t="s">
        <v>72</v>
      </c>
      <c r="B3239" t="s">
        <v>73</v>
      </c>
      <c r="C3239" t="s">
        <v>74</v>
      </c>
      <c r="E3239" t="str">
        <f>"080065557224"</f>
        <v>080065557224</v>
      </c>
      <c r="F3239" s="3">
        <v>45803</v>
      </c>
      <c r="G3239">
        <v>202602</v>
      </c>
      <c r="H3239" t="s">
        <v>75</v>
      </c>
      <c r="I3239" t="s">
        <v>76</v>
      </c>
      <c r="J3239" t="s">
        <v>77</v>
      </c>
      <c r="K3239" t="s">
        <v>78</v>
      </c>
      <c r="L3239" t="s">
        <v>117</v>
      </c>
      <c r="M3239" t="s">
        <v>118</v>
      </c>
      <c r="N3239" t="s">
        <v>978</v>
      </c>
      <c r="O3239" t="s">
        <v>82</v>
      </c>
      <c r="P3239" t="str">
        <f>"4170040606                    "</f>
        <v xml:space="preserve">4170040606                    </v>
      </c>
      <c r="Q3239">
        <v>0</v>
      </c>
      <c r="R3239">
        <v>0</v>
      </c>
      <c r="S3239">
        <v>0</v>
      </c>
      <c r="T3239">
        <v>0</v>
      </c>
      <c r="U3239">
        <v>0</v>
      </c>
      <c r="V3239">
        <v>0</v>
      </c>
      <c r="W3239">
        <v>0</v>
      </c>
      <c r="X3239">
        <v>0</v>
      </c>
      <c r="Y3239">
        <v>0</v>
      </c>
      <c r="Z3239">
        <v>0</v>
      </c>
      <c r="AA3239">
        <v>0</v>
      </c>
      <c r="AB3239">
        <v>0</v>
      </c>
      <c r="AC3239">
        <v>0</v>
      </c>
      <c r="AD3239">
        <v>0</v>
      </c>
      <c r="AE3239">
        <v>0</v>
      </c>
      <c r="AF3239">
        <v>0</v>
      </c>
      <c r="AG3239">
        <v>0</v>
      </c>
      <c r="AH3239">
        <v>0</v>
      </c>
      <c r="AI3239">
        <v>0</v>
      </c>
      <c r="AJ3239">
        <v>0</v>
      </c>
      <c r="AK3239">
        <v>0</v>
      </c>
      <c r="AL3239">
        <v>0</v>
      </c>
      <c r="AM3239">
        <v>0</v>
      </c>
      <c r="AN3239">
        <v>0</v>
      </c>
      <c r="AO3239">
        <v>0</v>
      </c>
      <c r="AP3239">
        <v>0</v>
      </c>
      <c r="AQ3239">
        <v>16.7</v>
      </c>
      <c r="AR3239">
        <v>0</v>
      </c>
      <c r="AS3239">
        <v>0</v>
      </c>
      <c r="AT3239">
        <v>0</v>
      </c>
      <c r="AU3239">
        <v>0</v>
      </c>
      <c r="AV3239">
        <v>0</v>
      </c>
      <c r="AW3239">
        <v>0</v>
      </c>
      <c r="AX3239">
        <v>0</v>
      </c>
      <c r="AY3239">
        <v>0</v>
      </c>
      <c r="AZ3239">
        <v>0</v>
      </c>
      <c r="BA3239">
        <v>0</v>
      </c>
      <c r="BB3239">
        <v>0</v>
      </c>
      <c r="BC3239">
        <v>0</v>
      </c>
      <c r="BD3239">
        <v>0</v>
      </c>
      <c r="BE3239">
        <v>0</v>
      </c>
      <c r="BF3239">
        <v>0</v>
      </c>
      <c r="BG3239">
        <v>0</v>
      </c>
      <c r="BH3239">
        <v>1</v>
      </c>
      <c r="BI3239">
        <v>1</v>
      </c>
      <c r="BJ3239">
        <v>0.2</v>
      </c>
      <c r="BK3239">
        <v>1</v>
      </c>
      <c r="BL3239">
        <v>54.66</v>
      </c>
      <c r="BM3239">
        <v>8.1999999999999993</v>
      </c>
      <c r="BN3239">
        <v>62.86</v>
      </c>
      <c r="BO3239">
        <v>62.86</v>
      </c>
      <c r="BQ3239" t="s">
        <v>979</v>
      </c>
      <c r="BR3239" t="s">
        <v>84</v>
      </c>
      <c r="BS3239" s="3">
        <v>45804</v>
      </c>
      <c r="BT3239" s="4">
        <v>0.45833333333333331</v>
      </c>
      <c r="BU3239" t="s">
        <v>3125</v>
      </c>
      <c r="BV3239" t="s">
        <v>89</v>
      </c>
      <c r="BW3239" t="s">
        <v>148</v>
      </c>
      <c r="BX3239" t="s">
        <v>149</v>
      </c>
      <c r="BY3239">
        <v>1200</v>
      </c>
      <c r="CA3239" t="s">
        <v>1662</v>
      </c>
      <c r="CC3239" t="s">
        <v>118</v>
      </c>
      <c r="CD3239">
        <v>2040</v>
      </c>
      <c r="CE3239" t="s">
        <v>88</v>
      </c>
      <c r="CF3239" s="3">
        <v>45805</v>
      </c>
      <c r="CI3239">
        <v>1</v>
      </c>
      <c r="CJ3239">
        <v>1</v>
      </c>
      <c r="CK3239">
        <v>22</v>
      </c>
      <c r="CL3239" t="s">
        <v>89</v>
      </c>
    </row>
    <row r="3240" spans="1:90" x14ac:dyDescent="0.3">
      <c r="A3240" t="s">
        <v>72</v>
      </c>
      <c r="B3240" t="s">
        <v>73</v>
      </c>
      <c r="C3240" t="s">
        <v>74</v>
      </c>
      <c r="E3240" t="str">
        <f>"080065557234"</f>
        <v>080065557234</v>
      </c>
      <c r="F3240" s="3">
        <v>45803</v>
      </c>
      <c r="G3240">
        <v>202602</v>
      </c>
      <c r="H3240" t="s">
        <v>75</v>
      </c>
      <c r="I3240" t="s">
        <v>76</v>
      </c>
      <c r="J3240" t="s">
        <v>77</v>
      </c>
      <c r="K3240" t="s">
        <v>78</v>
      </c>
      <c r="L3240" t="s">
        <v>103</v>
      </c>
      <c r="M3240" t="s">
        <v>104</v>
      </c>
      <c r="N3240" t="s">
        <v>686</v>
      </c>
      <c r="O3240" t="s">
        <v>82</v>
      </c>
      <c r="P3240" t="str">
        <f>"4170040624                    "</f>
        <v xml:space="preserve">4170040624                    </v>
      </c>
      <c r="Q3240">
        <v>0</v>
      </c>
      <c r="R3240">
        <v>0</v>
      </c>
      <c r="S3240">
        <v>0</v>
      </c>
      <c r="T3240">
        <v>0</v>
      </c>
      <c r="U3240">
        <v>0</v>
      </c>
      <c r="V3240">
        <v>0</v>
      </c>
      <c r="W3240">
        <v>0</v>
      </c>
      <c r="X3240">
        <v>0</v>
      </c>
      <c r="Y3240">
        <v>0</v>
      </c>
      <c r="Z3240">
        <v>0</v>
      </c>
      <c r="AA3240">
        <v>0</v>
      </c>
      <c r="AB3240">
        <v>0</v>
      </c>
      <c r="AC3240">
        <v>0</v>
      </c>
      <c r="AD3240">
        <v>0</v>
      </c>
      <c r="AE3240">
        <v>0</v>
      </c>
      <c r="AF3240">
        <v>0</v>
      </c>
      <c r="AG3240">
        <v>0</v>
      </c>
      <c r="AH3240">
        <v>0</v>
      </c>
      <c r="AI3240">
        <v>0</v>
      </c>
      <c r="AJ3240">
        <v>0</v>
      </c>
      <c r="AK3240">
        <v>0</v>
      </c>
      <c r="AL3240">
        <v>0</v>
      </c>
      <c r="AM3240">
        <v>0</v>
      </c>
      <c r="AN3240">
        <v>0</v>
      </c>
      <c r="AO3240">
        <v>0</v>
      </c>
      <c r="AP3240">
        <v>0</v>
      </c>
      <c r="AQ3240">
        <v>21.38</v>
      </c>
      <c r="AR3240">
        <v>0</v>
      </c>
      <c r="AS3240">
        <v>0</v>
      </c>
      <c r="AT3240">
        <v>0</v>
      </c>
      <c r="AU3240">
        <v>0</v>
      </c>
      <c r="AV3240">
        <v>0</v>
      </c>
      <c r="AW3240">
        <v>0</v>
      </c>
      <c r="AX3240">
        <v>0</v>
      </c>
      <c r="AY3240">
        <v>0</v>
      </c>
      <c r="AZ3240">
        <v>0</v>
      </c>
      <c r="BA3240">
        <v>0</v>
      </c>
      <c r="BB3240">
        <v>0</v>
      </c>
      <c r="BC3240">
        <v>0</v>
      </c>
      <c r="BD3240">
        <v>0</v>
      </c>
      <c r="BE3240">
        <v>0</v>
      </c>
      <c r="BF3240">
        <v>0</v>
      </c>
      <c r="BG3240">
        <v>0</v>
      </c>
      <c r="BH3240">
        <v>1</v>
      </c>
      <c r="BI3240">
        <v>1</v>
      </c>
      <c r="BJ3240">
        <v>1.1000000000000001</v>
      </c>
      <c r="BK3240">
        <v>1.5</v>
      </c>
      <c r="BL3240">
        <v>69.98</v>
      </c>
      <c r="BM3240">
        <v>10.5</v>
      </c>
      <c r="BN3240">
        <v>80.48</v>
      </c>
      <c r="BO3240">
        <v>80.48</v>
      </c>
      <c r="BQ3240" t="s">
        <v>687</v>
      </c>
      <c r="BR3240" t="s">
        <v>84</v>
      </c>
      <c r="BS3240" s="3">
        <v>45804</v>
      </c>
      <c r="BT3240" s="4">
        <v>0.42291666666666666</v>
      </c>
      <c r="BU3240" t="s">
        <v>1870</v>
      </c>
      <c r="BV3240" t="s">
        <v>86</v>
      </c>
      <c r="BY3240">
        <v>5320</v>
      </c>
      <c r="CA3240" t="s">
        <v>1169</v>
      </c>
      <c r="CC3240" t="s">
        <v>104</v>
      </c>
      <c r="CD3240">
        <v>3201</v>
      </c>
      <c r="CE3240" t="s">
        <v>116</v>
      </c>
      <c r="CF3240" s="3">
        <v>45804</v>
      </c>
      <c r="CI3240">
        <v>1</v>
      </c>
      <c r="CJ3240">
        <v>1</v>
      </c>
      <c r="CK3240">
        <v>21</v>
      </c>
      <c r="CL3240" t="s">
        <v>89</v>
      </c>
    </row>
    <row r="3241" spans="1:90" x14ac:dyDescent="0.3">
      <c r="A3241" t="s">
        <v>72</v>
      </c>
      <c r="B3241" t="s">
        <v>73</v>
      </c>
      <c r="C3241" t="s">
        <v>74</v>
      </c>
      <c r="E3241" t="str">
        <f>"080065557258"</f>
        <v>080065557258</v>
      </c>
      <c r="F3241" s="3">
        <v>45803</v>
      </c>
      <c r="G3241">
        <v>202602</v>
      </c>
      <c r="H3241" t="s">
        <v>75</v>
      </c>
      <c r="I3241" t="s">
        <v>76</v>
      </c>
      <c r="J3241" t="s">
        <v>77</v>
      </c>
      <c r="K3241" t="s">
        <v>78</v>
      </c>
      <c r="L3241" t="s">
        <v>75</v>
      </c>
      <c r="M3241" t="s">
        <v>76</v>
      </c>
      <c r="N3241" t="s">
        <v>803</v>
      </c>
      <c r="O3241" t="s">
        <v>82</v>
      </c>
      <c r="P3241" t="str">
        <f>"4170040583                    "</f>
        <v xml:space="preserve">4170040583                    </v>
      </c>
      <c r="Q3241">
        <v>0</v>
      </c>
      <c r="R3241">
        <v>0</v>
      </c>
      <c r="S3241">
        <v>0</v>
      </c>
      <c r="T3241">
        <v>0</v>
      </c>
      <c r="U3241">
        <v>0</v>
      </c>
      <c r="V3241">
        <v>0</v>
      </c>
      <c r="W3241">
        <v>0</v>
      </c>
      <c r="X3241">
        <v>0</v>
      </c>
      <c r="Y3241">
        <v>0</v>
      </c>
      <c r="Z3241">
        <v>0</v>
      </c>
      <c r="AA3241">
        <v>0</v>
      </c>
      <c r="AB3241">
        <v>0</v>
      </c>
      <c r="AC3241">
        <v>0</v>
      </c>
      <c r="AD3241">
        <v>0</v>
      </c>
      <c r="AE3241">
        <v>0</v>
      </c>
      <c r="AF3241">
        <v>0</v>
      </c>
      <c r="AG3241">
        <v>0</v>
      </c>
      <c r="AH3241">
        <v>0</v>
      </c>
      <c r="AI3241">
        <v>0</v>
      </c>
      <c r="AJ3241">
        <v>0</v>
      </c>
      <c r="AK3241">
        <v>0</v>
      </c>
      <c r="AL3241">
        <v>0</v>
      </c>
      <c r="AM3241">
        <v>0</v>
      </c>
      <c r="AN3241">
        <v>0</v>
      </c>
      <c r="AO3241">
        <v>0</v>
      </c>
      <c r="AP3241">
        <v>0</v>
      </c>
      <c r="AQ3241">
        <v>16.7</v>
      </c>
      <c r="AR3241">
        <v>0</v>
      </c>
      <c r="AS3241">
        <v>0</v>
      </c>
      <c r="AT3241">
        <v>0</v>
      </c>
      <c r="AU3241">
        <v>0</v>
      </c>
      <c r="AV3241">
        <v>0</v>
      </c>
      <c r="AW3241">
        <v>0</v>
      </c>
      <c r="AX3241">
        <v>0</v>
      </c>
      <c r="AY3241">
        <v>0</v>
      </c>
      <c r="AZ3241">
        <v>0</v>
      </c>
      <c r="BA3241">
        <v>0</v>
      </c>
      <c r="BB3241">
        <v>0</v>
      </c>
      <c r="BC3241">
        <v>0</v>
      </c>
      <c r="BD3241">
        <v>0</v>
      </c>
      <c r="BE3241">
        <v>0</v>
      </c>
      <c r="BF3241">
        <v>0</v>
      </c>
      <c r="BG3241">
        <v>0</v>
      </c>
      <c r="BH3241">
        <v>1</v>
      </c>
      <c r="BI3241">
        <v>1</v>
      </c>
      <c r="BJ3241">
        <v>0.2</v>
      </c>
      <c r="BK3241">
        <v>1</v>
      </c>
      <c r="BL3241">
        <v>54.66</v>
      </c>
      <c r="BM3241">
        <v>8.1999999999999993</v>
      </c>
      <c r="BN3241">
        <v>62.86</v>
      </c>
      <c r="BO3241">
        <v>62.86</v>
      </c>
      <c r="BQ3241" t="s">
        <v>804</v>
      </c>
      <c r="BR3241" t="s">
        <v>84</v>
      </c>
      <c r="BS3241" s="3">
        <v>45804</v>
      </c>
      <c r="BT3241" s="4">
        <v>0.31944444444444442</v>
      </c>
      <c r="BU3241" t="s">
        <v>3126</v>
      </c>
      <c r="BV3241" t="s">
        <v>86</v>
      </c>
      <c r="BY3241">
        <v>1200</v>
      </c>
      <c r="CA3241" t="s">
        <v>484</v>
      </c>
      <c r="CC3241" t="s">
        <v>76</v>
      </c>
      <c r="CD3241">
        <v>1619</v>
      </c>
      <c r="CE3241" t="s">
        <v>88</v>
      </c>
      <c r="CF3241" s="3">
        <v>45804</v>
      </c>
      <c r="CI3241">
        <v>1</v>
      </c>
      <c r="CJ3241">
        <v>1</v>
      </c>
      <c r="CK3241">
        <v>22</v>
      </c>
      <c r="CL3241" t="s">
        <v>89</v>
      </c>
    </row>
    <row r="3242" spans="1:90" x14ac:dyDescent="0.3">
      <c r="A3242" t="s">
        <v>72</v>
      </c>
      <c r="B3242" t="s">
        <v>73</v>
      </c>
      <c r="C3242" t="s">
        <v>74</v>
      </c>
      <c r="E3242" t="str">
        <f>"080065557281"</f>
        <v>080065557281</v>
      </c>
      <c r="F3242" s="3">
        <v>45803</v>
      </c>
      <c r="G3242">
        <v>202602</v>
      </c>
      <c r="H3242" t="s">
        <v>75</v>
      </c>
      <c r="I3242" t="s">
        <v>76</v>
      </c>
      <c r="J3242" t="s">
        <v>77</v>
      </c>
      <c r="K3242" t="s">
        <v>78</v>
      </c>
      <c r="L3242" t="s">
        <v>266</v>
      </c>
      <c r="M3242" t="s">
        <v>267</v>
      </c>
      <c r="N3242" t="s">
        <v>3122</v>
      </c>
      <c r="O3242" t="s">
        <v>82</v>
      </c>
      <c r="P3242" t="str">
        <f>"4170040601                    "</f>
        <v xml:space="preserve">4170040601                    </v>
      </c>
      <c r="Q3242">
        <v>0</v>
      </c>
      <c r="R3242">
        <v>0</v>
      </c>
      <c r="S3242">
        <v>0</v>
      </c>
      <c r="T3242">
        <v>0</v>
      </c>
      <c r="U3242">
        <v>0</v>
      </c>
      <c r="V3242">
        <v>0</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21.38</v>
      </c>
      <c r="AR3242">
        <v>0</v>
      </c>
      <c r="AS3242">
        <v>0</v>
      </c>
      <c r="AT3242">
        <v>0</v>
      </c>
      <c r="AU3242">
        <v>0</v>
      </c>
      <c r="AV3242">
        <v>0</v>
      </c>
      <c r="AW3242">
        <v>0</v>
      </c>
      <c r="AX3242">
        <v>0</v>
      </c>
      <c r="AY3242">
        <v>0</v>
      </c>
      <c r="AZ3242">
        <v>0</v>
      </c>
      <c r="BA3242">
        <v>0</v>
      </c>
      <c r="BB3242">
        <v>0</v>
      </c>
      <c r="BC3242">
        <v>0</v>
      </c>
      <c r="BD3242">
        <v>0</v>
      </c>
      <c r="BE3242">
        <v>0</v>
      </c>
      <c r="BF3242">
        <v>0</v>
      </c>
      <c r="BG3242">
        <v>0</v>
      </c>
      <c r="BH3242">
        <v>1</v>
      </c>
      <c r="BI3242">
        <v>1</v>
      </c>
      <c r="BJ3242">
        <v>0.2</v>
      </c>
      <c r="BK3242">
        <v>1</v>
      </c>
      <c r="BL3242">
        <v>69.98</v>
      </c>
      <c r="BM3242">
        <v>10.5</v>
      </c>
      <c r="BN3242">
        <v>80.48</v>
      </c>
      <c r="BO3242">
        <v>80.48</v>
      </c>
      <c r="BQ3242" t="s">
        <v>3123</v>
      </c>
      <c r="BR3242" t="s">
        <v>84</v>
      </c>
      <c r="BS3242" s="3">
        <v>45804</v>
      </c>
      <c r="BT3242" s="4">
        <v>0.3527777777777778</v>
      </c>
      <c r="BU3242" t="s">
        <v>3127</v>
      </c>
      <c r="BV3242" t="s">
        <v>86</v>
      </c>
      <c r="BY3242">
        <v>1200</v>
      </c>
      <c r="CA3242" t="s">
        <v>632</v>
      </c>
      <c r="CC3242" t="s">
        <v>267</v>
      </c>
      <c r="CD3242">
        <v>6220</v>
      </c>
      <c r="CE3242" t="s">
        <v>88</v>
      </c>
      <c r="CF3242" s="3">
        <v>45804</v>
      </c>
      <c r="CI3242">
        <v>1</v>
      </c>
      <c r="CJ3242">
        <v>1</v>
      </c>
      <c r="CK3242">
        <v>21</v>
      </c>
      <c r="CL3242" t="s">
        <v>89</v>
      </c>
    </row>
    <row r="3243" spans="1:90" x14ac:dyDescent="0.3">
      <c r="A3243" t="s">
        <v>72</v>
      </c>
      <c r="B3243" t="s">
        <v>73</v>
      </c>
      <c r="C3243" t="s">
        <v>74</v>
      </c>
      <c r="E3243" t="str">
        <f>"080065557311"</f>
        <v>080065557311</v>
      </c>
      <c r="F3243" s="3">
        <v>45803</v>
      </c>
      <c r="G3243">
        <v>202602</v>
      </c>
      <c r="H3243" t="s">
        <v>75</v>
      </c>
      <c r="I3243" t="s">
        <v>76</v>
      </c>
      <c r="J3243" t="s">
        <v>77</v>
      </c>
      <c r="K3243" t="s">
        <v>78</v>
      </c>
      <c r="L3243" t="s">
        <v>445</v>
      </c>
      <c r="M3243" t="s">
        <v>446</v>
      </c>
      <c r="N3243" t="s">
        <v>1220</v>
      </c>
      <c r="O3243" t="s">
        <v>82</v>
      </c>
      <c r="P3243" t="str">
        <f>"4170040600                    "</f>
        <v xml:space="preserve">4170040600                    </v>
      </c>
      <c r="Q3243">
        <v>0</v>
      </c>
      <c r="R3243">
        <v>0</v>
      </c>
      <c r="S3243">
        <v>0</v>
      </c>
      <c r="T3243">
        <v>0</v>
      </c>
      <c r="U3243">
        <v>0</v>
      </c>
      <c r="V3243">
        <v>0</v>
      </c>
      <c r="W3243">
        <v>0</v>
      </c>
      <c r="X3243">
        <v>0</v>
      </c>
      <c r="Y3243">
        <v>0</v>
      </c>
      <c r="Z3243">
        <v>0</v>
      </c>
      <c r="AA3243">
        <v>0</v>
      </c>
      <c r="AB3243">
        <v>0</v>
      </c>
      <c r="AC3243">
        <v>0</v>
      </c>
      <c r="AD3243">
        <v>0</v>
      </c>
      <c r="AE3243">
        <v>0</v>
      </c>
      <c r="AF3243">
        <v>0</v>
      </c>
      <c r="AG3243">
        <v>0</v>
      </c>
      <c r="AH3243">
        <v>0</v>
      </c>
      <c r="AI3243">
        <v>0</v>
      </c>
      <c r="AJ3243">
        <v>0</v>
      </c>
      <c r="AK3243">
        <v>0</v>
      </c>
      <c r="AL3243">
        <v>0</v>
      </c>
      <c r="AM3243">
        <v>0</v>
      </c>
      <c r="AN3243">
        <v>0</v>
      </c>
      <c r="AO3243">
        <v>0</v>
      </c>
      <c r="AP3243">
        <v>0</v>
      </c>
      <c r="AQ3243">
        <v>41.43</v>
      </c>
      <c r="AR3243">
        <v>0</v>
      </c>
      <c r="AS3243">
        <v>0</v>
      </c>
      <c r="AT3243">
        <v>0</v>
      </c>
      <c r="AU3243">
        <v>0</v>
      </c>
      <c r="AV3243">
        <v>0</v>
      </c>
      <c r="AW3243">
        <v>0</v>
      </c>
      <c r="AX3243">
        <v>0</v>
      </c>
      <c r="AY3243">
        <v>0</v>
      </c>
      <c r="AZ3243">
        <v>0</v>
      </c>
      <c r="BA3243">
        <v>0</v>
      </c>
      <c r="BB3243">
        <v>0</v>
      </c>
      <c r="BC3243">
        <v>0</v>
      </c>
      <c r="BD3243">
        <v>0</v>
      </c>
      <c r="BE3243">
        <v>0</v>
      </c>
      <c r="BF3243">
        <v>0</v>
      </c>
      <c r="BG3243">
        <v>0</v>
      </c>
      <c r="BH3243">
        <v>1</v>
      </c>
      <c r="BI3243">
        <v>1</v>
      </c>
      <c r="BJ3243">
        <v>0.2</v>
      </c>
      <c r="BK3243">
        <v>1</v>
      </c>
      <c r="BL3243">
        <v>135.59</v>
      </c>
      <c r="BM3243">
        <v>20.34</v>
      </c>
      <c r="BN3243">
        <v>155.93</v>
      </c>
      <c r="BO3243">
        <v>155.93</v>
      </c>
      <c r="BQ3243" t="s">
        <v>1221</v>
      </c>
      <c r="BR3243" t="s">
        <v>84</v>
      </c>
      <c r="BS3243" s="3">
        <v>45804</v>
      </c>
      <c r="BT3243" s="4">
        <v>0.53819444444444442</v>
      </c>
      <c r="BU3243" t="s">
        <v>3128</v>
      </c>
      <c r="BV3243" t="s">
        <v>86</v>
      </c>
      <c r="BY3243">
        <v>1200</v>
      </c>
      <c r="CA3243" t="s">
        <v>2785</v>
      </c>
      <c r="CC3243" t="s">
        <v>446</v>
      </c>
      <c r="CD3243">
        <v>4420</v>
      </c>
      <c r="CE3243" t="s">
        <v>88</v>
      </c>
      <c r="CF3243" s="3">
        <v>45805</v>
      </c>
      <c r="CI3243">
        <v>1</v>
      </c>
      <c r="CJ3243">
        <v>1</v>
      </c>
      <c r="CK3243">
        <v>23</v>
      </c>
      <c r="CL3243" t="s">
        <v>89</v>
      </c>
    </row>
    <row r="3244" spans="1:90" x14ac:dyDescent="0.3">
      <c r="A3244" t="s">
        <v>72</v>
      </c>
      <c r="B3244" t="s">
        <v>73</v>
      </c>
      <c r="C3244" t="s">
        <v>74</v>
      </c>
      <c r="E3244" t="str">
        <f>"080065557335"</f>
        <v>080065557335</v>
      </c>
      <c r="F3244" s="3">
        <v>45803</v>
      </c>
      <c r="G3244">
        <v>202602</v>
      </c>
      <c r="H3244" t="s">
        <v>75</v>
      </c>
      <c r="I3244" t="s">
        <v>76</v>
      </c>
      <c r="J3244" t="s">
        <v>77</v>
      </c>
      <c r="K3244" t="s">
        <v>78</v>
      </c>
      <c r="L3244" t="s">
        <v>117</v>
      </c>
      <c r="M3244" t="s">
        <v>118</v>
      </c>
      <c r="N3244" t="s">
        <v>532</v>
      </c>
      <c r="O3244" t="s">
        <v>82</v>
      </c>
      <c r="P3244" t="str">
        <f>"4170040544                    "</f>
        <v xml:space="preserve">4170040544                    </v>
      </c>
      <c r="Q3244">
        <v>0</v>
      </c>
      <c r="R3244">
        <v>0</v>
      </c>
      <c r="S3244">
        <v>0</v>
      </c>
      <c r="T3244">
        <v>0</v>
      </c>
      <c r="U3244">
        <v>0</v>
      </c>
      <c r="V3244">
        <v>0</v>
      </c>
      <c r="W3244">
        <v>0</v>
      </c>
      <c r="X3244">
        <v>0</v>
      </c>
      <c r="Y3244">
        <v>0</v>
      </c>
      <c r="Z3244">
        <v>0</v>
      </c>
      <c r="AA3244">
        <v>0</v>
      </c>
      <c r="AB3244">
        <v>0</v>
      </c>
      <c r="AC3244">
        <v>0</v>
      </c>
      <c r="AD3244">
        <v>0</v>
      </c>
      <c r="AE3244">
        <v>0</v>
      </c>
      <c r="AF3244">
        <v>0</v>
      </c>
      <c r="AG3244">
        <v>0</v>
      </c>
      <c r="AH3244">
        <v>0</v>
      </c>
      <c r="AI3244">
        <v>0</v>
      </c>
      <c r="AJ3244">
        <v>0</v>
      </c>
      <c r="AK3244">
        <v>0</v>
      </c>
      <c r="AL3244">
        <v>0</v>
      </c>
      <c r="AM3244">
        <v>0</v>
      </c>
      <c r="AN3244">
        <v>0</v>
      </c>
      <c r="AO3244">
        <v>0</v>
      </c>
      <c r="AP3244">
        <v>0</v>
      </c>
      <c r="AQ3244">
        <v>16.7</v>
      </c>
      <c r="AR3244">
        <v>0</v>
      </c>
      <c r="AS3244">
        <v>0</v>
      </c>
      <c r="AT3244">
        <v>0</v>
      </c>
      <c r="AU3244">
        <v>0</v>
      </c>
      <c r="AV3244">
        <v>0</v>
      </c>
      <c r="AW3244">
        <v>0</v>
      </c>
      <c r="AX3244">
        <v>0</v>
      </c>
      <c r="AY3244">
        <v>0</v>
      </c>
      <c r="AZ3244">
        <v>0</v>
      </c>
      <c r="BA3244">
        <v>0</v>
      </c>
      <c r="BB3244">
        <v>0</v>
      </c>
      <c r="BC3244">
        <v>0</v>
      </c>
      <c r="BD3244">
        <v>0</v>
      </c>
      <c r="BE3244">
        <v>0</v>
      </c>
      <c r="BF3244">
        <v>0</v>
      </c>
      <c r="BG3244">
        <v>0</v>
      </c>
      <c r="BH3244">
        <v>1</v>
      </c>
      <c r="BI3244">
        <v>1</v>
      </c>
      <c r="BJ3244">
        <v>0.2</v>
      </c>
      <c r="BK3244">
        <v>1</v>
      </c>
      <c r="BL3244">
        <v>54.66</v>
      </c>
      <c r="BM3244">
        <v>8.1999999999999993</v>
      </c>
      <c r="BN3244">
        <v>62.86</v>
      </c>
      <c r="BO3244">
        <v>62.86</v>
      </c>
      <c r="BQ3244" t="s">
        <v>533</v>
      </c>
      <c r="BR3244" t="s">
        <v>84</v>
      </c>
      <c r="BS3244" s="3">
        <v>45804</v>
      </c>
      <c r="BT3244" s="4">
        <v>0.38541666666666669</v>
      </c>
      <c r="BU3244" t="s">
        <v>348</v>
      </c>
      <c r="BV3244" t="s">
        <v>86</v>
      </c>
      <c r="BY3244">
        <v>1200</v>
      </c>
      <c r="CA3244" t="s">
        <v>535</v>
      </c>
      <c r="CC3244" t="s">
        <v>118</v>
      </c>
      <c r="CD3244">
        <v>2094</v>
      </c>
      <c r="CE3244" t="s">
        <v>88</v>
      </c>
      <c r="CF3244" s="3">
        <v>45804</v>
      </c>
      <c r="CI3244">
        <v>1</v>
      </c>
      <c r="CJ3244">
        <v>1</v>
      </c>
      <c r="CK3244">
        <v>22</v>
      </c>
      <c r="CL3244" t="s">
        <v>89</v>
      </c>
    </row>
    <row r="3245" spans="1:90" x14ac:dyDescent="0.3">
      <c r="A3245" t="s">
        <v>72</v>
      </c>
      <c r="B3245" t="s">
        <v>73</v>
      </c>
      <c r="C3245" t="s">
        <v>74</v>
      </c>
      <c r="E3245" t="str">
        <f>"080065557357"</f>
        <v>080065557357</v>
      </c>
      <c r="F3245" s="3">
        <v>45803</v>
      </c>
      <c r="G3245">
        <v>202602</v>
      </c>
      <c r="H3245" t="s">
        <v>75</v>
      </c>
      <c r="I3245" t="s">
        <v>76</v>
      </c>
      <c r="J3245" t="s">
        <v>77</v>
      </c>
      <c r="K3245" t="s">
        <v>78</v>
      </c>
      <c r="L3245" t="s">
        <v>90</v>
      </c>
      <c r="M3245" t="s">
        <v>91</v>
      </c>
      <c r="N3245" t="s">
        <v>92</v>
      </c>
      <c r="O3245" t="s">
        <v>82</v>
      </c>
      <c r="P3245" t="str">
        <f>"4170040627                    "</f>
        <v xml:space="preserve">4170040627                    </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0</v>
      </c>
      <c r="AJ3245">
        <v>0</v>
      </c>
      <c r="AK3245">
        <v>0</v>
      </c>
      <c r="AL3245">
        <v>0</v>
      </c>
      <c r="AM3245">
        <v>0</v>
      </c>
      <c r="AN3245">
        <v>0</v>
      </c>
      <c r="AO3245">
        <v>0</v>
      </c>
      <c r="AP3245">
        <v>0</v>
      </c>
      <c r="AQ3245">
        <v>21.38</v>
      </c>
      <c r="AR3245">
        <v>0</v>
      </c>
      <c r="AS3245">
        <v>0</v>
      </c>
      <c r="AT3245">
        <v>0</v>
      </c>
      <c r="AU3245">
        <v>0</v>
      </c>
      <c r="AV3245">
        <v>0</v>
      </c>
      <c r="AW3245">
        <v>0</v>
      </c>
      <c r="AX3245">
        <v>0</v>
      </c>
      <c r="AY3245">
        <v>0</v>
      </c>
      <c r="AZ3245">
        <v>0</v>
      </c>
      <c r="BA3245">
        <v>0</v>
      </c>
      <c r="BB3245">
        <v>0</v>
      </c>
      <c r="BC3245">
        <v>0</v>
      </c>
      <c r="BD3245">
        <v>0</v>
      </c>
      <c r="BE3245">
        <v>0</v>
      </c>
      <c r="BF3245">
        <v>0</v>
      </c>
      <c r="BG3245">
        <v>0</v>
      </c>
      <c r="BH3245">
        <v>1</v>
      </c>
      <c r="BI3245">
        <v>1</v>
      </c>
      <c r="BJ3245">
        <v>0.2</v>
      </c>
      <c r="BK3245">
        <v>1</v>
      </c>
      <c r="BL3245">
        <v>69.98</v>
      </c>
      <c r="BM3245">
        <v>10.5</v>
      </c>
      <c r="BN3245">
        <v>80.48</v>
      </c>
      <c r="BO3245">
        <v>80.48</v>
      </c>
      <c r="BQ3245" t="s">
        <v>93</v>
      </c>
      <c r="BR3245" t="s">
        <v>84</v>
      </c>
      <c r="BS3245" s="3">
        <v>45804</v>
      </c>
      <c r="BT3245" s="4">
        <v>0.34861111111111109</v>
      </c>
      <c r="BU3245" t="s">
        <v>94</v>
      </c>
      <c r="BV3245" t="s">
        <v>86</v>
      </c>
      <c r="BY3245">
        <v>1200</v>
      </c>
      <c r="CA3245" t="s">
        <v>95</v>
      </c>
      <c r="CC3245" t="s">
        <v>91</v>
      </c>
      <c r="CD3245">
        <v>6001</v>
      </c>
      <c r="CE3245" t="s">
        <v>88</v>
      </c>
      <c r="CF3245" s="3">
        <v>45804</v>
      </c>
      <c r="CI3245">
        <v>1</v>
      </c>
      <c r="CJ3245">
        <v>1</v>
      </c>
      <c r="CK3245">
        <v>21</v>
      </c>
      <c r="CL3245" t="s">
        <v>89</v>
      </c>
    </row>
    <row r="3246" spans="1:90" x14ac:dyDescent="0.3">
      <c r="A3246" t="s">
        <v>72</v>
      </c>
      <c r="B3246" t="s">
        <v>73</v>
      </c>
      <c r="C3246" t="s">
        <v>74</v>
      </c>
      <c r="E3246" t="str">
        <f>"080065557376"</f>
        <v>080065557376</v>
      </c>
      <c r="F3246" s="3">
        <v>45803</v>
      </c>
      <c r="G3246">
        <v>202602</v>
      </c>
      <c r="H3246" t="s">
        <v>75</v>
      </c>
      <c r="I3246" t="s">
        <v>76</v>
      </c>
      <c r="J3246" t="s">
        <v>77</v>
      </c>
      <c r="K3246" t="s">
        <v>78</v>
      </c>
      <c r="L3246" t="s">
        <v>130</v>
      </c>
      <c r="M3246" t="s">
        <v>131</v>
      </c>
      <c r="N3246" t="s">
        <v>709</v>
      </c>
      <c r="O3246" t="s">
        <v>82</v>
      </c>
      <c r="P3246" t="str">
        <f>"4170040626                    "</f>
        <v xml:space="preserve">4170040626                    </v>
      </c>
      <c r="Q3246">
        <v>0</v>
      </c>
      <c r="R3246">
        <v>0</v>
      </c>
      <c r="S3246">
        <v>0</v>
      </c>
      <c r="T3246">
        <v>0</v>
      </c>
      <c r="U3246">
        <v>0</v>
      </c>
      <c r="V3246">
        <v>0</v>
      </c>
      <c r="W3246">
        <v>0</v>
      </c>
      <c r="X3246">
        <v>0</v>
      </c>
      <c r="Y3246">
        <v>0</v>
      </c>
      <c r="Z3246">
        <v>0</v>
      </c>
      <c r="AA3246">
        <v>0</v>
      </c>
      <c r="AB3246">
        <v>0</v>
      </c>
      <c r="AC3246">
        <v>0</v>
      </c>
      <c r="AD3246">
        <v>0</v>
      </c>
      <c r="AE3246">
        <v>0</v>
      </c>
      <c r="AF3246">
        <v>0</v>
      </c>
      <c r="AG3246">
        <v>0</v>
      </c>
      <c r="AH3246">
        <v>0</v>
      </c>
      <c r="AI3246">
        <v>0</v>
      </c>
      <c r="AJ3246">
        <v>0</v>
      </c>
      <c r="AK3246">
        <v>0</v>
      </c>
      <c r="AL3246">
        <v>0</v>
      </c>
      <c r="AM3246">
        <v>0</v>
      </c>
      <c r="AN3246">
        <v>0</v>
      </c>
      <c r="AO3246">
        <v>0</v>
      </c>
      <c r="AP3246">
        <v>0</v>
      </c>
      <c r="AQ3246">
        <v>21.38</v>
      </c>
      <c r="AR3246">
        <v>0</v>
      </c>
      <c r="AS3246">
        <v>0</v>
      </c>
      <c r="AT3246">
        <v>0</v>
      </c>
      <c r="AU3246">
        <v>0</v>
      </c>
      <c r="AV3246">
        <v>0</v>
      </c>
      <c r="AW3246">
        <v>0</v>
      </c>
      <c r="AX3246">
        <v>0</v>
      </c>
      <c r="AY3246">
        <v>0</v>
      </c>
      <c r="AZ3246">
        <v>0</v>
      </c>
      <c r="BA3246">
        <v>0</v>
      </c>
      <c r="BB3246">
        <v>0</v>
      </c>
      <c r="BC3246">
        <v>0</v>
      </c>
      <c r="BD3246">
        <v>0</v>
      </c>
      <c r="BE3246">
        <v>0</v>
      </c>
      <c r="BF3246">
        <v>0</v>
      </c>
      <c r="BG3246">
        <v>0</v>
      </c>
      <c r="BH3246">
        <v>1</v>
      </c>
      <c r="BI3246">
        <v>1</v>
      </c>
      <c r="BJ3246">
        <v>0.2</v>
      </c>
      <c r="BK3246">
        <v>1</v>
      </c>
      <c r="BL3246">
        <v>69.98</v>
      </c>
      <c r="BM3246">
        <v>10.5</v>
      </c>
      <c r="BN3246">
        <v>80.48</v>
      </c>
      <c r="BO3246">
        <v>80.48</v>
      </c>
      <c r="BQ3246" t="s">
        <v>710</v>
      </c>
      <c r="BR3246" t="s">
        <v>84</v>
      </c>
      <c r="BS3246" s="3">
        <v>45804</v>
      </c>
      <c r="BT3246" s="4">
        <v>0.32291666666666669</v>
      </c>
      <c r="BU3246" t="s">
        <v>2045</v>
      </c>
      <c r="BV3246" t="s">
        <v>86</v>
      </c>
      <c r="BY3246">
        <v>1200</v>
      </c>
      <c r="CA3246" t="s">
        <v>712</v>
      </c>
      <c r="CC3246" t="s">
        <v>131</v>
      </c>
      <c r="CD3246">
        <v>7530</v>
      </c>
      <c r="CE3246" t="s">
        <v>88</v>
      </c>
      <c r="CF3246" s="3">
        <v>45805</v>
      </c>
      <c r="CI3246">
        <v>1</v>
      </c>
      <c r="CJ3246">
        <v>1</v>
      </c>
      <c r="CK3246">
        <v>21</v>
      </c>
      <c r="CL3246" t="s">
        <v>89</v>
      </c>
    </row>
    <row r="3247" spans="1:90" x14ac:dyDescent="0.3">
      <c r="A3247" t="s">
        <v>72</v>
      </c>
      <c r="B3247" t="s">
        <v>73</v>
      </c>
      <c r="C3247" t="s">
        <v>74</v>
      </c>
      <c r="E3247" t="str">
        <f>"080065557400"</f>
        <v>080065557400</v>
      </c>
      <c r="F3247" s="3">
        <v>45803</v>
      </c>
      <c r="G3247">
        <v>202602</v>
      </c>
      <c r="H3247" t="s">
        <v>75</v>
      </c>
      <c r="I3247" t="s">
        <v>76</v>
      </c>
      <c r="J3247" t="s">
        <v>77</v>
      </c>
      <c r="K3247" t="s">
        <v>78</v>
      </c>
      <c r="L3247" t="s">
        <v>103</v>
      </c>
      <c r="M3247" t="s">
        <v>104</v>
      </c>
      <c r="N3247" t="s">
        <v>3129</v>
      </c>
      <c r="O3247" t="s">
        <v>82</v>
      </c>
      <c r="P3247" t="str">
        <f>"4170040644                    "</f>
        <v xml:space="preserve">4170040644                    </v>
      </c>
      <c r="Q3247">
        <v>0</v>
      </c>
      <c r="R3247">
        <v>0</v>
      </c>
      <c r="S3247">
        <v>0</v>
      </c>
      <c r="T3247">
        <v>0</v>
      </c>
      <c r="U3247">
        <v>0</v>
      </c>
      <c r="V3247">
        <v>0</v>
      </c>
      <c r="W3247">
        <v>0</v>
      </c>
      <c r="X3247">
        <v>0</v>
      </c>
      <c r="Y3247">
        <v>0</v>
      </c>
      <c r="Z3247">
        <v>0</v>
      </c>
      <c r="AA3247">
        <v>0</v>
      </c>
      <c r="AB3247">
        <v>0</v>
      </c>
      <c r="AC3247">
        <v>0</v>
      </c>
      <c r="AD3247">
        <v>0</v>
      </c>
      <c r="AE3247">
        <v>0</v>
      </c>
      <c r="AF3247">
        <v>0</v>
      </c>
      <c r="AG3247">
        <v>0</v>
      </c>
      <c r="AH3247">
        <v>0</v>
      </c>
      <c r="AI3247">
        <v>0</v>
      </c>
      <c r="AJ3247">
        <v>0</v>
      </c>
      <c r="AK3247">
        <v>0</v>
      </c>
      <c r="AL3247">
        <v>0</v>
      </c>
      <c r="AM3247">
        <v>0</v>
      </c>
      <c r="AN3247">
        <v>0</v>
      </c>
      <c r="AO3247">
        <v>0</v>
      </c>
      <c r="AP3247">
        <v>0</v>
      </c>
      <c r="AQ3247">
        <v>21.38</v>
      </c>
      <c r="AR3247">
        <v>0</v>
      </c>
      <c r="AS3247">
        <v>0</v>
      </c>
      <c r="AT3247">
        <v>0</v>
      </c>
      <c r="AU3247">
        <v>0</v>
      </c>
      <c r="AV3247">
        <v>0</v>
      </c>
      <c r="AW3247">
        <v>0</v>
      </c>
      <c r="AX3247">
        <v>0</v>
      </c>
      <c r="AY3247">
        <v>0</v>
      </c>
      <c r="AZ3247">
        <v>0</v>
      </c>
      <c r="BA3247">
        <v>0</v>
      </c>
      <c r="BB3247">
        <v>0</v>
      </c>
      <c r="BC3247">
        <v>0</v>
      </c>
      <c r="BD3247">
        <v>0</v>
      </c>
      <c r="BE3247">
        <v>0</v>
      </c>
      <c r="BF3247">
        <v>0</v>
      </c>
      <c r="BG3247">
        <v>0</v>
      </c>
      <c r="BH3247">
        <v>1</v>
      </c>
      <c r="BI3247">
        <v>1</v>
      </c>
      <c r="BJ3247">
        <v>0.2</v>
      </c>
      <c r="BK3247">
        <v>1</v>
      </c>
      <c r="BL3247">
        <v>69.98</v>
      </c>
      <c r="BM3247">
        <v>10.5</v>
      </c>
      <c r="BN3247">
        <v>80.48</v>
      </c>
      <c r="BO3247">
        <v>80.48</v>
      </c>
      <c r="BQ3247" t="s">
        <v>3130</v>
      </c>
      <c r="BR3247" t="s">
        <v>84</v>
      </c>
      <c r="BS3247" s="3">
        <v>45804</v>
      </c>
      <c r="BT3247" s="4">
        <v>0.45763888888888887</v>
      </c>
      <c r="BU3247" t="s">
        <v>3131</v>
      </c>
      <c r="BV3247" t="s">
        <v>86</v>
      </c>
      <c r="BY3247">
        <v>1200</v>
      </c>
      <c r="CA3247" t="s">
        <v>1375</v>
      </c>
      <c r="CC3247" t="s">
        <v>104</v>
      </c>
      <c r="CD3247">
        <v>3201</v>
      </c>
      <c r="CE3247" t="s">
        <v>88</v>
      </c>
      <c r="CF3247" s="3">
        <v>45804</v>
      </c>
      <c r="CI3247">
        <v>5</v>
      </c>
      <c r="CJ3247">
        <v>1</v>
      </c>
      <c r="CK3247">
        <v>21</v>
      </c>
      <c r="CL3247" t="s">
        <v>89</v>
      </c>
    </row>
    <row r="3248" spans="1:90" x14ac:dyDescent="0.3">
      <c r="A3248" t="s">
        <v>72</v>
      </c>
      <c r="B3248" t="s">
        <v>73</v>
      </c>
      <c r="C3248" t="s">
        <v>74</v>
      </c>
      <c r="E3248" t="str">
        <f>"080065557432"</f>
        <v>080065557432</v>
      </c>
      <c r="F3248" s="3">
        <v>45803</v>
      </c>
      <c r="G3248">
        <v>202602</v>
      </c>
      <c r="H3248" t="s">
        <v>75</v>
      </c>
      <c r="I3248" t="s">
        <v>76</v>
      </c>
      <c r="J3248" t="s">
        <v>77</v>
      </c>
      <c r="K3248" t="s">
        <v>78</v>
      </c>
      <c r="L3248" t="s">
        <v>409</v>
      </c>
      <c r="M3248" t="s">
        <v>410</v>
      </c>
      <c r="N3248" t="s">
        <v>512</v>
      </c>
      <c r="O3248" t="s">
        <v>82</v>
      </c>
      <c r="P3248" t="str">
        <f>"4170040634                    "</f>
        <v xml:space="preserve">4170040634                    </v>
      </c>
      <c r="Q3248">
        <v>0</v>
      </c>
      <c r="R3248">
        <v>0</v>
      </c>
      <c r="S3248">
        <v>0</v>
      </c>
      <c r="T3248">
        <v>0</v>
      </c>
      <c r="U3248">
        <v>0</v>
      </c>
      <c r="V3248">
        <v>0</v>
      </c>
      <c r="W3248">
        <v>0</v>
      </c>
      <c r="X3248">
        <v>0</v>
      </c>
      <c r="Y3248">
        <v>0</v>
      </c>
      <c r="Z3248">
        <v>0</v>
      </c>
      <c r="AA3248">
        <v>0</v>
      </c>
      <c r="AB3248">
        <v>0</v>
      </c>
      <c r="AC3248">
        <v>0</v>
      </c>
      <c r="AD3248">
        <v>0</v>
      </c>
      <c r="AE3248">
        <v>0</v>
      </c>
      <c r="AF3248">
        <v>0</v>
      </c>
      <c r="AG3248">
        <v>0</v>
      </c>
      <c r="AH3248">
        <v>0</v>
      </c>
      <c r="AI3248">
        <v>0</v>
      </c>
      <c r="AJ3248">
        <v>0</v>
      </c>
      <c r="AK3248">
        <v>0</v>
      </c>
      <c r="AL3248">
        <v>0</v>
      </c>
      <c r="AM3248">
        <v>0</v>
      </c>
      <c r="AN3248">
        <v>0</v>
      </c>
      <c r="AO3248">
        <v>0</v>
      </c>
      <c r="AP3248">
        <v>0</v>
      </c>
      <c r="AQ3248">
        <v>41.43</v>
      </c>
      <c r="AR3248">
        <v>0</v>
      </c>
      <c r="AS3248">
        <v>0</v>
      </c>
      <c r="AT3248">
        <v>0</v>
      </c>
      <c r="AU3248">
        <v>0</v>
      </c>
      <c r="AV3248">
        <v>0</v>
      </c>
      <c r="AW3248">
        <v>0</v>
      </c>
      <c r="AX3248">
        <v>0</v>
      </c>
      <c r="AY3248">
        <v>0</v>
      </c>
      <c r="AZ3248">
        <v>0</v>
      </c>
      <c r="BA3248">
        <v>0</v>
      </c>
      <c r="BB3248">
        <v>0</v>
      </c>
      <c r="BC3248">
        <v>0</v>
      </c>
      <c r="BD3248">
        <v>0</v>
      </c>
      <c r="BE3248">
        <v>0</v>
      </c>
      <c r="BF3248">
        <v>0</v>
      </c>
      <c r="BG3248">
        <v>0</v>
      </c>
      <c r="BH3248">
        <v>1</v>
      </c>
      <c r="BI3248">
        <v>1</v>
      </c>
      <c r="BJ3248">
        <v>0.2</v>
      </c>
      <c r="BK3248">
        <v>1</v>
      </c>
      <c r="BL3248">
        <v>135.59</v>
      </c>
      <c r="BM3248">
        <v>20.34</v>
      </c>
      <c r="BN3248">
        <v>155.93</v>
      </c>
      <c r="BO3248">
        <v>155.93</v>
      </c>
      <c r="BQ3248" t="s">
        <v>513</v>
      </c>
      <c r="BR3248" t="s">
        <v>84</v>
      </c>
      <c r="BS3248" s="3">
        <v>45804</v>
      </c>
      <c r="BT3248" s="4">
        <v>0.5541666666666667</v>
      </c>
      <c r="BU3248" t="s">
        <v>1170</v>
      </c>
      <c r="BV3248" t="s">
        <v>86</v>
      </c>
      <c r="BY3248">
        <v>1200</v>
      </c>
      <c r="CA3248" t="s">
        <v>1088</v>
      </c>
      <c r="CC3248" t="s">
        <v>410</v>
      </c>
      <c r="CD3248">
        <v>6850</v>
      </c>
      <c r="CE3248" t="s">
        <v>88</v>
      </c>
      <c r="CF3248" s="3">
        <v>45805</v>
      </c>
      <c r="CI3248">
        <v>2</v>
      </c>
      <c r="CJ3248">
        <v>1</v>
      </c>
      <c r="CK3248">
        <v>23</v>
      </c>
      <c r="CL3248" t="s">
        <v>89</v>
      </c>
    </row>
    <row r="3249" spans="1:90" x14ac:dyDescent="0.3">
      <c r="A3249" t="s">
        <v>72</v>
      </c>
      <c r="B3249" t="s">
        <v>73</v>
      </c>
      <c r="C3249" t="s">
        <v>74</v>
      </c>
      <c r="E3249" t="str">
        <f>"080065557457"</f>
        <v>080065557457</v>
      </c>
      <c r="F3249" s="3">
        <v>45803</v>
      </c>
      <c r="G3249">
        <v>202602</v>
      </c>
      <c r="H3249" t="s">
        <v>75</v>
      </c>
      <c r="I3249" t="s">
        <v>76</v>
      </c>
      <c r="J3249" t="s">
        <v>77</v>
      </c>
      <c r="K3249" t="s">
        <v>78</v>
      </c>
      <c r="L3249" t="s">
        <v>672</v>
      </c>
      <c r="M3249" t="s">
        <v>673</v>
      </c>
      <c r="N3249" t="s">
        <v>674</v>
      </c>
      <c r="O3249" t="s">
        <v>82</v>
      </c>
      <c r="P3249" t="str">
        <f>"4170040625                    "</f>
        <v xml:space="preserve">4170040625                    </v>
      </c>
      <c r="Q3249">
        <v>0</v>
      </c>
      <c r="R3249">
        <v>0</v>
      </c>
      <c r="S3249">
        <v>0</v>
      </c>
      <c r="T3249">
        <v>0</v>
      </c>
      <c r="U3249">
        <v>0</v>
      </c>
      <c r="V3249">
        <v>0</v>
      </c>
      <c r="W3249">
        <v>0</v>
      </c>
      <c r="X3249">
        <v>0</v>
      </c>
      <c r="Y3249">
        <v>0</v>
      </c>
      <c r="Z3249">
        <v>0</v>
      </c>
      <c r="AA3249">
        <v>0</v>
      </c>
      <c r="AB3249">
        <v>0</v>
      </c>
      <c r="AC3249">
        <v>0</v>
      </c>
      <c r="AD3249">
        <v>0</v>
      </c>
      <c r="AE3249">
        <v>0</v>
      </c>
      <c r="AF3249">
        <v>0</v>
      </c>
      <c r="AG3249">
        <v>0</v>
      </c>
      <c r="AH3249">
        <v>0</v>
      </c>
      <c r="AI3249">
        <v>0</v>
      </c>
      <c r="AJ3249">
        <v>0</v>
      </c>
      <c r="AK3249">
        <v>0</v>
      </c>
      <c r="AL3249">
        <v>0</v>
      </c>
      <c r="AM3249">
        <v>0</v>
      </c>
      <c r="AN3249">
        <v>0</v>
      </c>
      <c r="AO3249">
        <v>0</v>
      </c>
      <c r="AP3249">
        <v>0</v>
      </c>
      <c r="AQ3249">
        <v>41.43</v>
      </c>
      <c r="AR3249">
        <v>0</v>
      </c>
      <c r="AS3249">
        <v>0</v>
      </c>
      <c r="AT3249">
        <v>0</v>
      </c>
      <c r="AU3249">
        <v>0</v>
      </c>
      <c r="AV3249">
        <v>0</v>
      </c>
      <c r="AW3249">
        <v>0</v>
      </c>
      <c r="AX3249">
        <v>0</v>
      </c>
      <c r="AY3249">
        <v>0</v>
      </c>
      <c r="AZ3249">
        <v>0</v>
      </c>
      <c r="BA3249">
        <v>0</v>
      </c>
      <c r="BB3249">
        <v>0</v>
      </c>
      <c r="BC3249">
        <v>0</v>
      </c>
      <c r="BD3249">
        <v>0</v>
      </c>
      <c r="BE3249">
        <v>0</v>
      </c>
      <c r="BF3249">
        <v>0</v>
      </c>
      <c r="BG3249">
        <v>0</v>
      </c>
      <c r="BH3249">
        <v>1</v>
      </c>
      <c r="BI3249">
        <v>1</v>
      </c>
      <c r="BJ3249">
        <v>0.2</v>
      </c>
      <c r="BK3249">
        <v>1</v>
      </c>
      <c r="BL3249">
        <v>135.59</v>
      </c>
      <c r="BM3249">
        <v>20.34</v>
      </c>
      <c r="BN3249">
        <v>155.93</v>
      </c>
      <c r="BO3249">
        <v>155.93</v>
      </c>
      <c r="BQ3249" t="s">
        <v>675</v>
      </c>
      <c r="BR3249" t="s">
        <v>84</v>
      </c>
      <c r="BS3249" s="3">
        <v>45804</v>
      </c>
      <c r="BT3249" s="4">
        <v>0.46666666666666667</v>
      </c>
      <c r="BU3249" t="s">
        <v>1512</v>
      </c>
      <c r="BV3249" t="s">
        <v>86</v>
      </c>
      <c r="BY3249">
        <v>1200</v>
      </c>
      <c r="CA3249" t="s">
        <v>677</v>
      </c>
      <c r="CC3249" t="s">
        <v>673</v>
      </c>
      <c r="CD3249">
        <v>2531</v>
      </c>
      <c r="CE3249" t="s">
        <v>88</v>
      </c>
      <c r="CF3249" s="3">
        <v>45805</v>
      </c>
      <c r="CI3249">
        <v>1</v>
      </c>
      <c r="CJ3249">
        <v>1</v>
      </c>
      <c r="CK3249">
        <v>23</v>
      </c>
      <c r="CL3249" t="s">
        <v>89</v>
      </c>
    </row>
    <row r="3250" spans="1:90" x14ac:dyDescent="0.3">
      <c r="A3250" t="s">
        <v>72</v>
      </c>
      <c r="B3250" t="s">
        <v>73</v>
      </c>
      <c r="C3250" t="s">
        <v>74</v>
      </c>
      <c r="E3250" t="str">
        <f>"080065557481"</f>
        <v>080065557481</v>
      </c>
      <c r="F3250" s="3">
        <v>45803</v>
      </c>
      <c r="G3250">
        <v>202602</v>
      </c>
      <c r="H3250" t="s">
        <v>75</v>
      </c>
      <c r="I3250" t="s">
        <v>76</v>
      </c>
      <c r="J3250" t="s">
        <v>77</v>
      </c>
      <c r="K3250" t="s">
        <v>78</v>
      </c>
      <c r="L3250" t="s">
        <v>136</v>
      </c>
      <c r="M3250" t="s">
        <v>137</v>
      </c>
      <c r="N3250" t="s">
        <v>161</v>
      </c>
      <c r="O3250" t="s">
        <v>82</v>
      </c>
      <c r="P3250" t="str">
        <f>"4170040611                    "</f>
        <v xml:space="preserve">4170040611                    </v>
      </c>
      <c r="Q3250">
        <v>0</v>
      </c>
      <c r="R3250">
        <v>0</v>
      </c>
      <c r="S3250">
        <v>0</v>
      </c>
      <c r="T3250">
        <v>0</v>
      </c>
      <c r="U3250">
        <v>0</v>
      </c>
      <c r="V3250">
        <v>0</v>
      </c>
      <c r="W3250">
        <v>0</v>
      </c>
      <c r="X3250">
        <v>0</v>
      </c>
      <c r="Y3250">
        <v>0</v>
      </c>
      <c r="Z3250">
        <v>0</v>
      </c>
      <c r="AA3250">
        <v>0</v>
      </c>
      <c r="AB3250">
        <v>0</v>
      </c>
      <c r="AC3250">
        <v>0</v>
      </c>
      <c r="AD3250">
        <v>0</v>
      </c>
      <c r="AE3250">
        <v>0</v>
      </c>
      <c r="AF3250">
        <v>0</v>
      </c>
      <c r="AG3250">
        <v>0</v>
      </c>
      <c r="AH3250">
        <v>0</v>
      </c>
      <c r="AI3250">
        <v>0</v>
      </c>
      <c r="AJ3250">
        <v>0</v>
      </c>
      <c r="AK3250">
        <v>0</v>
      </c>
      <c r="AL3250">
        <v>0</v>
      </c>
      <c r="AM3250">
        <v>0</v>
      </c>
      <c r="AN3250">
        <v>0</v>
      </c>
      <c r="AO3250">
        <v>0</v>
      </c>
      <c r="AP3250">
        <v>0</v>
      </c>
      <c r="AQ3250">
        <v>21.38</v>
      </c>
      <c r="AR3250">
        <v>0</v>
      </c>
      <c r="AS3250">
        <v>0</v>
      </c>
      <c r="AT3250">
        <v>0</v>
      </c>
      <c r="AU3250">
        <v>0</v>
      </c>
      <c r="AV3250">
        <v>0</v>
      </c>
      <c r="AW3250">
        <v>0</v>
      </c>
      <c r="AX3250">
        <v>0</v>
      </c>
      <c r="AY3250">
        <v>0</v>
      </c>
      <c r="AZ3250">
        <v>0</v>
      </c>
      <c r="BA3250">
        <v>0</v>
      </c>
      <c r="BB3250">
        <v>0</v>
      </c>
      <c r="BC3250">
        <v>0</v>
      </c>
      <c r="BD3250">
        <v>0</v>
      </c>
      <c r="BE3250">
        <v>0</v>
      </c>
      <c r="BF3250">
        <v>0</v>
      </c>
      <c r="BG3250">
        <v>0</v>
      </c>
      <c r="BH3250">
        <v>1</v>
      </c>
      <c r="BI3250">
        <v>1</v>
      </c>
      <c r="BJ3250">
        <v>0.2</v>
      </c>
      <c r="BK3250">
        <v>1</v>
      </c>
      <c r="BL3250">
        <v>69.98</v>
      </c>
      <c r="BM3250">
        <v>10.5</v>
      </c>
      <c r="BN3250">
        <v>80.48</v>
      </c>
      <c r="BO3250">
        <v>80.48</v>
      </c>
      <c r="BQ3250" t="s">
        <v>162</v>
      </c>
      <c r="BR3250" t="s">
        <v>84</v>
      </c>
      <c r="BS3250" s="3">
        <v>45804</v>
      </c>
      <c r="BT3250" s="4">
        <v>0.63611111111111107</v>
      </c>
      <c r="BU3250" t="s">
        <v>1628</v>
      </c>
      <c r="BV3250" t="s">
        <v>89</v>
      </c>
      <c r="BW3250" t="s">
        <v>148</v>
      </c>
      <c r="BX3250" t="s">
        <v>195</v>
      </c>
      <c r="BY3250">
        <v>1200</v>
      </c>
      <c r="CC3250" t="s">
        <v>137</v>
      </c>
      <c r="CD3250" s="5" t="s">
        <v>2197</v>
      </c>
      <c r="CE3250" t="s">
        <v>88</v>
      </c>
      <c r="CF3250" s="3">
        <v>45804</v>
      </c>
      <c r="CI3250">
        <v>1</v>
      </c>
      <c r="CJ3250">
        <v>1</v>
      </c>
      <c r="CK3250">
        <v>21</v>
      </c>
      <c r="CL3250" t="s">
        <v>89</v>
      </c>
    </row>
    <row r="3251" spans="1:90" x14ac:dyDescent="0.3">
      <c r="A3251" t="s">
        <v>72</v>
      </c>
      <c r="B3251" t="s">
        <v>73</v>
      </c>
      <c r="C3251" t="s">
        <v>74</v>
      </c>
      <c r="E3251" t="str">
        <f>"080065558024"</f>
        <v>080065558024</v>
      </c>
      <c r="F3251" s="3">
        <v>45803</v>
      </c>
      <c r="G3251">
        <v>202602</v>
      </c>
      <c r="H3251" t="s">
        <v>75</v>
      </c>
      <c r="I3251" t="s">
        <v>76</v>
      </c>
      <c r="J3251" t="s">
        <v>77</v>
      </c>
      <c r="K3251" t="s">
        <v>78</v>
      </c>
      <c r="L3251" t="s">
        <v>130</v>
      </c>
      <c r="M3251" t="s">
        <v>131</v>
      </c>
      <c r="N3251" t="s">
        <v>781</v>
      </c>
      <c r="O3251" t="s">
        <v>82</v>
      </c>
      <c r="P3251" t="str">
        <f>"4170040549                    "</f>
        <v xml:space="preserve">4170040549                    </v>
      </c>
      <c r="Q3251">
        <v>0</v>
      </c>
      <c r="R3251">
        <v>0</v>
      </c>
      <c r="S3251">
        <v>0</v>
      </c>
      <c r="T3251">
        <v>0</v>
      </c>
      <c r="U3251">
        <v>0</v>
      </c>
      <c r="V3251">
        <v>0</v>
      </c>
      <c r="W3251">
        <v>0</v>
      </c>
      <c r="X3251">
        <v>0</v>
      </c>
      <c r="Y3251">
        <v>0</v>
      </c>
      <c r="Z3251">
        <v>0</v>
      </c>
      <c r="AA3251">
        <v>0</v>
      </c>
      <c r="AB3251">
        <v>0</v>
      </c>
      <c r="AC3251">
        <v>0</v>
      </c>
      <c r="AD3251">
        <v>0</v>
      </c>
      <c r="AE3251">
        <v>0</v>
      </c>
      <c r="AF3251">
        <v>0</v>
      </c>
      <c r="AG3251">
        <v>0</v>
      </c>
      <c r="AH3251">
        <v>0</v>
      </c>
      <c r="AI3251">
        <v>0</v>
      </c>
      <c r="AJ3251">
        <v>0</v>
      </c>
      <c r="AK3251">
        <v>0</v>
      </c>
      <c r="AL3251">
        <v>0</v>
      </c>
      <c r="AM3251">
        <v>0</v>
      </c>
      <c r="AN3251">
        <v>0</v>
      </c>
      <c r="AO3251">
        <v>0</v>
      </c>
      <c r="AP3251">
        <v>0</v>
      </c>
      <c r="AQ3251">
        <v>21.38</v>
      </c>
      <c r="AR3251">
        <v>0</v>
      </c>
      <c r="AS3251">
        <v>0</v>
      </c>
      <c r="AT3251">
        <v>0</v>
      </c>
      <c r="AU3251">
        <v>0</v>
      </c>
      <c r="AV3251">
        <v>0</v>
      </c>
      <c r="AW3251">
        <v>0</v>
      </c>
      <c r="AX3251">
        <v>0</v>
      </c>
      <c r="AY3251">
        <v>0</v>
      </c>
      <c r="AZ3251">
        <v>0</v>
      </c>
      <c r="BA3251">
        <v>0</v>
      </c>
      <c r="BB3251">
        <v>0</v>
      </c>
      <c r="BC3251">
        <v>0</v>
      </c>
      <c r="BD3251">
        <v>0</v>
      </c>
      <c r="BE3251">
        <v>0</v>
      </c>
      <c r="BF3251">
        <v>0</v>
      </c>
      <c r="BG3251">
        <v>0</v>
      </c>
      <c r="BH3251">
        <v>1</v>
      </c>
      <c r="BI3251">
        <v>1</v>
      </c>
      <c r="BJ3251">
        <v>0.2</v>
      </c>
      <c r="BK3251">
        <v>1</v>
      </c>
      <c r="BL3251">
        <v>69.98</v>
      </c>
      <c r="BM3251">
        <v>10.5</v>
      </c>
      <c r="BN3251">
        <v>80.48</v>
      </c>
      <c r="BO3251">
        <v>80.48</v>
      </c>
      <c r="BQ3251" t="s">
        <v>782</v>
      </c>
      <c r="BR3251" t="s">
        <v>84</v>
      </c>
      <c r="BS3251" s="3">
        <v>45804</v>
      </c>
      <c r="BT3251" s="4">
        <v>0.43402777777777779</v>
      </c>
      <c r="BU3251" t="s">
        <v>3132</v>
      </c>
      <c r="BV3251" t="s">
        <v>86</v>
      </c>
      <c r="BY3251">
        <v>1200</v>
      </c>
      <c r="CC3251" t="s">
        <v>131</v>
      </c>
      <c r="CD3251">
        <v>7700</v>
      </c>
      <c r="CE3251" t="s">
        <v>88</v>
      </c>
      <c r="CF3251" s="3">
        <v>45805</v>
      </c>
      <c r="CI3251">
        <v>1</v>
      </c>
      <c r="CJ3251">
        <v>1</v>
      </c>
      <c r="CK3251">
        <v>21</v>
      </c>
      <c r="CL3251" t="s">
        <v>89</v>
      </c>
    </row>
    <row r="3252" spans="1:90" x14ac:dyDescent="0.3">
      <c r="A3252" t="s">
        <v>72</v>
      </c>
      <c r="B3252" t="s">
        <v>73</v>
      </c>
      <c r="C3252" t="s">
        <v>74</v>
      </c>
      <c r="E3252" t="str">
        <f>"080065558099"</f>
        <v>080065558099</v>
      </c>
      <c r="F3252" s="3">
        <v>45803</v>
      </c>
      <c r="G3252">
        <v>202602</v>
      </c>
      <c r="H3252" t="s">
        <v>75</v>
      </c>
      <c r="I3252" t="s">
        <v>76</v>
      </c>
      <c r="J3252" t="s">
        <v>77</v>
      </c>
      <c r="K3252" t="s">
        <v>78</v>
      </c>
      <c r="L3252" t="s">
        <v>136</v>
      </c>
      <c r="M3252" t="s">
        <v>137</v>
      </c>
      <c r="N3252" t="s">
        <v>925</v>
      </c>
      <c r="O3252" t="s">
        <v>300</v>
      </c>
      <c r="P3252" t="str">
        <f>"4170040550                    "</f>
        <v xml:space="preserve">4170040550                    </v>
      </c>
      <c r="Q3252">
        <v>0</v>
      </c>
      <c r="R3252">
        <v>0</v>
      </c>
      <c r="S3252">
        <v>0</v>
      </c>
      <c r="T3252">
        <v>0</v>
      </c>
      <c r="U3252">
        <v>0</v>
      </c>
      <c r="V3252">
        <v>0</v>
      </c>
      <c r="W3252">
        <v>0</v>
      </c>
      <c r="X3252">
        <v>0</v>
      </c>
      <c r="Y3252">
        <v>0</v>
      </c>
      <c r="Z3252">
        <v>0</v>
      </c>
      <c r="AA3252">
        <v>0</v>
      </c>
      <c r="AB3252">
        <v>0</v>
      </c>
      <c r="AC3252">
        <v>0</v>
      </c>
      <c r="AD3252">
        <v>0</v>
      </c>
      <c r="AE3252">
        <v>0</v>
      </c>
      <c r="AF3252">
        <v>0</v>
      </c>
      <c r="AG3252">
        <v>0</v>
      </c>
      <c r="AH3252">
        <v>0</v>
      </c>
      <c r="AI3252">
        <v>0</v>
      </c>
      <c r="AJ3252">
        <v>0</v>
      </c>
      <c r="AK3252">
        <v>0</v>
      </c>
      <c r="AL3252">
        <v>0</v>
      </c>
      <c r="AM3252">
        <v>0</v>
      </c>
      <c r="AN3252">
        <v>0</v>
      </c>
      <c r="AO3252">
        <v>0</v>
      </c>
      <c r="AP3252">
        <v>0</v>
      </c>
      <c r="AQ3252">
        <v>41.35</v>
      </c>
      <c r="AR3252">
        <v>0</v>
      </c>
      <c r="AS3252">
        <v>0</v>
      </c>
      <c r="AT3252">
        <v>0</v>
      </c>
      <c r="AU3252">
        <v>0</v>
      </c>
      <c r="AV3252">
        <v>0</v>
      </c>
      <c r="AW3252">
        <v>0</v>
      </c>
      <c r="AX3252">
        <v>0</v>
      </c>
      <c r="AY3252">
        <v>0</v>
      </c>
      <c r="AZ3252">
        <v>0</v>
      </c>
      <c r="BA3252">
        <v>0</v>
      </c>
      <c r="BB3252">
        <v>0</v>
      </c>
      <c r="BC3252">
        <v>0</v>
      </c>
      <c r="BD3252">
        <v>0</v>
      </c>
      <c r="BE3252">
        <v>0</v>
      </c>
      <c r="BF3252">
        <v>0</v>
      </c>
      <c r="BG3252">
        <v>0</v>
      </c>
      <c r="BH3252">
        <v>1</v>
      </c>
      <c r="BI3252">
        <v>10</v>
      </c>
      <c r="BJ3252">
        <v>8.9</v>
      </c>
      <c r="BK3252">
        <v>10</v>
      </c>
      <c r="BL3252">
        <v>140.9</v>
      </c>
      <c r="BM3252">
        <v>21.14</v>
      </c>
      <c r="BN3252">
        <v>162.04</v>
      </c>
      <c r="BO3252">
        <v>162.04</v>
      </c>
      <c r="BQ3252" t="s">
        <v>926</v>
      </c>
      <c r="BR3252" t="s">
        <v>84</v>
      </c>
      <c r="BS3252" s="3">
        <v>45804</v>
      </c>
      <c r="BT3252" s="4">
        <v>0.49513888888888891</v>
      </c>
      <c r="BU3252" t="s">
        <v>3133</v>
      </c>
      <c r="BV3252" t="s">
        <v>86</v>
      </c>
      <c r="BY3252">
        <v>44640</v>
      </c>
      <c r="CA3252" t="s">
        <v>141</v>
      </c>
      <c r="CC3252" t="s">
        <v>137</v>
      </c>
      <c r="CD3252" s="5" t="s">
        <v>142</v>
      </c>
      <c r="CE3252" t="s">
        <v>96</v>
      </c>
      <c r="CF3252" s="3">
        <v>45804</v>
      </c>
      <c r="CI3252">
        <v>1</v>
      </c>
      <c r="CJ3252">
        <v>1</v>
      </c>
      <c r="CK3252">
        <v>41</v>
      </c>
      <c r="CL3252" t="s">
        <v>89</v>
      </c>
    </row>
    <row r="3253" spans="1:90" x14ac:dyDescent="0.3">
      <c r="A3253" t="s">
        <v>72</v>
      </c>
      <c r="B3253" t="s">
        <v>73</v>
      </c>
      <c r="C3253" t="s">
        <v>74</v>
      </c>
      <c r="E3253" t="str">
        <f>"080065558189"</f>
        <v>080065558189</v>
      </c>
      <c r="F3253" s="3">
        <v>45803</v>
      </c>
      <c r="G3253">
        <v>202602</v>
      </c>
      <c r="H3253" t="s">
        <v>75</v>
      </c>
      <c r="I3253" t="s">
        <v>76</v>
      </c>
      <c r="J3253" t="s">
        <v>77</v>
      </c>
      <c r="K3253" t="s">
        <v>78</v>
      </c>
      <c r="L3253" t="s">
        <v>130</v>
      </c>
      <c r="M3253" t="s">
        <v>131</v>
      </c>
      <c r="N3253" t="s">
        <v>343</v>
      </c>
      <c r="O3253" t="s">
        <v>82</v>
      </c>
      <c r="P3253" t="str">
        <f>"4170040621                    "</f>
        <v xml:space="preserve">4170040621                    </v>
      </c>
      <c r="Q3253">
        <v>0</v>
      </c>
      <c r="R3253">
        <v>0</v>
      </c>
      <c r="S3253">
        <v>0</v>
      </c>
      <c r="T3253">
        <v>0</v>
      </c>
      <c r="U3253">
        <v>0</v>
      </c>
      <c r="V3253">
        <v>0</v>
      </c>
      <c r="W3253">
        <v>0</v>
      </c>
      <c r="X3253">
        <v>0</v>
      </c>
      <c r="Y3253">
        <v>0</v>
      </c>
      <c r="Z3253">
        <v>0</v>
      </c>
      <c r="AA3253">
        <v>0</v>
      </c>
      <c r="AB3253">
        <v>0</v>
      </c>
      <c r="AC3253">
        <v>0</v>
      </c>
      <c r="AD3253">
        <v>0</v>
      </c>
      <c r="AE3253">
        <v>0</v>
      </c>
      <c r="AF3253">
        <v>0</v>
      </c>
      <c r="AG3253">
        <v>0</v>
      </c>
      <c r="AH3253">
        <v>0</v>
      </c>
      <c r="AI3253">
        <v>0</v>
      </c>
      <c r="AJ3253">
        <v>0</v>
      </c>
      <c r="AK3253">
        <v>0</v>
      </c>
      <c r="AL3253">
        <v>0</v>
      </c>
      <c r="AM3253">
        <v>0</v>
      </c>
      <c r="AN3253">
        <v>0</v>
      </c>
      <c r="AO3253">
        <v>0</v>
      </c>
      <c r="AP3253">
        <v>0</v>
      </c>
      <c r="AQ3253">
        <v>96.17</v>
      </c>
      <c r="AR3253">
        <v>0</v>
      </c>
      <c r="AS3253">
        <v>0</v>
      </c>
      <c r="AT3253">
        <v>0</v>
      </c>
      <c r="AU3253">
        <v>0</v>
      </c>
      <c r="AV3253">
        <v>0</v>
      </c>
      <c r="AW3253">
        <v>0</v>
      </c>
      <c r="AX3253">
        <v>0</v>
      </c>
      <c r="AY3253">
        <v>0</v>
      </c>
      <c r="AZ3253">
        <v>0</v>
      </c>
      <c r="BA3253">
        <v>0</v>
      </c>
      <c r="BB3253">
        <v>0</v>
      </c>
      <c r="BC3253">
        <v>0</v>
      </c>
      <c r="BD3253">
        <v>0</v>
      </c>
      <c r="BE3253">
        <v>0</v>
      </c>
      <c r="BF3253">
        <v>0</v>
      </c>
      <c r="BG3253">
        <v>0</v>
      </c>
      <c r="BH3253">
        <v>1</v>
      </c>
      <c r="BI3253">
        <v>5</v>
      </c>
      <c r="BJ3253">
        <v>8.9</v>
      </c>
      <c r="BK3253">
        <v>9</v>
      </c>
      <c r="BL3253">
        <v>314.73</v>
      </c>
      <c r="BM3253">
        <v>47.21</v>
      </c>
      <c r="BN3253">
        <v>361.94</v>
      </c>
      <c r="BO3253">
        <v>361.94</v>
      </c>
      <c r="BQ3253" t="s">
        <v>344</v>
      </c>
      <c r="BR3253" t="s">
        <v>84</v>
      </c>
      <c r="BS3253" s="3">
        <v>45804</v>
      </c>
      <c r="BT3253" s="4">
        <v>0.39930555555555558</v>
      </c>
      <c r="BU3253" t="s">
        <v>345</v>
      </c>
      <c r="BV3253" t="s">
        <v>86</v>
      </c>
      <c r="BY3253">
        <v>44640</v>
      </c>
      <c r="BZ3253" t="s">
        <v>127</v>
      </c>
      <c r="CA3253" t="s">
        <v>242</v>
      </c>
      <c r="CC3253" t="s">
        <v>131</v>
      </c>
      <c r="CD3253">
        <v>7441</v>
      </c>
      <c r="CE3253" t="s">
        <v>96</v>
      </c>
      <c r="CF3253" s="3">
        <v>45805</v>
      </c>
      <c r="CI3253">
        <v>1</v>
      </c>
      <c r="CJ3253">
        <v>1</v>
      </c>
      <c r="CK3253">
        <v>21</v>
      </c>
      <c r="CL3253" t="s">
        <v>89</v>
      </c>
    </row>
    <row r="3254" spans="1:90" x14ac:dyDescent="0.3">
      <c r="A3254" t="s">
        <v>72</v>
      </c>
      <c r="B3254" t="s">
        <v>73</v>
      </c>
      <c r="C3254" t="s">
        <v>74</v>
      </c>
      <c r="E3254" t="str">
        <f>"080065559515"</f>
        <v>080065559515</v>
      </c>
      <c r="F3254" s="3">
        <v>45803</v>
      </c>
      <c r="G3254">
        <v>202602</v>
      </c>
      <c r="H3254" t="s">
        <v>75</v>
      </c>
      <c r="I3254" t="s">
        <v>76</v>
      </c>
      <c r="J3254" t="s">
        <v>77</v>
      </c>
      <c r="K3254" t="s">
        <v>78</v>
      </c>
      <c r="L3254" t="s">
        <v>463</v>
      </c>
      <c r="M3254" t="s">
        <v>464</v>
      </c>
      <c r="N3254" t="s">
        <v>883</v>
      </c>
      <c r="O3254" t="s">
        <v>82</v>
      </c>
      <c r="P3254" t="str">
        <f>"4170040608                    "</f>
        <v xml:space="preserve">4170040608                    </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c r="AI3254">
        <v>0</v>
      </c>
      <c r="AJ3254">
        <v>0</v>
      </c>
      <c r="AK3254">
        <v>0</v>
      </c>
      <c r="AL3254">
        <v>0</v>
      </c>
      <c r="AM3254">
        <v>0</v>
      </c>
      <c r="AN3254">
        <v>0</v>
      </c>
      <c r="AO3254">
        <v>0</v>
      </c>
      <c r="AP3254">
        <v>0</v>
      </c>
      <c r="AQ3254">
        <v>21.38</v>
      </c>
      <c r="AR3254">
        <v>0</v>
      </c>
      <c r="AS3254">
        <v>0</v>
      </c>
      <c r="AT3254">
        <v>0</v>
      </c>
      <c r="AU3254">
        <v>0</v>
      </c>
      <c r="AV3254">
        <v>0</v>
      </c>
      <c r="AW3254">
        <v>0</v>
      </c>
      <c r="AX3254">
        <v>0</v>
      </c>
      <c r="AY3254">
        <v>0</v>
      </c>
      <c r="AZ3254">
        <v>0</v>
      </c>
      <c r="BA3254">
        <v>0</v>
      </c>
      <c r="BB3254">
        <v>0</v>
      </c>
      <c r="BC3254">
        <v>0</v>
      </c>
      <c r="BD3254">
        <v>0</v>
      </c>
      <c r="BE3254">
        <v>0</v>
      </c>
      <c r="BF3254">
        <v>0</v>
      </c>
      <c r="BG3254">
        <v>0</v>
      </c>
      <c r="BH3254">
        <v>1</v>
      </c>
      <c r="BI3254">
        <v>1</v>
      </c>
      <c r="BJ3254">
        <v>0.2</v>
      </c>
      <c r="BK3254">
        <v>1</v>
      </c>
      <c r="BL3254">
        <v>69.98</v>
      </c>
      <c r="BM3254">
        <v>10.5</v>
      </c>
      <c r="BN3254">
        <v>80.48</v>
      </c>
      <c r="BO3254">
        <v>80.48</v>
      </c>
      <c r="BQ3254" t="s">
        <v>884</v>
      </c>
      <c r="BR3254" t="s">
        <v>84</v>
      </c>
      <c r="BS3254" s="3">
        <v>45804</v>
      </c>
      <c r="BT3254" s="4">
        <v>0.50416666666666665</v>
      </c>
      <c r="BU3254" t="s">
        <v>2106</v>
      </c>
      <c r="BV3254" t="s">
        <v>89</v>
      </c>
      <c r="BY3254">
        <v>1200</v>
      </c>
      <c r="CA3254" t="s">
        <v>2107</v>
      </c>
      <c r="CC3254" t="s">
        <v>464</v>
      </c>
      <c r="CD3254">
        <v>5201</v>
      </c>
      <c r="CE3254" t="s">
        <v>88</v>
      </c>
      <c r="CF3254" s="3">
        <v>45804</v>
      </c>
      <c r="CI3254">
        <v>1</v>
      </c>
      <c r="CJ3254">
        <v>1</v>
      </c>
      <c r="CK3254">
        <v>21</v>
      </c>
      <c r="CL3254" t="s">
        <v>89</v>
      </c>
    </row>
    <row r="3255" spans="1:90" x14ac:dyDescent="0.3">
      <c r="A3255" t="s">
        <v>72</v>
      </c>
      <c r="B3255" t="s">
        <v>73</v>
      </c>
      <c r="C3255" t="s">
        <v>74</v>
      </c>
      <c r="E3255" t="str">
        <f>"080065559544"</f>
        <v>080065559544</v>
      </c>
      <c r="F3255" s="3">
        <v>45803</v>
      </c>
      <c r="G3255">
        <v>202602</v>
      </c>
      <c r="H3255" t="s">
        <v>75</v>
      </c>
      <c r="I3255" t="s">
        <v>76</v>
      </c>
      <c r="J3255" t="s">
        <v>77</v>
      </c>
      <c r="K3255" t="s">
        <v>78</v>
      </c>
      <c r="L3255" t="s">
        <v>75</v>
      </c>
      <c r="M3255" t="s">
        <v>76</v>
      </c>
      <c r="N3255" t="s">
        <v>346</v>
      </c>
      <c r="O3255" t="s">
        <v>82</v>
      </c>
      <c r="P3255" t="str">
        <f>"4170040557                    "</f>
        <v xml:space="preserve">4170040557                    </v>
      </c>
      <c r="Q3255">
        <v>0</v>
      </c>
      <c r="R3255">
        <v>0</v>
      </c>
      <c r="S3255">
        <v>0</v>
      </c>
      <c r="T3255">
        <v>0</v>
      </c>
      <c r="U3255">
        <v>0</v>
      </c>
      <c r="V3255">
        <v>0</v>
      </c>
      <c r="W3255">
        <v>0</v>
      </c>
      <c r="X3255">
        <v>0</v>
      </c>
      <c r="Y3255">
        <v>0</v>
      </c>
      <c r="Z3255">
        <v>0</v>
      </c>
      <c r="AA3255">
        <v>0</v>
      </c>
      <c r="AB3255">
        <v>0</v>
      </c>
      <c r="AC3255">
        <v>0</v>
      </c>
      <c r="AD3255">
        <v>0</v>
      </c>
      <c r="AE3255">
        <v>0</v>
      </c>
      <c r="AF3255">
        <v>0</v>
      </c>
      <c r="AG3255">
        <v>0</v>
      </c>
      <c r="AH3255">
        <v>0</v>
      </c>
      <c r="AI3255">
        <v>0</v>
      </c>
      <c r="AJ3255">
        <v>0</v>
      </c>
      <c r="AK3255">
        <v>0</v>
      </c>
      <c r="AL3255">
        <v>0</v>
      </c>
      <c r="AM3255">
        <v>0</v>
      </c>
      <c r="AN3255">
        <v>0</v>
      </c>
      <c r="AO3255">
        <v>0</v>
      </c>
      <c r="AP3255">
        <v>0</v>
      </c>
      <c r="AQ3255">
        <v>16.7</v>
      </c>
      <c r="AR3255">
        <v>0</v>
      </c>
      <c r="AS3255">
        <v>0</v>
      </c>
      <c r="AT3255">
        <v>0</v>
      </c>
      <c r="AU3255">
        <v>0</v>
      </c>
      <c r="AV3255">
        <v>0</v>
      </c>
      <c r="AW3255">
        <v>0</v>
      </c>
      <c r="AX3255">
        <v>0</v>
      </c>
      <c r="AY3255">
        <v>0</v>
      </c>
      <c r="AZ3255">
        <v>0</v>
      </c>
      <c r="BA3255">
        <v>0</v>
      </c>
      <c r="BB3255">
        <v>0</v>
      </c>
      <c r="BC3255">
        <v>0</v>
      </c>
      <c r="BD3255">
        <v>0</v>
      </c>
      <c r="BE3255">
        <v>0</v>
      </c>
      <c r="BF3255">
        <v>0</v>
      </c>
      <c r="BG3255">
        <v>0</v>
      </c>
      <c r="BH3255">
        <v>1</v>
      </c>
      <c r="BI3255">
        <v>1</v>
      </c>
      <c r="BJ3255">
        <v>0.2</v>
      </c>
      <c r="BK3255">
        <v>1</v>
      </c>
      <c r="BL3255">
        <v>54.66</v>
      </c>
      <c r="BM3255">
        <v>8.1999999999999993</v>
      </c>
      <c r="BN3255">
        <v>62.86</v>
      </c>
      <c r="BO3255">
        <v>62.86</v>
      </c>
      <c r="BQ3255" t="s">
        <v>347</v>
      </c>
      <c r="BR3255" t="s">
        <v>84</v>
      </c>
      <c r="BS3255" s="3">
        <v>45804</v>
      </c>
      <c r="BT3255" s="4">
        <v>0.35069444444444442</v>
      </c>
      <c r="BU3255" t="s">
        <v>407</v>
      </c>
      <c r="BV3255" t="s">
        <v>86</v>
      </c>
      <c r="BY3255">
        <v>1200</v>
      </c>
      <c r="CA3255" t="s">
        <v>349</v>
      </c>
      <c r="CC3255" t="s">
        <v>76</v>
      </c>
      <c r="CD3255">
        <v>1619</v>
      </c>
      <c r="CE3255" t="s">
        <v>88</v>
      </c>
      <c r="CF3255" s="3">
        <v>45804</v>
      </c>
      <c r="CI3255">
        <v>1</v>
      </c>
      <c r="CJ3255">
        <v>1</v>
      </c>
      <c r="CK3255">
        <v>22</v>
      </c>
      <c r="CL3255" t="s">
        <v>89</v>
      </c>
    </row>
    <row r="3256" spans="1:90" x14ac:dyDescent="0.3">
      <c r="A3256" t="s">
        <v>72</v>
      </c>
      <c r="B3256" t="s">
        <v>73</v>
      </c>
      <c r="C3256" t="s">
        <v>74</v>
      </c>
      <c r="E3256" t="str">
        <f>"080065559585"</f>
        <v>080065559585</v>
      </c>
      <c r="F3256" s="3">
        <v>45803</v>
      </c>
      <c r="G3256">
        <v>202602</v>
      </c>
      <c r="H3256" t="s">
        <v>75</v>
      </c>
      <c r="I3256" t="s">
        <v>76</v>
      </c>
      <c r="J3256" t="s">
        <v>77</v>
      </c>
      <c r="K3256" t="s">
        <v>78</v>
      </c>
      <c r="L3256" t="s">
        <v>130</v>
      </c>
      <c r="M3256" t="s">
        <v>131</v>
      </c>
      <c r="N3256" t="s">
        <v>343</v>
      </c>
      <c r="O3256" t="s">
        <v>82</v>
      </c>
      <c r="P3256" t="str">
        <f>"4170040610                    "</f>
        <v xml:space="preserve">4170040610                    </v>
      </c>
      <c r="Q3256">
        <v>0</v>
      </c>
      <c r="R3256">
        <v>0</v>
      </c>
      <c r="S3256">
        <v>0</v>
      </c>
      <c r="T3256">
        <v>0</v>
      </c>
      <c r="U3256">
        <v>0</v>
      </c>
      <c r="V3256">
        <v>0</v>
      </c>
      <c r="W3256">
        <v>0</v>
      </c>
      <c r="X3256">
        <v>0</v>
      </c>
      <c r="Y3256">
        <v>0</v>
      </c>
      <c r="Z3256">
        <v>0</v>
      </c>
      <c r="AA3256">
        <v>0</v>
      </c>
      <c r="AB3256">
        <v>0</v>
      </c>
      <c r="AC3256">
        <v>0</v>
      </c>
      <c r="AD3256">
        <v>0</v>
      </c>
      <c r="AE3256">
        <v>0</v>
      </c>
      <c r="AF3256">
        <v>0</v>
      </c>
      <c r="AG3256">
        <v>0</v>
      </c>
      <c r="AH3256">
        <v>0</v>
      </c>
      <c r="AI3256">
        <v>0</v>
      </c>
      <c r="AJ3256">
        <v>0</v>
      </c>
      <c r="AK3256">
        <v>0</v>
      </c>
      <c r="AL3256">
        <v>0</v>
      </c>
      <c r="AM3256">
        <v>0</v>
      </c>
      <c r="AN3256">
        <v>0</v>
      </c>
      <c r="AO3256">
        <v>0</v>
      </c>
      <c r="AP3256">
        <v>0</v>
      </c>
      <c r="AQ3256">
        <v>21.38</v>
      </c>
      <c r="AR3256">
        <v>0</v>
      </c>
      <c r="AS3256">
        <v>0</v>
      </c>
      <c r="AT3256">
        <v>0</v>
      </c>
      <c r="AU3256">
        <v>0</v>
      </c>
      <c r="AV3256">
        <v>0</v>
      </c>
      <c r="AW3256">
        <v>0</v>
      </c>
      <c r="AX3256">
        <v>0</v>
      </c>
      <c r="AY3256">
        <v>0</v>
      </c>
      <c r="AZ3256">
        <v>0</v>
      </c>
      <c r="BA3256">
        <v>0</v>
      </c>
      <c r="BB3256">
        <v>0</v>
      </c>
      <c r="BC3256">
        <v>0</v>
      </c>
      <c r="BD3256">
        <v>0</v>
      </c>
      <c r="BE3256">
        <v>0</v>
      </c>
      <c r="BF3256">
        <v>0</v>
      </c>
      <c r="BG3256">
        <v>0</v>
      </c>
      <c r="BH3256">
        <v>1</v>
      </c>
      <c r="BI3256">
        <v>1</v>
      </c>
      <c r="BJ3256">
        <v>0.2</v>
      </c>
      <c r="BK3256">
        <v>1</v>
      </c>
      <c r="BL3256">
        <v>69.98</v>
      </c>
      <c r="BM3256">
        <v>10.5</v>
      </c>
      <c r="BN3256">
        <v>80.48</v>
      </c>
      <c r="BO3256">
        <v>80.48</v>
      </c>
      <c r="BQ3256" t="s">
        <v>344</v>
      </c>
      <c r="BR3256" t="s">
        <v>84</v>
      </c>
      <c r="BS3256" s="3">
        <v>45804</v>
      </c>
      <c r="BT3256" s="4">
        <v>0.39930555555555558</v>
      </c>
      <c r="BU3256" t="s">
        <v>345</v>
      </c>
      <c r="BV3256" t="s">
        <v>86</v>
      </c>
      <c r="BY3256">
        <v>1200</v>
      </c>
      <c r="CA3256" t="s">
        <v>242</v>
      </c>
      <c r="CC3256" t="s">
        <v>131</v>
      </c>
      <c r="CD3256">
        <v>7441</v>
      </c>
      <c r="CE3256" t="s">
        <v>88</v>
      </c>
      <c r="CF3256" s="3">
        <v>45805</v>
      </c>
      <c r="CI3256">
        <v>1</v>
      </c>
      <c r="CJ3256">
        <v>1</v>
      </c>
      <c r="CK3256">
        <v>21</v>
      </c>
      <c r="CL3256" t="s">
        <v>89</v>
      </c>
    </row>
    <row r="3257" spans="1:90" x14ac:dyDescent="0.3">
      <c r="A3257" t="s">
        <v>72</v>
      </c>
      <c r="B3257" t="s">
        <v>73</v>
      </c>
      <c r="C3257" t="s">
        <v>74</v>
      </c>
      <c r="E3257" t="str">
        <f>"080065559653"</f>
        <v>080065559653</v>
      </c>
      <c r="F3257" s="3">
        <v>45803</v>
      </c>
      <c r="G3257">
        <v>202602</v>
      </c>
      <c r="H3257" t="s">
        <v>75</v>
      </c>
      <c r="I3257" t="s">
        <v>76</v>
      </c>
      <c r="J3257" t="s">
        <v>77</v>
      </c>
      <c r="K3257" t="s">
        <v>78</v>
      </c>
      <c r="L3257" t="s">
        <v>624</v>
      </c>
      <c r="M3257" t="s">
        <v>625</v>
      </c>
      <c r="N3257" t="s">
        <v>481</v>
      </c>
      <c r="O3257" t="s">
        <v>82</v>
      </c>
      <c r="P3257" t="str">
        <f>"4170040579                    "</f>
        <v xml:space="preserve">4170040579                    </v>
      </c>
      <c r="Q3257">
        <v>0</v>
      </c>
      <c r="R3257">
        <v>0</v>
      </c>
      <c r="S3257">
        <v>0</v>
      </c>
      <c r="T3257">
        <v>0</v>
      </c>
      <c r="U3257">
        <v>0</v>
      </c>
      <c r="V3257">
        <v>0</v>
      </c>
      <c r="W3257">
        <v>0</v>
      </c>
      <c r="X3257">
        <v>0</v>
      </c>
      <c r="Y3257">
        <v>0</v>
      </c>
      <c r="Z3257">
        <v>0</v>
      </c>
      <c r="AA3257">
        <v>0</v>
      </c>
      <c r="AB3257">
        <v>0</v>
      </c>
      <c r="AC3257">
        <v>0</v>
      </c>
      <c r="AD3257">
        <v>0</v>
      </c>
      <c r="AE3257">
        <v>0</v>
      </c>
      <c r="AF3257">
        <v>0</v>
      </c>
      <c r="AG3257">
        <v>0</v>
      </c>
      <c r="AH3257">
        <v>0</v>
      </c>
      <c r="AI3257">
        <v>0</v>
      </c>
      <c r="AJ3257">
        <v>0</v>
      </c>
      <c r="AK3257">
        <v>0</v>
      </c>
      <c r="AL3257">
        <v>0</v>
      </c>
      <c r="AM3257">
        <v>0</v>
      </c>
      <c r="AN3257">
        <v>0</v>
      </c>
      <c r="AO3257">
        <v>0</v>
      </c>
      <c r="AP3257">
        <v>0</v>
      </c>
      <c r="AQ3257">
        <v>41.43</v>
      </c>
      <c r="AR3257">
        <v>0</v>
      </c>
      <c r="AS3257">
        <v>0</v>
      </c>
      <c r="AT3257">
        <v>0</v>
      </c>
      <c r="AU3257">
        <v>0</v>
      </c>
      <c r="AV3257">
        <v>0</v>
      </c>
      <c r="AW3257">
        <v>0</v>
      </c>
      <c r="AX3257">
        <v>0</v>
      </c>
      <c r="AY3257">
        <v>0</v>
      </c>
      <c r="AZ3257">
        <v>0</v>
      </c>
      <c r="BA3257">
        <v>0</v>
      </c>
      <c r="BB3257">
        <v>0</v>
      </c>
      <c r="BC3257">
        <v>0</v>
      </c>
      <c r="BD3257">
        <v>0</v>
      </c>
      <c r="BE3257">
        <v>0</v>
      </c>
      <c r="BF3257">
        <v>0</v>
      </c>
      <c r="BG3257">
        <v>0</v>
      </c>
      <c r="BH3257">
        <v>1</v>
      </c>
      <c r="BI3257">
        <v>1</v>
      </c>
      <c r="BJ3257">
        <v>0.2</v>
      </c>
      <c r="BK3257">
        <v>1</v>
      </c>
      <c r="BL3257">
        <v>135.59</v>
      </c>
      <c r="BM3257">
        <v>20.34</v>
      </c>
      <c r="BN3257">
        <v>155.93</v>
      </c>
      <c r="BO3257">
        <v>155.93</v>
      </c>
      <c r="BQ3257" t="s">
        <v>1025</v>
      </c>
      <c r="BR3257" t="s">
        <v>84</v>
      </c>
      <c r="BS3257" s="3">
        <v>45804</v>
      </c>
      <c r="BT3257" s="4">
        <v>0.40972222222222221</v>
      </c>
      <c r="BU3257" t="s">
        <v>1026</v>
      </c>
      <c r="BV3257" t="s">
        <v>86</v>
      </c>
      <c r="BY3257">
        <v>1200</v>
      </c>
      <c r="CA3257" t="s">
        <v>629</v>
      </c>
      <c r="CC3257" t="s">
        <v>625</v>
      </c>
      <c r="CD3257">
        <v>1947</v>
      </c>
      <c r="CE3257" t="s">
        <v>88</v>
      </c>
      <c r="CF3257" s="3">
        <v>45805</v>
      </c>
      <c r="CI3257">
        <v>1</v>
      </c>
      <c r="CJ3257">
        <v>1</v>
      </c>
      <c r="CK3257">
        <v>23</v>
      </c>
      <c r="CL3257" t="s">
        <v>89</v>
      </c>
    </row>
    <row r="3258" spans="1:90" x14ac:dyDescent="0.3">
      <c r="A3258" t="s">
        <v>72</v>
      </c>
      <c r="B3258" t="s">
        <v>73</v>
      </c>
      <c r="C3258" t="s">
        <v>74</v>
      </c>
      <c r="E3258" t="str">
        <f>"080065559703"</f>
        <v>080065559703</v>
      </c>
      <c r="F3258" s="3">
        <v>45803</v>
      </c>
      <c r="G3258">
        <v>202602</v>
      </c>
      <c r="H3258" t="s">
        <v>75</v>
      </c>
      <c r="I3258" t="s">
        <v>76</v>
      </c>
      <c r="J3258" t="s">
        <v>77</v>
      </c>
      <c r="K3258" t="s">
        <v>78</v>
      </c>
      <c r="L3258" t="s">
        <v>463</v>
      </c>
      <c r="M3258" t="s">
        <v>464</v>
      </c>
      <c r="N3258" t="s">
        <v>744</v>
      </c>
      <c r="O3258" t="s">
        <v>82</v>
      </c>
      <c r="P3258" t="str">
        <f>"4170040575                    "</f>
        <v xml:space="preserve">4170040575                    </v>
      </c>
      <c r="Q3258">
        <v>0</v>
      </c>
      <c r="R3258">
        <v>0</v>
      </c>
      <c r="S3258">
        <v>0</v>
      </c>
      <c r="T3258">
        <v>0</v>
      </c>
      <c r="U3258">
        <v>0</v>
      </c>
      <c r="V3258">
        <v>0</v>
      </c>
      <c r="W3258">
        <v>0</v>
      </c>
      <c r="X3258">
        <v>0</v>
      </c>
      <c r="Y3258">
        <v>0</v>
      </c>
      <c r="Z3258">
        <v>0</v>
      </c>
      <c r="AA3258">
        <v>0</v>
      </c>
      <c r="AB3258">
        <v>0</v>
      </c>
      <c r="AC3258">
        <v>0</v>
      </c>
      <c r="AD3258">
        <v>0</v>
      </c>
      <c r="AE3258">
        <v>0</v>
      </c>
      <c r="AF3258">
        <v>0</v>
      </c>
      <c r="AG3258">
        <v>0</v>
      </c>
      <c r="AH3258">
        <v>0</v>
      </c>
      <c r="AI3258">
        <v>0</v>
      </c>
      <c r="AJ3258">
        <v>0</v>
      </c>
      <c r="AK3258">
        <v>0</v>
      </c>
      <c r="AL3258">
        <v>0</v>
      </c>
      <c r="AM3258">
        <v>0</v>
      </c>
      <c r="AN3258">
        <v>0</v>
      </c>
      <c r="AO3258">
        <v>0</v>
      </c>
      <c r="AP3258">
        <v>0</v>
      </c>
      <c r="AQ3258">
        <v>21.38</v>
      </c>
      <c r="AR3258">
        <v>0</v>
      </c>
      <c r="AS3258">
        <v>0</v>
      </c>
      <c r="AT3258">
        <v>0</v>
      </c>
      <c r="AU3258">
        <v>0</v>
      </c>
      <c r="AV3258">
        <v>0</v>
      </c>
      <c r="AW3258">
        <v>0</v>
      </c>
      <c r="AX3258">
        <v>0</v>
      </c>
      <c r="AY3258">
        <v>0</v>
      </c>
      <c r="AZ3258">
        <v>0</v>
      </c>
      <c r="BA3258">
        <v>0</v>
      </c>
      <c r="BB3258">
        <v>0</v>
      </c>
      <c r="BC3258">
        <v>0</v>
      </c>
      <c r="BD3258">
        <v>0</v>
      </c>
      <c r="BE3258">
        <v>0</v>
      </c>
      <c r="BF3258">
        <v>0</v>
      </c>
      <c r="BG3258">
        <v>0</v>
      </c>
      <c r="BH3258">
        <v>1</v>
      </c>
      <c r="BI3258">
        <v>1</v>
      </c>
      <c r="BJ3258">
        <v>0.2</v>
      </c>
      <c r="BK3258">
        <v>1</v>
      </c>
      <c r="BL3258">
        <v>69.98</v>
      </c>
      <c r="BM3258">
        <v>10.5</v>
      </c>
      <c r="BN3258">
        <v>80.48</v>
      </c>
      <c r="BO3258">
        <v>80.48</v>
      </c>
      <c r="BQ3258" t="s">
        <v>745</v>
      </c>
      <c r="BR3258" t="s">
        <v>84</v>
      </c>
      <c r="BS3258" s="3">
        <v>45804</v>
      </c>
      <c r="BT3258" s="4">
        <v>0.50486111111111109</v>
      </c>
      <c r="BU3258" t="s">
        <v>746</v>
      </c>
      <c r="BV3258" t="s">
        <v>89</v>
      </c>
      <c r="BY3258">
        <v>1200</v>
      </c>
      <c r="CA3258" t="s">
        <v>588</v>
      </c>
      <c r="CC3258" t="s">
        <v>464</v>
      </c>
      <c r="CD3258">
        <v>5201</v>
      </c>
      <c r="CE3258" t="s">
        <v>88</v>
      </c>
      <c r="CF3258" s="3">
        <v>45804</v>
      </c>
      <c r="CI3258">
        <v>1</v>
      </c>
      <c r="CJ3258">
        <v>1</v>
      </c>
      <c r="CK3258">
        <v>21</v>
      </c>
      <c r="CL3258" t="s">
        <v>89</v>
      </c>
    </row>
    <row r="3259" spans="1:90" x14ac:dyDescent="0.3">
      <c r="A3259" t="s">
        <v>72</v>
      </c>
      <c r="B3259" t="s">
        <v>73</v>
      </c>
      <c r="C3259" t="s">
        <v>74</v>
      </c>
      <c r="E3259" t="str">
        <f>"080065559744"</f>
        <v>080065559744</v>
      </c>
      <c r="F3259" s="3">
        <v>45803</v>
      </c>
      <c r="G3259">
        <v>202602</v>
      </c>
      <c r="H3259" t="s">
        <v>75</v>
      </c>
      <c r="I3259" t="s">
        <v>76</v>
      </c>
      <c r="J3259" t="s">
        <v>77</v>
      </c>
      <c r="K3259" t="s">
        <v>78</v>
      </c>
      <c r="L3259" t="s">
        <v>222</v>
      </c>
      <c r="M3259" t="s">
        <v>223</v>
      </c>
      <c r="N3259" t="s">
        <v>1369</v>
      </c>
      <c r="O3259" t="s">
        <v>82</v>
      </c>
      <c r="P3259" t="str">
        <f>"4170040595                    "</f>
        <v xml:space="preserve">4170040595                    </v>
      </c>
      <c r="Q3259">
        <v>0</v>
      </c>
      <c r="R3259">
        <v>0</v>
      </c>
      <c r="S3259">
        <v>0</v>
      </c>
      <c r="T3259">
        <v>0</v>
      </c>
      <c r="U3259">
        <v>0</v>
      </c>
      <c r="V3259">
        <v>0</v>
      </c>
      <c r="W3259">
        <v>0</v>
      </c>
      <c r="X3259">
        <v>0</v>
      </c>
      <c r="Y3259">
        <v>0</v>
      </c>
      <c r="Z3259">
        <v>0</v>
      </c>
      <c r="AA3259">
        <v>0</v>
      </c>
      <c r="AB3259">
        <v>0</v>
      </c>
      <c r="AC3259">
        <v>0</v>
      </c>
      <c r="AD3259">
        <v>0</v>
      </c>
      <c r="AE3259">
        <v>0</v>
      </c>
      <c r="AF3259">
        <v>0</v>
      </c>
      <c r="AG3259">
        <v>0</v>
      </c>
      <c r="AH3259">
        <v>0</v>
      </c>
      <c r="AI3259">
        <v>0</v>
      </c>
      <c r="AJ3259">
        <v>0</v>
      </c>
      <c r="AK3259">
        <v>0</v>
      </c>
      <c r="AL3259">
        <v>0</v>
      </c>
      <c r="AM3259">
        <v>0</v>
      </c>
      <c r="AN3259">
        <v>0</v>
      </c>
      <c r="AO3259">
        <v>0</v>
      </c>
      <c r="AP3259">
        <v>0</v>
      </c>
      <c r="AQ3259">
        <v>30.07</v>
      </c>
      <c r="AR3259">
        <v>0</v>
      </c>
      <c r="AS3259">
        <v>0</v>
      </c>
      <c r="AT3259">
        <v>0</v>
      </c>
      <c r="AU3259">
        <v>0</v>
      </c>
      <c r="AV3259">
        <v>0</v>
      </c>
      <c r="AW3259">
        <v>0</v>
      </c>
      <c r="AX3259">
        <v>0</v>
      </c>
      <c r="AY3259">
        <v>0</v>
      </c>
      <c r="AZ3259">
        <v>0</v>
      </c>
      <c r="BA3259">
        <v>0</v>
      </c>
      <c r="BB3259">
        <v>0</v>
      </c>
      <c r="BC3259">
        <v>0</v>
      </c>
      <c r="BD3259">
        <v>0</v>
      </c>
      <c r="BE3259">
        <v>0</v>
      </c>
      <c r="BF3259">
        <v>0</v>
      </c>
      <c r="BG3259">
        <v>0</v>
      </c>
      <c r="BH3259">
        <v>1</v>
      </c>
      <c r="BI3259">
        <v>1</v>
      </c>
      <c r="BJ3259">
        <v>0.2</v>
      </c>
      <c r="BK3259">
        <v>1</v>
      </c>
      <c r="BL3259">
        <v>98.42</v>
      </c>
      <c r="BM3259">
        <v>14.76</v>
      </c>
      <c r="BN3259">
        <v>113.18</v>
      </c>
      <c r="BO3259">
        <v>113.18</v>
      </c>
      <c r="BQ3259" t="s">
        <v>1370</v>
      </c>
      <c r="BR3259" t="s">
        <v>84</v>
      </c>
      <c r="BS3259" s="3">
        <v>45804</v>
      </c>
      <c r="BT3259" s="4">
        <v>0.375</v>
      </c>
      <c r="BU3259" t="s">
        <v>3134</v>
      </c>
      <c r="BV3259" t="s">
        <v>86</v>
      </c>
      <c r="BY3259">
        <v>1200</v>
      </c>
      <c r="CA3259" t="s">
        <v>592</v>
      </c>
      <c r="CC3259" t="s">
        <v>223</v>
      </c>
      <c r="CD3259">
        <v>1748</v>
      </c>
      <c r="CE3259" t="s">
        <v>88</v>
      </c>
      <c r="CF3259" s="3">
        <v>45805</v>
      </c>
      <c r="CI3259">
        <v>1</v>
      </c>
      <c r="CJ3259">
        <v>1</v>
      </c>
      <c r="CK3259">
        <v>24</v>
      </c>
      <c r="CL3259" t="s">
        <v>89</v>
      </c>
    </row>
    <row r="3260" spans="1:90" x14ac:dyDescent="0.3">
      <c r="A3260" t="s">
        <v>72</v>
      </c>
      <c r="B3260" t="s">
        <v>73</v>
      </c>
      <c r="C3260" t="s">
        <v>74</v>
      </c>
      <c r="E3260" t="str">
        <f>"080065559786"</f>
        <v>080065559786</v>
      </c>
      <c r="F3260" s="3">
        <v>45803</v>
      </c>
      <c r="G3260">
        <v>202602</v>
      </c>
      <c r="H3260" t="s">
        <v>75</v>
      </c>
      <c r="I3260" t="s">
        <v>76</v>
      </c>
      <c r="J3260" t="s">
        <v>77</v>
      </c>
      <c r="K3260" t="s">
        <v>78</v>
      </c>
      <c r="L3260" t="s">
        <v>713</v>
      </c>
      <c r="M3260" t="s">
        <v>714</v>
      </c>
      <c r="N3260" t="s">
        <v>715</v>
      </c>
      <c r="O3260" t="s">
        <v>82</v>
      </c>
      <c r="P3260" t="str">
        <f>"4170040647                    "</f>
        <v xml:space="preserve">4170040647                    </v>
      </c>
      <c r="Q3260">
        <v>0</v>
      </c>
      <c r="R3260">
        <v>0</v>
      </c>
      <c r="S3260">
        <v>0</v>
      </c>
      <c r="T3260">
        <v>0</v>
      </c>
      <c r="U3260">
        <v>0</v>
      </c>
      <c r="V3260">
        <v>0</v>
      </c>
      <c r="W3260">
        <v>0</v>
      </c>
      <c r="X3260">
        <v>0</v>
      </c>
      <c r="Y3260">
        <v>0</v>
      </c>
      <c r="Z3260">
        <v>0</v>
      </c>
      <c r="AA3260">
        <v>0</v>
      </c>
      <c r="AB3260">
        <v>0</v>
      </c>
      <c r="AC3260">
        <v>0</v>
      </c>
      <c r="AD3260">
        <v>0</v>
      </c>
      <c r="AE3260">
        <v>0</v>
      </c>
      <c r="AF3260">
        <v>0</v>
      </c>
      <c r="AG3260">
        <v>0</v>
      </c>
      <c r="AH3260">
        <v>0</v>
      </c>
      <c r="AI3260">
        <v>0</v>
      </c>
      <c r="AJ3260">
        <v>0</v>
      </c>
      <c r="AK3260">
        <v>0</v>
      </c>
      <c r="AL3260">
        <v>0</v>
      </c>
      <c r="AM3260">
        <v>0</v>
      </c>
      <c r="AN3260">
        <v>0</v>
      </c>
      <c r="AO3260">
        <v>0</v>
      </c>
      <c r="AP3260">
        <v>0</v>
      </c>
      <c r="AQ3260">
        <v>41.43</v>
      </c>
      <c r="AR3260">
        <v>0</v>
      </c>
      <c r="AS3260">
        <v>0</v>
      </c>
      <c r="AT3260">
        <v>0</v>
      </c>
      <c r="AU3260">
        <v>0</v>
      </c>
      <c r="AV3260">
        <v>0</v>
      </c>
      <c r="AW3260">
        <v>0</v>
      </c>
      <c r="AX3260">
        <v>0</v>
      </c>
      <c r="AY3260">
        <v>0</v>
      </c>
      <c r="AZ3260">
        <v>0</v>
      </c>
      <c r="BA3260">
        <v>0</v>
      </c>
      <c r="BB3260">
        <v>0</v>
      </c>
      <c r="BC3260">
        <v>0</v>
      </c>
      <c r="BD3260">
        <v>0</v>
      </c>
      <c r="BE3260">
        <v>0</v>
      </c>
      <c r="BF3260">
        <v>0</v>
      </c>
      <c r="BG3260">
        <v>0</v>
      </c>
      <c r="BH3260">
        <v>1</v>
      </c>
      <c r="BI3260">
        <v>1</v>
      </c>
      <c r="BJ3260">
        <v>0.2</v>
      </c>
      <c r="BK3260">
        <v>1</v>
      </c>
      <c r="BL3260">
        <v>135.59</v>
      </c>
      <c r="BM3260">
        <v>20.34</v>
      </c>
      <c r="BN3260">
        <v>155.93</v>
      </c>
      <c r="BO3260">
        <v>155.93</v>
      </c>
      <c r="BQ3260" t="s">
        <v>716</v>
      </c>
      <c r="BR3260" t="s">
        <v>84</v>
      </c>
      <c r="BS3260" s="3">
        <v>45804</v>
      </c>
      <c r="BT3260" s="4">
        <v>0.36666666666666664</v>
      </c>
      <c r="BU3260" t="s">
        <v>2421</v>
      </c>
      <c r="BV3260" t="s">
        <v>86</v>
      </c>
      <c r="BY3260">
        <v>1200</v>
      </c>
      <c r="CA3260" t="s">
        <v>718</v>
      </c>
      <c r="CC3260" t="s">
        <v>714</v>
      </c>
      <c r="CD3260">
        <v>6300</v>
      </c>
      <c r="CE3260" t="s">
        <v>88</v>
      </c>
      <c r="CF3260" s="3">
        <v>45804</v>
      </c>
      <c r="CI3260">
        <v>2</v>
      </c>
      <c r="CJ3260">
        <v>1</v>
      </c>
      <c r="CK3260">
        <v>23</v>
      </c>
      <c r="CL3260" t="s">
        <v>89</v>
      </c>
    </row>
    <row r="3261" spans="1:90" x14ac:dyDescent="0.3">
      <c r="A3261" t="s">
        <v>72</v>
      </c>
      <c r="B3261" t="s">
        <v>73</v>
      </c>
      <c r="C3261" t="s">
        <v>74</v>
      </c>
      <c r="E3261" t="str">
        <f>"080065559818"</f>
        <v>080065559818</v>
      </c>
      <c r="F3261" s="3">
        <v>45803</v>
      </c>
      <c r="G3261">
        <v>202602</v>
      </c>
      <c r="H3261" t="s">
        <v>75</v>
      </c>
      <c r="I3261" t="s">
        <v>76</v>
      </c>
      <c r="J3261" t="s">
        <v>77</v>
      </c>
      <c r="K3261" t="s">
        <v>78</v>
      </c>
      <c r="L3261" t="s">
        <v>75</v>
      </c>
      <c r="M3261" t="s">
        <v>76</v>
      </c>
      <c r="N3261" t="s">
        <v>390</v>
      </c>
      <c r="O3261" t="s">
        <v>82</v>
      </c>
      <c r="P3261" t="str">
        <f>"4170040528                    "</f>
        <v xml:space="preserve">4170040528                    </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c r="AI3261">
        <v>0</v>
      </c>
      <c r="AJ3261">
        <v>0</v>
      </c>
      <c r="AK3261">
        <v>0</v>
      </c>
      <c r="AL3261">
        <v>0</v>
      </c>
      <c r="AM3261">
        <v>0</v>
      </c>
      <c r="AN3261">
        <v>0</v>
      </c>
      <c r="AO3261">
        <v>0</v>
      </c>
      <c r="AP3261">
        <v>0</v>
      </c>
      <c r="AQ3261">
        <v>16.7</v>
      </c>
      <c r="AR3261">
        <v>0</v>
      </c>
      <c r="AS3261">
        <v>0</v>
      </c>
      <c r="AT3261">
        <v>0</v>
      </c>
      <c r="AU3261">
        <v>0</v>
      </c>
      <c r="AV3261">
        <v>0</v>
      </c>
      <c r="AW3261">
        <v>0</v>
      </c>
      <c r="AX3261">
        <v>0</v>
      </c>
      <c r="AY3261">
        <v>0</v>
      </c>
      <c r="AZ3261">
        <v>0</v>
      </c>
      <c r="BA3261">
        <v>0</v>
      </c>
      <c r="BB3261">
        <v>0</v>
      </c>
      <c r="BC3261">
        <v>0</v>
      </c>
      <c r="BD3261">
        <v>0</v>
      </c>
      <c r="BE3261">
        <v>0</v>
      </c>
      <c r="BF3261">
        <v>0</v>
      </c>
      <c r="BG3261">
        <v>0</v>
      </c>
      <c r="BH3261">
        <v>1</v>
      </c>
      <c r="BI3261">
        <v>2</v>
      </c>
      <c r="BJ3261">
        <v>2.4</v>
      </c>
      <c r="BK3261">
        <v>3</v>
      </c>
      <c r="BL3261">
        <v>54.66</v>
      </c>
      <c r="BM3261">
        <v>8.1999999999999993</v>
      </c>
      <c r="BN3261">
        <v>62.86</v>
      </c>
      <c r="BO3261">
        <v>62.86</v>
      </c>
      <c r="BQ3261" t="s">
        <v>391</v>
      </c>
      <c r="BR3261" t="s">
        <v>84</v>
      </c>
      <c r="BS3261" s="3">
        <v>45804</v>
      </c>
      <c r="BT3261" s="4">
        <v>0.37291666666666667</v>
      </c>
      <c r="BU3261" t="s">
        <v>2078</v>
      </c>
      <c r="BV3261" t="s">
        <v>86</v>
      </c>
      <c r="BY3261">
        <v>12152</v>
      </c>
      <c r="CA3261" t="s">
        <v>115</v>
      </c>
      <c r="CC3261" t="s">
        <v>76</v>
      </c>
      <c r="CD3261">
        <v>1600</v>
      </c>
      <c r="CE3261" t="s">
        <v>221</v>
      </c>
      <c r="CF3261" s="3">
        <v>45805</v>
      </c>
      <c r="CI3261">
        <v>1</v>
      </c>
      <c r="CJ3261">
        <v>1</v>
      </c>
      <c r="CK3261">
        <v>22</v>
      </c>
      <c r="CL3261" t="s">
        <v>89</v>
      </c>
    </row>
    <row r="3262" spans="1:90" x14ac:dyDescent="0.3">
      <c r="A3262" t="s">
        <v>72</v>
      </c>
      <c r="B3262" t="s">
        <v>73</v>
      </c>
      <c r="C3262" t="s">
        <v>74</v>
      </c>
      <c r="E3262" t="str">
        <f>"080065559856"</f>
        <v>080065559856</v>
      </c>
      <c r="F3262" s="3">
        <v>45803</v>
      </c>
      <c r="G3262">
        <v>202602</v>
      </c>
      <c r="H3262" t="s">
        <v>75</v>
      </c>
      <c r="I3262" t="s">
        <v>76</v>
      </c>
      <c r="J3262" t="s">
        <v>77</v>
      </c>
      <c r="K3262" t="s">
        <v>78</v>
      </c>
      <c r="L3262" t="s">
        <v>871</v>
      </c>
      <c r="M3262" t="s">
        <v>872</v>
      </c>
      <c r="N3262" t="s">
        <v>873</v>
      </c>
      <c r="O3262" t="s">
        <v>82</v>
      </c>
      <c r="P3262" t="str">
        <f>"4170040558                    "</f>
        <v xml:space="preserve">4170040558                    </v>
      </c>
      <c r="Q3262">
        <v>0</v>
      </c>
      <c r="R3262">
        <v>0</v>
      </c>
      <c r="S3262">
        <v>0</v>
      </c>
      <c r="T3262">
        <v>0</v>
      </c>
      <c r="U3262">
        <v>0</v>
      </c>
      <c r="V3262">
        <v>0</v>
      </c>
      <c r="W3262">
        <v>0</v>
      </c>
      <c r="X3262">
        <v>0</v>
      </c>
      <c r="Y3262">
        <v>0</v>
      </c>
      <c r="Z3262">
        <v>0</v>
      </c>
      <c r="AA3262">
        <v>0</v>
      </c>
      <c r="AB3262">
        <v>0</v>
      </c>
      <c r="AC3262">
        <v>0</v>
      </c>
      <c r="AD3262">
        <v>0</v>
      </c>
      <c r="AE3262">
        <v>0</v>
      </c>
      <c r="AF3262">
        <v>0</v>
      </c>
      <c r="AG3262">
        <v>0</v>
      </c>
      <c r="AH3262">
        <v>0</v>
      </c>
      <c r="AI3262">
        <v>0</v>
      </c>
      <c r="AJ3262">
        <v>0</v>
      </c>
      <c r="AK3262">
        <v>0</v>
      </c>
      <c r="AL3262">
        <v>0</v>
      </c>
      <c r="AM3262">
        <v>0</v>
      </c>
      <c r="AN3262">
        <v>0</v>
      </c>
      <c r="AO3262">
        <v>0</v>
      </c>
      <c r="AP3262">
        <v>0</v>
      </c>
      <c r="AQ3262">
        <v>284.64</v>
      </c>
      <c r="AR3262">
        <v>0</v>
      </c>
      <c r="AS3262">
        <v>0</v>
      </c>
      <c r="AT3262">
        <v>0</v>
      </c>
      <c r="AU3262">
        <v>0</v>
      </c>
      <c r="AV3262">
        <v>0</v>
      </c>
      <c r="AW3262">
        <v>0</v>
      </c>
      <c r="AX3262">
        <v>0</v>
      </c>
      <c r="AY3262">
        <v>0</v>
      </c>
      <c r="AZ3262">
        <v>0</v>
      </c>
      <c r="BA3262">
        <v>0</v>
      </c>
      <c r="BB3262">
        <v>0</v>
      </c>
      <c r="BC3262">
        <v>0</v>
      </c>
      <c r="BD3262">
        <v>0</v>
      </c>
      <c r="BE3262">
        <v>0</v>
      </c>
      <c r="BF3262">
        <v>0</v>
      </c>
      <c r="BG3262">
        <v>0</v>
      </c>
      <c r="BH3262">
        <v>1</v>
      </c>
      <c r="BI3262">
        <v>15</v>
      </c>
      <c r="BJ3262">
        <v>8.9</v>
      </c>
      <c r="BK3262">
        <v>15</v>
      </c>
      <c r="BL3262">
        <v>931.56</v>
      </c>
      <c r="BM3262">
        <v>139.72999999999999</v>
      </c>
      <c r="BN3262">
        <v>1071.29</v>
      </c>
      <c r="BO3262">
        <v>1071.29</v>
      </c>
      <c r="BQ3262" t="s">
        <v>874</v>
      </c>
      <c r="BR3262" t="s">
        <v>84</v>
      </c>
      <c r="BS3262" s="3">
        <v>45804</v>
      </c>
      <c r="BT3262" s="4">
        <v>0.50277777777777777</v>
      </c>
      <c r="BU3262" t="s">
        <v>2111</v>
      </c>
      <c r="BV3262" t="s">
        <v>89</v>
      </c>
      <c r="BY3262">
        <v>44640</v>
      </c>
      <c r="CC3262" t="s">
        <v>872</v>
      </c>
      <c r="CD3262">
        <v>2302</v>
      </c>
      <c r="CE3262" t="s">
        <v>96</v>
      </c>
      <c r="CF3262" s="3">
        <v>45804</v>
      </c>
      <c r="CI3262">
        <v>1</v>
      </c>
      <c r="CJ3262">
        <v>1</v>
      </c>
      <c r="CK3262">
        <v>23</v>
      </c>
      <c r="CL3262" t="s">
        <v>89</v>
      </c>
    </row>
    <row r="3263" spans="1:90" x14ac:dyDescent="0.3">
      <c r="A3263" t="s">
        <v>72</v>
      </c>
      <c r="B3263" t="s">
        <v>73</v>
      </c>
      <c r="C3263" t="s">
        <v>74</v>
      </c>
      <c r="E3263" t="str">
        <f>"080065559893"</f>
        <v>080065559893</v>
      </c>
      <c r="F3263" s="3">
        <v>45803</v>
      </c>
      <c r="G3263">
        <v>202602</v>
      </c>
      <c r="H3263" t="s">
        <v>75</v>
      </c>
      <c r="I3263" t="s">
        <v>76</v>
      </c>
      <c r="J3263" t="s">
        <v>77</v>
      </c>
      <c r="K3263" t="s">
        <v>78</v>
      </c>
      <c r="L3263" t="s">
        <v>75</v>
      </c>
      <c r="M3263" t="s">
        <v>76</v>
      </c>
      <c r="N3263" t="s">
        <v>661</v>
      </c>
      <c r="O3263" t="s">
        <v>82</v>
      </c>
      <c r="P3263" t="str">
        <f>"4170040614                    "</f>
        <v xml:space="preserve">4170040614                    </v>
      </c>
      <c r="Q3263">
        <v>0</v>
      </c>
      <c r="R3263">
        <v>0</v>
      </c>
      <c r="S3263">
        <v>0</v>
      </c>
      <c r="T3263">
        <v>0</v>
      </c>
      <c r="U3263">
        <v>0</v>
      </c>
      <c r="V3263">
        <v>0</v>
      </c>
      <c r="W3263">
        <v>0</v>
      </c>
      <c r="X3263">
        <v>0</v>
      </c>
      <c r="Y3263">
        <v>0</v>
      </c>
      <c r="Z3263">
        <v>0</v>
      </c>
      <c r="AA3263">
        <v>0</v>
      </c>
      <c r="AB3263">
        <v>0</v>
      </c>
      <c r="AC3263">
        <v>0</v>
      </c>
      <c r="AD3263">
        <v>0</v>
      </c>
      <c r="AE3263">
        <v>0</v>
      </c>
      <c r="AF3263">
        <v>0</v>
      </c>
      <c r="AG3263">
        <v>0</v>
      </c>
      <c r="AH3263">
        <v>0</v>
      </c>
      <c r="AI3263">
        <v>0</v>
      </c>
      <c r="AJ3263">
        <v>0</v>
      </c>
      <c r="AK3263">
        <v>0</v>
      </c>
      <c r="AL3263">
        <v>0</v>
      </c>
      <c r="AM3263">
        <v>0</v>
      </c>
      <c r="AN3263">
        <v>0</v>
      </c>
      <c r="AO3263">
        <v>0</v>
      </c>
      <c r="AP3263">
        <v>0</v>
      </c>
      <c r="AQ3263">
        <v>16.7</v>
      </c>
      <c r="AR3263">
        <v>0</v>
      </c>
      <c r="AS3263">
        <v>0</v>
      </c>
      <c r="AT3263">
        <v>0</v>
      </c>
      <c r="AU3263">
        <v>0</v>
      </c>
      <c r="AV3263">
        <v>0</v>
      </c>
      <c r="AW3263">
        <v>0</v>
      </c>
      <c r="AX3263">
        <v>0</v>
      </c>
      <c r="AY3263">
        <v>0</v>
      </c>
      <c r="AZ3263">
        <v>0</v>
      </c>
      <c r="BA3263">
        <v>0</v>
      </c>
      <c r="BB3263">
        <v>0</v>
      </c>
      <c r="BC3263">
        <v>0</v>
      </c>
      <c r="BD3263">
        <v>0</v>
      </c>
      <c r="BE3263">
        <v>0</v>
      </c>
      <c r="BF3263">
        <v>0</v>
      </c>
      <c r="BG3263">
        <v>0</v>
      </c>
      <c r="BH3263">
        <v>1</v>
      </c>
      <c r="BI3263">
        <v>1</v>
      </c>
      <c r="BJ3263">
        <v>1.4</v>
      </c>
      <c r="BK3263">
        <v>2</v>
      </c>
      <c r="BL3263">
        <v>54.66</v>
      </c>
      <c r="BM3263">
        <v>8.1999999999999993</v>
      </c>
      <c r="BN3263">
        <v>62.86</v>
      </c>
      <c r="BO3263">
        <v>62.86</v>
      </c>
      <c r="BQ3263" t="s">
        <v>460</v>
      </c>
      <c r="BR3263" t="s">
        <v>84</v>
      </c>
      <c r="BS3263" s="3">
        <v>45804</v>
      </c>
      <c r="BT3263" s="4">
        <v>0.38680555555555557</v>
      </c>
      <c r="BU3263" t="s">
        <v>662</v>
      </c>
      <c r="BV3263" t="s">
        <v>86</v>
      </c>
      <c r="BY3263">
        <v>7000</v>
      </c>
      <c r="CA3263" t="s">
        <v>150</v>
      </c>
      <c r="CC3263" t="s">
        <v>76</v>
      </c>
      <c r="CD3263">
        <v>1614</v>
      </c>
      <c r="CE3263" t="s">
        <v>116</v>
      </c>
      <c r="CF3263" s="3">
        <v>45805</v>
      </c>
      <c r="CI3263">
        <v>1</v>
      </c>
      <c r="CJ3263">
        <v>1</v>
      </c>
      <c r="CK3263">
        <v>22</v>
      </c>
      <c r="CL3263" t="s">
        <v>89</v>
      </c>
    </row>
    <row r="3264" spans="1:90" x14ac:dyDescent="0.3">
      <c r="A3264" t="s">
        <v>72</v>
      </c>
      <c r="B3264" t="s">
        <v>73</v>
      </c>
      <c r="C3264" t="s">
        <v>74</v>
      </c>
      <c r="E3264" t="str">
        <f>"080065559931"</f>
        <v>080065559931</v>
      </c>
      <c r="F3264" s="3">
        <v>45803</v>
      </c>
      <c r="G3264">
        <v>202602</v>
      </c>
      <c r="H3264" t="s">
        <v>75</v>
      </c>
      <c r="I3264" t="s">
        <v>76</v>
      </c>
      <c r="J3264" t="s">
        <v>77</v>
      </c>
      <c r="K3264" t="s">
        <v>78</v>
      </c>
      <c r="L3264" t="s">
        <v>222</v>
      </c>
      <c r="M3264" t="s">
        <v>223</v>
      </c>
      <c r="N3264" t="s">
        <v>224</v>
      </c>
      <c r="O3264" t="s">
        <v>82</v>
      </c>
      <c r="P3264" t="str">
        <f>"4170040572                    "</f>
        <v xml:space="preserve">4170040572                    </v>
      </c>
      <c r="Q3264">
        <v>0</v>
      </c>
      <c r="R3264">
        <v>0</v>
      </c>
      <c r="S3264">
        <v>0</v>
      </c>
      <c r="T3264">
        <v>0</v>
      </c>
      <c r="U3264">
        <v>0</v>
      </c>
      <c r="V3264">
        <v>0</v>
      </c>
      <c r="W3264">
        <v>0</v>
      </c>
      <c r="X3264">
        <v>0</v>
      </c>
      <c r="Y3264">
        <v>0</v>
      </c>
      <c r="Z3264">
        <v>0</v>
      </c>
      <c r="AA3264">
        <v>0</v>
      </c>
      <c r="AB3264">
        <v>0</v>
      </c>
      <c r="AC3264">
        <v>0</v>
      </c>
      <c r="AD3264">
        <v>0</v>
      </c>
      <c r="AE3264">
        <v>0</v>
      </c>
      <c r="AF3264">
        <v>0</v>
      </c>
      <c r="AG3264">
        <v>0</v>
      </c>
      <c r="AH3264">
        <v>0</v>
      </c>
      <c r="AI3264">
        <v>0</v>
      </c>
      <c r="AJ3264">
        <v>0</v>
      </c>
      <c r="AK3264">
        <v>0</v>
      </c>
      <c r="AL3264">
        <v>0</v>
      </c>
      <c r="AM3264">
        <v>0</v>
      </c>
      <c r="AN3264">
        <v>0</v>
      </c>
      <c r="AO3264">
        <v>0</v>
      </c>
      <c r="AP3264">
        <v>0</v>
      </c>
      <c r="AQ3264">
        <v>30.07</v>
      </c>
      <c r="AR3264">
        <v>0</v>
      </c>
      <c r="AS3264">
        <v>0</v>
      </c>
      <c r="AT3264">
        <v>0</v>
      </c>
      <c r="AU3264">
        <v>0</v>
      </c>
      <c r="AV3264">
        <v>0</v>
      </c>
      <c r="AW3264">
        <v>0</v>
      </c>
      <c r="AX3264">
        <v>0</v>
      </c>
      <c r="AY3264">
        <v>0</v>
      </c>
      <c r="AZ3264">
        <v>0</v>
      </c>
      <c r="BA3264">
        <v>0</v>
      </c>
      <c r="BB3264">
        <v>0</v>
      </c>
      <c r="BC3264">
        <v>0</v>
      </c>
      <c r="BD3264">
        <v>0</v>
      </c>
      <c r="BE3264">
        <v>0</v>
      </c>
      <c r="BF3264">
        <v>0</v>
      </c>
      <c r="BG3264">
        <v>0</v>
      </c>
      <c r="BH3264">
        <v>1</v>
      </c>
      <c r="BI3264">
        <v>1</v>
      </c>
      <c r="BJ3264">
        <v>1.4</v>
      </c>
      <c r="BK3264">
        <v>1.5</v>
      </c>
      <c r="BL3264">
        <v>98.42</v>
      </c>
      <c r="BM3264">
        <v>14.76</v>
      </c>
      <c r="BN3264">
        <v>113.18</v>
      </c>
      <c r="BO3264">
        <v>113.18</v>
      </c>
      <c r="BQ3264" t="s">
        <v>225</v>
      </c>
      <c r="BR3264" t="s">
        <v>84</v>
      </c>
      <c r="BS3264" s="3">
        <v>45804</v>
      </c>
      <c r="BT3264" s="4">
        <v>0.50624999999999998</v>
      </c>
      <c r="BU3264" t="s">
        <v>226</v>
      </c>
      <c r="BV3264" t="s">
        <v>86</v>
      </c>
      <c r="BY3264">
        <v>7000</v>
      </c>
      <c r="CA3264" t="s">
        <v>227</v>
      </c>
      <c r="CC3264" t="s">
        <v>223</v>
      </c>
      <c r="CD3264">
        <v>1754</v>
      </c>
      <c r="CE3264" t="s">
        <v>116</v>
      </c>
      <c r="CF3264" s="3">
        <v>45805</v>
      </c>
      <c r="CI3264">
        <v>1</v>
      </c>
      <c r="CJ3264">
        <v>1</v>
      </c>
      <c r="CK3264">
        <v>24</v>
      </c>
      <c r="CL3264" t="s">
        <v>89</v>
      </c>
    </row>
    <row r="3265" spans="1:90" x14ac:dyDescent="0.3">
      <c r="A3265" t="s">
        <v>72</v>
      </c>
      <c r="B3265" t="s">
        <v>73</v>
      </c>
      <c r="C3265" t="s">
        <v>74</v>
      </c>
      <c r="E3265" t="str">
        <f>"080065559973"</f>
        <v>080065559973</v>
      </c>
      <c r="F3265" s="3">
        <v>45803</v>
      </c>
      <c r="G3265">
        <v>202602</v>
      </c>
      <c r="H3265" t="s">
        <v>75</v>
      </c>
      <c r="I3265" t="s">
        <v>76</v>
      </c>
      <c r="J3265" t="s">
        <v>77</v>
      </c>
      <c r="K3265" t="s">
        <v>78</v>
      </c>
      <c r="L3265" t="s">
        <v>90</v>
      </c>
      <c r="M3265" t="s">
        <v>91</v>
      </c>
      <c r="N3265" t="s">
        <v>92</v>
      </c>
      <c r="O3265" t="s">
        <v>82</v>
      </c>
      <c r="P3265" t="str">
        <f>"4170040547                    "</f>
        <v xml:space="preserve">4170040547                    </v>
      </c>
      <c r="Q3265">
        <v>0</v>
      </c>
      <c r="R3265">
        <v>0</v>
      </c>
      <c r="S3265">
        <v>0</v>
      </c>
      <c r="T3265">
        <v>0</v>
      </c>
      <c r="U3265">
        <v>0</v>
      </c>
      <c r="V3265">
        <v>0</v>
      </c>
      <c r="W3265">
        <v>0</v>
      </c>
      <c r="X3265">
        <v>0</v>
      </c>
      <c r="Y3265">
        <v>0</v>
      </c>
      <c r="Z3265">
        <v>0</v>
      </c>
      <c r="AA3265">
        <v>0</v>
      </c>
      <c r="AB3265">
        <v>0</v>
      </c>
      <c r="AC3265">
        <v>0</v>
      </c>
      <c r="AD3265">
        <v>0</v>
      </c>
      <c r="AE3265">
        <v>0</v>
      </c>
      <c r="AF3265">
        <v>0</v>
      </c>
      <c r="AG3265">
        <v>0</v>
      </c>
      <c r="AH3265">
        <v>0</v>
      </c>
      <c r="AI3265">
        <v>0</v>
      </c>
      <c r="AJ3265">
        <v>0</v>
      </c>
      <c r="AK3265">
        <v>0</v>
      </c>
      <c r="AL3265">
        <v>0</v>
      </c>
      <c r="AM3265">
        <v>0</v>
      </c>
      <c r="AN3265">
        <v>0</v>
      </c>
      <c r="AO3265">
        <v>0</v>
      </c>
      <c r="AP3265">
        <v>0</v>
      </c>
      <c r="AQ3265">
        <v>21.38</v>
      </c>
      <c r="AR3265">
        <v>0</v>
      </c>
      <c r="AS3265">
        <v>0</v>
      </c>
      <c r="AT3265">
        <v>0</v>
      </c>
      <c r="AU3265">
        <v>0</v>
      </c>
      <c r="AV3265">
        <v>0</v>
      </c>
      <c r="AW3265">
        <v>0</v>
      </c>
      <c r="AX3265">
        <v>0</v>
      </c>
      <c r="AY3265">
        <v>0</v>
      </c>
      <c r="AZ3265">
        <v>0</v>
      </c>
      <c r="BA3265">
        <v>0</v>
      </c>
      <c r="BB3265">
        <v>0</v>
      </c>
      <c r="BC3265">
        <v>0</v>
      </c>
      <c r="BD3265">
        <v>0</v>
      </c>
      <c r="BE3265">
        <v>0</v>
      </c>
      <c r="BF3265">
        <v>0</v>
      </c>
      <c r="BG3265">
        <v>0</v>
      </c>
      <c r="BH3265">
        <v>1</v>
      </c>
      <c r="BI3265">
        <v>1</v>
      </c>
      <c r="BJ3265">
        <v>1.1000000000000001</v>
      </c>
      <c r="BK3265">
        <v>1.5</v>
      </c>
      <c r="BL3265">
        <v>69.98</v>
      </c>
      <c r="BM3265">
        <v>10.5</v>
      </c>
      <c r="BN3265">
        <v>80.48</v>
      </c>
      <c r="BO3265">
        <v>80.48</v>
      </c>
      <c r="BQ3265" t="s">
        <v>93</v>
      </c>
      <c r="BR3265" t="s">
        <v>84</v>
      </c>
      <c r="BS3265" s="3">
        <v>45804</v>
      </c>
      <c r="BT3265" s="4">
        <v>0.34861111111111109</v>
      </c>
      <c r="BU3265" t="s">
        <v>94</v>
      </c>
      <c r="BV3265" t="s">
        <v>86</v>
      </c>
      <c r="BY3265">
        <v>5320</v>
      </c>
      <c r="CA3265" t="s">
        <v>95</v>
      </c>
      <c r="CC3265" t="s">
        <v>91</v>
      </c>
      <c r="CD3265">
        <v>6001</v>
      </c>
      <c r="CE3265" t="s">
        <v>116</v>
      </c>
      <c r="CF3265" s="3">
        <v>45804</v>
      </c>
      <c r="CI3265">
        <v>1</v>
      </c>
      <c r="CJ3265">
        <v>1</v>
      </c>
      <c r="CK3265">
        <v>21</v>
      </c>
      <c r="CL3265" t="s">
        <v>89</v>
      </c>
    </row>
    <row r="3266" spans="1:90" x14ac:dyDescent="0.3">
      <c r="A3266" t="s">
        <v>72</v>
      </c>
      <c r="B3266" t="s">
        <v>73</v>
      </c>
      <c r="C3266" t="s">
        <v>74</v>
      </c>
      <c r="E3266" t="str">
        <f>"080065560015"</f>
        <v>080065560015</v>
      </c>
      <c r="F3266" s="3">
        <v>45803</v>
      </c>
      <c r="G3266">
        <v>202602</v>
      </c>
      <c r="H3266" t="s">
        <v>75</v>
      </c>
      <c r="I3266" t="s">
        <v>76</v>
      </c>
      <c r="J3266" t="s">
        <v>77</v>
      </c>
      <c r="K3266" t="s">
        <v>78</v>
      </c>
      <c r="L3266" t="s">
        <v>130</v>
      </c>
      <c r="M3266" t="s">
        <v>131</v>
      </c>
      <c r="N3266" t="s">
        <v>709</v>
      </c>
      <c r="O3266" t="s">
        <v>82</v>
      </c>
      <c r="P3266" t="str">
        <f>"4170040577                    "</f>
        <v xml:space="preserve">4170040577                    </v>
      </c>
      <c r="Q3266">
        <v>0</v>
      </c>
      <c r="R3266">
        <v>0</v>
      </c>
      <c r="S3266">
        <v>0</v>
      </c>
      <c r="T3266">
        <v>0</v>
      </c>
      <c r="U3266">
        <v>0</v>
      </c>
      <c r="V3266">
        <v>0</v>
      </c>
      <c r="W3266">
        <v>0</v>
      </c>
      <c r="X3266">
        <v>0</v>
      </c>
      <c r="Y3266">
        <v>0</v>
      </c>
      <c r="Z3266">
        <v>0</v>
      </c>
      <c r="AA3266">
        <v>0</v>
      </c>
      <c r="AB3266">
        <v>0</v>
      </c>
      <c r="AC3266">
        <v>0</v>
      </c>
      <c r="AD3266">
        <v>0</v>
      </c>
      <c r="AE3266">
        <v>0</v>
      </c>
      <c r="AF3266">
        <v>0</v>
      </c>
      <c r="AG3266">
        <v>0</v>
      </c>
      <c r="AH3266">
        <v>0</v>
      </c>
      <c r="AI3266">
        <v>0</v>
      </c>
      <c r="AJ3266">
        <v>0</v>
      </c>
      <c r="AK3266">
        <v>0</v>
      </c>
      <c r="AL3266">
        <v>0</v>
      </c>
      <c r="AM3266">
        <v>0</v>
      </c>
      <c r="AN3266">
        <v>0</v>
      </c>
      <c r="AO3266">
        <v>0</v>
      </c>
      <c r="AP3266">
        <v>0</v>
      </c>
      <c r="AQ3266">
        <v>21.38</v>
      </c>
      <c r="AR3266">
        <v>0</v>
      </c>
      <c r="AS3266">
        <v>0</v>
      </c>
      <c r="AT3266">
        <v>0</v>
      </c>
      <c r="AU3266">
        <v>0</v>
      </c>
      <c r="AV3266">
        <v>0</v>
      </c>
      <c r="AW3266">
        <v>0</v>
      </c>
      <c r="AX3266">
        <v>0</v>
      </c>
      <c r="AY3266">
        <v>0</v>
      </c>
      <c r="AZ3266">
        <v>0</v>
      </c>
      <c r="BA3266">
        <v>0</v>
      </c>
      <c r="BB3266">
        <v>0</v>
      </c>
      <c r="BC3266">
        <v>0</v>
      </c>
      <c r="BD3266">
        <v>0</v>
      </c>
      <c r="BE3266">
        <v>0</v>
      </c>
      <c r="BF3266">
        <v>0</v>
      </c>
      <c r="BG3266">
        <v>0</v>
      </c>
      <c r="BH3266">
        <v>1</v>
      </c>
      <c r="BI3266">
        <v>1</v>
      </c>
      <c r="BJ3266">
        <v>1.1000000000000001</v>
      </c>
      <c r="BK3266">
        <v>1.5</v>
      </c>
      <c r="BL3266">
        <v>69.98</v>
      </c>
      <c r="BM3266">
        <v>10.5</v>
      </c>
      <c r="BN3266">
        <v>80.48</v>
      </c>
      <c r="BO3266">
        <v>80.48</v>
      </c>
      <c r="BQ3266" t="s">
        <v>710</v>
      </c>
      <c r="BR3266" t="s">
        <v>84</v>
      </c>
      <c r="BS3266" s="3">
        <v>45804</v>
      </c>
      <c r="BT3266" s="4">
        <v>0.32291666666666669</v>
      </c>
      <c r="BU3266" t="s">
        <v>2045</v>
      </c>
      <c r="BV3266" t="s">
        <v>86</v>
      </c>
      <c r="BY3266">
        <v>5712</v>
      </c>
      <c r="CA3266" t="s">
        <v>712</v>
      </c>
      <c r="CC3266" t="s">
        <v>131</v>
      </c>
      <c r="CD3266">
        <v>7530</v>
      </c>
      <c r="CE3266" t="s">
        <v>221</v>
      </c>
      <c r="CF3266" s="3">
        <v>45805</v>
      </c>
      <c r="CI3266">
        <v>1</v>
      </c>
      <c r="CJ3266">
        <v>1</v>
      </c>
      <c r="CK3266">
        <v>21</v>
      </c>
      <c r="CL3266" t="s">
        <v>89</v>
      </c>
    </row>
    <row r="3267" spans="1:90" x14ac:dyDescent="0.3">
      <c r="A3267" t="s">
        <v>72</v>
      </c>
      <c r="B3267" t="s">
        <v>73</v>
      </c>
      <c r="C3267" t="s">
        <v>74</v>
      </c>
      <c r="E3267" t="str">
        <f>"080065560621"</f>
        <v>080065560621</v>
      </c>
      <c r="F3267" s="3">
        <v>45803</v>
      </c>
      <c r="G3267">
        <v>202602</v>
      </c>
      <c r="H3267" t="s">
        <v>75</v>
      </c>
      <c r="I3267" t="s">
        <v>76</v>
      </c>
      <c r="J3267" t="s">
        <v>77</v>
      </c>
      <c r="K3267" t="s">
        <v>78</v>
      </c>
      <c r="L3267" t="s">
        <v>232</v>
      </c>
      <c r="M3267" t="s">
        <v>233</v>
      </c>
      <c r="N3267" t="s">
        <v>1108</v>
      </c>
      <c r="O3267" t="s">
        <v>82</v>
      </c>
      <c r="P3267" t="str">
        <f>"4170040556                    "</f>
        <v xml:space="preserve">4170040556                    </v>
      </c>
      <c r="Q3267">
        <v>0</v>
      </c>
      <c r="R3267">
        <v>0</v>
      </c>
      <c r="S3267">
        <v>0</v>
      </c>
      <c r="T3267">
        <v>0</v>
      </c>
      <c r="U3267">
        <v>0</v>
      </c>
      <c r="V3267">
        <v>0</v>
      </c>
      <c r="W3267">
        <v>0</v>
      </c>
      <c r="X3267">
        <v>0</v>
      </c>
      <c r="Y3267">
        <v>0</v>
      </c>
      <c r="Z3267">
        <v>0</v>
      </c>
      <c r="AA3267">
        <v>0</v>
      </c>
      <c r="AB3267">
        <v>0</v>
      </c>
      <c r="AC3267">
        <v>0</v>
      </c>
      <c r="AD3267">
        <v>0</v>
      </c>
      <c r="AE3267">
        <v>0</v>
      </c>
      <c r="AF3267">
        <v>0</v>
      </c>
      <c r="AG3267">
        <v>0</v>
      </c>
      <c r="AH3267">
        <v>0</v>
      </c>
      <c r="AI3267">
        <v>0</v>
      </c>
      <c r="AJ3267">
        <v>0</v>
      </c>
      <c r="AK3267">
        <v>0</v>
      </c>
      <c r="AL3267">
        <v>0</v>
      </c>
      <c r="AM3267">
        <v>0</v>
      </c>
      <c r="AN3267">
        <v>0</v>
      </c>
      <c r="AO3267">
        <v>0</v>
      </c>
      <c r="AP3267">
        <v>0</v>
      </c>
      <c r="AQ3267">
        <v>21.38</v>
      </c>
      <c r="AR3267">
        <v>0</v>
      </c>
      <c r="AS3267">
        <v>0</v>
      </c>
      <c r="AT3267">
        <v>0</v>
      </c>
      <c r="AU3267">
        <v>0</v>
      </c>
      <c r="AV3267">
        <v>0</v>
      </c>
      <c r="AW3267">
        <v>0</v>
      </c>
      <c r="AX3267">
        <v>0</v>
      </c>
      <c r="AY3267">
        <v>0</v>
      </c>
      <c r="AZ3267">
        <v>0</v>
      </c>
      <c r="BA3267">
        <v>0</v>
      </c>
      <c r="BB3267">
        <v>0</v>
      </c>
      <c r="BC3267">
        <v>0</v>
      </c>
      <c r="BD3267">
        <v>0</v>
      </c>
      <c r="BE3267">
        <v>0</v>
      </c>
      <c r="BF3267">
        <v>0</v>
      </c>
      <c r="BG3267">
        <v>0</v>
      </c>
      <c r="BH3267">
        <v>1</v>
      </c>
      <c r="BI3267">
        <v>1</v>
      </c>
      <c r="BJ3267">
        <v>0.2</v>
      </c>
      <c r="BK3267">
        <v>1</v>
      </c>
      <c r="BL3267">
        <v>69.98</v>
      </c>
      <c r="BM3267">
        <v>10.5</v>
      </c>
      <c r="BN3267">
        <v>80.48</v>
      </c>
      <c r="BO3267">
        <v>80.48</v>
      </c>
      <c r="BQ3267" t="s">
        <v>1109</v>
      </c>
      <c r="BR3267" t="s">
        <v>84</v>
      </c>
      <c r="BS3267" s="3">
        <v>45804</v>
      </c>
      <c r="BT3267" s="4">
        <v>0.33055555555555555</v>
      </c>
      <c r="BU3267" t="s">
        <v>1068</v>
      </c>
      <c r="BV3267" t="s">
        <v>86</v>
      </c>
      <c r="BY3267">
        <v>1200</v>
      </c>
      <c r="CA3267" t="s">
        <v>258</v>
      </c>
      <c r="CC3267" t="s">
        <v>233</v>
      </c>
      <c r="CD3267" s="5" t="s">
        <v>238</v>
      </c>
      <c r="CE3267" t="s">
        <v>88</v>
      </c>
      <c r="CF3267" s="3">
        <v>45804</v>
      </c>
      <c r="CI3267">
        <v>1</v>
      </c>
      <c r="CJ3267">
        <v>1</v>
      </c>
      <c r="CK3267">
        <v>21</v>
      </c>
      <c r="CL3267" t="s">
        <v>89</v>
      </c>
    </row>
    <row r="3268" spans="1:90" x14ac:dyDescent="0.3">
      <c r="A3268" t="s">
        <v>72</v>
      </c>
      <c r="B3268" t="s">
        <v>73</v>
      </c>
      <c r="C3268" t="s">
        <v>74</v>
      </c>
      <c r="E3268" t="str">
        <f>"080065560667"</f>
        <v>080065560667</v>
      </c>
      <c r="F3268" s="3">
        <v>45803</v>
      </c>
      <c r="G3268">
        <v>202602</v>
      </c>
      <c r="H3268" t="s">
        <v>75</v>
      </c>
      <c r="I3268" t="s">
        <v>76</v>
      </c>
      <c r="J3268" t="s">
        <v>77</v>
      </c>
      <c r="K3268" t="s">
        <v>78</v>
      </c>
      <c r="L3268" t="s">
        <v>130</v>
      </c>
      <c r="M3268" t="s">
        <v>131</v>
      </c>
      <c r="N3268" t="s">
        <v>1481</v>
      </c>
      <c r="O3268" t="s">
        <v>82</v>
      </c>
      <c r="P3268" t="str">
        <f>"4170040599                    "</f>
        <v xml:space="preserve">4170040599                    </v>
      </c>
      <c r="Q3268">
        <v>0</v>
      </c>
      <c r="R3268">
        <v>0</v>
      </c>
      <c r="S3268">
        <v>0</v>
      </c>
      <c r="T3268">
        <v>0</v>
      </c>
      <c r="U3268">
        <v>0</v>
      </c>
      <c r="V3268">
        <v>0</v>
      </c>
      <c r="W3268">
        <v>0</v>
      </c>
      <c r="X3268">
        <v>0</v>
      </c>
      <c r="Y3268">
        <v>0</v>
      </c>
      <c r="Z3268">
        <v>0</v>
      </c>
      <c r="AA3268">
        <v>0</v>
      </c>
      <c r="AB3268">
        <v>0</v>
      </c>
      <c r="AC3268">
        <v>0</v>
      </c>
      <c r="AD3268">
        <v>0</v>
      </c>
      <c r="AE3268">
        <v>0</v>
      </c>
      <c r="AF3268">
        <v>0</v>
      </c>
      <c r="AG3268">
        <v>0</v>
      </c>
      <c r="AH3268">
        <v>0</v>
      </c>
      <c r="AI3268">
        <v>0</v>
      </c>
      <c r="AJ3268">
        <v>0</v>
      </c>
      <c r="AK3268">
        <v>0</v>
      </c>
      <c r="AL3268">
        <v>0</v>
      </c>
      <c r="AM3268">
        <v>0</v>
      </c>
      <c r="AN3268">
        <v>0</v>
      </c>
      <c r="AO3268">
        <v>0</v>
      </c>
      <c r="AP3268">
        <v>0</v>
      </c>
      <c r="AQ3268">
        <v>21.38</v>
      </c>
      <c r="AR3268">
        <v>0</v>
      </c>
      <c r="AS3268">
        <v>0</v>
      </c>
      <c r="AT3268">
        <v>0</v>
      </c>
      <c r="AU3268">
        <v>0</v>
      </c>
      <c r="AV3268">
        <v>0</v>
      </c>
      <c r="AW3268">
        <v>0</v>
      </c>
      <c r="AX3268">
        <v>0</v>
      </c>
      <c r="AY3268">
        <v>0</v>
      </c>
      <c r="AZ3268">
        <v>0</v>
      </c>
      <c r="BA3268">
        <v>0</v>
      </c>
      <c r="BB3268">
        <v>0</v>
      </c>
      <c r="BC3268">
        <v>0</v>
      </c>
      <c r="BD3268">
        <v>0</v>
      </c>
      <c r="BE3268">
        <v>0</v>
      </c>
      <c r="BF3268">
        <v>0</v>
      </c>
      <c r="BG3268">
        <v>0</v>
      </c>
      <c r="BH3268">
        <v>1</v>
      </c>
      <c r="BI3268">
        <v>1</v>
      </c>
      <c r="BJ3268">
        <v>0.2</v>
      </c>
      <c r="BK3268">
        <v>1</v>
      </c>
      <c r="BL3268">
        <v>69.98</v>
      </c>
      <c r="BM3268">
        <v>10.5</v>
      </c>
      <c r="BN3268">
        <v>80.48</v>
      </c>
      <c r="BO3268">
        <v>80.48</v>
      </c>
      <c r="BQ3268" t="s">
        <v>1482</v>
      </c>
      <c r="BR3268" t="s">
        <v>84</v>
      </c>
      <c r="BS3268" s="3">
        <v>45804</v>
      </c>
      <c r="BT3268" s="4">
        <v>0.53541666666666665</v>
      </c>
      <c r="BU3268" t="s">
        <v>1483</v>
      </c>
      <c r="BV3268" t="s">
        <v>86</v>
      </c>
      <c r="BY3268">
        <v>1200</v>
      </c>
      <c r="CA3268" t="s">
        <v>1484</v>
      </c>
      <c r="CC3268" t="s">
        <v>131</v>
      </c>
      <c r="CD3268">
        <v>7975</v>
      </c>
      <c r="CE3268" t="s">
        <v>88</v>
      </c>
      <c r="CF3268" s="3">
        <v>45805</v>
      </c>
      <c r="CI3268">
        <v>1</v>
      </c>
      <c r="CJ3268">
        <v>1</v>
      </c>
      <c r="CK3268">
        <v>21</v>
      </c>
      <c r="CL3268" t="s">
        <v>89</v>
      </c>
    </row>
    <row r="3269" spans="1:90" x14ac:dyDescent="0.3">
      <c r="A3269" t="s">
        <v>72</v>
      </c>
      <c r="B3269" t="s">
        <v>73</v>
      </c>
      <c r="C3269" t="s">
        <v>74</v>
      </c>
      <c r="E3269" t="str">
        <f>"080065560701"</f>
        <v>080065560701</v>
      </c>
      <c r="F3269" s="3">
        <v>45803</v>
      </c>
      <c r="G3269">
        <v>202602</v>
      </c>
      <c r="H3269" t="s">
        <v>75</v>
      </c>
      <c r="I3269" t="s">
        <v>76</v>
      </c>
      <c r="J3269" t="s">
        <v>77</v>
      </c>
      <c r="K3269" t="s">
        <v>78</v>
      </c>
      <c r="L3269" t="s">
        <v>374</v>
      </c>
      <c r="M3269" t="s">
        <v>375</v>
      </c>
      <c r="N3269" t="s">
        <v>376</v>
      </c>
      <c r="O3269" t="s">
        <v>82</v>
      </c>
      <c r="P3269" t="str">
        <f>"4170040576                    "</f>
        <v xml:space="preserve">4170040576                    </v>
      </c>
      <c r="Q3269">
        <v>0</v>
      </c>
      <c r="R3269">
        <v>0</v>
      </c>
      <c r="S3269">
        <v>0</v>
      </c>
      <c r="T3269">
        <v>0</v>
      </c>
      <c r="U3269">
        <v>0</v>
      </c>
      <c r="V3269">
        <v>0</v>
      </c>
      <c r="W3269">
        <v>0</v>
      </c>
      <c r="X3269">
        <v>0</v>
      </c>
      <c r="Y3269">
        <v>0</v>
      </c>
      <c r="Z3269">
        <v>0</v>
      </c>
      <c r="AA3269">
        <v>0</v>
      </c>
      <c r="AB3269">
        <v>0</v>
      </c>
      <c r="AC3269">
        <v>0</v>
      </c>
      <c r="AD3269">
        <v>0</v>
      </c>
      <c r="AE3269">
        <v>0</v>
      </c>
      <c r="AF3269">
        <v>0</v>
      </c>
      <c r="AG3269">
        <v>0</v>
      </c>
      <c r="AH3269">
        <v>0</v>
      </c>
      <c r="AI3269">
        <v>0</v>
      </c>
      <c r="AJ3269">
        <v>0</v>
      </c>
      <c r="AK3269">
        <v>0</v>
      </c>
      <c r="AL3269">
        <v>0</v>
      </c>
      <c r="AM3269">
        <v>0</v>
      </c>
      <c r="AN3269">
        <v>0</v>
      </c>
      <c r="AO3269">
        <v>0</v>
      </c>
      <c r="AP3269">
        <v>0</v>
      </c>
      <c r="AQ3269">
        <v>41.43</v>
      </c>
      <c r="AR3269">
        <v>0</v>
      </c>
      <c r="AS3269">
        <v>0</v>
      </c>
      <c r="AT3269">
        <v>0</v>
      </c>
      <c r="AU3269">
        <v>0</v>
      </c>
      <c r="AV3269">
        <v>0</v>
      </c>
      <c r="AW3269">
        <v>0</v>
      </c>
      <c r="AX3269">
        <v>0</v>
      </c>
      <c r="AY3269">
        <v>0</v>
      </c>
      <c r="AZ3269">
        <v>0</v>
      </c>
      <c r="BA3269">
        <v>0</v>
      </c>
      <c r="BB3269">
        <v>0</v>
      </c>
      <c r="BC3269">
        <v>0</v>
      </c>
      <c r="BD3269">
        <v>0</v>
      </c>
      <c r="BE3269">
        <v>0</v>
      </c>
      <c r="BF3269">
        <v>0</v>
      </c>
      <c r="BG3269">
        <v>0</v>
      </c>
      <c r="BH3269">
        <v>1</v>
      </c>
      <c r="BI3269">
        <v>1</v>
      </c>
      <c r="BJ3269">
        <v>0.2</v>
      </c>
      <c r="BK3269">
        <v>1</v>
      </c>
      <c r="BL3269">
        <v>135.59</v>
      </c>
      <c r="BM3269">
        <v>20.34</v>
      </c>
      <c r="BN3269">
        <v>155.93</v>
      </c>
      <c r="BO3269">
        <v>155.93</v>
      </c>
      <c r="BQ3269" t="s">
        <v>377</v>
      </c>
      <c r="BR3269" t="s">
        <v>84</v>
      </c>
      <c r="BS3269" s="3">
        <v>45804</v>
      </c>
      <c r="BT3269" s="4">
        <v>0.39583333333333331</v>
      </c>
      <c r="BU3269" t="s">
        <v>2236</v>
      </c>
      <c r="BV3269" t="s">
        <v>86</v>
      </c>
      <c r="BY3269">
        <v>1200</v>
      </c>
      <c r="CA3269" t="s">
        <v>379</v>
      </c>
      <c r="CC3269" t="s">
        <v>375</v>
      </c>
      <c r="CD3269">
        <v>7130</v>
      </c>
      <c r="CE3269" t="s">
        <v>88</v>
      </c>
      <c r="CF3269" s="3">
        <v>45805</v>
      </c>
      <c r="CI3269">
        <v>1</v>
      </c>
      <c r="CJ3269">
        <v>1</v>
      </c>
      <c r="CK3269">
        <v>23</v>
      </c>
      <c r="CL3269" t="s">
        <v>89</v>
      </c>
    </row>
    <row r="3270" spans="1:90" x14ac:dyDescent="0.3">
      <c r="A3270" t="s">
        <v>72</v>
      </c>
      <c r="B3270" t="s">
        <v>73</v>
      </c>
      <c r="C3270" t="s">
        <v>74</v>
      </c>
      <c r="E3270" t="str">
        <f>"080065560734"</f>
        <v>080065560734</v>
      </c>
      <c r="F3270" s="3">
        <v>45803</v>
      </c>
      <c r="G3270">
        <v>202602</v>
      </c>
      <c r="H3270" t="s">
        <v>75</v>
      </c>
      <c r="I3270" t="s">
        <v>76</v>
      </c>
      <c r="J3270" t="s">
        <v>77</v>
      </c>
      <c r="K3270" t="s">
        <v>78</v>
      </c>
      <c r="L3270" t="s">
        <v>103</v>
      </c>
      <c r="M3270" t="s">
        <v>104</v>
      </c>
      <c r="N3270" t="s">
        <v>633</v>
      </c>
      <c r="O3270" t="s">
        <v>82</v>
      </c>
      <c r="P3270" t="str">
        <f>"4170040596                    "</f>
        <v xml:space="preserve">4170040596                    </v>
      </c>
      <c r="Q3270">
        <v>0</v>
      </c>
      <c r="R3270">
        <v>0</v>
      </c>
      <c r="S3270">
        <v>0</v>
      </c>
      <c r="T3270">
        <v>0</v>
      </c>
      <c r="U3270">
        <v>0</v>
      </c>
      <c r="V3270">
        <v>0</v>
      </c>
      <c r="W3270">
        <v>0</v>
      </c>
      <c r="X3270">
        <v>0</v>
      </c>
      <c r="Y3270">
        <v>0</v>
      </c>
      <c r="Z3270">
        <v>0</v>
      </c>
      <c r="AA3270">
        <v>0</v>
      </c>
      <c r="AB3270">
        <v>0</v>
      </c>
      <c r="AC3270">
        <v>0</v>
      </c>
      <c r="AD3270">
        <v>0</v>
      </c>
      <c r="AE3270">
        <v>0</v>
      </c>
      <c r="AF3270">
        <v>0</v>
      </c>
      <c r="AG3270">
        <v>0</v>
      </c>
      <c r="AH3270">
        <v>0</v>
      </c>
      <c r="AI3270">
        <v>0</v>
      </c>
      <c r="AJ3270">
        <v>0</v>
      </c>
      <c r="AK3270">
        <v>0</v>
      </c>
      <c r="AL3270">
        <v>0</v>
      </c>
      <c r="AM3270">
        <v>0</v>
      </c>
      <c r="AN3270">
        <v>0</v>
      </c>
      <c r="AO3270">
        <v>0</v>
      </c>
      <c r="AP3270">
        <v>0</v>
      </c>
      <c r="AQ3270">
        <v>21.38</v>
      </c>
      <c r="AR3270">
        <v>0</v>
      </c>
      <c r="AS3270">
        <v>0</v>
      </c>
      <c r="AT3270">
        <v>0</v>
      </c>
      <c r="AU3270">
        <v>0</v>
      </c>
      <c r="AV3270">
        <v>0</v>
      </c>
      <c r="AW3270">
        <v>0</v>
      </c>
      <c r="AX3270">
        <v>0</v>
      </c>
      <c r="AY3270">
        <v>0</v>
      </c>
      <c r="AZ3270">
        <v>0</v>
      </c>
      <c r="BA3270">
        <v>0</v>
      </c>
      <c r="BB3270">
        <v>0</v>
      </c>
      <c r="BC3270">
        <v>0</v>
      </c>
      <c r="BD3270">
        <v>0</v>
      </c>
      <c r="BE3270">
        <v>0</v>
      </c>
      <c r="BF3270">
        <v>0</v>
      </c>
      <c r="BG3270">
        <v>0</v>
      </c>
      <c r="BH3270">
        <v>1</v>
      </c>
      <c r="BI3270">
        <v>1</v>
      </c>
      <c r="BJ3270">
        <v>0.2</v>
      </c>
      <c r="BK3270">
        <v>1</v>
      </c>
      <c r="BL3270">
        <v>69.98</v>
      </c>
      <c r="BM3270">
        <v>10.5</v>
      </c>
      <c r="BN3270">
        <v>80.48</v>
      </c>
      <c r="BO3270">
        <v>80.48</v>
      </c>
      <c r="BQ3270" t="s">
        <v>634</v>
      </c>
      <c r="BR3270" t="s">
        <v>84</v>
      </c>
      <c r="BS3270" s="3">
        <v>45804</v>
      </c>
      <c r="BT3270" s="4">
        <v>0.49305555555555558</v>
      </c>
      <c r="BU3270" t="s">
        <v>635</v>
      </c>
      <c r="BV3270" t="s">
        <v>86</v>
      </c>
      <c r="BY3270">
        <v>1200</v>
      </c>
      <c r="CA3270" t="s">
        <v>440</v>
      </c>
      <c r="CC3270" t="s">
        <v>104</v>
      </c>
      <c r="CD3270">
        <v>3212</v>
      </c>
      <c r="CE3270" t="s">
        <v>88</v>
      </c>
      <c r="CF3270" s="3">
        <v>45804</v>
      </c>
      <c r="CI3270">
        <v>2</v>
      </c>
      <c r="CJ3270">
        <v>1</v>
      </c>
      <c r="CK3270">
        <v>21</v>
      </c>
      <c r="CL3270" t="s">
        <v>89</v>
      </c>
    </row>
    <row r="3271" spans="1:90" x14ac:dyDescent="0.3">
      <c r="A3271" t="s">
        <v>72</v>
      </c>
      <c r="B3271" t="s">
        <v>73</v>
      </c>
      <c r="C3271" t="s">
        <v>74</v>
      </c>
      <c r="E3271" t="str">
        <f>"080065560767"</f>
        <v>080065560767</v>
      </c>
      <c r="F3271" s="3">
        <v>45803</v>
      </c>
      <c r="G3271">
        <v>202602</v>
      </c>
      <c r="H3271" t="s">
        <v>75</v>
      </c>
      <c r="I3271" t="s">
        <v>76</v>
      </c>
      <c r="J3271" t="s">
        <v>77</v>
      </c>
      <c r="K3271" t="s">
        <v>78</v>
      </c>
      <c r="L3271" t="s">
        <v>90</v>
      </c>
      <c r="M3271" t="s">
        <v>91</v>
      </c>
      <c r="N3271" t="s">
        <v>841</v>
      </c>
      <c r="O3271" t="s">
        <v>82</v>
      </c>
      <c r="P3271" t="str">
        <f>"4170040617                    "</f>
        <v xml:space="preserve">4170040617                    </v>
      </c>
      <c r="Q3271">
        <v>0</v>
      </c>
      <c r="R3271">
        <v>0</v>
      </c>
      <c r="S3271">
        <v>0</v>
      </c>
      <c r="T3271">
        <v>0</v>
      </c>
      <c r="U3271">
        <v>0</v>
      </c>
      <c r="V3271">
        <v>0</v>
      </c>
      <c r="W3271">
        <v>0</v>
      </c>
      <c r="X3271">
        <v>0</v>
      </c>
      <c r="Y3271">
        <v>0</v>
      </c>
      <c r="Z3271">
        <v>0</v>
      </c>
      <c r="AA3271">
        <v>0</v>
      </c>
      <c r="AB3271">
        <v>0</v>
      </c>
      <c r="AC3271">
        <v>0</v>
      </c>
      <c r="AD3271">
        <v>0</v>
      </c>
      <c r="AE3271">
        <v>0</v>
      </c>
      <c r="AF3271">
        <v>0</v>
      </c>
      <c r="AG3271">
        <v>0</v>
      </c>
      <c r="AH3271">
        <v>0</v>
      </c>
      <c r="AI3271">
        <v>0</v>
      </c>
      <c r="AJ3271">
        <v>0</v>
      </c>
      <c r="AK3271">
        <v>0</v>
      </c>
      <c r="AL3271">
        <v>0</v>
      </c>
      <c r="AM3271">
        <v>0</v>
      </c>
      <c r="AN3271">
        <v>0</v>
      </c>
      <c r="AO3271">
        <v>0</v>
      </c>
      <c r="AP3271">
        <v>0</v>
      </c>
      <c r="AQ3271">
        <v>21.38</v>
      </c>
      <c r="AR3271">
        <v>0</v>
      </c>
      <c r="AS3271">
        <v>0</v>
      </c>
      <c r="AT3271">
        <v>0</v>
      </c>
      <c r="AU3271">
        <v>0</v>
      </c>
      <c r="AV3271">
        <v>0</v>
      </c>
      <c r="AW3271">
        <v>0</v>
      </c>
      <c r="AX3271">
        <v>0</v>
      </c>
      <c r="AY3271">
        <v>0</v>
      </c>
      <c r="AZ3271">
        <v>0</v>
      </c>
      <c r="BA3271">
        <v>0</v>
      </c>
      <c r="BB3271">
        <v>0</v>
      </c>
      <c r="BC3271">
        <v>0</v>
      </c>
      <c r="BD3271">
        <v>0</v>
      </c>
      <c r="BE3271">
        <v>0</v>
      </c>
      <c r="BF3271">
        <v>0</v>
      </c>
      <c r="BG3271">
        <v>0</v>
      </c>
      <c r="BH3271">
        <v>1</v>
      </c>
      <c r="BI3271">
        <v>1</v>
      </c>
      <c r="BJ3271">
        <v>0.2</v>
      </c>
      <c r="BK3271">
        <v>1</v>
      </c>
      <c r="BL3271">
        <v>69.98</v>
      </c>
      <c r="BM3271">
        <v>10.5</v>
      </c>
      <c r="BN3271">
        <v>80.48</v>
      </c>
      <c r="BO3271">
        <v>80.48</v>
      </c>
      <c r="BQ3271" t="s">
        <v>842</v>
      </c>
      <c r="BR3271" t="s">
        <v>84</v>
      </c>
      <c r="BS3271" s="3">
        <v>45804</v>
      </c>
      <c r="BT3271" s="4">
        <v>0.38750000000000001</v>
      </c>
      <c r="BU3271" t="s">
        <v>2973</v>
      </c>
      <c r="BV3271" t="s">
        <v>86</v>
      </c>
      <c r="BY3271">
        <v>1200</v>
      </c>
      <c r="CA3271" t="s">
        <v>298</v>
      </c>
      <c r="CC3271" t="s">
        <v>91</v>
      </c>
      <c r="CD3271">
        <v>6001</v>
      </c>
      <c r="CE3271" t="s">
        <v>88</v>
      </c>
      <c r="CF3271" s="3">
        <v>45804</v>
      </c>
      <c r="CI3271">
        <v>1</v>
      </c>
      <c r="CJ3271">
        <v>1</v>
      </c>
      <c r="CK3271">
        <v>21</v>
      </c>
      <c r="CL3271" t="s">
        <v>89</v>
      </c>
    </row>
    <row r="3272" spans="1:90" x14ac:dyDescent="0.3">
      <c r="A3272" t="s">
        <v>72</v>
      </c>
      <c r="B3272" t="s">
        <v>73</v>
      </c>
      <c r="C3272" t="s">
        <v>74</v>
      </c>
      <c r="E3272" t="str">
        <f>"080065560803"</f>
        <v>080065560803</v>
      </c>
      <c r="F3272" s="3">
        <v>45803</v>
      </c>
      <c r="G3272">
        <v>202602</v>
      </c>
      <c r="H3272" t="s">
        <v>75</v>
      </c>
      <c r="I3272" t="s">
        <v>76</v>
      </c>
      <c r="J3272" t="s">
        <v>77</v>
      </c>
      <c r="K3272" t="s">
        <v>78</v>
      </c>
      <c r="L3272" t="s">
        <v>360</v>
      </c>
      <c r="M3272" t="s">
        <v>361</v>
      </c>
      <c r="N3272" t="s">
        <v>362</v>
      </c>
      <c r="O3272" t="s">
        <v>82</v>
      </c>
      <c r="P3272" t="str">
        <f>"4170040566                    "</f>
        <v xml:space="preserve">4170040566                    </v>
      </c>
      <c r="Q3272">
        <v>0</v>
      </c>
      <c r="R3272">
        <v>0</v>
      </c>
      <c r="S3272">
        <v>0</v>
      </c>
      <c r="T3272">
        <v>0</v>
      </c>
      <c r="U3272">
        <v>0</v>
      </c>
      <c r="V3272">
        <v>0</v>
      </c>
      <c r="W3272">
        <v>0</v>
      </c>
      <c r="X3272">
        <v>0</v>
      </c>
      <c r="Y3272">
        <v>0</v>
      </c>
      <c r="Z3272">
        <v>0</v>
      </c>
      <c r="AA3272">
        <v>0</v>
      </c>
      <c r="AB3272">
        <v>0</v>
      </c>
      <c r="AC3272">
        <v>0</v>
      </c>
      <c r="AD3272">
        <v>0</v>
      </c>
      <c r="AE3272">
        <v>0</v>
      </c>
      <c r="AF3272">
        <v>0</v>
      </c>
      <c r="AG3272">
        <v>0</v>
      </c>
      <c r="AH3272">
        <v>0</v>
      </c>
      <c r="AI3272">
        <v>0</v>
      </c>
      <c r="AJ3272">
        <v>0</v>
      </c>
      <c r="AK3272">
        <v>0</v>
      </c>
      <c r="AL3272">
        <v>0</v>
      </c>
      <c r="AM3272">
        <v>0</v>
      </c>
      <c r="AN3272">
        <v>0</v>
      </c>
      <c r="AO3272">
        <v>0</v>
      </c>
      <c r="AP3272">
        <v>0</v>
      </c>
      <c r="AQ3272">
        <v>41.43</v>
      </c>
      <c r="AR3272">
        <v>0</v>
      </c>
      <c r="AS3272">
        <v>0</v>
      </c>
      <c r="AT3272">
        <v>0</v>
      </c>
      <c r="AU3272">
        <v>0</v>
      </c>
      <c r="AV3272">
        <v>0</v>
      </c>
      <c r="AW3272">
        <v>0</v>
      </c>
      <c r="AX3272">
        <v>0</v>
      </c>
      <c r="AY3272">
        <v>0</v>
      </c>
      <c r="AZ3272">
        <v>0</v>
      </c>
      <c r="BA3272">
        <v>0</v>
      </c>
      <c r="BB3272">
        <v>0</v>
      </c>
      <c r="BC3272">
        <v>0</v>
      </c>
      <c r="BD3272">
        <v>0</v>
      </c>
      <c r="BE3272">
        <v>0</v>
      </c>
      <c r="BF3272">
        <v>0</v>
      </c>
      <c r="BG3272">
        <v>0</v>
      </c>
      <c r="BH3272">
        <v>1</v>
      </c>
      <c r="BI3272">
        <v>1</v>
      </c>
      <c r="BJ3272">
        <v>0.2</v>
      </c>
      <c r="BK3272">
        <v>1</v>
      </c>
      <c r="BL3272">
        <v>135.59</v>
      </c>
      <c r="BM3272">
        <v>20.34</v>
      </c>
      <c r="BN3272">
        <v>155.93</v>
      </c>
      <c r="BO3272">
        <v>155.93</v>
      </c>
      <c r="BQ3272" t="s">
        <v>363</v>
      </c>
      <c r="BR3272" t="s">
        <v>84</v>
      </c>
      <c r="BS3272" s="3">
        <v>45804</v>
      </c>
      <c r="BT3272" s="4">
        <v>0.63888888888888884</v>
      </c>
      <c r="BU3272" t="s">
        <v>1008</v>
      </c>
      <c r="BV3272" t="s">
        <v>86</v>
      </c>
      <c r="BY3272">
        <v>1200</v>
      </c>
      <c r="CA3272" t="s">
        <v>365</v>
      </c>
      <c r="CC3272" t="s">
        <v>361</v>
      </c>
      <c r="CD3272">
        <v>7300</v>
      </c>
      <c r="CE3272" t="s">
        <v>88</v>
      </c>
      <c r="CF3272" s="3">
        <v>45805</v>
      </c>
      <c r="CI3272">
        <v>1</v>
      </c>
      <c r="CJ3272">
        <v>1</v>
      </c>
      <c r="CK3272">
        <v>23</v>
      </c>
      <c r="CL3272" t="s">
        <v>89</v>
      </c>
    </row>
    <row r="3273" spans="1:90" x14ac:dyDescent="0.3">
      <c r="A3273" t="s">
        <v>72</v>
      </c>
      <c r="B3273" t="s">
        <v>73</v>
      </c>
      <c r="C3273" t="s">
        <v>74</v>
      </c>
      <c r="E3273" t="str">
        <f>"080065560840"</f>
        <v>080065560840</v>
      </c>
      <c r="F3273" s="3">
        <v>45803</v>
      </c>
      <c r="G3273">
        <v>202602</v>
      </c>
      <c r="H3273" t="s">
        <v>75</v>
      </c>
      <c r="I3273" t="s">
        <v>76</v>
      </c>
      <c r="J3273" t="s">
        <v>77</v>
      </c>
      <c r="K3273" t="s">
        <v>78</v>
      </c>
      <c r="L3273" t="s">
        <v>311</v>
      </c>
      <c r="M3273" t="s">
        <v>312</v>
      </c>
      <c r="N3273" t="s">
        <v>313</v>
      </c>
      <c r="O3273" t="s">
        <v>82</v>
      </c>
      <c r="P3273" t="str">
        <f>"4170040603                    "</f>
        <v xml:space="preserve">4170040603                    </v>
      </c>
      <c r="Q3273">
        <v>0</v>
      </c>
      <c r="R3273">
        <v>0</v>
      </c>
      <c r="S3273">
        <v>0</v>
      </c>
      <c r="T3273">
        <v>0</v>
      </c>
      <c r="U3273">
        <v>0</v>
      </c>
      <c r="V3273">
        <v>0</v>
      </c>
      <c r="W3273">
        <v>0</v>
      </c>
      <c r="X3273">
        <v>0</v>
      </c>
      <c r="Y3273">
        <v>0</v>
      </c>
      <c r="Z3273">
        <v>0</v>
      </c>
      <c r="AA3273">
        <v>0</v>
      </c>
      <c r="AB3273">
        <v>0</v>
      </c>
      <c r="AC3273">
        <v>0</v>
      </c>
      <c r="AD3273">
        <v>0</v>
      </c>
      <c r="AE3273">
        <v>0</v>
      </c>
      <c r="AF3273">
        <v>0</v>
      </c>
      <c r="AG3273">
        <v>0</v>
      </c>
      <c r="AH3273">
        <v>0</v>
      </c>
      <c r="AI3273">
        <v>0</v>
      </c>
      <c r="AJ3273">
        <v>0</v>
      </c>
      <c r="AK3273">
        <v>0</v>
      </c>
      <c r="AL3273">
        <v>0</v>
      </c>
      <c r="AM3273">
        <v>0</v>
      </c>
      <c r="AN3273">
        <v>0</v>
      </c>
      <c r="AO3273">
        <v>0</v>
      </c>
      <c r="AP3273">
        <v>0</v>
      </c>
      <c r="AQ3273">
        <v>16.7</v>
      </c>
      <c r="AR3273">
        <v>0</v>
      </c>
      <c r="AS3273">
        <v>0</v>
      </c>
      <c r="AT3273">
        <v>0</v>
      </c>
      <c r="AU3273">
        <v>0</v>
      </c>
      <c r="AV3273">
        <v>0</v>
      </c>
      <c r="AW3273">
        <v>0</v>
      </c>
      <c r="AX3273">
        <v>0</v>
      </c>
      <c r="AY3273">
        <v>0</v>
      </c>
      <c r="AZ3273">
        <v>0</v>
      </c>
      <c r="BA3273">
        <v>0</v>
      </c>
      <c r="BB3273">
        <v>0</v>
      </c>
      <c r="BC3273">
        <v>0</v>
      </c>
      <c r="BD3273">
        <v>0</v>
      </c>
      <c r="BE3273">
        <v>0</v>
      </c>
      <c r="BF3273">
        <v>0</v>
      </c>
      <c r="BG3273">
        <v>0</v>
      </c>
      <c r="BH3273">
        <v>1</v>
      </c>
      <c r="BI3273">
        <v>1</v>
      </c>
      <c r="BJ3273">
        <v>0.2</v>
      </c>
      <c r="BK3273">
        <v>1</v>
      </c>
      <c r="BL3273">
        <v>54.66</v>
      </c>
      <c r="BM3273">
        <v>8.1999999999999993</v>
      </c>
      <c r="BN3273">
        <v>62.86</v>
      </c>
      <c r="BO3273">
        <v>62.86</v>
      </c>
      <c r="BQ3273" t="s">
        <v>314</v>
      </c>
      <c r="BR3273" t="s">
        <v>84</v>
      </c>
      <c r="BS3273" s="3">
        <v>45804</v>
      </c>
      <c r="BT3273" s="4">
        <v>0.42708333333333331</v>
      </c>
      <c r="BU3273" t="s">
        <v>315</v>
      </c>
      <c r="BV3273" t="s">
        <v>86</v>
      </c>
      <c r="BY3273">
        <v>1200</v>
      </c>
      <c r="CA3273" t="s">
        <v>316</v>
      </c>
      <c r="CC3273" t="s">
        <v>312</v>
      </c>
      <c r="CD3273">
        <v>1501</v>
      </c>
      <c r="CE3273" t="s">
        <v>88</v>
      </c>
      <c r="CF3273" s="3">
        <v>45804</v>
      </c>
      <c r="CI3273">
        <v>1</v>
      </c>
      <c r="CJ3273">
        <v>1</v>
      </c>
      <c r="CK3273">
        <v>22</v>
      </c>
      <c r="CL3273" t="s">
        <v>89</v>
      </c>
    </row>
    <row r="3274" spans="1:90" x14ac:dyDescent="0.3">
      <c r="A3274" t="s">
        <v>72</v>
      </c>
      <c r="B3274" t="s">
        <v>73</v>
      </c>
      <c r="C3274" t="s">
        <v>74</v>
      </c>
      <c r="E3274" t="str">
        <f>"080065560884"</f>
        <v>080065560884</v>
      </c>
      <c r="F3274" s="3">
        <v>45803</v>
      </c>
      <c r="G3274">
        <v>202602</v>
      </c>
      <c r="H3274" t="s">
        <v>75</v>
      </c>
      <c r="I3274" t="s">
        <v>76</v>
      </c>
      <c r="J3274" t="s">
        <v>77</v>
      </c>
      <c r="K3274" t="s">
        <v>78</v>
      </c>
      <c r="L3274" t="s">
        <v>117</v>
      </c>
      <c r="M3274" t="s">
        <v>118</v>
      </c>
      <c r="N3274" t="s">
        <v>3135</v>
      </c>
      <c r="O3274" t="s">
        <v>82</v>
      </c>
      <c r="P3274" t="str">
        <f>"4170040657                    "</f>
        <v xml:space="preserve">4170040657                    </v>
      </c>
      <c r="Q3274">
        <v>0</v>
      </c>
      <c r="R3274">
        <v>0</v>
      </c>
      <c r="S3274">
        <v>0</v>
      </c>
      <c r="T3274">
        <v>0</v>
      </c>
      <c r="U3274">
        <v>0</v>
      </c>
      <c r="V3274">
        <v>0</v>
      </c>
      <c r="W3274">
        <v>0</v>
      </c>
      <c r="X3274">
        <v>0</v>
      </c>
      <c r="Y3274">
        <v>0</v>
      </c>
      <c r="Z3274">
        <v>0</v>
      </c>
      <c r="AA3274">
        <v>0</v>
      </c>
      <c r="AB3274">
        <v>0</v>
      </c>
      <c r="AC3274">
        <v>0</v>
      </c>
      <c r="AD3274">
        <v>0</v>
      </c>
      <c r="AE3274">
        <v>0</v>
      </c>
      <c r="AF3274">
        <v>0</v>
      </c>
      <c r="AG3274">
        <v>0</v>
      </c>
      <c r="AH3274">
        <v>0</v>
      </c>
      <c r="AI3274">
        <v>0</v>
      </c>
      <c r="AJ3274">
        <v>0</v>
      </c>
      <c r="AK3274">
        <v>0</v>
      </c>
      <c r="AL3274">
        <v>0</v>
      </c>
      <c r="AM3274">
        <v>0</v>
      </c>
      <c r="AN3274">
        <v>0</v>
      </c>
      <c r="AO3274">
        <v>0</v>
      </c>
      <c r="AP3274">
        <v>0</v>
      </c>
      <c r="AQ3274">
        <v>16.7</v>
      </c>
      <c r="AR3274">
        <v>0</v>
      </c>
      <c r="AS3274">
        <v>0</v>
      </c>
      <c r="AT3274">
        <v>0</v>
      </c>
      <c r="AU3274">
        <v>0</v>
      </c>
      <c r="AV3274">
        <v>0</v>
      </c>
      <c r="AW3274">
        <v>0</v>
      </c>
      <c r="AX3274">
        <v>0</v>
      </c>
      <c r="AY3274">
        <v>0</v>
      </c>
      <c r="AZ3274">
        <v>0</v>
      </c>
      <c r="BA3274">
        <v>0</v>
      </c>
      <c r="BB3274">
        <v>0</v>
      </c>
      <c r="BC3274">
        <v>0</v>
      </c>
      <c r="BD3274">
        <v>0</v>
      </c>
      <c r="BE3274">
        <v>0</v>
      </c>
      <c r="BF3274">
        <v>0</v>
      </c>
      <c r="BG3274">
        <v>0</v>
      </c>
      <c r="BH3274">
        <v>1</v>
      </c>
      <c r="BI3274">
        <v>1</v>
      </c>
      <c r="BJ3274">
        <v>0.2</v>
      </c>
      <c r="BK3274">
        <v>1</v>
      </c>
      <c r="BL3274">
        <v>54.66</v>
      </c>
      <c r="BM3274">
        <v>8.1999999999999993</v>
      </c>
      <c r="BN3274">
        <v>62.86</v>
      </c>
      <c r="BO3274">
        <v>62.86</v>
      </c>
      <c r="BQ3274" t="s">
        <v>3136</v>
      </c>
      <c r="BR3274" t="s">
        <v>84</v>
      </c>
      <c r="BS3274" s="3">
        <v>45804</v>
      </c>
      <c r="BT3274" s="4">
        <v>0.39027777777777778</v>
      </c>
      <c r="BU3274" t="s">
        <v>3137</v>
      </c>
      <c r="BV3274" t="s">
        <v>86</v>
      </c>
      <c r="BY3274">
        <v>1200</v>
      </c>
      <c r="CA3274" t="s">
        <v>3138</v>
      </c>
      <c r="CC3274" t="s">
        <v>118</v>
      </c>
      <c r="CD3274">
        <v>2056</v>
      </c>
      <c r="CE3274" t="s">
        <v>88</v>
      </c>
      <c r="CF3274" s="3">
        <v>45804</v>
      </c>
      <c r="CI3274">
        <v>1</v>
      </c>
      <c r="CJ3274">
        <v>1</v>
      </c>
      <c r="CK3274">
        <v>22</v>
      </c>
      <c r="CL3274" t="s">
        <v>89</v>
      </c>
    </row>
    <row r="3275" spans="1:90" x14ac:dyDescent="0.3">
      <c r="A3275" t="s">
        <v>72</v>
      </c>
      <c r="B3275" t="s">
        <v>73</v>
      </c>
      <c r="C3275" t="s">
        <v>74</v>
      </c>
      <c r="E3275" t="str">
        <f>"080065560924"</f>
        <v>080065560924</v>
      </c>
      <c r="F3275" s="3">
        <v>45803</v>
      </c>
      <c r="G3275">
        <v>202602</v>
      </c>
      <c r="H3275" t="s">
        <v>75</v>
      </c>
      <c r="I3275" t="s">
        <v>76</v>
      </c>
      <c r="J3275" t="s">
        <v>77</v>
      </c>
      <c r="K3275" t="s">
        <v>78</v>
      </c>
      <c r="L3275" t="s">
        <v>90</v>
      </c>
      <c r="M3275" t="s">
        <v>91</v>
      </c>
      <c r="N3275" t="s">
        <v>371</v>
      </c>
      <c r="O3275" t="s">
        <v>82</v>
      </c>
      <c r="P3275" t="str">
        <f>"4170040654                    "</f>
        <v xml:space="preserve">4170040654                    </v>
      </c>
      <c r="Q3275">
        <v>0</v>
      </c>
      <c r="R3275">
        <v>0</v>
      </c>
      <c r="S3275">
        <v>0</v>
      </c>
      <c r="T3275">
        <v>0</v>
      </c>
      <c r="U3275">
        <v>0</v>
      </c>
      <c r="V3275">
        <v>0</v>
      </c>
      <c r="W3275">
        <v>0</v>
      </c>
      <c r="X3275">
        <v>0</v>
      </c>
      <c r="Y3275">
        <v>0</v>
      </c>
      <c r="Z3275">
        <v>0</v>
      </c>
      <c r="AA3275">
        <v>0</v>
      </c>
      <c r="AB3275">
        <v>0</v>
      </c>
      <c r="AC3275">
        <v>0</v>
      </c>
      <c r="AD3275">
        <v>0</v>
      </c>
      <c r="AE3275">
        <v>0</v>
      </c>
      <c r="AF3275">
        <v>0</v>
      </c>
      <c r="AG3275">
        <v>0</v>
      </c>
      <c r="AH3275">
        <v>0</v>
      </c>
      <c r="AI3275">
        <v>0</v>
      </c>
      <c r="AJ3275">
        <v>0</v>
      </c>
      <c r="AK3275">
        <v>0</v>
      </c>
      <c r="AL3275">
        <v>0</v>
      </c>
      <c r="AM3275">
        <v>0</v>
      </c>
      <c r="AN3275">
        <v>0</v>
      </c>
      <c r="AO3275">
        <v>0</v>
      </c>
      <c r="AP3275">
        <v>0</v>
      </c>
      <c r="AQ3275">
        <v>21.38</v>
      </c>
      <c r="AR3275">
        <v>0</v>
      </c>
      <c r="AS3275">
        <v>0</v>
      </c>
      <c r="AT3275">
        <v>0</v>
      </c>
      <c r="AU3275">
        <v>0</v>
      </c>
      <c r="AV3275">
        <v>0</v>
      </c>
      <c r="AW3275">
        <v>0</v>
      </c>
      <c r="AX3275">
        <v>0</v>
      </c>
      <c r="AY3275">
        <v>0</v>
      </c>
      <c r="AZ3275">
        <v>0</v>
      </c>
      <c r="BA3275">
        <v>0</v>
      </c>
      <c r="BB3275">
        <v>0</v>
      </c>
      <c r="BC3275">
        <v>0</v>
      </c>
      <c r="BD3275">
        <v>0</v>
      </c>
      <c r="BE3275">
        <v>0</v>
      </c>
      <c r="BF3275">
        <v>0</v>
      </c>
      <c r="BG3275">
        <v>0</v>
      </c>
      <c r="BH3275">
        <v>1</v>
      </c>
      <c r="BI3275">
        <v>1</v>
      </c>
      <c r="BJ3275">
        <v>0.2</v>
      </c>
      <c r="BK3275">
        <v>1</v>
      </c>
      <c r="BL3275">
        <v>69.98</v>
      </c>
      <c r="BM3275">
        <v>10.5</v>
      </c>
      <c r="BN3275">
        <v>80.48</v>
      </c>
      <c r="BO3275">
        <v>80.48</v>
      </c>
      <c r="BQ3275" t="s">
        <v>372</v>
      </c>
      <c r="BR3275" t="s">
        <v>84</v>
      </c>
      <c r="BS3275" s="3">
        <v>45804</v>
      </c>
      <c r="BT3275" s="4">
        <v>0.39027777777777778</v>
      </c>
      <c r="BU3275" t="s">
        <v>373</v>
      </c>
      <c r="BV3275" t="s">
        <v>86</v>
      </c>
      <c r="BY3275">
        <v>1200</v>
      </c>
      <c r="CA3275" t="s">
        <v>298</v>
      </c>
      <c r="CC3275" t="s">
        <v>91</v>
      </c>
      <c r="CD3275">
        <v>6001</v>
      </c>
      <c r="CE3275" t="s">
        <v>88</v>
      </c>
      <c r="CF3275" s="3">
        <v>45804</v>
      </c>
      <c r="CI3275">
        <v>1</v>
      </c>
      <c r="CJ3275">
        <v>1</v>
      </c>
      <c r="CK3275">
        <v>21</v>
      </c>
      <c r="CL3275" t="s">
        <v>89</v>
      </c>
    </row>
    <row r="3276" spans="1:90" x14ac:dyDescent="0.3">
      <c r="A3276" t="s">
        <v>72</v>
      </c>
      <c r="B3276" t="s">
        <v>73</v>
      </c>
      <c r="C3276" t="s">
        <v>74</v>
      </c>
      <c r="E3276" t="str">
        <f>"080065560954"</f>
        <v>080065560954</v>
      </c>
      <c r="F3276" s="3">
        <v>45803</v>
      </c>
      <c r="G3276">
        <v>202602</v>
      </c>
      <c r="H3276" t="s">
        <v>75</v>
      </c>
      <c r="I3276" t="s">
        <v>76</v>
      </c>
      <c r="J3276" t="s">
        <v>77</v>
      </c>
      <c r="K3276" t="s">
        <v>78</v>
      </c>
      <c r="L3276" t="s">
        <v>130</v>
      </c>
      <c r="M3276" t="s">
        <v>131</v>
      </c>
      <c r="N3276" t="s">
        <v>239</v>
      </c>
      <c r="O3276" t="s">
        <v>82</v>
      </c>
      <c r="P3276" t="str">
        <f>"4170040578                    "</f>
        <v xml:space="preserve">4170040578                    </v>
      </c>
      <c r="Q3276">
        <v>0</v>
      </c>
      <c r="R3276">
        <v>0</v>
      </c>
      <c r="S3276">
        <v>0</v>
      </c>
      <c r="T3276">
        <v>0</v>
      </c>
      <c r="U3276">
        <v>0</v>
      </c>
      <c r="V3276">
        <v>0</v>
      </c>
      <c r="W3276">
        <v>0</v>
      </c>
      <c r="X3276">
        <v>0</v>
      </c>
      <c r="Y3276">
        <v>0</v>
      </c>
      <c r="Z3276">
        <v>0</v>
      </c>
      <c r="AA3276">
        <v>0</v>
      </c>
      <c r="AB3276">
        <v>0</v>
      </c>
      <c r="AC3276">
        <v>0</v>
      </c>
      <c r="AD3276">
        <v>0</v>
      </c>
      <c r="AE3276">
        <v>0</v>
      </c>
      <c r="AF3276">
        <v>0</v>
      </c>
      <c r="AG3276">
        <v>0</v>
      </c>
      <c r="AH3276">
        <v>0</v>
      </c>
      <c r="AI3276">
        <v>0</v>
      </c>
      <c r="AJ3276">
        <v>0</v>
      </c>
      <c r="AK3276">
        <v>0</v>
      </c>
      <c r="AL3276">
        <v>0</v>
      </c>
      <c r="AM3276">
        <v>0</v>
      </c>
      <c r="AN3276">
        <v>0</v>
      </c>
      <c r="AO3276">
        <v>0</v>
      </c>
      <c r="AP3276">
        <v>0</v>
      </c>
      <c r="AQ3276">
        <v>21.38</v>
      </c>
      <c r="AR3276">
        <v>0</v>
      </c>
      <c r="AS3276">
        <v>0</v>
      </c>
      <c r="AT3276">
        <v>0</v>
      </c>
      <c r="AU3276">
        <v>0</v>
      </c>
      <c r="AV3276">
        <v>0</v>
      </c>
      <c r="AW3276">
        <v>0</v>
      </c>
      <c r="AX3276">
        <v>0</v>
      </c>
      <c r="AY3276">
        <v>0</v>
      </c>
      <c r="AZ3276">
        <v>0</v>
      </c>
      <c r="BA3276">
        <v>0</v>
      </c>
      <c r="BB3276">
        <v>0</v>
      </c>
      <c r="BC3276">
        <v>0</v>
      </c>
      <c r="BD3276">
        <v>0</v>
      </c>
      <c r="BE3276">
        <v>0</v>
      </c>
      <c r="BF3276">
        <v>0</v>
      </c>
      <c r="BG3276">
        <v>0</v>
      </c>
      <c r="BH3276">
        <v>1</v>
      </c>
      <c r="BI3276">
        <v>1</v>
      </c>
      <c r="BJ3276">
        <v>0.2</v>
      </c>
      <c r="BK3276">
        <v>1</v>
      </c>
      <c r="BL3276">
        <v>69.98</v>
      </c>
      <c r="BM3276">
        <v>10.5</v>
      </c>
      <c r="BN3276">
        <v>80.48</v>
      </c>
      <c r="BO3276">
        <v>80.48</v>
      </c>
      <c r="BQ3276" t="s">
        <v>240</v>
      </c>
      <c r="BR3276" t="s">
        <v>84</v>
      </c>
      <c r="BS3276" s="3">
        <v>45804</v>
      </c>
      <c r="BT3276" s="4">
        <v>0.36041666666666666</v>
      </c>
      <c r="BU3276" t="s">
        <v>2832</v>
      </c>
      <c r="BV3276" t="s">
        <v>86</v>
      </c>
      <c r="BY3276">
        <v>1200</v>
      </c>
      <c r="CA3276" t="s">
        <v>242</v>
      </c>
      <c r="CC3276" t="s">
        <v>131</v>
      </c>
      <c r="CD3276">
        <v>7441</v>
      </c>
      <c r="CE3276" t="s">
        <v>88</v>
      </c>
      <c r="CF3276" s="3">
        <v>45805</v>
      </c>
      <c r="CI3276">
        <v>1</v>
      </c>
      <c r="CJ3276">
        <v>1</v>
      </c>
      <c r="CK3276">
        <v>21</v>
      </c>
      <c r="CL3276" t="s">
        <v>89</v>
      </c>
    </row>
    <row r="3277" spans="1:90" x14ac:dyDescent="0.3">
      <c r="A3277" t="s">
        <v>72</v>
      </c>
      <c r="B3277" t="s">
        <v>73</v>
      </c>
      <c r="C3277" t="s">
        <v>74</v>
      </c>
      <c r="E3277" t="str">
        <f>"080065560998"</f>
        <v>080065560998</v>
      </c>
      <c r="F3277" s="3">
        <v>45803</v>
      </c>
      <c r="G3277">
        <v>202602</v>
      </c>
      <c r="H3277" t="s">
        <v>75</v>
      </c>
      <c r="I3277" t="s">
        <v>76</v>
      </c>
      <c r="J3277" t="s">
        <v>77</v>
      </c>
      <c r="K3277" t="s">
        <v>78</v>
      </c>
      <c r="L3277" t="s">
        <v>222</v>
      </c>
      <c r="M3277" t="s">
        <v>223</v>
      </c>
      <c r="N3277" t="s">
        <v>3139</v>
      </c>
      <c r="O3277" t="s">
        <v>82</v>
      </c>
      <c r="P3277" t="str">
        <f>"4170040658                    "</f>
        <v xml:space="preserve">4170040658                    </v>
      </c>
      <c r="Q3277">
        <v>0</v>
      </c>
      <c r="R3277">
        <v>0</v>
      </c>
      <c r="S3277">
        <v>0</v>
      </c>
      <c r="T3277">
        <v>0</v>
      </c>
      <c r="U3277">
        <v>0</v>
      </c>
      <c r="V3277">
        <v>0</v>
      </c>
      <c r="W3277">
        <v>0</v>
      </c>
      <c r="X3277">
        <v>0</v>
      </c>
      <c r="Y3277">
        <v>0</v>
      </c>
      <c r="Z3277">
        <v>0</v>
      </c>
      <c r="AA3277">
        <v>0</v>
      </c>
      <c r="AB3277">
        <v>0</v>
      </c>
      <c r="AC3277">
        <v>0</v>
      </c>
      <c r="AD3277">
        <v>0</v>
      </c>
      <c r="AE3277">
        <v>0</v>
      </c>
      <c r="AF3277">
        <v>0</v>
      </c>
      <c r="AG3277">
        <v>0</v>
      </c>
      <c r="AH3277">
        <v>0</v>
      </c>
      <c r="AI3277">
        <v>0</v>
      </c>
      <c r="AJ3277">
        <v>0</v>
      </c>
      <c r="AK3277">
        <v>0</v>
      </c>
      <c r="AL3277">
        <v>0</v>
      </c>
      <c r="AM3277">
        <v>0</v>
      </c>
      <c r="AN3277">
        <v>0</v>
      </c>
      <c r="AO3277">
        <v>0</v>
      </c>
      <c r="AP3277">
        <v>0</v>
      </c>
      <c r="AQ3277">
        <v>74</v>
      </c>
      <c r="AR3277">
        <v>0</v>
      </c>
      <c r="AS3277">
        <v>0</v>
      </c>
      <c r="AT3277">
        <v>0</v>
      </c>
      <c r="AU3277">
        <v>0</v>
      </c>
      <c r="AV3277">
        <v>0</v>
      </c>
      <c r="AW3277">
        <v>16.739999999999998</v>
      </c>
      <c r="AX3277">
        <v>0</v>
      </c>
      <c r="AY3277">
        <v>0</v>
      </c>
      <c r="AZ3277">
        <v>0</v>
      </c>
      <c r="BA3277">
        <v>0</v>
      </c>
      <c r="BB3277">
        <v>0</v>
      </c>
      <c r="BC3277">
        <v>0</v>
      </c>
      <c r="BD3277">
        <v>0</v>
      </c>
      <c r="BE3277">
        <v>0</v>
      </c>
      <c r="BF3277">
        <v>0</v>
      </c>
      <c r="BG3277">
        <v>0</v>
      </c>
      <c r="BH3277">
        <v>1</v>
      </c>
      <c r="BI3277">
        <v>5</v>
      </c>
      <c r="BJ3277">
        <v>3.4</v>
      </c>
      <c r="BK3277">
        <v>5</v>
      </c>
      <c r="BL3277">
        <v>258.93</v>
      </c>
      <c r="BM3277">
        <v>38.840000000000003</v>
      </c>
      <c r="BN3277">
        <v>297.77</v>
      </c>
      <c r="BO3277">
        <v>297.77</v>
      </c>
      <c r="BQ3277" t="s">
        <v>3140</v>
      </c>
      <c r="BR3277" t="s">
        <v>84</v>
      </c>
      <c r="BS3277" s="3">
        <v>45805</v>
      </c>
      <c r="BT3277" s="4">
        <v>0.54861111111111116</v>
      </c>
      <c r="BU3277" t="s">
        <v>3141</v>
      </c>
      <c r="BV3277" t="s">
        <v>89</v>
      </c>
      <c r="BY3277">
        <v>16965</v>
      </c>
      <c r="BZ3277" t="s">
        <v>30</v>
      </c>
      <c r="CC3277" t="s">
        <v>223</v>
      </c>
      <c r="CD3277">
        <v>1723</v>
      </c>
      <c r="CE3277" t="s">
        <v>96</v>
      </c>
      <c r="CF3277" s="3">
        <v>45806</v>
      </c>
      <c r="CI3277">
        <v>1</v>
      </c>
      <c r="CJ3277">
        <v>2</v>
      </c>
      <c r="CK3277">
        <v>24</v>
      </c>
      <c r="CL3277" t="s">
        <v>89</v>
      </c>
    </row>
    <row r="3278" spans="1:90" x14ac:dyDescent="0.3">
      <c r="A3278" t="s">
        <v>72</v>
      </c>
      <c r="B3278" t="s">
        <v>73</v>
      </c>
      <c r="C3278" t="s">
        <v>74</v>
      </c>
      <c r="E3278" t="str">
        <f>"080065561028"</f>
        <v>080065561028</v>
      </c>
      <c r="F3278" s="3">
        <v>45803</v>
      </c>
      <c r="G3278">
        <v>202602</v>
      </c>
      <c r="H3278" t="s">
        <v>75</v>
      </c>
      <c r="I3278" t="s">
        <v>76</v>
      </c>
      <c r="J3278" t="s">
        <v>77</v>
      </c>
      <c r="K3278" t="s">
        <v>78</v>
      </c>
      <c r="L3278" t="s">
        <v>103</v>
      </c>
      <c r="M3278" t="s">
        <v>104</v>
      </c>
      <c r="N3278" t="s">
        <v>633</v>
      </c>
      <c r="O3278" t="s">
        <v>82</v>
      </c>
      <c r="P3278" t="str">
        <f>"4170040597                    "</f>
        <v xml:space="preserve">4170040597                    </v>
      </c>
      <c r="Q3278">
        <v>0</v>
      </c>
      <c r="R3278">
        <v>0</v>
      </c>
      <c r="S3278">
        <v>0</v>
      </c>
      <c r="T3278">
        <v>0</v>
      </c>
      <c r="U3278">
        <v>0</v>
      </c>
      <c r="V3278">
        <v>0</v>
      </c>
      <c r="W3278">
        <v>0</v>
      </c>
      <c r="X3278">
        <v>0</v>
      </c>
      <c r="Y3278">
        <v>0</v>
      </c>
      <c r="Z3278">
        <v>0</v>
      </c>
      <c r="AA3278">
        <v>0</v>
      </c>
      <c r="AB3278">
        <v>0</v>
      </c>
      <c r="AC3278">
        <v>0</v>
      </c>
      <c r="AD3278">
        <v>0</v>
      </c>
      <c r="AE3278">
        <v>0</v>
      </c>
      <c r="AF3278">
        <v>0</v>
      </c>
      <c r="AG3278">
        <v>0</v>
      </c>
      <c r="AH3278">
        <v>0</v>
      </c>
      <c r="AI3278">
        <v>0</v>
      </c>
      <c r="AJ3278">
        <v>0</v>
      </c>
      <c r="AK3278">
        <v>0</v>
      </c>
      <c r="AL3278">
        <v>0</v>
      </c>
      <c r="AM3278">
        <v>0</v>
      </c>
      <c r="AN3278">
        <v>0</v>
      </c>
      <c r="AO3278">
        <v>0</v>
      </c>
      <c r="AP3278">
        <v>0</v>
      </c>
      <c r="AQ3278">
        <v>21.38</v>
      </c>
      <c r="AR3278">
        <v>0</v>
      </c>
      <c r="AS3278">
        <v>0</v>
      </c>
      <c r="AT3278">
        <v>0</v>
      </c>
      <c r="AU3278">
        <v>0</v>
      </c>
      <c r="AV3278">
        <v>0</v>
      </c>
      <c r="AW3278">
        <v>0</v>
      </c>
      <c r="AX3278">
        <v>0</v>
      </c>
      <c r="AY3278">
        <v>0</v>
      </c>
      <c r="AZ3278">
        <v>0</v>
      </c>
      <c r="BA3278">
        <v>0</v>
      </c>
      <c r="BB3278">
        <v>0</v>
      </c>
      <c r="BC3278">
        <v>0</v>
      </c>
      <c r="BD3278">
        <v>0</v>
      </c>
      <c r="BE3278">
        <v>0</v>
      </c>
      <c r="BF3278">
        <v>0</v>
      </c>
      <c r="BG3278">
        <v>0</v>
      </c>
      <c r="BH3278">
        <v>1</v>
      </c>
      <c r="BI3278">
        <v>2</v>
      </c>
      <c r="BJ3278">
        <v>1.4</v>
      </c>
      <c r="BK3278">
        <v>2</v>
      </c>
      <c r="BL3278">
        <v>69.98</v>
      </c>
      <c r="BM3278">
        <v>10.5</v>
      </c>
      <c r="BN3278">
        <v>80.48</v>
      </c>
      <c r="BO3278">
        <v>80.48</v>
      </c>
      <c r="BQ3278" t="s">
        <v>634</v>
      </c>
      <c r="BR3278" t="s">
        <v>84</v>
      </c>
      <c r="BS3278" s="3">
        <v>45804</v>
      </c>
      <c r="BT3278" s="4">
        <v>0.49305555555555558</v>
      </c>
      <c r="BU3278" t="s">
        <v>635</v>
      </c>
      <c r="BV3278" t="s">
        <v>86</v>
      </c>
      <c r="BY3278">
        <v>7000</v>
      </c>
      <c r="CA3278" t="s">
        <v>440</v>
      </c>
      <c r="CC3278" t="s">
        <v>104</v>
      </c>
      <c r="CD3278">
        <v>3212</v>
      </c>
      <c r="CE3278" t="s">
        <v>96</v>
      </c>
      <c r="CF3278" s="3">
        <v>45804</v>
      </c>
      <c r="CI3278">
        <v>2</v>
      </c>
      <c r="CJ3278">
        <v>1</v>
      </c>
      <c r="CK3278">
        <v>21</v>
      </c>
      <c r="CL3278" t="s">
        <v>89</v>
      </c>
    </row>
    <row r="3279" spans="1:90" x14ac:dyDescent="0.3">
      <c r="A3279" t="s">
        <v>72</v>
      </c>
      <c r="B3279" t="s">
        <v>73</v>
      </c>
      <c r="C3279" t="s">
        <v>74</v>
      </c>
      <c r="E3279" t="str">
        <f>"080065561063"</f>
        <v>080065561063</v>
      </c>
      <c r="F3279" s="3">
        <v>45803</v>
      </c>
      <c r="G3279">
        <v>202602</v>
      </c>
      <c r="H3279" t="s">
        <v>75</v>
      </c>
      <c r="I3279" t="s">
        <v>76</v>
      </c>
      <c r="J3279" t="s">
        <v>77</v>
      </c>
      <c r="K3279" t="s">
        <v>78</v>
      </c>
      <c r="L3279" t="s">
        <v>130</v>
      </c>
      <c r="M3279" t="s">
        <v>131</v>
      </c>
      <c r="N3279" t="s">
        <v>709</v>
      </c>
      <c r="O3279" t="s">
        <v>82</v>
      </c>
      <c r="P3279" t="str">
        <f>"4170040619                    "</f>
        <v xml:space="preserve">4170040619                    </v>
      </c>
      <c r="Q3279">
        <v>0</v>
      </c>
      <c r="R3279">
        <v>0</v>
      </c>
      <c r="S3279">
        <v>0</v>
      </c>
      <c r="T3279">
        <v>0</v>
      </c>
      <c r="U3279">
        <v>0</v>
      </c>
      <c r="V3279">
        <v>0</v>
      </c>
      <c r="W3279">
        <v>0</v>
      </c>
      <c r="X3279">
        <v>0</v>
      </c>
      <c r="Y3279">
        <v>0</v>
      </c>
      <c r="Z3279">
        <v>0</v>
      </c>
      <c r="AA3279">
        <v>0</v>
      </c>
      <c r="AB3279">
        <v>0</v>
      </c>
      <c r="AC3279">
        <v>0</v>
      </c>
      <c r="AD3279">
        <v>0</v>
      </c>
      <c r="AE3279">
        <v>0</v>
      </c>
      <c r="AF3279">
        <v>0</v>
      </c>
      <c r="AG3279">
        <v>0</v>
      </c>
      <c r="AH3279">
        <v>0</v>
      </c>
      <c r="AI3279">
        <v>0</v>
      </c>
      <c r="AJ3279">
        <v>0</v>
      </c>
      <c r="AK3279">
        <v>0</v>
      </c>
      <c r="AL3279">
        <v>0</v>
      </c>
      <c r="AM3279">
        <v>0</v>
      </c>
      <c r="AN3279">
        <v>0</v>
      </c>
      <c r="AO3279">
        <v>0</v>
      </c>
      <c r="AP3279">
        <v>0</v>
      </c>
      <c r="AQ3279">
        <v>21.38</v>
      </c>
      <c r="AR3279">
        <v>0</v>
      </c>
      <c r="AS3279">
        <v>0</v>
      </c>
      <c r="AT3279">
        <v>0</v>
      </c>
      <c r="AU3279">
        <v>0</v>
      </c>
      <c r="AV3279">
        <v>0</v>
      </c>
      <c r="AW3279">
        <v>0</v>
      </c>
      <c r="AX3279">
        <v>0</v>
      </c>
      <c r="AY3279">
        <v>0</v>
      </c>
      <c r="AZ3279">
        <v>0</v>
      </c>
      <c r="BA3279">
        <v>0</v>
      </c>
      <c r="BB3279">
        <v>0</v>
      </c>
      <c r="BC3279">
        <v>0</v>
      </c>
      <c r="BD3279">
        <v>0</v>
      </c>
      <c r="BE3279">
        <v>0</v>
      </c>
      <c r="BF3279">
        <v>0</v>
      </c>
      <c r="BG3279">
        <v>0</v>
      </c>
      <c r="BH3279">
        <v>1</v>
      </c>
      <c r="BI3279">
        <v>1</v>
      </c>
      <c r="BJ3279">
        <v>1.1000000000000001</v>
      </c>
      <c r="BK3279">
        <v>1.5</v>
      </c>
      <c r="BL3279">
        <v>69.98</v>
      </c>
      <c r="BM3279">
        <v>10.5</v>
      </c>
      <c r="BN3279">
        <v>80.48</v>
      </c>
      <c r="BO3279">
        <v>80.48</v>
      </c>
      <c r="BQ3279" t="s">
        <v>710</v>
      </c>
      <c r="BR3279" t="s">
        <v>84</v>
      </c>
      <c r="BS3279" s="3">
        <v>45804</v>
      </c>
      <c r="BT3279" s="4">
        <v>0.32291666666666669</v>
      </c>
      <c r="BU3279" t="s">
        <v>2045</v>
      </c>
      <c r="BV3279" t="s">
        <v>86</v>
      </c>
      <c r="BY3279">
        <v>5320</v>
      </c>
      <c r="CA3279" t="s">
        <v>712</v>
      </c>
      <c r="CC3279" t="s">
        <v>131</v>
      </c>
      <c r="CD3279">
        <v>7530</v>
      </c>
      <c r="CE3279" t="s">
        <v>96</v>
      </c>
      <c r="CF3279" s="3">
        <v>45805</v>
      </c>
      <c r="CI3279">
        <v>1</v>
      </c>
      <c r="CJ3279">
        <v>1</v>
      </c>
      <c r="CK3279">
        <v>21</v>
      </c>
      <c r="CL3279" t="s">
        <v>89</v>
      </c>
    </row>
    <row r="3280" spans="1:90" x14ac:dyDescent="0.3">
      <c r="A3280" t="s">
        <v>72</v>
      </c>
      <c r="B3280" t="s">
        <v>73</v>
      </c>
      <c r="C3280" t="s">
        <v>74</v>
      </c>
      <c r="E3280" t="str">
        <f>"080065561085"</f>
        <v>080065561085</v>
      </c>
      <c r="F3280" s="3">
        <v>45803</v>
      </c>
      <c r="G3280">
        <v>202602</v>
      </c>
      <c r="H3280" t="s">
        <v>75</v>
      </c>
      <c r="I3280" t="s">
        <v>76</v>
      </c>
      <c r="J3280" t="s">
        <v>77</v>
      </c>
      <c r="K3280" t="s">
        <v>78</v>
      </c>
      <c r="L3280" t="s">
        <v>79</v>
      </c>
      <c r="M3280" t="s">
        <v>80</v>
      </c>
      <c r="N3280" t="s">
        <v>862</v>
      </c>
      <c r="O3280" t="s">
        <v>82</v>
      </c>
      <c r="P3280" t="str">
        <f>"4170040570                    "</f>
        <v xml:space="preserve">4170040570                    </v>
      </c>
      <c r="Q3280">
        <v>0</v>
      </c>
      <c r="R3280">
        <v>0</v>
      </c>
      <c r="S3280">
        <v>0</v>
      </c>
      <c r="T3280">
        <v>0</v>
      </c>
      <c r="U3280">
        <v>0</v>
      </c>
      <c r="V3280">
        <v>0</v>
      </c>
      <c r="W3280">
        <v>0</v>
      </c>
      <c r="X3280">
        <v>0</v>
      </c>
      <c r="Y3280">
        <v>0</v>
      </c>
      <c r="Z3280">
        <v>0</v>
      </c>
      <c r="AA3280">
        <v>0</v>
      </c>
      <c r="AB3280">
        <v>0</v>
      </c>
      <c r="AC3280">
        <v>0</v>
      </c>
      <c r="AD3280">
        <v>0</v>
      </c>
      <c r="AE3280">
        <v>0</v>
      </c>
      <c r="AF3280">
        <v>0</v>
      </c>
      <c r="AG3280">
        <v>0</v>
      </c>
      <c r="AH3280">
        <v>0</v>
      </c>
      <c r="AI3280">
        <v>0</v>
      </c>
      <c r="AJ3280">
        <v>0</v>
      </c>
      <c r="AK3280">
        <v>0</v>
      </c>
      <c r="AL3280">
        <v>0</v>
      </c>
      <c r="AM3280">
        <v>0</v>
      </c>
      <c r="AN3280">
        <v>0</v>
      </c>
      <c r="AO3280">
        <v>0</v>
      </c>
      <c r="AP3280">
        <v>0</v>
      </c>
      <c r="AQ3280">
        <v>21.38</v>
      </c>
      <c r="AR3280">
        <v>0</v>
      </c>
      <c r="AS3280">
        <v>0</v>
      </c>
      <c r="AT3280">
        <v>0</v>
      </c>
      <c r="AU3280">
        <v>0</v>
      </c>
      <c r="AV3280">
        <v>0</v>
      </c>
      <c r="AW3280">
        <v>0</v>
      </c>
      <c r="AX3280">
        <v>0</v>
      </c>
      <c r="AY3280">
        <v>0</v>
      </c>
      <c r="AZ3280">
        <v>0</v>
      </c>
      <c r="BA3280">
        <v>0</v>
      </c>
      <c r="BB3280">
        <v>0</v>
      </c>
      <c r="BC3280">
        <v>0</v>
      </c>
      <c r="BD3280">
        <v>0</v>
      </c>
      <c r="BE3280">
        <v>0</v>
      </c>
      <c r="BF3280">
        <v>0</v>
      </c>
      <c r="BG3280">
        <v>0</v>
      </c>
      <c r="BH3280">
        <v>1</v>
      </c>
      <c r="BI3280">
        <v>1</v>
      </c>
      <c r="BJ3280">
        <v>1.1000000000000001</v>
      </c>
      <c r="BK3280">
        <v>1.5</v>
      </c>
      <c r="BL3280">
        <v>69.98</v>
      </c>
      <c r="BM3280">
        <v>10.5</v>
      </c>
      <c r="BN3280">
        <v>80.48</v>
      </c>
      <c r="BO3280">
        <v>80.48</v>
      </c>
      <c r="BQ3280" t="s">
        <v>863</v>
      </c>
      <c r="BR3280" t="s">
        <v>84</v>
      </c>
      <c r="BS3280" s="3">
        <v>45804</v>
      </c>
      <c r="BT3280" s="4">
        <v>0.4152777777777778</v>
      </c>
      <c r="BU3280" t="s">
        <v>864</v>
      </c>
      <c r="BV3280" t="s">
        <v>86</v>
      </c>
      <c r="BY3280">
        <v>5320</v>
      </c>
      <c r="CA3280" t="s">
        <v>160</v>
      </c>
      <c r="CC3280" t="s">
        <v>80</v>
      </c>
      <c r="CD3280">
        <v>3610</v>
      </c>
      <c r="CE3280" t="s">
        <v>116</v>
      </c>
      <c r="CF3280" s="3">
        <v>45804</v>
      </c>
      <c r="CI3280">
        <v>1</v>
      </c>
      <c r="CJ3280">
        <v>1</v>
      </c>
      <c r="CK3280">
        <v>21</v>
      </c>
      <c r="CL3280" t="s">
        <v>89</v>
      </c>
    </row>
    <row r="3281" spans="1:90" x14ac:dyDescent="0.3">
      <c r="A3281" t="s">
        <v>72</v>
      </c>
      <c r="B3281" t="s">
        <v>73</v>
      </c>
      <c r="C3281" t="s">
        <v>74</v>
      </c>
      <c r="E3281" t="str">
        <f>"080065561121"</f>
        <v>080065561121</v>
      </c>
      <c r="F3281" s="3">
        <v>45803</v>
      </c>
      <c r="G3281">
        <v>202602</v>
      </c>
      <c r="H3281" t="s">
        <v>75</v>
      </c>
      <c r="I3281" t="s">
        <v>76</v>
      </c>
      <c r="J3281" t="s">
        <v>77</v>
      </c>
      <c r="K3281" t="s">
        <v>78</v>
      </c>
      <c r="L3281" t="s">
        <v>143</v>
      </c>
      <c r="M3281" t="s">
        <v>144</v>
      </c>
      <c r="N3281" t="s">
        <v>762</v>
      </c>
      <c r="O3281" t="s">
        <v>82</v>
      </c>
      <c r="P3281" t="str">
        <f>"4170040609                    "</f>
        <v xml:space="preserve">4170040609                    </v>
      </c>
      <c r="Q3281">
        <v>0</v>
      </c>
      <c r="R3281">
        <v>0</v>
      </c>
      <c r="S3281">
        <v>0</v>
      </c>
      <c r="T3281">
        <v>0</v>
      </c>
      <c r="U3281">
        <v>0</v>
      </c>
      <c r="V3281">
        <v>0</v>
      </c>
      <c r="W3281">
        <v>0</v>
      </c>
      <c r="X3281">
        <v>0</v>
      </c>
      <c r="Y3281">
        <v>0</v>
      </c>
      <c r="Z3281">
        <v>0</v>
      </c>
      <c r="AA3281">
        <v>0</v>
      </c>
      <c r="AB3281">
        <v>0</v>
      </c>
      <c r="AC3281">
        <v>0</v>
      </c>
      <c r="AD3281">
        <v>0</v>
      </c>
      <c r="AE3281">
        <v>0</v>
      </c>
      <c r="AF3281">
        <v>0</v>
      </c>
      <c r="AG3281">
        <v>0</v>
      </c>
      <c r="AH3281">
        <v>0</v>
      </c>
      <c r="AI3281">
        <v>0</v>
      </c>
      <c r="AJ3281">
        <v>0</v>
      </c>
      <c r="AK3281">
        <v>0</v>
      </c>
      <c r="AL3281">
        <v>0</v>
      </c>
      <c r="AM3281">
        <v>0</v>
      </c>
      <c r="AN3281">
        <v>0</v>
      </c>
      <c r="AO3281">
        <v>0</v>
      </c>
      <c r="AP3281">
        <v>0</v>
      </c>
      <c r="AQ3281">
        <v>16.7</v>
      </c>
      <c r="AR3281">
        <v>0</v>
      </c>
      <c r="AS3281">
        <v>0</v>
      </c>
      <c r="AT3281">
        <v>0</v>
      </c>
      <c r="AU3281">
        <v>0</v>
      </c>
      <c r="AV3281">
        <v>0</v>
      </c>
      <c r="AW3281">
        <v>0</v>
      </c>
      <c r="AX3281">
        <v>0</v>
      </c>
      <c r="AY3281">
        <v>0</v>
      </c>
      <c r="AZ3281">
        <v>0</v>
      </c>
      <c r="BA3281">
        <v>0</v>
      </c>
      <c r="BB3281">
        <v>0</v>
      </c>
      <c r="BC3281">
        <v>0</v>
      </c>
      <c r="BD3281">
        <v>0</v>
      </c>
      <c r="BE3281">
        <v>0</v>
      </c>
      <c r="BF3281">
        <v>0</v>
      </c>
      <c r="BG3281">
        <v>0</v>
      </c>
      <c r="BH3281">
        <v>1</v>
      </c>
      <c r="BI3281">
        <v>3</v>
      </c>
      <c r="BJ3281">
        <v>3.4</v>
      </c>
      <c r="BK3281">
        <v>4</v>
      </c>
      <c r="BL3281">
        <v>54.66</v>
      </c>
      <c r="BM3281">
        <v>8.1999999999999993</v>
      </c>
      <c r="BN3281">
        <v>62.86</v>
      </c>
      <c r="BO3281">
        <v>62.86</v>
      </c>
      <c r="BQ3281" t="s">
        <v>763</v>
      </c>
      <c r="BR3281" t="s">
        <v>84</v>
      </c>
      <c r="BS3281" s="3">
        <v>45804</v>
      </c>
      <c r="BT3281" s="4">
        <v>0.42430555555555555</v>
      </c>
      <c r="BU3281" t="s">
        <v>514</v>
      </c>
      <c r="BV3281" t="s">
        <v>86</v>
      </c>
      <c r="BY3281">
        <v>16965</v>
      </c>
      <c r="CA3281" t="s">
        <v>765</v>
      </c>
      <c r="CC3281" t="s">
        <v>144</v>
      </c>
      <c r="CD3281">
        <v>1428</v>
      </c>
      <c r="CE3281" t="s">
        <v>96</v>
      </c>
      <c r="CF3281" s="3">
        <v>45805</v>
      </c>
      <c r="CI3281">
        <v>1</v>
      </c>
      <c r="CJ3281">
        <v>1</v>
      </c>
      <c r="CK3281">
        <v>22</v>
      </c>
      <c r="CL3281" t="s">
        <v>89</v>
      </c>
    </row>
    <row r="3282" spans="1:90" x14ac:dyDescent="0.3">
      <c r="A3282" t="s">
        <v>72</v>
      </c>
      <c r="B3282" t="s">
        <v>73</v>
      </c>
      <c r="C3282" t="s">
        <v>74</v>
      </c>
      <c r="E3282" t="str">
        <f>"080065561153"</f>
        <v>080065561153</v>
      </c>
      <c r="F3282" s="3">
        <v>45803</v>
      </c>
      <c r="G3282">
        <v>202602</v>
      </c>
      <c r="H3282" t="s">
        <v>75</v>
      </c>
      <c r="I3282" t="s">
        <v>76</v>
      </c>
      <c r="J3282" t="s">
        <v>77</v>
      </c>
      <c r="K3282" t="s">
        <v>78</v>
      </c>
      <c r="L3282" t="s">
        <v>103</v>
      </c>
      <c r="M3282" t="s">
        <v>104</v>
      </c>
      <c r="N3282" t="s">
        <v>633</v>
      </c>
      <c r="O3282" t="s">
        <v>82</v>
      </c>
      <c r="P3282" t="str">
        <f>"4170040590                    "</f>
        <v xml:space="preserve">4170040590                    </v>
      </c>
      <c r="Q3282">
        <v>0</v>
      </c>
      <c r="R3282">
        <v>0</v>
      </c>
      <c r="S3282">
        <v>0</v>
      </c>
      <c r="T3282">
        <v>0</v>
      </c>
      <c r="U3282">
        <v>0</v>
      </c>
      <c r="V3282">
        <v>0</v>
      </c>
      <c r="W3282">
        <v>0</v>
      </c>
      <c r="X3282">
        <v>0</v>
      </c>
      <c r="Y3282">
        <v>0</v>
      </c>
      <c r="Z3282">
        <v>0</v>
      </c>
      <c r="AA3282">
        <v>0</v>
      </c>
      <c r="AB3282">
        <v>0</v>
      </c>
      <c r="AC3282">
        <v>0</v>
      </c>
      <c r="AD3282">
        <v>0</v>
      </c>
      <c r="AE3282">
        <v>0</v>
      </c>
      <c r="AF3282">
        <v>0</v>
      </c>
      <c r="AG3282">
        <v>0</v>
      </c>
      <c r="AH3282">
        <v>0</v>
      </c>
      <c r="AI3282">
        <v>0</v>
      </c>
      <c r="AJ3282">
        <v>0</v>
      </c>
      <c r="AK3282">
        <v>0</v>
      </c>
      <c r="AL3282">
        <v>0</v>
      </c>
      <c r="AM3282">
        <v>0</v>
      </c>
      <c r="AN3282">
        <v>0</v>
      </c>
      <c r="AO3282">
        <v>0</v>
      </c>
      <c r="AP3282">
        <v>0</v>
      </c>
      <c r="AQ3282">
        <v>64.12</v>
      </c>
      <c r="AR3282">
        <v>0</v>
      </c>
      <c r="AS3282">
        <v>0</v>
      </c>
      <c r="AT3282">
        <v>0</v>
      </c>
      <c r="AU3282">
        <v>0</v>
      </c>
      <c r="AV3282">
        <v>0</v>
      </c>
      <c r="AW3282">
        <v>0</v>
      </c>
      <c r="AX3282">
        <v>0</v>
      </c>
      <c r="AY3282">
        <v>0</v>
      </c>
      <c r="AZ3282">
        <v>0</v>
      </c>
      <c r="BA3282">
        <v>0</v>
      </c>
      <c r="BB3282">
        <v>0</v>
      </c>
      <c r="BC3282">
        <v>0</v>
      </c>
      <c r="BD3282">
        <v>0</v>
      </c>
      <c r="BE3282">
        <v>0</v>
      </c>
      <c r="BF3282">
        <v>0</v>
      </c>
      <c r="BG3282">
        <v>0</v>
      </c>
      <c r="BH3282">
        <v>1</v>
      </c>
      <c r="BI3282">
        <v>6</v>
      </c>
      <c r="BJ3282">
        <v>1.7</v>
      </c>
      <c r="BK3282">
        <v>6</v>
      </c>
      <c r="BL3282">
        <v>209.84</v>
      </c>
      <c r="BM3282">
        <v>31.48</v>
      </c>
      <c r="BN3282">
        <v>241.32</v>
      </c>
      <c r="BO3282">
        <v>241.32</v>
      </c>
      <c r="BQ3282" t="s">
        <v>634</v>
      </c>
      <c r="BR3282" t="s">
        <v>84</v>
      </c>
      <c r="BS3282" s="3">
        <v>45804</v>
      </c>
      <c r="BT3282" s="4">
        <v>0.49305555555555558</v>
      </c>
      <c r="BU3282" t="s">
        <v>635</v>
      </c>
      <c r="BV3282" t="s">
        <v>86</v>
      </c>
      <c r="BY3282">
        <v>8512</v>
      </c>
      <c r="CA3282" t="s">
        <v>440</v>
      </c>
      <c r="CC3282" t="s">
        <v>104</v>
      </c>
      <c r="CD3282">
        <v>3212</v>
      </c>
      <c r="CE3282" t="s">
        <v>116</v>
      </c>
      <c r="CF3282" s="3">
        <v>45804</v>
      </c>
      <c r="CI3282">
        <v>2</v>
      </c>
      <c r="CJ3282">
        <v>1</v>
      </c>
      <c r="CK3282">
        <v>21</v>
      </c>
      <c r="CL3282" t="s">
        <v>89</v>
      </c>
    </row>
    <row r="3283" spans="1:90" x14ac:dyDescent="0.3">
      <c r="A3283" t="s">
        <v>72</v>
      </c>
      <c r="B3283" t="s">
        <v>73</v>
      </c>
      <c r="C3283" t="s">
        <v>74</v>
      </c>
      <c r="E3283" t="str">
        <f>"080065561184"</f>
        <v>080065561184</v>
      </c>
      <c r="F3283" s="3">
        <v>45803</v>
      </c>
      <c r="G3283">
        <v>202602</v>
      </c>
      <c r="H3283" t="s">
        <v>75</v>
      </c>
      <c r="I3283" t="s">
        <v>76</v>
      </c>
      <c r="J3283" t="s">
        <v>77</v>
      </c>
      <c r="K3283" t="s">
        <v>78</v>
      </c>
      <c r="L3283" t="s">
        <v>75</v>
      </c>
      <c r="M3283" t="s">
        <v>76</v>
      </c>
      <c r="N3283" t="s">
        <v>390</v>
      </c>
      <c r="O3283" t="s">
        <v>82</v>
      </c>
      <c r="P3283" t="str">
        <f>"4170040582                    "</f>
        <v xml:space="preserve">4170040582                    </v>
      </c>
      <c r="Q3283">
        <v>0</v>
      </c>
      <c r="R3283">
        <v>0</v>
      </c>
      <c r="S3283">
        <v>0</v>
      </c>
      <c r="T3283">
        <v>0</v>
      </c>
      <c r="U3283">
        <v>0</v>
      </c>
      <c r="V3283">
        <v>0</v>
      </c>
      <c r="W3283">
        <v>0</v>
      </c>
      <c r="X3283">
        <v>0</v>
      </c>
      <c r="Y3283">
        <v>0</v>
      </c>
      <c r="Z3283">
        <v>0</v>
      </c>
      <c r="AA3283">
        <v>0</v>
      </c>
      <c r="AB3283">
        <v>0</v>
      </c>
      <c r="AC3283">
        <v>0</v>
      </c>
      <c r="AD3283">
        <v>0</v>
      </c>
      <c r="AE3283">
        <v>0</v>
      </c>
      <c r="AF3283">
        <v>0</v>
      </c>
      <c r="AG3283">
        <v>0</v>
      </c>
      <c r="AH3283">
        <v>0</v>
      </c>
      <c r="AI3283">
        <v>0</v>
      </c>
      <c r="AJ3283">
        <v>0</v>
      </c>
      <c r="AK3283">
        <v>0</v>
      </c>
      <c r="AL3283">
        <v>0</v>
      </c>
      <c r="AM3283">
        <v>0</v>
      </c>
      <c r="AN3283">
        <v>0</v>
      </c>
      <c r="AO3283">
        <v>0</v>
      </c>
      <c r="AP3283">
        <v>0</v>
      </c>
      <c r="AQ3283">
        <v>16.7</v>
      </c>
      <c r="AR3283">
        <v>0</v>
      </c>
      <c r="AS3283">
        <v>0</v>
      </c>
      <c r="AT3283">
        <v>0</v>
      </c>
      <c r="AU3283">
        <v>0</v>
      </c>
      <c r="AV3283">
        <v>0</v>
      </c>
      <c r="AW3283">
        <v>0</v>
      </c>
      <c r="AX3283">
        <v>0</v>
      </c>
      <c r="AY3283">
        <v>0</v>
      </c>
      <c r="AZ3283">
        <v>0</v>
      </c>
      <c r="BA3283">
        <v>0</v>
      </c>
      <c r="BB3283">
        <v>0</v>
      </c>
      <c r="BC3283">
        <v>0</v>
      </c>
      <c r="BD3283">
        <v>0</v>
      </c>
      <c r="BE3283">
        <v>0</v>
      </c>
      <c r="BF3283">
        <v>0</v>
      </c>
      <c r="BG3283">
        <v>0</v>
      </c>
      <c r="BH3283">
        <v>1</v>
      </c>
      <c r="BI3283">
        <v>1</v>
      </c>
      <c r="BJ3283">
        <v>3</v>
      </c>
      <c r="BK3283">
        <v>3</v>
      </c>
      <c r="BL3283">
        <v>54.66</v>
      </c>
      <c r="BM3283">
        <v>8.1999999999999993</v>
      </c>
      <c r="BN3283">
        <v>62.86</v>
      </c>
      <c r="BO3283">
        <v>62.86</v>
      </c>
      <c r="BQ3283" t="s">
        <v>391</v>
      </c>
      <c r="BR3283" t="s">
        <v>84</v>
      </c>
      <c r="BS3283" s="3">
        <v>45804</v>
      </c>
      <c r="BT3283" s="4">
        <v>0.3576388888888889</v>
      </c>
      <c r="BU3283" t="s">
        <v>1060</v>
      </c>
      <c r="BV3283" t="s">
        <v>86</v>
      </c>
      <c r="BY3283">
        <v>15120</v>
      </c>
      <c r="CA3283" t="s">
        <v>115</v>
      </c>
      <c r="CC3283" t="s">
        <v>76</v>
      </c>
      <c r="CD3283">
        <v>1600</v>
      </c>
      <c r="CE3283" t="s">
        <v>221</v>
      </c>
      <c r="CF3283" s="3">
        <v>45805</v>
      </c>
      <c r="CI3283">
        <v>1</v>
      </c>
      <c r="CJ3283">
        <v>1</v>
      </c>
      <c r="CK3283">
        <v>22</v>
      </c>
      <c r="CL3283" t="s">
        <v>89</v>
      </c>
    </row>
    <row r="3284" spans="1:90" x14ac:dyDescent="0.3">
      <c r="A3284" t="s">
        <v>72</v>
      </c>
      <c r="B3284" t="s">
        <v>73</v>
      </c>
      <c r="C3284" t="s">
        <v>74</v>
      </c>
      <c r="E3284" t="str">
        <f>"080065561231"</f>
        <v>080065561231</v>
      </c>
      <c r="F3284" s="3">
        <v>45803</v>
      </c>
      <c r="G3284">
        <v>202602</v>
      </c>
      <c r="H3284" t="s">
        <v>75</v>
      </c>
      <c r="I3284" t="s">
        <v>76</v>
      </c>
      <c r="J3284" t="s">
        <v>77</v>
      </c>
      <c r="K3284" t="s">
        <v>78</v>
      </c>
      <c r="L3284" t="s">
        <v>130</v>
      </c>
      <c r="M3284" t="s">
        <v>131</v>
      </c>
      <c r="N3284" t="s">
        <v>3066</v>
      </c>
      <c r="O3284" t="s">
        <v>82</v>
      </c>
      <c r="P3284" t="str">
        <f>"4170040580                    "</f>
        <v xml:space="preserve">4170040580                    </v>
      </c>
      <c r="Q3284">
        <v>0</v>
      </c>
      <c r="R3284">
        <v>0</v>
      </c>
      <c r="S3284">
        <v>0</v>
      </c>
      <c r="T3284">
        <v>0</v>
      </c>
      <c r="U3284">
        <v>0</v>
      </c>
      <c r="V3284">
        <v>0</v>
      </c>
      <c r="W3284">
        <v>0</v>
      </c>
      <c r="X3284">
        <v>0</v>
      </c>
      <c r="Y3284">
        <v>0</v>
      </c>
      <c r="Z3284">
        <v>0</v>
      </c>
      <c r="AA3284">
        <v>0</v>
      </c>
      <c r="AB3284">
        <v>0</v>
      </c>
      <c r="AC3284">
        <v>0</v>
      </c>
      <c r="AD3284">
        <v>0</v>
      </c>
      <c r="AE3284">
        <v>0</v>
      </c>
      <c r="AF3284">
        <v>0</v>
      </c>
      <c r="AG3284">
        <v>0</v>
      </c>
      <c r="AH3284">
        <v>0</v>
      </c>
      <c r="AI3284">
        <v>0</v>
      </c>
      <c r="AJ3284">
        <v>0</v>
      </c>
      <c r="AK3284">
        <v>0</v>
      </c>
      <c r="AL3284">
        <v>0</v>
      </c>
      <c r="AM3284">
        <v>0</v>
      </c>
      <c r="AN3284">
        <v>0</v>
      </c>
      <c r="AO3284">
        <v>0</v>
      </c>
      <c r="AP3284">
        <v>0</v>
      </c>
      <c r="AQ3284">
        <v>21.38</v>
      </c>
      <c r="AR3284">
        <v>0</v>
      </c>
      <c r="AS3284">
        <v>0</v>
      </c>
      <c r="AT3284">
        <v>0</v>
      </c>
      <c r="AU3284">
        <v>0</v>
      </c>
      <c r="AV3284">
        <v>0</v>
      </c>
      <c r="AW3284">
        <v>0</v>
      </c>
      <c r="AX3284">
        <v>0</v>
      </c>
      <c r="AY3284">
        <v>0</v>
      </c>
      <c r="AZ3284">
        <v>0</v>
      </c>
      <c r="BA3284">
        <v>0</v>
      </c>
      <c r="BB3284">
        <v>0</v>
      </c>
      <c r="BC3284">
        <v>0</v>
      </c>
      <c r="BD3284">
        <v>0</v>
      </c>
      <c r="BE3284">
        <v>0</v>
      </c>
      <c r="BF3284">
        <v>0</v>
      </c>
      <c r="BG3284">
        <v>0</v>
      </c>
      <c r="BH3284">
        <v>1</v>
      </c>
      <c r="BI3284">
        <v>1</v>
      </c>
      <c r="BJ3284">
        <v>1.6</v>
      </c>
      <c r="BK3284">
        <v>2</v>
      </c>
      <c r="BL3284">
        <v>69.98</v>
      </c>
      <c r="BM3284">
        <v>10.5</v>
      </c>
      <c r="BN3284">
        <v>80.48</v>
      </c>
      <c r="BO3284">
        <v>80.48</v>
      </c>
      <c r="BQ3284" t="s">
        <v>3067</v>
      </c>
      <c r="BR3284" t="s">
        <v>84</v>
      </c>
      <c r="BS3284" s="3">
        <v>45804</v>
      </c>
      <c r="BT3284" s="4">
        <v>0.32847222222222222</v>
      </c>
      <c r="BU3284" t="s">
        <v>3142</v>
      </c>
      <c r="BV3284" t="s">
        <v>86</v>
      </c>
      <c r="BY3284">
        <v>8092</v>
      </c>
      <c r="CA3284" t="s">
        <v>712</v>
      </c>
      <c r="CC3284" t="s">
        <v>131</v>
      </c>
      <c r="CD3284">
        <v>7535</v>
      </c>
      <c r="CE3284" t="s">
        <v>221</v>
      </c>
      <c r="CF3284" s="3">
        <v>45805</v>
      </c>
      <c r="CI3284">
        <v>1</v>
      </c>
      <c r="CJ3284">
        <v>1</v>
      </c>
      <c r="CK3284">
        <v>21</v>
      </c>
      <c r="CL3284" t="s">
        <v>89</v>
      </c>
    </row>
    <row r="3285" spans="1:90" x14ac:dyDescent="0.3">
      <c r="A3285" t="s">
        <v>72</v>
      </c>
      <c r="B3285" t="s">
        <v>73</v>
      </c>
      <c r="C3285" t="s">
        <v>74</v>
      </c>
      <c r="E3285" t="str">
        <f>"080065561257"</f>
        <v>080065561257</v>
      </c>
      <c r="F3285" s="3">
        <v>45803</v>
      </c>
      <c r="G3285">
        <v>202602</v>
      </c>
      <c r="H3285" t="s">
        <v>75</v>
      </c>
      <c r="I3285" t="s">
        <v>76</v>
      </c>
      <c r="J3285" t="s">
        <v>77</v>
      </c>
      <c r="K3285" t="s">
        <v>78</v>
      </c>
      <c r="L3285" t="s">
        <v>360</v>
      </c>
      <c r="M3285" t="s">
        <v>361</v>
      </c>
      <c r="N3285" t="s">
        <v>362</v>
      </c>
      <c r="O3285" t="s">
        <v>82</v>
      </c>
      <c r="P3285" t="str">
        <f>"4170040616                    "</f>
        <v xml:space="preserve">4170040616                    </v>
      </c>
      <c r="Q3285">
        <v>0</v>
      </c>
      <c r="R3285">
        <v>0</v>
      </c>
      <c r="S3285">
        <v>0</v>
      </c>
      <c r="T3285">
        <v>0</v>
      </c>
      <c r="U3285">
        <v>0</v>
      </c>
      <c r="V3285">
        <v>0</v>
      </c>
      <c r="W3285">
        <v>0</v>
      </c>
      <c r="X3285">
        <v>0</v>
      </c>
      <c r="Y3285">
        <v>0</v>
      </c>
      <c r="Z3285">
        <v>0</v>
      </c>
      <c r="AA3285">
        <v>0</v>
      </c>
      <c r="AB3285">
        <v>0</v>
      </c>
      <c r="AC3285">
        <v>0</v>
      </c>
      <c r="AD3285">
        <v>0</v>
      </c>
      <c r="AE3285">
        <v>0</v>
      </c>
      <c r="AF3285">
        <v>0</v>
      </c>
      <c r="AG3285">
        <v>0</v>
      </c>
      <c r="AH3285">
        <v>0</v>
      </c>
      <c r="AI3285">
        <v>0</v>
      </c>
      <c r="AJ3285">
        <v>0</v>
      </c>
      <c r="AK3285">
        <v>0</v>
      </c>
      <c r="AL3285">
        <v>0</v>
      </c>
      <c r="AM3285">
        <v>0</v>
      </c>
      <c r="AN3285">
        <v>0</v>
      </c>
      <c r="AO3285">
        <v>0</v>
      </c>
      <c r="AP3285">
        <v>0</v>
      </c>
      <c r="AQ3285">
        <v>41.43</v>
      </c>
      <c r="AR3285">
        <v>0</v>
      </c>
      <c r="AS3285">
        <v>0</v>
      </c>
      <c r="AT3285">
        <v>0</v>
      </c>
      <c r="AU3285">
        <v>0</v>
      </c>
      <c r="AV3285">
        <v>0</v>
      </c>
      <c r="AW3285">
        <v>0</v>
      </c>
      <c r="AX3285">
        <v>0</v>
      </c>
      <c r="AY3285">
        <v>0</v>
      </c>
      <c r="AZ3285">
        <v>0</v>
      </c>
      <c r="BA3285">
        <v>0</v>
      </c>
      <c r="BB3285">
        <v>0</v>
      </c>
      <c r="BC3285">
        <v>0</v>
      </c>
      <c r="BD3285">
        <v>0</v>
      </c>
      <c r="BE3285">
        <v>0</v>
      </c>
      <c r="BF3285">
        <v>0</v>
      </c>
      <c r="BG3285">
        <v>0</v>
      </c>
      <c r="BH3285">
        <v>1</v>
      </c>
      <c r="BI3285">
        <v>1</v>
      </c>
      <c r="BJ3285">
        <v>1.2</v>
      </c>
      <c r="BK3285">
        <v>1.5</v>
      </c>
      <c r="BL3285">
        <v>135.59</v>
      </c>
      <c r="BM3285">
        <v>20.34</v>
      </c>
      <c r="BN3285">
        <v>155.93</v>
      </c>
      <c r="BO3285">
        <v>155.93</v>
      </c>
      <c r="BQ3285" t="s">
        <v>363</v>
      </c>
      <c r="BR3285" t="s">
        <v>84</v>
      </c>
      <c r="BS3285" s="3">
        <v>45804</v>
      </c>
      <c r="BT3285" s="4">
        <v>0.63888888888888884</v>
      </c>
      <c r="BU3285" t="s">
        <v>1008</v>
      </c>
      <c r="BV3285" t="s">
        <v>86</v>
      </c>
      <c r="BY3285">
        <v>6048</v>
      </c>
      <c r="CA3285" t="s">
        <v>365</v>
      </c>
      <c r="CC3285" t="s">
        <v>361</v>
      </c>
      <c r="CD3285">
        <v>7300</v>
      </c>
      <c r="CE3285" t="s">
        <v>221</v>
      </c>
      <c r="CF3285" s="3">
        <v>45805</v>
      </c>
      <c r="CI3285">
        <v>1</v>
      </c>
      <c r="CJ3285">
        <v>1</v>
      </c>
      <c r="CK3285">
        <v>23</v>
      </c>
      <c r="CL3285" t="s">
        <v>89</v>
      </c>
    </row>
    <row r="3286" spans="1:90" x14ac:dyDescent="0.3">
      <c r="A3286" t="s">
        <v>72</v>
      </c>
      <c r="B3286" t="s">
        <v>73</v>
      </c>
      <c r="C3286" t="s">
        <v>74</v>
      </c>
      <c r="E3286" t="str">
        <f>"080065561308"</f>
        <v>080065561308</v>
      </c>
      <c r="F3286" s="3">
        <v>45803</v>
      </c>
      <c r="G3286">
        <v>202602</v>
      </c>
      <c r="H3286" t="s">
        <v>75</v>
      </c>
      <c r="I3286" t="s">
        <v>76</v>
      </c>
      <c r="J3286" t="s">
        <v>77</v>
      </c>
      <c r="K3286" t="s">
        <v>78</v>
      </c>
      <c r="L3286" t="s">
        <v>489</v>
      </c>
      <c r="M3286" t="s">
        <v>490</v>
      </c>
      <c r="N3286" t="s">
        <v>491</v>
      </c>
      <c r="O3286" t="s">
        <v>82</v>
      </c>
      <c r="P3286" t="str">
        <f>"4170040530                    "</f>
        <v xml:space="preserve">4170040530                    </v>
      </c>
      <c r="Q3286">
        <v>0</v>
      </c>
      <c r="R3286">
        <v>0</v>
      </c>
      <c r="S3286">
        <v>0</v>
      </c>
      <c r="T3286">
        <v>0</v>
      </c>
      <c r="U3286">
        <v>0</v>
      </c>
      <c r="V3286">
        <v>0</v>
      </c>
      <c r="W3286">
        <v>0</v>
      </c>
      <c r="X3286">
        <v>0</v>
      </c>
      <c r="Y3286">
        <v>0</v>
      </c>
      <c r="Z3286">
        <v>0</v>
      </c>
      <c r="AA3286">
        <v>0</v>
      </c>
      <c r="AB3286">
        <v>0</v>
      </c>
      <c r="AC3286">
        <v>0</v>
      </c>
      <c r="AD3286">
        <v>0</v>
      </c>
      <c r="AE3286">
        <v>0</v>
      </c>
      <c r="AF3286">
        <v>0</v>
      </c>
      <c r="AG3286">
        <v>0</v>
      </c>
      <c r="AH3286">
        <v>0</v>
      </c>
      <c r="AI3286">
        <v>0</v>
      </c>
      <c r="AJ3286">
        <v>0</v>
      </c>
      <c r="AK3286">
        <v>0</v>
      </c>
      <c r="AL3286">
        <v>0</v>
      </c>
      <c r="AM3286">
        <v>0</v>
      </c>
      <c r="AN3286">
        <v>0</v>
      </c>
      <c r="AO3286">
        <v>0</v>
      </c>
      <c r="AP3286">
        <v>0</v>
      </c>
      <c r="AQ3286">
        <v>41.43</v>
      </c>
      <c r="AR3286">
        <v>0</v>
      </c>
      <c r="AS3286">
        <v>0</v>
      </c>
      <c r="AT3286">
        <v>0</v>
      </c>
      <c r="AU3286">
        <v>0</v>
      </c>
      <c r="AV3286">
        <v>0</v>
      </c>
      <c r="AW3286">
        <v>0</v>
      </c>
      <c r="AX3286">
        <v>0</v>
      </c>
      <c r="AY3286">
        <v>0</v>
      </c>
      <c r="AZ3286">
        <v>0</v>
      </c>
      <c r="BA3286">
        <v>0</v>
      </c>
      <c r="BB3286">
        <v>0</v>
      </c>
      <c r="BC3286">
        <v>0</v>
      </c>
      <c r="BD3286">
        <v>0</v>
      </c>
      <c r="BE3286">
        <v>0</v>
      </c>
      <c r="BF3286">
        <v>0</v>
      </c>
      <c r="BG3286">
        <v>0</v>
      </c>
      <c r="BH3286">
        <v>1</v>
      </c>
      <c r="BI3286">
        <v>2</v>
      </c>
      <c r="BJ3286">
        <v>1.1000000000000001</v>
      </c>
      <c r="BK3286">
        <v>2</v>
      </c>
      <c r="BL3286">
        <v>135.59</v>
      </c>
      <c r="BM3286">
        <v>20.34</v>
      </c>
      <c r="BN3286">
        <v>155.93</v>
      </c>
      <c r="BO3286">
        <v>155.93</v>
      </c>
      <c r="BQ3286" t="s">
        <v>492</v>
      </c>
      <c r="BR3286" t="s">
        <v>84</v>
      </c>
      <c r="BS3286" s="3">
        <v>45804</v>
      </c>
      <c r="BT3286" s="4">
        <v>0.36388888888888887</v>
      </c>
      <c r="BU3286" t="s">
        <v>912</v>
      </c>
      <c r="BV3286" t="s">
        <v>86</v>
      </c>
      <c r="BY3286">
        <v>5600</v>
      </c>
      <c r="CA3286" t="s">
        <v>913</v>
      </c>
      <c r="CC3286" t="s">
        <v>490</v>
      </c>
      <c r="CD3286">
        <v>2740</v>
      </c>
      <c r="CE3286" t="s">
        <v>221</v>
      </c>
      <c r="CF3286" s="3">
        <v>45805</v>
      </c>
      <c r="CI3286">
        <v>1</v>
      </c>
      <c r="CJ3286">
        <v>1</v>
      </c>
      <c r="CK3286">
        <v>23</v>
      </c>
      <c r="CL3286" t="s">
        <v>89</v>
      </c>
    </row>
    <row r="3287" spans="1:90" x14ac:dyDescent="0.3">
      <c r="A3287" t="s">
        <v>72</v>
      </c>
      <c r="B3287" t="s">
        <v>73</v>
      </c>
      <c r="C3287" t="s">
        <v>74</v>
      </c>
      <c r="E3287" t="str">
        <f>"080065561360"</f>
        <v>080065561360</v>
      </c>
      <c r="F3287" s="3">
        <v>45803</v>
      </c>
      <c r="G3287">
        <v>202602</v>
      </c>
      <c r="H3287" t="s">
        <v>75</v>
      </c>
      <c r="I3287" t="s">
        <v>76</v>
      </c>
      <c r="J3287" t="s">
        <v>77</v>
      </c>
      <c r="K3287" t="s">
        <v>78</v>
      </c>
      <c r="L3287" t="s">
        <v>79</v>
      </c>
      <c r="M3287" t="s">
        <v>80</v>
      </c>
      <c r="N3287" t="s">
        <v>862</v>
      </c>
      <c r="O3287" t="s">
        <v>82</v>
      </c>
      <c r="P3287" t="str">
        <f>"4170040543                    "</f>
        <v xml:space="preserve">4170040543                    </v>
      </c>
      <c r="Q3287">
        <v>0</v>
      </c>
      <c r="R3287">
        <v>0</v>
      </c>
      <c r="S3287">
        <v>0</v>
      </c>
      <c r="T3287">
        <v>0</v>
      </c>
      <c r="U3287">
        <v>0</v>
      </c>
      <c r="V3287">
        <v>0</v>
      </c>
      <c r="W3287">
        <v>0</v>
      </c>
      <c r="X3287">
        <v>0</v>
      </c>
      <c r="Y3287">
        <v>0</v>
      </c>
      <c r="Z3287">
        <v>0</v>
      </c>
      <c r="AA3287">
        <v>0</v>
      </c>
      <c r="AB3287">
        <v>0</v>
      </c>
      <c r="AC3287">
        <v>0</v>
      </c>
      <c r="AD3287">
        <v>0</v>
      </c>
      <c r="AE3287">
        <v>0</v>
      </c>
      <c r="AF3287">
        <v>0</v>
      </c>
      <c r="AG3287">
        <v>0</v>
      </c>
      <c r="AH3287">
        <v>0</v>
      </c>
      <c r="AI3287">
        <v>0</v>
      </c>
      <c r="AJ3287">
        <v>0</v>
      </c>
      <c r="AK3287">
        <v>0</v>
      </c>
      <c r="AL3287">
        <v>0</v>
      </c>
      <c r="AM3287">
        <v>0</v>
      </c>
      <c r="AN3287">
        <v>0</v>
      </c>
      <c r="AO3287">
        <v>0</v>
      </c>
      <c r="AP3287">
        <v>0</v>
      </c>
      <c r="AQ3287">
        <v>21.38</v>
      </c>
      <c r="AR3287">
        <v>0</v>
      </c>
      <c r="AS3287">
        <v>0</v>
      </c>
      <c r="AT3287">
        <v>0</v>
      </c>
      <c r="AU3287">
        <v>0</v>
      </c>
      <c r="AV3287">
        <v>0</v>
      </c>
      <c r="AW3287">
        <v>0</v>
      </c>
      <c r="AX3287">
        <v>0</v>
      </c>
      <c r="AY3287">
        <v>0</v>
      </c>
      <c r="AZ3287">
        <v>0</v>
      </c>
      <c r="BA3287">
        <v>0</v>
      </c>
      <c r="BB3287">
        <v>0</v>
      </c>
      <c r="BC3287">
        <v>0</v>
      </c>
      <c r="BD3287">
        <v>0</v>
      </c>
      <c r="BE3287">
        <v>0</v>
      </c>
      <c r="BF3287">
        <v>0</v>
      </c>
      <c r="BG3287">
        <v>0</v>
      </c>
      <c r="BH3287">
        <v>1</v>
      </c>
      <c r="BI3287">
        <v>1</v>
      </c>
      <c r="BJ3287">
        <v>1.4</v>
      </c>
      <c r="BK3287">
        <v>1.5</v>
      </c>
      <c r="BL3287">
        <v>69.98</v>
      </c>
      <c r="BM3287">
        <v>10.5</v>
      </c>
      <c r="BN3287">
        <v>80.48</v>
      </c>
      <c r="BO3287">
        <v>80.48</v>
      </c>
      <c r="BQ3287" t="s">
        <v>863</v>
      </c>
      <c r="BR3287" t="s">
        <v>84</v>
      </c>
      <c r="BS3287" s="3">
        <v>45804</v>
      </c>
      <c r="BT3287" s="4">
        <v>0.4152777777777778</v>
      </c>
      <c r="BU3287" t="s">
        <v>864</v>
      </c>
      <c r="BV3287" t="s">
        <v>86</v>
      </c>
      <c r="BY3287">
        <v>7000</v>
      </c>
      <c r="CA3287" t="s">
        <v>160</v>
      </c>
      <c r="CC3287" t="s">
        <v>80</v>
      </c>
      <c r="CD3287">
        <v>3610</v>
      </c>
      <c r="CE3287" t="s">
        <v>96</v>
      </c>
      <c r="CF3287" s="3">
        <v>45804</v>
      </c>
      <c r="CI3287">
        <v>1</v>
      </c>
      <c r="CJ3287">
        <v>1</v>
      </c>
      <c r="CK3287">
        <v>21</v>
      </c>
      <c r="CL3287" t="s">
        <v>89</v>
      </c>
    </row>
    <row r="3288" spans="1:90" x14ac:dyDescent="0.3">
      <c r="A3288" t="s">
        <v>72</v>
      </c>
      <c r="B3288" t="s">
        <v>73</v>
      </c>
      <c r="C3288" t="s">
        <v>74</v>
      </c>
      <c r="E3288" t="str">
        <f>"080065561435"</f>
        <v>080065561435</v>
      </c>
      <c r="F3288" s="3">
        <v>45803</v>
      </c>
      <c r="G3288">
        <v>202602</v>
      </c>
      <c r="H3288" t="s">
        <v>75</v>
      </c>
      <c r="I3288" t="s">
        <v>76</v>
      </c>
      <c r="J3288" t="s">
        <v>77</v>
      </c>
      <c r="K3288" t="s">
        <v>78</v>
      </c>
      <c r="L3288" t="s">
        <v>123</v>
      </c>
      <c r="M3288" t="s">
        <v>123</v>
      </c>
      <c r="N3288" t="s">
        <v>317</v>
      </c>
      <c r="O3288" t="s">
        <v>82</v>
      </c>
      <c r="P3288" t="str">
        <f>"4170040615                    "</f>
        <v xml:space="preserve">4170040615                    </v>
      </c>
      <c r="Q3288">
        <v>0</v>
      </c>
      <c r="R3288">
        <v>0</v>
      </c>
      <c r="S3288">
        <v>0</v>
      </c>
      <c r="T3288">
        <v>0</v>
      </c>
      <c r="U3288">
        <v>0</v>
      </c>
      <c r="V3288">
        <v>0</v>
      </c>
      <c r="W3288">
        <v>0</v>
      </c>
      <c r="X3288">
        <v>0</v>
      </c>
      <c r="Y3288">
        <v>0</v>
      </c>
      <c r="Z3288">
        <v>0</v>
      </c>
      <c r="AA3288">
        <v>0</v>
      </c>
      <c r="AB3288">
        <v>0</v>
      </c>
      <c r="AC3288">
        <v>0</v>
      </c>
      <c r="AD3288">
        <v>0</v>
      </c>
      <c r="AE3288">
        <v>0</v>
      </c>
      <c r="AF3288">
        <v>0</v>
      </c>
      <c r="AG3288">
        <v>0</v>
      </c>
      <c r="AH3288">
        <v>0</v>
      </c>
      <c r="AI3288">
        <v>0</v>
      </c>
      <c r="AJ3288">
        <v>0</v>
      </c>
      <c r="AK3288">
        <v>0</v>
      </c>
      <c r="AL3288">
        <v>0</v>
      </c>
      <c r="AM3288">
        <v>0</v>
      </c>
      <c r="AN3288">
        <v>0</v>
      </c>
      <c r="AO3288">
        <v>0</v>
      </c>
      <c r="AP3288">
        <v>0</v>
      </c>
      <c r="AQ3288">
        <v>41.43</v>
      </c>
      <c r="AR3288">
        <v>0</v>
      </c>
      <c r="AS3288">
        <v>0</v>
      </c>
      <c r="AT3288">
        <v>0</v>
      </c>
      <c r="AU3288">
        <v>0</v>
      </c>
      <c r="AV3288">
        <v>0</v>
      </c>
      <c r="AW3288">
        <v>0</v>
      </c>
      <c r="AX3288">
        <v>0</v>
      </c>
      <c r="AY3288">
        <v>0</v>
      </c>
      <c r="AZ3288">
        <v>0</v>
      </c>
      <c r="BA3288">
        <v>0</v>
      </c>
      <c r="BB3288">
        <v>0</v>
      </c>
      <c r="BC3288">
        <v>0</v>
      </c>
      <c r="BD3288">
        <v>0</v>
      </c>
      <c r="BE3288">
        <v>0</v>
      </c>
      <c r="BF3288">
        <v>0</v>
      </c>
      <c r="BG3288">
        <v>0</v>
      </c>
      <c r="BH3288">
        <v>1</v>
      </c>
      <c r="BI3288">
        <v>2</v>
      </c>
      <c r="BJ3288">
        <v>1.4</v>
      </c>
      <c r="BK3288">
        <v>2</v>
      </c>
      <c r="BL3288">
        <v>135.59</v>
      </c>
      <c r="BM3288">
        <v>20.34</v>
      </c>
      <c r="BN3288">
        <v>155.93</v>
      </c>
      <c r="BO3288">
        <v>155.93</v>
      </c>
      <c r="BQ3288" t="s">
        <v>318</v>
      </c>
      <c r="BR3288" t="s">
        <v>84</v>
      </c>
      <c r="BS3288" s="3">
        <v>45804</v>
      </c>
      <c r="BT3288" s="4">
        <v>0.53749999999999998</v>
      </c>
      <c r="BU3288" t="s">
        <v>319</v>
      </c>
      <c r="BV3288" t="s">
        <v>86</v>
      </c>
      <c r="BY3288">
        <v>7000</v>
      </c>
      <c r="CA3288" t="s">
        <v>128</v>
      </c>
      <c r="CC3288" t="s">
        <v>123</v>
      </c>
      <c r="CD3288">
        <v>7646</v>
      </c>
      <c r="CE3288" t="s">
        <v>96</v>
      </c>
      <c r="CF3288" s="3">
        <v>45805</v>
      </c>
      <c r="CI3288">
        <v>1</v>
      </c>
      <c r="CJ3288">
        <v>1</v>
      </c>
      <c r="CK3288">
        <v>23</v>
      </c>
      <c r="CL3288" t="s">
        <v>89</v>
      </c>
    </row>
    <row r="3289" spans="1:90" x14ac:dyDescent="0.3">
      <c r="A3289" t="s">
        <v>72</v>
      </c>
      <c r="B3289" t="s">
        <v>73</v>
      </c>
      <c r="C3289" t="s">
        <v>74</v>
      </c>
      <c r="E3289" t="str">
        <f>"080065561496"</f>
        <v>080065561496</v>
      </c>
      <c r="F3289" s="3">
        <v>45803</v>
      </c>
      <c r="G3289">
        <v>202602</v>
      </c>
      <c r="H3289" t="s">
        <v>75</v>
      </c>
      <c r="I3289" t="s">
        <v>76</v>
      </c>
      <c r="J3289" t="s">
        <v>77</v>
      </c>
      <c r="K3289" t="s">
        <v>78</v>
      </c>
      <c r="L3289" t="s">
        <v>1503</v>
      </c>
      <c r="M3289" t="s">
        <v>1504</v>
      </c>
      <c r="N3289" t="s">
        <v>3143</v>
      </c>
      <c r="O3289" t="s">
        <v>82</v>
      </c>
      <c r="P3289" t="str">
        <f>"4170040655                    "</f>
        <v xml:space="preserve">4170040655                    </v>
      </c>
      <c r="Q3289">
        <v>0</v>
      </c>
      <c r="R3289">
        <v>0</v>
      </c>
      <c r="S3289">
        <v>0</v>
      </c>
      <c r="T3289">
        <v>0</v>
      </c>
      <c r="U3289">
        <v>0</v>
      </c>
      <c r="V3289">
        <v>0</v>
      </c>
      <c r="W3289">
        <v>0</v>
      </c>
      <c r="X3289">
        <v>0</v>
      </c>
      <c r="Y3289">
        <v>0</v>
      </c>
      <c r="Z3289">
        <v>0</v>
      </c>
      <c r="AA3289">
        <v>0</v>
      </c>
      <c r="AB3289">
        <v>0</v>
      </c>
      <c r="AC3289">
        <v>0</v>
      </c>
      <c r="AD3289">
        <v>0</v>
      </c>
      <c r="AE3289">
        <v>0</v>
      </c>
      <c r="AF3289">
        <v>0</v>
      </c>
      <c r="AG3289">
        <v>0</v>
      </c>
      <c r="AH3289">
        <v>0</v>
      </c>
      <c r="AI3289">
        <v>0</v>
      </c>
      <c r="AJ3289">
        <v>0</v>
      </c>
      <c r="AK3289">
        <v>0</v>
      </c>
      <c r="AL3289">
        <v>0</v>
      </c>
      <c r="AM3289">
        <v>0</v>
      </c>
      <c r="AN3289">
        <v>0</v>
      </c>
      <c r="AO3289">
        <v>0</v>
      </c>
      <c r="AP3289">
        <v>0</v>
      </c>
      <c r="AQ3289">
        <v>41.43</v>
      </c>
      <c r="AR3289">
        <v>0</v>
      </c>
      <c r="AS3289">
        <v>0</v>
      </c>
      <c r="AT3289">
        <v>0</v>
      </c>
      <c r="AU3289">
        <v>0</v>
      </c>
      <c r="AV3289">
        <v>0</v>
      </c>
      <c r="AW3289">
        <v>0</v>
      </c>
      <c r="AX3289">
        <v>0</v>
      </c>
      <c r="AY3289">
        <v>0</v>
      </c>
      <c r="AZ3289">
        <v>0</v>
      </c>
      <c r="BA3289">
        <v>0</v>
      </c>
      <c r="BB3289">
        <v>0</v>
      </c>
      <c r="BC3289">
        <v>0</v>
      </c>
      <c r="BD3289">
        <v>0</v>
      </c>
      <c r="BE3289">
        <v>0</v>
      </c>
      <c r="BF3289">
        <v>0</v>
      </c>
      <c r="BG3289">
        <v>0</v>
      </c>
      <c r="BH3289">
        <v>1</v>
      </c>
      <c r="BI3289">
        <v>2</v>
      </c>
      <c r="BJ3289">
        <v>1.4</v>
      </c>
      <c r="BK3289">
        <v>2</v>
      </c>
      <c r="BL3289">
        <v>135.59</v>
      </c>
      <c r="BM3289">
        <v>20.34</v>
      </c>
      <c r="BN3289">
        <v>155.93</v>
      </c>
      <c r="BO3289">
        <v>155.93</v>
      </c>
      <c r="BQ3289" t="s">
        <v>3144</v>
      </c>
      <c r="BR3289" t="s">
        <v>84</v>
      </c>
      <c r="BS3289" s="3">
        <v>45804</v>
      </c>
      <c r="BT3289" s="4">
        <v>0.39583333333333331</v>
      </c>
      <c r="BU3289" t="s">
        <v>3145</v>
      </c>
      <c r="BV3289" t="s">
        <v>86</v>
      </c>
      <c r="BY3289">
        <v>7000</v>
      </c>
      <c r="CA3289" t="s">
        <v>2538</v>
      </c>
      <c r="CC3289" t="s">
        <v>1504</v>
      </c>
      <c r="CD3289">
        <v>4339</v>
      </c>
      <c r="CE3289" t="s">
        <v>96</v>
      </c>
      <c r="CF3289" s="3">
        <v>45804</v>
      </c>
      <c r="CI3289">
        <v>1</v>
      </c>
      <c r="CJ3289">
        <v>1</v>
      </c>
      <c r="CK3289">
        <v>23</v>
      </c>
      <c r="CL3289" t="s">
        <v>89</v>
      </c>
    </row>
    <row r="3290" spans="1:90" x14ac:dyDescent="0.3">
      <c r="A3290" t="s">
        <v>72</v>
      </c>
      <c r="B3290" t="s">
        <v>73</v>
      </c>
      <c r="C3290" t="s">
        <v>74</v>
      </c>
      <c r="E3290" t="str">
        <f>"080065561564"</f>
        <v>080065561564</v>
      </c>
      <c r="F3290" s="3">
        <v>45803</v>
      </c>
      <c r="G3290">
        <v>202602</v>
      </c>
      <c r="H3290" t="s">
        <v>75</v>
      </c>
      <c r="I3290" t="s">
        <v>76</v>
      </c>
      <c r="J3290" t="s">
        <v>77</v>
      </c>
      <c r="K3290" t="s">
        <v>78</v>
      </c>
      <c r="L3290" t="s">
        <v>103</v>
      </c>
      <c r="M3290" t="s">
        <v>104</v>
      </c>
      <c r="N3290" t="s">
        <v>105</v>
      </c>
      <c r="O3290" t="s">
        <v>82</v>
      </c>
      <c r="P3290" t="str">
        <f>"4170040541                    "</f>
        <v xml:space="preserve">4170040541                    </v>
      </c>
      <c r="Q3290">
        <v>0</v>
      </c>
      <c r="R3290">
        <v>0</v>
      </c>
      <c r="S3290">
        <v>0</v>
      </c>
      <c r="T3290">
        <v>0</v>
      </c>
      <c r="U3290">
        <v>0</v>
      </c>
      <c r="V3290">
        <v>0</v>
      </c>
      <c r="W3290">
        <v>0</v>
      </c>
      <c r="X3290">
        <v>0</v>
      </c>
      <c r="Y3290">
        <v>0</v>
      </c>
      <c r="Z3290">
        <v>0</v>
      </c>
      <c r="AA3290">
        <v>0</v>
      </c>
      <c r="AB3290">
        <v>0</v>
      </c>
      <c r="AC3290">
        <v>0</v>
      </c>
      <c r="AD3290">
        <v>0</v>
      </c>
      <c r="AE3290">
        <v>0</v>
      </c>
      <c r="AF3290">
        <v>0</v>
      </c>
      <c r="AG3290">
        <v>0</v>
      </c>
      <c r="AH3290">
        <v>0</v>
      </c>
      <c r="AI3290">
        <v>0</v>
      </c>
      <c r="AJ3290">
        <v>0</v>
      </c>
      <c r="AK3290">
        <v>0</v>
      </c>
      <c r="AL3290">
        <v>0</v>
      </c>
      <c r="AM3290">
        <v>0</v>
      </c>
      <c r="AN3290">
        <v>0</v>
      </c>
      <c r="AO3290">
        <v>0</v>
      </c>
      <c r="AP3290">
        <v>0</v>
      </c>
      <c r="AQ3290">
        <v>21.38</v>
      </c>
      <c r="AR3290">
        <v>0</v>
      </c>
      <c r="AS3290">
        <v>0</v>
      </c>
      <c r="AT3290">
        <v>0</v>
      </c>
      <c r="AU3290">
        <v>0</v>
      </c>
      <c r="AV3290">
        <v>0</v>
      </c>
      <c r="AW3290">
        <v>0</v>
      </c>
      <c r="AX3290">
        <v>0</v>
      </c>
      <c r="AY3290">
        <v>0</v>
      </c>
      <c r="AZ3290">
        <v>0</v>
      </c>
      <c r="BA3290">
        <v>0</v>
      </c>
      <c r="BB3290">
        <v>0</v>
      </c>
      <c r="BC3290">
        <v>0</v>
      </c>
      <c r="BD3290">
        <v>0</v>
      </c>
      <c r="BE3290">
        <v>0</v>
      </c>
      <c r="BF3290">
        <v>0</v>
      </c>
      <c r="BG3290">
        <v>0</v>
      </c>
      <c r="BH3290">
        <v>1</v>
      </c>
      <c r="BI3290">
        <v>2</v>
      </c>
      <c r="BJ3290">
        <v>1.7</v>
      </c>
      <c r="BK3290">
        <v>2</v>
      </c>
      <c r="BL3290">
        <v>69.98</v>
      </c>
      <c r="BM3290">
        <v>10.5</v>
      </c>
      <c r="BN3290">
        <v>80.48</v>
      </c>
      <c r="BO3290">
        <v>80.48</v>
      </c>
      <c r="BQ3290" t="s">
        <v>106</v>
      </c>
      <c r="BR3290" t="s">
        <v>84</v>
      </c>
      <c r="BS3290" s="3">
        <v>45804</v>
      </c>
      <c r="BT3290" s="4">
        <v>0.41666666666666669</v>
      </c>
      <c r="BU3290" t="s">
        <v>430</v>
      </c>
      <c r="BV3290" t="s">
        <v>86</v>
      </c>
      <c r="BY3290">
        <v>8512</v>
      </c>
      <c r="CA3290" t="s">
        <v>108</v>
      </c>
      <c r="CC3290" t="s">
        <v>104</v>
      </c>
      <c r="CD3290">
        <v>3201</v>
      </c>
      <c r="CE3290" t="s">
        <v>116</v>
      </c>
      <c r="CF3290" s="3">
        <v>45804</v>
      </c>
      <c r="CI3290">
        <v>1</v>
      </c>
      <c r="CJ3290">
        <v>1</v>
      </c>
      <c r="CK3290">
        <v>21</v>
      </c>
      <c r="CL3290" t="s">
        <v>89</v>
      </c>
    </row>
    <row r="3291" spans="1:90" x14ac:dyDescent="0.3">
      <c r="A3291" t="s">
        <v>72</v>
      </c>
      <c r="B3291" t="s">
        <v>73</v>
      </c>
      <c r="C3291" t="s">
        <v>74</v>
      </c>
      <c r="E3291" t="str">
        <f>"080065561896"</f>
        <v>080065561896</v>
      </c>
      <c r="F3291" s="3">
        <v>45803</v>
      </c>
      <c r="G3291">
        <v>202602</v>
      </c>
      <c r="H3291" t="s">
        <v>75</v>
      </c>
      <c r="I3291" t="s">
        <v>76</v>
      </c>
      <c r="J3291" t="s">
        <v>77</v>
      </c>
      <c r="K3291" t="s">
        <v>78</v>
      </c>
      <c r="L3291" t="s">
        <v>79</v>
      </c>
      <c r="M3291" t="s">
        <v>80</v>
      </c>
      <c r="N3291" t="s">
        <v>2154</v>
      </c>
      <c r="O3291" t="s">
        <v>82</v>
      </c>
      <c r="P3291" t="str">
        <f>"4170040636                    "</f>
        <v xml:space="preserve">4170040636                    </v>
      </c>
      <c r="Q3291">
        <v>0</v>
      </c>
      <c r="R3291">
        <v>0</v>
      </c>
      <c r="S3291">
        <v>0</v>
      </c>
      <c r="T3291">
        <v>0</v>
      </c>
      <c r="U3291">
        <v>0</v>
      </c>
      <c r="V3291">
        <v>0</v>
      </c>
      <c r="W3291">
        <v>0</v>
      </c>
      <c r="X3291">
        <v>0</v>
      </c>
      <c r="Y3291">
        <v>0</v>
      </c>
      <c r="Z3291">
        <v>0</v>
      </c>
      <c r="AA3291">
        <v>0</v>
      </c>
      <c r="AB3291">
        <v>0</v>
      </c>
      <c r="AC3291">
        <v>0</v>
      </c>
      <c r="AD3291">
        <v>0</v>
      </c>
      <c r="AE3291">
        <v>0</v>
      </c>
      <c r="AF3291">
        <v>0</v>
      </c>
      <c r="AG3291">
        <v>0</v>
      </c>
      <c r="AH3291">
        <v>0</v>
      </c>
      <c r="AI3291">
        <v>0</v>
      </c>
      <c r="AJ3291">
        <v>0</v>
      </c>
      <c r="AK3291">
        <v>0</v>
      </c>
      <c r="AL3291">
        <v>0</v>
      </c>
      <c r="AM3291">
        <v>0</v>
      </c>
      <c r="AN3291">
        <v>0</v>
      </c>
      <c r="AO3291">
        <v>0</v>
      </c>
      <c r="AP3291">
        <v>0</v>
      </c>
      <c r="AQ3291">
        <v>21.38</v>
      </c>
      <c r="AR3291">
        <v>0</v>
      </c>
      <c r="AS3291">
        <v>0</v>
      </c>
      <c r="AT3291">
        <v>0</v>
      </c>
      <c r="AU3291">
        <v>0</v>
      </c>
      <c r="AV3291">
        <v>0</v>
      </c>
      <c r="AW3291">
        <v>0</v>
      </c>
      <c r="AX3291">
        <v>0</v>
      </c>
      <c r="AY3291">
        <v>0</v>
      </c>
      <c r="AZ3291">
        <v>0</v>
      </c>
      <c r="BA3291">
        <v>0</v>
      </c>
      <c r="BB3291">
        <v>0</v>
      </c>
      <c r="BC3291">
        <v>0</v>
      </c>
      <c r="BD3291">
        <v>0</v>
      </c>
      <c r="BE3291">
        <v>0</v>
      </c>
      <c r="BF3291">
        <v>0</v>
      </c>
      <c r="BG3291">
        <v>0</v>
      </c>
      <c r="BH3291">
        <v>1</v>
      </c>
      <c r="BI3291">
        <v>1</v>
      </c>
      <c r="BJ3291">
        <v>0.2</v>
      </c>
      <c r="BK3291">
        <v>1</v>
      </c>
      <c r="BL3291">
        <v>69.98</v>
      </c>
      <c r="BM3291">
        <v>10.5</v>
      </c>
      <c r="BN3291">
        <v>80.48</v>
      </c>
      <c r="BO3291">
        <v>80.48</v>
      </c>
      <c r="BQ3291" t="s">
        <v>2155</v>
      </c>
      <c r="BR3291" t="s">
        <v>84</v>
      </c>
      <c r="BS3291" s="3">
        <v>45804</v>
      </c>
      <c r="BT3291" s="4">
        <v>0.4375</v>
      </c>
      <c r="BU3291" t="s">
        <v>3146</v>
      </c>
      <c r="BV3291" t="s">
        <v>86</v>
      </c>
      <c r="BY3291">
        <v>1200</v>
      </c>
      <c r="CA3291" t="s">
        <v>87</v>
      </c>
      <c r="CC3291" t="s">
        <v>80</v>
      </c>
      <c r="CD3291">
        <v>3600</v>
      </c>
      <c r="CE3291" t="s">
        <v>88</v>
      </c>
      <c r="CF3291" s="3">
        <v>45804</v>
      </c>
      <c r="CI3291">
        <v>1</v>
      </c>
      <c r="CJ3291">
        <v>1</v>
      </c>
      <c r="CK3291">
        <v>21</v>
      </c>
      <c r="CL3291" t="s">
        <v>89</v>
      </c>
    </row>
    <row r="3292" spans="1:90" x14ac:dyDescent="0.3">
      <c r="A3292" t="s">
        <v>72</v>
      </c>
      <c r="B3292" t="s">
        <v>73</v>
      </c>
      <c r="C3292" t="s">
        <v>74</v>
      </c>
      <c r="E3292" t="str">
        <f>"080065561924"</f>
        <v>080065561924</v>
      </c>
      <c r="F3292" s="3">
        <v>45803</v>
      </c>
      <c r="G3292">
        <v>202602</v>
      </c>
      <c r="H3292" t="s">
        <v>75</v>
      </c>
      <c r="I3292" t="s">
        <v>76</v>
      </c>
      <c r="J3292" t="s">
        <v>77</v>
      </c>
      <c r="K3292" t="s">
        <v>78</v>
      </c>
      <c r="L3292" t="s">
        <v>103</v>
      </c>
      <c r="M3292" t="s">
        <v>104</v>
      </c>
      <c r="N3292" t="s">
        <v>633</v>
      </c>
      <c r="O3292" t="s">
        <v>82</v>
      </c>
      <c r="P3292" t="str">
        <f>"4170040561                    "</f>
        <v xml:space="preserve">4170040561                    </v>
      </c>
      <c r="Q3292">
        <v>0</v>
      </c>
      <c r="R3292">
        <v>0</v>
      </c>
      <c r="S3292">
        <v>0</v>
      </c>
      <c r="T3292">
        <v>0</v>
      </c>
      <c r="U3292">
        <v>0</v>
      </c>
      <c r="V3292">
        <v>0</v>
      </c>
      <c r="W3292">
        <v>0</v>
      </c>
      <c r="X3292">
        <v>0</v>
      </c>
      <c r="Y3292">
        <v>0</v>
      </c>
      <c r="Z3292">
        <v>0</v>
      </c>
      <c r="AA3292">
        <v>0</v>
      </c>
      <c r="AB3292">
        <v>0</v>
      </c>
      <c r="AC3292">
        <v>0</v>
      </c>
      <c r="AD3292">
        <v>0</v>
      </c>
      <c r="AE3292">
        <v>0</v>
      </c>
      <c r="AF3292">
        <v>0</v>
      </c>
      <c r="AG3292">
        <v>0</v>
      </c>
      <c r="AH3292">
        <v>0</v>
      </c>
      <c r="AI3292">
        <v>0</v>
      </c>
      <c r="AJ3292">
        <v>0</v>
      </c>
      <c r="AK3292">
        <v>0</v>
      </c>
      <c r="AL3292">
        <v>0</v>
      </c>
      <c r="AM3292">
        <v>0</v>
      </c>
      <c r="AN3292">
        <v>0</v>
      </c>
      <c r="AO3292">
        <v>0</v>
      </c>
      <c r="AP3292">
        <v>0</v>
      </c>
      <c r="AQ3292">
        <v>21.38</v>
      </c>
      <c r="AR3292">
        <v>0</v>
      </c>
      <c r="AS3292">
        <v>0</v>
      </c>
      <c r="AT3292">
        <v>0</v>
      </c>
      <c r="AU3292">
        <v>0</v>
      </c>
      <c r="AV3292">
        <v>0</v>
      </c>
      <c r="AW3292">
        <v>0</v>
      </c>
      <c r="AX3292">
        <v>0</v>
      </c>
      <c r="AY3292">
        <v>0</v>
      </c>
      <c r="AZ3292">
        <v>0</v>
      </c>
      <c r="BA3292">
        <v>0</v>
      </c>
      <c r="BB3292">
        <v>0</v>
      </c>
      <c r="BC3292">
        <v>0</v>
      </c>
      <c r="BD3292">
        <v>0</v>
      </c>
      <c r="BE3292">
        <v>0</v>
      </c>
      <c r="BF3292">
        <v>0</v>
      </c>
      <c r="BG3292">
        <v>0</v>
      </c>
      <c r="BH3292">
        <v>1</v>
      </c>
      <c r="BI3292">
        <v>1</v>
      </c>
      <c r="BJ3292">
        <v>0.2</v>
      </c>
      <c r="BK3292">
        <v>1</v>
      </c>
      <c r="BL3292">
        <v>69.98</v>
      </c>
      <c r="BM3292">
        <v>10.5</v>
      </c>
      <c r="BN3292">
        <v>80.48</v>
      </c>
      <c r="BO3292">
        <v>80.48</v>
      </c>
      <c r="BQ3292" t="s">
        <v>634</v>
      </c>
      <c r="BR3292" t="s">
        <v>84</v>
      </c>
      <c r="BS3292" s="3">
        <v>45804</v>
      </c>
      <c r="BT3292" s="4">
        <v>0.54513888888888884</v>
      </c>
      <c r="BU3292" t="s">
        <v>635</v>
      </c>
      <c r="BV3292" t="s">
        <v>86</v>
      </c>
      <c r="BY3292">
        <v>1200</v>
      </c>
      <c r="CA3292" t="s">
        <v>440</v>
      </c>
      <c r="CC3292" t="s">
        <v>104</v>
      </c>
      <c r="CD3292">
        <v>3212</v>
      </c>
      <c r="CE3292" t="s">
        <v>88</v>
      </c>
      <c r="CF3292" s="3">
        <v>45804</v>
      </c>
      <c r="CI3292">
        <v>2</v>
      </c>
      <c r="CJ3292">
        <v>1</v>
      </c>
      <c r="CK3292">
        <v>21</v>
      </c>
      <c r="CL3292" t="s">
        <v>89</v>
      </c>
    </row>
    <row r="3293" spans="1:90" x14ac:dyDescent="0.3">
      <c r="A3293" t="s">
        <v>72</v>
      </c>
      <c r="B3293" t="s">
        <v>73</v>
      </c>
      <c r="C3293" t="s">
        <v>74</v>
      </c>
      <c r="E3293" t="str">
        <f>"080065561932"</f>
        <v>080065561932</v>
      </c>
      <c r="F3293" s="3">
        <v>45803</v>
      </c>
      <c r="G3293">
        <v>202602</v>
      </c>
      <c r="H3293" t="s">
        <v>75</v>
      </c>
      <c r="I3293" t="s">
        <v>76</v>
      </c>
      <c r="J3293" t="s">
        <v>77</v>
      </c>
      <c r="K3293" t="s">
        <v>78</v>
      </c>
      <c r="L3293" t="s">
        <v>1099</v>
      </c>
      <c r="M3293" t="s">
        <v>1100</v>
      </c>
      <c r="N3293" t="s">
        <v>1287</v>
      </c>
      <c r="O3293" t="s">
        <v>82</v>
      </c>
      <c r="P3293" t="str">
        <f>"4170040607                    "</f>
        <v xml:space="preserve">4170040607                    </v>
      </c>
      <c r="Q3293">
        <v>0</v>
      </c>
      <c r="R3293">
        <v>0</v>
      </c>
      <c r="S3293">
        <v>0</v>
      </c>
      <c r="T3293">
        <v>0</v>
      </c>
      <c r="U3293">
        <v>0</v>
      </c>
      <c r="V3293">
        <v>0</v>
      </c>
      <c r="W3293">
        <v>0</v>
      </c>
      <c r="X3293">
        <v>0</v>
      </c>
      <c r="Y3293">
        <v>0</v>
      </c>
      <c r="Z3293">
        <v>0</v>
      </c>
      <c r="AA3293">
        <v>0</v>
      </c>
      <c r="AB3293">
        <v>0</v>
      </c>
      <c r="AC3293">
        <v>0</v>
      </c>
      <c r="AD3293">
        <v>0</v>
      </c>
      <c r="AE3293">
        <v>0</v>
      </c>
      <c r="AF3293">
        <v>0</v>
      </c>
      <c r="AG3293">
        <v>0</v>
      </c>
      <c r="AH3293">
        <v>0</v>
      </c>
      <c r="AI3293">
        <v>0</v>
      </c>
      <c r="AJ3293">
        <v>0</v>
      </c>
      <c r="AK3293">
        <v>0</v>
      </c>
      <c r="AL3293">
        <v>0</v>
      </c>
      <c r="AM3293">
        <v>0</v>
      </c>
      <c r="AN3293">
        <v>0</v>
      </c>
      <c r="AO3293">
        <v>0</v>
      </c>
      <c r="AP3293">
        <v>0</v>
      </c>
      <c r="AQ3293">
        <v>116.27</v>
      </c>
      <c r="AR3293">
        <v>0</v>
      </c>
      <c r="AS3293">
        <v>0</v>
      </c>
      <c r="AT3293">
        <v>0</v>
      </c>
      <c r="AU3293">
        <v>0</v>
      </c>
      <c r="AV3293">
        <v>0</v>
      </c>
      <c r="AW3293">
        <v>0</v>
      </c>
      <c r="AX3293">
        <v>0</v>
      </c>
      <c r="AY3293">
        <v>0</v>
      </c>
      <c r="AZ3293">
        <v>0</v>
      </c>
      <c r="BA3293">
        <v>0</v>
      </c>
      <c r="BB3293">
        <v>0</v>
      </c>
      <c r="BC3293">
        <v>0</v>
      </c>
      <c r="BD3293">
        <v>0</v>
      </c>
      <c r="BE3293">
        <v>0</v>
      </c>
      <c r="BF3293">
        <v>0</v>
      </c>
      <c r="BG3293">
        <v>0</v>
      </c>
      <c r="BH3293">
        <v>1</v>
      </c>
      <c r="BI3293">
        <v>6</v>
      </c>
      <c r="BJ3293">
        <v>3.7</v>
      </c>
      <c r="BK3293">
        <v>6</v>
      </c>
      <c r="BL3293">
        <v>380.51</v>
      </c>
      <c r="BM3293">
        <v>57.08</v>
      </c>
      <c r="BN3293">
        <v>437.59</v>
      </c>
      <c r="BO3293">
        <v>437.59</v>
      </c>
      <c r="BQ3293" t="s">
        <v>1288</v>
      </c>
      <c r="BR3293" t="s">
        <v>84</v>
      </c>
      <c r="BS3293" s="3">
        <v>45804</v>
      </c>
      <c r="BT3293" s="4">
        <v>0.39861111111111114</v>
      </c>
      <c r="BU3293" t="s">
        <v>3147</v>
      </c>
      <c r="BV3293" t="s">
        <v>86</v>
      </c>
      <c r="BY3293">
        <v>18480</v>
      </c>
      <c r="CA3293" t="s">
        <v>2693</v>
      </c>
      <c r="CC3293" t="s">
        <v>1100</v>
      </c>
      <c r="CD3293" s="5" t="s">
        <v>1291</v>
      </c>
      <c r="CE3293" t="s">
        <v>221</v>
      </c>
      <c r="CF3293" s="3">
        <v>45805</v>
      </c>
      <c r="CI3293">
        <v>1</v>
      </c>
      <c r="CJ3293">
        <v>1</v>
      </c>
      <c r="CK3293">
        <v>23</v>
      </c>
      <c r="CL3293" t="s">
        <v>89</v>
      </c>
    </row>
    <row r="3294" spans="1:90" x14ac:dyDescent="0.3">
      <c r="A3294" t="s">
        <v>72</v>
      </c>
      <c r="B3294" t="s">
        <v>73</v>
      </c>
      <c r="C3294" t="s">
        <v>74</v>
      </c>
      <c r="E3294" t="str">
        <f>"080065561950"</f>
        <v>080065561950</v>
      </c>
      <c r="F3294" s="3">
        <v>45803</v>
      </c>
      <c r="G3294">
        <v>202602</v>
      </c>
      <c r="H3294" t="s">
        <v>75</v>
      </c>
      <c r="I3294" t="s">
        <v>76</v>
      </c>
      <c r="J3294" t="s">
        <v>77</v>
      </c>
      <c r="K3294" t="s">
        <v>78</v>
      </c>
      <c r="L3294" t="s">
        <v>972</v>
      </c>
      <c r="M3294" t="s">
        <v>973</v>
      </c>
      <c r="N3294" t="s">
        <v>1744</v>
      </c>
      <c r="O3294" t="s">
        <v>82</v>
      </c>
      <c r="P3294" t="str">
        <f>"4170040639                    "</f>
        <v xml:space="preserve">4170040639                    </v>
      </c>
      <c r="Q3294">
        <v>0</v>
      </c>
      <c r="R3294">
        <v>0</v>
      </c>
      <c r="S3294">
        <v>0</v>
      </c>
      <c r="T3294">
        <v>0</v>
      </c>
      <c r="U3294">
        <v>0</v>
      </c>
      <c r="V3294">
        <v>0</v>
      </c>
      <c r="W3294">
        <v>0</v>
      </c>
      <c r="X3294">
        <v>0</v>
      </c>
      <c r="Y3294">
        <v>0</v>
      </c>
      <c r="Z3294">
        <v>0</v>
      </c>
      <c r="AA3294">
        <v>0</v>
      </c>
      <c r="AB3294">
        <v>0</v>
      </c>
      <c r="AC3294">
        <v>0</v>
      </c>
      <c r="AD3294">
        <v>0</v>
      </c>
      <c r="AE3294">
        <v>0</v>
      </c>
      <c r="AF3294">
        <v>0</v>
      </c>
      <c r="AG3294">
        <v>0</v>
      </c>
      <c r="AH3294">
        <v>0</v>
      </c>
      <c r="AI3294">
        <v>0</v>
      </c>
      <c r="AJ3294">
        <v>0</v>
      </c>
      <c r="AK3294">
        <v>0</v>
      </c>
      <c r="AL3294">
        <v>0</v>
      </c>
      <c r="AM3294">
        <v>0</v>
      </c>
      <c r="AN3294">
        <v>0</v>
      </c>
      <c r="AO3294">
        <v>0</v>
      </c>
      <c r="AP3294">
        <v>0</v>
      </c>
      <c r="AQ3294">
        <v>16.7</v>
      </c>
      <c r="AR3294">
        <v>0</v>
      </c>
      <c r="AS3294">
        <v>0</v>
      </c>
      <c r="AT3294">
        <v>0</v>
      </c>
      <c r="AU3294">
        <v>0</v>
      </c>
      <c r="AV3294">
        <v>0</v>
      </c>
      <c r="AW3294">
        <v>0</v>
      </c>
      <c r="AX3294">
        <v>0</v>
      </c>
      <c r="AY3294">
        <v>0</v>
      </c>
      <c r="AZ3294">
        <v>0</v>
      </c>
      <c r="BA3294">
        <v>0</v>
      </c>
      <c r="BB3294">
        <v>0</v>
      </c>
      <c r="BC3294">
        <v>0</v>
      </c>
      <c r="BD3294">
        <v>0</v>
      </c>
      <c r="BE3294">
        <v>0</v>
      </c>
      <c r="BF3294">
        <v>0</v>
      </c>
      <c r="BG3294">
        <v>0</v>
      </c>
      <c r="BH3294">
        <v>1</v>
      </c>
      <c r="BI3294">
        <v>1</v>
      </c>
      <c r="BJ3294">
        <v>0.2</v>
      </c>
      <c r="BK3294">
        <v>1</v>
      </c>
      <c r="BL3294">
        <v>54.66</v>
      </c>
      <c r="BM3294">
        <v>8.1999999999999993</v>
      </c>
      <c r="BN3294">
        <v>62.86</v>
      </c>
      <c r="BO3294">
        <v>62.86</v>
      </c>
      <c r="BQ3294" t="s">
        <v>1745</v>
      </c>
      <c r="BR3294" t="s">
        <v>84</v>
      </c>
      <c r="BS3294" s="3">
        <v>45804</v>
      </c>
      <c r="BT3294" s="4">
        <v>0.33888888888888891</v>
      </c>
      <c r="BU3294" t="s">
        <v>3148</v>
      </c>
      <c r="BV3294" t="s">
        <v>86</v>
      </c>
      <c r="BY3294">
        <v>1200</v>
      </c>
      <c r="CA3294" t="s">
        <v>3149</v>
      </c>
      <c r="CC3294" t="s">
        <v>973</v>
      </c>
      <c r="CD3294">
        <v>1709</v>
      </c>
      <c r="CE3294" t="s">
        <v>88</v>
      </c>
      <c r="CF3294" s="3">
        <v>45804</v>
      </c>
      <c r="CI3294">
        <v>1</v>
      </c>
      <c r="CJ3294">
        <v>1</v>
      </c>
      <c r="CK3294">
        <v>22</v>
      </c>
      <c r="CL3294" t="s">
        <v>89</v>
      </c>
    </row>
    <row r="3295" spans="1:90" x14ac:dyDescent="0.3">
      <c r="A3295" t="s">
        <v>72</v>
      </c>
      <c r="B3295" t="s">
        <v>73</v>
      </c>
      <c r="C3295" t="s">
        <v>74</v>
      </c>
      <c r="E3295" t="str">
        <f>"080065561973"</f>
        <v>080065561973</v>
      </c>
      <c r="F3295" s="3">
        <v>45803</v>
      </c>
      <c r="G3295">
        <v>202602</v>
      </c>
      <c r="H3295" t="s">
        <v>75</v>
      </c>
      <c r="I3295" t="s">
        <v>76</v>
      </c>
      <c r="J3295" t="s">
        <v>77</v>
      </c>
      <c r="K3295" t="s">
        <v>78</v>
      </c>
      <c r="L3295" t="s">
        <v>79</v>
      </c>
      <c r="M3295" t="s">
        <v>80</v>
      </c>
      <c r="N3295" t="s">
        <v>357</v>
      </c>
      <c r="O3295" t="s">
        <v>82</v>
      </c>
      <c r="P3295" t="str">
        <f>"4170040534                    "</f>
        <v xml:space="preserve">4170040534                    </v>
      </c>
      <c r="Q3295">
        <v>0</v>
      </c>
      <c r="R3295">
        <v>0</v>
      </c>
      <c r="S3295">
        <v>0</v>
      </c>
      <c r="T3295">
        <v>0</v>
      </c>
      <c r="U3295">
        <v>0</v>
      </c>
      <c r="V3295">
        <v>0</v>
      </c>
      <c r="W3295">
        <v>0</v>
      </c>
      <c r="X3295">
        <v>0</v>
      </c>
      <c r="Y3295">
        <v>0</v>
      </c>
      <c r="Z3295">
        <v>0</v>
      </c>
      <c r="AA3295">
        <v>0</v>
      </c>
      <c r="AB3295">
        <v>0</v>
      </c>
      <c r="AC3295">
        <v>0</v>
      </c>
      <c r="AD3295">
        <v>0</v>
      </c>
      <c r="AE3295">
        <v>0</v>
      </c>
      <c r="AF3295">
        <v>0</v>
      </c>
      <c r="AG3295">
        <v>0</v>
      </c>
      <c r="AH3295">
        <v>0</v>
      </c>
      <c r="AI3295">
        <v>0</v>
      </c>
      <c r="AJ3295">
        <v>0</v>
      </c>
      <c r="AK3295">
        <v>0</v>
      </c>
      <c r="AL3295">
        <v>0</v>
      </c>
      <c r="AM3295">
        <v>0</v>
      </c>
      <c r="AN3295">
        <v>0</v>
      </c>
      <c r="AO3295">
        <v>0</v>
      </c>
      <c r="AP3295">
        <v>0</v>
      </c>
      <c r="AQ3295">
        <v>64.12</v>
      </c>
      <c r="AR3295">
        <v>0</v>
      </c>
      <c r="AS3295">
        <v>0</v>
      </c>
      <c r="AT3295">
        <v>0</v>
      </c>
      <c r="AU3295">
        <v>0</v>
      </c>
      <c r="AV3295">
        <v>0</v>
      </c>
      <c r="AW3295">
        <v>0</v>
      </c>
      <c r="AX3295">
        <v>0</v>
      </c>
      <c r="AY3295">
        <v>0</v>
      </c>
      <c r="AZ3295">
        <v>0</v>
      </c>
      <c r="BA3295">
        <v>0</v>
      </c>
      <c r="BB3295">
        <v>0</v>
      </c>
      <c r="BC3295">
        <v>0</v>
      </c>
      <c r="BD3295">
        <v>0</v>
      </c>
      <c r="BE3295">
        <v>0</v>
      </c>
      <c r="BF3295">
        <v>0</v>
      </c>
      <c r="BG3295">
        <v>0</v>
      </c>
      <c r="BH3295">
        <v>1</v>
      </c>
      <c r="BI3295">
        <v>6</v>
      </c>
      <c r="BJ3295">
        <v>3.7</v>
      </c>
      <c r="BK3295">
        <v>6</v>
      </c>
      <c r="BL3295">
        <v>209.84</v>
      </c>
      <c r="BM3295">
        <v>31.48</v>
      </c>
      <c r="BN3295">
        <v>241.32</v>
      </c>
      <c r="BO3295">
        <v>241.32</v>
      </c>
      <c r="BQ3295" t="s">
        <v>358</v>
      </c>
      <c r="BR3295" t="s">
        <v>84</v>
      </c>
      <c r="BS3295" s="3">
        <v>45804</v>
      </c>
      <c r="BT3295" s="4">
        <v>0.43055555555555558</v>
      </c>
      <c r="BU3295" t="s">
        <v>3150</v>
      </c>
      <c r="BV3295" t="s">
        <v>86</v>
      </c>
      <c r="BY3295">
        <v>18480</v>
      </c>
      <c r="CA3295" t="s">
        <v>87</v>
      </c>
      <c r="CC3295" t="s">
        <v>80</v>
      </c>
      <c r="CD3295">
        <v>3608</v>
      </c>
      <c r="CE3295" t="s">
        <v>221</v>
      </c>
      <c r="CF3295" s="3">
        <v>45804</v>
      </c>
      <c r="CI3295">
        <v>1</v>
      </c>
      <c r="CJ3295">
        <v>1</v>
      </c>
      <c r="CK3295">
        <v>21</v>
      </c>
      <c r="CL3295" t="s">
        <v>89</v>
      </c>
    </row>
    <row r="3296" spans="1:90" x14ac:dyDescent="0.3">
      <c r="A3296" t="s">
        <v>72</v>
      </c>
      <c r="B3296" t="s">
        <v>73</v>
      </c>
      <c r="C3296" t="s">
        <v>74</v>
      </c>
      <c r="E3296" t="str">
        <f>"080065561976"</f>
        <v>080065561976</v>
      </c>
      <c r="F3296" s="3">
        <v>45803</v>
      </c>
      <c r="G3296">
        <v>202602</v>
      </c>
      <c r="H3296" t="s">
        <v>75</v>
      </c>
      <c r="I3296" t="s">
        <v>76</v>
      </c>
      <c r="J3296" t="s">
        <v>77</v>
      </c>
      <c r="K3296" t="s">
        <v>78</v>
      </c>
      <c r="L3296" t="s">
        <v>103</v>
      </c>
      <c r="M3296" t="s">
        <v>104</v>
      </c>
      <c r="N3296" t="s">
        <v>633</v>
      </c>
      <c r="O3296" t="s">
        <v>82</v>
      </c>
      <c r="P3296" t="str">
        <f>"4170040563                    "</f>
        <v xml:space="preserve">4170040563                    </v>
      </c>
      <c r="Q3296">
        <v>0</v>
      </c>
      <c r="R3296">
        <v>0</v>
      </c>
      <c r="S3296">
        <v>0</v>
      </c>
      <c r="T3296">
        <v>0</v>
      </c>
      <c r="U3296">
        <v>0</v>
      </c>
      <c r="V3296">
        <v>0</v>
      </c>
      <c r="W3296">
        <v>0</v>
      </c>
      <c r="X3296">
        <v>0</v>
      </c>
      <c r="Y3296">
        <v>0</v>
      </c>
      <c r="Z3296">
        <v>0</v>
      </c>
      <c r="AA3296">
        <v>0</v>
      </c>
      <c r="AB3296">
        <v>0</v>
      </c>
      <c r="AC3296">
        <v>0</v>
      </c>
      <c r="AD3296">
        <v>0</v>
      </c>
      <c r="AE3296">
        <v>0</v>
      </c>
      <c r="AF3296">
        <v>0</v>
      </c>
      <c r="AG3296">
        <v>0</v>
      </c>
      <c r="AH3296">
        <v>0</v>
      </c>
      <c r="AI3296">
        <v>0</v>
      </c>
      <c r="AJ3296">
        <v>0</v>
      </c>
      <c r="AK3296">
        <v>0</v>
      </c>
      <c r="AL3296">
        <v>0</v>
      </c>
      <c r="AM3296">
        <v>0</v>
      </c>
      <c r="AN3296">
        <v>0</v>
      </c>
      <c r="AO3296">
        <v>0</v>
      </c>
      <c r="AP3296">
        <v>0</v>
      </c>
      <c r="AQ3296">
        <v>21.38</v>
      </c>
      <c r="AR3296">
        <v>0</v>
      </c>
      <c r="AS3296">
        <v>0</v>
      </c>
      <c r="AT3296">
        <v>0</v>
      </c>
      <c r="AU3296">
        <v>0</v>
      </c>
      <c r="AV3296">
        <v>0</v>
      </c>
      <c r="AW3296">
        <v>0</v>
      </c>
      <c r="AX3296">
        <v>0</v>
      </c>
      <c r="AY3296">
        <v>0</v>
      </c>
      <c r="AZ3296">
        <v>0</v>
      </c>
      <c r="BA3296">
        <v>0</v>
      </c>
      <c r="BB3296">
        <v>0</v>
      </c>
      <c r="BC3296">
        <v>0</v>
      </c>
      <c r="BD3296">
        <v>0</v>
      </c>
      <c r="BE3296">
        <v>0</v>
      </c>
      <c r="BF3296">
        <v>0</v>
      </c>
      <c r="BG3296">
        <v>0</v>
      </c>
      <c r="BH3296">
        <v>1</v>
      </c>
      <c r="BI3296">
        <v>1</v>
      </c>
      <c r="BJ3296">
        <v>0.2</v>
      </c>
      <c r="BK3296">
        <v>1</v>
      </c>
      <c r="BL3296">
        <v>69.98</v>
      </c>
      <c r="BM3296">
        <v>10.5</v>
      </c>
      <c r="BN3296">
        <v>80.48</v>
      </c>
      <c r="BO3296">
        <v>80.48</v>
      </c>
      <c r="BQ3296" t="s">
        <v>634</v>
      </c>
      <c r="BR3296" t="s">
        <v>84</v>
      </c>
      <c r="BS3296" s="3">
        <v>45804</v>
      </c>
      <c r="BT3296" s="4">
        <v>0.49305555555555558</v>
      </c>
      <c r="BU3296" t="s">
        <v>635</v>
      </c>
      <c r="BV3296" t="s">
        <v>86</v>
      </c>
      <c r="BY3296">
        <v>1200</v>
      </c>
      <c r="CA3296" t="s">
        <v>440</v>
      </c>
      <c r="CC3296" t="s">
        <v>104</v>
      </c>
      <c r="CD3296">
        <v>3212</v>
      </c>
      <c r="CE3296" t="s">
        <v>88</v>
      </c>
      <c r="CF3296" s="3">
        <v>45804</v>
      </c>
      <c r="CI3296">
        <v>2</v>
      </c>
      <c r="CJ3296">
        <v>1</v>
      </c>
      <c r="CK3296">
        <v>21</v>
      </c>
      <c r="CL3296" t="s">
        <v>89</v>
      </c>
    </row>
    <row r="3297" spans="1:90" x14ac:dyDescent="0.3">
      <c r="A3297" t="s">
        <v>72</v>
      </c>
      <c r="B3297" t="s">
        <v>73</v>
      </c>
      <c r="C3297" t="s">
        <v>74</v>
      </c>
      <c r="E3297" t="str">
        <f>"080065562012"</f>
        <v>080065562012</v>
      </c>
      <c r="F3297" s="3">
        <v>45803</v>
      </c>
      <c r="G3297">
        <v>202602</v>
      </c>
      <c r="H3297" t="s">
        <v>75</v>
      </c>
      <c r="I3297" t="s">
        <v>76</v>
      </c>
      <c r="J3297" t="s">
        <v>77</v>
      </c>
      <c r="K3297" t="s">
        <v>78</v>
      </c>
      <c r="L3297" t="s">
        <v>75</v>
      </c>
      <c r="M3297" t="s">
        <v>76</v>
      </c>
      <c r="N3297" t="s">
        <v>850</v>
      </c>
      <c r="O3297" t="s">
        <v>82</v>
      </c>
      <c r="P3297" t="str">
        <f>"4170040660                    "</f>
        <v xml:space="preserve">4170040660                    </v>
      </c>
      <c r="Q3297">
        <v>0</v>
      </c>
      <c r="R3297">
        <v>0</v>
      </c>
      <c r="S3297">
        <v>0</v>
      </c>
      <c r="T3297">
        <v>0</v>
      </c>
      <c r="U3297">
        <v>0</v>
      </c>
      <c r="V3297">
        <v>0</v>
      </c>
      <c r="W3297">
        <v>0</v>
      </c>
      <c r="X3297">
        <v>0</v>
      </c>
      <c r="Y3297">
        <v>0</v>
      </c>
      <c r="Z3297">
        <v>0</v>
      </c>
      <c r="AA3297">
        <v>0</v>
      </c>
      <c r="AB3297">
        <v>0</v>
      </c>
      <c r="AC3297">
        <v>0</v>
      </c>
      <c r="AD3297">
        <v>0</v>
      </c>
      <c r="AE3297">
        <v>0</v>
      </c>
      <c r="AF3297">
        <v>0</v>
      </c>
      <c r="AG3297">
        <v>0</v>
      </c>
      <c r="AH3297">
        <v>0</v>
      </c>
      <c r="AI3297">
        <v>0</v>
      </c>
      <c r="AJ3297">
        <v>0</v>
      </c>
      <c r="AK3297">
        <v>0</v>
      </c>
      <c r="AL3297">
        <v>0</v>
      </c>
      <c r="AM3297">
        <v>0</v>
      </c>
      <c r="AN3297">
        <v>0</v>
      </c>
      <c r="AO3297">
        <v>0</v>
      </c>
      <c r="AP3297">
        <v>0</v>
      </c>
      <c r="AQ3297">
        <v>16.7</v>
      </c>
      <c r="AR3297">
        <v>0</v>
      </c>
      <c r="AS3297">
        <v>0</v>
      </c>
      <c r="AT3297">
        <v>0</v>
      </c>
      <c r="AU3297">
        <v>0</v>
      </c>
      <c r="AV3297">
        <v>0</v>
      </c>
      <c r="AW3297">
        <v>0</v>
      </c>
      <c r="AX3297">
        <v>0</v>
      </c>
      <c r="AY3297">
        <v>0</v>
      </c>
      <c r="AZ3297">
        <v>0</v>
      </c>
      <c r="BA3297">
        <v>0</v>
      </c>
      <c r="BB3297">
        <v>0</v>
      </c>
      <c r="BC3297">
        <v>0</v>
      </c>
      <c r="BD3297">
        <v>0</v>
      </c>
      <c r="BE3297">
        <v>0</v>
      </c>
      <c r="BF3297">
        <v>0</v>
      </c>
      <c r="BG3297">
        <v>0</v>
      </c>
      <c r="BH3297">
        <v>1</v>
      </c>
      <c r="BI3297">
        <v>5</v>
      </c>
      <c r="BJ3297">
        <v>2.1</v>
      </c>
      <c r="BK3297">
        <v>5</v>
      </c>
      <c r="BL3297">
        <v>54.66</v>
      </c>
      <c r="BM3297">
        <v>8.1999999999999993</v>
      </c>
      <c r="BN3297">
        <v>62.86</v>
      </c>
      <c r="BO3297">
        <v>62.86</v>
      </c>
      <c r="BQ3297" t="s">
        <v>851</v>
      </c>
      <c r="BR3297" t="s">
        <v>84</v>
      </c>
      <c r="BS3297" s="3">
        <v>45804</v>
      </c>
      <c r="BT3297" s="4">
        <v>0.34375</v>
      </c>
      <c r="BU3297" t="s">
        <v>852</v>
      </c>
      <c r="BV3297" t="s">
        <v>86</v>
      </c>
      <c r="BY3297">
        <v>10560</v>
      </c>
      <c r="CA3297" t="s">
        <v>853</v>
      </c>
      <c r="CC3297" t="s">
        <v>76</v>
      </c>
      <c r="CD3297">
        <v>1666</v>
      </c>
      <c r="CE3297" t="s">
        <v>221</v>
      </c>
      <c r="CF3297" s="3">
        <v>45805</v>
      </c>
      <c r="CI3297">
        <v>1</v>
      </c>
      <c r="CJ3297">
        <v>1</v>
      </c>
      <c r="CK3297">
        <v>22</v>
      </c>
      <c r="CL3297" t="s">
        <v>89</v>
      </c>
    </row>
    <row r="3298" spans="1:90" x14ac:dyDescent="0.3">
      <c r="A3298" t="s">
        <v>72</v>
      </c>
      <c r="B3298" t="s">
        <v>73</v>
      </c>
      <c r="C3298" t="s">
        <v>74</v>
      </c>
      <c r="E3298" t="str">
        <f>"080065562015"</f>
        <v>080065562015</v>
      </c>
      <c r="F3298" s="3">
        <v>45803</v>
      </c>
      <c r="G3298">
        <v>202602</v>
      </c>
      <c r="H3298" t="s">
        <v>75</v>
      </c>
      <c r="I3298" t="s">
        <v>76</v>
      </c>
      <c r="J3298" t="s">
        <v>77</v>
      </c>
      <c r="K3298" t="s">
        <v>78</v>
      </c>
      <c r="L3298" t="s">
        <v>648</v>
      </c>
      <c r="M3298" t="s">
        <v>649</v>
      </c>
      <c r="N3298" t="s">
        <v>695</v>
      </c>
      <c r="O3298" t="s">
        <v>82</v>
      </c>
      <c r="P3298" t="str">
        <f>"4170040653                    "</f>
        <v xml:space="preserve">4170040653                    </v>
      </c>
      <c r="Q3298">
        <v>0</v>
      </c>
      <c r="R3298">
        <v>0</v>
      </c>
      <c r="S3298">
        <v>0</v>
      </c>
      <c r="T3298">
        <v>0</v>
      </c>
      <c r="U3298">
        <v>0</v>
      </c>
      <c r="V3298">
        <v>0</v>
      </c>
      <c r="W3298">
        <v>0</v>
      </c>
      <c r="X3298">
        <v>0</v>
      </c>
      <c r="Y3298">
        <v>0</v>
      </c>
      <c r="Z3298">
        <v>0</v>
      </c>
      <c r="AA3298">
        <v>0</v>
      </c>
      <c r="AB3298">
        <v>0</v>
      </c>
      <c r="AC3298">
        <v>0</v>
      </c>
      <c r="AD3298">
        <v>0</v>
      </c>
      <c r="AE3298">
        <v>0</v>
      </c>
      <c r="AF3298">
        <v>0</v>
      </c>
      <c r="AG3298">
        <v>0</v>
      </c>
      <c r="AH3298">
        <v>0</v>
      </c>
      <c r="AI3298">
        <v>0</v>
      </c>
      <c r="AJ3298">
        <v>0</v>
      </c>
      <c r="AK3298">
        <v>0</v>
      </c>
      <c r="AL3298">
        <v>0</v>
      </c>
      <c r="AM3298">
        <v>0</v>
      </c>
      <c r="AN3298">
        <v>0</v>
      </c>
      <c r="AO3298">
        <v>0</v>
      </c>
      <c r="AP3298">
        <v>0</v>
      </c>
      <c r="AQ3298">
        <v>16.7</v>
      </c>
      <c r="AR3298">
        <v>0</v>
      </c>
      <c r="AS3298">
        <v>0</v>
      </c>
      <c r="AT3298">
        <v>0</v>
      </c>
      <c r="AU3298">
        <v>0</v>
      </c>
      <c r="AV3298">
        <v>0</v>
      </c>
      <c r="AW3298">
        <v>0</v>
      </c>
      <c r="AX3298">
        <v>0</v>
      </c>
      <c r="AY3298">
        <v>0</v>
      </c>
      <c r="AZ3298">
        <v>0</v>
      </c>
      <c r="BA3298">
        <v>0</v>
      </c>
      <c r="BB3298">
        <v>0</v>
      </c>
      <c r="BC3298">
        <v>0</v>
      </c>
      <c r="BD3298">
        <v>0</v>
      </c>
      <c r="BE3298">
        <v>0</v>
      </c>
      <c r="BF3298">
        <v>0</v>
      </c>
      <c r="BG3298">
        <v>0</v>
      </c>
      <c r="BH3298">
        <v>1</v>
      </c>
      <c r="BI3298">
        <v>1</v>
      </c>
      <c r="BJ3298">
        <v>0.2</v>
      </c>
      <c r="BK3298">
        <v>1</v>
      </c>
      <c r="BL3298">
        <v>54.66</v>
      </c>
      <c r="BM3298">
        <v>8.1999999999999993</v>
      </c>
      <c r="BN3298">
        <v>62.86</v>
      </c>
      <c r="BO3298">
        <v>62.86</v>
      </c>
      <c r="BQ3298" t="s">
        <v>696</v>
      </c>
      <c r="BR3298" t="s">
        <v>84</v>
      </c>
      <c r="BS3298" s="3">
        <v>45804</v>
      </c>
      <c r="BT3298" s="4">
        <v>0.33333333333333331</v>
      </c>
      <c r="BU3298" t="s">
        <v>697</v>
      </c>
      <c r="BV3298" t="s">
        <v>86</v>
      </c>
      <c r="BY3298">
        <v>1200</v>
      </c>
      <c r="CA3298" t="s">
        <v>698</v>
      </c>
      <c r="CC3298" t="s">
        <v>649</v>
      </c>
      <c r="CD3298">
        <v>1559</v>
      </c>
      <c r="CE3298" t="s">
        <v>88</v>
      </c>
      <c r="CF3298" s="3">
        <v>45804</v>
      </c>
      <c r="CI3298">
        <v>1</v>
      </c>
      <c r="CJ3298">
        <v>1</v>
      </c>
      <c r="CK3298">
        <v>22</v>
      </c>
      <c r="CL3298" t="s">
        <v>89</v>
      </c>
    </row>
    <row r="3299" spans="1:90" x14ac:dyDescent="0.3">
      <c r="A3299" t="s">
        <v>72</v>
      </c>
      <c r="B3299" t="s">
        <v>73</v>
      </c>
      <c r="C3299" t="s">
        <v>74</v>
      </c>
      <c r="E3299" t="str">
        <f>"080065562048"</f>
        <v>080065562048</v>
      </c>
      <c r="F3299" s="3">
        <v>45803</v>
      </c>
      <c r="G3299">
        <v>202602</v>
      </c>
      <c r="H3299" t="s">
        <v>75</v>
      </c>
      <c r="I3299" t="s">
        <v>76</v>
      </c>
      <c r="J3299" t="s">
        <v>77</v>
      </c>
      <c r="K3299" t="s">
        <v>78</v>
      </c>
      <c r="L3299" t="s">
        <v>103</v>
      </c>
      <c r="M3299" t="s">
        <v>104</v>
      </c>
      <c r="N3299" t="s">
        <v>633</v>
      </c>
      <c r="O3299" t="s">
        <v>82</v>
      </c>
      <c r="P3299" t="str">
        <f>"4170040559                    "</f>
        <v xml:space="preserve">4170040559                    </v>
      </c>
      <c r="Q3299">
        <v>0</v>
      </c>
      <c r="R3299">
        <v>0</v>
      </c>
      <c r="S3299">
        <v>0</v>
      </c>
      <c r="T3299">
        <v>0</v>
      </c>
      <c r="U3299">
        <v>0</v>
      </c>
      <c r="V3299">
        <v>0</v>
      </c>
      <c r="W3299">
        <v>0</v>
      </c>
      <c r="X3299">
        <v>0</v>
      </c>
      <c r="Y3299">
        <v>0</v>
      </c>
      <c r="Z3299">
        <v>0</v>
      </c>
      <c r="AA3299">
        <v>0</v>
      </c>
      <c r="AB3299">
        <v>0</v>
      </c>
      <c r="AC3299">
        <v>0</v>
      </c>
      <c r="AD3299">
        <v>0</v>
      </c>
      <c r="AE3299">
        <v>0</v>
      </c>
      <c r="AF3299">
        <v>0</v>
      </c>
      <c r="AG3299">
        <v>0</v>
      </c>
      <c r="AH3299">
        <v>0</v>
      </c>
      <c r="AI3299">
        <v>0</v>
      </c>
      <c r="AJ3299">
        <v>0</v>
      </c>
      <c r="AK3299">
        <v>0</v>
      </c>
      <c r="AL3299">
        <v>0</v>
      </c>
      <c r="AM3299">
        <v>0</v>
      </c>
      <c r="AN3299">
        <v>0</v>
      </c>
      <c r="AO3299">
        <v>0</v>
      </c>
      <c r="AP3299">
        <v>0</v>
      </c>
      <c r="AQ3299">
        <v>21.38</v>
      </c>
      <c r="AR3299">
        <v>0</v>
      </c>
      <c r="AS3299">
        <v>0</v>
      </c>
      <c r="AT3299">
        <v>0</v>
      </c>
      <c r="AU3299">
        <v>0</v>
      </c>
      <c r="AV3299">
        <v>0</v>
      </c>
      <c r="AW3299">
        <v>0</v>
      </c>
      <c r="AX3299">
        <v>0</v>
      </c>
      <c r="AY3299">
        <v>0</v>
      </c>
      <c r="AZ3299">
        <v>0</v>
      </c>
      <c r="BA3299">
        <v>0</v>
      </c>
      <c r="BB3299">
        <v>0</v>
      </c>
      <c r="BC3299">
        <v>0</v>
      </c>
      <c r="BD3299">
        <v>0</v>
      </c>
      <c r="BE3299">
        <v>0</v>
      </c>
      <c r="BF3299">
        <v>0</v>
      </c>
      <c r="BG3299">
        <v>0</v>
      </c>
      <c r="BH3299">
        <v>1</v>
      </c>
      <c r="BI3299">
        <v>1</v>
      </c>
      <c r="BJ3299">
        <v>0.2</v>
      </c>
      <c r="BK3299">
        <v>1</v>
      </c>
      <c r="BL3299">
        <v>69.98</v>
      </c>
      <c r="BM3299">
        <v>10.5</v>
      </c>
      <c r="BN3299">
        <v>80.48</v>
      </c>
      <c r="BO3299">
        <v>80.48</v>
      </c>
      <c r="BQ3299" t="s">
        <v>634</v>
      </c>
      <c r="BR3299" t="s">
        <v>84</v>
      </c>
      <c r="BS3299" s="3">
        <v>45804</v>
      </c>
      <c r="BT3299" s="4">
        <v>0.49305555555555558</v>
      </c>
      <c r="BU3299" t="s">
        <v>635</v>
      </c>
      <c r="BV3299" t="s">
        <v>86</v>
      </c>
      <c r="BY3299">
        <v>1200</v>
      </c>
      <c r="CA3299" t="s">
        <v>440</v>
      </c>
      <c r="CC3299" t="s">
        <v>104</v>
      </c>
      <c r="CD3299">
        <v>3212</v>
      </c>
      <c r="CE3299" t="s">
        <v>88</v>
      </c>
      <c r="CF3299" s="3">
        <v>45804</v>
      </c>
      <c r="CI3299">
        <v>2</v>
      </c>
      <c r="CJ3299">
        <v>1</v>
      </c>
      <c r="CK3299">
        <v>21</v>
      </c>
      <c r="CL3299" t="s">
        <v>89</v>
      </c>
    </row>
    <row r="3300" spans="1:90" x14ac:dyDescent="0.3">
      <c r="A3300" t="s">
        <v>72</v>
      </c>
      <c r="B3300" t="s">
        <v>73</v>
      </c>
      <c r="C3300" t="s">
        <v>74</v>
      </c>
      <c r="E3300" t="str">
        <f>"080065562061"</f>
        <v>080065562061</v>
      </c>
      <c r="F3300" s="3">
        <v>45803</v>
      </c>
      <c r="G3300">
        <v>202602</v>
      </c>
      <c r="H3300" t="s">
        <v>75</v>
      </c>
      <c r="I3300" t="s">
        <v>76</v>
      </c>
      <c r="J3300" t="s">
        <v>77</v>
      </c>
      <c r="K3300" t="s">
        <v>78</v>
      </c>
      <c r="L3300" t="s">
        <v>90</v>
      </c>
      <c r="M3300" t="s">
        <v>91</v>
      </c>
      <c r="N3300" t="s">
        <v>563</v>
      </c>
      <c r="O3300" t="s">
        <v>82</v>
      </c>
      <c r="P3300" t="str">
        <f>"4170040635                    "</f>
        <v xml:space="preserve">4170040635                    </v>
      </c>
      <c r="Q3300">
        <v>0</v>
      </c>
      <c r="R3300">
        <v>0</v>
      </c>
      <c r="S3300">
        <v>0</v>
      </c>
      <c r="T3300">
        <v>0</v>
      </c>
      <c r="U3300">
        <v>0</v>
      </c>
      <c r="V3300">
        <v>0</v>
      </c>
      <c r="W3300">
        <v>0</v>
      </c>
      <c r="X3300">
        <v>0</v>
      </c>
      <c r="Y3300">
        <v>0</v>
      </c>
      <c r="Z3300">
        <v>0</v>
      </c>
      <c r="AA3300">
        <v>0</v>
      </c>
      <c r="AB3300">
        <v>0</v>
      </c>
      <c r="AC3300">
        <v>0</v>
      </c>
      <c r="AD3300">
        <v>0</v>
      </c>
      <c r="AE3300">
        <v>0</v>
      </c>
      <c r="AF3300">
        <v>0</v>
      </c>
      <c r="AG3300">
        <v>0</v>
      </c>
      <c r="AH3300">
        <v>0</v>
      </c>
      <c r="AI3300">
        <v>0</v>
      </c>
      <c r="AJ3300">
        <v>0</v>
      </c>
      <c r="AK3300">
        <v>0</v>
      </c>
      <c r="AL3300">
        <v>0</v>
      </c>
      <c r="AM3300">
        <v>0</v>
      </c>
      <c r="AN3300">
        <v>0</v>
      </c>
      <c r="AO3300">
        <v>0</v>
      </c>
      <c r="AP3300">
        <v>0</v>
      </c>
      <c r="AQ3300">
        <v>21.38</v>
      </c>
      <c r="AR3300">
        <v>0</v>
      </c>
      <c r="AS3300">
        <v>0</v>
      </c>
      <c r="AT3300">
        <v>0</v>
      </c>
      <c r="AU3300">
        <v>0</v>
      </c>
      <c r="AV3300">
        <v>0</v>
      </c>
      <c r="AW3300">
        <v>0</v>
      </c>
      <c r="AX3300">
        <v>0</v>
      </c>
      <c r="AY3300">
        <v>0</v>
      </c>
      <c r="AZ3300">
        <v>0</v>
      </c>
      <c r="BA3300">
        <v>0</v>
      </c>
      <c r="BB3300">
        <v>0</v>
      </c>
      <c r="BC3300">
        <v>0</v>
      </c>
      <c r="BD3300">
        <v>0</v>
      </c>
      <c r="BE3300">
        <v>0</v>
      </c>
      <c r="BF3300">
        <v>0</v>
      </c>
      <c r="BG3300">
        <v>0</v>
      </c>
      <c r="BH3300">
        <v>1</v>
      </c>
      <c r="BI3300">
        <v>1</v>
      </c>
      <c r="BJ3300">
        <v>1.9</v>
      </c>
      <c r="BK3300">
        <v>2</v>
      </c>
      <c r="BL3300">
        <v>69.98</v>
      </c>
      <c r="BM3300">
        <v>10.5</v>
      </c>
      <c r="BN3300">
        <v>80.48</v>
      </c>
      <c r="BO3300">
        <v>80.48</v>
      </c>
      <c r="BQ3300" t="s">
        <v>564</v>
      </c>
      <c r="BR3300" t="s">
        <v>84</v>
      </c>
      <c r="BS3300" s="3">
        <v>45804</v>
      </c>
      <c r="BT3300" s="4">
        <v>0.34305555555555556</v>
      </c>
      <c r="BU3300" t="s">
        <v>780</v>
      </c>
      <c r="BV3300" t="s">
        <v>86</v>
      </c>
      <c r="BY3300">
        <v>9600</v>
      </c>
      <c r="CA3300" t="s">
        <v>566</v>
      </c>
      <c r="CC3300" t="s">
        <v>91</v>
      </c>
      <c r="CD3300">
        <v>6001</v>
      </c>
      <c r="CE3300" t="s">
        <v>96</v>
      </c>
      <c r="CF3300" s="3">
        <v>45804</v>
      </c>
      <c r="CI3300">
        <v>1</v>
      </c>
      <c r="CJ3300">
        <v>1</v>
      </c>
      <c r="CK3300">
        <v>21</v>
      </c>
      <c r="CL3300" t="s">
        <v>89</v>
      </c>
    </row>
    <row r="3301" spans="1:90" x14ac:dyDescent="0.3">
      <c r="A3301" t="s">
        <v>72</v>
      </c>
      <c r="B3301" t="s">
        <v>73</v>
      </c>
      <c r="C3301" t="s">
        <v>74</v>
      </c>
      <c r="E3301" t="str">
        <f>"080065562088"</f>
        <v>080065562088</v>
      </c>
      <c r="F3301" s="3">
        <v>45803</v>
      </c>
      <c r="G3301">
        <v>202602</v>
      </c>
      <c r="H3301" t="s">
        <v>75</v>
      </c>
      <c r="I3301" t="s">
        <v>76</v>
      </c>
      <c r="J3301" t="s">
        <v>77</v>
      </c>
      <c r="K3301" t="s">
        <v>78</v>
      </c>
      <c r="L3301" t="s">
        <v>97</v>
      </c>
      <c r="M3301" t="s">
        <v>98</v>
      </c>
      <c r="N3301" t="s">
        <v>1599</v>
      </c>
      <c r="O3301" t="s">
        <v>82</v>
      </c>
      <c r="P3301" t="str">
        <f>"4170040651                    "</f>
        <v xml:space="preserve">4170040651                    </v>
      </c>
      <c r="Q3301">
        <v>0</v>
      </c>
      <c r="R3301">
        <v>0</v>
      </c>
      <c r="S3301">
        <v>0</v>
      </c>
      <c r="T3301">
        <v>0</v>
      </c>
      <c r="U3301">
        <v>0</v>
      </c>
      <c r="V3301">
        <v>0</v>
      </c>
      <c r="W3301">
        <v>0</v>
      </c>
      <c r="X3301">
        <v>0</v>
      </c>
      <c r="Y3301">
        <v>0</v>
      </c>
      <c r="Z3301">
        <v>0</v>
      </c>
      <c r="AA3301">
        <v>0</v>
      </c>
      <c r="AB3301">
        <v>0</v>
      </c>
      <c r="AC3301">
        <v>0</v>
      </c>
      <c r="AD3301">
        <v>0</v>
      </c>
      <c r="AE3301">
        <v>0</v>
      </c>
      <c r="AF3301">
        <v>0</v>
      </c>
      <c r="AG3301">
        <v>0</v>
      </c>
      <c r="AH3301">
        <v>0</v>
      </c>
      <c r="AI3301">
        <v>0</v>
      </c>
      <c r="AJ3301">
        <v>0</v>
      </c>
      <c r="AK3301">
        <v>0</v>
      </c>
      <c r="AL3301">
        <v>0</v>
      </c>
      <c r="AM3301">
        <v>0</v>
      </c>
      <c r="AN3301">
        <v>0</v>
      </c>
      <c r="AO3301">
        <v>0</v>
      </c>
      <c r="AP3301">
        <v>0</v>
      </c>
      <c r="AQ3301">
        <v>16.7</v>
      </c>
      <c r="AR3301">
        <v>0</v>
      </c>
      <c r="AS3301">
        <v>0</v>
      </c>
      <c r="AT3301">
        <v>0</v>
      </c>
      <c r="AU3301">
        <v>0</v>
      </c>
      <c r="AV3301">
        <v>0</v>
      </c>
      <c r="AW3301">
        <v>0</v>
      </c>
      <c r="AX3301">
        <v>0</v>
      </c>
      <c r="AY3301">
        <v>0</v>
      </c>
      <c r="AZ3301">
        <v>0</v>
      </c>
      <c r="BA3301">
        <v>0</v>
      </c>
      <c r="BB3301">
        <v>0</v>
      </c>
      <c r="BC3301">
        <v>0</v>
      </c>
      <c r="BD3301">
        <v>0</v>
      </c>
      <c r="BE3301">
        <v>0</v>
      </c>
      <c r="BF3301">
        <v>0</v>
      </c>
      <c r="BG3301">
        <v>0</v>
      </c>
      <c r="BH3301">
        <v>1</v>
      </c>
      <c r="BI3301">
        <v>1</v>
      </c>
      <c r="BJ3301">
        <v>0.2</v>
      </c>
      <c r="BK3301">
        <v>1</v>
      </c>
      <c r="BL3301">
        <v>54.66</v>
      </c>
      <c r="BM3301">
        <v>8.1999999999999993</v>
      </c>
      <c r="BN3301">
        <v>62.86</v>
      </c>
      <c r="BO3301">
        <v>62.86</v>
      </c>
      <c r="BQ3301" t="s">
        <v>1600</v>
      </c>
      <c r="BR3301" t="s">
        <v>84</v>
      </c>
      <c r="BS3301" s="3">
        <v>45804</v>
      </c>
      <c r="BT3301" s="4">
        <v>0.36180555555555555</v>
      </c>
      <c r="BU3301" t="s">
        <v>3151</v>
      </c>
      <c r="BV3301" t="s">
        <v>86</v>
      </c>
      <c r="BY3301">
        <v>1200</v>
      </c>
      <c r="CA3301" t="s">
        <v>175</v>
      </c>
      <c r="CC3301" t="s">
        <v>98</v>
      </c>
      <c r="CD3301">
        <v>1460</v>
      </c>
      <c r="CE3301" t="s">
        <v>88</v>
      </c>
      <c r="CF3301" s="3">
        <v>45805</v>
      </c>
      <c r="CI3301">
        <v>1</v>
      </c>
      <c r="CJ3301">
        <v>1</v>
      </c>
      <c r="CK3301">
        <v>22</v>
      </c>
      <c r="CL3301" t="s">
        <v>89</v>
      </c>
    </row>
    <row r="3302" spans="1:90" x14ac:dyDescent="0.3">
      <c r="A3302" t="s">
        <v>72</v>
      </c>
      <c r="B3302" t="s">
        <v>73</v>
      </c>
      <c r="C3302" t="s">
        <v>74</v>
      </c>
      <c r="E3302" t="str">
        <f>"080065562130"</f>
        <v>080065562130</v>
      </c>
      <c r="F3302" s="3">
        <v>45803</v>
      </c>
      <c r="G3302">
        <v>202602</v>
      </c>
      <c r="H3302" t="s">
        <v>75</v>
      </c>
      <c r="I3302" t="s">
        <v>76</v>
      </c>
      <c r="J3302" t="s">
        <v>77</v>
      </c>
      <c r="K3302" t="s">
        <v>78</v>
      </c>
      <c r="L3302" t="s">
        <v>123</v>
      </c>
      <c r="M3302" t="s">
        <v>123</v>
      </c>
      <c r="N3302" t="s">
        <v>1700</v>
      </c>
      <c r="O3302" t="s">
        <v>82</v>
      </c>
      <c r="P3302" t="str">
        <f>"4170040633                    "</f>
        <v xml:space="preserve">4170040633                    </v>
      </c>
      <c r="Q3302">
        <v>0</v>
      </c>
      <c r="R3302">
        <v>0</v>
      </c>
      <c r="S3302">
        <v>0</v>
      </c>
      <c r="T3302">
        <v>0</v>
      </c>
      <c r="U3302">
        <v>0</v>
      </c>
      <c r="V3302">
        <v>0</v>
      </c>
      <c r="W3302">
        <v>0</v>
      </c>
      <c r="X3302">
        <v>0</v>
      </c>
      <c r="Y3302">
        <v>0</v>
      </c>
      <c r="Z3302">
        <v>0</v>
      </c>
      <c r="AA3302">
        <v>0</v>
      </c>
      <c r="AB3302">
        <v>0</v>
      </c>
      <c r="AC3302">
        <v>0</v>
      </c>
      <c r="AD3302">
        <v>0</v>
      </c>
      <c r="AE3302">
        <v>0</v>
      </c>
      <c r="AF3302">
        <v>0</v>
      </c>
      <c r="AG3302">
        <v>0</v>
      </c>
      <c r="AH3302">
        <v>0</v>
      </c>
      <c r="AI3302">
        <v>0</v>
      </c>
      <c r="AJ3302">
        <v>0</v>
      </c>
      <c r="AK3302">
        <v>0</v>
      </c>
      <c r="AL3302">
        <v>0</v>
      </c>
      <c r="AM3302">
        <v>0</v>
      </c>
      <c r="AN3302">
        <v>0</v>
      </c>
      <c r="AO3302">
        <v>0</v>
      </c>
      <c r="AP3302">
        <v>0</v>
      </c>
      <c r="AQ3302">
        <v>41.43</v>
      </c>
      <c r="AR3302">
        <v>0</v>
      </c>
      <c r="AS3302">
        <v>0</v>
      </c>
      <c r="AT3302">
        <v>0</v>
      </c>
      <c r="AU3302">
        <v>0</v>
      </c>
      <c r="AV3302">
        <v>0</v>
      </c>
      <c r="AW3302">
        <v>0</v>
      </c>
      <c r="AX3302">
        <v>0</v>
      </c>
      <c r="AY3302">
        <v>0</v>
      </c>
      <c r="AZ3302">
        <v>0</v>
      </c>
      <c r="BA3302">
        <v>0</v>
      </c>
      <c r="BB3302">
        <v>0</v>
      </c>
      <c r="BC3302">
        <v>0</v>
      </c>
      <c r="BD3302">
        <v>0</v>
      </c>
      <c r="BE3302">
        <v>0</v>
      </c>
      <c r="BF3302">
        <v>0</v>
      </c>
      <c r="BG3302">
        <v>0</v>
      </c>
      <c r="BH3302">
        <v>1</v>
      </c>
      <c r="BI3302">
        <v>1</v>
      </c>
      <c r="BJ3302">
        <v>0.2</v>
      </c>
      <c r="BK3302">
        <v>1</v>
      </c>
      <c r="BL3302">
        <v>135.59</v>
      </c>
      <c r="BM3302">
        <v>20.34</v>
      </c>
      <c r="BN3302">
        <v>155.93</v>
      </c>
      <c r="BO3302">
        <v>155.93</v>
      </c>
      <c r="BQ3302" t="s">
        <v>1701</v>
      </c>
      <c r="BR3302" t="s">
        <v>84</v>
      </c>
      <c r="BS3302" s="3">
        <v>45804</v>
      </c>
      <c r="BT3302" s="4">
        <v>0.53749999999999998</v>
      </c>
      <c r="BU3302" t="s">
        <v>319</v>
      </c>
      <c r="BV3302" t="s">
        <v>86</v>
      </c>
      <c r="BY3302">
        <v>1200</v>
      </c>
      <c r="CA3302" t="s">
        <v>128</v>
      </c>
      <c r="CC3302" t="s">
        <v>123</v>
      </c>
      <c r="CD3302">
        <v>7646</v>
      </c>
      <c r="CE3302" t="s">
        <v>88</v>
      </c>
      <c r="CF3302" s="3">
        <v>45805</v>
      </c>
      <c r="CI3302">
        <v>1</v>
      </c>
      <c r="CJ3302">
        <v>1</v>
      </c>
      <c r="CK3302">
        <v>23</v>
      </c>
      <c r="CL3302" t="s">
        <v>89</v>
      </c>
    </row>
    <row r="3303" spans="1:90" x14ac:dyDescent="0.3">
      <c r="A3303" t="s">
        <v>72</v>
      </c>
      <c r="B3303" t="s">
        <v>73</v>
      </c>
      <c r="C3303" t="s">
        <v>74</v>
      </c>
      <c r="E3303" t="str">
        <f>"080065562171"</f>
        <v>080065562171</v>
      </c>
      <c r="F3303" s="3">
        <v>45803</v>
      </c>
      <c r="G3303">
        <v>202602</v>
      </c>
      <c r="H3303" t="s">
        <v>75</v>
      </c>
      <c r="I3303" t="s">
        <v>76</v>
      </c>
      <c r="J3303" t="s">
        <v>77</v>
      </c>
      <c r="K3303" t="s">
        <v>78</v>
      </c>
      <c r="L3303" t="s">
        <v>75</v>
      </c>
      <c r="M3303" t="s">
        <v>76</v>
      </c>
      <c r="N3303" t="s">
        <v>2161</v>
      </c>
      <c r="O3303" t="s">
        <v>82</v>
      </c>
      <c r="P3303" t="str">
        <f>"4170040642                    "</f>
        <v xml:space="preserve">4170040642                    </v>
      </c>
      <c r="Q3303">
        <v>0</v>
      </c>
      <c r="R3303">
        <v>0</v>
      </c>
      <c r="S3303">
        <v>0</v>
      </c>
      <c r="T3303">
        <v>0</v>
      </c>
      <c r="U3303">
        <v>0</v>
      </c>
      <c r="V3303">
        <v>0</v>
      </c>
      <c r="W3303">
        <v>0</v>
      </c>
      <c r="X3303">
        <v>0</v>
      </c>
      <c r="Y3303">
        <v>0</v>
      </c>
      <c r="Z3303">
        <v>0</v>
      </c>
      <c r="AA3303">
        <v>0</v>
      </c>
      <c r="AB3303">
        <v>0</v>
      </c>
      <c r="AC3303">
        <v>0</v>
      </c>
      <c r="AD3303">
        <v>0</v>
      </c>
      <c r="AE3303">
        <v>0</v>
      </c>
      <c r="AF3303">
        <v>0</v>
      </c>
      <c r="AG3303">
        <v>0</v>
      </c>
      <c r="AH3303">
        <v>0</v>
      </c>
      <c r="AI3303">
        <v>0</v>
      </c>
      <c r="AJ3303">
        <v>0</v>
      </c>
      <c r="AK3303">
        <v>0</v>
      </c>
      <c r="AL3303">
        <v>0</v>
      </c>
      <c r="AM3303">
        <v>0</v>
      </c>
      <c r="AN3303">
        <v>0</v>
      </c>
      <c r="AO3303">
        <v>0</v>
      </c>
      <c r="AP3303">
        <v>0</v>
      </c>
      <c r="AQ3303">
        <v>16.7</v>
      </c>
      <c r="AR3303">
        <v>0</v>
      </c>
      <c r="AS3303">
        <v>0</v>
      </c>
      <c r="AT3303">
        <v>0</v>
      </c>
      <c r="AU3303">
        <v>0</v>
      </c>
      <c r="AV3303">
        <v>0</v>
      </c>
      <c r="AW3303">
        <v>0</v>
      </c>
      <c r="AX3303">
        <v>0</v>
      </c>
      <c r="AY3303">
        <v>0</v>
      </c>
      <c r="AZ3303">
        <v>0</v>
      </c>
      <c r="BA3303">
        <v>0</v>
      </c>
      <c r="BB3303">
        <v>0</v>
      </c>
      <c r="BC3303">
        <v>0</v>
      </c>
      <c r="BD3303">
        <v>0</v>
      </c>
      <c r="BE3303">
        <v>0</v>
      </c>
      <c r="BF3303">
        <v>0</v>
      </c>
      <c r="BG3303">
        <v>0</v>
      </c>
      <c r="BH3303">
        <v>1</v>
      </c>
      <c r="BI3303">
        <v>6</v>
      </c>
      <c r="BJ3303">
        <v>3.4</v>
      </c>
      <c r="BK3303">
        <v>6</v>
      </c>
      <c r="BL3303">
        <v>54.66</v>
      </c>
      <c r="BM3303">
        <v>8.1999999999999993</v>
      </c>
      <c r="BN3303">
        <v>62.86</v>
      </c>
      <c r="BO3303">
        <v>62.86</v>
      </c>
      <c r="BQ3303" t="s">
        <v>2162</v>
      </c>
      <c r="BR3303" t="s">
        <v>84</v>
      </c>
      <c r="BS3303" s="3">
        <v>45804</v>
      </c>
      <c r="BT3303" s="4">
        <v>0.34583333333333333</v>
      </c>
      <c r="BU3303" t="s">
        <v>3152</v>
      </c>
      <c r="BV3303" t="s">
        <v>86</v>
      </c>
      <c r="BY3303">
        <v>16965</v>
      </c>
      <c r="CA3303" t="s">
        <v>853</v>
      </c>
      <c r="CC3303" t="s">
        <v>76</v>
      </c>
      <c r="CD3303">
        <v>1665</v>
      </c>
      <c r="CE3303" t="s">
        <v>96</v>
      </c>
      <c r="CF3303" s="3">
        <v>45805</v>
      </c>
      <c r="CI3303">
        <v>1</v>
      </c>
      <c r="CJ3303">
        <v>1</v>
      </c>
      <c r="CK3303">
        <v>22</v>
      </c>
      <c r="CL3303" t="s">
        <v>89</v>
      </c>
    </row>
    <row r="3304" spans="1:90" x14ac:dyDescent="0.3">
      <c r="A3304" t="s">
        <v>72</v>
      </c>
      <c r="B3304" t="s">
        <v>73</v>
      </c>
      <c r="C3304" t="s">
        <v>74</v>
      </c>
      <c r="E3304" t="str">
        <f>"080065562179"</f>
        <v>080065562179</v>
      </c>
      <c r="F3304" s="3">
        <v>45803</v>
      </c>
      <c r="G3304">
        <v>202602</v>
      </c>
      <c r="H3304" t="s">
        <v>75</v>
      </c>
      <c r="I3304" t="s">
        <v>76</v>
      </c>
      <c r="J3304" t="s">
        <v>77</v>
      </c>
      <c r="K3304" t="s">
        <v>78</v>
      </c>
      <c r="L3304" t="s">
        <v>79</v>
      </c>
      <c r="M3304" t="s">
        <v>80</v>
      </c>
      <c r="N3304" t="s">
        <v>2154</v>
      </c>
      <c r="O3304" t="s">
        <v>82</v>
      </c>
      <c r="P3304" t="str">
        <f>"4170040629                    "</f>
        <v xml:space="preserve">4170040629                    </v>
      </c>
      <c r="Q3304">
        <v>0</v>
      </c>
      <c r="R3304">
        <v>0</v>
      </c>
      <c r="S3304">
        <v>0</v>
      </c>
      <c r="T3304">
        <v>0</v>
      </c>
      <c r="U3304">
        <v>0</v>
      </c>
      <c r="V3304">
        <v>0</v>
      </c>
      <c r="W3304">
        <v>0</v>
      </c>
      <c r="X3304">
        <v>0</v>
      </c>
      <c r="Y3304">
        <v>0</v>
      </c>
      <c r="Z3304">
        <v>0</v>
      </c>
      <c r="AA3304">
        <v>0</v>
      </c>
      <c r="AB3304">
        <v>0</v>
      </c>
      <c r="AC3304">
        <v>0</v>
      </c>
      <c r="AD3304">
        <v>0</v>
      </c>
      <c r="AE3304">
        <v>0</v>
      </c>
      <c r="AF3304">
        <v>0</v>
      </c>
      <c r="AG3304">
        <v>0</v>
      </c>
      <c r="AH3304">
        <v>0</v>
      </c>
      <c r="AI3304">
        <v>0</v>
      </c>
      <c r="AJ3304">
        <v>0</v>
      </c>
      <c r="AK3304">
        <v>0</v>
      </c>
      <c r="AL3304">
        <v>0</v>
      </c>
      <c r="AM3304">
        <v>0</v>
      </c>
      <c r="AN3304">
        <v>0</v>
      </c>
      <c r="AO3304">
        <v>0</v>
      </c>
      <c r="AP3304">
        <v>0</v>
      </c>
      <c r="AQ3304">
        <v>21.38</v>
      </c>
      <c r="AR3304">
        <v>0</v>
      </c>
      <c r="AS3304">
        <v>0</v>
      </c>
      <c r="AT3304">
        <v>0</v>
      </c>
      <c r="AU3304">
        <v>0</v>
      </c>
      <c r="AV3304">
        <v>0</v>
      </c>
      <c r="AW3304">
        <v>0</v>
      </c>
      <c r="AX3304">
        <v>0</v>
      </c>
      <c r="AY3304">
        <v>0</v>
      </c>
      <c r="AZ3304">
        <v>0</v>
      </c>
      <c r="BA3304">
        <v>0</v>
      </c>
      <c r="BB3304">
        <v>0</v>
      </c>
      <c r="BC3304">
        <v>0</v>
      </c>
      <c r="BD3304">
        <v>0</v>
      </c>
      <c r="BE3304">
        <v>0</v>
      </c>
      <c r="BF3304">
        <v>0</v>
      </c>
      <c r="BG3304">
        <v>0</v>
      </c>
      <c r="BH3304">
        <v>1</v>
      </c>
      <c r="BI3304">
        <v>1</v>
      </c>
      <c r="BJ3304">
        <v>0.2</v>
      </c>
      <c r="BK3304">
        <v>1</v>
      </c>
      <c r="BL3304">
        <v>69.98</v>
      </c>
      <c r="BM3304">
        <v>10.5</v>
      </c>
      <c r="BN3304">
        <v>80.48</v>
      </c>
      <c r="BO3304">
        <v>80.48</v>
      </c>
      <c r="BQ3304" t="s">
        <v>2155</v>
      </c>
      <c r="BR3304" t="s">
        <v>84</v>
      </c>
      <c r="BS3304" s="3">
        <v>45804</v>
      </c>
      <c r="BT3304" s="4">
        <v>0.42569444444444443</v>
      </c>
      <c r="BU3304" t="s">
        <v>3146</v>
      </c>
      <c r="BV3304" t="s">
        <v>86</v>
      </c>
      <c r="BY3304">
        <v>1200</v>
      </c>
      <c r="CA3304" t="s">
        <v>87</v>
      </c>
      <c r="CC3304" t="s">
        <v>80</v>
      </c>
      <c r="CD3304">
        <v>3600</v>
      </c>
      <c r="CE3304" t="s">
        <v>88</v>
      </c>
      <c r="CF3304" s="3">
        <v>45804</v>
      </c>
      <c r="CI3304">
        <v>1</v>
      </c>
      <c r="CJ3304">
        <v>1</v>
      </c>
      <c r="CK3304">
        <v>21</v>
      </c>
      <c r="CL3304" t="s">
        <v>89</v>
      </c>
    </row>
    <row r="3305" spans="1:90" x14ac:dyDescent="0.3">
      <c r="A3305" t="s">
        <v>72</v>
      </c>
      <c r="B3305" t="s">
        <v>73</v>
      </c>
      <c r="C3305" t="s">
        <v>74</v>
      </c>
      <c r="E3305" t="str">
        <f>"080065562215"</f>
        <v>080065562215</v>
      </c>
      <c r="F3305" s="3">
        <v>45803</v>
      </c>
      <c r="G3305">
        <v>202602</v>
      </c>
      <c r="H3305" t="s">
        <v>75</v>
      </c>
      <c r="I3305" t="s">
        <v>76</v>
      </c>
      <c r="J3305" t="s">
        <v>77</v>
      </c>
      <c r="K3305" t="s">
        <v>78</v>
      </c>
      <c r="L3305" t="s">
        <v>232</v>
      </c>
      <c r="M3305" t="s">
        <v>233</v>
      </c>
      <c r="N3305" t="s">
        <v>1108</v>
      </c>
      <c r="O3305" t="s">
        <v>82</v>
      </c>
      <c r="P3305" t="str">
        <f>"4170040673                    "</f>
        <v xml:space="preserve">4170040673                    </v>
      </c>
      <c r="Q3305">
        <v>0</v>
      </c>
      <c r="R3305">
        <v>0</v>
      </c>
      <c r="S3305">
        <v>0</v>
      </c>
      <c r="T3305">
        <v>0</v>
      </c>
      <c r="U3305">
        <v>0</v>
      </c>
      <c r="V3305">
        <v>0</v>
      </c>
      <c r="W3305">
        <v>0</v>
      </c>
      <c r="X3305">
        <v>0</v>
      </c>
      <c r="Y3305">
        <v>0</v>
      </c>
      <c r="Z3305">
        <v>0</v>
      </c>
      <c r="AA3305">
        <v>0</v>
      </c>
      <c r="AB3305">
        <v>0</v>
      </c>
      <c r="AC3305">
        <v>0</v>
      </c>
      <c r="AD3305">
        <v>0</v>
      </c>
      <c r="AE3305">
        <v>0</v>
      </c>
      <c r="AF3305">
        <v>0</v>
      </c>
      <c r="AG3305">
        <v>0</v>
      </c>
      <c r="AH3305">
        <v>0</v>
      </c>
      <c r="AI3305">
        <v>0</v>
      </c>
      <c r="AJ3305">
        <v>0</v>
      </c>
      <c r="AK3305">
        <v>0</v>
      </c>
      <c r="AL3305">
        <v>0</v>
      </c>
      <c r="AM3305">
        <v>0</v>
      </c>
      <c r="AN3305">
        <v>0</v>
      </c>
      <c r="AO3305">
        <v>0</v>
      </c>
      <c r="AP3305">
        <v>0</v>
      </c>
      <c r="AQ3305">
        <v>21.38</v>
      </c>
      <c r="AR3305">
        <v>0</v>
      </c>
      <c r="AS3305">
        <v>0</v>
      </c>
      <c r="AT3305">
        <v>0</v>
      </c>
      <c r="AU3305">
        <v>0</v>
      </c>
      <c r="AV3305">
        <v>0</v>
      </c>
      <c r="AW3305">
        <v>0</v>
      </c>
      <c r="AX3305">
        <v>0</v>
      </c>
      <c r="AY3305">
        <v>0</v>
      </c>
      <c r="AZ3305">
        <v>0</v>
      </c>
      <c r="BA3305">
        <v>0</v>
      </c>
      <c r="BB3305">
        <v>0</v>
      </c>
      <c r="BC3305">
        <v>0</v>
      </c>
      <c r="BD3305">
        <v>0</v>
      </c>
      <c r="BE3305">
        <v>0</v>
      </c>
      <c r="BF3305">
        <v>0</v>
      </c>
      <c r="BG3305">
        <v>0</v>
      </c>
      <c r="BH3305">
        <v>1</v>
      </c>
      <c r="BI3305">
        <v>1</v>
      </c>
      <c r="BJ3305">
        <v>0.2</v>
      </c>
      <c r="BK3305">
        <v>1</v>
      </c>
      <c r="BL3305">
        <v>69.98</v>
      </c>
      <c r="BM3305">
        <v>10.5</v>
      </c>
      <c r="BN3305">
        <v>80.48</v>
      </c>
      <c r="BO3305">
        <v>80.48</v>
      </c>
      <c r="BQ3305" t="s">
        <v>1109</v>
      </c>
      <c r="BR3305" t="s">
        <v>84</v>
      </c>
      <c r="BS3305" s="3">
        <v>45804</v>
      </c>
      <c r="BT3305" s="4">
        <v>0.33055555555555555</v>
      </c>
      <c r="BU3305" t="s">
        <v>1068</v>
      </c>
      <c r="BV3305" t="s">
        <v>86</v>
      </c>
      <c r="BY3305">
        <v>1200</v>
      </c>
      <c r="CA3305" t="s">
        <v>258</v>
      </c>
      <c r="CC3305" t="s">
        <v>233</v>
      </c>
      <c r="CD3305" s="5" t="s">
        <v>238</v>
      </c>
      <c r="CE3305" t="s">
        <v>88</v>
      </c>
      <c r="CF3305" s="3">
        <v>45804</v>
      </c>
      <c r="CI3305">
        <v>1</v>
      </c>
      <c r="CJ3305">
        <v>1</v>
      </c>
      <c r="CK3305">
        <v>21</v>
      </c>
      <c r="CL3305" t="s">
        <v>89</v>
      </c>
    </row>
    <row r="3306" spans="1:90" x14ac:dyDescent="0.3">
      <c r="A3306" t="s">
        <v>72</v>
      </c>
      <c r="B3306" t="s">
        <v>73</v>
      </c>
      <c r="C3306" t="s">
        <v>74</v>
      </c>
      <c r="E3306" t="str">
        <f>"080065562224"</f>
        <v>080065562224</v>
      </c>
      <c r="F3306" s="3">
        <v>45803</v>
      </c>
      <c r="G3306">
        <v>202602</v>
      </c>
      <c r="H3306" t="s">
        <v>75</v>
      </c>
      <c r="I3306" t="s">
        <v>76</v>
      </c>
      <c r="J3306" t="s">
        <v>77</v>
      </c>
      <c r="K3306" t="s">
        <v>78</v>
      </c>
      <c r="L3306" t="s">
        <v>130</v>
      </c>
      <c r="M3306" t="s">
        <v>131</v>
      </c>
      <c r="N3306" t="s">
        <v>2308</v>
      </c>
      <c r="O3306" t="s">
        <v>82</v>
      </c>
      <c r="P3306" t="str">
        <f>"4170040678                    "</f>
        <v xml:space="preserve">4170040678                    </v>
      </c>
      <c r="Q3306">
        <v>0</v>
      </c>
      <c r="R3306">
        <v>0</v>
      </c>
      <c r="S3306">
        <v>0</v>
      </c>
      <c r="T3306">
        <v>0</v>
      </c>
      <c r="U3306">
        <v>0</v>
      </c>
      <c r="V3306">
        <v>0</v>
      </c>
      <c r="W3306">
        <v>0</v>
      </c>
      <c r="X3306">
        <v>0</v>
      </c>
      <c r="Y3306">
        <v>0</v>
      </c>
      <c r="Z3306">
        <v>0</v>
      </c>
      <c r="AA3306">
        <v>0</v>
      </c>
      <c r="AB3306">
        <v>0</v>
      </c>
      <c r="AC3306">
        <v>0</v>
      </c>
      <c r="AD3306">
        <v>0</v>
      </c>
      <c r="AE3306">
        <v>0</v>
      </c>
      <c r="AF3306">
        <v>0</v>
      </c>
      <c r="AG3306">
        <v>0</v>
      </c>
      <c r="AH3306">
        <v>0</v>
      </c>
      <c r="AI3306">
        <v>0</v>
      </c>
      <c r="AJ3306">
        <v>0</v>
      </c>
      <c r="AK3306">
        <v>0</v>
      </c>
      <c r="AL3306">
        <v>0</v>
      </c>
      <c r="AM3306">
        <v>0</v>
      </c>
      <c r="AN3306">
        <v>0</v>
      </c>
      <c r="AO3306">
        <v>0</v>
      </c>
      <c r="AP3306">
        <v>0</v>
      </c>
      <c r="AQ3306">
        <v>21.38</v>
      </c>
      <c r="AR3306">
        <v>0</v>
      </c>
      <c r="AS3306">
        <v>0</v>
      </c>
      <c r="AT3306">
        <v>0</v>
      </c>
      <c r="AU3306">
        <v>0</v>
      </c>
      <c r="AV3306">
        <v>0</v>
      </c>
      <c r="AW3306">
        <v>0</v>
      </c>
      <c r="AX3306">
        <v>0</v>
      </c>
      <c r="AY3306">
        <v>0</v>
      </c>
      <c r="AZ3306">
        <v>0</v>
      </c>
      <c r="BA3306">
        <v>0</v>
      </c>
      <c r="BB3306">
        <v>0</v>
      </c>
      <c r="BC3306">
        <v>0</v>
      </c>
      <c r="BD3306">
        <v>0</v>
      </c>
      <c r="BE3306">
        <v>0</v>
      </c>
      <c r="BF3306">
        <v>0</v>
      </c>
      <c r="BG3306">
        <v>0</v>
      </c>
      <c r="BH3306">
        <v>1</v>
      </c>
      <c r="BI3306">
        <v>2</v>
      </c>
      <c r="BJ3306">
        <v>1.4</v>
      </c>
      <c r="BK3306">
        <v>2</v>
      </c>
      <c r="BL3306">
        <v>69.98</v>
      </c>
      <c r="BM3306">
        <v>10.5</v>
      </c>
      <c r="BN3306">
        <v>80.48</v>
      </c>
      <c r="BO3306">
        <v>80.48</v>
      </c>
      <c r="BQ3306" t="s">
        <v>2309</v>
      </c>
      <c r="BR3306" t="s">
        <v>84</v>
      </c>
      <c r="BS3306" s="3">
        <v>45804</v>
      </c>
      <c r="BT3306" s="4">
        <v>0.34027777777777779</v>
      </c>
      <c r="BU3306" t="s">
        <v>1782</v>
      </c>
      <c r="BV3306" t="s">
        <v>86</v>
      </c>
      <c r="BY3306">
        <v>7000</v>
      </c>
      <c r="CA3306" t="s">
        <v>389</v>
      </c>
      <c r="CC3306" t="s">
        <v>131</v>
      </c>
      <c r="CD3306">
        <v>7535</v>
      </c>
      <c r="CE3306" t="s">
        <v>96</v>
      </c>
      <c r="CF3306" s="3">
        <v>45805</v>
      </c>
      <c r="CI3306">
        <v>1</v>
      </c>
      <c r="CJ3306">
        <v>1</v>
      </c>
      <c r="CK3306">
        <v>21</v>
      </c>
      <c r="CL3306" t="s">
        <v>89</v>
      </c>
    </row>
    <row r="3307" spans="1:90" x14ac:dyDescent="0.3">
      <c r="A3307" t="s">
        <v>72</v>
      </c>
      <c r="B3307" t="s">
        <v>73</v>
      </c>
      <c r="C3307" t="s">
        <v>74</v>
      </c>
      <c r="E3307" t="str">
        <f>"080065562248"</f>
        <v>080065562248</v>
      </c>
      <c r="F3307" s="3">
        <v>45803</v>
      </c>
      <c r="G3307">
        <v>202602</v>
      </c>
      <c r="H3307" t="s">
        <v>75</v>
      </c>
      <c r="I3307" t="s">
        <v>76</v>
      </c>
      <c r="J3307" t="s">
        <v>77</v>
      </c>
      <c r="K3307" t="s">
        <v>78</v>
      </c>
      <c r="L3307" t="s">
        <v>463</v>
      </c>
      <c r="M3307" t="s">
        <v>464</v>
      </c>
      <c r="N3307" t="s">
        <v>585</v>
      </c>
      <c r="O3307" t="s">
        <v>82</v>
      </c>
      <c r="P3307" t="str">
        <f>"4170040679                    "</f>
        <v xml:space="preserve">4170040679                    </v>
      </c>
      <c r="Q3307">
        <v>0</v>
      </c>
      <c r="R3307">
        <v>0</v>
      </c>
      <c r="S3307">
        <v>0</v>
      </c>
      <c r="T3307">
        <v>0</v>
      </c>
      <c r="U3307">
        <v>0</v>
      </c>
      <c r="V3307">
        <v>0</v>
      </c>
      <c r="W3307">
        <v>0</v>
      </c>
      <c r="X3307">
        <v>0</v>
      </c>
      <c r="Y3307">
        <v>0</v>
      </c>
      <c r="Z3307">
        <v>0</v>
      </c>
      <c r="AA3307">
        <v>0</v>
      </c>
      <c r="AB3307">
        <v>0</v>
      </c>
      <c r="AC3307">
        <v>0</v>
      </c>
      <c r="AD3307">
        <v>0</v>
      </c>
      <c r="AE3307">
        <v>0</v>
      </c>
      <c r="AF3307">
        <v>0</v>
      </c>
      <c r="AG3307">
        <v>0</v>
      </c>
      <c r="AH3307">
        <v>0</v>
      </c>
      <c r="AI3307">
        <v>0</v>
      </c>
      <c r="AJ3307">
        <v>0</v>
      </c>
      <c r="AK3307">
        <v>0</v>
      </c>
      <c r="AL3307">
        <v>0</v>
      </c>
      <c r="AM3307">
        <v>0</v>
      </c>
      <c r="AN3307">
        <v>0</v>
      </c>
      <c r="AO3307">
        <v>0</v>
      </c>
      <c r="AP3307">
        <v>0</v>
      </c>
      <c r="AQ3307">
        <v>21.38</v>
      </c>
      <c r="AR3307">
        <v>0</v>
      </c>
      <c r="AS3307">
        <v>0</v>
      </c>
      <c r="AT3307">
        <v>0</v>
      </c>
      <c r="AU3307">
        <v>0</v>
      </c>
      <c r="AV3307">
        <v>0</v>
      </c>
      <c r="AW3307">
        <v>0</v>
      </c>
      <c r="AX3307">
        <v>0</v>
      </c>
      <c r="AY3307">
        <v>0</v>
      </c>
      <c r="AZ3307">
        <v>0</v>
      </c>
      <c r="BA3307">
        <v>0</v>
      </c>
      <c r="BB3307">
        <v>0</v>
      </c>
      <c r="BC3307">
        <v>0</v>
      </c>
      <c r="BD3307">
        <v>0</v>
      </c>
      <c r="BE3307">
        <v>0</v>
      </c>
      <c r="BF3307">
        <v>0</v>
      </c>
      <c r="BG3307">
        <v>0</v>
      </c>
      <c r="BH3307">
        <v>1</v>
      </c>
      <c r="BI3307">
        <v>1</v>
      </c>
      <c r="BJ3307">
        <v>0.2</v>
      </c>
      <c r="BK3307">
        <v>1</v>
      </c>
      <c r="BL3307">
        <v>69.98</v>
      </c>
      <c r="BM3307">
        <v>10.5</v>
      </c>
      <c r="BN3307">
        <v>80.48</v>
      </c>
      <c r="BO3307">
        <v>80.48</v>
      </c>
      <c r="BQ3307" t="s">
        <v>586</v>
      </c>
      <c r="BR3307" t="s">
        <v>84</v>
      </c>
      <c r="BS3307" s="3">
        <v>45804</v>
      </c>
      <c r="BT3307" s="4">
        <v>0.4375</v>
      </c>
      <c r="BU3307" t="s">
        <v>2787</v>
      </c>
      <c r="BV3307" t="s">
        <v>86</v>
      </c>
      <c r="BY3307">
        <v>1200</v>
      </c>
      <c r="CA3307" t="s">
        <v>588</v>
      </c>
      <c r="CC3307" t="s">
        <v>464</v>
      </c>
      <c r="CD3307">
        <v>5200</v>
      </c>
      <c r="CE3307" t="s">
        <v>88</v>
      </c>
      <c r="CF3307" s="3">
        <v>45804</v>
      </c>
      <c r="CI3307">
        <v>1</v>
      </c>
      <c r="CJ3307">
        <v>1</v>
      </c>
      <c r="CK3307">
        <v>21</v>
      </c>
      <c r="CL3307" t="s">
        <v>89</v>
      </c>
    </row>
    <row r="3308" spans="1:90" x14ac:dyDescent="0.3">
      <c r="A3308" t="s">
        <v>72</v>
      </c>
      <c r="B3308" t="s">
        <v>73</v>
      </c>
      <c r="C3308" t="s">
        <v>74</v>
      </c>
      <c r="E3308" t="str">
        <f>"080065562268"</f>
        <v>080065562268</v>
      </c>
      <c r="F3308" s="3">
        <v>45803</v>
      </c>
      <c r="G3308">
        <v>202602</v>
      </c>
      <c r="H3308" t="s">
        <v>75</v>
      </c>
      <c r="I3308" t="s">
        <v>76</v>
      </c>
      <c r="J3308" t="s">
        <v>77</v>
      </c>
      <c r="K3308" t="s">
        <v>78</v>
      </c>
      <c r="L3308" t="s">
        <v>177</v>
      </c>
      <c r="M3308" t="s">
        <v>178</v>
      </c>
      <c r="N3308" t="s">
        <v>393</v>
      </c>
      <c r="O3308" t="s">
        <v>82</v>
      </c>
      <c r="P3308" t="str">
        <f>"4170040666                    "</f>
        <v xml:space="preserve">4170040666                    </v>
      </c>
      <c r="Q3308">
        <v>0</v>
      </c>
      <c r="R3308">
        <v>0</v>
      </c>
      <c r="S3308">
        <v>0</v>
      </c>
      <c r="T3308">
        <v>0</v>
      </c>
      <c r="U3308">
        <v>0</v>
      </c>
      <c r="V3308">
        <v>0</v>
      </c>
      <c r="W3308">
        <v>0</v>
      </c>
      <c r="X3308">
        <v>0</v>
      </c>
      <c r="Y3308">
        <v>0</v>
      </c>
      <c r="Z3308">
        <v>0</v>
      </c>
      <c r="AA3308">
        <v>0</v>
      </c>
      <c r="AB3308">
        <v>0</v>
      </c>
      <c r="AC3308">
        <v>0</v>
      </c>
      <c r="AD3308">
        <v>0</v>
      </c>
      <c r="AE3308">
        <v>0</v>
      </c>
      <c r="AF3308">
        <v>0</v>
      </c>
      <c r="AG3308">
        <v>0</v>
      </c>
      <c r="AH3308">
        <v>0</v>
      </c>
      <c r="AI3308">
        <v>0</v>
      </c>
      <c r="AJ3308">
        <v>0</v>
      </c>
      <c r="AK3308">
        <v>0</v>
      </c>
      <c r="AL3308">
        <v>0</v>
      </c>
      <c r="AM3308">
        <v>0</v>
      </c>
      <c r="AN3308">
        <v>0</v>
      </c>
      <c r="AO3308">
        <v>0</v>
      </c>
      <c r="AP3308">
        <v>0</v>
      </c>
      <c r="AQ3308">
        <v>21.38</v>
      </c>
      <c r="AR3308">
        <v>0</v>
      </c>
      <c r="AS3308">
        <v>0</v>
      </c>
      <c r="AT3308">
        <v>0</v>
      </c>
      <c r="AU3308">
        <v>0</v>
      </c>
      <c r="AV3308">
        <v>0</v>
      </c>
      <c r="AW3308">
        <v>0</v>
      </c>
      <c r="AX3308">
        <v>0</v>
      </c>
      <c r="AY3308">
        <v>0</v>
      </c>
      <c r="AZ3308">
        <v>0</v>
      </c>
      <c r="BA3308">
        <v>0</v>
      </c>
      <c r="BB3308">
        <v>0</v>
      </c>
      <c r="BC3308">
        <v>0</v>
      </c>
      <c r="BD3308">
        <v>0</v>
      </c>
      <c r="BE3308">
        <v>0</v>
      </c>
      <c r="BF3308">
        <v>0</v>
      </c>
      <c r="BG3308">
        <v>0</v>
      </c>
      <c r="BH3308">
        <v>1</v>
      </c>
      <c r="BI3308">
        <v>1</v>
      </c>
      <c r="BJ3308">
        <v>0.2</v>
      </c>
      <c r="BK3308">
        <v>1</v>
      </c>
      <c r="BL3308">
        <v>69.98</v>
      </c>
      <c r="BM3308">
        <v>10.5</v>
      </c>
      <c r="BN3308">
        <v>80.48</v>
      </c>
      <c r="BO3308">
        <v>80.48</v>
      </c>
      <c r="BQ3308" t="s">
        <v>394</v>
      </c>
      <c r="BR3308" t="s">
        <v>84</v>
      </c>
      <c r="BS3308" s="3">
        <v>45804</v>
      </c>
      <c r="BT3308" s="4">
        <v>0.33263888888888887</v>
      </c>
      <c r="BU3308" t="s">
        <v>395</v>
      </c>
      <c r="BV3308" t="s">
        <v>86</v>
      </c>
      <c r="BY3308">
        <v>1200</v>
      </c>
      <c r="CA3308" t="s">
        <v>182</v>
      </c>
      <c r="CC3308" t="s">
        <v>178</v>
      </c>
      <c r="CD3308">
        <v>6230</v>
      </c>
      <c r="CE3308" t="s">
        <v>88</v>
      </c>
      <c r="CF3308" s="3">
        <v>45804</v>
      </c>
      <c r="CI3308">
        <v>1</v>
      </c>
      <c r="CJ3308">
        <v>1</v>
      </c>
      <c r="CK3308">
        <v>21</v>
      </c>
      <c r="CL3308" t="s">
        <v>89</v>
      </c>
    </row>
    <row r="3309" spans="1:90" x14ac:dyDescent="0.3">
      <c r="A3309" t="s">
        <v>72</v>
      </c>
      <c r="B3309" t="s">
        <v>73</v>
      </c>
      <c r="C3309" t="s">
        <v>74</v>
      </c>
      <c r="E3309" t="str">
        <f>"080065562289"</f>
        <v>080065562289</v>
      </c>
      <c r="F3309" s="3">
        <v>45803</v>
      </c>
      <c r="G3309">
        <v>202602</v>
      </c>
      <c r="H3309" t="s">
        <v>75</v>
      </c>
      <c r="I3309" t="s">
        <v>76</v>
      </c>
      <c r="J3309" t="s">
        <v>77</v>
      </c>
      <c r="K3309" t="s">
        <v>78</v>
      </c>
      <c r="L3309" t="s">
        <v>1503</v>
      </c>
      <c r="M3309" t="s">
        <v>1504</v>
      </c>
      <c r="N3309" t="s">
        <v>3143</v>
      </c>
      <c r="O3309" t="s">
        <v>82</v>
      </c>
      <c r="P3309" t="str">
        <f>"4170040646                    "</f>
        <v xml:space="preserve">4170040646                    </v>
      </c>
      <c r="Q3309">
        <v>0</v>
      </c>
      <c r="R3309">
        <v>0</v>
      </c>
      <c r="S3309">
        <v>0</v>
      </c>
      <c r="T3309">
        <v>0</v>
      </c>
      <c r="U3309">
        <v>0</v>
      </c>
      <c r="V3309">
        <v>0</v>
      </c>
      <c r="W3309">
        <v>0</v>
      </c>
      <c r="X3309">
        <v>0</v>
      </c>
      <c r="Y3309">
        <v>0</v>
      </c>
      <c r="Z3309">
        <v>0</v>
      </c>
      <c r="AA3309">
        <v>0</v>
      </c>
      <c r="AB3309">
        <v>0</v>
      </c>
      <c r="AC3309">
        <v>0</v>
      </c>
      <c r="AD3309">
        <v>0</v>
      </c>
      <c r="AE3309">
        <v>0</v>
      </c>
      <c r="AF3309">
        <v>0</v>
      </c>
      <c r="AG3309">
        <v>0</v>
      </c>
      <c r="AH3309">
        <v>0</v>
      </c>
      <c r="AI3309">
        <v>0</v>
      </c>
      <c r="AJ3309">
        <v>0</v>
      </c>
      <c r="AK3309">
        <v>0</v>
      </c>
      <c r="AL3309">
        <v>0</v>
      </c>
      <c r="AM3309">
        <v>0</v>
      </c>
      <c r="AN3309">
        <v>0</v>
      </c>
      <c r="AO3309">
        <v>0</v>
      </c>
      <c r="AP3309">
        <v>0</v>
      </c>
      <c r="AQ3309">
        <v>41.43</v>
      </c>
      <c r="AR3309">
        <v>0</v>
      </c>
      <c r="AS3309">
        <v>0</v>
      </c>
      <c r="AT3309">
        <v>0</v>
      </c>
      <c r="AU3309">
        <v>0</v>
      </c>
      <c r="AV3309">
        <v>0</v>
      </c>
      <c r="AW3309">
        <v>0</v>
      </c>
      <c r="AX3309">
        <v>0</v>
      </c>
      <c r="AY3309">
        <v>0</v>
      </c>
      <c r="AZ3309">
        <v>0</v>
      </c>
      <c r="BA3309">
        <v>0</v>
      </c>
      <c r="BB3309">
        <v>0</v>
      </c>
      <c r="BC3309">
        <v>0</v>
      </c>
      <c r="BD3309">
        <v>0</v>
      </c>
      <c r="BE3309">
        <v>0</v>
      </c>
      <c r="BF3309">
        <v>0</v>
      </c>
      <c r="BG3309">
        <v>0</v>
      </c>
      <c r="BH3309">
        <v>1</v>
      </c>
      <c r="BI3309">
        <v>2</v>
      </c>
      <c r="BJ3309">
        <v>0.6</v>
      </c>
      <c r="BK3309">
        <v>2</v>
      </c>
      <c r="BL3309">
        <v>135.59</v>
      </c>
      <c r="BM3309">
        <v>20.34</v>
      </c>
      <c r="BN3309">
        <v>155.93</v>
      </c>
      <c r="BO3309">
        <v>155.93</v>
      </c>
      <c r="BQ3309" t="s">
        <v>3144</v>
      </c>
      <c r="BR3309" t="s">
        <v>84</v>
      </c>
      <c r="BS3309" s="3">
        <v>45804</v>
      </c>
      <c r="BT3309" s="4">
        <v>0.4201388888888889</v>
      </c>
      <c r="BU3309" t="s">
        <v>3153</v>
      </c>
      <c r="BV3309" t="s">
        <v>86</v>
      </c>
      <c r="BY3309">
        <v>3192</v>
      </c>
      <c r="CA3309" t="s">
        <v>2538</v>
      </c>
      <c r="CC3309" t="s">
        <v>1504</v>
      </c>
      <c r="CD3309">
        <v>4339</v>
      </c>
      <c r="CE3309" t="s">
        <v>116</v>
      </c>
      <c r="CF3309" s="3">
        <v>45804</v>
      </c>
      <c r="CI3309">
        <v>1</v>
      </c>
      <c r="CJ3309">
        <v>1</v>
      </c>
      <c r="CK3309">
        <v>23</v>
      </c>
      <c r="CL3309" t="s">
        <v>89</v>
      </c>
    </row>
    <row r="3310" spans="1:90" x14ac:dyDescent="0.3">
      <c r="A3310" t="s">
        <v>72</v>
      </c>
      <c r="B3310" t="s">
        <v>73</v>
      </c>
      <c r="C3310" t="s">
        <v>74</v>
      </c>
      <c r="E3310" t="str">
        <f>"080065562295"</f>
        <v>080065562295</v>
      </c>
      <c r="F3310" s="3">
        <v>45803</v>
      </c>
      <c r="G3310">
        <v>202602</v>
      </c>
      <c r="H3310" t="s">
        <v>75</v>
      </c>
      <c r="I3310" t="s">
        <v>76</v>
      </c>
      <c r="J3310" t="s">
        <v>77</v>
      </c>
      <c r="K3310" t="s">
        <v>78</v>
      </c>
      <c r="L3310" t="s">
        <v>75</v>
      </c>
      <c r="M3310" t="s">
        <v>76</v>
      </c>
      <c r="N3310" t="s">
        <v>1574</v>
      </c>
      <c r="O3310" t="s">
        <v>82</v>
      </c>
      <c r="P3310" t="str">
        <f>"4170040637                    "</f>
        <v xml:space="preserve">4170040637                    </v>
      </c>
      <c r="Q3310">
        <v>0</v>
      </c>
      <c r="R3310">
        <v>0</v>
      </c>
      <c r="S3310">
        <v>0</v>
      </c>
      <c r="T3310">
        <v>0</v>
      </c>
      <c r="U3310">
        <v>0</v>
      </c>
      <c r="V3310">
        <v>0</v>
      </c>
      <c r="W3310">
        <v>0</v>
      </c>
      <c r="X3310">
        <v>0</v>
      </c>
      <c r="Y3310">
        <v>0</v>
      </c>
      <c r="Z3310">
        <v>0</v>
      </c>
      <c r="AA3310">
        <v>0</v>
      </c>
      <c r="AB3310">
        <v>0</v>
      </c>
      <c r="AC3310">
        <v>0</v>
      </c>
      <c r="AD3310">
        <v>0</v>
      </c>
      <c r="AE3310">
        <v>0</v>
      </c>
      <c r="AF3310">
        <v>0</v>
      </c>
      <c r="AG3310">
        <v>0</v>
      </c>
      <c r="AH3310">
        <v>0</v>
      </c>
      <c r="AI3310">
        <v>0</v>
      </c>
      <c r="AJ3310">
        <v>0</v>
      </c>
      <c r="AK3310">
        <v>0</v>
      </c>
      <c r="AL3310">
        <v>0</v>
      </c>
      <c r="AM3310">
        <v>0</v>
      </c>
      <c r="AN3310">
        <v>0</v>
      </c>
      <c r="AO3310">
        <v>0</v>
      </c>
      <c r="AP3310">
        <v>0</v>
      </c>
      <c r="AQ3310">
        <v>16.7</v>
      </c>
      <c r="AR3310">
        <v>0</v>
      </c>
      <c r="AS3310">
        <v>0</v>
      </c>
      <c r="AT3310">
        <v>0</v>
      </c>
      <c r="AU3310">
        <v>0</v>
      </c>
      <c r="AV3310">
        <v>0</v>
      </c>
      <c r="AW3310">
        <v>0</v>
      </c>
      <c r="AX3310">
        <v>0</v>
      </c>
      <c r="AY3310">
        <v>0</v>
      </c>
      <c r="AZ3310">
        <v>0</v>
      </c>
      <c r="BA3310">
        <v>0</v>
      </c>
      <c r="BB3310">
        <v>0</v>
      </c>
      <c r="BC3310">
        <v>0</v>
      </c>
      <c r="BD3310">
        <v>0</v>
      </c>
      <c r="BE3310">
        <v>0</v>
      </c>
      <c r="BF3310">
        <v>0</v>
      </c>
      <c r="BG3310">
        <v>0</v>
      </c>
      <c r="BH3310">
        <v>1</v>
      </c>
      <c r="BI3310">
        <v>1</v>
      </c>
      <c r="BJ3310">
        <v>0.2</v>
      </c>
      <c r="BK3310">
        <v>1</v>
      </c>
      <c r="BL3310">
        <v>54.66</v>
      </c>
      <c r="BM3310">
        <v>8.1999999999999993</v>
      </c>
      <c r="BN3310">
        <v>62.86</v>
      </c>
      <c r="BO3310">
        <v>62.86</v>
      </c>
      <c r="BQ3310" t="s">
        <v>1575</v>
      </c>
      <c r="BR3310" t="s">
        <v>84</v>
      </c>
      <c r="BS3310" s="3">
        <v>45804</v>
      </c>
      <c r="BT3310" s="4">
        <v>0.38263888888888886</v>
      </c>
      <c r="BU3310" t="s">
        <v>1576</v>
      </c>
      <c r="BV3310" t="s">
        <v>86</v>
      </c>
      <c r="BY3310">
        <v>1200</v>
      </c>
      <c r="CA3310" t="s">
        <v>605</v>
      </c>
      <c r="CC3310" t="s">
        <v>76</v>
      </c>
      <c r="CD3310">
        <v>1609</v>
      </c>
      <c r="CE3310" t="s">
        <v>88</v>
      </c>
      <c r="CF3310" s="3">
        <v>45804</v>
      </c>
      <c r="CI3310">
        <v>1</v>
      </c>
      <c r="CJ3310">
        <v>1</v>
      </c>
      <c r="CK3310">
        <v>22</v>
      </c>
      <c r="CL3310" t="s">
        <v>89</v>
      </c>
    </row>
    <row r="3311" spans="1:90" x14ac:dyDescent="0.3">
      <c r="A3311" t="s">
        <v>72</v>
      </c>
      <c r="B3311" t="s">
        <v>73</v>
      </c>
      <c r="C3311" t="s">
        <v>74</v>
      </c>
      <c r="E3311" t="str">
        <f>"080065562315"</f>
        <v>080065562315</v>
      </c>
      <c r="F3311" s="3">
        <v>45803</v>
      </c>
      <c r="G3311">
        <v>202602</v>
      </c>
      <c r="H3311" t="s">
        <v>75</v>
      </c>
      <c r="I3311" t="s">
        <v>76</v>
      </c>
      <c r="J3311" t="s">
        <v>77</v>
      </c>
      <c r="K3311" t="s">
        <v>78</v>
      </c>
      <c r="L3311" t="s">
        <v>445</v>
      </c>
      <c r="M3311" t="s">
        <v>446</v>
      </c>
      <c r="N3311" t="s">
        <v>2782</v>
      </c>
      <c r="O3311" t="s">
        <v>82</v>
      </c>
      <c r="P3311" t="str">
        <f>"4170040594                    "</f>
        <v xml:space="preserve">4170040594                    </v>
      </c>
      <c r="Q3311">
        <v>0</v>
      </c>
      <c r="R3311">
        <v>0</v>
      </c>
      <c r="S3311">
        <v>0</v>
      </c>
      <c r="T3311">
        <v>0</v>
      </c>
      <c r="U3311">
        <v>0</v>
      </c>
      <c r="V3311">
        <v>0</v>
      </c>
      <c r="W3311">
        <v>0</v>
      </c>
      <c r="X3311">
        <v>0</v>
      </c>
      <c r="Y3311">
        <v>0</v>
      </c>
      <c r="Z3311">
        <v>0</v>
      </c>
      <c r="AA3311">
        <v>0</v>
      </c>
      <c r="AB3311">
        <v>0</v>
      </c>
      <c r="AC3311">
        <v>0</v>
      </c>
      <c r="AD3311">
        <v>0</v>
      </c>
      <c r="AE3311">
        <v>0</v>
      </c>
      <c r="AF3311">
        <v>0</v>
      </c>
      <c r="AG3311">
        <v>0</v>
      </c>
      <c r="AH3311">
        <v>0</v>
      </c>
      <c r="AI3311">
        <v>0</v>
      </c>
      <c r="AJ3311">
        <v>0</v>
      </c>
      <c r="AK3311">
        <v>0</v>
      </c>
      <c r="AL3311">
        <v>0</v>
      </c>
      <c r="AM3311">
        <v>0</v>
      </c>
      <c r="AN3311">
        <v>0</v>
      </c>
      <c r="AO3311">
        <v>0</v>
      </c>
      <c r="AP3311">
        <v>0</v>
      </c>
      <c r="AQ3311">
        <v>41.43</v>
      </c>
      <c r="AR3311">
        <v>0</v>
      </c>
      <c r="AS3311">
        <v>0</v>
      </c>
      <c r="AT3311">
        <v>0</v>
      </c>
      <c r="AU3311">
        <v>0</v>
      </c>
      <c r="AV3311">
        <v>0</v>
      </c>
      <c r="AW3311">
        <v>0</v>
      </c>
      <c r="AX3311">
        <v>0</v>
      </c>
      <c r="AY3311">
        <v>0</v>
      </c>
      <c r="AZ3311">
        <v>0</v>
      </c>
      <c r="BA3311">
        <v>0</v>
      </c>
      <c r="BB3311">
        <v>0</v>
      </c>
      <c r="BC3311">
        <v>0</v>
      </c>
      <c r="BD3311">
        <v>0</v>
      </c>
      <c r="BE3311">
        <v>0</v>
      </c>
      <c r="BF3311">
        <v>0</v>
      </c>
      <c r="BG3311">
        <v>0</v>
      </c>
      <c r="BH3311">
        <v>1</v>
      </c>
      <c r="BI3311">
        <v>1</v>
      </c>
      <c r="BJ3311">
        <v>0.2</v>
      </c>
      <c r="BK3311">
        <v>1</v>
      </c>
      <c r="BL3311">
        <v>135.59</v>
      </c>
      <c r="BM3311">
        <v>20.34</v>
      </c>
      <c r="BN3311">
        <v>155.93</v>
      </c>
      <c r="BO3311">
        <v>155.93</v>
      </c>
      <c r="BQ3311" t="s">
        <v>2783</v>
      </c>
      <c r="BR3311" t="s">
        <v>84</v>
      </c>
      <c r="BS3311" s="3">
        <v>45804</v>
      </c>
      <c r="BT3311" s="4">
        <v>0.40972222222222221</v>
      </c>
      <c r="BU3311" t="s">
        <v>3154</v>
      </c>
      <c r="BV3311" t="s">
        <v>86</v>
      </c>
      <c r="BY3311">
        <v>1200</v>
      </c>
      <c r="CA3311" t="s">
        <v>2538</v>
      </c>
      <c r="CC3311" t="s">
        <v>446</v>
      </c>
      <c r="CD3311">
        <v>4399</v>
      </c>
      <c r="CE3311" t="s">
        <v>88</v>
      </c>
      <c r="CF3311" s="3">
        <v>45804</v>
      </c>
      <c r="CI3311">
        <v>1</v>
      </c>
      <c r="CJ3311">
        <v>1</v>
      </c>
      <c r="CK3311">
        <v>23</v>
      </c>
      <c r="CL3311" t="s">
        <v>89</v>
      </c>
    </row>
    <row r="3312" spans="1:90" x14ac:dyDescent="0.3">
      <c r="A3312" t="s">
        <v>72</v>
      </c>
      <c r="B3312" t="s">
        <v>73</v>
      </c>
      <c r="C3312" t="s">
        <v>74</v>
      </c>
      <c r="E3312" t="str">
        <f>"080065562335"</f>
        <v>080065562335</v>
      </c>
      <c r="F3312" s="3">
        <v>45803</v>
      </c>
      <c r="G3312">
        <v>202602</v>
      </c>
      <c r="H3312" t="s">
        <v>75</v>
      </c>
      <c r="I3312" t="s">
        <v>76</v>
      </c>
      <c r="J3312" t="s">
        <v>77</v>
      </c>
      <c r="K3312" t="s">
        <v>78</v>
      </c>
      <c r="L3312" t="s">
        <v>610</v>
      </c>
      <c r="M3312" t="s">
        <v>611</v>
      </c>
      <c r="N3312" t="s">
        <v>612</v>
      </c>
      <c r="O3312" t="s">
        <v>82</v>
      </c>
      <c r="P3312" t="str">
        <f>"4170040540                    "</f>
        <v xml:space="preserve">4170040540                    </v>
      </c>
      <c r="Q3312">
        <v>0</v>
      </c>
      <c r="R3312">
        <v>0</v>
      </c>
      <c r="S3312">
        <v>0</v>
      </c>
      <c r="T3312">
        <v>0</v>
      </c>
      <c r="U3312">
        <v>0</v>
      </c>
      <c r="V3312">
        <v>0</v>
      </c>
      <c r="W3312">
        <v>0</v>
      </c>
      <c r="X3312">
        <v>0</v>
      </c>
      <c r="Y3312">
        <v>0</v>
      </c>
      <c r="Z3312">
        <v>0</v>
      </c>
      <c r="AA3312">
        <v>0</v>
      </c>
      <c r="AB3312">
        <v>0</v>
      </c>
      <c r="AC3312">
        <v>0</v>
      </c>
      <c r="AD3312">
        <v>0</v>
      </c>
      <c r="AE3312">
        <v>0</v>
      </c>
      <c r="AF3312">
        <v>0</v>
      </c>
      <c r="AG3312">
        <v>0</v>
      </c>
      <c r="AH3312">
        <v>0</v>
      </c>
      <c r="AI3312">
        <v>0</v>
      </c>
      <c r="AJ3312">
        <v>0</v>
      </c>
      <c r="AK3312">
        <v>0</v>
      </c>
      <c r="AL3312">
        <v>0</v>
      </c>
      <c r="AM3312">
        <v>0</v>
      </c>
      <c r="AN3312">
        <v>0</v>
      </c>
      <c r="AO3312">
        <v>0</v>
      </c>
      <c r="AP3312">
        <v>0</v>
      </c>
      <c r="AQ3312">
        <v>60.14</v>
      </c>
      <c r="AR3312">
        <v>0</v>
      </c>
      <c r="AS3312">
        <v>0</v>
      </c>
      <c r="AT3312">
        <v>0</v>
      </c>
      <c r="AU3312">
        <v>0</v>
      </c>
      <c r="AV3312">
        <v>0</v>
      </c>
      <c r="AW3312">
        <v>0</v>
      </c>
      <c r="AX3312">
        <v>0</v>
      </c>
      <c r="AY3312">
        <v>0</v>
      </c>
      <c r="AZ3312">
        <v>0</v>
      </c>
      <c r="BA3312">
        <v>0</v>
      </c>
      <c r="BB3312">
        <v>0</v>
      </c>
      <c r="BC3312">
        <v>0</v>
      </c>
      <c r="BD3312">
        <v>0</v>
      </c>
      <c r="BE3312">
        <v>0</v>
      </c>
      <c r="BF3312">
        <v>0</v>
      </c>
      <c r="BG3312">
        <v>0</v>
      </c>
      <c r="BH3312">
        <v>1</v>
      </c>
      <c r="BI3312">
        <v>3</v>
      </c>
      <c r="BJ3312">
        <v>1.4</v>
      </c>
      <c r="BK3312">
        <v>3</v>
      </c>
      <c r="BL3312">
        <v>196.82</v>
      </c>
      <c r="BM3312">
        <v>29.52</v>
      </c>
      <c r="BN3312">
        <v>226.34</v>
      </c>
      <c r="BO3312">
        <v>226.34</v>
      </c>
      <c r="BQ3312" t="s">
        <v>613</v>
      </c>
      <c r="BR3312" t="s">
        <v>84</v>
      </c>
      <c r="BS3312" s="3">
        <v>45804</v>
      </c>
      <c r="BT3312" s="4">
        <v>0.5083333333333333</v>
      </c>
      <c r="BU3312" t="s">
        <v>3155</v>
      </c>
      <c r="BV3312" t="s">
        <v>86</v>
      </c>
      <c r="BY3312">
        <v>7000</v>
      </c>
      <c r="CA3312" t="s">
        <v>3156</v>
      </c>
      <c r="CC3312" t="s">
        <v>611</v>
      </c>
      <c r="CD3312">
        <v>7349</v>
      </c>
      <c r="CE3312" t="s">
        <v>96</v>
      </c>
      <c r="CF3312" s="3">
        <v>45805</v>
      </c>
      <c r="CI3312">
        <v>1</v>
      </c>
      <c r="CJ3312">
        <v>1</v>
      </c>
      <c r="CK3312">
        <v>23</v>
      </c>
      <c r="CL3312" t="s">
        <v>89</v>
      </c>
    </row>
    <row r="3313" spans="1:90" x14ac:dyDescent="0.3">
      <c r="A3313" t="s">
        <v>72</v>
      </c>
      <c r="B3313" t="s">
        <v>73</v>
      </c>
      <c r="C3313" t="s">
        <v>74</v>
      </c>
      <c r="E3313" t="str">
        <f>"080065562350"</f>
        <v>080065562350</v>
      </c>
      <c r="F3313" s="3">
        <v>45803</v>
      </c>
      <c r="G3313">
        <v>202602</v>
      </c>
      <c r="H3313" t="s">
        <v>75</v>
      </c>
      <c r="I3313" t="s">
        <v>76</v>
      </c>
      <c r="J3313" t="s">
        <v>77</v>
      </c>
      <c r="K3313" t="s">
        <v>78</v>
      </c>
      <c r="L3313" t="s">
        <v>445</v>
      </c>
      <c r="M3313" t="s">
        <v>446</v>
      </c>
      <c r="N3313" t="s">
        <v>2782</v>
      </c>
      <c r="O3313" t="s">
        <v>82</v>
      </c>
      <c r="P3313" t="str">
        <f>"4170040593                    "</f>
        <v xml:space="preserve">4170040593                    </v>
      </c>
      <c r="Q3313">
        <v>0</v>
      </c>
      <c r="R3313">
        <v>0</v>
      </c>
      <c r="S3313">
        <v>0</v>
      </c>
      <c r="T3313">
        <v>0</v>
      </c>
      <c r="U3313">
        <v>0</v>
      </c>
      <c r="V3313">
        <v>0</v>
      </c>
      <c r="W3313">
        <v>0</v>
      </c>
      <c r="X3313">
        <v>0</v>
      </c>
      <c r="Y3313">
        <v>0</v>
      </c>
      <c r="Z3313">
        <v>0</v>
      </c>
      <c r="AA3313">
        <v>0</v>
      </c>
      <c r="AB3313">
        <v>0</v>
      </c>
      <c r="AC3313">
        <v>0</v>
      </c>
      <c r="AD3313">
        <v>0</v>
      </c>
      <c r="AE3313">
        <v>0</v>
      </c>
      <c r="AF3313">
        <v>0</v>
      </c>
      <c r="AG3313">
        <v>0</v>
      </c>
      <c r="AH3313">
        <v>0</v>
      </c>
      <c r="AI3313">
        <v>0</v>
      </c>
      <c r="AJ3313">
        <v>0</v>
      </c>
      <c r="AK3313">
        <v>0</v>
      </c>
      <c r="AL3313">
        <v>0</v>
      </c>
      <c r="AM3313">
        <v>0</v>
      </c>
      <c r="AN3313">
        <v>0</v>
      </c>
      <c r="AO3313">
        <v>0</v>
      </c>
      <c r="AP3313">
        <v>0</v>
      </c>
      <c r="AQ3313">
        <v>41.43</v>
      </c>
      <c r="AR3313">
        <v>0</v>
      </c>
      <c r="AS3313">
        <v>0</v>
      </c>
      <c r="AT3313">
        <v>0</v>
      </c>
      <c r="AU3313">
        <v>0</v>
      </c>
      <c r="AV3313">
        <v>0</v>
      </c>
      <c r="AW3313">
        <v>0</v>
      </c>
      <c r="AX3313">
        <v>0</v>
      </c>
      <c r="AY3313">
        <v>0</v>
      </c>
      <c r="AZ3313">
        <v>0</v>
      </c>
      <c r="BA3313">
        <v>0</v>
      </c>
      <c r="BB3313">
        <v>0</v>
      </c>
      <c r="BC3313">
        <v>0</v>
      </c>
      <c r="BD3313">
        <v>0</v>
      </c>
      <c r="BE3313">
        <v>0</v>
      </c>
      <c r="BF3313">
        <v>0</v>
      </c>
      <c r="BG3313">
        <v>0</v>
      </c>
      <c r="BH3313">
        <v>1</v>
      </c>
      <c r="BI3313">
        <v>1</v>
      </c>
      <c r="BJ3313">
        <v>0.2</v>
      </c>
      <c r="BK3313">
        <v>1</v>
      </c>
      <c r="BL3313">
        <v>135.59</v>
      </c>
      <c r="BM3313">
        <v>20.34</v>
      </c>
      <c r="BN3313">
        <v>155.93</v>
      </c>
      <c r="BO3313">
        <v>155.93</v>
      </c>
      <c r="BQ3313" t="s">
        <v>2783</v>
      </c>
      <c r="BR3313" t="s">
        <v>84</v>
      </c>
      <c r="BS3313" s="3">
        <v>45804</v>
      </c>
      <c r="BT3313" s="4">
        <v>0.40972222222222221</v>
      </c>
      <c r="BU3313" t="s">
        <v>3157</v>
      </c>
      <c r="BV3313" t="s">
        <v>86</v>
      </c>
      <c r="BY3313">
        <v>1200</v>
      </c>
      <c r="CA3313" t="s">
        <v>2538</v>
      </c>
      <c r="CC3313" t="s">
        <v>446</v>
      </c>
      <c r="CD3313">
        <v>4399</v>
      </c>
      <c r="CE3313" t="s">
        <v>88</v>
      </c>
      <c r="CF3313" s="3">
        <v>45804</v>
      </c>
      <c r="CI3313">
        <v>1</v>
      </c>
      <c r="CJ3313">
        <v>1</v>
      </c>
      <c r="CK3313">
        <v>23</v>
      </c>
      <c r="CL3313" t="s">
        <v>89</v>
      </c>
    </row>
    <row r="3314" spans="1:90" x14ac:dyDescent="0.3">
      <c r="A3314" t="s">
        <v>72</v>
      </c>
      <c r="B3314" t="s">
        <v>73</v>
      </c>
      <c r="C3314" t="s">
        <v>74</v>
      </c>
      <c r="E3314" t="str">
        <f>"080065562382"</f>
        <v>080065562382</v>
      </c>
      <c r="F3314" s="3">
        <v>45803</v>
      </c>
      <c r="G3314">
        <v>202602</v>
      </c>
      <c r="H3314" t="s">
        <v>75</v>
      </c>
      <c r="I3314" t="s">
        <v>76</v>
      </c>
      <c r="J3314" t="s">
        <v>77</v>
      </c>
      <c r="K3314" t="s">
        <v>78</v>
      </c>
      <c r="L3314" t="s">
        <v>130</v>
      </c>
      <c r="M3314" t="s">
        <v>131</v>
      </c>
      <c r="N3314" t="s">
        <v>132</v>
      </c>
      <c r="O3314" t="s">
        <v>82</v>
      </c>
      <c r="P3314" t="str">
        <f>"4170040672                    "</f>
        <v xml:space="preserve">4170040672                    </v>
      </c>
      <c r="Q3314">
        <v>0</v>
      </c>
      <c r="R3314">
        <v>0</v>
      </c>
      <c r="S3314">
        <v>0</v>
      </c>
      <c r="T3314">
        <v>0</v>
      </c>
      <c r="U3314">
        <v>0</v>
      </c>
      <c r="V3314">
        <v>0</v>
      </c>
      <c r="W3314">
        <v>0</v>
      </c>
      <c r="X3314">
        <v>0</v>
      </c>
      <c r="Y3314">
        <v>0</v>
      </c>
      <c r="Z3314">
        <v>0</v>
      </c>
      <c r="AA3314">
        <v>0</v>
      </c>
      <c r="AB3314">
        <v>0</v>
      </c>
      <c r="AC3314">
        <v>0</v>
      </c>
      <c r="AD3314">
        <v>0</v>
      </c>
      <c r="AE3314">
        <v>0</v>
      </c>
      <c r="AF3314">
        <v>0</v>
      </c>
      <c r="AG3314">
        <v>0</v>
      </c>
      <c r="AH3314">
        <v>0</v>
      </c>
      <c r="AI3314">
        <v>0</v>
      </c>
      <c r="AJ3314">
        <v>0</v>
      </c>
      <c r="AK3314">
        <v>0</v>
      </c>
      <c r="AL3314">
        <v>0</v>
      </c>
      <c r="AM3314">
        <v>0</v>
      </c>
      <c r="AN3314">
        <v>0</v>
      </c>
      <c r="AO3314">
        <v>0</v>
      </c>
      <c r="AP3314">
        <v>0</v>
      </c>
      <c r="AQ3314">
        <v>21.38</v>
      </c>
      <c r="AR3314">
        <v>0</v>
      </c>
      <c r="AS3314">
        <v>0</v>
      </c>
      <c r="AT3314">
        <v>0</v>
      </c>
      <c r="AU3314">
        <v>0</v>
      </c>
      <c r="AV3314">
        <v>0</v>
      </c>
      <c r="AW3314">
        <v>0</v>
      </c>
      <c r="AX3314">
        <v>0</v>
      </c>
      <c r="AY3314">
        <v>0</v>
      </c>
      <c r="AZ3314">
        <v>0</v>
      </c>
      <c r="BA3314">
        <v>0</v>
      </c>
      <c r="BB3314">
        <v>0</v>
      </c>
      <c r="BC3314">
        <v>0</v>
      </c>
      <c r="BD3314">
        <v>0</v>
      </c>
      <c r="BE3314">
        <v>0</v>
      </c>
      <c r="BF3314">
        <v>0</v>
      </c>
      <c r="BG3314">
        <v>0</v>
      </c>
      <c r="BH3314">
        <v>1</v>
      </c>
      <c r="BI3314">
        <v>1</v>
      </c>
      <c r="BJ3314">
        <v>0.2</v>
      </c>
      <c r="BK3314">
        <v>1</v>
      </c>
      <c r="BL3314">
        <v>69.98</v>
      </c>
      <c r="BM3314">
        <v>10.5</v>
      </c>
      <c r="BN3314">
        <v>80.48</v>
      </c>
      <c r="BO3314">
        <v>80.48</v>
      </c>
      <c r="BQ3314" t="s">
        <v>133</v>
      </c>
      <c r="BR3314" t="s">
        <v>84</v>
      </c>
      <c r="BS3314" s="3">
        <v>45804</v>
      </c>
      <c r="BT3314" s="4">
        <v>0.38194444444444442</v>
      </c>
      <c r="BU3314" t="s">
        <v>3158</v>
      </c>
      <c r="BV3314" t="s">
        <v>86</v>
      </c>
      <c r="BY3314">
        <v>1200</v>
      </c>
      <c r="CA3314" t="s">
        <v>135</v>
      </c>
      <c r="CC3314" t="s">
        <v>131</v>
      </c>
      <c r="CD3314">
        <v>7490</v>
      </c>
      <c r="CE3314" t="s">
        <v>88</v>
      </c>
      <c r="CF3314" s="3">
        <v>45805</v>
      </c>
      <c r="CI3314">
        <v>1</v>
      </c>
      <c r="CJ3314">
        <v>1</v>
      </c>
      <c r="CK3314">
        <v>21</v>
      </c>
      <c r="CL3314" t="s">
        <v>89</v>
      </c>
    </row>
    <row r="3315" spans="1:90" x14ac:dyDescent="0.3">
      <c r="A3315" t="s">
        <v>72</v>
      </c>
      <c r="B3315" t="s">
        <v>73</v>
      </c>
      <c r="C3315" t="s">
        <v>74</v>
      </c>
      <c r="E3315" t="str">
        <f>"080065562383"</f>
        <v>080065562383</v>
      </c>
      <c r="F3315" s="3">
        <v>45803</v>
      </c>
      <c r="G3315">
        <v>202602</v>
      </c>
      <c r="H3315" t="s">
        <v>75</v>
      </c>
      <c r="I3315" t="s">
        <v>76</v>
      </c>
      <c r="J3315" t="s">
        <v>77</v>
      </c>
      <c r="K3315" t="s">
        <v>78</v>
      </c>
      <c r="L3315" t="s">
        <v>136</v>
      </c>
      <c r="M3315" t="s">
        <v>137</v>
      </c>
      <c r="N3315" t="s">
        <v>892</v>
      </c>
      <c r="O3315" t="s">
        <v>82</v>
      </c>
      <c r="P3315" t="str">
        <f>"4170040664                    "</f>
        <v xml:space="preserve">4170040664                    </v>
      </c>
      <c r="Q3315">
        <v>0</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c r="AJ3315">
        <v>0</v>
      </c>
      <c r="AK3315">
        <v>0</v>
      </c>
      <c r="AL3315">
        <v>0</v>
      </c>
      <c r="AM3315">
        <v>0</v>
      </c>
      <c r="AN3315">
        <v>0</v>
      </c>
      <c r="AO3315">
        <v>0</v>
      </c>
      <c r="AP3315">
        <v>0</v>
      </c>
      <c r="AQ3315">
        <v>37.409999999999997</v>
      </c>
      <c r="AR3315">
        <v>0</v>
      </c>
      <c r="AS3315">
        <v>0</v>
      </c>
      <c r="AT3315">
        <v>0</v>
      </c>
      <c r="AU3315">
        <v>0</v>
      </c>
      <c r="AV3315">
        <v>0</v>
      </c>
      <c r="AW3315">
        <v>0</v>
      </c>
      <c r="AX3315">
        <v>0</v>
      </c>
      <c r="AY3315">
        <v>0</v>
      </c>
      <c r="AZ3315">
        <v>0</v>
      </c>
      <c r="BA3315">
        <v>0</v>
      </c>
      <c r="BB3315">
        <v>0</v>
      </c>
      <c r="BC3315">
        <v>0</v>
      </c>
      <c r="BD3315">
        <v>0</v>
      </c>
      <c r="BE3315">
        <v>0</v>
      </c>
      <c r="BF3315">
        <v>0</v>
      </c>
      <c r="BG3315">
        <v>0</v>
      </c>
      <c r="BH3315">
        <v>1</v>
      </c>
      <c r="BI3315">
        <v>2</v>
      </c>
      <c r="BJ3315">
        <v>3.4</v>
      </c>
      <c r="BK3315">
        <v>3.5</v>
      </c>
      <c r="BL3315">
        <v>122.43</v>
      </c>
      <c r="BM3315">
        <v>18.36</v>
      </c>
      <c r="BN3315">
        <v>140.79</v>
      </c>
      <c r="BO3315">
        <v>140.79</v>
      </c>
      <c r="BQ3315" t="s">
        <v>893</v>
      </c>
      <c r="BR3315" t="s">
        <v>84</v>
      </c>
      <c r="BS3315" s="3">
        <v>45804</v>
      </c>
      <c r="BT3315" s="4">
        <v>0.36249999999999999</v>
      </c>
      <c r="BU3315" t="s">
        <v>3159</v>
      </c>
      <c r="BV3315" t="s">
        <v>86</v>
      </c>
      <c r="BY3315">
        <v>17136</v>
      </c>
      <c r="CA3315" t="s">
        <v>253</v>
      </c>
      <c r="CC3315" t="s">
        <v>137</v>
      </c>
      <c r="CD3315" s="5" t="s">
        <v>895</v>
      </c>
      <c r="CE3315" t="s">
        <v>221</v>
      </c>
      <c r="CF3315" s="3">
        <v>45804</v>
      </c>
      <c r="CI3315">
        <v>1</v>
      </c>
      <c r="CJ3315">
        <v>1</v>
      </c>
      <c r="CK3315">
        <v>21</v>
      </c>
      <c r="CL3315" t="s">
        <v>89</v>
      </c>
    </row>
    <row r="3316" spans="1:90" x14ac:dyDescent="0.3">
      <c r="A3316" t="s">
        <v>72</v>
      </c>
      <c r="B3316" t="s">
        <v>73</v>
      </c>
      <c r="C3316" t="s">
        <v>74</v>
      </c>
      <c r="E3316" t="str">
        <f>"080065562401"</f>
        <v>080065562401</v>
      </c>
      <c r="F3316" s="3">
        <v>45803</v>
      </c>
      <c r="G3316">
        <v>202602</v>
      </c>
      <c r="H3316" t="s">
        <v>75</v>
      </c>
      <c r="I3316" t="s">
        <v>76</v>
      </c>
      <c r="J3316" t="s">
        <v>77</v>
      </c>
      <c r="K3316" t="s">
        <v>78</v>
      </c>
      <c r="L3316" t="s">
        <v>463</v>
      </c>
      <c r="M3316" t="s">
        <v>464</v>
      </c>
      <c r="N3316" t="s">
        <v>585</v>
      </c>
      <c r="O3316" t="s">
        <v>82</v>
      </c>
      <c r="P3316" t="str">
        <f>"4170040681                    "</f>
        <v xml:space="preserve">4170040681                    </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0</v>
      </c>
      <c r="AJ3316">
        <v>0</v>
      </c>
      <c r="AK3316">
        <v>0</v>
      </c>
      <c r="AL3316">
        <v>0</v>
      </c>
      <c r="AM3316">
        <v>0</v>
      </c>
      <c r="AN3316">
        <v>0</v>
      </c>
      <c r="AO3316">
        <v>0</v>
      </c>
      <c r="AP3316">
        <v>0</v>
      </c>
      <c r="AQ3316">
        <v>21.38</v>
      </c>
      <c r="AR3316">
        <v>0</v>
      </c>
      <c r="AS3316">
        <v>0</v>
      </c>
      <c r="AT3316">
        <v>0</v>
      </c>
      <c r="AU3316">
        <v>0</v>
      </c>
      <c r="AV3316">
        <v>0</v>
      </c>
      <c r="AW3316">
        <v>0</v>
      </c>
      <c r="AX3316">
        <v>0</v>
      </c>
      <c r="AY3316">
        <v>0</v>
      </c>
      <c r="AZ3316">
        <v>0</v>
      </c>
      <c r="BA3316">
        <v>0</v>
      </c>
      <c r="BB3316">
        <v>0</v>
      </c>
      <c r="BC3316">
        <v>0</v>
      </c>
      <c r="BD3316">
        <v>0</v>
      </c>
      <c r="BE3316">
        <v>0</v>
      </c>
      <c r="BF3316">
        <v>0</v>
      </c>
      <c r="BG3316">
        <v>0</v>
      </c>
      <c r="BH3316">
        <v>1</v>
      </c>
      <c r="BI3316">
        <v>1</v>
      </c>
      <c r="BJ3316">
        <v>0.2</v>
      </c>
      <c r="BK3316">
        <v>1</v>
      </c>
      <c r="BL3316">
        <v>69.98</v>
      </c>
      <c r="BM3316">
        <v>10.5</v>
      </c>
      <c r="BN3316">
        <v>80.48</v>
      </c>
      <c r="BO3316">
        <v>80.48</v>
      </c>
      <c r="BQ3316" t="s">
        <v>586</v>
      </c>
      <c r="BR3316" t="s">
        <v>84</v>
      </c>
      <c r="BS3316" s="3">
        <v>45804</v>
      </c>
      <c r="BT3316" s="4">
        <v>0.4375</v>
      </c>
      <c r="BU3316" t="s">
        <v>1300</v>
      </c>
      <c r="BV3316" t="s">
        <v>86</v>
      </c>
      <c r="BY3316">
        <v>1200</v>
      </c>
      <c r="CA3316" t="s">
        <v>588</v>
      </c>
      <c r="CC3316" t="s">
        <v>464</v>
      </c>
      <c r="CD3316">
        <v>5200</v>
      </c>
      <c r="CE3316" t="s">
        <v>88</v>
      </c>
      <c r="CF3316" s="3">
        <v>45804</v>
      </c>
      <c r="CI3316">
        <v>1</v>
      </c>
      <c r="CJ3316">
        <v>1</v>
      </c>
      <c r="CK3316">
        <v>21</v>
      </c>
      <c r="CL3316" t="s">
        <v>89</v>
      </c>
    </row>
    <row r="3317" spans="1:90" x14ac:dyDescent="0.3">
      <c r="A3317" t="s">
        <v>72</v>
      </c>
      <c r="B3317" t="s">
        <v>73</v>
      </c>
      <c r="C3317" t="s">
        <v>74</v>
      </c>
      <c r="E3317" t="str">
        <f>"080065562414"</f>
        <v>080065562414</v>
      </c>
      <c r="F3317" s="3">
        <v>45803</v>
      </c>
      <c r="G3317">
        <v>202602</v>
      </c>
      <c r="H3317" t="s">
        <v>75</v>
      </c>
      <c r="I3317" t="s">
        <v>76</v>
      </c>
      <c r="J3317" t="s">
        <v>77</v>
      </c>
      <c r="K3317" t="s">
        <v>78</v>
      </c>
      <c r="L3317" t="s">
        <v>90</v>
      </c>
      <c r="M3317" t="s">
        <v>91</v>
      </c>
      <c r="N3317" t="s">
        <v>1586</v>
      </c>
      <c r="O3317" t="s">
        <v>82</v>
      </c>
      <c r="P3317" t="str">
        <f>"4170040536                    "</f>
        <v xml:space="preserve">4170040536                    </v>
      </c>
      <c r="Q3317">
        <v>0</v>
      </c>
      <c r="R3317">
        <v>0</v>
      </c>
      <c r="S3317">
        <v>0</v>
      </c>
      <c r="T3317">
        <v>0</v>
      </c>
      <c r="U3317">
        <v>0</v>
      </c>
      <c r="V3317">
        <v>0</v>
      </c>
      <c r="W3317">
        <v>0</v>
      </c>
      <c r="X3317">
        <v>0</v>
      </c>
      <c r="Y3317">
        <v>0</v>
      </c>
      <c r="Z3317">
        <v>0</v>
      </c>
      <c r="AA3317">
        <v>0</v>
      </c>
      <c r="AB3317">
        <v>0</v>
      </c>
      <c r="AC3317">
        <v>0</v>
      </c>
      <c r="AD3317">
        <v>0</v>
      </c>
      <c r="AE3317">
        <v>0</v>
      </c>
      <c r="AF3317">
        <v>0</v>
      </c>
      <c r="AG3317">
        <v>0</v>
      </c>
      <c r="AH3317">
        <v>0</v>
      </c>
      <c r="AI3317">
        <v>0</v>
      </c>
      <c r="AJ3317">
        <v>0</v>
      </c>
      <c r="AK3317">
        <v>0</v>
      </c>
      <c r="AL3317">
        <v>0</v>
      </c>
      <c r="AM3317">
        <v>0</v>
      </c>
      <c r="AN3317">
        <v>0</v>
      </c>
      <c r="AO3317">
        <v>0</v>
      </c>
      <c r="AP3317">
        <v>0</v>
      </c>
      <c r="AQ3317">
        <v>21.38</v>
      </c>
      <c r="AR3317">
        <v>0</v>
      </c>
      <c r="AS3317">
        <v>0</v>
      </c>
      <c r="AT3317">
        <v>0</v>
      </c>
      <c r="AU3317">
        <v>0</v>
      </c>
      <c r="AV3317">
        <v>0</v>
      </c>
      <c r="AW3317">
        <v>0</v>
      </c>
      <c r="AX3317">
        <v>0</v>
      </c>
      <c r="AY3317">
        <v>0</v>
      </c>
      <c r="AZ3317">
        <v>0</v>
      </c>
      <c r="BA3317">
        <v>0</v>
      </c>
      <c r="BB3317">
        <v>0</v>
      </c>
      <c r="BC3317">
        <v>0</v>
      </c>
      <c r="BD3317">
        <v>0</v>
      </c>
      <c r="BE3317">
        <v>0</v>
      </c>
      <c r="BF3317">
        <v>0</v>
      </c>
      <c r="BG3317">
        <v>0</v>
      </c>
      <c r="BH3317">
        <v>1</v>
      </c>
      <c r="BI3317">
        <v>1</v>
      </c>
      <c r="BJ3317">
        <v>1.4</v>
      </c>
      <c r="BK3317">
        <v>1.5</v>
      </c>
      <c r="BL3317">
        <v>69.98</v>
      </c>
      <c r="BM3317">
        <v>10.5</v>
      </c>
      <c r="BN3317">
        <v>80.48</v>
      </c>
      <c r="BO3317">
        <v>80.48</v>
      </c>
      <c r="BQ3317" t="s">
        <v>1587</v>
      </c>
      <c r="BR3317" t="s">
        <v>84</v>
      </c>
      <c r="BS3317" s="3">
        <v>45804</v>
      </c>
      <c r="BT3317" s="4">
        <v>0.34652777777777777</v>
      </c>
      <c r="BU3317" t="s">
        <v>742</v>
      </c>
      <c r="BV3317" t="s">
        <v>86</v>
      </c>
      <c r="BY3317">
        <v>7000</v>
      </c>
      <c r="CA3317" t="s">
        <v>824</v>
      </c>
      <c r="CC3317" t="s">
        <v>91</v>
      </c>
      <c r="CD3317">
        <v>6001</v>
      </c>
      <c r="CE3317" t="s">
        <v>96</v>
      </c>
      <c r="CF3317" s="3">
        <v>45804</v>
      </c>
      <c r="CI3317">
        <v>1</v>
      </c>
      <c r="CJ3317">
        <v>1</v>
      </c>
      <c r="CK3317">
        <v>21</v>
      </c>
      <c r="CL3317" t="s">
        <v>89</v>
      </c>
    </row>
    <row r="3318" spans="1:90" x14ac:dyDescent="0.3">
      <c r="A3318" t="s">
        <v>72</v>
      </c>
      <c r="B3318" t="s">
        <v>73</v>
      </c>
      <c r="C3318" t="s">
        <v>74</v>
      </c>
      <c r="E3318" t="str">
        <f>"080065562427"</f>
        <v>080065562427</v>
      </c>
      <c r="F3318" s="3">
        <v>45803</v>
      </c>
      <c r="G3318">
        <v>202602</v>
      </c>
      <c r="H3318" t="s">
        <v>75</v>
      </c>
      <c r="I3318" t="s">
        <v>76</v>
      </c>
      <c r="J3318" t="s">
        <v>77</v>
      </c>
      <c r="K3318" t="s">
        <v>78</v>
      </c>
      <c r="L3318" t="s">
        <v>79</v>
      </c>
      <c r="M3318" t="s">
        <v>80</v>
      </c>
      <c r="N3318" t="s">
        <v>357</v>
      </c>
      <c r="O3318" t="s">
        <v>82</v>
      </c>
      <c r="P3318" t="str">
        <f>"4170040667                    "</f>
        <v xml:space="preserve">4170040667                    </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0</v>
      </c>
      <c r="AJ3318">
        <v>0</v>
      </c>
      <c r="AK3318">
        <v>0</v>
      </c>
      <c r="AL3318">
        <v>0</v>
      </c>
      <c r="AM3318">
        <v>0</v>
      </c>
      <c r="AN3318">
        <v>0</v>
      </c>
      <c r="AO3318">
        <v>0</v>
      </c>
      <c r="AP3318">
        <v>0</v>
      </c>
      <c r="AQ3318">
        <v>21.38</v>
      </c>
      <c r="AR3318">
        <v>0</v>
      </c>
      <c r="AS3318">
        <v>0</v>
      </c>
      <c r="AT3318">
        <v>0</v>
      </c>
      <c r="AU3318">
        <v>0</v>
      </c>
      <c r="AV3318">
        <v>0</v>
      </c>
      <c r="AW3318">
        <v>0</v>
      </c>
      <c r="AX3318">
        <v>0</v>
      </c>
      <c r="AY3318">
        <v>0</v>
      </c>
      <c r="AZ3318">
        <v>0</v>
      </c>
      <c r="BA3318">
        <v>0</v>
      </c>
      <c r="BB3318">
        <v>0</v>
      </c>
      <c r="BC3318">
        <v>0</v>
      </c>
      <c r="BD3318">
        <v>0</v>
      </c>
      <c r="BE3318">
        <v>0</v>
      </c>
      <c r="BF3318">
        <v>0</v>
      </c>
      <c r="BG3318">
        <v>0</v>
      </c>
      <c r="BH3318">
        <v>1</v>
      </c>
      <c r="BI3318">
        <v>1</v>
      </c>
      <c r="BJ3318">
        <v>0.2</v>
      </c>
      <c r="BK3318">
        <v>1</v>
      </c>
      <c r="BL3318">
        <v>69.98</v>
      </c>
      <c r="BM3318">
        <v>10.5</v>
      </c>
      <c r="BN3318">
        <v>80.48</v>
      </c>
      <c r="BO3318">
        <v>80.48</v>
      </c>
      <c r="BQ3318" t="s">
        <v>358</v>
      </c>
      <c r="BR3318" t="s">
        <v>84</v>
      </c>
      <c r="BS3318" s="3">
        <v>45804</v>
      </c>
      <c r="BT3318" s="4">
        <v>0.43055555555555558</v>
      </c>
      <c r="BU3318" t="s">
        <v>3160</v>
      </c>
      <c r="BV3318" t="s">
        <v>86</v>
      </c>
      <c r="BY3318">
        <v>1200</v>
      </c>
      <c r="CA3318" t="s">
        <v>87</v>
      </c>
      <c r="CC3318" t="s">
        <v>80</v>
      </c>
      <c r="CD3318">
        <v>3608</v>
      </c>
      <c r="CE3318" t="s">
        <v>88</v>
      </c>
      <c r="CF3318" s="3">
        <v>45804</v>
      </c>
      <c r="CI3318">
        <v>1</v>
      </c>
      <c r="CJ3318">
        <v>1</v>
      </c>
      <c r="CK3318">
        <v>21</v>
      </c>
      <c r="CL3318" t="s">
        <v>89</v>
      </c>
    </row>
    <row r="3319" spans="1:90" x14ac:dyDescent="0.3">
      <c r="A3319" t="s">
        <v>72</v>
      </c>
      <c r="B3319" t="s">
        <v>73</v>
      </c>
      <c r="C3319" t="s">
        <v>74</v>
      </c>
      <c r="E3319" t="str">
        <f>"080065562453"</f>
        <v>080065562453</v>
      </c>
      <c r="F3319" s="3">
        <v>45803</v>
      </c>
      <c r="G3319">
        <v>202602</v>
      </c>
      <c r="H3319" t="s">
        <v>75</v>
      </c>
      <c r="I3319" t="s">
        <v>76</v>
      </c>
      <c r="J3319" t="s">
        <v>77</v>
      </c>
      <c r="K3319" t="s">
        <v>78</v>
      </c>
      <c r="L3319" t="s">
        <v>130</v>
      </c>
      <c r="M3319" t="s">
        <v>131</v>
      </c>
      <c r="N3319" t="s">
        <v>343</v>
      </c>
      <c r="O3319" t="s">
        <v>82</v>
      </c>
      <c r="P3319" t="str">
        <f>"4170040659                    "</f>
        <v xml:space="preserve">4170040659                    </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c r="AJ3319">
        <v>0</v>
      </c>
      <c r="AK3319">
        <v>0</v>
      </c>
      <c r="AL3319">
        <v>0</v>
      </c>
      <c r="AM3319">
        <v>0</v>
      </c>
      <c r="AN3319">
        <v>0</v>
      </c>
      <c r="AO3319">
        <v>0</v>
      </c>
      <c r="AP3319">
        <v>0</v>
      </c>
      <c r="AQ3319">
        <v>53.43</v>
      </c>
      <c r="AR3319">
        <v>0</v>
      </c>
      <c r="AS3319">
        <v>0</v>
      </c>
      <c r="AT3319">
        <v>0</v>
      </c>
      <c r="AU3319">
        <v>0</v>
      </c>
      <c r="AV3319">
        <v>0</v>
      </c>
      <c r="AW3319">
        <v>0</v>
      </c>
      <c r="AX3319">
        <v>0</v>
      </c>
      <c r="AY3319">
        <v>0</v>
      </c>
      <c r="AZ3319">
        <v>0</v>
      </c>
      <c r="BA3319">
        <v>0</v>
      </c>
      <c r="BB3319">
        <v>0</v>
      </c>
      <c r="BC3319">
        <v>0</v>
      </c>
      <c r="BD3319">
        <v>0</v>
      </c>
      <c r="BE3319">
        <v>0</v>
      </c>
      <c r="BF3319">
        <v>0</v>
      </c>
      <c r="BG3319">
        <v>0</v>
      </c>
      <c r="BH3319">
        <v>1</v>
      </c>
      <c r="BI3319">
        <v>5</v>
      </c>
      <c r="BJ3319">
        <v>1.4</v>
      </c>
      <c r="BK3319">
        <v>5</v>
      </c>
      <c r="BL3319">
        <v>174.87</v>
      </c>
      <c r="BM3319">
        <v>26.23</v>
      </c>
      <c r="BN3319">
        <v>201.1</v>
      </c>
      <c r="BO3319">
        <v>201.1</v>
      </c>
      <c r="BQ3319" t="s">
        <v>344</v>
      </c>
      <c r="BR3319" t="s">
        <v>84</v>
      </c>
      <c r="BS3319" s="3">
        <v>45804</v>
      </c>
      <c r="BT3319" s="4">
        <v>0.39930555555555558</v>
      </c>
      <c r="BU3319" t="s">
        <v>345</v>
      </c>
      <c r="BV3319" t="s">
        <v>86</v>
      </c>
      <c r="BY3319">
        <v>7000</v>
      </c>
      <c r="CA3319" t="s">
        <v>242</v>
      </c>
      <c r="CC3319" t="s">
        <v>131</v>
      </c>
      <c r="CD3319">
        <v>7441</v>
      </c>
      <c r="CE3319" t="s">
        <v>96</v>
      </c>
      <c r="CF3319" s="3">
        <v>45805</v>
      </c>
      <c r="CI3319">
        <v>1</v>
      </c>
      <c r="CJ3319">
        <v>1</v>
      </c>
      <c r="CK3319">
        <v>21</v>
      </c>
      <c r="CL3319" t="s">
        <v>89</v>
      </c>
    </row>
    <row r="3320" spans="1:90" x14ac:dyDescent="0.3">
      <c r="A3320" t="s">
        <v>72</v>
      </c>
      <c r="B3320" t="s">
        <v>73</v>
      </c>
      <c r="C3320" t="s">
        <v>74</v>
      </c>
      <c r="E3320" t="str">
        <f>"080065562485"</f>
        <v>080065562485</v>
      </c>
      <c r="F3320" s="3">
        <v>45803</v>
      </c>
      <c r="G3320">
        <v>202602</v>
      </c>
      <c r="H3320" t="s">
        <v>75</v>
      </c>
      <c r="I3320" t="s">
        <v>76</v>
      </c>
      <c r="J3320" t="s">
        <v>77</v>
      </c>
      <c r="K3320" t="s">
        <v>78</v>
      </c>
      <c r="L3320" t="s">
        <v>103</v>
      </c>
      <c r="M3320" t="s">
        <v>104</v>
      </c>
      <c r="N3320" t="s">
        <v>105</v>
      </c>
      <c r="O3320" t="s">
        <v>82</v>
      </c>
      <c r="P3320" t="str">
        <f>"4170040539                    "</f>
        <v xml:space="preserve">4170040539                    </v>
      </c>
      <c r="Q3320">
        <v>0</v>
      </c>
      <c r="R3320">
        <v>0</v>
      </c>
      <c r="S3320">
        <v>0</v>
      </c>
      <c r="T3320">
        <v>0</v>
      </c>
      <c r="U3320">
        <v>0</v>
      </c>
      <c r="V3320">
        <v>0</v>
      </c>
      <c r="W3320">
        <v>0</v>
      </c>
      <c r="X3320">
        <v>0</v>
      </c>
      <c r="Y3320">
        <v>0</v>
      </c>
      <c r="Z3320">
        <v>0</v>
      </c>
      <c r="AA3320">
        <v>0</v>
      </c>
      <c r="AB3320">
        <v>0</v>
      </c>
      <c r="AC3320">
        <v>0</v>
      </c>
      <c r="AD3320">
        <v>0</v>
      </c>
      <c r="AE3320">
        <v>0</v>
      </c>
      <c r="AF3320">
        <v>0</v>
      </c>
      <c r="AG3320">
        <v>0</v>
      </c>
      <c r="AH3320">
        <v>0</v>
      </c>
      <c r="AI3320">
        <v>0</v>
      </c>
      <c r="AJ3320">
        <v>0</v>
      </c>
      <c r="AK3320">
        <v>0</v>
      </c>
      <c r="AL3320">
        <v>0</v>
      </c>
      <c r="AM3320">
        <v>0</v>
      </c>
      <c r="AN3320">
        <v>0</v>
      </c>
      <c r="AO3320">
        <v>0</v>
      </c>
      <c r="AP3320">
        <v>0</v>
      </c>
      <c r="AQ3320">
        <v>53.43</v>
      </c>
      <c r="AR3320">
        <v>0</v>
      </c>
      <c r="AS3320">
        <v>0</v>
      </c>
      <c r="AT3320">
        <v>0</v>
      </c>
      <c r="AU3320">
        <v>0</v>
      </c>
      <c r="AV3320">
        <v>0</v>
      </c>
      <c r="AW3320">
        <v>0</v>
      </c>
      <c r="AX3320">
        <v>0</v>
      </c>
      <c r="AY3320">
        <v>0</v>
      </c>
      <c r="AZ3320">
        <v>0</v>
      </c>
      <c r="BA3320">
        <v>0</v>
      </c>
      <c r="BB3320">
        <v>0</v>
      </c>
      <c r="BC3320">
        <v>0</v>
      </c>
      <c r="BD3320">
        <v>0</v>
      </c>
      <c r="BE3320">
        <v>0</v>
      </c>
      <c r="BF3320">
        <v>0</v>
      </c>
      <c r="BG3320">
        <v>0</v>
      </c>
      <c r="BH3320">
        <v>1</v>
      </c>
      <c r="BI3320">
        <v>5</v>
      </c>
      <c r="BJ3320">
        <v>3.4</v>
      </c>
      <c r="BK3320">
        <v>5</v>
      </c>
      <c r="BL3320">
        <v>174.87</v>
      </c>
      <c r="BM3320">
        <v>26.23</v>
      </c>
      <c r="BN3320">
        <v>201.1</v>
      </c>
      <c r="BO3320">
        <v>201.1</v>
      </c>
      <c r="BQ3320" t="s">
        <v>106</v>
      </c>
      <c r="BR3320" t="s">
        <v>84</v>
      </c>
      <c r="BS3320" s="3">
        <v>45804</v>
      </c>
      <c r="BT3320" s="4">
        <v>0.41666666666666669</v>
      </c>
      <c r="BU3320" t="s">
        <v>430</v>
      </c>
      <c r="BV3320" t="s">
        <v>86</v>
      </c>
      <c r="BY3320">
        <v>16965</v>
      </c>
      <c r="CA3320" t="s">
        <v>108</v>
      </c>
      <c r="CC3320" t="s">
        <v>104</v>
      </c>
      <c r="CD3320">
        <v>3201</v>
      </c>
      <c r="CE3320" t="s">
        <v>96</v>
      </c>
      <c r="CF3320" s="3">
        <v>45804</v>
      </c>
      <c r="CI3320">
        <v>1</v>
      </c>
      <c r="CJ3320">
        <v>1</v>
      </c>
      <c r="CK3320">
        <v>21</v>
      </c>
      <c r="CL3320" t="s">
        <v>89</v>
      </c>
    </row>
    <row r="3321" spans="1:90" x14ac:dyDescent="0.3">
      <c r="A3321" t="s">
        <v>72</v>
      </c>
      <c r="B3321" t="s">
        <v>73</v>
      </c>
      <c r="C3321" t="s">
        <v>74</v>
      </c>
      <c r="E3321" t="str">
        <f>"080065562757"</f>
        <v>080065562757</v>
      </c>
      <c r="F3321" s="3">
        <v>45803</v>
      </c>
      <c r="G3321">
        <v>202602</v>
      </c>
      <c r="H3321" t="s">
        <v>75</v>
      </c>
      <c r="I3321" t="s">
        <v>76</v>
      </c>
      <c r="J3321" t="s">
        <v>77</v>
      </c>
      <c r="K3321" t="s">
        <v>78</v>
      </c>
      <c r="L3321" t="s">
        <v>672</v>
      </c>
      <c r="M3321" t="s">
        <v>673</v>
      </c>
      <c r="N3321" t="s">
        <v>674</v>
      </c>
      <c r="O3321" t="s">
        <v>82</v>
      </c>
      <c r="P3321" t="str">
        <f>"4170040622                    "</f>
        <v xml:space="preserve">4170040622                    </v>
      </c>
      <c r="Q3321">
        <v>0</v>
      </c>
      <c r="R3321">
        <v>0</v>
      </c>
      <c r="S3321">
        <v>0</v>
      </c>
      <c r="T3321">
        <v>0</v>
      </c>
      <c r="U3321">
        <v>0</v>
      </c>
      <c r="V3321">
        <v>0</v>
      </c>
      <c r="W3321">
        <v>0</v>
      </c>
      <c r="X3321">
        <v>0</v>
      </c>
      <c r="Y3321">
        <v>0</v>
      </c>
      <c r="Z3321">
        <v>0</v>
      </c>
      <c r="AA3321">
        <v>0</v>
      </c>
      <c r="AB3321">
        <v>0</v>
      </c>
      <c r="AC3321">
        <v>0</v>
      </c>
      <c r="AD3321">
        <v>0</v>
      </c>
      <c r="AE3321">
        <v>0</v>
      </c>
      <c r="AF3321">
        <v>0</v>
      </c>
      <c r="AG3321">
        <v>0</v>
      </c>
      <c r="AH3321">
        <v>0</v>
      </c>
      <c r="AI3321">
        <v>0</v>
      </c>
      <c r="AJ3321">
        <v>0</v>
      </c>
      <c r="AK3321">
        <v>0</v>
      </c>
      <c r="AL3321">
        <v>0</v>
      </c>
      <c r="AM3321">
        <v>0</v>
      </c>
      <c r="AN3321">
        <v>0</v>
      </c>
      <c r="AO3321">
        <v>0</v>
      </c>
      <c r="AP3321">
        <v>0</v>
      </c>
      <c r="AQ3321">
        <v>41.43</v>
      </c>
      <c r="AR3321">
        <v>0</v>
      </c>
      <c r="AS3321">
        <v>0</v>
      </c>
      <c r="AT3321">
        <v>0</v>
      </c>
      <c r="AU3321">
        <v>0</v>
      </c>
      <c r="AV3321">
        <v>0</v>
      </c>
      <c r="AW3321">
        <v>0</v>
      </c>
      <c r="AX3321">
        <v>0</v>
      </c>
      <c r="AY3321">
        <v>0</v>
      </c>
      <c r="AZ3321">
        <v>0</v>
      </c>
      <c r="BA3321">
        <v>0</v>
      </c>
      <c r="BB3321">
        <v>0</v>
      </c>
      <c r="BC3321">
        <v>0</v>
      </c>
      <c r="BD3321">
        <v>0</v>
      </c>
      <c r="BE3321">
        <v>0</v>
      </c>
      <c r="BF3321">
        <v>0</v>
      </c>
      <c r="BG3321">
        <v>0</v>
      </c>
      <c r="BH3321">
        <v>1</v>
      </c>
      <c r="BI3321">
        <v>1</v>
      </c>
      <c r="BJ3321">
        <v>0.2</v>
      </c>
      <c r="BK3321">
        <v>1</v>
      </c>
      <c r="BL3321">
        <v>135.59</v>
      </c>
      <c r="BM3321">
        <v>20.34</v>
      </c>
      <c r="BN3321">
        <v>155.93</v>
      </c>
      <c r="BO3321">
        <v>155.93</v>
      </c>
      <c r="BQ3321" t="s">
        <v>675</v>
      </c>
      <c r="BR3321" t="s">
        <v>84</v>
      </c>
      <c r="BS3321" s="3">
        <v>45804</v>
      </c>
      <c r="BT3321" s="4">
        <v>0.47013888888888888</v>
      </c>
      <c r="BU3321" t="s">
        <v>676</v>
      </c>
      <c r="BV3321" t="s">
        <v>86</v>
      </c>
      <c r="BY3321">
        <v>1200</v>
      </c>
      <c r="CA3321" t="s">
        <v>677</v>
      </c>
      <c r="CC3321" t="s">
        <v>673</v>
      </c>
      <c r="CD3321">
        <v>2531</v>
      </c>
      <c r="CE3321" t="s">
        <v>88</v>
      </c>
      <c r="CF3321" s="3">
        <v>45805</v>
      </c>
      <c r="CI3321">
        <v>1</v>
      </c>
      <c r="CJ3321">
        <v>1</v>
      </c>
      <c r="CK3321">
        <v>23</v>
      </c>
      <c r="CL3321" t="s">
        <v>89</v>
      </c>
    </row>
    <row r="3322" spans="1:90" x14ac:dyDescent="0.3">
      <c r="A3322" t="s">
        <v>72</v>
      </c>
      <c r="B3322" t="s">
        <v>73</v>
      </c>
      <c r="C3322" t="s">
        <v>74</v>
      </c>
      <c r="E3322" t="str">
        <f>"080065562782"</f>
        <v>080065562782</v>
      </c>
      <c r="F3322" s="3">
        <v>45803</v>
      </c>
      <c r="G3322">
        <v>202602</v>
      </c>
      <c r="H3322" t="s">
        <v>75</v>
      </c>
      <c r="I3322" t="s">
        <v>76</v>
      </c>
      <c r="J3322" t="s">
        <v>77</v>
      </c>
      <c r="K3322" t="s">
        <v>78</v>
      </c>
      <c r="L3322" t="s">
        <v>2278</v>
      </c>
      <c r="M3322" t="s">
        <v>2279</v>
      </c>
      <c r="N3322" t="s">
        <v>2374</v>
      </c>
      <c r="O3322" t="s">
        <v>82</v>
      </c>
      <c r="P3322" t="str">
        <f>"4170040686                    "</f>
        <v xml:space="preserve">4170040686                    </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c r="AJ3322">
        <v>0</v>
      </c>
      <c r="AK3322">
        <v>0</v>
      </c>
      <c r="AL3322">
        <v>0</v>
      </c>
      <c r="AM3322">
        <v>0</v>
      </c>
      <c r="AN3322">
        <v>0</v>
      </c>
      <c r="AO3322">
        <v>0</v>
      </c>
      <c r="AP3322">
        <v>0</v>
      </c>
      <c r="AQ3322">
        <v>21.38</v>
      </c>
      <c r="AR3322">
        <v>0</v>
      </c>
      <c r="AS3322">
        <v>0</v>
      </c>
      <c r="AT3322">
        <v>0</v>
      </c>
      <c r="AU3322">
        <v>0</v>
      </c>
      <c r="AV3322">
        <v>0</v>
      </c>
      <c r="AW3322">
        <v>0</v>
      </c>
      <c r="AX3322">
        <v>0</v>
      </c>
      <c r="AY3322">
        <v>0</v>
      </c>
      <c r="AZ3322">
        <v>0</v>
      </c>
      <c r="BA3322">
        <v>0</v>
      </c>
      <c r="BB3322">
        <v>0</v>
      </c>
      <c r="BC3322">
        <v>0</v>
      </c>
      <c r="BD3322">
        <v>0</v>
      </c>
      <c r="BE3322">
        <v>0</v>
      </c>
      <c r="BF3322">
        <v>0</v>
      </c>
      <c r="BG3322">
        <v>0</v>
      </c>
      <c r="BH3322">
        <v>1</v>
      </c>
      <c r="BI3322">
        <v>1</v>
      </c>
      <c r="BJ3322">
        <v>0.2</v>
      </c>
      <c r="BK3322">
        <v>1</v>
      </c>
      <c r="BL3322">
        <v>69.98</v>
      </c>
      <c r="BM3322">
        <v>10.5</v>
      </c>
      <c r="BN3322">
        <v>80.48</v>
      </c>
      <c r="BO3322">
        <v>80.48</v>
      </c>
      <c r="BQ3322" t="s">
        <v>2375</v>
      </c>
      <c r="BR3322" t="s">
        <v>84</v>
      </c>
      <c r="BS3322" s="3">
        <v>45804</v>
      </c>
      <c r="BT3322" s="4">
        <v>0.4284722222222222</v>
      </c>
      <c r="BU3322" t="s">
        <v>3161</v>
      </c>
      <c r="BV3322" t="s">
        <v>86</v>
      </c>
      <c r="BY3322">
        <v>1200</v>
      </c>
      <c r="CA3322" t="s">
        <v>3162</v>
      </c>
      <c r="CC3322" t="s">
        <v>2279</v>
      </c>
      <c r="CD3322">
        <v>4026</v>
      </c>
      <c r="CE3322" t="s">
        <v>88</v>
      </c>
      <c r="CF3322" s="3">
        <v>45805</v>
      </c>
      <c r="CI3322">
        <v>1</v>
      </c>
      <c r="CJ3322">
        <v>1</v>
      </c>
      <c r="CK3322">
        <v>21</v>
      </c>
      <c r="CL3322" t="s">
        <v>89</v>
      </c>
    </row>
    <row r="3323" spans="1:90" x14ac:dyDescent="0.3">
      <c r="A3323" t="s">
        <v>72</v>
      </c>
      <c r="B3323" t="s">
        <v>73</v>
      </c>
      <c r="C3323" t="s">
        <v>74</v>
      </c>
      <c r="E3323" t="str">
        <f>"R080065528334"</f>
        <v>R080065528334</v>
      </c>
      <c r="F3323" s="3">
        <v>45803</v>
      </c>
      <c r="G3323">
        <v>202602</v>
      </c>
      <c r="H3323" t="s">
        <v>75</v>
      </c>
      <c r="I3323" t="s">
        <v>76</v>
      </c>
      <c r="J3323" t="s">
        <v>77</v>
      </c>
      <c r="K3323" t="s">
        <v>78</v>
      </c>
      <c r="L3323" t="s">
        <v>2009</v>
      </c>
      <c r="M3323" t="s">
        <v>2010</v>
      </c>
      <c r="N3323" t="s">
        <v>2942</v>
      </c>
      <c r="O3323" t="s">
        <v>82</v>
      </c>
      <c r="P3323" t="str">
        <f>"4170040317                    "</f>
        <v xml:space="preserve">4170040317                    </v>
      </c>
      <c r="Q3323">
        <v>0</v>
      </c>
      <c r="R3323">
        <v>0</v>
      </c>
      <c r="S3323">
        <v>0</v>
      </c>
      <c r="T3323">
        <v>0</v>
      </c>
      <c r="U3323">
        <v>0</v>
      </c>
      <c r="V3323">
        <v>0</v>
      </c>
      <c r="W3323">
        <v>0</v>
      </c>
      <c r="X3323">
        <v>0</v>
      </c>
      <c r="Y3323">
        <v>0</v>
      </c>
      <c r="Z3323">
        <v>0</v>
      </c>
      <c r="AA3323">
        <v>0</v>
      </c>
      <c r="AB3323">
        <v>0</v>
      </c>
      <c r="AC3323">
        <v>0</v>
      </c>
      <c r="AD3323">
        <v>0</v>
      </c>
      <c r="AE3323">
        <v>0</v>
      </c>
      <c r="AF3323">
        <v>0</v>
      </c>
      <c r="AG3323">
        <v>0</v>
      </c>
      <c r="AH3323">
        <v>0</v>
      </c>
      <c r="AI3323">
        <v>0</v>
      </c>
      <c r="AJ3323">
        <v>0</v>
      </c>
      <c r="AK3323">
        <v>0</v>
      </c>
      <c r="AL3323">
        <v>0</v>
      </c>
      <c r="AM3323">
        <v>0</v>
      </c>
      <c r="AN3323">
        <v>0</v>
      </c>
      <c r="AO3323">
        <v>0</v>
      </c>
      <c r="AP3323">
        <v>0</v>
      </c>
      <c r="AQ3323">
        <v>41.43</v>
      </c>
      <c r="AR3323">
        <v>0</v>
      </c>
      <c r="AS3323">
        <v>0</v>
      </c>
      <c r="AT3323">
        <v>0</v>
      </c>
      <c r="AU3323">
        <v>0</v>
      </c>
      <c r="AV3323">
        <v>0</v>
      </c>
      <c r="AW3323">
        <v>0</v>
      </c>
      <c r="AX3323">
        <v>0</v>
      </c>
      <c r="AY3323">
        <v>0</v>
      </c>
      <c r="AZ3323">
        <v>0</v>
      </c>
      <c r="BA3323">
        <v>0</v>
      </c>
      <c r="BB3323">
        <v>0</v>
      </c>
      <c r="BC3323">
        <v>0</v>
      </c>
      <c r="BD3323">
        <v>0</v>
      </c>
      <c r="BE3323">
        <v>0</v>
      </c>
      <c r="BF3323">
        <v>0</v>
      </c>
      <c r="BG3323">
        <v>0</v>
      </c>
      <c r="BH3323">
        <v>1</v>
      </c>
      <c r="BI3323">
        <v>1</v>
      </c>
      <c r="BJ3323">
        <v>1.9</v>
      </c>
      <c r="BK3323">
        <v>2</v>
      </c>
      <c r="BL3323">
        <v>135.59</v>
      </c>
      <c r="BM3323">
        <v>20.34</v>
      </c>
      <c r="BN3323">
        <v>155.93</v>
      </c>
      <c r="BO3323">
        <v>155.93</v>
      </c>
      <c r="BQ3323" t="s">
        <v>2943</v>
      </c>
      <c r="BR3323" t="s">
        <v>84</v>
      </c>
      <c r="BS3323" s="3">
        <v>45804</v>
      </c>
      <c r="BT3323" s="4">
        <v>0.51527777777777772</v>
      </c>
      <c r="BU3323" t="s">
        <v>3163</v>
      </c>
      <c r="BV3323" t="s">
        <v>86</v>
      </c>
      <c r="BY3323">
        <v>9600</v>
      </c>
      <c r="BZ3323" t="s">
        <v>3044</v>
      </c>
      <c r="CA3323" t="s">
        <v>2615</v>
      </c>
      <c r="CC3323" t="s">
        <v>2010</v>
      </c>
      <c r="CD3323">
        <v>1150</v>
      </c>
      <c r="CE3323" t="s">
        <v>419</v>
      </c>
      <c r="CF3323" s="3">
        <v>45805</v>
      </c>
      <c r="CI3323">
        <v>2</v>
      </c>
      <c r="CJ3323">
        <v>1</v>
      </c>
      <c r="CK3323">
        <v>23</v>
      </c>
      <c r="CL3323" t="s">
        <v>89</v>
      </c>
    </row>
    <row r="3324" spans="1:90" x14ac:dyDescent="0.3">
      <c r="A3324" t="s">
        <v>72</v>
      </c>
      <c r="B3324" t="s">
        <v>73</v>
      </c>
      <c r="C3324" t="s">
        <v>74</v>
      </c>
      <c r="E3324" t="str">
        <f>"080065562826"</f>
        <v>080065562826</v>
      </c>
      <c r="F3324" s="3">
        <v>45803</v>
      </c>
      <c r="G3324">
        <v>202602</v>
      </c>
      <c r="H3324" t="s">
        <v>75</v>
      </c>
      <c r="I3324" t="s">
        <v>76</v>
      </c>
      <c r="J3324" t="s">
        <v>77</v>
      </c>
      <c r="K3324" t="s">
        <v>78</v>
      </c>
      <c r="L3324" t="s">
        <v>489</v>
      </c>
      <c r="M3324" t="s">
        <v>490</v>
      </c>
      <c r="N3324" t="s">
        <v>491</v>
      </c>
      <c r="O3324" t="s">
        <v>82</v>
      </c>
      <c r="P3324" t="str">
        <f>"4170040591                    "</f>
        <v xml:space="preserve">4170040591                    </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c r="AI3324">
        <v>0</v>
      </c>
      <c r="AJ3324">
        <v>0</v>
      </c>
      <c r="AK3324">
        <v>0</v>
      </c>
      <c r="AL3324">
        <v>0</v>
      </c>
      <c r="AM3324">
        <v>0</v>
      </c>
      <c r="AN3324">
        <v>0</v>
      </c>
      <c r="AO3324">
        <v>0</v>
      </c>
      <c r="AP3324">
        <v>0</v>
      </c>
      <c r="AQ3324">
        <v>41.43</v>
      </c>
      <c r="AR3324">
        <v>0</v>
      </c>
      <c r="AS3324">
        <v>0</v>
      </c>
      <c r="AT3324">
        <v>0</v>
      </c>
      <c r="AU3324">
        <v>0</v>
      </c>
      <c r="AV3324">
        <v>0</v>
      </c>
      <c r="AW3324">
        <v>0</v>
      </c>
      <c r="AX3324">
        <v>0</v>
      </c>
      <c r="AY3324">
        <v>0</v>
      </c>
      <c r="AZ3324">
        <v>0</v>
      </c>
      <c r="BA3324">
        <v>0</v>
      </c>
      <c r="BB3324">
        <v>0</v>
      </c>
      <c r="BC3324">
        <v>0</v>
      </c>
      <c r="BD3324">
        <v>0</v>
      </c>
      <c r="BE3324">
        <v>0</v>
      </c>
      <c r="BF3324">
        <v>0</v>
      </c>
      <c r="BG3324">
        <v>0</v>
      </c>
      <c r="BH3324">
        <v>1</v>
      </c>
      <c r="BI3324">
        <v>2</v>
      </c>
      <c r="BJ3324">
        <v>0.7</v>
      </c>
      <c r="BK3324">
        <v>2</v>
      </c>
      <c r="BL3324">
        <v>135.59</v>
      </c>
      <c r="BM3324">
        <v>20.34</v>
      </c>
      <c r="BN3324">
        <v>155.93</v>
      </c>
      <c r="BO3324">
        <v>155.93</v>
      </c>
      <c r="BQ3324" t="s">
        <v>492</v>
      </c>
      <c r="BR3324" t="s">
        <v>84</v>
      </c>
      <c r="BS3324" s="3">
        <v>45804</v>
      </c>
      <c r="BT3324" s="4">
        <v>0.36388888888888887</v>
      </c>
      <c r="BU3324" t="s">
        <v>912</v>
      </c>
      <c r="BV3324" t="s">
        <v>86</v>
      </c>
      <c r="BY3324">
        <v>3700</v>
      </c>
      <c r="CA3324" t="s">
        <v>913</v>
      </c>
      <c r="CC3324" t="s">
        <v>490</v>
      </c>
      <c r="CD3324">
        <v>2740</v>
      </c>
      <c r="CE3324" t="s">
        <v>221</v>
      </c>
      <c r="CF3324" s="3">
        <v>45805</v>
      </c>
      <c r="CI3324">
        <v>1</v>
      </c>
      <c r="CJ3324">
        <v>1</v>
      </c>
      <c r="CK3324">
        <v>23</v>
      </c>
      <c r="CL3324" t="s">
        <v>89</v>
      </c>
    </row>
    <row r="3325" spans="1:90" x14ac:dyDescent="0.3">
      <c r="A3325" t="s">
        <v>72</v>
      </c>
      <c r="B3325" t="s">
        <v>73</v>
      </c>
      <c r="C3325" t="s">
        <v>74</v>
      </c>
      <c r="E3325" t="str">
        <f>"080065562867"</f>
        <v>080065562867</v>
      </c>
      <c r="F3325" s="3">
        <v>45803</v>
      </c>
      <c r="G3325">
        <v>202602</v>
      </c>
      <c r="H3325" t="s">
        <v>75</v>
      </c>
      <c r="I3325" t="s">
        <v>76</v>
      </c>
      <c r="J3325" t="s">
        <v>77</v>
      </c>
      <c r="K3325" t="s">
        <v>78</v>
      </c>
      <c r="L3325" t="s">
        <v>320</v>
      </c>
      <c r="M3325" t="s">
        <v>321</v>
      </c>
      <c r="N3325" t="s">
        <v>499</v>
      </c>
      <c r="O3325" t="s">
        <v>82</v>
      </c>
      <c r="P3325" t="str">
        <f>"4170040560                    "</f>
        <v xml:space="preserve">4170040560                    </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c r="AJ3325">
        <v>0</v>
      </c>
      <c r="AK3325">
        <v>0</v>
      </c>
      <c r="AL3325">
        <v>0</v>
      </c>
      <c r="AM3325">
        <v>0</v>
      </c>
      <c r="AN3325">
        <v>0</v>
      </c>
      <c r="AO3325">
        <v>0</v>
      </c>
      <c r="AP3325">
        <v>0</v>
      </c>
      <c r="AQ3325">
        <v>21.38</v>
      </c>
      <c r="AR3325">
        <v>0</v>
      </c>
      <c r="AS3325">
        <v>0</v>
      </c>
      <c r="AT3325">
        <v>0</v>
      </c>
      <c r="AU3325">
        <v>0</v>
      </c>
      <c r="AV3325">
        <v>0</v>
      </c>
      <c r="AW3325">
        <v>0</v>
      </c>
      <c r="AX3325">
        <v>0</v>
      </c>
      <c r="AY3325">
        <v>0</v>
      </c>
      <c r="AZ3325">
        <v>0</v>
      </c>
      <c r="BA3325">
        <v>0</v>
      </c>
      <c r="BB3325">
        <v>0</v>
      </c>
      <c r="BC3325">
        <v>0</v>
      </c>
      <c r="BD3325">
        <v>0</v>
      </c>
      <c r="BE3325">
        <v>0</v>
      </c>
      <c r="BF3325">
        <v>0</v>
      </c>
      <c r="BG3325">
        <v>0</v>
      </c>
      <c r="BH3325">
        <v>1</v>
      </c>
      <c r="BI3325">
        <v>2</v>
      </c>
      <c r="BJ3325">
        <v>0.9</v>
      </c>
      <c r="BK3325">
        <v>2</v>
      </c>
      <c r="BL3325">
        <v>69.98</v>
      </c>
      <c r="BM3325">
        <v>10.5</v>
      </c>
      <c r="BN3325">
        <v>80.48</v>
      </c>
      <c r="BO3325">
        <v>80.48</v>
      </c>
      <c r="BQ3325" t="s">
        <v>500</v>
      </c>
      <c r="BR3325" t="s">
        <v>84</v>
      </c>
      <c r="BS3325" s="3">
        <v>45804</v>
      </c>
      <c r="BT3325" s="4">
        <v>0.43055555555555558</v>
      </c>
      <c r="BU3325" t="s">
        <v>623</v>
      </c>
      <c r="BV3325" t="s">
        <v>86</v>
      </c>
      <c r="BY3325">
        <v>4700</v>
      </c>
      <c r="CA3325" t="s">
        <v>3162</v>
      </c>
      <c r="CC3325" t="s">
        <v>321</v>
      </c>
      <c r="CD3325">
        <v>4133</v>
      </c>
      <c r="CE3325" t="s">
        <v>221</v>
      </c>
      <c r="CF3325" s="3">
        <v>45805</v>
      </c>
      <c r="CI3325">
        <v>1</v>
      </c>
      <c r="CJ3325">
        <v>1</v>
      </c>
      <c r="CK3325">
        <v>21</v>
      </c>
      <c r="CL3325" t="s">
        <v>89</v>
      </c>
    </row>
    <row r="3326" spans="1:90" x14ac:dyDescent="0.3">
      <c r="A3326" t="s">
        <v>72</v>
      </c>
      <c r="B3326" t="s">
        <v>73</v>
      </c>
      <c r="C3326" t="s">
        <v>74</v>
      </c>
      <c r="E3326" t="str">
        <f>"080065562908"</f>
        <v>080065562908</v>
      </c>
      <c r="F3326" s="3">
        <v>45803</v>
      </c>
      <c r="G3326">
        <v>202602</v>
      </c>
      <c r="H3326" t="s">
        <v>75</v>
      </c>
      <c r="I3326" t="s">
        <v>76</v>
      </c>
      <c r="J3326" t="s">
        <v>77</v>
      </c>
      <c r="K3326" t="s">
        <v>78</v>
      </c>
      <c r="L3326" t="s">
        <v>463</v>
      </c>
      <c r="M3326" t="s">
        <v>464</v>
      </c>
      <c r="N3326" t="s">
        <v>1325</v>
      </c>
      <c r="O3326" t="s">
        <v>82</v>
      </c>
      <c r="P3326" t="str">
        <f>"4170040690                    "</f>
        <v xml:space="preserve">4170040690                    </v>
      </c>
      <c r="Q3326">
        <v>0</v>
      </c>
      <c r="R3326">
        <v>0</v>
      </c>
      <c r="S3326">
        <v>0</v>
      </c>
      <c r="T3326">
        <v>0</v>
      </c>
      <c r="U3326">
        <v>0</v>
      </c>
      <c r="V3326">
        <v>0</v>
      </c>
      <c r="W3326">
        <v>0</v>
      </c>
      <c r="X3326">
        <v>0</v>
      </c>
      <c r="Y3326">
        <v>0</v>
      </c>
      <c r="Z3326">
        <v>0</v>
      </c>
      <c r="AA3326">
        <v>0</v>
      </c>
      <c r="AB3326">
        <v>0</v>
      </c>
      <c r="AC3326">
        <v>0</v>
      </c>
      <c r="AD3326">
        <v>0</v>
      </c>
      <c r="AE3326">
        <v>0</v>
      </c>
      <c r="AF3326">
        <v>0</v>
      </c>
      <c r="AG3326">
        <v>0</v>
      </c>
      <c r="AH3326">
        <v>0</v>
      </c>
      <c r="AI3326">
        <v>0</v>
      </c>
      <c r="AJ3326">
        <v>0</v>
      </c>
      <c r="AK3326">
        <v>0</v>
      </c>
      <c r="AL3326">
        <v>0</v>
      </c>
      <c r="AM3326">
        <v>0</v>
      </c>
      <c r="AN3326">
        <v>0</v>
      </c>
      <c r="AO3326">
        <v>0</v>
      </c>
      <c r="AP3326">
        <v>0</v>
      </c>
      <c r="AQ3326">
        <v>32.07</v>
      </c>
      <c r="AR3326">
        <v>0</v>
      </c>
      <c r="AS3326">
        <v>0</v>
      </c>
      <c r="AT3326">
        <v>0</v>
      </c>
      <c r="AU3326">
        <v>0</v>
      </c>
      <c r="AV3326">
        <v>0</v>
      </c>
      <c r="AW3326">
        <v>0</v>
      </c>
      <c r="AX3326">
        <v>0</v>
      </c>
      <c r="AY3326">
        <v>0</v>
      </c>
      <c r="AZ3326">
        <v>0</v>
      </c>
      <c r="BA3326">
        <v>0</v>
      </c>
      <c r="BB3326">
        <v>0</v>
      </c>
      <c r="BC3326">
        <v>0</v>
      </c>
      <c r="BD3326">
        <v>0</v>
      </c>
      <c r="BE3326">
        <v>0</v>
      </c>
      <c r="BF3326">
        <v>0</v>
      </c>
      <c r="BG3326">
        <v>0</v>
      </c>
      <c r="BH3326">
        <v>1</v>
      </c>
      <c r="BI3326">
        <v>3</v>
      </c>
      <c r="BJ3326">
        <v>1.9</v>
      </c>
      <c r="BK3326">
        <v>3</v>
      </c>
      <c r="BL3326">
        <v>104.95</v>
      </c>
      <c r="BM3326">
        <v>15.74</v>
      </c>
      <c r="BN3326">
        <v>120.69</v>
      </c>
      <c r="BO3326">
        <v>120.69</v>
      </c>
      <c r="BQ3326" t="s">
        <v>1326</v>
      </c>
      <c r="BR3326" t="s">
        <v>84</v>
      </c>
      <c r="BS3326" s="3">
        <v>45804</v>
      </c>
      <c r="BT3326" s="4">
        <v>0.68958333333333333</v>
      </c>
      <c r="BU3326" t="s">
        <v>3164</v>
      </c>
      <c r="BV3326" t="s">
        <v>86</v>
      </c>
      <c r="BY3326">
        <v>9600</v>
      </c>
      <c r="CA3326" t="s">
        <v>468</v>
      </c>
      <c r="CC3326" t="s">
        <v>464</v>
      </c>
      <c r="CD3326">
        <v>5201</v>
      </c>
      <c r="CE3326" t="s">
        <v>96</v>
      </c>
      <c r="CF3326" s="3">
        <v>45804</v>
      </c>
      <c r="CI3326">
        <v>5</v>
      </c>
      <c r="CJ3326">
        <v>1</v>
      </c>
      <c r="CK3326">
        <v>21</v>
      </c>
      <c r="CL3326" t="s">
        <v>89</v>
      </c>
    </row>
    <row r="3327" spans="1:90" x14ac:dyDescent="0.3">
      <c r="A3327" t="s">
        <v>72</v>
      </c>
      <c r="B3327" t="s">
        <v>73</v>
      </c>
      <c r="C3327" t="s">
        <v>74</v>
      </c>
      <c r="E3327" t="str">
        <f>"080065562931"</f>
        <v>080065562931</v>
      </c>
      <c r="F3327" s="3">
        <v>45803</v>
      </c>
      <c r="G3327">
        <v>202602</v>
      </c>
      <c r="H3327" t="s">
        <v>75</v>
      </c>
      <c r="I3327" t="s">
        <v>76</v>
      </c>
      <c r="J3327" t="s">
        <v>77</v>
      </c>
      <c r="K3327" t="s">
        <v>78</v>
      </c>
      <c r="L3327" t="s">
        <v>136</v>
      </c>
      <c r="M3327" t="s">
        <v>137</v>
      </c>
      <c r="N3327" t="s">
        <v>1235</v>
      </c>
      <c r="O3327" t="s">
        <v>300</v>
      </c>
      <c r="P3327" t="str">
        <f>"4170040588                    "</f>
        <v xml:space="preserve">4170040588                    </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0</v>
      </c>
      <c r="AJ3327">
        <v>0</v>
      </c>
      <c r="AK3327">
        <v>0</v>
      </c>
      <c r="AL3327">
        <v>0</v>
      </c>
      <c r="AM3327">
        <v>0</v>
      </c>
      <c r="AN3327">
        <v>0</v>
      </c>
      <c r="AO3327">
        <v>0</v>
      </c>
      <c r="AP3327">
        <v>0</v>
      </c>
      <c r="AQ3327">
        <v>41.35</v>
      </c>
      <c r="AR3327">
        <v>0</v>
      </c>
      <c r="AS3327">
        <v>0</v>
      </c>
      <c r="AT3327">
        <v>0</v>
      </c>
      <c r="AU3327">
        <v>0</v>
      </c>
      <c r="AV3327">
        <v>0</v>
      </c>
      <c r="AW3327">
        <v>0</v>
      </c>
      <c r="AX3327">
        <v>0</v>
      </c>
      <c r="AY3327">
        <v>0</v>
      </c>
      <c r="AZ3327">
        <v>0</v>
      </c>
      <c r="BA3327">
        <v>0</v>
      </c>
      <c r="BB3327">
        <v>0</v>
      </c>
      <c r="BC3327">
        <v>0</v>
      </c>
      <c r="BD3327">
        <v>0</v>
      </c>
      <c r="BE3327">
        <v>0</v>
      </c>
      <c r="BF3327">
        <v>0</v>
      </c>
      <c r="BG3327">
        <v>0</v>
      </c>
      <c r="BH3327">
        <v>1</v>
      </c>
      <c r="BI3327">
        <v>5</v>
      </c>
      <c r="BJ3327">
        <v>3.4</v>
      </c>
      <c r="BK3327">
        <v>5</v>
      </c>
      <c r="BL3327">
        <v>140.9</v>
      </c>
      <c r="BM3327">
        <v>21.14</v>
      </c>
      <c r="BN3327">
        <v>162.04</v>
      </c>
      <c r="BO3327">
        <v>162.04</v>
      </c>
      <c r="BQ3327" t="s">
        <v>1236</v>
      </c>
      <c r="BR3327" t="s">
        <v>84</v>
      </c>
      <c r="BS3327" s="3">
        <v>45804</v>
      </c>
      <c r="BT3327" s="4">
        <v>0.31805555555555554</v>
      </c>
      <c r="BU3327" t="s">
        <v>1604</v>
      </c>
      <c r="BV3327" t="s">
        <v>86</v>
      </c>
      <c r="BY3327">
        <v>16965</v>
      </c>
      <c r="CA3327" t="s">
        <v>1238</v>
      </c>
      <c r="CC3327" t="s">
        <v>137</v>
      </c>
      <c r="CD3327" s="5" t="s">
        <v>1239</v>
      </c>
      <c r="CE3327" t="s">
        <v>96</v>
      </c>
      <c r="CF3327" s="3">
        <v>45804</v>
      </c>
      <c r="CI3327">
        <v>1</v>
      </c>
      <c r="CJ3327">
        <v>1</v>
      </c>
      <c r="CK3327">
        <v>41</v>
      </c>
      <c r="CL3327" t="s">
        <v>89</v>
      </c>
    </row>
    <row r="3328" spans="1:90" x14ac:dyDescent="0.3">
      <c r="A3328" t="s">
        <v>72</v>
      </c>
      <c r="B3328" t="s">
        <v>73</v>
      </c>
      <c r="C3328" t="s">
        <v>74</v>
      </c>
      <c r="E3328" t="str">
        <f>"080065562960"</f>
        <v>080065562960</v>
      </c>
      <c r="F3328" s="3">
        <v>45803</v>
      </c>
      <c r="G3328">
        <v>202602</v>
      </c>
      <c r="H3328" t="s">
        <v>75</v>
      </c>
      <c r="I3328" t="s">
        <v>76</v>
      </c>
      <c r="J3328" t="s">
        <v>77</v>
      </c>
      <c r="K3328" t="s">
        <v>78</v>
      </c>
      <c r="L3328" t="s">
        <v>350</v>
      </c>
      <c r="M3328" t="s">
        <v>351</v>
      </c>
      <c r="N3328" t="s">
        <v>678</v>
      </c>
      <c r="O3328" t="s">
        <v>82</v>
      </c>
      <c r="P3328" t="str">
        <f>"4170040618                    "</f>
        <v xml:space="preserve">4170040618                    </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0</v>
      </c>
      <c r="AJ3328">
        <v>0</v>
      </c>
      <c r="AK3328">
        <v>0</v>
      </c>
      <c r="AL3328">
        <v>0</v>
      </c>
      <c r="AM3328">
        <v>0</v>
      </c>
      <c r="AN3328">
        <v>0</v>
      </c>
      <c r="AO3328">
        <v>0</v>
      </c>
      <c r="AP3328">
        <v>0</v>
      </c>
      <c r="AQ3328">
        <v>21.38</v>
      </c>
      <c r="AR3328">
        <v>0</v>
      </c>
      <c r="AS3328">
        <v>0</v>
      </c>
      <c r="AT3328">
        <v>0</v>
      </c>
      <c r="AU3328">
        <v>0</v>
      </c>
      <c r="AV3328">
        <v>0</v>
      </c>
      <c r="AW3328">
        <v>0</v>
      </c>
      <c r="AX3328">
        <v>0</v>
      </c>
      <c r="AY3328">
        <v>0</v>
      </c>
      <c r="AZ3328">
        <v>0</v>
      </c>
      <c r="BA3328">
        <v>0</v>
      </c>
      <c r="BB3328">
        <v>0</v>
      </c>
      <c r="BC3328">
        <v>0</v>
      </c>
      <c r="BD3328">
        <v>0</v>
      </c>
      <c r="BE3328">
        <v>0</v>
      </c>
      <c r="BF3328">
        <v>0</v>
      </c>
      <c r="BG3328">
        <v>0</v>
      </c>
      <c r="BH3328">
        <v>1</v>
      </c>
      <c r="BI3328">
        <v>2</v>
      </c>
      <c r="BJ3328">
        <v>1.9</v>
      </c>
      <c r="BK3328">
        <v>2</v>
      </c>
      <c r="BL3328">
        <v>69.98</v>
      </c>
      <c r="BM3328">
        <v>10.5</v>
      </c>
      <c r="BN3328">
        <v>80.48</v>
      </c>
      <c r="BO3328">
        <v>80.48</v>
      </c>
      <c r="BQ3328" t="s">
        <v>679</v>
      </c>
      <c r="BR3328" t="s">
        <v>84</v>
      </c>
      <c r="BS3328" s="3">
        <v>45804</v>
      </c>
      <c r="BT3328" s="4">
        <v>0.42986111111111114</v>
      </c>
      <c r="BU3328" t="s">
        <v>680</v>
      </c>
      <c r="BV3328" t="s">
        <v>86</v>
      </c>
      <c r="BY3328">
        <v>9600</v>
      </c>
      <c r="CA3328" t="s">
        <v>3162</v>
      </c>
      <c r="CC3328" t="s">
        <v>351</v>
      </c>
      <c r="CD3328">
        <v>4052</v>
      </c>
      <c r="CE3328" t="s">
        <v>96</v>
      </c>
      <c r="CF3328" s="3">
        <v>45805</v>
      </c>
      <c r="CI3328">
        <v>1</v>
      </c>
      <c r="CJ3328">
        <v>1</v>
      </c>
      <c r="CK3328">
        <v>21</v>
      </c>
      <c r="CL3328" t="s">
        <v>89</v>
      </c>
    </row>
    <row r="3329" spans="1:90" x14ac:dyDescent="0.3">
      <c r="A3329" t="s">
        <v>72</v>
      </c>
      <c r="B3329" t="s">
        <v>73</v>
      </c>
      <c r="C3329" t="s">
        <v>74</v>
      </c>
      <c r="E3329" t="str">
        <f>"080065562995"</f>
        <v>080065562995</v>
      </c>
      <c r="F3329" s="3">
        <v>45803</v>
      </c>
      <c r="G3329">
        <v>202602</v>
      </c>
      <c r="H3329" t="s">
        <v>75</v>
      </c>
      <c r="I3329" t="s">
        <v>76</v>
      </c>
      <c r="J3329" t="s">
        <v>77</v>
      </c>
      <c r="K3329" t="s">
        <v>78</v>
      </c>
      <c r="L3329" t="s">
        <v>130</v>
      </c>
      <c r="M3329" t="s">
        <v>131</v>
      </c>
      <c r="N3329" t="s">
        <v>343</v>
      </c>
      <c r="O3329" t="s">
        <v>82</v>
      </c>
      <c r="P3329" t="str">
        <f>"4170040552                    "</f>
        <v xml:space="preserve">4170040552                    </v>
      </c>
      <c r="Q3329">
        <v>0</v>
      </c>
      <c r="R3329">
        <v>0</v>
      </c>
      <c r="S3329">
        <v>0</v>
      </c>
      <c r="T3329">
        <v>0</v>
      </c>
      <c r="U3329">
        <v>0</v>
      </c>
      <c r="V3329">
        <v>0</v>
      </c>
      <c r="W3329">
        <v>0</v>
      </c>
      <c r="X3329">
        <v>0</v>
      </c>
      <c r="Y3329">
        <v>0</v>
      </c>
      <c r="Z3329">
        <v>0</v>
      </c>
      <c r="AA3329">
        <v>0</v>
      </c>
      <c r="AB3329">
        <v>0</v>
      </c>
      <c r="AC3329">
        <v>0</v>
      </c>
      <c r="AD3329">
        <v>0</v>
      </c>
      <c r="AE3329">
        <v>0</v>
      </c>
      <c r="AF3329">
        <v>0</v>
      </c>
      <c r="AG3329">
        <v>0</v>
      </c>
      <c r="AH3329">
        <v>0</v>
      </c>
      <c r="AI3329">
        <v>0</v>
      </c>
      <c r="AJ3329">
        <v>0</v>
      </c>
      <c r="AK3329">
        <v>0</v>
      </c>
      <c r="AL3329">
        <v>0</v>
      </c>
      <c r="AM3329">
        <v>0</v>
      </c>
      <c r="AN3329">
        <v>0</v>
      </c>
      <c r="AO3329">
        <v>0</v>
      </c>
      <c r="AP3329">
        <v>0</v>
      </c>
      <c r="AQ3329">
        <v>21.38</v>
      </c>
      <c r="AR3329">
        <v>0</v>
      </c>
      <c r="AS3329">
        <v>0</v>
      </c>
      <c r="AT3329">
        <v>0</v>
      </c>
      <c r="AU3329">
        <v>0</v>
      </c>
      <c r="AV3329">
        <v>0</v>
      </c>
      <c r="AW3329">
        <v>0</v>
      </c>
      <c r="AX3329">
        <v>0</v>
      </c>
      <c r="AY3329">
        <v>0</v>
      </c>
      <c r="AZ3329">
        <v>0</v>
      </c>
      <c r="BA3329">
        <v>0</v>
      </c>
      <c r="BB3329">
        <v>0</v>
      </c>
      <c r="BC3329">
        <v>0</v>
      </c>
      <c r="BD3329">
        <v>0</v>
      </c>
      <c r="BE3329">
        <v>0</v>
      </c>
      <c r="BF3329">
        <v>0</v>
      </c>
      <c r="BG3329">
        <v>0</v>
      </c>
      <c r="BH3329">
        <v>1</v>
      </c>
      <c r="BI3329">
        <v>1</v>
      </c>
      <c r="BJ3329">
        <v>1.7</v>
      </c>
      <c r="BK3329">
        <v>2</v>
      </c>
      <c r="BL3329">
        <v>69.98</v>
      </c>
      <c r="BM3329">
        <v>10.5</v>
      </c>
      <c r="BN3329">
        <v>80.48</v>
      </c>
      <c r="BO3329">
        <v>80.48</v>
      </c>
      <c r="BQ3329" t="s">
        <v>344</v>
      </c>
      <c r="BR3329" t="s">
        <v>84</v>
      </c>
      <c r="BS3329" s="3">
        <v>45804</v>
      </c>
      <c r="BT3329" s="4">
        <v>0.39930555555555558</v>
      </c>
      <c r="BU3329" t="s">
        <v>345</v>
      </c>
      <c r="BV3329" t="s">
        <v>86</v>
      </c>
      <c r="BY3329">
        <v>8512</v>
      </c>
      <c r="CA3329" t="s">
        <v>242</v>
      </c>
      <c r="CC3329" t="s">
        <v>131</v>
      </c>
      <c r="CD3329">
        <v>7441</v>
      </c>
      <c r="CE3329" t="s">
        <v>116</v>
      </c>
      <c r="CF3329" s="3">
        <v>45805</v>
      </c>
      <c r="CI3329">
        <v>1</v>
      </c>
      <c r="CJ3329">
        <v>1</v>
      </c>
      <c r="CK3329">
        <v>21</v>
      </c>
      <c r="CL3329" t="s">
        <v>89</v>
      </c>
    </row>
    <row r="3330" spans="1:90" x14ac:dyDescent="0.3">
      <c r="A3330" t="s">
        <v>72</v>
      </c>
      <c r="B3330" t="s">
        <v>73</v>
      </c>
      <c r="C3330" t="s">
        <v>74</v>
      </c>
      <c r="E3330" t="str">
        <f>"080065563019"</f>
        <v>080065563019</v>
      </c>
      <c r="F3330" s="3">
        <v>45803</v>
      </c>
      <c r="G3330">
        <v>202602</v>
      </c>
      <c r="H3330" t="s">
        <v>75</v>
      </c>
      <c r="I3330" t="s">
        <v>76</v>
      </c>
      <c r="J3330" t="s">
        <v>77</v>
      </c>
      <c r="K3330" t="s">
        <v>78</v>
      </c>
      <c r="L3330" t="s">
        <v>143</v>
      </c>
      <c r="M3330" t="s">
        <v>144</v>
      </c>
      <c r="N3330" t="s">
        <v>3165</v>
      </c>
      <c r="O3330" t="s">
        <v>82</v>
      </c>
      <c r="P3330" t="str">
        <f>"4170040680                    "</f>
        <v xml:space="preserve">4170040680                    </v>
      </c>
      <c r="Q3330">
        <v>0</v>
      </c>
      <c r="R3330">
        <v>0</v>
      </c>
      <c r="S3330">
        <v>0</v>
      </c>
      <c r="T3330">
        <v>0</v>
      </c>
      <c r="U3330">
        <v>0</v>
      </c>
      <c r="V3330">
        <v>0</v>
      </c>
      <c r="W3330">
        <v>0</v>
      </c>
      <c r="X3330">
        <v>0</v>
      </c>
      <c r="Y3330">
        <v>0</v>
      </c>
      <c r="Z3330">
        <v>0</v>
      </c>
      <c r="AA3330">
        <v>0</v>
      </c>
      <c r="AB3330">
        <v>0</v>
      </c>
      <c r="AC3330">
        <v>0</v>
      </c>
      <c r="AD3330">
        <v>0</v>
      </c>
      <c r="AE3330">
        <v>0</v>
      </c>
      <c r="AF3330">
        <v>0</v>
      </c>
      <c r="AG3330">
        <v>0</v>
      </c>
      <c r="AH3330">
        <v>0</v>
      </c>
      <c r="AI3330">
        <v>0</v>
      </c>
      <c r="AJ3330">
        <v>0</v>
      </c>
      <c r="AK3330">
        <v>0</v>
      </c>
      <c r="AL3330">
        <v>0</v>
      </c>
      <c r="AM3330">
        <v>0</v>
      </c>
      <c r="AN3330">
        <v>0</v>
      </c>
      <c r="AO3330">
        <v>0</v>
      </c>
      <c r="AP3330">
        <v>0</v>
      </c>
      <c r="AQ3330">
        <v>16.7</v>
      </c>
      <c r="AR3330">
        <v>0</v>
      </c>
      <c r="AS3330">
        <v>0</v>
      </c>
      <c r="AT3330">
        <v>0</v>
      </c>
      <c r="AU3330">
        <v>0</v>
      </c>
      <c r="AV3330">
        <v>0</v>
      </c>
      <c r="AW3330">
        <v>0</v>
      </c>
      <c r="AX3330">
        <v>0</v>
      </c>
      <c r="AY3330">
        <v>0</v>
      </c>
      <c r="AZ3330">
        <v>0</v>
      </c>
      <c r="BA3330">
        <v>0</v>
      </c>
      <c r="BB3330">
        <v>0</v>
      </c>
      <c r="BC3330">
        <v>0</v>
      </c>
      <c r="BD3330">
        <v>0</v>
      </c>
      <c r="BE3330">
        <v>0</v>
      </c>
      <c r="BF3330">
        <v>0</v>
      </c>
      <c r="BG3330">
        <v>0</v>
      </c>
      <c r="BH3330">
        <v>1</v>
      </c>
      <c r="BI3330">
        <v>4</v>
      </c>
      <c r="BJ3330">
        <v>6.5</v>
      </c>
      <c r="BK3330">
        <v>7</v>
      </c>
      <c r="BL3330">
        <v>54.66</v>
      </c>
      <c r="BM3330">
        <v>8.1999999999999993</v>
      </c>
      <c r="BN3330">
        <v>62.86</v>
      </c>
      <c r="BO3330">
        <v>62.86</v>
      </c>
      <c r="BQ3330" t="s">
        <v>3166</v>
      </c>
      <c r="BR3330" t="s">
        <v>84</v>
      </c>
      <c r="BS3330" s="3">
        <v>45804</v>
      </c>
      <c r="BT3330" s="4">
        <v>0.40069444444444446</v>
      </c>
      <c r="BU3330" t="s">
        <v>3167</v>
      </c>
      <c r="BV3330" t="s">
        <v>86</v>
      </c>
      <c r="BY3330">
        <v>32256</v>
      </c>
      <c r="CA3330" t="s">
        <v>765</v>
      </c>
      <c r="CC3330" t="s">
        <v>144</v>
      </c>
      <c r="CD3330">
        <v>1428</v>
      </c>
      <c r="CE3330" t="s">
        <v>221</v>
      </c>
      <c r="CF3330" s="3">
        <v>45805</v>
      </c>
      <c r="CI3330">
        <v>1</v>
      </c>
      <c r="CJ3330">
        <v>1</v>
      </c>
      <c r="CK3330">
        <v>22</v>
      </c>
      <c r="CL3330" t="s">
        <v>89</v>
      </c>
    </row>
    <row r="3331" spans="1:90" x14ac:dyDescent="0.3">
      <c r="A3331" t="s">
        <v>72</v>
      </c>
      <c r="B3331" t="s">
        <v>73</v>
      </c>
      <c r="C3331" t="s">
        <v>74</v>
      </c>
      <c r="E3331" t="str">
        <f>"080065563048"</f>
        <v>080065563048</v>
      </c>
      <c r="F3331" s="3">
        <v>45803</v>
      </c>
      <c r="G3331">
        <v>202602</v>
      </c>
      <c r="H3331" t="s">
        <v>75</v>
      </c>
      <c r="I3331" t="s">
        <v>76</v>
      </c>
      <c r="J3331" t="s">
        <v>77</v>
      </c>
      <c r="K3331" t="s">
        <v>78</v>
      </c>
      <c r="L3331" t="s">
        <v>713</v>
      </c>
      <c r="M3331" t="s">
        <v>714</v>
      </c>
      <c r="N3331" t="s">
        <v>715</v>
      </c>
      <c r="O3331" t="s">
        <v>82</v>
      </c>
      <c r="P3331" t="str">
        <f>"4170040668                    "</f>
        <v xml:space="preserve">4170040668                    </v>
      </c>
      <c r="Q3331">
        <v>0</v>
      </c>
      <c r="R3331">
        <v>0</v>
      </c>
      <c r="S3331">
        <v>0</v>
      </c>
      <c r="T3331">
        <v>0</v>
      </c>
      <c r="U3331">
        <v>0</v>
      </c>
      <c r="V3331">
        <v>0</v>
      </c>
      <c r="W3331">
        <v>0</v>
      </c>
      <c r="X3331">
        <v>0</v>
      </c>
      <c r="Y3331">
        <v>0</v>
      </c>
      <c r="Z3331">
        <v>0</v>
      </c>
      <c r="AA3331">
        <v>0</v>
      </c>
      <c r="AB3331">
        <v>0</v>
      </c>
      <c r="AC3331">
        <v>0</v>
      </c>
      <c r="AD3331">
        <v>0</v>
      </c>
      <c r="AE3331">
        <v>0</v>
      </c>
      <c r="AF3331">
        <v>0</v>
      </c>
      <c r="AG3331">
        <v>0</v>
      </c>
      <c r="AH3331">
        <v>0</v>
      </c>
      <c r="AI3331">
        <v>0</v>
      </c>
      <c r="AJ3331">
        <v>0</v>
      </c>
      <c r="AK3331">
        <v>0</v>
      </c>
      <c r="AL3331">
        <v>0</v>
      </c>
      <c r="AM3331">
        <v>0</v>
      </c>
      <c r="AN3331">
        <v>0</v>
      </c>
      <c r="AO3331">
        <v>0</v>
      </c>
      <c r="AP3331">
        <v>0</v>
      </c>
      <c r="AQ3331">
        <v>69.489999999999995</v>
      </c>
      <c r="AR3331">
        <v>0</v>
      </c>
      <c r="AS3331">
        <v>0</v>
      </c>
      <c r="AT3331">
        <v>0</v>
      </c>
      <c r="AU3331">
        <v>0</v>
      </c>
      <c r="AV3331">
        <v>0</v>
      </c>
      <c r="AW3331">
        <v>0</v>
      </c>
      <c r="AX3331">
        <v>0</v>
      </c>
      <c r="AY3331">
        <v>0</v>
      </c>
      <c r="AZ3331">
        <v>0</v>
      </c>
      <c r="BA3331">
        <v>0</v>
      </c>
      <c r="BB3331">
        <v>0</v>
      </c>
      <c r="BC3331">
        <v>0</v>
      </c>
      <c r="BD3331">
        <v>0</v>
      </c>
      <c r="BE3331">
        <v>0</v>
      </c>
      <c r="BF3331">
        <v>0</v>
      </c>
      <c r="BG3331">
        <v>0</v>
      </c>
      <c r="BH3331">
        <v>1</v>
      </c>
      <c r="BI3331">
        <v>1</v>
      </c>
      <c r="BJ3331">
        <v>3.3</v>
      </c>
      <c r="BK3331">
        <v>3.5</v>
      </c>
      <c r="BL3331">
        <v>227.43</v>
      </c>
      <c r="BM3331">
        <v>34.11</v>
      </c>
      <c r="BN3331">
        <v>261.54000000000002</v>
      </c>
      <c r="BO3331">
        <v>261.54000000000002</v>
      </c>
      <c r="BQ3331" t="s">
        <v>716</v>
      </c>
      <c r="BR3331" t="s">
        <v>84</v>
      </c>
      <c r="BS3331" s="3">
        <v>45804</v>
      </c>
      <c r="BT3331" s="4">
        <v>0.3611111111111111</v>
      </c>
      <c r="BU3331" t="s">
        <v>2421</v>
      </c>
      <c r="BV3331" t="s">
        <v>86</v>
      </c>
      <c r="BY3331">
        <v>16632</v>
      </c>
      <c r="CA3331" t="s">
        <v>718</v>
      </c>
      <c r="CC3331" t="s">
        <v>714</v>
      </c>
      <c r="CD3331">
        <v>6300</v>
      </c>
      <c r="CE3331" t="s">
        <v>221</v>
      </c>
      <c r="CF3331" s="3">
        <v>45804</v>
      </c>
      <c r="CI3331">
        <v>2</v>
      </c>
      <c r="CJ3331">
        <v>1</v>
      </c>
      <c r="CK3331">
        <v>23</v>
      </c>
      <c r="CL3331" t="s">
        <v>89</v>
      </c>
    </row>
    <row r="3332" spans="1:90" x14ac:dyDescent="0.3">
      <c r="A3332" t="s">
        <v>72</v>
      </c>
      <c r="B3332" t="s">
        <v>73</v>
      </c>
      <c r="C3332" t="s">
        <v>74</v>
      </c>
      <c r="E3332" t="str">
        <f>"080065563084"</f>
        <v>080065563084</v>
      </c>
      <c r="F3332" s="3">
        <v>45803</v>
      </c>
      <c r="G3332">
        <v>202602</v>
      </c>
      <c r="H3332" t="s">
        <v>75</v>
      </c>
      <c r="I3332" t="s">
        <v>76</v>
      </c>
      <c r="J3332" t="s">
        <v>77</v>
      </c>
      <c r="K3332" t="s">
        <v>78</v>
      </c>
      <c r="L3332" t="s">
        <v>130</v>
      </c>
      <c r="M3332" t="s">
        <v>131</v>
      </c>
      <c r="N3332" t="s">
        <v>897</v>
      </c>
      <c r="O3332" t="s">
        <v>82</v>
      </c>
      <c r="P3332" t="str">
        <f>"4170040604                    "</f>
        <v xml:space="preserve">4170040604                    </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c r="AI3332">
        <v>0</v>
      </c>
      <c r="AJ3332">
        <v>0</v>
      </c>
      <c r="AK3332">
        <v>0</v>
      </c>
      <c r="AL3332">
        <v>0</v>
      </c>
      <c r="AM3332">
        <v>0</v>
      </c>
      <c r="AN3332">
        <v>0</v>
      </c>
      <c r="AO3332">
        <v>0</v>
      </c>
      <c r="AP3332">
        <v>0</v>
      </c>
      <c r="AQ3332">
        <v>80.14</v>
      </c>
      <c r="AR3332">
        <v>0</v>
      </c>
      <c r="AS3332">
        <v>0</v>
      </c>
      <c r="AT3332">
        <v>0</v>
      </c>
      <c r="AU3332">
        <v>0</v>
      </c>
      <c r="AV3332">
        <v>0</v>
      </c>
      <c r="AW3332">
        <v>0</v>
      </c>
      <c r="AX3332">
        <v>0</v>
      </c>
      <c r="AY3332">
        <v>0</v>
      </c>
      <c r="AZ3332">
        <v>0</v>
      </c>
      <c r="BA3332">
        <v>0</v>
      </c>
      <c r="BB3332">
        <v>0</v>
      </c>
      <c r="BC3332">
        <v>0</v>
      </c>
      <c r="BD3332">
        <v>0</v>
      </c>
      <c r="BE3332">
        <v>0</v>
      </c>
      <c r="BF3332">
        <v>0</v>
      </c>
      <c r="BG3332">
        <v>0</v>
      </c>
      <c r="BH3332">
        <v>2</v>
      </c>
      <c r="BI3332">
        <v>6</v>
      </c>
      <c r="BJ3332">
        <v>7.4</v>
      </c>
      <c r="BK3332">
        <v>7.5</v>
      </c>
      <c r="BL3332">
        <v>262.27999999999997</v>
      </c>
      <c r="BM3332">
        <v>39.340000000000003</v>
      </c>
      <c r="BN3332">
        <v>301.62</v>
      </c>
      <c r="BO3332">
        <v>301.62</v>
      </c>
      <c r="BQ3332" t="s">
        <v>898</v>
      </c>
      <c r="BR3332" t="s">
        <v>84</v>
      </c>
      <c r="BS3332" s="3">
        <v>45804</v>
      </c>
      <c r="BT3332" s="4">
        <v>0.40694444444444444</v>
      </c>
      <c r="BU3332" t="s">
        <v>899</v>
      </c>
      <c r="BV3332" t="s">
        <v>86</v>
      </c>
      <c r="BY3332">
        <v>37144</v>
      </c>
      <c r="CA3332" t="s">
        <v>901</v>
      </c>
      <c r="CC3332" t="s">
        <v>131</v>
      </c>
      <c r="CD3332">
        <v>7550</v>
      </c>
      <c r="CE3332" t="s">
        <v>116</v>
      </c>
      <c r="CF3332" s="3">
        <v>45805</v>
      </c>
      <c r="CI3332">
        <v>1</v>
      </c>
      <c r="CJ3332">
        <v>1</v>
      </c>
      <c r="CK3332">
        <v>21</v>
      </c>
      <c r="CL3332" t="s">
        <v>89</v>
      </c>
    </row>
    <row r="3333" spans="1:90" x14ac:dyDescent="0.3">
      <c r="A3333" t="s">
        <v>72</v>
      </c>
      <c r="B3333" t="s">
        <v>73</v>
      </c>
      <c r="C3333" t="s">
        <v>74</v>
      </c>
      <c r="E3333" t="str">
        <f>"080065563228"</f>
        <v>080065563228</v>
      </c>
      <c r="F3333" s="3">
        <v>45803</v>
      </c>
      <c r="G3333">
        <v>202602</v>
      </c>
      <c r="H3333" t="s">
        <v>75</v>
      </c>
      <c r="I3333" t="s">
        <v>76</v>
      </c>
      <c r="J3333" t="s">
        <v>77</v>
      </c>
      <c r="K3333" t="s">
        <v>78</v>
      </c>
      <c r="L3333" t="s">
        <v>75</v>
      </c>
      <c r="M3333" t="s">
        <v>76</v>
      </c>
      <c r="N3333" t="s">
        <v>601</v>
      </c>
      <c r="O3333" t="s">
        <v>602</v>
      </c>
      <c r="P3333" t="str">
        <f>"4170040532                    "</f>
        <v xml:space="preserve">4170040532                    </v>
      </c>
      <c r="Q3333">
        <v>0</v>
      </c>
      <c r="R3333">
        <v>0</v>
      </c>
      <c r="S3333">
        <v>0</v>
      </c>
      <c r="T3333">
        <v>0</v>
      </c>
      <c r="U3333">
        <v>0</v>
      </c>
      <c r="V3333">
        <v>0</v>
      </c>
      <c r="W3333">
        <v>0</v>
      </c>
      <c r="X3333">
        <v>0</v>
      </c>
      <c r="Y3333">
        <v>0</v>
      </c>
      <c r="Z3333">
        <v>0</v>
      </c>
      <c r="AA3333">
        <v>0</v>
      </c>
      <c r="AB3333">
        <v>0</v>
      </c>
      <c r="AC3333">
        <v>0</v>
      </c>
      <c r="AD3333">
        <v>0</v>
      </c>
      <c r="AE3333">
        <v>0</v>
      </c>
      <c r="AF3333">
        <v>0</v>
      </c>
      <c r="AG3333">
        <v>0</v>
      </c>
      <c r="AH3333">
        <v>0</v>
      </c>
      <c r="AI3333">
        <v>0</v>
      </c>
      <c r="AJ3333">
        <v>0</v>
      </c>
      <c r="AK3333">
        <v>0</v>
      </c>
      <c r="AL3333">
        <v>0</v>
      </c>
      <c r="AM3333">
        <v>0</v>
      </c>
      <c r="AN3333">
        <v>0</v>
      </c>
      <c r="AO3333">
        <v>0</v>
      </c>
      <c r="AP3333">
        <v>0</v>
      </c>
      <c r="AQ3333">
        <v>24.2</v>
      </c>
      <c r="AR3333">
        <v>0</v>
      </c>
      <c r="AS3333">
        <v>0</v>
      </c>
      <c r="AT3333">
        <v>0</v>
      </c>
      <c r="AU3333">
        <v>0</v>
      </c>
      <c r="AV3333">
        <v>0</v>
      </c>
      <c r="AW3333">
        <v>0</v>
      </c>
      <c r="AX3333">
        <v>0</v>
      </c>
      <c r="AY3333">
        <v>0</v>
      </c>
      <c r="AZ3333">
        <v>0</v>
      </c>
      <c r="BA3333">
        <v>0</v>
      </c>
      <c r="BB3333">
        <v>0</v>
      </c>
      <c r="BC3333">
        <v>0</v>
      </c>
      <c r="BD3333">
        <v>0</v>
      </c>
      <c r="BE3333">
        <v>0</v>
      </c>
      <c r="BF3333">
        <v>0</v>
      </c>
      <c r="BG3333">
        <v>0</v>
      </c>
      <c r="BH3333">
        <v>1</v>
      </c>
      <c r="BI3333">
        <v>11</v>
      </c>
      <c r="BJ3333">
        <v>11.8</v>
      </c>
      <c r="BK3333">
        <v>12</v>
      </c>
      <c r="BL3333">
        <v>79.209999999999994</v>
      </c>
      <c r="BM3333">
        <v>11.88</v>
      </c>
      <c r="BN3333">
        <v>91.09</v>
      </c>
      <c r="BO3333">
        <v>91.09</v>
      </c>
      <c r="BQ3333" t="s">
        <v>603</v>
      </c>
      <c r="BR3333" t="s">
        <v>84</v>
      </c>
      <c r="BS3333" s="3">
        <v>45804</v>
      </c>
      <c r="BT3333" s="4">
        <v>0.40694444444444444</v>
      </c>
      <c r="BU3333" t="s">
        <v>604</v>
      </c>
      <c r="BV3333" t="s">
        <v>86</v>
      </c>
      <c r="BY3333">
        <v>58800</v>
      </c>
      <c r="CA3333" t="s">
        <v>605</v>
      </c>
      <c r="CC3333" t="s">
        <v>76</v>
      </c>
      <c r="CD3333">
        <v>1645</v>
      </c>
      <c r="CE3333" t="s">
        <v>550</v>
      </c>
      <c r="CF3333" s="3">
        <v>45804</v>
      </c>
      <c r="CI3333">
        <v>1</v>
      </c>
      <c r="CJ3333">
        <v>1</v>
      </c>
      <c r="CK3333">
        <v>32</v>
      </c>
      <c r="CL3333" t="s">
        <v>89</v>
      </c>
    </row>
    <row r="3334" spans="1:90" x14ac:dyDescent="0.3">
      <c r="A3334" t="s">
        <v>72</v>
      </c>
      <c r="B3334" t="s">
        <v>73</v>
      </c>
      <c r="C3334" t="s">
        <v>74</v>
      </c>
      <c r="E3334" t="str">
        <f>"080065563311"</f>
        <v>080065563311</v>
      </c>
      <c r="F3334" s="3">
        <v>45803</v>
      </c>
      <c r="G3334">
        <v>202602</v>
      </c>
      <c r="H3334" t="s">
        <v>75</v>
      </c>
      <c r="I3334" t="s">
        <v>76</v>
      </c>
      <c r="J3334" t="s">
        <v>77</v>
      </c>
      <c r="K3334" t="s">
        <v>78</v>
      </c>
      <c r="L3334" t="s">
        <v>130</v>
      </c>
      <c r="M3334" t="s">
        <v>131</v>
      </c>
      <c r="N3334" t="s">
        <v>897</v>
      </c>
      <c r="O3334" t="s">
        <v>82</v>
      </c>
      <c r="P3334" t="str">
        <f>"4170040587                    "</f>
        <v xml:space="preserve">4170040587                    </v>
      </c>
      <c r="Q3334">
        <v>0</v>
      </c>
      <c r="R3334">
        <v>0</v>
      </c>
      <c r="S3334">
        <v>0</v>
      </c>
      <c r="T3334">
        <v>0</v>
      </c>
      <c r="U3334">
        <v>0</v>
      </c>
      <c r="V3334">
        <v>0</v>
      </c>
      <c r="W3334">
        <v>0</v>
      </c>
      <c r="X3334">
        <v>0</v>
      </c>
      <c r="Y3334">
        <v>0</v>
      </c>
      <c r="Z3334">
        <v>0</v>
      </c>
      <c r="AA3334">
        <v>0</v>
      </c>
      <c r="AB3334">
        <v>0</v>
      </c>
      <c r="AC3334">
        <v>0</v>
      </c>
      <c r="AD3334">
        <v>0</v>
      </c>
      <c r="AE3334">
        <v>0</v>
      </c>
      <c r="AF3334">
        <v>0</v>
      </c>
      <c r="AG3334">
        <v>0</v>
      </c>
      <c r="AH3334">
        <v>0</v>
      </c>
      <c r="AI3334">
        <v>0</v>
      </c>
      <c r="AJ3334">
        <v>0</v>
      </c>
      <c r="AK3334">
        <v>0</v>
      </c>
      <c r="AL3334">
        <v>0</v>
      </c>
      <c r="AM3334">
        <v>0</v>
      </c>
      <c r="AN3334">
        <v>0</v>
      </c>
      <c r="AO3334">
        <v>0</v>
      </c>
      <c r="AP3334">
        <v>0</v>
      </c>
      <c r="AQ3334">
        <v>21.38</v>
      </c>
      <c r="AR3334">
        <v>0</v>
      </c>
      <c r="AS3334">
        <v>0</v>
      </c>
      <c r="AT3334">
        <v>0</v>
      </c>
      <c r="AU3334">
        <v>0</v>
      </c>
      <c r="AV3334">
        <v>0</v>
      </c>
      <c r="AW3334">
        <v>0</v>
      </c>
      <c r="AX3334">
        <v>0</v>
      </c>
      <c r="AY3334">
        <v>0</v>
      </c>
      <c r="AZ3334">
        <v>0</v>
      </c>
      <c r="BA3334">
        <v>0</v>
      </c>
      <c r="BB3334">
        <v>0</v>
      </c>
      <c r="BC3334">
        <v>0</v>
      </c>
      <c r="BD3334">
        <v>0</v>
      </c>
      <c r="BE3334">
        <v>0</v>
      </c>
      <c r="BF3334">
        <v>0</v>
      </c>
      <c r="BG3334">
        <v>0</v>
      </c>
      <c r="BH3334">
        <v>1</v>
      </c>
      <c r="BI3334">
        <v>1</v>
      </c>
      <c r="BJ3334">
        <v>0.2</v>
      </c>
      <c r="BK3334">
        <v>1</v>
      </c>
      <c r="BL3334">
        <v>69.98</v>
      </c>
      <c r="BM3334">
        <v>10.5</v>
      </c>
      <c r="BN3334">
        <v>80.48</v>
      </c>
      <c r="BO3334">
        <v>80.48</v>
      </c>
      <c r="BQ3334" t="s">
        <v>898</v>
      </c>
      <c r="BR3334" t="s">
        <v>84</v>
      </c>
      <c r="BS3334" s="3">
        <v>45804</v>
      </c>
      <c r="BT3334" s="4">
        <v>0.40763888888888888</v>
      </c>
      <c r="BU3334" t="s">
        <v>899</v>
      </c>
      <c r="BV3334" t="s">
        <v>86</v>
      </c>
      <c r="BY3334">
        <v>1200</v>
      </c>
      <c r="CA3334" t="s">
        <v>901</v>
      </c>
      <c r="CC3334" t="s">
        <v>131</v>
      </c>
      <c r="CD3334">
        <v>7550</v>
      </c>
      <c r="CE3334" t="s">
        <v>88</v>
      </c>
      <c r="CF3334" s="3">
        <v>45805</v>
      </c>
      <c r="CI3334">
        <v>1</v>
      </c>
      <c r="CJ3334">
        <v>1</v>
      </c>
      <c r="CK3334">
        <v>21</v>
      </c>
      <c r="CL3334" t="s">
        <v>89</v>
      </c>
    </row>
    <row r="3335" spans="1:90" x14ac:dyDescent="0.3">
      <c r="A3335" t="s">
        <v>72</v>
      </c>
      <c r="B3335" t="s">
        <v>73</v>
      </c>
      <c r="C3335" t="s">
        <v>74</v>
      </c>
      <c r="E3335" t="str">
        <f>"080065563312"</f>
        <v>080065563312</v>
      </c>
      <c r="F3335" s="3">
        <v>45803</v>
      </c>
      <c r="G3335">
        <v>202602</v>
      </c>
      <c r="H3335" t="s">
        <v>75</v>
      </c>
      <c r="I3335" t="s">
        <v>76</v>
      </c>
      <c r="J3335" t="s">
        <v>77</v>
      </c>
      <c r="K3335" t="s">
        <v>78</v>
      </c>
      <c r="L3335" t="s">
        <v>350</v>
      </c>
      <c r="M3335" t="s">
        <v>351</v>
      </c>
      <c r="N3335" t="s">
        <v>352</v>
      </c>
      <c r="O3335" t="s">
        <v>300</v>
      </c>
      <c r="P3335" t="str">
        <f>"4170040701                    "</f>
        <v xml:space="preserve">4170040701                    </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c r="AI3335">
        <v>0</v>
      </c>
      <c r="AJ3335">
        <v>0</v>
      </c>
      <c r="AK3335">
        <v>0</v>
      </c>
      <c r="AL3335">
        <v>0</v>
      </c>
      <c r="AM3335">
        <v>0</v>
      </c>
      <c r="AN3335">
        <v>0</v>
      </c>
      <c r="AO3335">
        <v>0</v>
      </c>
      <c r="AP3335">
        <v>0</v>
      </c>
      <c r="AQ3335">
        <v>49.89</v>
      </c>
      <c r="AR3335">
        <v>0</v>
      </c>
      <c r="AS3335">
        <v>0</v>
      </c>
      <c r="AT3335">
        <v>0</v>
      </c>
      <c r="AU3335">
        <v>0</v>
      </c>
      <c r="AV3335">
        <v>0</v>
      </c>
      <c r="AW3335">
        <v>0</v>
      </c>
      <c r="AX3335">
        <v>0</v>
      </c>
      <c r="AY3335">
        <v>0</v>
      </c>
      <c r="AZ3335">
        <v>0</v>
      </c>
      <c r="BA3335">
        <v>0</v>
      </c>
      <c r="BB3335">
        <v>0</v>
      </c>
      <c r="BC3335">
        <v>0</v>
      </c>
      <c r="BD3335">
        <v>0</v>
      </c>
      <c r="BE3335">
        <v>0</v>
      </c>
      <c r="BF3335">
        <v>0</v>
      </c>
      <c r="BG3335">
        <v>0</v>
      </c>
      <c r="BH3335">
        <v>1</v>
      </c>
      <c r="BI3335">
        <v>20</v>
      </c>
      <c r="BJ3335">
        <v>9.8000000000000007</v>
      </c>
      <c r="BK3335">
        <v>20</v>
      </c>
      <c r="BL3335">
        <v>168.84</v>
      </c>
      <c r="BM3335">
        <v>25.33</v>
      </c>
      <c r="BN3335">
        <v>194.17</v>
      </c>
      <c r="BO3335">
        <v>194.17</v>
      </c>
      <c r="BQ3335" t="s">
        <v>353</v>
      </c>
      <c r="BR3335" t="s">
        <v>84</v>
      </c>
      <c r="BS3335" s="3">
        <v>45804</v>
      </c>
      <c r="BT3335" s="4">
        <v>0.52361111111111114</v>
      </c>
      <c r="BU3335" t="s">
        <v>3168</v>
      </c>
      <c r="BV3335" t="s">
        <v>86</v>
      </c>
      <c r="BY3335">
        <v>49000</v>
      </c>
      <c r="CA3335" t="s">
        <v>1046</v>
      </c>
      <c r="CC3335" t="s">
        <v>351</v>
      </c>
      <c r="CD3335">
        <v>4000</v>
      </c>
      <c r="CE3335" t="s">
        <v>356</v>
      </c>
      <c r="CF3335" s="3">
        <v>45804</v>
      </c>
      <c r="CI3335">
        <v>1</v>
      </c>
      <c r="CJ3335">
        <v>1</v>
      </c>
      <c r="CK3335">
        <v>41</v>
      </c>
      <c r="CL3335" t="s">
        <v>89</v>
      </c>
    </row>
    <row r="3336" spans="1:90" x14ac:dyDescent="0.3">
      <c r="A3336" t="s">
        <v>72</v>
      </c>
      <c r="B3336" t="s">
        <v>73</v>
      </c>
      <c r="C3336" t="s">
        <v>74</v>
      </c>
      <c r="E3336" t="str">
        <f>"080065563348"</f>
        <v>080065563348</v>
      </c>
      <c r="F3336" s="3">
        <v>45803</v>
      </c>
      <c r="G3336">
        <v>202602</v>
      </c>
      <c r="H3336" t="s">
        <v>75</v>
      </c>
      <c r="I3336" t="s">
        <v>76</v>
      </c>
      <c r="J3336" t="s">
        <v>77</v>
      </c>
      <c r="K3336" t="s">
        <v>78</v>
      </c>
      <c r="L3336" t="s">
        <v>463</v>
      </c>
      <c r="M3336" t="s">
        <v>464</v>
      </c>
      <c r="N3336" t="s">
        <v>744</v>
      </c>
      <c r="O3336" t="s">
        <v>82</v>
      </c>
      <c r="P3336" t="str">
        <f>"4170040571                    "</f>
        <v xml:space="preserve">4170040571                    </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c r="AI3336">
        <v>0</v>
      </c>
      <c r="AJ3336">
        <v>0</v>
      </c>
      <c r="AK3336">
        <v>0</v>
      </c>
      <c r="AL3336">
        <v>0</v>
      </c>
      <c r="AM3336">
        <v>0</v>
      </c>
      <c r="AN3336">
        <v>0</v>
      </c>
      <c r="AO3336">
        <v>0</v>
      </c>
      <c r="AP3336">
        <v>0</v>
      </c>
      <c r="AQ3336">
        <v>21.38</v>
      </c>
      <c r="AR3336">
        <v>0</v>
      </c>
      <c r="AS3336">
        <v>0</v>
      </c>
      <c r="AT3336">
        <v>0</v>
      </c>
      <c r="AU3336">
        <v>0</v>
      </c>
      <c r="AV3336">
        <v>0</v>
      </c>
      <c r="AW3336">
        <v>0</v>
      </c>
      <c r="AX3336">
        <v>0</v>
      </c>
      <c r="AY3336">
        <v>0</v>
      </c>
      <c r="AZ3336">
        <v>0</v>
      </c>
      <c r="BA3336">
        <v>0</v>
      </c>
      <c r="BB3336">
        <v>0</v>
      </c>
      <c r="BC3336">
        <v>0</v>
      </c>
      <c r="BD3336">
        <v>0</v>
      </c>
      <c r="BE3336">
        <v>0</v>
      </c>
      <c r="BF3336">
        <v>0</v>
      </c>
      <c r="BG3336">
        <v>0</v>
      </c>
      <c r="BH3336">
        <v>1</v>
      </c>
      <c r="BI3336">
        <v>1</v>
      </c>
      <c r="BJ3336">
        <v>0.2</v>
      </c>
      <c r="BK3336">
        <v>1</v>
      </c>
      <c r="BL3336">
        <v>69.98</v>
      </c>
      <c r="BM3336">
        <v>10.5</v>
      </c>
      <c r="BN3336">
        <v>80.48</v>
      </c>
      <c r="BO3336">
        <v>80.48</v>
      </c>
      <c r="BQ3336" t="s">
        <v>745</v>
      </c>
      <c r="BR3336" t="s">
        <v>84</v>
      </c>
      <c r="BS3336" s="3">
        <v>45804</v>
      </c>
      <c r="BT3336" s="4">
        <v>0.50486111111111109</v>
      </c>
      <c r="BU3336" t="s">
        <v>746</v>
      </c>
      <c r="BV3336" t="s">
        <v>89</v>
      </c>
      <c r="BY3336">
        <v>1200</v>
      </c>
      <c r="CA3336" t="s">
        <v>588</v>
      </c>
      <c r="CC3336" t="s">
        <v>464</v>
      </c>
      <c r="CD3336">
        <v>5201</v>
      </c>
      <c r="CE3336" t="s">
        <v>88</v>
      </c>
      <c r="CF3336" s="3">
        <v>45804</v>
      </c>
      <c r="CI3336">
        <v>1</v>
      </c>
      <c r="CJ3336">
        <v>1</v>
      </c>
      <c r="CK3336">
        <v>21</v>
      </c>
      <c r="CL3336" t="s">
        <v>89</v>
      </c>
    </row>
    <row r="3337" spans="1:90" x14ac:dyDescent="0.3">
      <c r="A3337" t="s">
        <v>72</v>
      </c>
      <c r="B3337" t="s">
        <v>73</v>
      </c>
      <c r="C3337" t="s">
        <v>74</v>
      </c>
      <c r="E3337" t="str">
        <f>"080065563365"</f>
        <v>080065563365</v>
      </c>
      <c r="F3337" s="3">
        <v>45803</v>
      </c>
      <c r="G3337">
        <v>202602</v>
      </c>
      <c r="H3337" t="s">
        <v>75</v>
      </c>
      <c r="I3337" t="s">
        <v>76</v>
      </c>
      <c r="J3337" t="s">
        <v>77</v>
      </c>
      <c r="K3337" t="s">
        <v>78</v>
      </c>
      <c r="L3337" t="s">
        <v>672</v>
      </c>
      <c r="M3337" t="s">
        <v>673</v>
      </c>
      <c r="N3337" t="s">
        <v>674</v>
      </c>
      <c r="O3337" t="s">
        <v>82</v>
      </c>
      <c r="P3337" t="str">
        <f>"4170040694                    "</f>
        <v xml:space="preserve">4170040694                    </v>
      </c>
      <c r="Q3337">
        <v>0</v>
      </c>
      <c r="R3337">
        <v>0</v>
      </c>
      <c r="S3337">
        <v>0</v>
      </c>
      <c r="T3337">
        <v>0</v>
      </c>
      <c r="U3337">
        <v>0</v>
      </c>
      <c r="V3337">
        <v>0</v>
      </c>
      <c r="W3337">
        <v>0</v>
      </c>
      <c r="X3337">
        <v>0</v>
      </c>
      <c r="Y3337">
        <v>0</v>
      </c>
      <c r="Z3337">
        <v>0</v>
      </c>
      <c r="AA3337">
        <v>0</v>
      </c>
      <c r="AB3337">
        <v>0</v>
      </c>
      <c r="AC3337">
        <v>0</v>
      </c>
      <c r="AD3337">
        <v>0</v>
      </c>
      <c r="AE3337">
        <v>0</v>
      </c>
      <c r="AF3337">
        <v>0</v>
      </c>
      <c r="AG3337">
        <v>0</v>
      </c>
      <c r="AH3337">
        <v>0</v>
      </c>
      <c r="AI3337">
        <v>0</v>
      </c>
      <c r="AJ3337">
        <v>0</v>
      </c>
      <c r="AK3337">
        <v>0</v>
      </c>
      <c r="AL3337">
        <v>0</v>
      </c>
      <c r="AM3337">
        <v>0</v>
      </c>
      <c r="AN3337">
        <v>0</v>
      </c>
      <c r="AO3337">
        <v>0</v>
      </c>
      <c r="AP3337">
        <v>0</v>
      </c>
      <c r="AQ3337">
        <v>41.43</v>
      </c>
      <c r="AR3337">
        <v>0</v>
      </c>
      <c r="AS3337">
        <v>0</v>
      </c>
      <c r="AT3337">
        <v>0</v>
      </c>
      <c r="AU3337">
        <v>0</v>
      </c>
      <c r="AV3337">
        <v>0</v>
      </c>
      <c r="AW3337">
        <v>0</v>
      </c>
      <c r="AX3337">
        <v>0</v>
      </c>
      <c r="AY3337">
        <v>0</v>
      </c>
      <c r="AZ3337">
        <v>0</v>
      </c>
      <c r="BA3337">
        <v>0</v>
      </c>
      <c r="BB3337">
        <v>0</v>
      </c>
      <c r="BC3337">
        <v>0</v>
      </c>
      <c r="BD3337">
        <v>0</v>
      </c>
      <c r="BE3337">
        <v>0</v>
      </c>
      <c r="BF3337">
        <v>0</v>
      </c>
      <c r="BG3337">
        <v>0</v>
      </c>
      <c r="BH3337">
        <v>1</v>
      </c>
      <c r="BI3337">
        <v>1</v>
      </c>
      <c r="BJ3337">
        <v>0.2</v>
      </c>
      <c r="BK3337">
        <v>1</v>
      </c>
      <c r="BL3337">
        <v>135.59</v>
      </c>
      <c r="BM3337">
        <v>20.34</v>
      </c>
      <c r="BN3337">
        <v>155.93</v>
      </c>
      <c r="BO3337">
        <v>155.93</v>
      </c>
      <c r="BQ3337" t="s">
        <v>675</v>
      </c>
      <c r="BR3337" t="s">
        <v>84</v>
      </c>
      <c r="BS3337" s="3">
        <v>45804</v>
      </c>
      <c r="BT3337" s="4">
        <v>0.46805555555555556</v>
      </c>
      <c r="BU3337" t="s">
        <v>1512</v>
      </c>
      <c r="BV3337" t="s">
        <v>86</v>
      </c>
      <c r="BY3337">
        <v>1200</v>
      </c>
      <c r="CA3337" t="s">
        <v>677</v>
      </c>
      <c r="CC3337" t="s">
        <v>673</v>
      </c>
      <c r="CD3337">
        <v>2531</v>
      </c>
      <c r="CE3337" t="s">
        <v>88</v>
      </c>
      <c r="CF3337" s="3">
        <v>45805</v>
      </c>
      <c r="CI3337">
        <v>1</v>
      </c>
      <c r="CJ3337">
        <v>1</v>
      </c>
      <c r="CK3337">
        <v>23</v>
      </c>
      <c r="CL3337" t="s">
        <v>89</v>
      </c>
    </row>
    <row r="3338" spans="1:90" x14ac:dyDescent="0.3">
      <c r="A3338" t="s">
        <v>72</v>
      </c>
      <c r="B3338" t="s">
        <v>73</v>
      </c>
      <c r="C3338" t="s">
        <v>74</v>
      </c>
      <c r="E3338" t="str">
        <f>"080065564011"</f>
        <v>080065564011</v>
      </c>
      <c r="F3338" s="3">
        <v>45803</v>
      </c>
      <c r="G3338">
        <v>202602</v>
      </c>
      <c r="H3338" t="s">
        <v>75</v>
      </c>
      <c r="I3338" t="s">
        <v>76</v>
      </c>
      <c r="J3338" t="s">
        <v>77</v>
      </c>
      <c r="K3338" t="s">
        <v>78</v>
      </c>
      <c r="L3338" t="s">
        <v>90</v>
      </c>
      <c r="M3338" t="s">
        <v>91</v>
      </c>
      <c r="N3338" t="s">
        <v>92</v>
      </c>
      <c r="O3338" t="s">
        <v>82</v>
      </c>
      <c r="P3338" t="str">
        <f>"4170040598                    "</f>
        <v xml:space="preserve">4170040598                    </v>
      </c>
      <c r="Q3338">
        <v>0</v>
      </c>
      <c r="R3338">
        <v>0</v>
      </c>
      <c r="S3338">
        <v>0</v>
      </c>
      <c r="T3338">
        <v>0</v>
      </c>
      <c r="U3338">
        <v>0</v>
      </c>
      <c r="V3338">
        <v>0</v>
      </c>
      <c r="W3338">
        <v>0</v>
      </c>
      <c r="X3338">
        <v>0</v>
      </c>
      <c r="Y3338">
        <v>0</v>
      </c>
      <c r="Z3338">
        <v>0</v>
      </c>
      <c r="AA3338">
        <v>0</v>
      </c>
      <c r="AB3338">
        <v>0</v>
      </c>
      <c r="AC3338">
        <v>0</v>
      </c>
      <c r="AD3338">
        <v>0</v>
      </c>
      <c r="AE3338">
        <v>0</v>
      </c>
      <c r="AF3338">
        <v>0</v>
      </c>
      <c r="AG3338">
        <v>0</v>
      </c>
      <c r="AH3338">
        <v>0</v>
      </c>
      <c r="AI3338">
        <v>0</v>
      </c>
      <c r="AJ3338">
        <v>0</v>
      </c>
      <c r="AK3338">
        <v>0</v>
      </c>
      <c r="AL3338">
        <v>0</v>
      </c>
      <c r="AM3338">
        <v>0</v>
      </c>
      <c r="AN3338">
        <v>0</v>
      </c>
      <c r="AO3338">
        <v>0</v>
      </c>
      <c r="AP3338">
        <v>0</v>
      </c>
      <c r="AQ3338">
        <v>96.17</v>
      </c>
      <c r="AR3338">
        <v>0</v>
      </c>
      <c r="AS3338">
        <v>0</v>
      </c>
      <c r="AT3338">
        <v>0</v>
      </c>
      <c r="AU3338">
        <v>0</v>
      </c>
      <c r="AV3338">
        <v>0</v>
      </c>
      <c r="AW3338">
        <v>0</v>
      </c>
      <c r="AX3338">
        <v>0</v>
      </c>
      <c r="AY3338">
        <v>0</v>
      </c>
      <c r="AZ3338">
        <v>0</v>
      </c>
      <c r="BA3338">
        <v>0</v>
      </c>
      <c r="BB3338">
        <v>0</v>
      </c>
      <c r="BC3338">
        <v>0</v>
      </c>
      <c r="BD3338">
        <v>0</v>
      </c>
      <c r="BE3338">
        <v>0</v>
      </c>
      <c r="BF3338">
        <v>0</v>
      </c>
      <c r="BG3338">
        <v>0</v>
      </c>
      <c r="BH3338">
        <v>1</v>
      </c>
      <c r="BI3338">
        <v>4</v>
      </c>
      <c r="BJ3338">
        <v>8.9</v>
      </c>
      <c r="BK3338">
        <v>9</v>
      </c>
      <c r="BL3338">
        <v>314.73</v>
      </c>
      <c r="BM3338">
        <v>47.21</v>
      </c>
      <c r="BN3338">
        <v>361.94</v>
      </c>
      <c r="BO3338">
        <v>361.94</v>
      </c>
      <c r="BQ3338" t="s">
        <v>93</v>
      </c>
      <c r="BR3338" t="s">
        <v>84</v>
      </c>
      <c r="BS3338" s="3">
        <v>45804</v>
      </c>
      <c r="BT3338" s="4">
        <v>0.34861111111111109</v>
      </c>
      <c r="BU3338" t="s">
        <v>94</v>
      </c>
      <c r="BV3338" t="s">
        <v>86</v>
      </c>
      <c r="BY3338">
        <v>44640</v>
      </c>
      <c r="CA3338" t="s">
        <v>95</v>
      </c>
      <c r="CC3338" t="s">
        <v>91</v>
      </c>
      <c r="CD3338">
        <v>6001</v>
      </c>
      <c r="CE3338" t="s">
        <v>96</v>
      </c>
      <c r="CF3338" s="3">
        <v>45804</v>
      </c>
      <c r="CI3338">
        <v>1</v>
      </c>
      <c r="CJ3338">
        <v>1</v>
      </c>
      <c r="CK3338">
        <v>21</v>
      </c>
      <c r="CL3338" t="s">
        <v>89</v>
      </c>
    </row>
    <row r="3339" spans="1:90" x14ac:dyDescent="0.3">
      <c r="A3339" t="s">
        <v>72</v>
      </c>
      <c r="B3339" t="s">
        <v>73</v>
      </c>
      <c r="C3339" t="s">
        <v>74</v>
      </c>
      <c r="E3339" t="str">
        <f>"080065564050"</f>
        <v>080065564050</v>
      </c>
      <c r="F3339" s="3">
        <v>45803</v>
      </c>
      <c r="G3339">
        <v>202602</v>
      </c>
      <c r="H3339" t="s">
        <v>75</v>
      </c>
      <c r="I3339" t="s">
        <v>76</v>
      </c>
      <c r="J3339" t="s">
        <v>77</v>
      </c>
      <c r="K3339" t="s">
        <v>78</v>
      </c>
      <c r="L3339" t="s">
        <v>136</v>
      </c>
      <c r="M3339" t="s">
        <v>137</v>
      </c>
      <c r="N3339" t="s">
        <v>735</v>
      </c>
      <c r="O3339" t="s">
        <v>82</v>
      </c>
      <c r="P3339" t="str">
        <f>"4170040545                    "</f>
        <v xml:space="preserve">4170040545                    </v>
      </c>
      <c r="Q3339">
        <v>0</v>
      </c>
      <c r="R3339">
        <v>0</v>
      </c>
      <c r="S3339">
        <v>0</v>
      </c>
      <c r="T3339">
        <v>0</v>
      </c>
      <c r="U3339">
        <v>0</v>
      </c>
      <c r="V3339">
        <v>0</v>
      </c>
      <c r="W3339">
        <v>0</v>
      </c>
      <c r="X3339">
        <v>0</v>
      </c>
      <c r="Y3339">
        <v>0</v>
      </c>
      <c r="Z3339">
        <v>0</v>
      </c>
      <c r="AA3339">
        <v>0</v>
      </c>
      <c r="AB3339">
        <v>0</v>
      </c>
      <c r="AC3339">
        <v>0</v>
      </c>
      <c r="AD3339">
        <v>0</v>
      </c>
      <c r="AE3339">
        <v>0</v>
      </c>
      <c r="AF3339">
        <v>0</v>
      </c>
      <c r="AG3339">
        <v>0</v>
      </c>
      <c r="AH3339">
        <v>0</v>
      </c>
      <c r="AI3339">
        <v>0</v>
      </c>
      <c r="AJ3339">
        <v>0</v>
      </c>
      <c r="AK3339">
        <v>0</v>
      </c>
      <c r="AL3339">
        <v>0</v>
      </c>
      <c r="AM3339">
        <v>0</v>
      </c>
      <c r="AN3339">
        <v>0</v>
      </c>
      <c r="AO3339">
        <v>0</v>
      </c>
      <c r="AP3339">
        <v>0</v>
      </c>
      <c r="AQ3339">
        <v>37.409999999999997</v>
      </c>
      <c r="AR3339">
        <v>0</v>
      </c>
      <c r="AS3339">
        <v>0</v>
      </c>
      <c r="AT3339">
        <v>0</v>
      </c>
      <c r="AU3339">
        <v>0</v>
      </c>
      <c r="AV3339">
        <v>0</v>
      </c>
      <c r="AW3339">
        <v>0</v>
      </c>
      <c r="AX3339">
        <v>0</v>
      </c>
      <c r="AY3339">
        <v>0</v>
      </c>
      <c r="AZ3339">
        <v>0</v>
      </c>
      <c r="BA3339">
        <v>0</v>
      </c>
      <c r="BB3339">
        <v>0</v>
      </c>
      <c r="BC3339">
        <v>0</v>
      </c>
      <c r="BD3339">
        <v>0</v>
      </c>
      <c r="BE3339">
        <v>0</v>
      </c>
      <c r="BF3339">
        <v>0</v>
      </c>
      <c r="BG3339">
        <v>0</v>
      </c>
      <c r="BH3339">
        <v>1</v>
      </c>
      <c r="BI3339">
        <v>3</v>
      </c>
      <c r="BJ3339">
        <v>3.4</v>
      </c>
      <c r="BK3339">
        <v>3.5</v>
      </c>
      <c r="BL3339">
        <v>122.43</v>
      </c>
      <c r="BM3339">
        <v>18.36</v>
      </c>
      <c r="BN3339">
        <v>140.79</v>
      </c>
      <c r="BO3339">
        <v>140.79</v>
      </c>
      <c r="BQ3339" t="s">
        <v>736</v>
      </c>
      <c r="BR3339" t="s">
        <v>84</v>
      </c>
      <c r="BS3339" s="3">
        <v>45804</v>
      </c>
      <c r="BT3339" s="4">
        <v>0.39583333333333331</v>
      </c>
      <c r="BU3339" t="s">
        <v>1092</v>
      </c>
      <c r="BV3339" t="s">
        <v>86</v>
      </c>
      <c r="BY3339">
        <v>16965</v>
      </c>
      <c r="BZ3339" t="s">
        <v>127</v>
      </c>
      <c r="CA3339" t="s">
        <v>258</v>
      </c>
      <c r="CC3339" t="s">
        <v>137</v>
      </c>
      <c r="CD3339" s="5" t="s">
        <v>738</v>
      </c>
      <c r="CE3339" t="s">
        <v>419</v>
      </c>
      <c r="CF3339" s="3">
        <v>45804</v>
      </c>
      <c r="CI3339">
        <v>1</v>
      </c>
      <c r="CJ3339">
        <v>1</v>
      </c>
      <c r="CK3339">
        <v>21</v>
      </c>
      <c r="CL3339" t="s">
        <v>89</v>
      </c>
    </row>
    <row r="3340" spans="1:90" x14ac:dyDescent="0.3">
      <c r="A3340" t="s">
        <v>72</v>
      </c>
      <c r="B3340" t="s">
        <v>73</v>
      </c>
      <c r="C3340" t="s">
        <v>74</v>
      </c>
      <c r="E3340" t="str">
        <f>"080065564145"</f>
        <v>080065564145</v>
      </c>
      <c r="F3340" s="3">
        <v>45803</v>
      </c>
      <c r="G3340">
        <v>202602</v>
      </c>
      <c r="H3340" t="s">
        <v>75</v>
      </c>
      <c r="I3340" t="s">
        <v>76</v>
      </c>
      <c r="J3340" t="s">
        <v>77</v>
      </c>
      <c r="K3340" t="s">
        <v>78</v>
      </c>
      <c r="L3340" t="s">
        <v>624</v>
      </c>
      <c r="M3340" t="s">
        <v>625</v>
      </c>
      <c r="N3340" t="s">
        <v>626</v>
      </c>
      <c r="O3340" t="s">
        <v>82</v>
      </c>
      <c r="P3340" t="str">
        <f>"4170040688                    "</f>
        <v xml:space="preserve">4170040688                    </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0</v>
      </c>
      <c r="AL3340">
        <v>0</v>
      </c>
      <c r="AM3340">
        <v>0</v>
      </c>
      <c r="AN3340">
        <v>0</v>
      </c>
      <c r="AO3340">
        <v>0</v>
      </c>
      <c r="AP3340">
        <v>0</v>
      </c>
      <c r="AQ3340">
        <v>69.489999999999995</v>
      </c>
      <c r="AR3340">
        <v>0</v>
      </c>
      <c r="AS3340">
        <v>0</v>
      </c>
      <c r="AT3340">
        <v>0</v>
      </c>
      <c r="AU3340">
        <v>0</v>
      </c>
      <c r="AV3340">
        <v>0</v>
      </c>
      <c r="AW3340">
        <v>0</v>
      </c>
      <c r="AX3340">
        <v>0</v>
      </c>
      <c r="AY3340">
        <v>0</v>
      </c>
      <c r="AZ3340">
        <v>0</v>
      </c>
      <c r="BA3340">
        <v>0</v>
      </c>
      <c r="BB3340">
        <v>0</v>
      </c>
      <c r="BC3340">
        <v>0</v>
      </c>
      <c r="BD3340">
        <v>0</v>
      </c>
      <c r="BE3340">
        <v>0</v>
      </c>
      <c r="BF3340">
        <v>0</v>
      </c>
      <c r="BG3340">
        <v>0</v>
      </c>
      <c r="BH3340">
        <v>1</v>
      </c>
      <c r="BI3340">
        <v>1</v>
      </c>
      <c r="BJ3340">
        <v>3.4</v>
      </c>
      <c r="BK3340">
        <v>3.5</v>
      </c>
      <c r="BL3340">
        <v>227.43</v>
      </c>
      <c r="BM3340">
        <v>34.11</v>
      </c>
      <c r="BN3340">
        <v>261.54000000000002</v>
      </c>
      <c r="BO3340">
        <v>261.54000000000002</v>
      </c>
      <c r="BQ3340" t="s">
        <v>627</v>
      </c>
      <c r="BR3340" t="s">
        <v>84</v>
      </c>
      <c r="BS3340" s="3">
        <v>45804</v>
      </c>
      <c r="BT3340" s="4">
        <v>0.35416666666666669</v>
      </c>
      <c r="BU3340" t="s">
        <v>3169</v>
      </c>
      <c r="BV3340" t="s">
        <v>86</v>
      </c>
      <c r="BY3340">
        <v>16965</v>
      </c>
      <c r="BZ3340" t="s">
        <v>127</v>
      </c>
      <c r="CC3340" t="s">
        <v>625</v>
      </c>
      <c r="CD3340">
        <v>1947</v>
      </c>
      <c r="CE3340" t="s">
        <v>419</v>
      </c>
      <c r="CF3340" s="3">
        <v>45804</v>
      </c>
      <c r="CI3340">
        <v>1</v>
      </c>
      <c r="CJ3340">
        <v>1</v>
      </c>
      <c r="CK3340">
        <v>23</v>
      </c>
      <c r="CL3340" t="s">
        <v>89</v>
      </c>
    </row>
    <row r="3341" spans="1:90" x14ac:dyDescent="0.3">
      <c r="A3341" t="s">
        <v>72</v>
      </c>
      <c r="B3341" t="s">
        <v>73</v>
      </c>
      <c r="C3341" t="s">
        <v>74</v>
      </c>
      <c r="E3341" t="str">
        <f>"080065564291"</f>
        <v>080065564291</v>
      </c>
      <c r="F3341" s="3">
        <v>45803</v>
      </c>
      <c r="G3341">
        <v>202602</v>
      </c>
      <c r="H3341" t="s">
        <v>75</v>
      </c>
      <c r="I3341" t="s">
        <v>76</v>
      </c>
      <c r="J3341" t="s">
        <v>77</v>
      </c>
      <c r="K3341" t="s">
        <v>78</v>
      </c>
      <c r="L3341" t="s">
        <v>103</v>
      </c>
      <c r="M3341" t="s">
        <v>104</v>
      </c>
      <c r="N3341" t="s">
        <v>105</v>
      </c>
      <c r="O3341" t="s">
        <v>82</v>
      </c>
      <c r="P3341" t="str">
        <f>"4170040711                    "</f>
        <v xml:space="preserve">4170040711                    </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c r="AJ3341">
        <v>0</v>
      </c>
      <c r="AK3341">
        <v>0</v>
      </c>
      <c r="AL3341">
        <v>0</v>
      </c>
      <c r="AM3341">
        <v>0</v>
      </c>
      <c r="AN3341">
        <v>0</v>
      </c>
      <c r="AO3341">
        <v>0</v>
      </c>
      <c r="AP3341">
        <v>0</v>
      </c>
      <c r="AQ3341">
        <v>21.38</v>
      </c>
      <c r="AR3341">
        <v>0</v>
      </c>
      <c r="AS3341">
        <v>0</v>
      </c>
      <c r="AT3341">
        <v>0</v>
      </c>
      <c r="AU3341">
        <v>0</v>
      </c>
      <c r="AV3341">
        <v>0</v>
      </c>
      <c r="AW3341">
        <v>0</v>
      </c>
      <c r="AX3341">
        <v>0</v>
      </c>
      <c r="AY3341">
        <v>0</v>
      </c>
      <c r="AZ3341">
        <v>0</v>
      </c>
      <c r="BA3341">
        <v>0</v>
      </c>
      <c r="BB3341">
        <v>0</v>
      </c>
      <c r="BC3341">
        <v>0</v>
      </c>
      <c r="BD3341">
        <v>0</v>
      </c>
      <c r="BE3341">
        <v>0</v>
      </c>
      <c r="BF3341">
        <v>0</v>
      </c>
      <c r="BG3341">
        <v>0</v>
      </c>
      <c r="BH3341">
        <v>1</v>
      </c>
      <c r="BI3341">
        <v>1</v>
      </c>
      <c r="BJ3341">
        <v>0.2</v>
      </c>
      <c r="BK3341">
        <v>1</v>
      </c>
      <c r="BL3341">
        <v>69.98</v>
      </c>
      <c r="BM3341">
        <v>10.5</v>
      </c>
      <c r="BN3341">
        <v>80.48</v>
      </c>
      <c r="BO3341">
        <v>80.48</v>
      </c>
      <c r="BQ3341" t="s">
        <v>106</v>
      </c>
      <c r="BR3341" t="s">
        <v>84</v>
      </c>
      <c r="BS3341" s="3">
        <v>45804</v>
      </c>
      <c r="BT3341" s="4">
        <v>0.41666666666666669</v>
      </c>
      <c r="BU3341" t="s">
        <v>430</v>
      </c>
      <c r="BV3341" t="s">
        <v>86</v>
      </c>
      <c r="BY3341">
        <v>1200</v>
      </c>
      <c r="CA3341" t="s">
        <v>108</v>
      </c>
      <c r="CC3341" t="s">
        <v>104</v>
      </c>
      <c r="CD3341">
        <v>3201</v>
      </c>
      <c r="CE3341" t="s">
        <v>88</v>
      </c>
      <c r="CF3341" s="3">
        <v>45804</v>
      </c>
      <c r="CI3341">
        <v>1</v>
      </c>
      <c r="CJ3341">
        <v>1</v>
      </c>
      <c r="CK3341">
        <v>21</v>
      </c>
      <c r="CL3341" t="s">
        <v>89</v>
      </c>
    </row>
    <row r="3342" spans="1:90" x14ac:dyDescent="0.3">
      <c r="A3342" t="s">
        <v>72</v>
      </c>
      <c r="B3342" t="s">
        <v>73</v>
      </c>
      <c r="C3342" t="s">
        <v>74</v>
      </c>
      <c r="E3342" t="str">
        <f>"080065564360"</f>
        <v>080065564360</v>
      </c>
      <c r="F3342" s="3">
        <v>45803</v>
      </c>
      <c r="G3342">
        <v>202602</v>
      </c>
      <c r="H3342" t="s">
        <v>75</v>
      </c>
      <c r="I3342" t="s">
        <v>76</v>
      </c>
      <c r="J3342" t="s">
        <v>77</v>
      </c>
      <c r="K3342" t="s">
        <v>78</v>
      </c>
      <c r="L3342" t="s">
        <v>1355</v>
      </c>
      <c r="M3342" t="s">
        <v>1356</v>
      </c>
      <c r="N3342" t="s">
        <v>1357</v>
      </c>
      <c r="O3342" t="s">
        <v>82</v>
      </c>
      <c r="P3342" t="str">
        <f>"4170040649                    "</f>
        <v xml:space="preserve">4170040649                    </v>
      </c>
      <c r="Q3342">
        <v>0</v>
      </c>
      <c r="R3342">
        <v>0</v>
      </c>
      <c r="S3342">
        <v>0</v>
      </c>
      <c r="T3342">
        <v>0</v>
      </c>
      <c r="U3342">
        <v>0</v>
      </c>
      <c r="V3342">
        <v>0</v>
      </c>
      <c r="W3342">
        <v>0</v>
      </c>
      <c r="X3342">
        <v>0</v>
      </c>
      <c r="Y3342">
        <v>0</v>
      </c>
      <c r="Z3342">
        <v>0</v>
      </c>
      <c r="AA3342">
        <v>0</v>
      </c>
      <c r="AB3342">
        <v>0</v>
      </c>
      <c r="AC3342">
        <v>0</v>
      </c>
      <c r="AD3342">
        <v>0</v>
      </c>
      <c r="AE3342">
        <v>0</v>
      </c>
      <c r="AF3342">
        <v>0</v>
      </c>
      <c r="AG3342">
        <v>0</v>
      </c>
      <c r="AH3342">
        <v>0</v>
      </c>
      <c r="AI3342">
        <v>0</v>
      </c>
      <c r="AJ3342">
        <v>0</v>
      </c>
      <c r="AK3342">
        <v>0</v>
      </c>
      <c r="AL3342">
        <v>0</v>
      </c>
      <c r="AM3342">
        <v>0</v>
      </c>
      <c r="AN3342">
        <v>0</v>
      </c>
      <c r="AO3342">
        <v>0</v>
      </c>
      <c r="AP3342">
        <v>0</v>
      </c>
      <c r="AQ3342">
        <v>30.07</v>
      </c>
      <c r="AR3342">
        <v>0</v>
      </c>
      <c r="AS3342">
        <v>0</v>
      </c>
      <c r="AT3342">
        <v>0</v>
      </c>
      <c r="AU3342">
        <v>0</v>
      </c>
      <c r="AV3342">
        <v>0</v>
      </c>
      <c r="AW3342">
        <v>0</v>
      </c>
      <c r="AX3342">
        <v>0</v>
      </c>
      <c r="AY3342">
        <v>0</v>
      </c>
      <c r="AZ3342">
        <v>0</v>
      </c>
      <c r="BA3342">
        <v>0</v>
      </c>
      <c r="BB3342">
        <v>0</v>
      </c>
      <c r="BC3342">
        <v>0</v>
      </c>
      <c r="BD3342">
        <v>0</v>
      </c>
      <c r="BE3342">
        <v>0</v>
      </c>
      <c r="BF3342">
        <v>0</v>
      </c>
      <c r="BG3342">
        <v>0</v>
      </c>
      <c r="BH3342">
        <v>1</v>
      </c>
      <c r="BI3342">
        <v>1</v>
      </c>
      <c r="BJ3342">
        <v>0.2</v>
      </c>
      <c r="BK3342">
        <v>1</v>
      </c>
      <c r="BL3342">
        <v>98.42</v>
      </c>
      <c r="BM3342">
        <v>14.76</v>
      </c>
      <c r="BN3342">
        <v>113.18</v>
      </c>
      <c r="BO3342">
        <v>113.18</v>
      </c>
      <c r="BQ3342" t="s">
        <v>1358</v>
      </c>
      <c r="BR3342" t="s">
        <v>84</v>
      </c>
      <c r="BS3342" s="3">
        <v>45804</v>
      </c>
      <c r="BT3342" s="4">
        <v>0.37986111111111109</v>
      </c>
      <c r="BU3342" t="s">
        <v>3170</v>
      </c>
      <c r="BV3342" t="s">
        <v>86</v>
      </c>
      <c r="BY3342">
        <v>1200</v>
      </c>
      <c r="CA3342" t="s">
        <v>1360</v>
      </c>
      <c r="CC3342" t="s">
        <v>1356</v>
      </c>
      <c r="CD3342">
        <v>2410</v>
      </c>
      <c r="CE3342" t="s">
        <v>88</v>
      </c>
      <c r="CF3342" s="3">
        <v>45804</v>
      </c>
      <c r="CI3342">
        <v>1</v>
      </c>
      <c r="CJ3342">
        <v>1</v>
      </c>
      <c r="CK3342">
        <v>24</v>
      </c>
      <c r="CL3342" t="s">
        <v>89</v>
      </c>
    </row>
    <row r="3343" spans="1:90" x14ac:dyDescent="0.3">
      <c r="A3343" t="s">
        <v>72</v>
      </c>
      <c r="B3343" t="s">
        <v>73</v>
      </c>
      <c r="C3343" t="s">
        <v>74</v>
      </c>
      <c r="E3343" t="str">
        <f>"080065564459"</f>
        <v>080065564459</v>
      </c>
      <c r="F3343" s="3">
        <v>45803</v>
      </c>
      <c r="G3343">
        <v>202602</v>
      </c>
      <c r="H3343" t="s">
        <v>75</v>
      </c>
      <c r="I3343" t="s">
        <v>76</v>
      </c>
      <c r="J3343" t="s">
        <v>77</v>
      </c>
      <c r="K3343" t="s">
        <v>78</v>
      </c>
      <c r="L3343" t="s">
        <v>130</v>
      </c>
      <c r="M3343" t="s">
        <v>131</v>
      </c>
      <c r="N3343" t="s">
        <v>2811</v>
      </c>
      <c r="O3343" t="s">
        <v>82</v>
      </c>
      <c r="P3343" t="str">
        <f>"4170040674                    "</f>
        <v xml:space="preserve">4170040674                    </v>
      </c>
      <c r="Q3343">
        <v>0</v>
      </c>
      <c r="R3343">
        <v>0</v>
      </c>
      <c r="S3343">
        <v>0</v>
      </c>
      <c r="T3343">
        <v>0</v>
      </c>
      <c r="U3343">
        <v>0</v>
      </c>
      <c r="V3343">
        <v>0</v>
      </c>
      <c r="W3343">
        <v>0</v>
      </c>
      <c r="X3343">
        <v>0</v>
      </c>
      <c r="Y3343">
        <v>0</v>
      </c>
      <c r="Z3343">
        <v>0</v>
      </c>
      <c r="AA3343">
        <v>0</v>
      </c>
      <c r="AB3343">
        <v>0</v>
      </c>
      <c r="AC3343">
        <v>0</v>
      </c>
      <c r="AD3343">
        <v>0</v>
      </c>
      <c r="AE3343">
        <v>0</v>
      </c>
      <c r="AF3343">
        <v>0</v>
      </c>
      <c r="AG3343">
        <v>0</v>
      </c>
      <c r="AH3343">
        <v>0</v>
      </c>
      <c r="AI3343">
        <v>0</v>
      </c>
      <c r="AJ3343">
        <v>0</v>
      </c>
      <c r="AK3343">
        <v>0</v>
      </c>
      <c r="AL3343">
        <v>0</v>
      </c>
      <c r="AM3343">
        <v>0</v>
      </c>
      <c r="AN3343">
        <v>0</v>
      </c>
      <c r="AO3343">
        <v>0</v>
      </c>
      <c r="AP3343">
        <v>0</v>
      </c>
      <c r="AQ3343">
        <v>21.38</v>
      </c>
      <c r="AR3343">
        <v>0</v>
      </c>
      <c r="AS3343">
        <v>0</v>
      </c>
      <c r="AT3343">
        <v>0</v>
      </c>
      <c r="AU3343">
        <v>0</v>
      </c>
      <c r="AV3343">
        <v>0</v>
      </c>
      <c r="AW3343">
        <v>0</v>
      </c>
      <c r="AX3343">
        <v>0</v>
      </c>
      <c r="AY3343">
        <v>0</v>
      </c>
      <c r="AZ3343">
        <v>0</v>
      </c>
      <c r="BA3343">
        <v>0</v>
      </c>
      <c r="BB3343">
        <v>0</v>
      </c>
      <c r="BC3343">
        <v>0</v>
      </c>
      <c r="BD3343">
        <v>0</v>
      </c>
      <c r="BE3343">
        <v>0</v>
      </c>
      <c r="BF3343">
        <v>0</v>
      </c>
      <c r="BG3343">
        <v>0</v>
      </c>
      <c r="BH3343">
        <v>1</v>
      </c>
      <c r="BI3343">
        <v>1</v>
      </c>
      <c r="BJ3343">
        <v>0.2</v>
      </c>
      <c r="BK3343">
        <v>1</v>
      </c>
      <c r="BL3343">
        <v>69.98</v>
      </c>
      <c r="BM3343">
        <v>10.5</v>
      </c>
      <c r="BN3343">
        <v>80.48</v>
      </c>
      <c r="BO3343">
        <v>80.48</v>
      </c>
      <c r="BQ3343" t="s">
        <v>2812</v>
      </c>
      <c r="BR3343" t="s">
        <v>84</v>
      </c>
      <c r="BS3343" s="3">
        <v>45804</v>
      </c>
      <c r="BT3343" s="4">
        <v>0.37430555555555556</v>
      </c>
      <c r="BU3343" t="s">
        <v>2813</v>
      </c>
      <c r="BV3343" t="s">
        <v>86</v>
      </c>
      <c r="BY3343">
        <v>1200</v>
      </c>
      <c r="CA3343" t="s">
        <v>784</v>
      </c>
      <c r="CC3343" t="s">
        <v>131</v>
      </c>
      <c r="CD3343">
        <v>8000</v>
      </c>
      <c r="CE3343" t="s">
        <v>88</v>
      </c>
      <c r="CF3343" s="3">
        <v>45805</v>
      </c>
      <c r="CI3343">
        <v>1</v>
      </c>
      <c r="CJ3343">
        <v>1</v>
      </c>
      <c r="CK3343">
        <v>21</v>
      </c>
      <c r="CL3343" t="s">
        <v>89</v>
      </c>
    </row>
    <row r="3344" spans="1:90" x14ac:dyDescent="0.3">
      <c r="A3344" t="s">
        <v>72</v>
      </c>
      <c r="B3344" t="s">
        <v>73</v>
      </c>
      <c r="C3344" t="s">
        <v>74</v>
      </c>
      <c r="E3344" t="str">
        <f>"080065565044"</f>
        <v>080065565044</v>
      </c>
      <c r="F3344" s="3">
        <v>45803</v>
      </c>
      <c r="G3344">
        <v>202602</v>
      </c>
      <c r="H3344" t="s">
        <v>75</v>
      </c>
      <c r="I3344" t="s">
        <v>76</v>
      </c>
      <c r="J3344" t="s">
        <v>77</v>
      </c>
      <c r="K3344" t="s">
        <v>78</v>
      </c>
      <c r="L3344" t="s">
        <v>1099</v>
      </c>
      <c r="M3344" t="s">
        <v>1100</v>
      </c>
      <c r="N3344" t="s">
        <v>3171</v>
      </c>
      <c r="O3344" t="s">
        <v>300</v>
      </c>
      <c r="P3344" t="str">
        <f>"4170040630                    "</f>
        <v xml:space="preserve">4170040630                    </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c r="AI3344">
        <v>0</v>
      </c>
      <c r="AJ3344">
        <v>0</v>
      </c>
      <c r="AK3344">
        <v>0</v>
      </c>
      <c r="AL3344">
        <v>0</v>
      </c>
      <c r="AM3344">
        <v>0</v>
      </c>
      <c r="AN3344">
        <v>0</v>
      </c>
      <c r="AO3344">
        <v>0</v>
      </c>
      <c r="AP3344">
        <v>0</v>
      </c>
      <c r="AQ3344">
        <v>79.17</v>
      </c>
      <c r="AR3344">
        <v>0</v>
      </c>
      <c r="AS3344">
        <v>0</v>
      </c>
      <c r="AT3344">
        <v>0</v>
      </c>
      <c r="AU3344">
        <v>0</v>
      </c>
      <c r="AV3344">
        <v>0</v>
      </c>
      <c r="AW3344">
        <v>0</v>
      </c>
      <c r="AX3344">
        <v>0</v>
      </c>
      <c r="AY3344">
        <v>0</v>
      </c>
      <c r="AZ3344">
        <v>0</v>
      </c>
      <c r="BA3344">
        <v>0</v>
      </c>
      <c r="BB3344">
        <v>0</v>
      </c>
      <c r="BC3344">
        <v>0</v>
      </c>
      <c r="BD3344">
        <v>0</v>
      </c>
      <c r="BE3344">
        <v>0</v>
      </c>
      <c r="BF3344">
        <v>0</v>
      </c>
      <c r="BG3344">
        <v>0</v>
      </c>
      <c r="BH3344">
        <v>2</v>
      </c>
      <c r="BI3344">
        <v>22</v>
      </c>
      <c r="BJ3344">
        <v>21.4</v>
      </c>
      <c r="BK3344">
        <v>22</v>
      </c>
      <c r="BL3344">
        <v>264.68</v>
      </c>
      <c r="BM3344">
        <v>39.700000000000003</v>
      </c>
      <c r="BN3344">
        <v>304.38</v>
      </c>
      <c r="BO3344">
        <v>304.38</v>
      </c>
      <c r="BQ3344" t="s">
        <v>3172</v>
      </c>
      <c r="BR3344" t="s">
        <v>84</v>
      </c>
      <c r="BS3344" s="3">
        <v>45804</v>
      </c>
      <c r="BT3344" s="4">
        <v>0.4</v>
      </c>
      <c r="BU3344" t="s">
        <v>3173</v>
      </c>
      <c r="BV3344" t="s">
        <v>86</v>
      </c>
      <c r="BY3344">
        <v>106800</v>
      </c>
      <c r="CA3344" t="s">
        <v>2693</v>
      </c>
      <c r="CC3344" t="s">
        <v>1100</v>
      </c>
      <c r="CD3344" s="5" t="s">
        <v>1105</v>
      </c>
      <c r="CE3344" t="s">
        <v>96</v>
      </c>
      <c r="CF3344" s="3">
        <v>45805</v>
      </c>
      <c r="CI3344">
        <v>1</v>
      </c>
      <c r="CJ3344">
        <v>1</v>
      </c>
      <c r="CK3344">
        <v>43</v>
      </c>
      <c r="CL3344" t="s">
        <v>89</v>
      </c>
    </row>
    <row r="3345" spans="1:90" x14ac:dyDescent="0.3">
      <c r="A3345" t="s">
        <v>72</v>
      </c>
      <c r="B3345" t="s">
        <v>73</v>
      </c>
      <c r="C3345" t="s">
        <v>74</v>
      </c>
      <c r="E3345" t="str">
        <f>"080065565104"</f>
        <v>080065565104</v>
      </c>
      <c r="F3345" s="3">
        <v>45803</v>
      </c>
      <c r="G3345">
        <v>202602</v>
      </c>
      <c r="H3345" t="s">
        <v>75</v>
      </c>
      <c r="I3345" t="s">
        <v>76</v>
      </c>
      <c r="J3345" t="s">
        <v>77</v>
      </c>
      <c r="K3345" t="s">
        <v>78</v>
      </c>
      <c r="L3345" t="s">
        <v>90</v>
      </c>
      <c r="M3345" t="s">
        <v>91</v>
      </c>
      <c r="N3345" t="s">
        <v>598</v>
      </c>
      <c r="O3345" t="s">
        <v>82</v>
      </c>
      <c r="P3345" t="str">
        <f>"4170040648                    "</f>
        <v xml:space="preserve">4170040648                    </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c r="AJ3345">
        <v>0</v>
      </c>
      <c r="AK3345">
        <v>0</v>
      </c>
      <c r="AL3345">
        <v>0</v>
      </c>
      <c r="AM3345">
        <v>0</v>
      </c>
      <c r="AN3345">
        <v>0</v>
      </c>
      <c r="AO3345">
        <v>0</v>
      </c>
      <c r="AP3345">
        <v>0</v>
      </c>
      <c r="AQ3345">
        <v>21.38</v>
      </c>
      <c r="AR3345">
        <v>0</v>
      </c>
      <c r="AS3345">
        <v>0</v>
      </c>
      <c r="AT3345">
        <v>0</v>
      </c>
      <c r="AU3345">
        <v>0</v>
      </c>
      <c r="AV3345">
        <v>0</v>
      </c>
      <c r="AW3345">
        <v>0</v>
      </c>
      <c r="AX3345">
        <v>0</v>
      </c>
      <c r="AY3345">
        <v>0</v>
      </c>
      <c r="AZ3345">
        <v>0</v>
      </c>
      <c r="BA3345">
        <v>0</v>
      </c>
      <c r="BB3345">
        <v>0</v>
      </c>
      <c r="BC3345">
        <v>0</v>
      </c>
      <c r="BD3345">
        <v>0</v>
      </c>
      <c r="BE3345">
        <v>0</v>
      </c>
      <c r="BF3345">
        <v>0</v>
      </c>
      <c r="BG3345">
        <v>0</v>
      </c>
      <c r="BH3345">
        <v>1</v>
      </c>
      <c r="BI3345">
        <v>1</v>
      </c>
      <c r="BJ3345">
        <v>1.7</v>
      </c>
      <c r="BK3345">
        <v>2</v>
      </c>
      <c r="BL3345">
        <v>69.98</v>
      </c>
      <c r="BM3345">
        <v>10.5</v>
      </c>
      <c r="BN3345">
        <v>80.48</v>
      </c>
      <c r="BO3345">
        <v>80.48</v>
      </c>
      <c r="BQ3345" t="s">
        <v>599</v>
      </c>
      <c r="BR3345" t="s">
        <v>84</v>
      </c>
      <c r="BS3345" s="3">
        <v>45805</v>
      </c>
      <c r="BT3345" s="4">
        <v>0.4236111111111111</v>
      </c>
      <c r="BU3345" t="s">
        <v>734</v>
      </c>
      <c r="BV3345" t="s">
        <v>89</v>
      </c>
      <c r="BW3345" t="s">
        <v>296</v>
      </c>
      <c r="BX3345" t="s">
        <v>402</v>
      </c>
      <c r="BY3345">
        <v>8512</v>
      </c>
      <c r="CA3345" t="s">
        <v>943</v>
      </c>
      <c r="CC3345" t="s">
        <v>91</v>
      </c>
      <c r="CD3345">
        <v>6012</v>
      </c>
      <c r="CE3345" t="s">
        <v>116</v>
      </c>
      <c r="CF3345" s="3">
        <v>45805</v>
      </c>
      <c r="CI3345">
        <v>1</v>
      </c>
      <c r="CJ3345">
        <v>2</v>
      </c>
      <c r="CK3345">
        <v>21</v>
      </c>
      <c r="CL3345" t="s">
        <v>89</v>
      </c>
    </row>
    <row r="3346" spans="1:90" x14ac:dyDescent="0.3">
      <c r="A3346" t="s">
        <v>72</v>
      </c>
      <c r="B3346" t="s">
        <v>73</v>
      </c>
      <c r="C3346" t="s">
        <v>74</v>
      </c>
      <c r="E3346" t="str">
        <f>"080065565824"</f>
        <v>080065565824</v>
      </c>
      <c r="F3346" s="3">
        <v>45803</v>
      </c>
      <c r="G3346">
        <v>202602</v>
      </c>
      <c r="H3346" t="s">
        <v>75</v>
      </c>
      <c r="I3346" t="s">
        <v>76</v>
      </c>
      <c r="J3346" t="s">
        <v>77</v>
      </c>
      <c r="K3346" t="s">
        <v>78</v>
      </c>
      <c r="L3346" t="s">
        <v>130</v>
      </c>
      <c r="M3346" t="s">
        <v>131</v>
      </c>
      <c r="N3346" t="s">
        <v>3174</v>
      </c>
      <c r="O3346" t="s">
        <v>82</v>
      </c>
      <c r="P3346" t="str">
        <f>"4170040628                    "</f>
        <v xml:space="preserve">4170040628                    </v>
      </c>
      <c r="Q3346">
        <v>0</v>
      </c>
      <c r="R3346">
        <v>0</v>
      </c>
      <c r="S3346">
        <v>0</v>
      </c>
      <c r="T3346">
        <v>0</v>
      </c>
      <c r="U3346">
        <v>0</v>
      </c>
      <c r="V3346">
        <v>0</v>
      </c>
      <c r="W3346">
        <v>0</v>
      </c>
      <c r="X3346">
        <v>0</v>
      </c>
      <c r="Y3346">
        <v>0</v>
      </c>
      <c r="Z3346">
        <v>0</v>
      </c>
      <c r="AA3346">
        <v>0</v>
      </c>
      <c r="AB3346">
        <v>0</v>
      </c>
      <c r="AC3346">
        <v>0</v>
      </c>
      <c r="AD3346">
        <v>0</v>
      </c>
      <c r="AE3346">
        <v>0</v>
      </c>
      <c r="AF3346">
        <v>0</v>
      </c>
      <c r="AG3346">
        <v>0</v>
      </c>
      <c r="AH3346">
        <v>0</v>
      </c>
      <c r="AI3346">
        <v>0</v>
      </c>
      <c r="AJ3346">
        <v>0</v>
      </c>
      <c r="AK3346">
        <v>0</v>
      </c>
      <c r="AL3346">
        <v>0</v>
      </c>
      <c r="AM3346">
        <v>0</v>
      </c>
      <c r="AN3346">
        <v>0</v>
      </c>
      <c r="AO3346">
        <v>0</v>
      </c>
      <c r="AP3346">
        <v>0</v>
      </c>
      <c r="AQ3346">
        <v>128.22</v>
      </c>
      <c r="AR3346">
        <v>0</v>
      </c>
      <c r="AS3346">
        <v>0</v>
      </c>
      <c r="AT3346">
        <v>0</v>
      </c>
      <c r="AU3346">
        <v>0</v>
      </c>
      <c r="AV3346">
        <v>0</v>
      </c>
      <c r="AW3346">
        <v>0</v>
      </c>
      <c r="AX3346">
        <v>0</v>
      </c>
      <c r="AY3346">
        <v>0</v>
      </c>
      <c r="AZ3346">
        <v>0</v>
      </c>
      <c r="BA3346">
        <v>0</v>
      </c>
      <c r="BB3346">
        <v>0</v>
      </c>
      <c r="BC3346">
        <v>0</v>
      </c>
      <c r="BD3346">
        <v>0</v>
      </c>
      <c r="BE3346">
        <v>0</v>
      </c>
      <c r="BF3346">
        <v>0</v>
      </c>
      <c r="BG3346">
        <v>0</v>
      </c>
      <c r="BH3346">
        <v>2</v>
      </c>
      <c r="BI3346">
        <v>12</v>
      </c>
      <c r="BJ3346">
        <v>5.3</v>
      </c>
      <c r="BK3346">
        <v>12</v>
      </c>
      <c r="BL3346">
        <v>419.62</v>
      </c>
      <c r="BM3346">
        <v>62.94</v>
      </c>
      <c r="BN3346">
        <v>482.56</v>
      </c>
      <c r="BO3346">
        <v>482.56</v>
      </c>
      <c r="BQ3346" t="s">
        <v>3175</v>
      </c>
      <c r="BR3346" t="s">
        <v>84</v>
      </c>
      <c r="BS3346" s="3">
        <v>45804</v>
      </c>
      <c r="BT3346" s="4">
        <v>0.37777777777777777</v>
      </c>
      <c r="BU3346" t="s">
        <v>3176</v>
      </c>
      <c r="BV3346" t="s">
        <v>86</v>
      </c>
      <c r="BY3346">
        <v>26565</v>
      </c>
      <c r="CA3346" t="s">
        <v>1350</v>
      </c>
      <c r="CC3346" t="s">
        <v>131</v>
      </c>
      <c r="CD3346">
        <v>7441</v>
      </c>
      <c r="CE3346" t="s">
        <v>96</v>
      </c>
      <c r="CF3346" s="3">
        <v>45805</v>
      </c>
      <c r="CI3346">
        <v>1</v>
      </c>
      <c r="CJ3346">
        <v>1</v>
      </c>
      <c r="CK3346">
        <v>21</v>
      </c>
      <c r="CL3346" t="s">
        <v>89</v>
      </c>
    </row>
    <row r="3347" spans="1:90" x14ac:dyDescent="0.3">
      <c r="A3347" t="s">
        <v>72</v>
      </c>
      <c r="B3347" t="s">
        <v>73</v>
      </c>
      <c r="C3347" t="s">
        <v>74</v>
      </c>
      <c r="E3347" t="str">
        <f>"080065565859"</f>
        <v>080065565859</v>
      </c>
      <c r="F3347" s="3">
        <v>45803</v>
      </c>
      <c r="G3347">
        <v>202602</v>
      </c>
      <c r="H3347" t="s">
        <v>75</v>
      </c>
      <c r="I3347" t="s">
        <v>76</v>
      </c>
      <c r="J3347" t="s">
        <v>77</v>
      </c>
      <c r="K3347" t="s">
        <v>78</v>
      </c>
      <c r="L3347" t="s">
        <v>672</v>
      </c>
      <c r="M3347" t="s">
        <v>673</v>
      </c>
      <c r="N3347" t="s">
        <v>674</v>
      </c>
      <c r="O3347" t="s">
        <v>82</v>
      </c>
      <c r="P3347" t="str">
        <f>"4170040691                    "</f>
        <v xml:space="preserve">4170040691                    </v>
      </c>
      <c r="Q3347">
        <v>0</v>
      </c>
      <c r="R3347">
        <v>0</v>
      </c>
      <c r="S3347">
        <v>0</v>
      </c>
      <c r="T3347">
        <v>0</v>
      </c>
      <c r="U3347">
        <v>0</v>
      </c>
      <c r="V3347">
        <v>0</v>
      </c>
      <c r="W3347">
        <v>0</v>
      </c>
      <c r="X3347">
        <v>0</v>
      </c>
      <c r="Y3347">
        <v>0</v>
      </c>
      <c r="Z3347">
        <v>0</v>
      </c>
      <c r="AA3347">
        <v>0</v>
      </c>
      <c r="AB3347">
        <v>0</v>
      </c>
      <c r="AC3347">
        <v>0</v>
      </c>
      <c r="AD3347">
        <v>0</v>
      </c>
      <c r="AE3347">
        <v>0</v>
      </c>
      <c r="AF3347">
        <v>0</v>
      </c>
      <c r="AG3347">
        <v>0</v>
      </c>
      <c r="AH3347">
        <v>0</v>
      </c>
      <c r="AI3347">
        <v>0</v>
      </c>
      <c r="AJ3347">
        <v>0</v>
      </c>
      <c r="AK3347">
        <v>0</v>
      </c>
      <c r="AL3347">
        <v>0</v>
      </c>
      <c r="AM3347">
        <v>0</v>
      </c>
      <c r="AN3347">
        <v>0</v>
      </c>
      <c r="AO3347">
        <v>0</v>
      </c>
      <c r="AP3347">
        <v>0</v>
      </c>
      <c r="AQ3347">
        <v>41.43</v>
      </c>
      <c r="AR3347">
        <v>0</v>
      </c>
      <c r="AS3347">
        <v>0</v>
      </c>
      <c r="AT3347">
        <v>0</v>
      </c>
      <c r="AU3347">
        <v>0</v>
      </c>
      <c r="AV3347">
        <v>0</v>
      </c>
      <c r="AW3347">
        <v>0</v>
      </c>
      <c r="AX3347">
        <v>0</v>
      </c>
      <c r="AY3347">
        <v>0</v>
      </c>
      <c r="AZ3347">
        <v>0</v>
      </c>
      <c r="BA3347">
        <v>0</v>
      </c>
      <c r="BB3347">
        <v>0</v>
      </c>
      <c r="BC3347">
        <v>0</v>
      </c>
      <c r="BD3347">
        <v>0</v>
      </c>
      <c r="BE3347">
        <v>0</v>
      </c>
      <c r="BF3347">
        <v>0</v>
      </c>
      <c r="BG3347">
        <v>0</v>
      </c>
      <c r="BH3347">
        <v>1</v>
      </c>
      <c r="BI3347">
        <v>1</v>
      </c>
      <c r="BJ3347">
        <v>0.2</v>
      </c>
      <c r="BK3347">
        <v>1</v>
      </c>
      <c r="BL3347">
        <v>135.59</v>
      </c>
      <c r="BM3347">
        <v>20.34</v>
      </c>
      <c r="BN3347">
        <v>155.93</v>
      </c>
      <c r="BO3347">
        <v>155.93</v>
      </c>
      <c r="BQ3347" t="s">
        <v>675</v>
      </c>
      <c r="BR3347" t="s">
        <v>84</v>
      </c>
      <c r="BS3347" s="3">
        <v>45804</v>
      </c>
      <c r="BT3347" s="4">
        <v>0.46944444444444444</v>
      </c>
      <c r="BU3347" t="s">
        <v>1512</v>
      </c>
      <c r="BV3347" t="s">
        <v>86</v>
      </c>
      <c r="BY3347">
        <v>1200</v>
      </c>
      <c r="CA3347" t="s">
        <v>677</v>
      </c>
      <c r="CC3347" t="s">
        <v>673</v>
      </c>
      <c r="CD3347">
        <v>2531</v>
      </c>
      <c r="CE3347" t="s">
        <v>88</v>
      </c>
      <c r="CF3347" s="3">
        <v>45805</v>
      </c>
      <c r="CI3347">
        <v>1</v>
      </c>
      <c r="CJ3347">
        <v>1</v>
      </c>
      <c r="CK3347">
        <v>23</v>
      </c>
      <c r="CL3347" t="s">
        <v>89</v>
      </c>
    </row>
    <row r="3348" spans="1:90" x14ac:dyDescent="0.3">
      <c r="A3348" t="s">
        <v>72</v>
      </c>
      <c r="B3348" t="s">
        <v>73</v>
      </c>
      <c r="C3348" t="s">
        <v>74</v>
      </c>
      <c r="E3348" t="str">
        <f>"080065565896"</f>
        <v>080065565896</v>
      </c>
      <c r="F3348" s="3">
        <v>45803</v>
      </c>
      <c r="G3348">
        <v>202602</v>
      </c>
      <c r="H3348" t="s">
        <v>75</v>
      </c>
      <c r="I3348" t="s">
        <v>76</v>
      </c>
      <c r="J3348" t="s">
        <v>77</v>
      </c>
      <c r="K3348" t="s">
        <v>78</v>
      </c>
      <c r="L3348" t="s">
        <v>350</v>
      </c>
      <c r="M3348" t="s">
        <v>351</v>
      </c>
      <c r="N3348" t="s">
        <v>352</v>
      </c>
      <c r="O3348" t="s">
        <v>82</v>
      </c>
      <c r="P3348" t="str">
        <f>"4170040707                    "</f>
        <v xml:space="preserve">4170040707                    </v>
      </c>
      <c r="Q3348">
        <v>0</v>
      </c>
      <c r="R3348">
        <v>0</v>
      </c>
      <c r="S3348">
        <v>0</v>
      </c>
      <c r="T3348">
        <v>0</v>
      </c>
      <c r="U3348">
        <v>0</v>
      </c>
      <c r="V3348">
        <v>0</v>
      </c>
      <c r="W3348">
        <v>0</v>
      </c>
      <c r="X3348">
        <v>0</v>
      </c>
      <c r="Y3348">
        <v>0</v>
      </c>
      <c r="Z3348">
        <v>0</v>
      </c>
      <c r="AA3348">
        <v>0</v>
      </c>
      <c r="AB3348">
        <v>0</v>
      </c>
      <c r="AC3348">
        <v>0</v>
      </c>
      <c r="AD3348">
        <v>0</v>
      </c>
      <c r="AE3348">
        <v>0</v>
      </c>
      <c r="AF3348">
        <v>0</v>
      </c>
      <c r="AG3348">
        <v>0</v>
      </c>
      <c r="AH3348">
        <v>0</v>
      </c>
      <c r="AI3348">
        <v>0</v>
      </c>
      <c r="AJ3348">
        <v>0</v>
      </c>
      <c r="AK3348">
        <v>0</v>
      </c>
      <c r="AL3348">
        <v>0</v>
      </c>
      <c r="AM3348">
        <v>0</v>
      </c>
      <c r="AN3348">
        <v>0</v>
      </c>
      <c r="AO3348">
        <v>0</v>
      </c>
      <c r="AP3348">
        <v>0</v>
      </c>
      <c r="AQ3348">
        <v>21.38</v>
      </c>
      <c r="AR3348">
        <v>0</v>
      </c>
      <c r="AS3348">
        <v>0</v>
      </c>
      <c r="AT3348">
        <v>0</v>
      </c>
      <c r="AU3348">
        <v>0</v>
      </c>
      <c r="AV3348">
        <v>0</v>
      </c>
      <c r="AW3348">
        <v>0</v>
      </c>
      <c r="AX3348">
        <v>0</v>
      </c>
      <c r="AY3348">
        <v>0</v>
      </c>
      <c r="AZ3348">
        <v>0</v>
      </c>
      <c r="BA3348">
        <v>0</v>
      </c>
      <c r="BB3348">
        <v>0</v>
      </c>
      <c r="BC3348">
        <v>0</v>
      </c>
      <c r="BD3348">
        <v>0</v>
      </c>
      <c r="BE3348">
        <v>0</v>
      </c>
      <c r="BF3348">
        <v>0</v>
      </c>
      <c r="BG3348">
        <v>0</v>
      </c>
      <c r="BH3348">
        <v>1</v>
      </c>
      <c r="BI3348">
        <v>1</v>
      </c>
      <c r="BJ3348">
        <v>1.1000000000000001</v>
      </c>
      <c r="BK3348">
        <v>1.5</v>
      </c>
      <c r="BL3348">
        <v>69.98</v>
      </c>
      <c r="BM3348">
        <v>10.5</v>
      </c>
      <c r="BN3348">
        <v>80.48</v>
      </c>
      <c r="BO3348">
        <v>80.48</v>
      </c>
      <c r="BQ3348" t="s">
        <v>353</v>
      </c>
      <c r="BR3348" t="s">
        <v>84</v>
      </c>
      <c r="BS3348" s="3">
        <v>45804</v>
      </c>
      <c r="BT3348" s="4">
        <v>0.4375</v>
      </c>
      <c r="BU3348" t="s">
        <v>2094</v>
      </c>
      <c r="BV3348" t="s">
        <v>86</v>
      </c>
      <c r="BY3348">
        <v>5320</v>
      </c>
      <c r="CA3348" t="s">
        <v>160</v>
      </c>
      <c r="CC3348" t="s">
        <v>351</v>
      </c>
      <c r="CD3348">
        <v>4000</v>
      </c>
      <c r="CE3348" t="s">
        <v>116</v>
      </c>
      <c r="CF3348" s="3">
        <v>45804</v>
      </c>
      <c r="CI3348">
        <v>1</v>
      </c>
      <c r="CJ3348">
        <v>1</v>
      </c>
      <c r="CK3348">
        <v>21</v>
      </c>
      <c r="CL3348" t="s">
        <v>89</v>
      </c>
    </row>
    <row r="3349" spans="1:90" x14ac:dyDescent="0.3">
      <c r="A3349" t="s">
        <v>72</v>
      </c>
      <c r="B3349" t="s">
        <v>73</v>
      </c>
      <c r="C3349" t="s">
        <v>74</v>
      </c>
      <c r="E3349" t="str">
        <f>"080065565985"</f>
        <v>080065565985</v>
      </c>
      <c r="F3349" s="3">
        <v>45803</v>
      </c>
      <c r="G3349">
        <v>202602</v>
      </c>
      <c r="H3349" t="s">
        <v>75</v>
      </c>
      <c r="I3349" t="s">
        <v>76</v>
      </c>
      <c r="J3349" t="s">
        <v>77</v>
      </c>
      <c r="K3349" t="s">
        <v>78</v>
      </c>
      <c r="L3349" t="s">
        <v>90</v>
      </c>
      <c r="M3349" t="s">
        <v>91</v>
      </c>
      <c r="N3349" t="s">
        <v>3177</v>
      </c>
      <c r="O3349" t="s">
        <v>82</v>
      </c>
      <c r="P3349" t="str">
        <f>"4170040650                    "</f>
        <v xml:space="preserve">4170040650                    </v>
      </c>
      <c r="Q3349">
        <v>0</v>
      </c>
      <c r="R3349">
        <v>0</v>
      </c>
      <c r="S3349">
        <v>0</v>
      </c>
      <c r="T3349">
        <v>0</v>
      </c>
      <c r="U3349">
        <v>0</v>
      </c>
      <c r="V3349">
        <v>0</v>
      </c>
      <c r="W3349">
        <v>0</v>
      </c>
      <c r="X3349">
        <v>0</v>
      </c>
      <c r="Y3349">
        <v>0</v>
      </c>
      <c r="Z3349">
        <v>0</v>
      </c>
      <c r="AA3349">
        <v>0</v>
      </c>
      <c r="AB3349">
        <v>0</v>
      </c>
      <c r="AC3349">
        <v>0</v>
      </c>
      <c r="AD3349">
        <v>0</v>
      </c>
      <c r="AE3349">
        <v>0</v>
      </c>
      <c r="AF3349">
        <v>0</v>
      </c>
      <c r="AG3349">
        <v>0</v>
      </c>
      <c r="AH3349">
        <v>0</v>
      </c>
      <c r="AI3349">
        <v>0</v>
      </c>
      <c r="AJ3349">
        <v>0</v>
      </c>
      <c r="AK3349">
        <v>0</v>
      </c>
      <c r="AL3349">
        <v>0</v>
      </c>
      <c r="AM3349">
        <v>0</v>
      </c>
      <c r="AN3349">
        <v>0</v>
      </c>
      <c r="AO3349">
        <v>0</v>
      </c>
      <c r="AP3349">
        <v>0</v>
      </c>
      <c r="AQ3349">
        <v>74.8</v>
      </c>
      <c r="AR3349">
        <v>0</v>
      </c>
      <c r="AS3349">
        <v>0</v>
      </c>
      <c r="AT3349">
        <v>0</v>
      </c>
      <c r="AU3349">
        <v>0</v>
      </c>
      <c r="AV3349">
        <v>0</v>
      </c>
      <c r="AW3349">
        <v>0</v>
      </c>
      <c r="AX3349">
        <v>0</v>
      </c>
      <c r="AY3349">
        <v>0</v>
      </c>
      <c r="AZ3349">
        <v>0</v>
      </c>
      <c r="BA3349">
        <v>0</v>
      </c>
      <c r="BB3349">
        <v>0</v>
      </c>
      <c r="BC3349">
        <v>0</v>
      </c>
      <c r="BD3349">
        <v>0</v>
      </c>
      <c r="BE3349">
        <v>0</v>
      </c>
      <c r="BF3349">
        <v>0</v>
      </c>
      <c r="BG3349">
        <v>0</v>
      </c>
      <c r="BH3349">
        <v>1</v>
      </c>
      <c r="BI3349">
        <v>7</v>
      </c>
      <c r="BJ3349">
        <v>4.0999999999999996</v>
      </c>
      <c r="BK3349">
        <v>7</v>
      </c>
      <c r="BL3349">
        <v>244.8</v>
      </c>
      <c r="BM3349">
        <v>36.72</v>
      </c>
      <c r="BN3349">
        <v>281.52</v>
      </c>
      <c r="BO3349">
        <v>281.52</v>
      </c>
      <c r="BQ3349" t="s">
        <v>3178</v>
      </c>
      <c r="BR3349" t="s">
        <v>84</v>
      </c>
      <c r="BS3349" s="3">
        <v>45805</v>
      </c>
      <c r="BT3349" s="4">
        <v>0.40763888888888888</v>
      </c>
      <c r="BU3349" t="s">
        <v>3179</v>
      </c>
      <c r="BV3349" t="s">
        <v>89</v>
      </c>
      <c r="BW3349" t="s">
        <v>296</v>
      </c>
      <c r="BX3349" t="s">
        <v>2059</v>
      </c>
      <c r="BY3349">
        <v>20358</v>
      </c>
      <c r="CA3349" t="s">
        <v>283</v>
      </c>
      <c r="CC3349" t="s">
        <v>91</v>
      </c>
      <c r="CD3349">
        <v>6001</v>
      </c>
      <c r="CE3349" t="s">
        <v>96</v>
      </c>
      <c r="CF3349" s="3">
        <v>45805</v>
      </c>
      <c r="CI3349">
        <v>1</v>
      </c>
      <c r="CJ3349">
        <v>2</v>
      </c>
      <c r="CK3349">
        <v>21</v>
      </c>
      <c r="CL3349" t="s">
        <v>89</v>
      </c>
    </row>
    <row r="3350" spans="1:90" x14ac:dyDescent="0.3">
      <c r="A3350" t="s">
        <v>72</v>
      </c>
      <c r="B3350" t="s">
        <v>73</v>
      </c>
      <c r="C3350" t="s">
        <v>74</v>
      </c>
      <c r="E3350" t="str">
        <f>"080065566066"</f>
        <v>080065566066</v>
      </c>
      <c r="F3350" s="3">
        <v>45803</v>
      </c>
      <c r="G3350">
        <v>202602</v>
      </c>
      <c r="H3350" t="s">
        <v>75</v>
      </c>
      <c r="I3350" t="s">
        <v>76</v>
      </c>
      <c r="J3350" t="s">
        <v>77</v>
      </c>
      <c r="K3350" t="s">
        <v>78</v>
      </c>
      <c r="L3350" t="s">
        <v>350</v>
      </c>
      <c r="M3350" t="s">
        <v>351</v>
      </c>
      <c r="N3350" t="s">
        <v>678</v>
      </c>
      <c r="O3350" t="s">
        <v>82</v>
      </c>
      <c r="P3350" t="str">
        <f>"4170040696                    "</f>
        <v xml:space="preserve">4170040696                    </v>
      </c>
      <c r="Q3350">
        <v>0</v>
      </c>
      <c r="R3350">
        <v>0</v>
      </c>
      <c r="S3350">
        <v>0</v>
      </c>
      <c r="T3350">
        <v>0</v>
      </c>
      <c r="U3350">
        <v>0</v>
      </c>
      <c r="V3350">
        <v>0</v>
      </c>
      <c r="W3350">
        <v>0</v>
      </c>
      <c r="X3350">
        <v>0</v>
      </c>
      <c r="Y3350">
        <v>0</v>
      </c>
      <c r="Z3350">
        <v>0</v>
      </c>
      <c r="AA3350">
        <v>0</v>
      </c>
      <c r="AB3350">
        <v>0</v>
      </c>
      <c r="AC3350">
        <v>0</v>
      </c>
      <c r="AD3350">
        <v>0</v>
      </c>
      <c r="AE3350">
        <v>0</v>
      </c>
      <c r="AF3350">
        <v>0</v>
      </c>
      <c r="AG3350">
        <v>0</v>
      </c>
      <c r="AH3350">
        <v>0</v>
      </c>
      <c r="AI3350">
        <v>0</v>
      </c>
      <c r="AJ3350">
        <v>0</v>
      </c>
      <c r="AK3350">
        <v>0</v>
      </c>
      <c r="AL3350">
        <v>0</v>
      </c>
      <c r="AM3350">
        <v>0</v>
      </c>
      <c r="AN3350">
        <v>0</v>
      </c>
      <c r="AO3350">
        <v>0</v>
      </c>
      <c r="AP3350">
        <v>0</v>
      </c>
      <c r="AQ3350">
        <v>21.38</v>
      </c>
      <c r="AR3350">
        <v>0</v>
      </c>
      <c r="AS3350">
        <v>0</v>
      </c>
      <c r="AT3350">
        <v>0</v>
      </c>
      <c r="AU3350">
        <v>0</v>
      </c>
      <c r="AV3350">
        <v>0</v>
      </c>
      <c r="AW3350">
        <v>0</v>
      </c>
      <c r="AX3350">
        <v>0</v>
      </c>
      <c r="AY3350">
        <v>0</v>
      </c>
      <c r="AZ3350">
        <v>0</v>
      </c>
      <c r="BA3350">
        <v>0</v>
      </c>
      <c r="BB3350">
        <v>0</v>
      </c>
      <c r="BC3350">
        <v>0</v>
      </c>
      <c r="BD3350">
        <v>0</v>
      </c>
      <c r="BE3350">
        <v>0</v>
      </c>
      <c r="BF3350">
        <v>0</v>
      </c>
      <c r="BG3350">
        <v>0</v>
      </c>
      <c r="BH3350">
        <v>1</v>
      </c>
      <c r="BI3350">
        <v>1</v>
      </c>
      <c r="BJ3350">
        <v>0.2</v>
      </c>
      <c r="BK3350">
        <v>1</v>
      </c>
      <c r="BL3350">
        <v>69.98</v>
      </c>
      <c r="BM3350">
        <v>10.5</v>
      </c>
      <c r="BN3350">
        <v>80.48</v>
      </c>
      <c r="BO3350">
        <v>80.48</v>
      </c>
      <c r="BQ3350" t="s">
        <v>679</v>
      </c>
      <c r="BR3350" t="s">
        <v>84</v>
      </c>
      <c r="BS3350" s="3">
        <v>45804</v>
      </c>
      <c r="BT3350" s="4">
        <v>0.42986111111111114</v>
      </c>
      <c r="BU3350" t="s">
        <v>680</v>
      </c>
      <c r="BV3350" t="s">
        <v>86</v>
      </c>
      <c r="BY3350">
        <v>1200</v>
      </c>
      <c r="CA3350" t="s">
        <v>3162</v>
      </c>
      <c r="CC3350" t="s">
        <v>351</v>
      </c>
      <c r="CD3350">
        <v>4052</v>
      </c>
      <c r="CE3350" t="s">
        <v>88</v>
      </c>
      <c r="CF3350" s="3">
        <v>45805</v>
      </c>
      <c r="CI3350">
        <v>1</v>
      </c>
      <c r="CJ3350">
        <v>1</v>
      </c>
      <c r="CK3350">
        <v>21</v>
      </c>
      <c r="CL3350" t="s">
        <v>89</v>
      </c>
    </row>
    <row r="3351" spans="1:90" x14ac:dyDescent="0.3">
      <c r="A3351" t="s">
        <v>72</v>
      </c>
      <c r="B3351" t="s">
        <v>73</v>
      </c>
      <c r="C3351" t="s">
        <v>74</v>
      </c>
      <c r="E3351" t="str">
        <f>"080065566083"</f>
        <v>080065566083</v>
      </c>
      <c r="F3351" s="3">
        <v>45803</v>
      </c>
      <c r="G3351">
        <v>202602</v>
      </c>
      <c r="H3351" t="s">
        <v>75</v>
      </c>
      <c r="I3351" t="s">
        <v>76</v>
      </c>
      <c r="J3351" t="s">
        <v>77</v>
      </c>
      <c r="K3351" t="s">
        <v>78</v>
      </c>
      <c r="L3351" t="s">
        <v>360</v>
      </c>
      <c r="M3351" t="s">
        <v>361</v>
      </c>
      <c r="N3351" t="s">
        <v>362</v>
      </c>
      <c r="O3351" t="s">
        <v>82</v>
      </c>
      <c r="P3351" t="str">
        <f>"4170040704                    "</f>
        <v xml:space="preserve">4170040704                    </v>
      </c>
      <c r="Q3351">
        <v>0</v>
      </c>
      <c r="R3351">
        <v>0</v>
      </c>
      <c r="S3351">
        <v>0</v>
      </c>
      <c r="T3351">
        <v>0</v>
      </c>
      <c r="U3351">
        <v>0</v>
      </c>
      <c r="V3351">
        <v>0</v>
      </c>
      <c r="W3351">
        <v>0</v>
      </c>
      <c r="X3351">
        <v>0</v>
      </c>
      <c r="Y3351">
        <v>0</v>
      </c>
      <c r="Z3351">
        <v>0</v>
      </c>
      <c r="AA3351">
        <v>0</v>
      </c>
      <c r="AB3351">
        <v>0</v>
      </c>
      <c r="AC3351">
        <v>0</v>
      </c>
      <c r="AD3351">
        <v>0</v>
      </c>
      <c r="AE3351">
        <v>0</v>
      </c>
      <c r="AF3351">
        <v>0</v>
      </c>
      <c r="AG3351">
        <v>0</v>
      </c>
      <c r="AH3351">
        <v>0</v>
      </c>
      <c r="AI3351">
        <v>0</v>
      </c>
      <c r="AJ3351">
        <v>0</v>
      </c>
      <c r="AK3351">
        <v>0</v>
      </c>
      <c r="AL3351">
        <v>0</v>
      </c>
      <c r="AM3351">
        <v>0</v>
      </c>
      <c r="AN3351">
        <v>0</v>
      </c>
      <c r="AO3351">
        <v>0</v>
      </c>
      <c r="AP3351">
        <v>0</v>
      </c>
      <c r="AQ3351">
        <v>41.43</v>
      </c>
      <c r="AR3351">
        <v>0</v>
      </c>
      <c r="AS3351">
        <v>0</v>
      </c>
      <c r="AT3351">
        <v>0</v>
      </c>
      <c r="AU3351">
        <v>0</v>
      </c>
      <c r="AV3351">
        <v>0</v>
      </c>
      <c r="AW3351">
        <v>0</v>
      </c>
      <c r="AX3351">
        <v>0</v>
      </c>
      <c r="AY3351">
        <v>0</v>
      </c>
      <c r="AZ3351">
        <v>0</v>
      </c>
      <c r="BA3351">
        <v>0</v>
      </c>
      <c r="BB3351">
        <v>0</v>
      </c>
      <c r="BC3351">
        <v>0</v>
      </c>
      <c r="BD3351">
        <v>0</v>
      </c>
      <c r="BE3351">
        <v>0</v>
      </c>
      <c r="BF3351">
        <v>0</v>
      </c>
      <c r="BG3351">
        <v>0</v>
      </c>
      <c r="BH3351">
        <v>1</v>
      </c>
      <c r="BI3351">
        <v>1</v>
      </c>
      <c r="BJ3351">
        <v>1.1000000000000001</v>
      </c>
      <c r="BK3351">
        <v>1.5</v>
      </c>
      <c r="BL3351">
        <v>135.59</v>
      </c>
      <c r="BM3351">
        <v>20.34</v>
      </c>
      <c r="BN3351">
        <v>155.93</v>
      </c>
      <c r="BO3351">
        <v>155.93</v>
      </c>
      <c r="BQ3351" t="s">
        <v>363</v>
      </c>
      <c r="BR3351" t="s">
        <v>84</v>
      </c>
      <c r="BS3351" s="3">
        <v>45804</v>
      </c>
      <c r="BT3351" s="4">
        <v>0.63888888888888884</v>
      </c>
      <c r="BU3351" t="s">
        <v>1008</v>
      </c>
      <c r="BV3351" t="s">
        <v>86</v>
      </c>
      <c r="BY3351">
        <v>5320</v>
      </c>
      <c r="CA3351" t="s">
        <v>365</v>
      </c>
      <c r="CC3351" t="s">
        <v>361</v>
      </c>
      <c r="CD3351">
        <v>7300</v>
      </c>
      <c r="CE3351" t="s">
        <v>116</v>
      </c>
      <c r="CF3351" s="3">
        <v>45805</v>
      </c>
      <c r="CI3351">
        <v>1</v>
      </c>
      <c r="CJ3351">
        <v>1</v>
      </c>
      <c r="CK3351">
        <v>23</v>
      </c>
      <c r="CL3351" t="s">
        <v>89</v>
      </c>
    </row>
    <row r="3352" spans="1:90" x14ac:dyDescent="0.3">
      <c r="A3352" t="s">
        <v>72</v>
      </c>
      <c r="B3352" t="s">
        <v>73</v>
      </c>
      <c r="C3352" t="s">
        <v>74</v>
      </c>
      <c r="E3352" t="str">
        <f>"080065566115"</f>
        <v>080065566115</v>
      </c>
      <c r="F3352" s="3">
        <v>45803</v>
      </c>
      <c r="G3352">
        <v>202602</v>
      </c>
      <c r="H3352" t="s">
        <v>75</v>
      </c>
      <c r="I3352" t="s">
        <v>76</v>
      </c>
      <c r="J3352" t="s">
        <v>77</v>
      </c>
      <c r="K3352" t="s">
        <v>78</v>
      </c>
      <c r="L3352" t="s">
        <v>75</v>
      </c>
      <c r="M3352" t="s">
        <v>76</v>
      </c>
      <c r="N3352" t="s">
        <v>183</v>
      </c>
      <c r="O3352" t="s">
        <v>82</v>
      </c>
      <c r="P3352" t="str">
        <f>"4170040699                    "</f>
        <v xml:space="preserve">4170040699                    </v>
      </c>
      <c r="Q3352">
        <v>0</v>
      </c>
      <c r="R3352">
        <v>0</v>
      </c>
      <c r="S3352">
        <v>0</v>
      </c>
      <c r="T3352">
        <v>0</v>
      </c>
      <c r="U3352">
        <v>0</v>
      </c>
      <c r="V3352">
        <v>0</v>
      </c>
      <c r="W3352">
        <v>0</v>
      </c>
      <c r="X3352">
        <v>0</v>
      </c>
      <c r="Y3352">
        <v>0</v>
      </c>
      <c r="Z3352">
        <v>0</v>
      </c>
      <c r="AA3352">
        <v>0</v>
      </c>
      <c r="AB3352">
        <v>0</v>
      </c>
      <c r="AC3352">
        <v>0</v>
      </c>
      <c r="AD3352">
        <v>0</v>
      </c>
      <c r="AE3352">
        <v>0</v>
      </c>
      <c r="AF3352">
        <v>0</v>
      </c>
      <c r="AG3352">
        <v>0</v>
      </c>
      <c r="AH3352">
        <v>0</v>
      </c>
      <c r="AI3352">
        <v>0</v>
      </c>
      <c r="AJ3352">
        <v>0</v>
      </c>
      <c r="AK3352">
        <v>0</v>
      </c>
      <c r="AL3352">
        <v>0</v>
      </c>
      <c r="AM3352">
        <v>0</v>
      </c>
      <c r="AN3352">
        <v>0</v>
      </c>
      <c r="AO3352">
        <v>0</v>
      </c>
      <c r="AP3352">
        <v>0</v>
      </c>
      <c r="AQ3352">
        <v>16.7</v>
      </c>
      <c r="AR3352">
        <v>0</v>
      </c>
      <c r="AS3352">
        <v>0</v>
      </c>
      <c r="AT3352">
        <v>0</v>
      </c>
      <c r="AU3352">
        <v>0</v>
      </c>
      <c r="AV3352">
        <v>0</v>
      </c>
      <c r="AW3352">
        <v>0</v>
      </c>
      <c r="AX3352">
        <v>0</v>
      </c>
      <c r="AY3352">
        <v>0</v>
      </c>
      <c r="AZ3352">
        <v>0</v>
      </c>
      <c r="BA3352">
        <v>0</v>
      </c>
      <c r="BB3352">
        <v>0</v>
      </c>
      <c r="BC3352">
        <v>0</v>
      </c>
      <c r="BD3352">
        <v>0</v>
      </c>
      <c r="BE3352">
        <v>0</v>
      </c>
      <c r="BF3352">
        <v>0</v>
      </c>
      <c r="BG3352">
        <v>0</v>
      </c>
      <c r="BH3352">
        <v>1</v>
      </c>
      <c r="BI3352">
        <v>1</v>
      </c>
      <c r="BJ3352">
        <v>0.2</v>
      </c>
      <c r="BK3352">
        <v>1</v>
      </c>
      <c r="BL3352">
        <v>54.66</v>
      </c>
      <c r="BM3352">
        <v>8.1999999999999993</v>
      </c>
      <c r="BN3352">
        <v>62.86</v>
      </c>
      <c r="BO3352">
        <v>62.86</v>
      </c>
      <c r="BQ3352" t="s">
        <v>184</v>
      </c>
      <c r="BR3352" t="s">
        <v>84</v>
      </c>
      <c r="BS3352" s="3">
        <v>45804</v>
      </c>
      <c r="BT3352" s="4">
        <v>0.2951388888888889</v>
      </c>
      <c r="BU3352" t="s">
        <v>1732</v>
      </c>
      <c r="BV3352" t="s">
        <v>86</v>
      </c>
      <c r="BY3352">
        <v>1200</v>
      </c>
      <c r="CA3352" t="s">
        <v>115</v>
      </c>
      <c r="CC3352" t="s">
        <v>76</v>
      </c>
      <c r="CD3352">
        <v>1600</v>
      </c>
      <c r="CE3352" t="s">
        <v>88</v>
      </c>
      <c r="CF3352" s="3">
        <v>45805</v>
      </c>
      <c r="CI3352">
        <v>1</v>
      </c>
      <c r="CJ3352">
        <v>1</v>
      </c>
      <c r="CK3352">
        <v>22</v>
      </c>
      <c r="CL3352" t="s">
        <v>89</v>
      </c>
    </row>
    <row r="3353" spans="1:90" x14ac:dyDescent="0.3">
      <c r="A3353" t="s">
        <v>72</v>
      </c>
      <c r="B3353" t="s">
        <v>73</v>
      </c>
      <c r="C3353" t="s">
        <v>74</v>
      </c>
      <c r="E3353" t="str">
        <f>"080065566151"</f>
        <v>080065566151</v>
      </c>
      <c r="F3353" s="3">
        <v>45803</v>
      </c>
      <c r="G3353">
        <v>202602</v>
      </c>
      <c r="H3353" t="s">
        <v>75</v>
      </c>
      <c r="I3353" t="s">
        <v>76</v>
      </c>
      <c r="J3353" t="s">
        <v>77</v>
      </c>
      <c r="K3353" t="s">
        <v>78</v>
      </c>
      <c r="L3353" t="s">
        <v>463</v>
      </c>
      <c r="M3353" t="s">
        <v>464</v>
      </c>
      <c r="N3353" t="s">
        <v>744</v>
      </c>
      <c r="O3353" t="s">
        <v>82</v>
      </c>
      <c r="P3353" t="str">
        <f>"4170040703                    "</f>
        <v xml:space="preserve">4170040703                    </v>
      </c>
      <c r="Q3353">
        <v>0</v>
      </c>
      <c r="R3353">
        <v>0</v>
      </c>
      <c r="S3353">
        <v>0</v>
      </c>
      <c r="T3353">
        <v>0</v>
      </c>
      <c r="U3353">
        <v>0</v>
      </c>
      <c r="V3353">
        <v>0</v>
      </c>
      <c r="W3353">
        <v>0</v>
      </c>
      <c r="X3353">
        <v>0</v>
      </c>
      <c r="Y3353">
        <v>0</v>
      </c>
      <c r="Z3353">
        <v>0</v>
      </c>
      <c r="AA3353">
        <v>0</v>
      </c>
      <c r="AB3353">
        <v>0</v>
      </c>
      <c r="AC3353">
        <v>0</v>
      </c>
      <c r="AD3353">
        <v>0</v>
      </c>
      <c r="AE3353">
        <v>0</v>
      </c>
      <c r="AF3353">
        <v>0</v>
      </c>
      <c r="AG3353">
        <v>0</v>
      </c>
      <c r="AH3353">
        <v>0</v>
      </c>
      <c r="AI3353">
        <v>0</v>
      </c>
      <c r="AJ3353">
        <v>0</v>
      </c>
      <c r="AK3353">
        <v>0</v>
      </c>
      <c r="AL3353">
        <v>0</v>
      </c>
      <c r="AM3353">
        <v>0</v>
      </c>
      <c r="AN3353">
        <v>0</v>
      </c>
      <c r="AO3353">
        <v>0</v>
      </c>
      <c r="AP3353">
        <v>0</v>
      </c>
      <c r="AQ3353">
        <v>21.38</v>
      </c>
      <c r="AR3353">
        <v>0</v>
      </c>
      <c r="AS3353">
        <v>0</v>
      </c>
      <c r="AT3353">
        <v>0</v>
      </c>
      <c r="AU3353">
        <v>0</v>
      </c>
      <c r="AV3353">
        <v>0</v>
      </c>
      <c r="AW3353">
        <v>0</v>
      </c>
      <c r="AX3353">
        <v>0</v>
      </c>
      <c r="AY3353">
        <v>0</v>
      </c>
      <c r="AZ3353">
        <v>0</v>
      </c>
      <c r="BA3353">
        <v>0</v>
      </c>
      <c r="BB3353">
        <v>0</v>
      </c>
      <c r="BC3353">
        <v>0</v>
      </c>
      <c r="BD3353">
        <v>0</v>
      </c>
      <c r="BE3353">
        <v>0</v>
      </c>
      <c r="BF3353">
        <v>0</v>
      </c>
      <c r="BG3353">
        <v>0</v>
      </c>
      <c r="BH3353">
        <v>1</v>
      </c>
      <c r="BI3353">
        <v>2</v>
      </c>
      <c r="BJ3353">
        <v>1.1000000000000001</v>
      </c>
      <c r="BK3353">
        <v>2</v>
      </c>
      <c r="BL3353">
        <v>69.98</v>
      </c>
      <c r="BM3353">
        <v>10.5</v>
      </c>
      <c r="BN3353">
        <v>80.48</v>
      </c>
      <c r="BO3353">
        <v>80.48</v>
      </c>
      <c r="BQ3353" t="s">
        <v>745</v>
      </c>
      <c r="BR3353" t="s">
        <v>84</v>
      </c>
      <c r="BS3353" s="3">
        <v>45804</v>
      </c>
      <c r="BT3353" s="4">
        <v>0.50486111111111109</v>
      </c>
      <c r="BU3353" t="s">
        <v>746</v>
      </c>
      <c r="BV3353" t="s">
        <v>89</v>
      </c>
      <c r="BY3353">
        <v>5320</v>
      </c>
      <c r="CA3353" t="s">
        <v>588</v>
      </c>
      <c r="CC3353" t="s">
        <v>464</v>
      </c>
      <c r="CD3353">
        <v>5201</v>
      </c>
      <c r="CE3353" t="s">
        <v>96</v>
      </c>
      <c r="CF3353" s="3">
        <v>45804</v>
      </c>
      <c r="CI3353">
        <v>1</v>
      </c>
      <c r="CJ3353">
        <v>1</v>
      </c>
      <c r="CK3353">
        <v>21</v>
      </c>
      <c r="CL3353" t="s">
        <v>89</v>
      </c>
    </row>
    <row r="3354" spans="1:90" x14ac:dyDescent="0.3">
      <c r="A3354" t="s">
        <v>72</v>
      </c>
      <c r="B3354" t="s">
        <v>73</v>
      </c>
      <c r="C3354" t="s">
        <v>74</v>
      </c>
      <c r="E3354" t="str">
        <f>"080065566156"</f>
        <v>080065566156</v>
      </c>
      <c r="F3354" s="3">
        <v>45803</v>
      </c>
      <c r="G3354">
        <v>202602</v>
      </c>
      <c r="H3354" t="s">
        <v>75</v>
      </c>
      <c r="I3354" t="s">
        <v>76</v>
      </c>
      <c r="J3354" t="s">
        <v>77</v>
      </c>
      <c r="K3354" t="s">
        <v>78</v>
      </c>
      <c r="L3354" t="s">
        <v>90</v>
      </c>
      <c r="M3354" t="s">
        <v>91</v>
      </c>
      <c r="N3354" t="s">
        <v>563</v>
      </c>
      <c r="O3354" t="s">
        <v>82</v>
      </c>
      <c r="P3354" t="str">
        <f>"4170040695                    "</f>
        <v xml:space="preserve">4170040695                    </v>
      </c>
      <c r="Q3354">
        <v>0</v>
      </c>
      <c r="R3354">
        <v>0</v>
      </c>
      <c r="S3354">
        <v>0</v>
      </c>
      <c r="T3354">
        <v>0</v>
      </c>
      <c r="U3354">
        <v>0</v>
      </c>
      <c r="V3354">
        <v>0</v>
      </c>
      <c r="W3354">
        <v>0</v>
      </c>
      <c r="X3354">
        <v>0</v>
      </c>
      <c r="Y3354">
        <v>0</v>
      </c>
      <c r="Z3354">
        <v>0</v>
      </c>
      <c r="AA3354">
        <v>0</v>
      </c>
      <c r="AB3354">
        <v>0</v>
      </c>
      <c r="AC3354">
        <v>0</v>
      </c>
      <c r="AD3354">
        <v>0</v>
      </c>
      <c r="AE3354">
        <v>0</v>
      </c>
      <c r="AF3354">
        <v>0</v>
      </c>
      <c r="AG3354">
        <v>0</v>
      </c>
      <c r="AH3354">
        <v>0</v>
      </c>
      <c r="AI3354">
        <v>0</v>
      </c>
      <c r="AJ3354">
        <v>0</v>
      </c>
      <c r="AK3354">
        <v>0</v>
      </c>
      <c r="AL3354">
        <v>0</v>
      </c>
      <c r="AM3354">
        <v>0</v>
      </c>
      <c r="AN3354">
        <v>0</v>
      </c>
      <c r="AO3354">
        <v>0</v>
      </c>
      <c r="AP3354">
        <v>0</v>
      </c>
      <c r="AQ3354">
        <v>21.38</v>
      </c>
      <c r="AR3354">
        <v>0</v>
      </c>
      <c r="AS3354">
        <v>0</v>
      </c>
      <c r="AT3354">
        <v>0</v>
      </c>
      <c r="AU3354">
        <v>0</v>
      </c>
      <c r="AV3354">
        <v>0</v>
      </c>
      <c r="AW3354">
        <v>0</v>
      </c>
      <c r="AX3354">
        <v>0</v>
      </c>
      <c r="AY3354">
        <v>0</v>
      </c>
      <c r="AZ3354">
        <v>0</v>
      </c>
      <c r="BA3354">
        <v>0</v>
      </c>
      <c r="BB3354">
        <v>0</v>
      </c>
      <c r="BC3354">
        <v>0</v>
      </c>
      <c r="BD3354">
        <v>0</v>
      </c>
      <c r="BE3354">
        <v>0</v>
      </c>
      <c r="BF3354">
        <v>0</v>
      </c>
      <c r="BG3354">
        <v>0</v>
      </c>
      <c r="BH3354">
        <v>1</v>
      </c>
      <c r="BI3354">
        <v>1</v>
      </c>
      <c r="BJ3354">
        <v>0.2</v>
      </c>
      <c r="BK3354">
        <v>1</v>
      </c>
      <c r="BL3354">
        <v>69.98</v>
      </c>
      <c r="BM3354">
        <v>10.5</v>
      </c>
      <c r="BN3354">
        <v>80.48</v>
      </c>
      <c r="BO3354">
        <v>80.48</v>
      </c>
      <c r="BQ3354" t="s">
        <v>564</v>
      </c>
      <c r="BR3354" t="s">
        <v>84</v>
      </c>
      <c r="BS3354" s="3">
        <v>45804</v>
      </c>
      <c r="BT3354" s="4">
        <v>0.34305555555555556</v>
      </c>
      <c r="BU3354" t="s">
        <v>780</v>
      </c>
      <c r="BV3354" t="s">
        <v>86</v>
      </c>
      <c r="BY3354">
        <v>1200</v>
      </c>
      <c r="CA3354" t="s">
        <v>566</v>
      </c>
      <c r="CC3354" t="s">
        <v>91</v>
      </c>
      <c r="CD3354">
        <v>6001</v>
      </c>
      <c r="CE3354" t="s">
        <v>88</v>
      </c>
      <c r="CF3354" s="3">
        <v>45804</v>
      </c>
      <c r="CI3354">
        <v>1</v>
      </c>
      <c r="CJ3354">
        <v>1</v>
      </c>
      <c r="CK3354">
        <v>21</v>
      </c>
      <c r="CL3354" t="s">
        <v>89</v>
      </c>
    </row>
    <row r="3355" spans="1:90" x14ac:dyDescent="0.3">
      <c r="A3355" t="s">
        <v>72</v>
      </c>
      <c r="B3355" t="s">
        <v>73</v>
      </c>
      <c r="C3355" t="s">
        <v>74</v>
      </c>
      <c r="E3355" t="str">
        <f>"080065566196"</f>
        <v>080065566196</v>
      </c>
      <c r="F3355" s="3">
        <v>45803</v>
      </c>
      <c r="G3355">
        <v>202602</v>
      </c>
      <c r="H3355" t="s">
        <v>75</v>
      </c>
      <c r="I3355" t="s">
        <v>76</v>
      </c>
      <c r="J3355" t="s">
        <v>77</v>
      </c>
      <c r="K3355" t="s">
        <v>78</v>
      </c>
      <c r="L3355" t="s">
        <v>463</v>
      </c>
      <c r="M3355" t="s">
        <v>464</v>
      </c>
      <c r="N3355" t="s">
        <v>585</v>
      </c>
      <c r="O3355" t="s">
        <v>82</v>
      </c>
      <c r="P3355" t="str">
        <f>"4170040689                    "</f>
        <v xml:space="preserve">4170040689                    </v>
      </c>
      <c r="Q3355">
        <v>0</v>
      </c>
      <c r="R3355">
        <v>0</v>
      </c>
      <c r="S3355">
        <v>0</v>
      </c>
      <c r="T3355">
        <v>0</v>
      </c>
      <c r="U3355">
        <v>0</v>
      </c>
      <c r="V3355">
        <v>0</v>
      </c>
      <c r="W3355">
        <v>0</v>
      </c>
      <c r="X3355">
        <v>0</v>
      </c>
      <c r="Y3355">
        <v>0</v>
      </c>
      <c r="Z3355">
        <v>0</v>
      </c>
      <c r="AA3355">
        <v>0</v>
      </c>
      <c r="AB3355">
        <v>0</v>
      </c>
      <c r="AC3355">
        <v>0</v>
      </c>
      <c r="AD3355">
        <v>0</v>
      </c>
      <c r="AE3355">
        <v>0</v>
      </c>
      <c r="AF3355">
        <v>0</v>
      </c>
      <c r="AG3355">
        <v>0</v>
      </c>
      <c r="AH3355">
        <v>0</v>
      </c>
      <c r="AI3355">
        <v>0</v>
      </c>
      <c r="AJ3355">
        <v>0</v>
      </c>
      <c r="AK3355">
        <v>0</v>
      </c>
      <c r="AL3355">
        <v>0</v>
      </c>
      <c r="AM3355">
        <v>0</v>
      </c>
      <c r="AN3355">
        <v>0</v>
      </c>
      <c r="AO3355">
        <v>0</v>
      </c>
      <c r="AP3355">
        <v>0</v>
      </c>
      <c r="AQ3355">
        <v>21.38</v>
      </c>
      <c r="AR3355">
        <v>0</v>
      </c>
      <c r="AS3355">
        <v>0</v>
      </c>
      <c r="AT3355">
        <v>0</v>
      </c>
      <c r="AU3355">
        <v>0</v>
      </c>
      <c r="AV3355">
        <v>0</v>
      </c>
      <c r="AW3355">
        <v>0</v>
      </c>
      <c r="AX3355">
        <v>0</v>
      </c>
      <c r="AY3355">
        <v>0</v>
      </c>
      <c r="AZ3355">
        <v>0</v>
      </c>
      <c r="BA3355">
        <v>0</v>
      </c>
      <c r="BB3355">
        <v>0</v>
      </c>
      <c r="BC3355">
        <v>0</v>
      </c>
      <c r="BD3355">
        <v>0</v>
      </c>
      <c r="BE3355">
        <v>0</v>
      </c>
      <c r="BF3355">
        <v>0</v>
      </c>
      <c r="BG3355">
        <v>0</v>
      </c>
      <c r="BH3355">
        <v>1</v>
      </c>
      <c r="BI3355">
        <v>1</v>
      </c>
      <c r="BJ3355">
        <v>0.2</v>
      </c>
      <c r="BK3355">
        <v>1</v>
      </c>
      <c r="BL3355">
        <v>69.98</v>
      </c>
      <c r="BM3355">
        <v>10.5</v>
      </c>
      <c r="BN3355">
        <v>80.48</v>
      </c>
      <c r="BO3355">
        <v>80.48</v>
      </c>
      <c r="BQ3355" t="s">
        <v>586</v>
      </c>
      <c r="BR3355" t="s">
        <v>84</v>
      </c>
      <c r="BS3355" s="3">
        <v>45804</v>
      </c>
      <c r="BT3355" s="4">
        <v>0.4375</v>
      </c>
      <c r="BU3355" t="s">
        <v>1300</v>
      </c>
      <c r="BV3355" t="s">
        <v>86</v>
      </c>
      <c r="BY3355">
        <v>1200</v>
      </c>
      <c r="CA3355" t="s">
        <v>588</v>
      </c>
      <c r="CC3355" t="s">
        <v>464</v>
      </c>
      <c r="CD3355">
        <v>5200</v>
      </c>
      <c r="CE3355" t="s">
        <v>88</v>
      </c>
      <c r="CF3355" s="3">
        <v>45804</v>
      </c>
      <c r="CI3355">
        <v>1</v>
      </c>
      <c r="CJ3355">
        <v>1</v>
      </c>
      <c r="CK3355">
        <v>21</v>
      </c>
      <c r="CL3355" t="s">
        <v>89</v>
      </c>
    </row>
    <row r="3356" spans="1:90" x14ac:dyDescent="0.3">
      <c r="A3356" t="s">
        <v>72</v>
      </c>
      <c r="B3356" t="s">
        <v>73</v>
      </c>
      <c r="C3356" t="s">
        <v>74</v>
      </c>
      <c r="E3356" t="str">
        <f>"080065566230"</f>
        <v>080065566230</v>
      </c>
      <c r="F3356" s="3">
        <v>45803</v>
      </c>
      <c r="G3356">
        <v>202602</v>
      </c>
      <c r="H3356" t="s">
        <v>75</v>
      </c>
      <c r="I3356" t="s">
        <v>76</v>
      </c>
      <c r="J3356" t="s">
        <v>77</v>
      </c>
      <c r="K3356" t="s">
        <v>78</v>
      </c>
      <c r="L3356" t="s">
        <v>136</v>
      </c>
      <c r="M3356" t="s">
        <v>137</v>
      </c>
      <c r="N3356" t="s">
        <v>2262</v>
      </c>
      <c r="O3356" t="s">
        <v>82</v>
      </c>
      <c r="P3356" t="str">
        <f>"4170040697                    "</f>
        <v xml:space="preserve">4170040697                    </v>
      </c>
      <c r="Q3356">
        <v>0</v>
      </c>
      <c r="R3356">
        <v>0</v>
      </c>
      <c r="S3356">
        <v>0</v>
      </c>
      <c r="T3356">
        <v>0</v>
      </c>
      <c r="U3356">
        <v>0</v>
      </c>
      <c r="V3356">
        <v>0</v>
      </c>
      <c r="W3356">
        <v>0</v>
      </c>
      <c r="X3356">
        <v>0</v>
      </c>
      <c r="Y3356">
        <v>0</v>
      </c>
      <c r="Z3356">
        <v>0</v>
      </c>
      <c r="AA3356">
        <v>0</v>
      </c>
      <c r="AB3356">
        <v>0</v>
      </c>
      <c r="AC3356">
        <v>0</v>
      </c>
      <c r="AD3356">
        <v>0</v>
      </c>
      <c r="AE3356">
        <v>0</v>
      </c>
      <c r="AF3356">
        <v>0</v>
      </c>
      <c r="AG3356">
        <v>0</v>
      </c>
      <c r="AH3356">
        <v>0</v>
      </c>
      <c r="AI3356">
        <v>0</v>
      </c>
      <c r="AJ3356">
        <v>0</v>
      </c>
      <c r="AK3356">
        <v>0</v>
      </c>
      <c r="AL3356">
        <v>0</v>
      </c>
      <c r="AM3356">
        <v>0</v>
      </c>
      <c r="AN3356">
        <v>0</v>
      </c>
      <c r="AO3356">
        <v>0</v>
      </c>
      <c r="AP3356">
        <v>0</v>
      </c>
      <c r="AQ3356">
        <v>21.38</v>
      </c>
      <c r="AR3356">
        <v>0</v>
      </c>
      <c r="AS3356">
        <v>0</v>
      </c>
      <c r="AT3356">
        <v>0</v>
      </c>
      <c r="AU3356">
        <v>0</v>
      </c>
      <c r="AV3356">
        <v>0</v>
      </c>
      <c r="AW3356">
        <v>0</v>
      </c>
      <c r="AX3356">
        <v>0</v>
      </c>
      <c r="AY3356">
        <v>0</v>
      </c>
      <c r="AZ3356">
        <v>0</v>
      </c>
      <c r="BA3356">
        <v>0</v>
      </c>
      <c r="BB3356">
        <v>0</v>
      </c>
      <c r="BC3356">
        <v>0</v>
      </c>
      <c r="BD3356">
        <v>0</v>
      </c>
      <c r="BE3356">
        <v>0</v>
      </c>
      <c r="BF3356">
        <v>0</v>
      </c>
      <c r="BG3356">
        <v>0</v>
      </c>
      <c r="BH3356">
        <v>1</v>
      </c>
      <c r="BI3356">
        <v>1</v>
      </c>
      <c r="BJ3356">
        <v>0.2</v>
      </c>
      <c r="BK3356">
        <v>1</v>
      </c>
      <c r="BL3356">
        <v>69.98</v>
      </c>
      <c r="BM3356">
        <v>10.5</v>
      </c>
      <c r="BN3356">
        <v>80.48</v>
      </c>
      <c r="BO3356">
        <v>80.48</v>
      </c>
      <c r="BQ3356" t="s">
        <v>2263</v>
      </c>
      <c r="BR3356" t="s">
        <v>84</v>
      </c>
      <c r="BS3356" s="3">
        <v>45804</v>
      </c>
      <c r="BT3356" s="4">
        <v>0.36527777777777776</v>
      </c>
      <c r="BU3356" t="s">
        <v>3180</v>
      </c>
      <c r="BV3356" t="s">
        <v>86</v>
      </c>
      <c r="BY3356">
        <v>1200</v>
      </c>
      <c r="CA3356" t="s">
        <v>907</v>
      </c>
      <c r="CC3356" t="s">
        <v>137</v>
      </c>
      <c r="CD3356" s="5" t="s">
        <v>1786</v>
      </c>
      <c r="CE3356" t="s">
        <v>88</v>
      </c>
      <c r="CF3356" s="3">
        <v>45804</v>
      </c>
      <c r="CI3356">
        <v>1</v>
      </c>
      <c r="CJ3356">
        <v>1</v>
      </c>
      <c r="CK3356">
        <v>21</v>
      </c>
      <c r="CL3356" t="s">
        <v>89</v>
      </c>
    </row>
    <row r="3357" spans="1:90" x14ac:dyDescent="0.3">
      <c r="A3357" t="s">
        <v>72</v>
      </c>
      <c r="B3357" t="s">
        <v>73</v>
      </c>
      <c r="C3357" t="s">
        <v>74</v>
      </c>
      <c r="E3357" t="str">
        <f>"080065566634"</f>
        <v>080065566634</v>
      </c>
      <c r="F3357" s="3">
        <v>45803</v>
      </c>
      <c r="G3357">
        <v>202602</v>
      </c>
      <c r="H3357" t="s">
        <v>75</v>
      </c>
      <c r="I3357" t="s">
        <v>76</v>
      </c>
      <c r="J3357" t="s">
        <v>77</v>
      </c>
      <c r="K3357" t="s">
        <v>78</v>
      </c>
      <c r="L3357" t="s">
        <v>97</v>
      </c>
      <c r="M3357" t="s">
        <v>98</v>
      </c>
      <c r="N3357" t="s">
        <v>2056</v>
      </c>
      <c r="O3357" t="s">
        <v>602</v>
      </c>
      <c r="P3357" t="str">
        <f>"4170040675                    "</f>
        <v xml:space="preserve">4170040675                    </v>
      </c>
      <c r="Q3357">
        <v>0</v>
      </c>
      <c r="R3357">
        <v>0</v>
      </c>
      <c r="S3357">
        <v>0</v>
      </c>
      <c r="T3357">
        <v>0</v>
      </c>
      <c r="U3357">
        <v>0</v>
      </c>
      <c r="V3357">
        <v>0</v>
      </c>
      <c r="W3357">
        <v>0</v>
      </c>
      <c r="X3357">
        <v>0</v>
      </c>
      <c r="Y3357">
        <v>0</v>
      </c>
      <c r="Z3357">
        <v>0</v>
      </c>
      <c r="AA3357">
        <v>0</v>
      </c>
      <c r="AB3357">
        <v>0</v>
      </c>
      <c r="AC3357">
        <v>0</v>
      </c>
      <c r="AD3357">
        <v>0</v>
      </c>
      <c r="AE3357">
        <v>0</v>
      </c>
      <c r="AF3357">
        <v>0</v>
      </c>
      <c r="AG3357">
        <v>0</v>
      </c>
      <c r="AH3357">
        <v>0</v>
      </c>
      <c r="AI3357">
        <v>0</v>
      </c>
      <c r="AJ3357">
        <v>0</v>
      </c>
      <c r="AK3357">
        <v>0</v>
      </c>
      <c r="AL3357">
        <v>0</v>
      </c>
      <c r="AM3357">
        <v>0</v>
      </c>
      <c r="AN3357">
        <v>0</v>
      </c>
      <c r="AO3357">
        <v>0</v>
      </c>
      <c r="AP3357">
        <v>0</v>
      </c>
      <c r="AQ3357">
        <v>16.71</v>
      </c>
      <c r="AR3357">
        <v>0</v>
      </c>
      <c r="AS3357">
        <v>0</v>
      </c>
      <c r="AT3357">
        <v>0</v>
      </c>
      <c r="AU3357">
        <v>0</v>
      </c>
      <c r="AV3357">
        <v>0</v>
      </c>
      <c r="AW3357">
        <v>0</v>
      </c>
      <c r="AX3357">
        <v>0</v>
      </c>
      <c r="AY3357">
        <v>0</v>
      </c>
      <c r="AZ3357">
        <v>0</v>
      </c>
      <c r="BA3357">
        <v>0</v>
      </c>
      <c r="BB3357">
        <v>0</v>
      </c>
      <c r="BC3357">
        <v>0</v>
      </c>
      <c r="BD3357">
        <v>0</v>
      </c>
      <c r="BE3357">
        <v>0</v>
      </c>
      <c r="BF3357">
        <v>0</v>
      </c>
      <c r="BG3357">
        <v>0</v>
      </c>
      <c r="BH3357">
        <v>1</v>
      </c>
      <c r="BI3357">
        <v>7</v>
      </c>
      <c r="BJ3357">
        <v>6.7</v>
      </c>
      <c r="BK3357">
        <v>7</v>
      </c>
      <c r="BL3357">
        <v>54.68</v>
      </c>
      <c r="BM3357">
        <v>8.1999999999999993</v>
      </c>
      <c r="BN3357">
        <v>62.88</v>
      </c>
      <c r="BO3357">
        <v>62.88</v>
      </c>
      <c r="BQ3357" t="s">
        <v>2057</v>
      </c>
      <c r="BR3357" t="s">
        <v>84</v>
      </c>
      <c r="BS3357" s="3">
        <v>45804</v>
      </c>
      <c r="BT3357" s="4">
        <v>0.41388888888888886</v>
      </c>
      <c r="BU3357" t="s">
        <v>3181</v>
      </c>
      <c r="BV3357" t="s">
        <v>86</v>
      </c>
      <c r="BY3357">
        <v>33600</v>
      </c>
      <c r="CA3357" t="s">
        <v>279</v>
      </c>
      <c r="CC3357" t="s">
        <v>98</v>
      </c>
      <c r="CD3357">
        <v>1459</v>
      </c>
      <c r="CE3357" t="s">
        <v>2869</v>
      </c>
      <c r="CF3357" s="3">
        <v>45804</v>
      </c>
      <c r="CI3357">
        <v>1</v>
      </c>
      <c r="CJ3357">
        <v>1</v>
      </c>
      <c r="CK3357">
        <v>32</v>
      </c>
      <c r="CL3357" t="s">
        <v>89</v>
      </c>
    </row>
    <row r="3358" spans="1:90" x14ac:dyDescent="0.3">
      <c r="A3358" t="s">
        <v>72</v>
      </c>
      <c r="B3358" t="s">
        <v>73</v>
      </c>
      <c r="C3358" t="s">
        <v>74</v>
      </c>
      <c r="E3358" t="str">
        <f>"080065566685"</f>
        <v>080065566685</v>
      </c>
      <c r="F3358" s="3">
        <v>45803</v>
      </c>
      <c r="G3358">
        <v>202602</v>
      </c>
      <c r="H3358" t="s">
        <v>75</v>
      </c>
      <c r="I3358" t="s">
        <v>76</v>
      </c>
      <c r="J3358" t="s">
        <v>77</v>
      </c>
      <c r="K3358" t="s">
        <v>78</v>
      </c>
      <c r="L3358" t="s">
        <v>90</v>
      </c>
      <c r="M3358" t="s">
        <v>91</v>
      </c>
      <c r="N3358" t="s">
        <v>2796</v>
      </c>
      <c r="O3358" t="s">
        <v>82</v>
      </c>
      <c r="P3358" t="str">
        <f>"4170040663                    "</f>
        <v xml:space="preserve">4170040663                    </v>
      </c>
      <c r="Q3358">
        <v>0</v>
      </c>
      <c r="R3358">
        <v>0</v>
      </c>
      <c r="S3358">
        <v>0</v>
      </c>
      <c r="T3358">
        <v>0</v>
      </c>
      <c r="U3358">
        <v>0</v>
      </c>
      <c r="V3358">
        <v>0</v>
      </c>
      <c r="W3358">
        <v>0</v>
      </c>
      <c r="X3358">
        <v>0</v>
      </c>
      <c r="Y3358">
        <v>0</v>
      </c>
      <c r="Z3358">
        <v>0</v>
      </c>
      <c r="AA3358">
        <v>0</v>
      </c>
      <c r="AB3358">
        <v>0</v>
      </c>
      <c r="AC3358">
        <v>0</v>
      </c>
      <c r="AD3358">
        <v>0</v>
      </c>
      <c r="AE3358">
        <v>0</v>
      </c>
      <c r="AF3358">
        <v>0</v>
      </c>
      <c r="AG3358">
        <v>0</v>
      </c>
      <c r="AH3358">
        <v>0</v>
      </c>
      <c r="AI3358">
        <v>0</v>
      </c>
      <c r="AJ3358">
        <v>0</v>
      </c>
      <c r="AK3358">
        <v>0</v>
      </c>
      <c r="AL3358">
        <v>0</v>
      </c>
      <c r="AM3358">
        <v>0</v>
      </c>
      <c r="AN3358">
        <v>0</v>
      </c>
      <c r="AO3358">
        <v>0</v>
      </c>
      <c r="AP3358">
        <v>0</v>
      </c>
      <c r="AQ3358">
        <v>21.38</v>
      </c>
      <c r="AR3358">
        <v>0</v>
      </c>
      <c r="AS3358">
        <v>0</v>
      </c>
      <c r="AT3358">
        <v>0</v>
      </c>
      <c r="AU3358">
        <v>0</v>
      </c>
      <c r="AV3358">
        <v>0</v>
      </c>
      <c r="AW3358">
        <v>0</v>
      </c>
      <c r="AX3358">
        <v>0</v>
      </c>
      <c r="AY3358">
        <v>0</v>
      </c>
      <c r="AZ3358">
        <v>0</v>
      </c>
      <c r="BA3358">
        <v>0</v>
      </c>
      <c r="BB3358">
        <v>0</v>
      </c>
      <c r="BC3358">
        <v>0</v>
      </c>
      <c r="BD3358">
        <v>0</v>
      </c>
      <c r="BE3358">
        <v>0</v>
      </c>
      <c r="BF3358">
        <v>0</v>
      </c>
      <c r="BG3358">
        <v>0</v>
      </c>
      <c r="BH3358">
        <v>1</v>
      </c>
      <c r="BI3358">
        <v>2</v>
      </c>
      <c r="BJ3358">
        <v>1.4</v>
      </c>
      <c r="BK3358">
        <v>2</v>
      </c>
      <c r="BL3358">
        <v>69.98</v>
      </c>
      <c r="BM3358">
        <v>10.5</v>
      </c>
      <c r="BN3358">
        <v>80.48</v>
      </c>
      <c r="BO3358">
        <v>80.48</v>
      </c>
      <c r="BQ3358" t="s">
        <v>2797</v>
      </c>
      <c r="BR3358" t="s">
        <v>84</v>
      </c>
      <c r="BS3358" s="3">
        <v>45804</v>
      </c>
      <c r="BT3358" s="4">
        <v>0.35972222222222222</v>
      </c>
      <c r="BU3358" t="s">
        <v>3182</v>
      </c>
      <c r="BV3358" t="s">
        <v>86</v>
      </c>
      <c r="BY3358">
        <v>7000</v>
      </c>
      <c r="CA3358" t="s">
        <v>824</v>
      </c>
      <c r="CC3358" t="s">
        <v>91</v>
      </c>
      <c r="CD3358">
        <v>6000</v>
      </c>
      <c r="CE3358" t="s">
        <v>116</v>
      </c>
      <c r="CF3358" s="3">
        <v>45804</v>
      </c>
      <c r="CI3358">
        <v>1</v>
      </c>
      <c r="CJ3358">
        <v>1</v>
      </c>
      <c r="CK3358">
        <v>21</v>
      </c>
      <c r="CL3358" t="s">
        <v>89</v>
      </c>
    </row>
    <row r="3359" spans="1:90" x14ac:dyDescent="0.3">
      <c r="A3359" t="s">
        <v>72</v>
      </c>
      <c r="B3359" t="s">
        <v>73</v>
      </c>
      <c r="C3359" t="s">
        <v>74</v>
      </c>
      <c r="E3359" t="str">
        <f>"080065566779"</f>
        <v>080065566779</v>
      </c>
      <c r="F3359" s="3">
        <v>45803</v>
      </c>
      <c r="G3359">
        <v>202602</v>
      </c>
      <c r="H3359" t="s">
        <v>75</v>
      </c>
      <c r="I3359" t="s">
        <v>76</v>
      </c>
      <c r="J3359" t="s">
        <v>77</v>
      </c>
      <c r="K3359" t="s">
        <v>78</v>
      </c>
      <c r="L3359" t="s">
        <v>90</v>
      </c>
      <c r="M3359" t="s">
        <v>91</v>
      </c>
      <c r="N3359" t="s">
        <v>385</v>
      </c>
      <c r="O3359" t="s">
        <v>82</v>
      </c>
      <c r="P3359" t="str">
        <f>"4170040662                    "</f>
        <v xml:space="preserve">4170040662                    </v>
      </c>
      <c r="Q3359">
        <v>0</v>
      </c>
      <c r="R3359">
        <v>0</v>
      </c>
      <c r="S3359">
        <v>0</v>
      </c>
      <c r="T3359">
        <v>0</v>
      </c>
      <c r="U3359">
        <v>0</v>
      </c>
      <c r="V3359">
        <v>0</v>
      </c>
      <c r="W3359">
        <v>0</v>
      </c>
      <c r="X3359">
        <v>0</v>
      </c>
      <c r="Y3359">
        <v>0</v>
      </c>
      <c r="Z3359">
        <v>0</v>
      </c>
      <c r="AA3359">
        <v>0</v>
      </c>
      <c r="AB3359">
        <v>0</v>
      </c>
      <c r="AC3359">
        <v>0</v>
      </c>
      <c r="AD3359">
        <v>0</v>
      </c>
      <c r="AE3359">
        <v>0</v>
      </c>
      <c r="AF3359">
        <v>0</v>
      </c>
      <c r="AG3359">
        <v>0</v>
      </c>
      <c r="AH3359">
        <v>0</v>
      </c>
      <c r="AI3359">
        <v>0</v>
      </c>
      <c r="AJ3359">
        <v>0</v>
      </c>
      <c r="AK3359">
        <v>0</v>
      </c>
      <c r="AL3359">
        <v>0</v>
      </c>
      <c r="AM3359">
        <v>0</v>
      </c>
      <c r="AN3359">
        <v>0</v>
      </c>
      <c r="AO3359">
        <v>0</v>
      </c>
      <c r="AP3359">
        <v>0</v>
      </c>
      <c r="AQ3359">
        <v>21.38</v>
      </c>
      <c r="AR3359">
        <v>0</v>
      </c>
      <c r="AS3359">
        <v>0</v>
      </c>
      <c r="AT3359">
        <v>0</v>
      </c>
      <c r="AU3359">
        <v>0</v>
      </c>
      <c r="AV3359">
        <v>0</v>
      </c>
      <c r="AW3359">
        <v>0</v>
      </c>
      <c r="AX3359">
        <v>0</v>
      </c>
      <c r="AY3359">
        <v>0</v>
      </c>
      <c r="AZ3359">
        <v>0</v>
      </c>
      <c r="BA3359">
        <v>0</v>
      </c>
      <c r="BB3359">
        <v>0</v>
      </c>
      <c r="BC3359">
        <v>0</v>
      </c>
      <c r="BD3359">
        <v>0</v>
      </c>
      <c r="BE3359">
        <v>0</v>
      </c>
      <c r="BF3359">
        <v>0</v>
      </c>
      <c r="BG3359">
        <v>0</v>
      </c>
      <c r="BH3359">
        <v>1</v>
      </c>
      <c r="BI3359">
        <v>1</v>
      </c>
      <c r="BJ3359">
        <v>0.2</v>
      </c>
      <c r="BK3359">
        <v>1</v>
      </c>
      <c r="BL3359">
        <v>69.98</v>
      </c>
      <c r="BM3359">
        <v>10.5</v>
      </c>
      <c r="BN3359">
        <v>80.48</v>
      </c>
      <c r="BO3359">
        <v>80.48</v>
      </c>
      <c r="BQ3359" t="s">
        <v>386</v>
      </c>
      <c r="BR3359" t="s">
        <v>84</v>
      </c>
      <c r="BS3359" s="3">
        <v>45804</v>
      </c>
      <c r="BT3359" s="4">
        <v>0.37152777777777779</v>
      </c>
      <c r="BU3359" t="s">
        <v>387</v>
      </c>
      <c r="BV3359" t="s">
        <v>86</v>
      </c>
      <c r="BY3359">
        <v>1200</v>
      </c>
      <c r="CA3359" t="s">
        <v>95</v>
      </c>
      <c r="CC3359" t="s">
        <v>91</v>
      </c>
      <c r="CD3359">
        <v>6056</v>
      </c>
      <c r="CE3359" t="s">
        <v>88</v>
      </c>
      <c r="CF3359" s="3">
        <v>45804</v>
      </c>
      <c r="CI3359">
        <v>1</v>
      </c>
      <c r="CJ3359">
        <v>1</v>
      </c>
      <c r="CK3359">
        <v>21</v>
      </c>
      <c r="CL3359" t="s">
        <v>89</v>
      </c>
    </row>
    <row r="3360" spans="1:90" x14ac:dyDescent="0.3">
      <c r="A3360" t="s">
        <v>72</v>
      </c>
      <c r="B3360" t="s">
        <v>73</v>
      </c>
      <c r="C3360" t="s">
        <v>74</v>
      </c>
      <c r="E3360" t="str">
        <f>"080065566829"</f>
        <v>080065566829</v>
      </c>
      <c r="F3360" s="3">
        <v>45803</v>
      </c>
      <c r="G3360">
        <v>202602</v>
      </c>
      <c r="H3360" t="s">
        <v>75</v>
      </c>
      <c r="I3360" t="s">
        <v>76</v>
      </c>
      <c r="J3360" t="s">
        <v>77</v>
      </c>
      <c r="K3360" t="s">
        <v>78</v>
      </c>
      <c r="L3360" t="s">
        <v>130</v>
      </c>
      <c r="M3360" t="s">
        <v>131</v>
      </c>
      <c r="N3360" t="s">
        <v>709</v>
      </c>
      <c r="O3360" t="s">
        <v>82</v>
      </c>
      <c r="P3360" t="str">
        <f>"4170040706                    "</f>
        <v xml:space="preserve">4170040706                    </v>
      </c>
      <c r="Q3360">
        <v>0</v>
      </c>
      <c r="R3360">
        <v>0</v>
      </c>
      <c r="S3360">
        <v>0</v>
      </c>
      <c r="T3360">
        <v>0</v>
      </c>
      <c r="U3360">
        <v>0</v>
      </c>
      <c r="V3360">
        <v>0</v>
      </c>
      <c r="W3360">
        <v>0</v>
      </c>
      <c r="X3360">
        <v>0</v>
      </c>
      <c r="Y3360">
        <v>0</v>
      </c>
      <c r="Z3360">
        <v>0</v>
      </c>
      <c r="AA3360">
        <v>0</v>
      </c>
      <c r="AB3360">
        <v>0</v>
      </c>
      <c r="AC3360">
        <v>0</v>
      </c>
      <c r="AD3360">
        <v>0</v>
      </c>
      <c r="AE3360">
        <v>0</v>
      </c>
      <c r="AF3360">
        <v>0</v>
      </c>
      <c r="AG3360">
        <v>0</v>
      </c>
      <c r="AH3360">
        <v>0</v>
      </c>
      <c r="AI3360">
        <v>0</v>
      </c>
      <c r="AJ3360">
        <v>0</v>
      </c>
      <c r="AK3360">
        <v>0</v>
      </c>
      <c r="AL3360">
        <v>0</v>
      </c>
      <c r="AM3360">
        <v>0</v>
      </c>
      <c r="AN3360">
        <v>0</v>
      </c>
      <c r="AO3360">
        <v>0</v>
      </c>
      <c r="AP3360">
        <v>0</v>
      </c>
      <c r="AQ3360">
        <v>32.07</v>
      </c>
      <c r="AR3360">
        <v>0</v>
      </c>
      <c r="AS3360">
        <v>0</v>
      </c>
      <c r="AT3360">
        <v>0</v>
      </c>
      <c r="AU3360">
        <v>0</v>
      </c>
      <c r="AV3360">
        <v>0</v>
      </c>
      <c r="AW3360">
        <v>0</v>
      </c>
      <c r="AX3360">
        <v>0</v>
      </c>
      <c r="AY3360">
        <v>0</v>
      </c>
      <c r="AZ3360">
        <v>0</v>
      </c>
      <c r="BA3360">
        <v>0</v>
      </c>
      <c r="BB3360">
        <v>0</v>
      </c>
      <c r="BC3360">
        <v>0</v>
      </c>
      <c r="BD3360">
        <v>0</v>
      </c>
      <c r="BE3360">
        <v>0</v>
      </c>
      <c r="BF3360">
        <v>0</v>
      </c>
      <c r="BG3360">
        <v>0</v>
      </c>
      <c r="BH3360">
        <v>1</v>
      </c>
      <c r="BI3360">
        <v>3</v>
      </c>
      <c r="BJ3360">
        <v>1.7</v>
      </c>
      <c r="BK3360">
        <v>3</v>
      </c>
      <c r="BL3360">
        <v>104.95</v>
      </c>
      <c r="BM3360">
        <v>15.74</v>
      </c>
      <c r="BN3360">
        <v>120.69</v>
      </c>
      <c r="BO3360">
        <v>120.69</v>
      </c>
      <c r="BQ3360" t="s">
        <v>710</v>
      </c>
      <c r="BR3360" t="s">
        <v>84</v>
      </c>
      <c r="BS3360" s="3">
        <v>45804</v>
      </c>
      <c r="BT3360" s="4">
        <v>0.32291666666666669</v>
      </c>
      <c r="BU3360" t="s">
        <v>2045</v>
      </c>
      <c r="BV3360" t="s">
        <v>86</v>
      </c>
      <c r="BY3360">
        <v>8512</v>
      </c>
      <c r="CA3360" t="s">
        <v>712</v>
      </c>
      <c r="CC3360" t="s">
        <v>131</v>
      </c>
      <c r="CD3360">
        <v>7530</v>
      </c>
      <c r="CE3360" t="s">
        <v>116</v>
      </c>
      <c r="CF3360" s="3">
        <v>45805</v>
      </c>
      <c r="CI3360">
        <v>1</v>
      </c>
      <c r="CJ3360">
        <v>1</v>
      </c>
      <c r="CK3360">
        <v>21</v>
      </c>
      <c r="CL3360" t="s">
        <v>89</v>
      </c>
    </row>
    <row r="3361" spans="1:90" x14ac:dyDescent="0.3">
      <c r="A3361" t="s">
        <v>72</v>
      </c>
      <c r="B3361" t="s">
        <v>73</v>
      </c>
      <c r="C3361" t="s">
        <v>74</v>
      </c>
      <c r="E3361" t="str">
        <f>"080065566905"</f>
        <v>080065566905</v>
      </c>
      <c r="F3361" s="3">
        <v>45803</v>
      </c>
      <c r="G3361">
        <v>202602</v>
      </c>
      <c r="H3361" t="s">
        <v>75</v>
      </c>
      <c r="I3361" t="s">
        <v>76</v>
      </c>
      <c r="J3361" t="s">
        <v>77</v>
      </c>
      <c r="K3361" t="s">
        <v>78</v>
      </c>
      <c r="L3361" t="s">
        <v>136</v>
      </c>
      <c r="M3361" t="s">
        <v>137</v>
      </c>
      <c r="N3361" t="s">
        <v>1514</v>
      </c>
      <c r="O3361" t="s">
        <v>82</v>
      </c>
      <c r="P3361" t="str">
        <f>"4170040676                    "</f>
        <v xml:space="preserve">4170040676                    </v>
      </c>
      <c r="Q3361">
        <v>0</v>
      </c>
      <c r="R3361">
        <v>0</v>
      </c>
      <c r="S3361">
        <v>0</v>
      </c>
      <c r="T3361">
        <v>0</v>
      </c>
      <c r="U3361">
        <v>0</v>
      </c>
      <c r="V3361">
        <v>0</v>
      </c>
      <c r="W3361">
        <v>0</v>
      </c>
      <c r="X3361">
        <v>0</v>
      </c>
      <c r="Y3361">
        <v>0</v>
      </c>
      <c r="Z3361">
        <v>0</v>
      </c>
      <c r="AA3361">
        <v>0</v>
      </c>
      <c r="AB3361">
        <v>0</v>
      </c>
      <c r="AC3361">
        <v>0</v>
      </c>
      <c r="AD3361">
        <v>0</v>
      </c>
      <c r="AE3361">
        <v>0</v>
      </c>
      <c r="AF3361">
        <v>0</v>
      </c>
      <c r="AG3361">
        <v>0</v>
      </c>
      <c r="AH3361">
        <v>0</v>
      </c>
      <c r="AI3361">
        <v>0</v>
      </c>
      <c r="AJ3361">
        <v>0</v>
      </c>
      <c r="AK3361">
        <v>0</v>
      </c>
      <c r="AL3361">
        <v>0</v>
      </c>
      <c r="AM3361">
        <v>0</v>
      </c>
      <c r="AN3361">
        <v>0</v>
      </c>
      <c r="AO3361">
        <v>0</v>
      </c>
      <c r="AP3361">
        <v>0</v>
      </c>
      <c r="AQ3361">
        <v>21.38</v>
      </c>
      <c r="AR3361">
        <v>0</v>
      </c>
      <c r="AS3361">
        <v>0</v>
      </c>
      <c r="AT3361">
        <v>0</v>
      </c>
      <c r="AU3361">
        <v>0</v>
      </c>
      <c r="AV3361">
        <v>0</v>
      </c>
      <c r="AW3361">
        <v>0</v>
      </c>
      <c r="AX3361">
        <v>0</v>
      </c>
      <c r="AY3361">
        <v>0</v>
      </c>
      <c r="AZ3361">
        <v>0</v>
      </c>
      <c r="BA3361">
        <v>0</v>
      </c>
      <c r="BB3361">
        <v>0</v>
      </c>
      <c r="BC3361">
        <v>0</v>
      </c>
      <c r="BD3361">
        <v>0</v>
      </c>
      <c r="BE3361">
        <v>0</v>
      </c>
      <c r="BF3361">
        <v>0</v>
      </c>
      <c r="BG3361">
        <v>0</v>
      </c>
      <c r="BH3361">
        <v>1</v>
      </c>
      <c r="BI3361">
        <v>1</v>
      </c>
      <c r="BJ3361">
        <v>0.2</v>
      </c>
      <c r="BK3361">
        <v>1</v>
      </c>
      <c r="BL3361">
        <v>69.98</v>
      </c>
      <c r="BM3361">
        <v>10.5</v>
      </c>
      <c r="BN3361">
        <v>80.48</v>
      </c>
      <c r="BO3361">
        <v>80.48</v>
      </c>
      <c r="BQ3361" t="s">
        <v>1515</v>
      </c>
      <c r="BR3361" t="s">
        <v>84</v>
      </c>
      <c r="BS3361" s="3">
        <v>45804</v>
      </c>
      <c r="BT3361" s="4">
        <v>0.39027777777777778</v>
      </c>
      <c r="BU3361" t="s">
        <v>3183</v>
      </c>
      <c r="BV3361" t="s">
        <v>86</v>
      </c>
      <c r="BY3361">
        <v>1200</v>
      </c>
      <c r="CA3361" t="s">
        <v>141</v>
      </c>
      <c r="CC3361" t="s">
        <v>137</v>
      </c>
      <c r="CD3361" s="5" t="s">
        <v>142</v>
      </c>
      <c r="CE3361" t="s">
        <v>88</v>
      </c>
      <c r="CF3361" s="3">
        <v>45804</v>
      </c>
      <c r="CI3361">
        <v>1</v>
      </c>
      <c r="CJ3361">
        <v>1</v>
      </c>
      <c r="CK3361">
        <v>21</v>
      </c>
      <c r="CL3361" t="s">
        <v>89</v>
      </c>
    </row>
    <row r="3362" spans="1:90" x14ac:dyDescent="0.3">
      <c r="A3362" t="s">
        <v>72</v>
      </c>
      <c r="B3362" t="s">
        <v>73</v>
      </c>
      <c r="C3362" t="s">
        <v>74</v>
      </c>
      <c r="E3362" t="str">
        <f>"080065566970"</f>
        <v>080065566970</v>
      </c>
      <c r="F3362" s="3">
        <v>45803</v>
      </c>
      <c r="G3362">
        <v>202602</v>
      </c>
      <c r="H3362" t="s">
        <v>75</v>
      </c>
      <c r="I3362" t="s">
        <v>76</v>
      </c>
      <c r="J3362" t="s">
        <v>77</v>
      </c>
      <c r="K3362" t="s">
        <v>78</v>
      </c>
      <c r="L3362" t="s">
        <v>672</v>
      </c>
      <c r="M3362" t="s">
        <v>673</v>
      </c>
      <c r="N3362" t="s">
        <v>674</v>
      </c>
      <c r="O3362" t="s">
        <v>82</v>
      </c>
      <c r="P3362" t="str">
        <f>"4170040698                    "</f>
        <v xml:space="preserve">4170040698                    </v>
      </c>
      <c r="Q3362">
        <v>0</v>
      </c>
      <c r="R3362">
        <v>0</v>
      </c>
      <c r="S3362">
        <v>0</v>
      </c>
      <c r="T3362">
        <v>0</v>
      </c>
      <c r="U3362">
        <v>0</v>
      </c>
      <c r="V3362">
        <v>0</v>
      </c>
      <c r="W3362">
        <v>0</v>
      </c>
      <c r="X3362">
        <v>0</v>
      </c>
      <c r="Y3362">
        <v>0</v>
      </c>
      <c r="Z3362">
        <v>0</v>
      </c>
      <c r="AA3362">
        <v>0</v>
      </c>
      <c r="AB3362">
        <v>0</v>
      </c>
      <c r="AC3362">
        <v>0</v>
      </c>
      <c r="AD3362">
        <v>0</v>
      </c>
      <c r="AE3362">
        <v>0</v>
      </c>
      <c r="AF3362">
        <v>0</v>
      </c>
      <c r="AG3362">
        <v>0</v>
      </c>
      <c r="AH3362">
        <v>0</v>
      </c>
      <c r="AI3362">
        <v>0</v>
      </c>
      <c r="AJ3362">
        <v>0</v>
      </c>
      <c r="AK3362">
        <v>0</v>
      </c>
      <c r="AL3362">
        <v>0</v>
      </c>
      <c r="AM3362">
        <v>0</v>
      </c>
      <c r="AN3362">
        <v>0</v>
      </c>
      <c r="AO3362">
        <v>0</v>
      </c>
      <c r="AP3362">
        <v>0</v>
      </c>
      <c r="AQ3362">
        <v>134.97</v>
      </c>
      <c r="AR3362">
        <v>0</v>
      </c>
      <c r="AS3362">
        <v>0</v>
      </c>
      <c r="AT3362">
        <v>0</v>
      </c>
      <c r="AU3362">
        <v>0</v>
      </c>
      <c r="AV3362">
        <v>0</v>
      </c>
      <c r="AW3362">
        <v>0</v>
      </c>
      <c r="AX3362">
        <v>0</v>
      </c>
      <c r="AY3362">
        <v>0</v>
      </c>
      <c r="AZ3362">
        <v>0</v>
      </c>
      <c r="BA3362">
        <v>0</v>
      </c>
      <c r="BB3362">
        <v>0</v>
      </c>
      <c r="BC3362">
        <v>0</v>
      </c>
      <c r="BD3362">
        <v>0</v>
      </c>
      <c r="BE3362">
        <v>0</v>
      </c>
      <c r="BF3362">
        <v>0</v>
      </c>
      <c r="BG3362">
        <v>0</v>
      </c>
      <c r="BH3362">
        <v>1</v>
      </c>
      <c r="BI3362">
        <v>5</v>
      </c>
      <c r="BJ3362">
        <v>7</v>
      </c>
      <c r="BK3362">
        <v>7</v>
      </c>
      <c r="BL3362">
        <v>441.73</v>
      </c>
      <c r="BM3362">
        <v>66.260000000000005</v>
      </c>
      <c r="BN3362">
        <v>507.99</v>
      </c>
      <c r="BO3362">
        <v>507.99</v>
      </c>
      <c r="BQ3362" t="s">
        <v>675</v>
      </c>
      <c r="BR3362" t="s">
        <v>84</v>
      </c>
      <c r="BS3362" s="3">
        <v>45804</v>
      </c>
      <c r="BT3362" s="4">
        <v>0.47152777777777777</v>
      </c>
      <c r="BU3362" t="s">
        <v>1512</v>
      </c>
      <c r="BV3362" t="s">
        <v>86</v>
      </c>
      <c r="BY3362">
        <v>35000</v>
      </c>
      <c r="CA3362" t="s">
        <v>677</v>
      </c>
      <c r="CC3362" t="s">
        <v>673</v>
      </c>
      <c r="CD3362">
        <v>2531</v>
      </c>
      <c r="CE3362" t="s">
        <v>221</v>
      </c>
      <c r="CF3362" s="3">
        <v>45805</v>
      </c>
      <c r="CI3362">
        <v>1</v>
      </c>
      <c r="CJ3362">
        <v>1</v>
      </c>
      <c r="CK3362">
        <v>23</v>
      </c>
      <c r="CL3362" t="s">
        <v>89</v>
      </c>
    </row>
    <row r="3363" spans="1:90" x14ac:dyDescent="0.3">
      <c r="A3363" t="s">
        <v>72</v>
      </c>
      <c r="B3363" t="s">
        <v>73</v>
      </c>
      <c r="C3363" t="s">
        <v>74</v>
      </c>
      <c r="E3363" t="str">
        <f>"080065567037"</f>
        <v>080065567037</v>
      </c>
      <c r="F3363" s="3">
        <v>45803</v>
      </c>
      <c r="G3363">
        <v>202602</v>
      </c>
      <c r="H3363" t="s">
        <v>75</v>
      </c>
      <c r="I3363" t="s">
        <v>76</v>
      </c>
      <c r="J3363" t="s">
        <v>77</v>
      </c>
      <c r="K3363" t="s">
        <v>78</v>
      </c>
      <c r="L3363" t="s">
        <v>117</v>
      </c>
      <c r="M3363" t="s">
        <v>118</v>
      </c>
      <c r="N3363" t="s">
        <v>532</v>
      </c>
      <c r="O3363" t="s">
        <v>602</v>
      </c>
      <c r="P3363" t="str">
        <f>"4170040705                    "</f>
        <v xml:space="preserve">4170040705                    </v>
      </c>
      <c r="Q3363">
        <v>0</v>
      </c>
      <c r="R3363">
        <v>0</v>
      </c>
      <c r="S3363">
        <v>0</v>
      </c>
      <c r="T3363">
        <v>0</v>
      </c>
      <c r="U3363">
        <v>0</v>
      </c>
      <c r="V3363">
        <v>0</v>
      </c>
      <c r="W3363">
        <v>0</v>
      </c>
      <c r="X3363">
        <v>0</v>
      </c>
      <c r="Y3363">
        <v>0</v>
      </c>
      <c r="Z3363">
        <v>0</v>
      </c>
      <c r="AA3363">
        <v>0</v>
      </c>
      <c r="AB3363">
        <v>0</v>
      </c>
      <c r="AC3363">
        <v>0</v>
      </c>
      <c r="AD3363">
        <v>0</v>
      </c>
      <c r="AE3363">
        <v>0</v>
      </c>
      <c r="AF3363">
        <v>0</v>
      </c>
      <c r="AG3363">
        <v>0</v>
      </c>
      <c r="AH3363">
        <v>0</v>
      </c>
      <c r="AI3363">
        <v>0</v>
      </c>
      <c r="AJ3363">
        <v>0</v>
      </c>
      <c r="AK3363">
        <v>0</v>
      </c>
      <c r="AL3363">
        <v>0</v>
      </c>
      <c r="AM3363">
        <v>0</v>
      </c>
      <c r="AN3363">
        <v>0</v>
      </c>
      <c r="AO3363">
        <v>0</v>
      </c>
      <c r="AP3363">
        <v>0</v>
      </c>
      <c r="AQ3363">
        <v>16.71</v>
      </c>
      <c r="AR3363">
        <v>0</v>
      </c>
      <c r="AS3363">
        <v>0</v>
      </c>
      <c r="AT3363">
        <v>0</v>
      </c>
      <c r="AU3363">
        <v>0</v>
      </c>
      <c r="AV3363">
        <v>0</v>
      </c>
      <c r="AW3363">
        <v>0</v>
      </c>
      <c r="AX3363">
        <v>0</v>
      </c>
      <c r="AY3363">
        <v>0</v>
      </c>
      <c r="AZ3363">
        <v>0</v>
      </c>
      <c r="BA3363">
        <v>0</v>
      </c>
      <c r="BB3363">
        <v>0</v>
      </c>
      <c r="BC3363">
        <v>0</v>
      </c>
      <c r="BD3363">
        <v>0</v>
      </c>
      <c r="BE3363">
        <v>0</v>
      </c>
      <c r="BF3363">
        <v>0</v>
      </c>
      <c r="BG3363">
        <v>0</v>
      </c>
      <c r="BH3363">
        <v>1</v>
      </c>
      <c r="BI3363">
        <v>5</v>
      </c>
      <c r="BJ3363">
        <v>7.6</v>
      </c>
      <c r="BK3363">
        <v>8</v>
      </c>
      <c r="BL3363">
        <v>54.68</v>
      </c>
      <c r="BM3363">
        <v>8.1999999999999993</v>
      </c>
      <c r="BN3363">
        <v>62.88</v>
      </c>
      <c r="BO3363">
        <v>62.88</v>
      </c>
      <c r="BQ3363" t="s">
        <v>533</v>
      </c>
      <c r="BR3363" t="s">
        <v>84</v>
      </c>
      <c r="BS3363" s="3">
        <v>45804</v>
      </c>
      <c r="BT3363" s="4">
        <v>0.38541666666666669</v>
      </c>
      <c r="BU3363" t="s">
        <v>348</v>
      </c>
      <c r="BV3363" t="s">
        <v>86</v>
      </c>
      <c r="BY3363">
        <v>37856</v>
      </c>
      <c r="CA3363" t="s">
        <v>535</v>
      </c>
      <c r="CC3363" t="s">
        <v>118</v>
      </c>
      <c r="CD3363">
        <v>2094</v>
      </c>
      <c r="CE3363" t="s">
        <v>221</v>
      </c>
      <c r="CF3363" s="3">
        <v>45804</v>
      </c>
      <c r="CI3363">
        <v>1</v>
      </c>
      <c r="CJ3363">
        <v>1</v>
      </c>
      <c r="CK3363">
        <v>32</v>
      </c>
      <c r="CL3363" t="s">
        <v>89</v>
      </c>
    </row>
    <row r="3364" spans="1:90" x14ac:dyDescent="0.3">
      <c r="A3364" t="s">
        <v>72</v>
      </c>
      <c r="B3364" t="s">
        <v>73</v>
      </c>
      <c r="C3364" t="s">
        <v>74</v>
      </c>
      <c r="E3364" t="str">
        <f>"080065567118"</f>
        <v>080065567118</v>
      </c>
      <c r="F3364" s="3">
        <v>45803</v>
      </c>
      <c r="G3364">
        <v>202602</v>
      </c>
      <c r="H3364" t="s">
        <v>75</v>
      </c>
      <c r="I3364" t="s">
        <v>76</v>
      </c>
      <c r="J3364" t="s">
        <v>77</v>
      </c>
      <c r="K3364" t="s">
        <v>78</v>
      </c>
      <c r="L3364" t="s">
        <v>103</v>
      </c>
      <c r="M3364" t="s">
        <v>104</v>
      </c>
      <c r="N3364" t="s">
        <v>105</v>
      </c>
      <c r="O3364" t="s">
        <v>300</v>
      </c>
      <c r="P3364" t="str">
        <f>"4170040474                    "</f>
        <v xml:space="preserve">4170040474                    </v>
      </c>
      <c r="Q3364">
        <v>0</v>
      </c>
      <c r="R3364">
        <v>0</v>
      </c>
      <c r="S3364">
        <v>0</v>
      </c>
      <c r="T3364">
        <v>0</v>
      </c>
      <c r="U3364">
        <v>0</v>
      </c>
      <c r="V3364">
        <v>0</v>
      </c>
      <c r="W3364">
        <v>0</v>
      </c>
      <c r="X3364">
        <v>0</v>
      </c>
      <c r="Y3364">
        <v>0</v>
      </c>
      <c r="Z3364">
        <v>0</v>
      </c>
      <c r="AA3364">
        <v>0</v>
      </c>
      <c r="AB3364">
        <v>0</v>
      </c>
      <c r="AC3364">
        <v>0</v>
      </c>
      <c r="AD3364">
        <v>0</v>
      </c>
      <c r="AE3364">
        <v>0</v>
      </c>
      <c r="AF3364">
        <v>0</v>
      </c>
      <c r="AG3364">
        <v>0</v>
      </c>
      <c r="AH3364">
        <v>0</v>
      </c>
      <c r="AI3364">
        <v>0</v>
      </c>
      <c r="AJ3364">
        <v>0</v>
      </c>
      <c r="AK3364">
        <v>0</v>
      </c>
      <c r="AL3364">
        <v>0</v>
      </c>
      <c r="AM3364">
        <v>0</v>
      </c>
      <c r="AN3364">
        <v>0</v>
      </c>
      <c r="AO3364">
        <v>0</v>
      </c>
      <c r="AP3364">
        <v>0</v>
      </c>
      <c r="AQ3364">
        <v>63.54</v>
      </c>
      <c r="AR3364">
        <v>0</v>
      </c>
      <c r="AS3364">
        <v>0</v>
      </c>
      <c r="AT3364">
        <v>0</v>
      </c>
      <c r="AU3364">
        <v>0</v>
      </c>
      <c r="AV3364">
        <v>0</v>
      </c>
      <c r="AW3364">
        <v>0</v>
      </c>
      <c r="AX3364">
        <v>0</v>
      </c>
      <c r="AY3364">
        <v>0</v>
      </c>
      <c r="AZ3364">
        <v>0</v>
      </c>
      <c r="BA3364">
        <v>0</v>
      </c>
      <c r="BB3364">
        <v>0</v>
      </c>
      <c r="BC3364">
        <v>0</v>
      </c>
      <c r="BD3364">
        <v>0</v>
      </c>
      <c r="BE3364">
        <v>0</v>
      </c>
      <c r="BF3364">
        <v>0</v>
      </c>
      <c r="BG3364">
        <v>0</v>
      </c>
      <c r="BH3364">
        <v>2</v>
      </c>
      <c r="BI3364">
        <v>28</v>
      </c>
      <c r="BJ3364">
        <v>18.899999999999999</v>
      </c>
      <c r="BK3364">
        <v>28</v>
      </c>
      <c r="BL3364">
        <v>213.53</v>
      </c>
      <c r="BM3364">
        <v>32.03</v>
      </c>
      <c r="BN3364">
        <v>245.56</v>
      </c>
      <c r="BO3364">
        <v>245.56</v>
      </c>
      <c r="BQ3364" t="s">
        <v>106</v>
      </c>
      <c r="BR3364" t="s">
        <v>84</v>
      </c>
      <c r="BS3364" s="3">
        <v>45804</v>
      </c>
      <c r="BT3364" s="4">
        <v>0.46805555555555556</v>
      </c>
      <c r="BU3364" t="s">
        <v>430</v>
      </c>
      <c r="BV3364" t="s">
        <v>86</v>
      </c>
      <c r="BY3364">
        <v>47232</v>
      </c>
      <c r="CA3364" t="s">
        <v>108</v>
      </c>
      <c r="CC3364" t="s">
        <v>104</v>
      </c>
      <c r="CD3364">
        <v>3201</v>
      </c>
      <c r="CE3364" t="s">
        <v>576</v>
      </c>
      <c r="CF3364" s="3">
        <v>45804</v>
      </c>
      <c r="CI3364">
        <v>2</v>
      </c>
      <c r="CJ3364">
        <v>1</v>
      </c>
      <c r="CK3364">
        <v>41</v>
      </c>
      <c r="CL3364" t="s">
        <v>89</v>
      </c>
    </row>
    <row r="3365" spans="1:90" x14ac:dyDescent="0.3">
      <c r="A3365" t="s">
        <v>72</v>
      </c>
      <c r="B3365" t="s">
        <v>73</v>
      </c>
      <c r="C3365" t="s">
        <v>74</v>
      </c>
      <c r="E3365" t="str">
        <f>"080065567210"</f>
        <v>080065567210</v>
      </c>
      <c r="F3365" s="3">
        <v>45803</v>
      </c>
      <c r="G3365">
        <v>202602</v>
      </c>
      <c r="H3365" t="s">
        <v>75</v>
      </c>
      <c r="I3365" t="s">
        <v>76</v>
      </c>
      <c r="J3365" t="s">
        <v>77</v>
      </c>
      <c r="K3365" t="s">
        <v>78</v>
      </c>
      <c r="L3365" t="s">
        <v>103</v>
      </c>
      <c r="M3365" t="s">
        <v>104</v>
      </c>
      <c r="N3365" t="s">
        <v>952</v>
      </c>
      <c r="O3365" t="s">
        <v>82</v>
      </c>
      <c r="P3365" t="str">
        <f>"4170040692                    "</f>
        <v xml:space="preserve">4170040692                    </v>
      </c>
      <c r="Q3365">
        <v>0</v>
      </c>
      <c r="R3365">
        <v>0</v>
      </c>
      <c r="S3365">
        <v>0</v>
      </c>
      <c r="T3365">
        <v>0</v>
      </c>
      <c r="U3365">
        <v>0</v>
      </c>
      <c r="V3365">
        <v>0</v>
      </c>
      <c r="W3365">
        <v>0</v>
      </c>
      <c r="X3365">
        <v>0</v>
      </c>
      <c r="Y3365">
        <v>0</v>
      </c>
      <c r="Z3365">
        <v>0</v>
      </c>
      <c r="AA3365">
        <v>0</v>
      </c>
      <c r="AB3365">
        <v>0</v>
      </c>
      <c r="AC3365">
        <v>0</v>
      </c>
      <c r="AD3365">
        <v>0</v>
      </c>
      <c r="AE3365">
        <v>0</v>
      </c>
      <c r="AF3365">
        <v>0</v>
      </c>
      <c r="AG3365">
        <v>0</v>
      </c>
      <c r="AH3365">
        <v>0</v>
      </c>
      <c r="AI3365">
        <v>0</v>
      </c>
      <c r="AJ3365">
        <v>0</v>
      </c>
      <c r="AK3365">
        <v>0</v>
      </c>
      <c r="AL3365">
        <v>0</v>
      </c>
      <c r="AM3365">
        <v>0</v>
      </c>
      <c r="AN3365">
        <v>0</v>
      </c>
      <c r="AO3365">
        <v>0</v>
      </c>
      <c r="AP3365">
        <v>0</v>
      </c>
      <c r="AQ3365">
        <v>154.91999999999999</v>
      </c>
      <c r="AR3365">
        <v>0</v>
      </c>
      <c r="AS3365">
        <v>0</v>
      </c>
      <c r="AT3365">
        <v>0</v>
      </c>
      <c r="AU3365">
        <v>0</v>
      </c>
      <c r="AV3365">
        <v>0</v>
      </c>
      <c r="AW3365">
        <v>0</v>
      </c>
      <c r="AX3365">
        <v>0</v>
      </c>
      <c r="AY3365">
        <v>0</v>
      </c>
      <c r="AZ3365">
        <v>0</v>
      </c>
      <c r="BA3365">
        <v>0</v>
      </c>
      <c r="BB3365">
        <v>0</v>
      </c>
      <c r="BC3365">
        <v>0</v>
      </c>
      <c r="BD3365">
        <v>0</v>
      </c>
      <c r="BE3365">
        <v>0</v>
      </c>
      <c r="BF3365">
        <v>0</v>
      </c>
      <c r="BG3365">
        <v>0</v>
      </c>
      <c r="BH3365">
        <v>1</v>
      </c>
      <c r="BI3365">
        <v>6</v>
      </c>
      <c r="BJ3365">
        <v>14.1</v>
      </c>
      <c r="BK3365">
        <v>14.5</v>
      </c>
      <c r="BL3365">
        <v>507.02</v>
      </c>
      <c r="BM3365">
        <v>76.05</v>
      </c>
      <c r="BN3365">
        <v>583.07000000000005</v>
      </c>
      <c r="BO3365">
        <v>583.07000000000005</v>
      </c>
      <c r="BQ3365" t="s">
        <v>953</v>
      </c>
      <c r="BR3365" t="s">
        <v>84</v>
      </c>
      <c r="BS3365" s="3">
        <v>45804</v>
      </c>
      <c r="BT3365" s="4">
        <v>0.41666666666666669</v>
      </c>
      <c r="BU3365" t="s">
        <v>3184</v>
      </c>
      <c r="BV3365" t="s">
        <v>86</v>
      </c>
      <c r="BY3365">
        <v>70304</v>
      </c>
      <c r="CA3365" t="s">
        <v>108</v>
      </c>
      <c r="CC3365" t="s">
        <v>104</v>
      </c>
      <c r="CD3365">
        <v>3201</v>
      </c>
      <c r="CE3365" t="s">
        <v>221</v>
      </c>
      <c r="CF3365" s="3">
        <v>45804</v>
      </c>
      <c r="CI3365">
        <v>1</v>
      </c>
      <c r="CJ3365">
        <v>1</v>
      </c>
      <c r="CK3365">
        <v>21</v>
      </c>
      <c r="CL3365" t="s">
        <v>89</v>
      </c>
    </row>
    <row r="3366" spans="1:90" x14ac:dyDescent="0.3">
      <c r="A3366" t="s">
        <v>72</v>
      </c>
      <c r="B3366" t="s">
        <v>73</v>
      </c>
      <c r="C3366" t="s">
        <v>74</v>
      </c>
      <c r="E3366" t="str">
        <f>"080065567279"</f>
        <v>080065567279</v>
      </c>
      <c r="F3366" s="3">
        <v>45803</v>
      </c>
      <c r="G3366">
        <v>202602</v>
      </c>
      <c r="H3366" t="s">
        <v>75</v>
      </c>
      <c r="I3366" t="s">
        <v>76</v>
      </c>
      <c r="J3366" t="s">
        <v>77</v>
      </c>
      <c r="K3366" t="s">
        <v>78</v>
      </c>
      <c r="L3366" t="s">
        <v>79</v>
      </c>
      <c r="M3366" t="s">
        <v>80</v>
      </c>
      <c r="N3366" t="s">
        <v>415</v>
      </c>
      <c r="O3366" t="s">
        <v>82</v>
      </c>
      <c r="P3366" t="str">
        <f>"4170040670                    "</f>
        <v xml:space="preserve">4170040670                    </v>
      </c>
      <c r="Q3366">
        <v>0</v>
      </c>
      <c r="R3366">
        <v>0</v>
      </c>
      <c r="S3366">
        <v>0</v>
      </c>
      <c r="T3366">
        <v>0</v>
      </c>
      <c r="U3366">
        <v>0</v>
      </c>
      <c r="V3366">
        <v>0</v>
      </c>
      <c r="W3366">
        <v>0</v>
      </c>
      <c r="X3366">
        <v>0</v>
      </c>
      <c r="Y3366">
        <v>0</v>
      </c>
      <c r="Z3366">
        <v>0</v>
      </c>
      <c r="AA3366">
        <v>0</v>
      </c>
      <c r="AB3366">
        <v>0</v>
      </c>
      <c r="AC3366">
        <v>0</v>
      </c>
      <c r="AD3366">
        <v>0</v>
      </c>
      <c r="AE3366">
        <v>0</v>
      </c>
      <c r="AF3366">
        <v>0</v>
      </c>
      <c r="AG3366">
        <v>0</v>
      </c>
      <c r="AH3366">
        <v>0</v>
      </c>
      <c r="AI3366">
        <v>0</v>
      </c>
      <c r="AJ3366">
        <v>0</v>
      </c>
      <c r="AK3366">
        <v>0</v>
      </c>
      <c r="AL3366">
        <v>0</v>
      </c>
      <c r="AM3366">
        <v>0</v>
      </c>
      <c r="AN3366">
        <v>0</v>
      </c>
      <c r="AO3366">
        <v>0</v>
      </c>
      <c r="AP3366">
        <v>0</v>
      </c>
      <c r="AQ3366">
        <v>96.17</v>
      </c>
      <c r="AR3366">
        <v>0</v>
      </c>
      <c r="AS3366">
        <v>0</v>
      </c>
      <c r="AT3366">
        <v>0</v>
      </c>
      <c r="AU3366">
        <v>0</v>
      </c>
      <c r="AV3366">
        <v>0</v>
      </c>
      <c r="AW3366">
        <v>0</v>
      </c>
      <c r="AX3366">
        <v>0</v>
      </c>
      <c r="AY3366">
        <v>0</v>
      </c>
      <c r="AZ3366">
        <v>0</v>
      </c>
      <c r="BA3366">
        <v>0</v>
      </c>
      <c r="BB3366">
        <v>0</v>
      </c>
      <c r="BC3366">
        <v>0</v>
      </c>
      <c r="BD3366">
        <v>0</v>
      </c>
      <c r="BE3366">
        <v>0</v>
      </c>
      <c r="BF3366">
        <v>0</v>
      </c>
      <c r="BG3366">
        <v>0</v>
      </c>
      <c r="BH3366">
        <v>1</v>
      </c>
      <c r="BI3366">
        <v>9</v>
      </c>
      <c r="BJ3366">
        <v>4.0999999999999996</v>
      </c>
      <c r="BK3366">
        <v>9</v>
      </c>
      <c r="BL3366">
        <v>314.73</v>
      </c>
      <c r="BM3366">
        <v>47.21</v>
      </c>
      <c r="BN3366">
        <v>361.94</v>
      </c>
      <c r="BO3366">
        <v>361.94</v>
      </c>
      <c r="BQ3366" t="s">
        <v>416</v>
      </c>
      <c r="BR3366" t="s">
        <v>84</v>
      </c>
      <c r="BS3366" s="3">
        <v>45804</v>
      </c>
      <c r="BT3366" s="4">
        <v>0.48402777777777778</v>
      </c>
      <c r="BU3366" t="s">
        <v>1152</v>
      </c>
      <c r="BV3366" t="s">
        <v>86</v>
      </c>
      <c r="BY3366">
        <v>20358</v>
      </c>
      <c r="CA3366" t="s">
        <v>87</v>
      </c>
      <c r="CC3366" t="s">
        <v>80</v>
      </c>
      <c r="CD3366">
        <v>3610</v>
      </c>
      <c r="CE3366" t="s">
        <v>96</v>
      </c>
      <c r="CF3366" s="3">
        <v>45804</v>
      </c>
      <c r="CI3366">
        <v>1</v>
      </c>
      <c r="CJ3366">
        <v>1</v>
      </c>
      <c r="CK3366">
        <v>21</v>
      </c>
      <c r="CL3366" t="s">
        <v>89</v>
      </c>
    </row>
    <row r="3367" spans="1:90" x14ac:dyDescent="0.3">
      <c r="A3367" t="s">
        <v>72</v>
      </c>
      <c r="B3367" t="s">
        <v>73</v>
      </c>
      <c r="C3367" t="s">
        <v>74</v>
      </c>
      <c r="E3367" t="str">
        <f>"080065567590"</f>
        <v>080065567590</v>
      </c>
      <c r="F3367" s="3">
        <v>45803</v>
      </c>
      <c r="G3367">
        <v>202602</v>
      </c>
      <c r="H3367" t="s">
        <v>75</v>
      </c>
      <c r="I3367" t="s">
        <v>76</v>
      </c>
      <c r="J3367" t="s">
        <v>77</v>
      </c>
      <c r="K3367" t="s">
        <v>78</v>
      </c>
      <c r="L3367" t="s">
        <v>90</v>
      </c>
      <c r="M3367" t="s">
        <v>91</v>
      </c>
      <c r="N3367" t="s">
        <v>476</v>
      </c>
      <c r="O3367" t="s">
        <v>300</v>
      </c>
      <c r="P3367" t="str">
        <f>"4170040669                    "</f>
        <v xml:space="preserve">4170040669                    </v>
      </c>
      <c r="Q3367">
        <v>0</v>
      </c>
      <c r="R3367">
        <v>0</v>
      </c>
      <c r="S3367">
        <v>0</v>
      </c>
      <c r="T3367">
        <v>0</v>
      </c>
      <c r="U3367">
        <v>0</v>
      </c>
      <c r="V3367">
        <v>0</v>
      </c>
      <c r="W3367">
        <v>0</v>
      </c>
      <c r="X3367">
        <v>0</v>
      </c>
      <c r="Y3367">
        <v>0</v>
      </c>
      <c r="Z3367">
        <v>0</v>
      </c>
      <c r="AA3367">
        <v>0</v>
      </c>
      <c r="AB3367">
        <v>0</v>
      </c>
      <c r="AC3367">
        <v>0</v>
      </c>
      <c r="AD3367">
        <v>0</v>
      </c>
      <c r="AE3367">
        <v>0</v>
      </c>
      <c r="AF3367">
        <v>0</v>
      </c>
      <c r="AG3367">
        <v>0</v>
      </c>
      <c r="AH3367">
        <v>0</v>
      </c>
      <c r="AI3367">
        <v>0</v>
      </c>
      <c r="AJ3367">
        <v>0</v>
      </c>
      <c r="AK3367">
        <v>0</v>
      </c>
      <c r="AL3367">
        <v>0</v>
      </c>
      <c r="AM3367">
        <v>0</v>
      </c>
      <c r="AN3367">
        <v>0</v>
      </c>
      <c r="AO3367">
        <v>0</v>
      </c>
      <c r="AP3367">
        <v>0</v>
      </c>
      <c r="AQ3367">
        <v>97.69</v>
      </c>
      <c r="AR3367">
        <v>0</v>
      </c>
      <c r="AS3367">
        <v>0</v>
      </c>
      <c r="AT3367">
        <v>0</v>
      </c>
      <c r="AU3367">
        <v>0</v>
      </c>
      <c r="AV3367">
        <v>0</v>
      </c>
      <c r="AW3367">
        <v>0</v>
      </c>
      <c r="AX3367">
        <v>0</v>
      </c>
      <c r="AY3367">
        <v>0</v>
      </c>
      <c r="AZ3367">
        <v>0</v>
      </c>
      <c r="BA3367">
        <v>0</v>
      </c>
      <c r="BB3367">
        <v>0</v>
      </c>
      <c r="BC3367">
        <v>0</v>
      </c>
      <c r="BD3367">
        <v>0</v>
      </c>
      <c r="BE3367">
        <v>0</v>
      </c>
      <c r="BF3367">
        <v>0</v>
      </c>
      <c r="BG3367">
        <v>0</v>
      </c>
      <c r="BH3367">
        <v>2</v>
      </c>
      <c r="BI3367">
        <v>48</v>
      </c>
      <c r="BJ3367">
        <v>18.3</v>
      </c>
      <c r="BK3367">
        <v>48</v>
      </c>
      <c r="BL3367">
        <v>325.27999999999997</v>
      </c>
      <c r="BM3367">
        <v>48.79</v>
      </c>
      <c r="BN3367">
        <v>374.07</v>
      </c>
      <c r="BO3367">
        <v>374.07</v>
      </c>
      <c r="BQ3367" t="s">
        <v>477</v>
      </c>
      <c r="BR3367" t="s">
        <v>84</v>
      </c>
      <c r="BS3367" s="3">
        <v>45806</v>
      </c>
      <c r="BT3367" s="4">
        <v>0.65416666666666667</v>
      </c>
      <c r="BU3367" t="s">
        <v>3185</v>
      </c>
      <c r="BV3367" t="s">
        <v>86</v>
      </c>
      <c r="BY3367">
        <v>45632</v>
      </c>
      <c r="CA3367" t="s">
        <v>1714</v>
      </c>
      <c r="CC3367" t="s">
        <v>91</v>
      </c>
      <c r="CD3367">
        <v>6000</v>
      </c>
      <c r="CE3367" t="s">
        <v>96</v>
      </c>
      <c r="CF3367" s="3">
        <v>45806</v>
      </c>
      <c r="CI3367">
        <v>3</v>
      </c>
      <c r="CJ3367">
        <v>3</v>
      </c>
      <c r="CK3367">
        <v>41</v>
      </c>
      <c r="CL3367" t="s">
        <v>89</v>
      </c>
    </row>
    <row r="3368" spans="1:90" x14ac:dyDescent="0.3">
      <c r="A3368" t="s">
        <v>72</v>
      </c>
      <c r="B3368" t="s">
        <v>73</v>
      </c>
      <c r="C3368" t="s">
        <v>74</v>
      </c>
      <c r="E3368" t="str">
        <f>"080065567705"</f>
        <v>080065567705</v>
      </c>
      <c r="F3368" s="3">
        <v>45803</v>
      </c>
      <c r="G3368">
        <v>202602</v>
      </c>
      <c r="H3368" t="s">
        <v>75</v>
      </c>
      <c r="I3368" t="s">
        <v>76</v>
      </c>
      <c r="J3368" t="s">
        <v>77</v>
      </c>
      <c r="K3368" t="s">
        <v>78</v>
      </c>
      <c r="L3368" t="s">
        <v>409</v>
      </c>
      <c r="M3368" t="s">
        <v>410</v>
      </c>
      <c r="N3368" t="s">
        <v>512</v>
      </c>
      <c r="O3368" t="s">
        <v>82</v>
      </c>
      <c r="P3368" t="str">
        <f>"4170040693                    "</f>
        <v xml:space="preserve">4170040693                    </v>
      </c>
      <c r="Q3368">
        <v>0</v>
      </c>
      <c r="R3368">
        <v>0</v>
      </c>
      <c r="S3368">
        <v>0</v>
      </c>
      <c r="T3368">
        <v>0</v>
      </c>
      <c r="U3368">
        <v>0</v>
      </c>
      <c r="V3368">
        <v>0</v>
      </c>
      <c r="W3368">
        <v>0</v>
      </c>
      <c r="X3368">
        <v>0</v>
      </c>
      <c r="Y3368">
        <v>0</v>
      </c>
      <c r="Z3368">
        <v>0</v>
      </c>
      <c r="AA3368">
        <v>0</v>
      </c>
      <c r="AB3368">
        <v>0</v>
      </c>
      <c r="AC3368">
        <v>0</v>
      </c>
      <c r="AD3368">
        <v>0</v>
      </c>
      <c r="AE3368">
        <v>0</v>
      </c>
      <c r="AF3368">
        <v>0</v>
      </c>
      <c r="AG3368">
        <v>0</v>
      </c>
      <c r="AH3368">
        <v>0</v>
      </c>
      <c r="AI3368">
        <v>0</v>
      </c>
      <c r="AJ3368">
        <v>0</v>
      </c>
      <c r="AK3368">
        <v>0</v>
      </c>
      <c r="AL3368">
        <v>0</v>
      </c>
      <c r="AM3368">
        <v>0</v>
      </c>
      <c r="AN3368">
        <v>0</v>
      </c>
      <c r="AO3368">
        <v>0</v>
      </c>
      <c r="AP3368">
        <v>0</v>
      </c>
      <c r="AQ3368">
        <v>60.14</v>
      </c>
      <c r="AR3368">
        <v>0</v>
      </c>
      <c r="AS3368">
        <v>0</v>
      </c>
      <c r="AT3368">
        <v>0</v>
      </c>
      <c r="AU3368">
        <v>0</v>
      </c>
      <c r="AV3368">
        <v>0</v>
      </c>
      <c r="AW3368">
        <v>0</v>
      </c>
      <c r="AX3368">
        <v>0</v>
      </c>
      <c r="AY3368">
        <v>0</v>
      </c>
      <c r="AZ3368">
        <v>0</v>
      </c>
      <c r="BA3368">
        <v>0</v>
      </c>
      <c r="BB3368">
        <v>0</v>
      </c>
      <c r="BC3368">
        <v>0</v>
      </c>
      <c r="BD3368">
        <v>0</v>
      </c>
      <c r="BE3368">
        <v>0</v>
      </c>
      <c r="BF3368">
        <v>0</v>
      </c>
      <c r="BG3368">
        <v>0</v>
      </c>
      <c r="BH3368">
        <v>1</v>
      </c>
      <c r="BI3368">
        <v>3</v>
      </c>
      <c r="BJ3368">
        <v>1.9</v>
      </c>
      <c r="BK3368">
        <v>3</v>
      </c>
      <c r="BL3368">
        <v>196.82</v>
      </c>
      <c r="BM3368">
        <v>29.52</v>
      </c>
      <c r="BN3368">
        <v>226.34</v>
      </c>
      <c r="BO3368">
        <v>226.34</v>
      </c>
      <c r="BQ3368" t="s">
        <v>513</v>
      </c>
      <c r="BR3368" t="s">
        <v>84</v>
      </c>
      <c r="BS3368" s="3">
        <v>45804</v>
      </c>
      <c r="BT3368" s="4">
        <v>0.55486111111111114</v>
      </c>
      <c r="BU3368" t="s">
        <v>1170</v>
      </c>
      <c r="BV3368" t="s">
        <v>86</v>
      </c>
      <c r="BY3368">
        <v>9600</v>
      </c>
      <c r="CA3368" t="s">
        <v>1088</v>
      </c>
      <c r="CC3368" t="s">
        <v>410</v>
      </c>
      <c r="CD3368">
        <v>6850</v>
      </c>
      <c r="CE3368" t="s">
        <v>96</v>
      </c>
      <c r="CF3368" s="3">
        <v>45805</v>
      </c>
      <c r="CI3368">
        <v>2</v>
      </c>
      <c r="CJ3368">
        <v>1</v>
      </c>
      <c r="CK3368">
        <v>23</v>
      </c>
      <c r="CL3368" t="s">
        <v>89</v>
      </c>
    </row>
    <row r="3369" spans="1:90" x14ac:dyDescent="0.3">
      <c r="A3369" t="s">
        <v>72</v>
      </c>
      <c r="B3369" t="s">
        <v>73</v>
      </c>
      <c r="C3369" t="s">
        <v>74</v>
      </c>
      <c r="E3369" t="str">
        <f>"080065567762"</f>
        <v>080065567762</v>
      </c>
      <c r="F3369" s="3">
        <v>45803</v>
      </c>
      <c r="G3369">
        <v>202602</v>
      </c>
      <c r="H3369" t="s">
        <v>75</v>
      </c>
      <c r="I3369" t="s">
        <v>76</v>
      </c>
      <c r="J3369" t="s">
        <v>77</v>
      </c>
      <c r="K3369" t="s">
        <v>78</v>
      </c>
      <c r="L3369" t="s">
        <v>130</v>
      </c>
      <c r="M3369" t="s">
        <v>131</v>
      </c>
      <c r="N3369" t="s">
        <v>239</v>
      </c>
      <c r="O3369" t="s">
        <v>82</v>
      </c>
      <c r="P3369" t="str">
        <f>"4170040722                    "</f>
        <v xml:space="preserve">4170040722                    </v>
      </c>
      <c r="Q3369">
        <v>0</v>
      </c>
      <c r="R3369">
        <v>0</v>
      </c>
      <c r="S3369">
        <v>0</v>
      </c>
      <c r="T3369">
        <v>0</v>
      </c>
      <c r="U3369">
        <v>0</v>
      </c>
      <c r="V3369">
        <v>0</v>
      </c>
      <c r="W3369">
        <v>0</v>
      </c>
      <c r="X3369">
        <v>0</v>
      </c>
      <c r="Y3369">
        <v>0</v>
      </c>
      <c r="Z3369">
        <v>0</v>
      </c>
      <c r="AA3369">
        <v>0</v>
      </c>
      <c r="AB3369">
        <v>0</v>
      </c>
      <c r="AC3369">
        <v>0</v>
      </c>
      <c r="AD3369">
        <v>0</v>
      </c>
      <c r="AE3369">
        <v>0</v>
      </c>
      <c r="AF3369">
        <v>0</v>
      </c>
      <c r="AG3369">
        <v>0</v>
      </c>
      <c r="AH3369">
        <v>0</v>
      </c>
      <c r="AI3369">
        <v>0</v>
      </c>
      <c r="AJ3369">
        <v>0</v>
      </c>
      <c r="AK3369">
        <v>0</v>
      </c>
      <c r="AL3369">
        <v>0</v>
      </c>
      <c r="AM3369">
        <v>0</v>
      </c>
      <c r="AN3369">
        <v>0</v>
      </c>
      <c r="AO3369">
        <v>0</v>
      </c>
      <c r="AP3369">
        <v>0</v>
      </c>
      <c r="AQ3369">
        <v>138.9</v>
      </c>
      <c r="AR3369">
        <v>0</v>
      </c>
      <c r="AS3369">
        <v>0</v>
      </c>
      <c r="AT3369">
        <v>0</v>
      </c>
      <c r="AU3369">
        <v>0</v>
      </c>
      <c r="AV3369">
        <v>0</v>
      </c>
      <c r="AW3369">
        <v>0</v>
      </c>
      <c r="AX3369">
        <v>0</v>
      </c>
      <c r="AY3369">
        <v>0</v>
      </c>
      <c r="AZ3369">
        <v>0</v>
      </c>
      <c r="BA3369">
        <v>0</v>
      </c>
      <c r="BB3369">
        <v>0</v>
      </c>
      <c r="BC3369">
        <v>0</v>
      </c>
      <c r="BD3369">
        <v>0</v>
      </c>
      <c r="BE3369">
        <v>0</v>
      </c>
      <c r="BF3369">
        <v>0</v>
      </c>
      <c r="BG3369">
        <v>0</v>
      </c>
      <c r="BH3369">
        <v>1</v>
      </c>
      <c r="BI3369">
        <v>13</v>
      </c>
      <c r="BJ3369">
        <v>9.1</v>
      </c>
      <c r="BK3369">
        <v>13</v>
      </c>
      <c r="BL3369">
        <v>454.58</v>
      </c>
      <c r="BM3369">
        <v>68.19</v>
      </c>
      <c r="BN3369">
        <v>522.77</v>
      </c>
      <c r="BO3369">
        <v>522.77</v>
      </c>
      <c r="BQ3369" t="s">
        <v>240</v>
      </c>
      <c r="BR3369" t="s">
        <v>84</v>
      </c>
      <c r="BS3369" s="3">
        <v>45804</v>
      </c>
      <c r="BT3369" s="4">
        <v>0.36041666666666666</v>
      </c>
      <c r="BU3369" t="s">
        <v>2832</v>
      </c>
      <c r="BV3369" t="s">
        <v>86</v>
      </c>
      <c r="BY3369">
        <v>45375</v>
      </c>
      <c r="CA3369" t="s">
        <v>242</v>
      </c>
      <c r="CC3369" t="s">
        <v>131</v>
      </c>
      <c r="CD3369">
        <v>7441</v>
      </c>
      <c r="CE3369" t="s">
        <v>511</v>
      </c>
      <c r="CF3369" s="3">
        <v>45805</v>
      </c>
      <c r="CI3369">
        <v>1</v>
      </c>
      <c r="CJ3369">
        <v>1</v>
      </c>
      <c r="CK3369">
        <v>21</v>
      </c>
      <c r="CL3369" t="s">
        <v>89</v>
      </c>
    </row>
    <row r="3370" spans="1:90" x14ac:dyDescent="0.3">
      <c r="A3370" t="s">
        <v>72</v>
      </c>
      <c r="B3370" t="s">
        <v>73</v>
      </c>
      <c r="C3370" t="s">
        <v>74</v>
      </c>
      <c r="E3370" t="str">
        <f>"080065567824"</f>
        <v>080065567824</v>
      </c>
      <c r="F3370" s="3">
        <v>45803</v>
      </c>
      <c r="G3370">
        <v>202602</v>
      </c>
      <c r="H3370" t="s">
        <v>75</v>
      </c>
      <c r="I3370" t="s">
        <v>76</v>
      </c>
      <c r="J3370" t="s">
        <v>77</v>
      </c>
      <c r="K3370" t="s">
        <v>78</v>
      </c>
      <c r="L3370" t="s">
        <v>79</v>
      </c>
      <c r="M3370" t="s">
        <v>80</v>
      </c>
      <c r="N3370" t="s">
        <v>1111</v>
      </c>
      <c r="O3370" t="s">
        <v>82</v>
      </c>
      <c r="P3370" t="str">
        <f>"4170040717                    "</f>
        <v xml:space="preserve">4170040717                    </v>
      </c>
      <c r="Q3370">
        <v>0</v>
      </c>
      <c r="R3370">
        <v>0</v>
      </c>
      <c r="S3370">
        <v>0</v>
      </c>
      <c r="T3370">
        <v>0</v>
      </c>
      <c r="U3370">
        <v>0</v>
      </c>
      <c r="V3370">
        <v>0</v>
      </c>
      <c r="W3370">
        <v>0</v>
      </c>
      <c r="X3370">
        <v>0</v>
      </c>
      <c r="Y3370">
        <v>0</v>
      </c>
      <c r="Z3370">
        <v>0</v>
      </c>
      <c r="AA3370">
        <v>0</v>
      </c>
      <c r="AB3370">
        <v>0</v>
      </c>
      <c r="AC3370">
        <v>0</v>
      </c>
      <c r="AD3370">
        <v>0</v>
      </c>
      <c r="AE3370">
        <v>0</v>
      </c>
      <c r="AF3370">
        <v>0</v>
      </c>
      <c r="AG3370">
        <v>0</v>
      </c>
      <c r="AH3370">
        <v>0</v>
      </c>
      <c r="AI3370">
        <v>0</v>
      </c>
      <c r="AJ3370">
        <v>0</v>
      </c>
      <c r="AK3370">
        <v>0</v>
      </c>
      <c r="AL3370">
        <v>0</v>
      </c>
      <c r="AM3370">
        <v>0</v>
      </c>
      <c r="AN3370">
        <v>0</v>
      </c>
      <c r="AO3370">
        <v>0</v>
      </c>
      <c r="AP3370">
        <v>0</v>
      </c>
      <c r="AQ3370">
        <v>21.38</v>
      </c>
      <c r="AR3370">
        <v>0</v>
      </c>
      <c r="AS3370">
        <v>0</v>
      </c>
      <c r="AT3370">
        <v>0</v>
      </c>
      <c r="AU3370">
        <v>0</v>
      </c>
      <c r="AV3370">
        <v>0</v>
      </c>
      <c r="AW3370">
        <v>0</v>
      </c>
      <c r="AX3370">
        <v>0</v>
      </c>
      <c r="AY3370">
        <v>0</v>
      </c>
      <c r="AZ3370">
        <v>0</v>
      </c>
      <c r="BA3370">
        <v>0</v>
      </c>
      <c r="BB3370">
        <v>0</v>
      </c>
      <c r="BC3370">
        <v>0</v>
      </c>
      <c r="BD3370">
        <v>0</v>
      </c>
      <c r="BE3370">
        <v>0</v>
      </c>
      <c r="BF3370">
        <v>0</v>
      </c>
      <c r="BG3370">
        <v>0</v>
      </c>
      <c r="BH3370">
        <v>1</v>
      </c>
      <c r="BI3370">
        <v>2</v>
      </c>
      <c r="BJ3370">
        <v>1.1000000000000001</v>
      </c>
      <c r="BK3370">
        <v>2</v>
      </c>
      <c r="BL3370">
        <v>69.98</v>
      </c>
      <c r="BM3370">
        <v>10.5</v>
      </c>
      <c r="BN3370">
        <v>80.48</v>
      </c>
      <c r="BO3370">
        <v>80.48</v>
      </c>
      <c r="BQ3370" t="s">
        <v>1112</v>
      </c>
      <c r="BR3370" t="s">
        <v>84</v>
      </c>
      <c r="BS3370" s="3">
        <v>45804</v>
      </c>
      <c r="BT3370" s="4">
        <v>0.46041666666666664</v>
      </c>
      <c r="BU3370" t="s">
        <v>3186</v>
      </c>
      <c r="BV3370" t="s">
        <v>86</v>
      </c>
      <c r="BY3370">
        <v>5320</v>
      </c>
      <c r="CA3370" t="s">
        <v>160</v>
      </c>
      <c r="CC3370" t="s">
        <v>80</v>
      </c>
      <c r="CD3370">
        <v>3610</v>
      </c>
      <c r="CE3370" t="s">
        <v>116</v>
      </c>
      <c r="CF3370" s="3">
        <v>45804</v>
      </c>
      <c r="CI3370">
        <v>1</v>
      </c>
      <c r="CJ3370">
        <v>1</v>
      </c>
      <c r="CK3370">
        <v>21</v>
      </c>
      <c r="CL3370" t="s">
        <v>89</v>
      </c>
    </row>
    <row r="3371" spans="1:90" x14ac:dyDescent="0.3">
      <c r="A3371" t="s">
        <v>72</v>
      </c>
      <c r="B3371" t="s">
        <v>73</v>
      </c>
      <c r="C3371" t="s">
        <v>74</v>
      </c>
      <c r="E3371" t="str">
        <f>"080065567878"</f>
        <v>080065567878</v>
      </c>
      <c r="F3371" s="3">
        <v>45803</v>
      </c>
      <c r="G3371">
        <v>202602</v>
      </c>
      <c r="H3371" t="s">
        <v>75</v>
      </c>
      <c r="I3371" t="s">
        <v>76</v>
      </c>
      <c r="J3371" t="s">
        <v>77</v>
      </c>
      <c r="K3371" t="s">
        <v>78</v>
      </c>
      <c r="L3371" t="s">
        <v>1241</v>
      </c>
      <c r="M3371" t="s">
        <v>1242</v>
      </c>
      <c r="N3371" t="s">
        <v>1243</v>
      </c>
      <c r="O3371" t="s">
        <v>82</v>
      </c>
      <c r="P3371" t="str">
        <f>"4170040720                    "</f>
        <v xml:space="preserve">4170040720                    </v>
      </c>
      <c r="Q3371">
        <v>0</v>
      </c>
      <c r="R3371">
        <v>0</v>
      </c>
      <c r="S3371">
        <v>0</v>
      </c>
      <c r="T3371">
        <v>0</v>
      </c>
      <c r="U3371">
        <v>0</v>
      </c>
      <c r="V3371">
        <v>0</v>
      </c>
      <c r="W3371">
        <v>0</v>
      </c>
      <c r="X3371">
        <v>0</v>
      </c>
      <c r="Y3371">
        <v>0</v>
      </c>
      <c r="Z3371">
        <v>0</v>
      </c>
      <c r="AA3371">
        <v>0</v>
      </c>
      <c r="AB3371">
        <v>0</v>
      </c>
      <c r="AC3371">
        <v>0</v>
      </c>
      <c r="AD3371">
        <v>0</v>
      </c>
      <c r="AE3371">
        <v>0</v>
      </c>
      <c r="AF3371">
        <v>0</v>
      </c>
      <c r="AG3371">
        <v>0</v>
      </c>
      <c r="AH3371">
        <v>0</v>
      </c>
      <c r="AI3371">
        <v>0</v>
      </c>
      <c r="AJ3371">
        <v>0</v>
      </c>
      <c r="AK3371">
        <v>0</v>
      </c>
      <c r="AL3371">
        <v>0</v>
      </c>
      <c r="AM3371">
        <v>0</v>
      </c>
      <c r="AN3371">
        <v>0</v>
      </c>
      <c r="AO3371">
        <v>0</v>
      </c>
      <c r="AP3371">
        <v>0</v>
      </c>
      <c r="AQ3371">
        <v>97.56</v>
      </c>
      <c r="AR3371">
        <v>0</v>
      </c>
      <c r="AS3371">
        <v>0</v>
      </c>
      <c r="AT3371">
        <v>0</v>
      </c>
      <c r="AU3371">
        <v>0</v>
      </c>
      <c r="AV3371">
        <v>0</v>
      </c>
      <c r="AW3371">
        <v>0</v>
      </c>
      <c r="AX3371">
        <v>0</v>
      </c>
      <c r="AY3371">
        <v>0</v>
      </c>
      <c r="AZ3371">
        <v>0</v>
      </c>
      <c r="BA3371">
        <v>0</v>
      </c>
      <c r="BB3371">
        <v>0</v>
      </c>
      <c r="BC3371">
        <v>0</v>
      </c>
      <c r="BD3371">
        <v>0</v>
      </c>
      <c r="BE3371">
        <v>0</v>
      </c>
      <c r="BF3371">
        <v>0</v>
      </c>
      <c r="BG3371">
        <v>0</v>
      </c>
      <c r="BH3371">
        <v>1</v>
      </c>
      <c r="BI3371">
        <v>5</v>
      </c>
      <c r="BJ3371">
        <v>1.7</v>
      </c>
      <c r="BK3371">
        <v>5</v>
      </c>
      <c r="BL3371">
        <v>319.27999999999997</v>
      </c>
      <c r="BM3371">
        <v>47.89</v>
      </c>
      <c r="BN3371">
        <v>367.17</v>
      </c>
      <c r="BO3371">
        <v>367.17</v>
      </c>
      <c r="BQ3371" t="s">
        <v>1244</v>
      </c>
      <c r="BR3371" t="s">
        <v>84</v>
      </c>
      <c r="BS3371" s="3">
        <v>45804</v>
      </c>
      <c r="BT3371" s="4">
        <v>0.4375</v>
      </c>
      <c r="BU3371" t="s">
        <v>1994</v>
      </c>
      <c r="BV3371" t="s">
        <v>86</v>
      </c>
      <c r="BY3371">
        <v>8512</v>
      </c>
      <c r="CC3371" t="s">
        <v>1242</v>
      </c>
      <c r="CD3371">
        <v>1871</v>
      </c>
      <c r="CE3371" t="s">
        <v>116</v>
      </c>
      <c r="CF3371" s="3">
        <v>45805</v>
      </c>
      <c r="CI3371">
        <v>1</v>
      </c>
      <c r="CJ3371">
        <v>1</v>
      </c>
      <c r="CK3371">
        <v>23</v>
      </c>
      <c r="CL3371" t="s">
        <v>89</v>
      </c>
    </row>
    <row r="3372" spans="1:90" x14ac:dyDescent="0.3">
      <c r="A3372" t="s">
        <v>72</v>
      </c>
      <c r="B3372" t="s">
        <v>73</v>
      </c>
      <c r="C3372" t="s">
        <v>74</v>
      </c>
      <c r="E3372" t="str">
        <f>"080065567914"</f>
        <v>080065567914</v>
      </c>
      <c r="F3372" s="3">
        <v>45803</v>
      </c>
      <c r="G3372">
        <v>202602</v>
      </c>
      <c r="H3372" t="s">
        <v>75</v>
      </c>
      <c r="I3372" t="s">
        <v>76</v>
      </c>
      <c r="J3372" t="s">
        <v>77</v>
      </c>
      <c r="K3372" t="s">
        <v>78</v>
      </c>
      <c r="L3372" t="s">
        <v>79</v>
      </c>
      <c r="M3372" t="s">
        <v>80</v>
      </c>
      <c r="N3372" t="s">
        <v>1111</v>
      </c>
      <c r="O3372" t="s">
        <v>82</v>
      </c>
      <c r="P3372" t="str">
        <f>"4170040716                    "</f>
        <v xml:space="preserve">4170040716                    </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c r="AJ3372">
        <v>0</v>
      </c>
      <c r="AK3372">
        <v>0</v>
      </c>
      <c r="AL3372">
        <v>0</v>
      </c>
      <c r="AM3372">
        <v>0</v>
      </c>
      <c r="AN3372">
        <v>0</v>
      </c>
      <c r="AO3372">
        <v>0</v>
      </c>
      <c r="AP3372">
        <v>0</v>
      </c>
      <c r="AQ3372">
        <v>21.38</v>
      </c>
      <c r="AR3372">
        <v>0</v>
      </c>
      <c r="AS3372">
        <v>0</v>
      </c>
      <c r="AT3372">
        <v>0</v>
      </c>
      <c r="AU3372">
        <v>0</v>
      </c>
      <c r="AV3372">
        <v>0</v>
      </c>
      <c r="AW3372">
        <v>0</v>
      </c>
      <c r="AX3372">
        <v>0</v>
      </c>
      <c r="AY3372">
        <v>0</v>
      </c>
      <c r="AZ3372">
        <v>0</v>
      </c>
      <c r="BA3372">
        <v>0</v>
      </c>
      <c r="BB3372">
        <v>0</v>
      </c>
      <c r="BC3372">
        <v>0</v>
      </c>
      <c r="BD3372">
        <v>0</v>
      </c>
      <c r="BE3372">
        <v>0</v>
      </c>
      <c r="BF3372">
        <v>0</v>
      </c>
      <c r="BG3372">
        <v>0</v>
      </c>
      <c r="BH3372">
        <v>1</v>
      </c>
      <c r="BI3372">
        <v>1</v>
      </c>
      <c r="BJ3372">
        <v>0.2</v>
      </c>
      <c r="BK3372">
        <v>1</v>
      </c>
      <c r="BL3372">
        <v>69.98</v>
      </c>
      <c r="BM3372">
        <v>10.5</v>
      </c>
      <c r="BN3372">
        <v>80.48</v>
      </c>
      <c r="BO3372">
        <v>80.48</v>
      </c>
      <c r="BQ3372" t="s">
        <v>1112</v>
      </c>
      <c r="BR3372" t="s">
        <v>84</v>
      </c>
      <c r="BS3372" s="3">
        <v>45804</v>
      </c>
      <c r="BT3372" s="4">
        <v>0.46111111111111114</v>
      </c>
      <c r="BU3372" t="s">
        <v>3186</v>
      </c>
      <c r="BV3372" t="s">
        <v>86</v>
      </c>
      <c r="BY3372">
        <v>1200</v>
      </c>
      <c r="CA3372" t="s">
        <v>160</v>
      </c>
      <c r="CC3372" t="s">
        <v>80</v>
      </c>
      <c r="CD3372">
        <v>3610</v>
      </c>
      <c r="CE3372" t="s">
        <v>88</v>
      </c>
      <c r="CF3372" s="3">
        <v>45804</v>
      </c>
      <c r="CI3372">
        <v>1</v>
      </c>
      <c r="CJ3372">
        <v>1</v>
      </c>
      <c r="CK3372">
        <v>21</v>
      </c>
      <c r="CL3372" t="s">
        <v>89</v>
      </c>
    </row>
    <row r="3373" spans="1:90" x14ac:dyDescent="0.3">
      <c r="A3373" t="s">
        <v>72</v>
      </c>
      <c r="B3373" t="s">
        <v>73</v>
      </c>
      <c r="C3373" t="s">
        <v>74</v>
      </c>
      <c r="E3373" t="str">
        <f>"080065567947"</f>
        <v>080065567947</v>
      </c>
      <c r="F3373" s="3">
        <v>45803</v>
      </c>
      <c r="G3373">
        <v>202602</v>
      </c>
      <c r="H3373" t="s">
        <v>75</v>
      </c>
      <c r="I3373" t="s">
        <v>76</v>
      </c>
      <c r="J3373" t="s">
        <v>77</v>
      </c>
      <c r="K3373" t="s">
        <v>78</v>
      </c>
      <c r="L3373" t="s">
        <v>130</v>
      </c>
      <c r="M3373" t="s">
        <v>131</v>
      </c>
      <c r="N3373" t="s">
        <v>239</v>
      </c>
      <c r="O3373" t="s">
        <v>82</v>
      </c>
      <c r="P3373" t="str">
        <f>"4170040714                    "</f>
        <v xml:space="preserve">4170040714                    </v>
      </c>
      <c r="Q3373">
        <v>0</v>
      </c>
      <c r="R3373">
        <v>0</v>
      </c>
      <c r="S3373">
        <v>0</v>
      </c>
      <c r="T3373">
        <v>0</v>
      </c>
      <c r="U3373">
        <v>0</v>
      </c>
      <c r="V3373">
        <v>0</v>
      </c>
      <c r="W3373">
        <v>0</v>
      </c>
      <c r="X3373">
        <v>0</v>
      </c>
      <c r="Y3373">
        <v>0</v>
      </c>
      <c r="Z3373">
        <v>0</v>
      </c>
      <c r="AA3373">
        <v>0</v>
      </c>
      <c r="AB3373">
        <v>0</v>
      </c>
      <c r="AC3373">
        <v>0</v>
      </c>
      <c r="AD3373">
        <v>0</v>
      </c>
      <c r="AE3373">
        <v>0</v>
      </c>
      <c r="AF3373">
        <v>0</v>
      </c>
      <c r="AG3373">
        <v>0</v>
      </c>
      <c r="AH3373">
        <v>0</v>
      </c>
      <c r="AI3373">
        <v>0</v>
      </c>
      <c r="AJ3373">
        <v>0</v>
      </c>
      <c r="AK3373">
        <v>0</v>
      </c>
      <c r="AL3373">
        <v>0</v>
      </c>
      <c r="AM3373">
        <v>0</v>
      </c>
      <c r="AN3373">
        <v>0</v>
      </c>
      <c r="AO3373">
        <v>0</v>
      </c>
      <c r="AP3373">
        <v>0</v>
      </c>
      <c r="AQ3373">
        <v>21.38</v>
      </c>
      <c r="AR3373">
        <v>0</v>
      </c>
      <c r="AS3373">
        <v>0</v>
      </c>
      <c r="AT3373">
        <v>0</v>
      </c>
      <c r="AU3373">
        <v>0</v>
      </c>
      <c r="AV3373">
        <v>0</v>
      </c>
      <c r="AW3373">
        <v>0</v>
      </c>
      <c r="AX3373">
        <v>0</v>
      </c>
      <c r="AY3373">
        <v>0</v>
      </c>
      <c r="AZ3373">
        <v>0</v>
      </c>
      <c r="BA3373">
        <v>0</v>
      </c>
      <c r="BB3373">
        <v>0</v>
      </c>
      <c r="BC3373">
        <v>0</v>
      </c>
      <c r="BD3373">
        <v>0</v>
      </c>
      <c r="BE3373">
        <v>0</v>
      </c>
      <c r="BF3373">
        <v>0</v>
      </c>
      <c r="BG3373">
        <v>0</v>
      </c>
      <c r="BH3373">
        <v>1</v>
      </c>
      <c r="BI3373">
        <v>1</v>
      </c>
      <c r="BJ3373">
        <v>0.2</v>
      </c>
      <c r="BK3373">
        <v>1</v>
      </c>
      <c r="BL3373">
        <v>69.98</v>
      </c>
      <c r="BM3373">
        <v>10.5</v>
      </c>
      <c r="BN3373">
        <v>80.48</v>
      </c>
      <c r="BO3373">
        <v>80.48</v>
      </c>
      <c r="BQ3373" t="s">
        <v>240</v>
      </c>
      <c r="BR3373" t="s">
        <v>84</v>
      </c>
      <c r="BS3373" s="3">
        <v>45804</v>
      </c>
      <c r="BT3373" s="4">
        <v>0.36041666666666666</v>
      </c>
      <c r="BU3373" t="s">
        <v>2832</v>
      </c>
      <c r="BV3373" t="s">
        <v>86</v>
      </c>
      <c r="BY3373">
        <v>1200</v>
      </c>
      <c r="CA3373" t="s">
        <v>242</v>
      </c>
      <c r="CC3373" t="s">
        <v>131</v>
      </c>
      <c r="CD3373">
        <v>7441</v>
      </c>
      <c r="CE3373" t="s">
        <v>88</v>
      </c>
      <c r="CF3373" s="3">
        <v>45805</v>
      </c>
      <c r="CI3373">
        <v>1</v>
      </c>
      <c r="CJ3373">
        <v>1</v>
      </c>
      <c r="CK3373">
        <v>21</v>
      </c>
      <c r="CL3373" t="s">
        <v>89</v>
      </c>
    </row>
    <row r="3374" spans="1:90" x14ac:dyDescent="0.3">
      <c r="A3374" t="s">
        <v>72</v>
      </c>
      <c r="B3374" t="s">
        <v>73</v>
      </c>
      <c r="C3374" t="s">
        <v>74</v>
      </c>
      <c r="E3374" t="str">
        <f>"080065568151"</f>
        <v>080065568151</v>
      </c>
      <c r="F3374" s="3">
        <v>45803</v>
      </c>
      <c r="G3374">
        <v>202602</v>
      </c>
      <c r="H3374" t="s">
        <v>75</v>
      </c>
      <c r="I3374" t="s">
        <v>76</v>
      </c>
      <c r="J3374" t="s">
        <v>77</v>
      </c>
      <c r="K3374" t="s">
        <v>78</v>
      </c>
      <c r="L3374" t="s">
        <v>526</v>
      </c>
      <c r="M3374" t="s">
        <v>527</v>
      </c>
      <c r="N3374" t="s">
        <v>528</v>
      </c>
      <c r="O3374" t="s">
        <v>602</v>
      </c>
      <c r="P3374" t="str">
        <f>"4170040718                    "</f>
        <v xml:space="preserve">4170040718                    </v>
      </c>
      <c r="Q3374">
        <v>0</v>
      </c>
      <c r="R3374">
        <v>0</v>
      </c>
      <c r="S3374">
        <v>0</v>
      </c>
      <c r="T3374">
        <v>0</v>
      </c>
      <c r="U3374">
        <v>0</v>
      </c>
      <c r="V3374">
        <v>0</v>
      </c>
      <c r="W3374">
        <v>0</v>
      </c>
      <c r="X3374">
        <v>0</v>
      </c>
      <c r="Y3374">
        <v>0</v>
      </c>
      <c r="Z3374">
        <v>0</v>
      </c>
      <c r="AA3374">
        <v>0</v>
      </c>
      <c r="AB3374">
        <v>0</v>
      </c>
      <c r="AC3374">
        <v>0</v>
      </c>
      <c r="AD3374">
        <v>0</v>
      </c>
      <c r="AE3374">
        <v>0</v>
      </c>
      <c r="AF3374">
        <v>0</v>
      </c>
      <c r="AG3374">
        <v>0</v>
      </c>
      <c r="AH3374">
        <v>0</v>
      </c>
      <c r="AI3374">
        <v>0</v>
      </c>
      <c r="AJ3374">
        <v>0</v>
      </c>
      <c r="AK3374">
        <v>0</v>
      </c>
      <c r="AL3374">
        <v>0</v>
      </c>
      <c r="AM3374">
        <v>0</v>
      </c>
      <c r="AN3374">
        <v>0</v>
      </c>
      <c r="AO3374">
        <v>0</v>
      </c>
      <c r="AP3374">
        <v>0</v>
      </c>
      <c r="AQ3374">
        <v>192.51</v>
      </c>
      <c r="AR3374">
        <v>0</v>
      </c>
      <c r="AS3374">
        <v>0</v>
      </c>
      <c r="AT3374">
        <v>0</v>
      </c>
      <c r="AU3374">
        <v>0</v>
      </c>
      <c r="AV3374">
        <v>0</v>
      </c>
      <c r="AW3374">
        <v>0</v>
      </c>
      <c r="AX3374">
        <v>0</v>
      </c>
      <c r="AY3374">
        <v>0</v>
      </c>
      <c r="AZ3374">
        <v>0</v>
      </c>
      <c r="BA3374">
        <v>0</v>
      </c>
      <c r="BB3374">
        <v>0</v>
      </c>
      <c r="BC3374">
        <v>0</v>
      </c>
      <c r="BD3374">
        <v>0</v>
      </c>
      <c r="BE3374">
        <v>0</v>
      </c>
      <c r="BF3374">
        <v>0</v>
      </c>
      <c r="BG3374">
        <v>0</v>
      </c>
      <c r="BH3374">
        <v>1</v>
      </c>
      <c r="BI3374">
        <v>11</v>
      </c>
      <c r="BJ3374">
        <v>4</v>
      </c>
      <c r="BK3374">
        <v>11</v>
      </c>
      <c r="BL3374">
        <v>630.04</v>
      </c>
      <c r="BM3374">
        <v>94.51</v>
      </c>
      <c r="BN3374">
        <v>724.55</v>
      </c>
      <c r="BO3374">
        <v>724.55</v>
      </c>
      <c r="BQ3374" t="s">
        <v>529</v>
      </c>
      <c r="BR3374" t="s">
        <v>84</v>
      </c>
      <c r="BS3374" s="3">
        <v>45804</v>
      </c>
      <c r="BT3374" s="4">
        <v>0.52986111111111112</v>
      </c>
      <c r="BU3374" t="s">
        <v>2118</v>
      </c>
      <c r="BV3374" t="s">
        <v>86</v>
      </c>
      <c r="BY3374">
        <v>19968</v>
      </c>
      <c r="CA3374" t="s">
        <v>2080</v>
      </c>
      <c r="CC3374" t="s">
        <v>527</v>
      </c>
      <c r="CD3374">
        <v>1760</v>
      </c>
      <c r="CE3374" t="s">
        <v>221</v>
      </c>
      <c r="CF3374" s="3">
        <v>45804</v>
      </c>
      <c r="CI3374">
        <v>1</v>
      </c>
      <c r="CJ3374">
        <v>1</v>
      </c>
      <c r="CK3374">
        <v>34</v>
      </c>
      <c r="CL3374" t="s">
        <v>89</v>
      </c>
    </row>
    <row r="3375" spans="1:90" x14ac:dyDescent="0.3">
      <c r="A3375" t="s">
        <v>72</v>
      </c>
      <c r="B3375" t="s">
        <v>73</v>
      </c>
      <c r="C3375" t="s">
        <v>74</v>
      </c>
      <c r="E3375" t="str">
        <f>"080065569027"</f>
        <v>080065569027</v>
      </c>
      <c r="F3375" s="3">
        <v>45803</v>
      </c>
      <c r="G3375">
        <v>202602</v>
      </c>
      <c r="H3375" t="s">
        <v>75</v>
      </c>
      <c r="I3375" t="s">
        <v>76</v>
      </c>
      <c r="J3375" t="s">
        <v>77</v>
      </c>
      <c r="K3375" t="s">
        <v>78</v>
      </c>
      <c r="L3375" t="s">
        <v>90</v>
      </c>
      <c r="M3375" t="s">
        <v>91</v>
      </c>
      <c r="N3375" t="s">
        <v>371</v>
      </c>
      <c r="O3375" t="s">
        <v>82</v>
      </c>
      <c r="P3375" t="str">
        <f>"4170040731                    "</f>
        <v xml:space="preserve">4170040731                    </v>
      </c>
      <c r="Q3375">
        <v>0</v>
      </c>
      <c r="R3375">
        <v>0</v>
      </c>
      <c r="S3375">
        <v>0</v>
      </c>
      <c r="T3375">
        <v>0</v>
      </c>
      <c r="U3375">
        <v>0</v>
      </c>
      <c r="V3375">
        <v>0</v>
      </c>
      <c r="W3375">
        <v>0</v>
      </c>
      <c r="X3375">
        <v>0</v>
      </c>
      <c r="Y3375">
        <v>0</v>
      </c>
      <c r="Z3375">
        <v>0</v>
      </c>
      <c r="AA3375">
        <v>0</v>
      </c>
      <c r="AB3375">
        <v>0</v>
      </c>
      <c r="AC3375">
        <v>0</v>
      </c>
      <c r="AD3375">
        <v>0</v>
      </c>
      <c r="AE3375">
        <v>0</v>
      </c>
      <c r="AF3375">
        <v>0</v>
      </c>
      <c r="AG3375">
        <v>0</v>
      </c>
      <c r="AH3375">
        <v>0</v>
      </c>
      <c r="AI3375">
        <v>0</v>
      </c>
      <c r="AJ3375">
        <v>0</v>
      </c>
      <c r="AK3375">
        <v>0</v>
      </c>
      <c r="AL3375">
        <v>0</v>
      </c>
      <c r="AM3375">
        <v>0</v>
      </c>
      <c r="AN3375">
        <v>0</v>
      </c>
      <c r="AO3375">
        <v>0</v>
      </c>
      <c r="AP3375">
        <v>0</v>
      </c>
      <c r="AQ3375">
        <v>21.38</v>
      </c>
      <c r="AR3375">
        <v>0</v>
      </c>
      <c r="AS3375">
        <v>0</v>
      </c>
      <c r="AT3375">
        <v>0</v>
      </c>
      <c r="AU3375">
        <v>0</v>
      </c>
      <c r="AV3375">
        <v>0</v>
      </c>
      <c r="AW3375">
        <v>0</v>
      </c>
      <c r="AX3375">
        <v>0</v>
      </c>
      <c r="AY3375">
        <v>0</v>
      </c>
      <c r="AZ3375">
        <v>0</v>
      </c>
      <c r="BA3375">
        <v>0</v>
      </c>
      <c r="BB3375">
        <v>0</v>
      </c>
      <c r="BC3375">
        <v>0</v>
      </c>
      <c r="BD3375">
        <v>0</v>
      </c>
      <c r="BE3375">
        <v>0</v>
      </c>
      <c r="BF3375">
        <v>0</v>
      </c>
      <c r="BG3375">
        <v>0</v>
      </c>
      <c r="BH3375">
        <v>1</v>
      </c>
      <c r="BI3375">
        <v>1</v>
      </c>
      <c r="BJ3375">
        <v>0.2</v>
      </c>
      <c r="BK3375">
        <v>1</v>
      </c>
      <c r="BL3375">
        <v>69.98</v>
      </c>
      <c r="BM3375">
        <v>10.5</v>
      </c>
      <c r="BN3375">
        <v>80.48</v>
      </c>
      <c r="BO3375">
        <v>80.48</v>
      </c>
      <c r="BQ3375" t="s">
        <v>372</v>
      </c>
      <c r="BR3375" t="s">
        <v>84</v>
      </c>
      <c r="BS3375" s="3">
        <v>45804</v>
      </c>
      <c r="BT3375" s="4">
        <v>0.39027777777777778</v>
      </c>
      <c r="BU3375" t="s">
        <v>373</v>
      </c>
      <c r="BV3375" t="s">
        <v>86</v>
      </c>
      <c r="BY3375">
        <v>1200</v>
      </c>
      <c r="CA3375" t="s">
        <v>298</v>
      </c>
      <c r="CC3375" t="s">
        <v>91</v>
      </c>
      <c r="CD3375">
        <v>6001</v>
      </c>
      <c r="CE3375" t="s">
        <v>88</v>
      </c>
      <c r="CF3375" s="3">
        <v>45804</v>
      </c>
      <c r="CI3375">
        <v>1</v>
      </c>
      <c r="CJ3375">
        <v>1</v>
      </c>
      <c r="CK3375">
        <v>21</v>
      </c>
      <c r="CL3375" t="s">
        <v>89</v>
      </c>
    </row>
    <row r="3376" spans="1:90" x14ac:dyDescent="0.3">
      <c r="A3376" t="s">
        <v>72</v>
      </c>
      <c r="B3376" t="s">
        <v>73</v>
      </c>
      <c r="C3376" t="s">
        <v>74</v>
      </c>
      <c r="E3376" t="str">
        <f>"080065569059"</f>
        <v>080065569059</v>
      </c>
      <c r="F3376" s="3">
        <v>45803</v>
      </c>
      <c r="G3376">
        <v>202602</v>
      </c>
      <c r="H3376" t="s">
        <v>75</v>
      </c>
      <c r="I3376" t="s">
        <v>76</v>
      </c>
      <c r="J3376" t="s">
        <v>77</v>
      </c>
      <c r="K3376" t="s">
        <v>78</v>
      </c>
      <c r="L3376" t="s">
        <v>75</v>
      </c>
      <c r="M3376" t="s">
        <v>76</v>
      </c>
      <c r="N3376" t="s">
        <v>601</v>
      </c>
      <c r="O3376" t="s">
        <v>82</v>
      </c>
      <c r="P3376" t="str">
        <f>"4170040730                    "</f>
        <v xml:space="preserve">4170040730                    </v>
      </c>
      <c r="Q3376">
        <v>0</v>
      </c>
      <c r="R3376">
        <v>0</v>
      </c>
      <c r="S3376">
        <v>0</v>
      </c>
      <c r="T3376">
        <v>0</v>
      </c>
      <c r="U3376">
        <v>0</v>
      </c>
      <c r="V3376">
        <v>0</v>
      </c>
      <c r="W3376">
        <v>0</v>
      </c>
      <c r="X3376">
        <v>0</v>
      </c>
      <c r="Y3376">
        <v>0</v>
      </c>
      <c r="Z3376">
        <v>0</v>
      </c>
      <c r="AA3376">
        <v>0</v>
      </c>
      <c r="AB3376">
        <v>0</v>
      </c>
      <c r="AC3376">
        <v>0</v>
      </c>
      <c r="AD3376">
        <v>0</v>
      </c>
      <c r="AE3376">
        <v>0</v>
      </c>
      <c r="AF3376">
        <v>0</v>
      </c>
      <c r="AG3376">
        <v>0</v>
      </c>
      <c r="AH3376">
        <v>0</v>
      </c>
      <c r="AI3376">
        <v>0</v>
      </c>
      <c r="AJ3376">
        <v>0</v>
      </c>
      <c r="AK3376">
        <v>0</v>
      </c>
      <c r="AL3376">
        <v>0</v>
      </c>
      <c r="AM3376">
        <v>0</v>
      </c>
      <c r="AN3376">
        <v>0</v>
      </c>
      <c r="AO3376">
        <v>0</v>
      </c>
      <c r="AP3376">
        <v>0</v>
      </c>
      <c r="AQ3376">
        <v>16.7</v>
      </c>
      <c r="AR3376">
        <v>0</v>
      </c>
      <c r="AS3376">
        <v>0</v>
      </c>
      <c r="AT3376">
        <v>0</v>
      </c>
      <c r="AU3376">
        <v>0</v>
      </c>
      <c r="AV3376">
        <v>0</v>
      </c>
      <c r="AW3376">
        <v>0</v>
      </c>
      <c r="AX3376">
        <v>0</v>
      </c>
      <c r="AY3376">
        <v>0</v>
      </c>
      <c r="AZ3376">
        <v>0</v>
      </c>
      <c r="BA3376">
        <v>0</v>
      </c>
      <c r="BB3376">
        <v>0</v>
      </c>
      <c r="BC3376">
        <v>0</v>
      </c>
      <c r="BD3376">
        <v>0</v>
      </c>
      <c r="BE3376">
        <v>0</v>
      </c>
      <c r="BF3376">
        <v>0</v>
      </c>
      <c r="BG3376">
        <v>0</v>
      </c>
      <c r="BH3376">
        <v>1</v>
      </c>
      <c r="BI3376">
        <v>1</v>
      </c>
      <c r="BJ3376">
        <v>0.2</v>
      </c>
      <c r="BK3376">
        <v>1</v>
      </c>
      <c r="BL3376">
        <v>54.66</v>
      </c>
      <c r="BM3376">
        <v>8.1999999999999993</v>
      </c>
      <c r="BN3376">
        <v>62.86</v>
      </c>
      <c r="BO3376">
        <v>62.86</v>
      </c>
      <c r="BQ3376" t="s">
        <v>603</v>
      </c>
      <c r="BR3376" t="s">
        <v>84</v>
      </c>
      <c r="BS3376" s="3">
        <v>45804</v>
      </c>
      <c r="BT3376" s="4">
        <v>0.40763888888888888</v>
      </c>
      <c r="BU3376" t="s">
        <v>604</v>
      </c>
      <c r="BV3376" t="s">
        <v>86</v>
      </c>
      <c r="BY3376">
        <v>1200</v>
      </c>
      <c r="CA3376" t="s">
        <v>605</v>
      </c>
      <c r="CC3376" t="s">
        <v>76</v>
      </c>
      <c r="CD3376">
        <v>1645</v>
      </c>
      <c r="CE3376" t="s">
        <v>88</v>
      </c>
      <c r="CF3376" s="3">
        <v>45804</v>
      </c>
      <c r="CI3376">
        <v>1</v>
      </c>
      <c r="CJ3376">
        <v>1</v>
      </c>
      <c r="CK3376">
        <v>22</v>
      </c>
      <c r="CL3376" t="s">
        <v>89</v>
      </c>
    </row>
    <row r="3377" spans="1:90" x14ac:dyDescent="0.3">
      <c r="A3377" t="s">
        <v>72</v>
      </c>
      <c r="B3377" t="s">
        <v>73</v>
      </c>
      <c r="C3377" t="s">
        <v>74</v>
      </c>
      <c r="E3377" t="str">
        <f>"080065569092"</f>
        <v>080065569092</v>
      </c>
      <c r="F3377" s="3">
        <v>45803</v>
      </c>
      <c r="G3377">
        <v>202602</v>
      </c>
      <c r="H3377" t="s">
        <v>75</v>
      </c>
      <c r="I3377" t="s">
        <v>76</v>
      </c>
      <c r="J3377" t="s">
        <v>77</v>
      </c>
      <c r="K3377" t="s">
        <v>78</v>
      </c>
      <c r="L3377" t="s">
        <v>117</v>
      </c>
      <c r="M3377" t="s">
        <v>118</v>
      </c>
      <c r="N3377" t="s">
        <v>1533</v>
      </c>
      <c r="O3377" t="s">
        <v>82</v>
      </c>
      <c r="P3377" t="str">
        <f>"4170040732                    "</f>
        <v xml:space="preserve">4170040732                    </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0</v>
      </c>
      <c r="AJ3377">
        <v>0</v>
      </c>
      <c r="AK3377">
        <v>0</v>
      </c>
      <c r="AL3377">
        <v>0</v>
      </c>
      <c r="AM3377">
        <v>0</v>
      </c>
      <c r="AN3377">
        <v>0</v>
      </c>
      <c r="AO3377">
        <v>0</v>
      </c>
      <c r="AP3377">
        <v>0</v>
      </c>
      <c r="AQ3377">
        <v>16.7</v>
      </c>
      <c r="AR3377">
        <v>0</v>
      </c>
      <c r="AS3377">
        <v>0</v>
      </c>
      <c r="AT3377">
        <v>0</v>
      </c>
      <c r="AU3377">
        <v>0</v>
      </c>
      <c r="AV3377">
        <v>0</v>
      </c>
      <c r="AW3377">
        <v>0</v>
      </c>
      <c r="AX3377">
        <v>0</v>
      </c>
      <c r="AY3377">
        <v>0</v>
      </c>
      <c r="AZ3377">
        <v>0</v>
      </c>
      <c r="BA3377">
        <v>0</v>
      </c>
      <c r="BB3377">
        <v>0</v>
      </c>
      <c r="BC3377">
        <v>0</v>
      </c>
      <c r="BD3377">
        <v>0</v>
      </c>
      <c r="BE3377">
        <v>0</v>
      </c>
      <c r="BF3377">
        <v>0</v>
      </c>
      <c r="BG3377">
        <v>0</v>
      </c>
      <c r="BH3377">
        <v>1</v>
      </c>
      <c r="BI3377">
        <v>2</v>
      </c>
      <c r="BJ3377">
        <v>2.4</v>
      </c>
      <c r="BK3377">
        <v>3</v>
      </c>
      <c r="BL3377">
        <v>54.66</v>
      </c>
      <c r="BM3377">
        <v>8.1999999999999993</v>
      </c>
      <c r="BN3377">
        <v>62.86</v>
      </c>
      <c r="BO3377">
        <v>62.86</v>
      </c>
      <c r="BQ3377" t="s">
        <v>1534</v>
      </c>
      <c r="BR3377" t="s">
        <v>84</v>
      </c>
      <c r="BS3377" s="3">
        <v>45804</v>
      </c>
      <c r="BT3377" s="4">
        <v>0.39583333333333331</v>
      </c>
      <c r="BU3377" t="s">
        <v>3187</v>
      </c>
      <c r="BV3377" t="s">
        <v>86</v>
      </c>
      <c r="BY3377">
        <v>11776</v>
      </c>
      <c r="CA3377" t="s">
        <v>275</v>
      </c>
      <c r="CC3377" t="s">
        <v>118</v>
      </c>
      <c r="CD3377">
        <v>2091</v>
      </c>
      <c r="CE3377" t="s">
        <v>221</v>
      </c>
      <c r="CF3377" s="3">
        <v>45805</v>
      </c>
      <c r="CI3377">
        <v>1</v>
      </c>
      <c r="CJ3377">
        <v>1</v>
      </c>
      <c r="CK3377">
        <v>22</v>
      </c>
      <c r="CL3377" t="s">
        <v>89</v>
      </c>
    </row>
    <row r="3378" spans="1:90" x14ac:dyDescent="0.3">
      <c r="A3378" t="s">
        <v>72</v>
      </c>
      <c r="B3378" t="s">
        <v>73</v>
      </c>
      <c r="C3378" t="s">
        <v>74</v>
      </c>
      <c r="E3378" t="str">
        <f>"080065569131"</f>
        <v>080065569131</v>
      </c>
      <c r="F3378" s="3">
        <v>45803</v>
      </c>
      <c r="G3378">
        <v>202602</v>
      </c>
      <c r="H3378" t="s">
        <v>75</v>
      </c>
      <c r="I3378" t="s">
        <v>76</v>
      </c>
      <c r="J3378" t="s">
        <v>77</v>
      </c>
      <c r="K3378" t="s">
        <v>78</v>
      </c>
      <c r="L3378" t="s">
        <v>117</v>
      </c>
      <c r="M3378" t="s">
        <v>118</v>
      </c>
      <c r="N3378" t="s">
        <v>1533</v>
      </c>
      <c r="O3378" t="s">
        <v>82</v>
      </c>
      <c r="P3378" t="str">
        <f>"4170040240                    "</f>
        <v xml:space="preserve">4170040240                    </v>
      </c>
      <c r="Q3378">
        <v>0</v>
      </c>
      <c r="R3378">
        <v>0</v>
      </c>
      <c r="S3378">
        <v>0</v>
      </c>
      <c r="T3378">
        <v>0</v>
      </c>
      <c r="U3378">
        <v>0</v>
      </c>
      <c r="V3378">
        <v>0</v>
      </c>
      <c r="W3378">
        <v>0</v>
      </c>
      <c r="X3378">
        <v>0</v>
      </c>
      <c r="Y3378">
        <v>0</v>
      </c>
      <c r="Z3378">
        <v>0</v>
      </c>
      <c r="AA3378">
        <v>0</v>
      </c>
      <c r="AB3378">
        <v>0</v>
      </c>
      <c r="AC3378">
        <v>0</v>
      </c>
      <c r="AD3378">
        <v>0</v>
      </c>
      <c r="AE3378">
        <v>0</v>
      </c>
      <c r="AF3378">
        <v>0</v>
      </c>
      <c r="AG3378">
        <v>0</v>
      </c>
      <c r="AH3378">
        <v>0</v>
      </c>
      <c r="AI3378">
        <v>0</v>
      </c>
      <c r="AJ3378">
        <v>0</v>
      </c>
      <c r="AK3378">
        <v>0</v>
      </c>
      <c r="AL3378">
        <v>0</v>
      </c>
      <c r="AM3378">
        <v>0</v>
      </c>
      <c r="AN3378">
        <v>0</v>
      </c>
      <c r="AO3378">
        <v>0</v>
      </c>
      <c r="AP3378">
        <v>0</v>
      </c>
      <c r="AQ3378">
        <v>16.7</v>
      </c>
      <c r="AR3378">
        <v>0</v>
      </c>
      <c r="AS3378">
        <v>0</v>
      </c>
      <c r="AT3378">
        <v>0</v>
      </c>
      <c r="AU3378">
        <v>0</v>
      </c>
      <c r="AV3378">
        <v>0</v>
      </c>
      <c r="AW3378">
        <v>0</v>
      </c>
      <c r="AX3378">
        <v>0</v>
      </c>
      <c r="AY3378">
        <v>0</v>
      </c>
      <c r="AZ3378">
        <v>0</v>
      </c>
      <c r="BA3378">
        <v>0</v>
      </c>
      <c r="BB3378">
        <v>0</v>
      </c>
      <c r="BC3378">
        <v>0</v>
      </c>
      <c r="BD3378">
        <v>0</v>
      </c>
      <c r="BE3378">
        <v>0</v>
      </c>
      <c r="BF3378">
        <v>0</v>
      </c>
      <c r="BG3378">
        <v>0</v>
      </c>
      <c r="BH3378">
        <v>1</v>
      </c>
      <c r="BI3378">
        <v>2</v>
      </c>
      <c r="BJ3378">
        <v>2.4</v>
      </c>
      <c r="BK3378">
        <v>3</v>
      </c>
      <c r="BL3378">
        <v>54.66</v>
      </c>
      <c r="BM3378">
        <v>8.1999999999999993</v>
      </c>
      <c r="BN3378">
        <v>62.86</v>
      </c>
      <c r="BO3378">
        <v>62.86</v>
      </c>
      <c r="BQ3378" t="s">
        <v>1534</v>
      </c>
      <c r="BR3378" t="s">
        <v>84</v>
      </c>
      <c r="BS3378" s="3">
        <v>45804</v>
      </c>
      <c r="BT3378" s="4">
        <v>0.39583333333333331</v>
      </c>
      <c r="BU3378" t="s">
        <v>3187</v>
      </c>
      <c r="BV3378" t="s">
        <v>86</v>
      </c>
      <c r="BY3378">
        <v>11776</v>
      </c>
      <c r="CA3378" t="s">
        <v>275</v>
      </c>
      <c r="CC3378" t="s">
        <v>118</v>
      </c>
      <c r="CD3378">
        <v>2091</v>
      </c>
      <c r="CE3378" t="s">
        <v>221</v>
      </c>
      <c r="CF3378" s="3">
        <v>45805</v>
      </c>
      <c r="CI3378">
        <v>1</v>
      </c>
      <c r="CJ3378">
        <v>1</v>
      </c>
      <c r="CK3378">
        <v>22</v>
      </c>
      <c r="CL3378" t="s">
        <v>89</v>
      </c>
    </row>
    <row r="3379" spans="1:90" x14ac:dyDescent="0.3">
      <c r="A3379" t="s">
        <v>72</v>
      </c>
      <c r="B3379" t="s">
        <v>73</v>
      </c>
      <c r="C3379" t="s">
        <v>74</v>
      </c>
      <c r="E3379" t="str">
        <f>"080065569179"</f>
        <v>080065569179</v>
      </c>
      <c r="F3379" s="3">
        <v>45803</v>
      </c>
      <c r="G3379">
        <v>202602</v>
      </c>
      <c r="H3379" t="s">
        <v>75</v>
      </c>
      <c r="I3379" t="s">
        <v>76</v>
      </c>
      <c r="J3379" t="s">
        <v>77</v>
      </c>
      <c r="K3379" t="s">
        <v>78</v>
      </c>
      <c r="L3379" t="s">
        <v>136</v>
      </c>
      <c r="M3379" t="s">
        <v>137</v>
      </c>
      <c r="N3379" t="s">
        <v>2603</v>
      </c>
      <c r="O3379" t="s">
        <v>82</v>
      </c>
      <c r="P3379" t="str">
        <f>"4170040737                    "</f>
        <v xml:space="preserve">4170040737                    </v>
      </c>
      <c r="Q3379">
        <v>0</v>
      </c>
      <c r="R3379">
        <v>0</v>
      </c>
      <c r="S3379">
        <v>0</v>
      </c>
      <c r="T3379">
        <v>0</v>
      </c>
      <c r="U3379">
        <v>0</v>
      </c>
      <c r="V3379">
        <v>0</v>
      </c>
      <c r="W3379">
        <v>0</v>
      </c>
      <c r="X3379">
        <v>0</v>
      </c>
      <c r="Y3379">
        <v>0</v>
      </c>
      <c r="Z3379">
        <v>0</v>
      </c>
      <c r="AA3379">
        <v>0</v>
      </c>
      <c r="AB3379">
        <v>0</v>
      </c>
      <c r="AC3379">
        <v>0</v>
      </c>
      <c r="AD3379">
        <v>0</v>
      </c>
      <c r="AE3379">
        <v>0</v>
      </c>
      <c r="AF3379">
        <v>0</v>
      </c>
      <c r="AG3379">
        <v>0</v>
      </c>
      <c r="AH3379">
        <v>0</v>
      </c>
      <c r="AI3379">
        <v>0</v>
      </c>
      <c r="AJ3379">
        <v>0</v>
      </c>
      <c r="AK3379">
        <v>0</v>
      </c>
      <c r="AL3379">
        <v>0</v>
      </c>
      <c r="AM3379">
        <v>0</v>
      </c>
      <c r="AN3379">
        <v>0</v>
      </c>
      <c r="AO3379">
        <v>0</v>
      </c>
      <c r="AP3379">
        <v>0</v>
      </c>
      <c r="AQ3379">
        <v>21.38</v>
      </c>
      <c r="AR3379">
        <v>0</v>
      </c>
      <c r="AS3379">
        <v>0</v>
      </c>
      <c r="AT3379">
        <v>0</v>
      </c>
      <c r="AU3379">
        <v>0</v>
      </c>
      <c r="AV3379">
        <v>0</v>
      </c>
      <c r="AW3379">
        <v>0</v>
      </c>
      <c r="AX3379">
        <v>0</v>
      </c>
      <c r="AY3379">
        <v>0</v>
      </c>
      <c r="AZ3379">
        <v>0</v>
      </c>
      <c r="BA3379">
        <v>0</v>
      </c>
      <c r="BB3379">
        <v>0</v>
      </c>
      <c r="BC3379">
        <v>0</v>
      </c>
      <c r="BD3379">
        <v>0</v>
      </c>
      <c r="BE3379">
        <v>0</v>
      </c>
      <c r="BF3379">
        <v>0</v>
      </c>
      <c r="BG3379">
        <v>0</v>
      </c>
      <c r="BH3379">
        <v>1</v>
      </c>
      <c r="BI3379">
        <v>1</v>
      </c>
      <c r="BJ3379">
        <v>0.9</v>
      </c>
      <c r="BK3379">
        <v>1</v>
      </c>
      <c r="BL3379">
        <v>69.98</v>
      </c>
      <c r="BM3379">
        <v>10.5</v>
      </c>
      <c r="BN3379">
        <v>80.48</v>
      </c>
      <c r="BO3379">
        <v>80.48</v>
      </c>
      <c r="BQ3379" t="s">
        <v>2668</v>
      </c>
      <c r="BR3379" t="s">
        <v>84</v>
      </c>
      <c r="BS3379" s="3">
        <v>45804</v>
      </c>
      <c r="BT3379" s="4">
        <v>0.37083333333333335</v>
      </c>
      <c r="BU3379" t="s">
        <v>3188</v>
      </c>
      <c r="BV3379" t="s">
        <v>86</v>
      </c>
      <c r="BY3379">
        <v>4275</v>
      </c>
      <c r="CC3379" t="s">
        <v>137</v>
      </c>
      <c r="CD3379" s="5" t="s">
        <v>738</v>
      </c>
      <c r="CE3379" t="s">
        <v>176</v>
      </c>
      <c r="CF3379" s="3">
        <v>45804</v>
      </c>
      <c r="CI3379">
        <v>1</v>
      </c>
      <c r="CJ3379">
        <v>1</v>
      </c>
      <c r="CK3379">
        <v>21</v>
      </c>
      <c r="CL3379" t="s">
        <v>89</v>
      </c>
    </row>
    <row r="3380" spans="1:90" x14ac:dyDescent="0.3">
      <c r="A3380" t="s">
        <v>72</v>
      </c>
      <c r="B3380" t="s">
        <v>73</v>
      </c>
      <c r="C3380" t="s">
        <v>74</v>
      </c>
      <c r="E3380" t="str">
        <f>"080065569231"</f>
        <v>080065569231</v>
      </c>
      <c r="F3380" s="3">
        <v>45803</v>
      </c>
      <c r="G3380">
        <v>202602</v>
      </c>
      <c r="H3380" t="s">
        <v>75</v>
      </c>
      <c r="I3380" t="s">
        <v>76</v>
      </c>
      <c r="J3380" t="s">
        <v>77</v>
      </c>
      <c r="K3380" t="s">
        <v>78</v>
      </c>
      <c r="L3380" t="s">
        <v>90</v>
      </c>
      <c r="M3380" t="s">
        <v>91</v>
      </c>
      <c r="N3380" t="s">
        <v>748</v>
      </c>
      <c r="O3380" t="s">
        <v>82</v>
      </c>
      <c r="P3380" t="str">
        <f>"4170040734                    "</f>
        <v xml:space="preserve">4170040734                    </v>
      </c>
      <c r="Q3380">
        <v>0</v>
      </c>
      <c r="R3380">
        <v>0</v>
      </c>
      <c r="S3380">
        <v>0</v>
      </c>
      <c r="T3380">
        <v>0</v>
      </c>
      <c r="U3380">
        <v>0</v>
      </c>
      <c r="V3380">
        <v>0</v>
      </c>
      <c r="W3380">
        <v>0</v>
      </c>
      <c r="X3380">
        <v>0</v>
      </c>
      <c r="Y3380">
        <v>0</v>
      </c>
      <c r="Z3380">
        <v>0</v>
      </c>
      <c r="AA3380">
        <v>0</v>
      </c>
      <c r="AB3380">
        <v>0</v>
      </c>
      <c r="AC3380">
        <v>0</v>
      </c>
      <c r="AD3380">
        <v>0</v>
      </c>
      <c r="AE3380">
        <v>0</v>
      </c>
      <c r="AF3380">
        <v>0</v>
      </c>
      <c r="AG3380">
        <v>0</v>
      </c>
      <c r="AH3380">
        <v>0</v>
      </c>
      <c r="AI3380">
        <v>0</v>
      </c>
      <c r="AJ3380">
        <v>0</v>
      </c>
      <c r="AK3380">
        <v>0</v>
      </c>
      <c r="AL3380">
        <v>0</v>
      </c>
      <c r="AM3380">
        <v>0</v>
      </c>
      <c r="AN3380">
        <v>0</v>
      </c>
      <c r="AO3380">
        <v>0</v>
      </c>
      <c r="AP3380">
        <v>0</v>
      </c>
      <c r="AQ3380">
        <v>21.38</v>
      </c>
      <c r="AR3380">
        <v>0</v>
      </c>
      <c r="AS3380">
        <v>0</v>
      </c>
      <c r="AT3380">
        <v>0</v>
      </c>
      <c r="AU3380">
        <v>0</v>
      </c>
      <c r="AV3380">
        <v>0</v>
      </c>
      <c r="AW3380">
        <v>0</v>
      </c>
      <c r="AX3380">
        <v>0</v>
      </c>
      <c r="AY3380">
        <v>0</v>
      </c>
      <c r="AZ3380">
        <v>0</v>
      </c>
      <c r="BA3380">
        <v>0</v>
      </c>
      <c r="BB3380">
        <v>0</v>
      </c>
      <c r="BC3380">
        <v>0</v>
      </c>
      <c r="BD3380">
        <v>0</v>
      </c>
      <c r="BE3380">
        <v>0</v>
      </c>
      <c r="BF3380">
        <v>0</v>
      </c>
      <c r="BG3380">
        <v>0</v>
      </c>
      <c r="BH3380">
        <v>1</v>
      </c>
      <c r="BI3380">
        <v>1</v>
      </c>
      <c r="BJ3380">
        <v>1.1000000000000001</v>
      </c>
      <c r="BK3380">
        <v>1.5</v>
      </c>
      <c r="BL3380">
        <v>69.98</v>
      </c>
      <c r="BM3380">
        <v>10.5</v>
      </c>
      <c r="BN3380">
        <v>80.48</v>
      </c>
      <c r="BO3380">
        <v>80.48</v>
      </c>
      <c r="BQ3380" t="s">
        <v>749</v>
      </c>
      <c r="BR3380" t="s">
        <v>84</v>
      </c>
      <c r="BS3380" s="3">
        <v>45805</v>
      </c>
      <c r="BT3380" s="4">
        <v>0.37847222222222221</v>
      </c>
      <c r="BU3380" t="s">
        <v>1199</v>
      </c>
      <c r="BV3380" t="s">
        <v>89</v>
      </c>
      <c r="BW3380" t="s">
        <v>296</v>
      </c>
      <c r="BX3380" t="s">
        <v>402</v>
      </c>
      <c r="BY3380">
        <v>5320</v>
      </c>
      <c r="CA3380" t="s">
        <v>298</v>
      </c>
      <c r="CC3380" t="s">
        <v>91</v>
      </c>
      <c r="CD3380">
        <v>6045</v>
      </c>
      <c r="CE3380" t="s">
        <v>176</v>
      </c>
      <c r="CF3380" s="3">
        <v>45805</v>
      </c>
      <c r="CI3380">
        <v>1</v>
      </c>
      <c r="CJ3380">
        <v>2</v>
      </c>
      <c r="CK3380">
        <v>21</v>
      </c>
      <c r="CL3380" t="s">
        <v>89</v>
      </c>
    </row>
    <row r="3381" spans="1:90" x14ac:dyDescent="0.3">
      <c r="A3381" t="s">
        <v>72</v>
      </c>
      <c r="B3381" t="s">
        <v>73</v>
      </c>
      <c r="C3381" t="s">
        <v>74</v>
      </c>
      <c r="E3381" t="str">
        <f>"080065569277"</f>
        <v>080065569277</v>
      </c>
      <c r="F3381" s="3">
        <v>45803</v>
      </c>
      <c r="G3381">
        <v>202602</v>
      </c>
      <c r="H3381" t="s">
        <v>75</v>
      </c>
      <c r="I3381" t="s">
        <v>76</v>
      </c>
      <c r="J3381" t="s">
        <v>77</v>
      </c>
      <c r="K3381" t="s">
        <v>78</v>
      </c>
      <c r="L3381" t="s">
        <v>75</v>
      </c>
      <c r="M3381" t="s">
        <v>76</v>
      </c>
      <c r="N3381" t="s">
        <v>346</v>
      </c>
      <c r="O3381" t="s">
        <v>82</v>
      </c>
      <c r="P3381" t="str">
        <f>"4170040727                    "</f>
        <v xml:space="preserve">4170040727                    </v>
      </c>
      <c r="Q3381">
        <v>0</v>
      </c>
      <c r="R3381">
        <v>0</v>
      </c>
      <c r="S3381">
        <v>0</v>
      </c>
      <c r="T3381">
        <v>0</v>
      </c>
      <c r="U3381">
        <v>0</v>
      </c>
      <c r="V3381">
        <v>0</v>
      </c>
      <c r="W3381">
        <v>0</v>
      </c>
      <c r="X3381">
        <v>0</v>
      </c>
      <c r="Y3381">
        <v>0</v>
      </c>
      <c r="Z3381">
        <v>0</v>
      </c>
      <c r="AA3381">
        <v>0</v>
      </c>
      <c r="AB3381">
        <v>0</v>
      </c>
      <c r="AC3381">
        <v>0</v>
      </c>
      <c r="AD3381">
        <v>0</v>
      </c>
      <c r="AE3381">
        <v>0</v>
      </c>
      <c r="AF3381">
        <v>0</v>
      </c>
      <c r="AG3381">
        <v>0</v>
      </c>
      <c r="AH3381">
        <v>0</v>
      </c>
      <c r="AI3381">
        <v>0</v>
      </c>
      <c r="AJ3381">
        <v>0</v>
      </c>
      <c r="AK3381">
        <v>0</v>
      </c>
      <c r="AL3381">
        <v>0</v>
      </c>
      <c r="AM3381">
        <v>0</v>
      </c>
      <c r="AN3381">
        <v>0</v>
      </c>
      <c r="AO3381">
        <v>0</v>
      </c>
      <c r="AP3381">
        <v>0</v>
      </c>
      <c r="AQ3381">
        <v>16.7</v>
      </c>
      <c r="AR3381">
        <v>0</v>
      </c>
      <c r="AS3381">
        <v>0</v>
      </c>
      <c r="AT3381">
        <v>0</v>
      </c>
      <c r="AU3381">
        <v>0</v>
      </c>
      <c r="AV3381">
        <v>0</v>
      </c>
      <c r="AW3381">
        <v>0</v>
      </c>
      <c r="AX3381">
        <v>0</v>
      </c>
      <c r="AY3381">
        <v>0</v>
      </c>
      <c r="AZ3381">
        <v>0</v>
      </c>
      <c r="BA3381">
        <v>0</v>
      </c>
      <c r="BB3381">
        <v>0</v>
      </c>
      <c r="BC3381">
        <v>0</v>
      </c>
      <c r="BD3381">
        <v>0</v>
      </c>
      <c r="BE3381">
        <v>0</v>
      </c>
      <c r="BF3381">
        <v>0</v>
      </c>
      <c r="BG3381">
        <v>0</v>
      </c>
      <c r="BH3381">
        <v>1</v>
      </c>
      <c r="BI3381">
        <v>1</v>
      </c>
      <c r="BJ3381">
        <v>1.9</v>
      </c>
      <c r="BK3381">
        <v>2</v>
      </c>
      <c r="BL3381">
        <v>54.66</v>
      </c>
      <c r="BM3381">
        <v>8.1999999999999993</v>
      </c>
      <c r="BN3381">
        <v>62.86</v>
      </c>
      <c r="BO3381">
        <v>62.86</v>
      </c>
      <c r="BQ3381" t="s">
        <v>347</v>
      </c>
      <c r="BR3381" t="s">
        <v>84</v>
      </c>
      <c r="BS3381" s="3">
        <v>45804</v>
      </c>
      <c r="BT3381" s="4">
        <v>0.35069444444444442</v>
      </c>
      <c r="BU3381" t="s">
        <v>407</v>
      </c>
      <c r="BV3381" t="s">
        <v>86</v>
      </c>
      <c r="BY3381">
        <v>9600</v>
      </c>
      <c r="CA3381" t="s">
        <v>349</v>
      </c>
      <c r="CC3381" t="s">
        <v>76</v>
      </c>
      <c r="CD3381">
        <v>1619</v>
      </c>
      <c r="CE3381" t="s">
        <v>176</v>
      </c>
      <c r="CF3381" s="3">
        <v>45804</v>
      </c>
      <c r="CI3381">
        <v>1</v>
      </c>
      <c r="CJ3381">
        <v>1</v>
      </c>
      <c r="CK3381">
        <v>22</v>
      </c>
      <c r="CL3381" t="s">
        <v>89</v>
      </c>
    </row>
    <row r="3382" spans="1:90" x14ac:dyDescent="0.3">
      <c r="A3382" t="s">
        <v>72</v>
      </c>
      <c r="B3382" t="s">
        <v>73</v>
      </c>
      <c r="C3382" t="s">
        <v>74</v>
      </c>
      <c r="E3382" t="str">
        <f>"080065569308"</f>
        <v>080065569308</v>
      </c>
      <c r="F3382" s="3">
        <v>45803</v>
      </c>
      <c r="G3382">
        <v>202602</v>
      </c>
      <c r="H3382" t="s">
        <v>75</v>
      </c>
      <c r="I3382" t="s">
        <v>76</v>
      </c>
      <c r="J3382" t="s">
        <v>77</v>
      </c>
      <c r="K3382" t="s">
        <v>78</v>
      </c>
      <c r="L3382" t="s">
        <v>75</v>
      </c>
      <c r="M3382" t="s">
        <v>76</v>
      </c>
      <c r="N3382" t="s">
        <v>346</v>
      </c>
      <c r="O3382" t="s">
        <v>82</v>
      </c>
      <c r="P3382" t="str">
        <f>"4170040728                    "</f>
        <v xml:space="preserve">4170040728                    </v>
      </c>
      <c r="Q3382">
        <v>0</v>
      </c>
      <c r="R3382">
        <v>0</v>
      </c>
      <c r="S3382">
        <v>0</v>
      </c>
      <c r="T3382">
        <v>0</v>
      </c>
      <c r="U3382">
        <v>0</v>
      </c>
      <c r="V3382">
        <v>0</v>
      </c>
      <c r="W3382">
        <v>0</v>
      </c>
      <c r="X3382">
        <v>0</v>
      </c>
      <c r="Y3382">
        <v>0</v>
      </c>
      <c r="Z3382">
        <v>0</v>
      </c>
      <c r="AA3382">
        <v>0</v>
      </c>
      <c r="AB3382">
        <v>0</v>
      </c>
      <c r="AC3382">
        <v>0</v>
      </c>
      <c r="AD3382">
        <v>0</v>
      </c>
      <c r="AE3382">
        <v>0</v>
      </c>
      <c r="AF3382">
        <v>0</v>
      </c>
      <c r="AG3382">
        <v>0</v>
      </c>
      <c r="AH3382">
        <v>0</v>
      </c>
      <c r="AI3382">
        <v>0</v>
      </c>
      <c r="AJ3382">
        <v>0</v>
      </c>
      <c r="AK3382">
        <v>0</v>
      </c>
      <c r="AL3382">
        <v>0</v>
      </c>
      <c r="AM3382">
        <v>0</v>
      </c>
      <c r="AN3382">
        <v>0</v>
      </c>
      <c r="AO3382">
        <v>0</v>
      </c>
      <c r="AP3382">
        <v>0</v>
      </c>
      <c r="AQ3382">
        <v>16.7</v>
      </c>
      <c r="AR3382">
        <v>0</v>
      </c>
      <c r="AS3382">
        <v>0</v>
      </c>
      <c r="AT3382">
        <v>0</v>
      </c>
      <c r="AU3382">
        <v>0</v>
      </c>
      <c r="AV3382">
        <v>0</v>
      </c>
      <c r="AW3382">
        <v>0</v>
      </c>
      <c r="AX3382">
        <v>0</v>
      </c>
      <c r="AY3382">
        <v>0</v>
      </c>
      <c r="AZ3382">
        <v>0</v>
      </c>
      <c r="BA3382">
        <v>0</v>
      </c>
      <c r="BB3382">
        <v>0</v>
      </c>
      <c r="BC3382">
        <v>0</v>
      </c>
      <c r="BD3382">
        <v>0</v>
      </c>
      <c r="BE3382">
        <v>0</v>
      </c>
      <c r="BF3382">
        <v>0</v>
      </c>
      <c r="BG3382">
        <v>0</v>
      </c>
      <c r="BH3382">
        <v>1</v>
      </c>
      <c r="BI3382">
        <v>3</v>
      </c>
      <c r="BJ3382">
        <v>1.4</v>
      </c>
      <c r="BK3382">
        <v>3</v>
      </c>
      <c r="BL3382">
        <v>54.66</v>
      </c>
      <c r="BM3382">
        <v>8.1999999999999993</v>
      </c>
      <c r="BN3382">
        <v>62.86</v>
      </c>
      <c r="BO3382">
        <v>62.86</v>
      </c>
      <c r="BQ3382" t="s">
        <v>347</v>
      </c>
      <c r="BR3382" t="s">
        <v>84</v>
      </c>
      <c r="BS3382" s="3">
        <v>45804</v>
      </c>
      <c r="BT3382" s="4">
        <v>0.35069444444444442</v>
      </c>
      <c r="BU3382" t="s">
        <v>407</v>
      </c>
      <c r="BV3382" t="s">
        <v>86</v>
      </c>
      <c r="BY3382">
        <v>7000</v>
      </c>
      <c r="CA3382" t="s">
        <v>349</v>
      </c>
      <c r="CC3382" t="s">
        <v>76</v>
      </c>
      <c r="CD3382">
        <v>1619</v>
      </c>
      <c r="CE3382" t="s">
        <v>176</v>
      </c>
      <c r="CF3382" s="3">
        <v>45804</v>
      </c>
      <c r="CI3382">
        <v>1</v>
      </c>
      <c r="CJ3382">
        <v>1</v>
      </c>
      <c r="CK3382">
        <v>22</v>
      </c>
      <c r="CL3382" t="s">
        <v>89</v>
      </c>
    </row>
    <row r="3383" spans="1:90" x14ac:dyDescent="0.3">
      <c r="A3383" t="s">
        <v>72</v>
      </c>
      <c r="B3383" t="s">
        <v>73</v>
      </c>
      <c r="C3383" t="s">
        <v>74</v>
      </c>
      <c r="E3383" t="str">
        <f>"080065569336"</f>
        <v>080065569336</v>
      </c>
      <c r="F3383" s="3">
        <v>45803</v>
      </c>
      <c r="G3383">
        <v>202602</v>
      </c>
      <c r="H3383" t="s">
        <v>75</v>
      </c>
      <c r="I3383" t="s">
        <v>76</v>
      </c>
      <c r="J3383" t="s">
        <v>77</v>
      </c>
      <c r="K3383" t="s">
        <v>78</v>
      </c>
      <c r="L3383" t="s">
        <v>350</v>
      </c>
      <c r="M3383" t="s">
        <v>351</v>
      </c>
      <c r="N3383" t="s">
        <v>1417</v>
      </c>
      <c r="O3383" t="s">
        <v>82</v>
      </c>
      <c r="P3383" t="str">
        <f>"4170040735                    "</f>
        <v xml:space="preserve">4170040735                    </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0</v>
      </c>
      <c r="AJ3383">
        <v>0</v>
      </c>
      <c r="AK3383">
        <v>0</v>
      </c>
      <c r="AL3383">
        <v>0</v>
      </c>
      <c r="AM3383">
        <v>0</v>
      </c>
      <c r="AN3383">
        <v>0</v>
      </c>
      <c r="AO3383">
        <v>0</v>
      </c>
      <c r="AP3383">
        <v>0</v>
      </c>
      <c r="AQ3383">
        <v>21.38</v>
      </c>
      <c r="AR3383">
        <v>0</v>
      </c>
      <c r="AS3383">
        <v>0</v>
      </c>
      <c r="AT3383">
        <v>0</v>
      </c>
      <c r="AU3383">
        <v>0</v>
      </c>
      <c r="AV3383">
        <v>0</v>
      </c>
      <c r="AW3383">
        <v>0</v>
      </c>
      <c r="AX3383">
        <v>0</v>
      </c>
      <c r="AY3383">
        <v>0</v>
      </c>
      <c r="AZ3383">
        <v>0</v>
      </c>
      <c r="BA3383">
        <v>0</v>
      </c>
      <c r="BB3383">
        <v>0</v>
      </c>
      <c r="BC3383">
        <v>0</v>
      </c>
      <c r="BD3383">
        <v>0</v>
      </c>
      <c r="BE3383">
        <v>0</v>
      </c>
      <c r="BF3383">
        <v>0</v>
      </c>
      <c r="BG3383">
        <v>0</v>
      </c>
      <c r="BH3383">
        <v>1</v>
      </c>
      <c r="BI3383">
        <v>2</v>
      </c>
      <c r="BJ3383">
        <v>1.9</v>
      </c>
      <c r="BK3383">
        <v>2</v>
      </c>
      <c r="BL3383">
        <v>69.98</v>
      </c>
      <c r="BM3383">
        <v>10.5</v>
      </c>
      <c r="BN3383">
        <v>80.48</v>
      </c>
      <c r="BO3383">
        <v>80.48</v>
      </c>
      <c r="BQ3383" t="s">
        <v>3189</v>
      </c>
      <c r="BR3383" t="s">
        <v>84</v>
      </c>
      <c r="BS3383" s="3">
        <v>45804</v>
      </c>
      <c r="BT3383" s="4">
        <v>0.37708333333333333</v>
      </c>
      <c r="BU3383" t="s">
        <v>1419</v>
      </c>
      <c r="BV3383" t="s">
        <v>86</v>
      </c>
      <c r="BY3383">
        <v>9600</v>
      </c>
      <c r="CA3383" t="s">
        <v>1420</v>
      </c>
      <c r="CC3383" t="s">
        <v>351</v>
      </c>
      <c r="CD3383">
        <v>4072</v>
      </c>
      <c r="CE3383" t="s">
        <v>96</v>
      </c>
      <c r="CF3383" s="3">
        <v>45804</v>
      </c>
      <c r="CI3383">
        <v>1</v>
      </c>
      <c r="CJ3383">
        <v>1</v>
      </c>
      <c r="CK3383">
        <v>21</v>
      </c>
      <c r="CL3383" t="s">
        <v>89</v>
      </c>
    </row>
    <row r="3384" spans="1:90" x14ac:dyDescent="0.3">
      <c r="A3384" t="s">
        <v>72</v>
      </c>
      <c r="B3384" t="s">
        <v>73</v>
      </c>
      <c r="C3384" t="s">
        <v>74</v>
      </c>
      <c r="E3384" t="str">
        <f>"080065569605"</f>
        <v>080065569605</v>
      </c>
      <c r="F3384" s="3">
        <v>45803</v>
      </c>
      <c r="G3384">
        <v>202602</v>
      </c>
      <c r="H3384" t="s">
        <v>75</v>
      </c>
      <c r="I3384" t="s">
        <v>76</v>
      </c>
      <c r="J3384" t="s">
        <v>77</v>
      </c>
      <c r="K3384" t="s">
        <v>78</v>
      </c>
      <c r="L3384" t="s">
        <v>463</v>
      </c>
      <c r="M3384" t="s">
        <v>464</v>
      </c>
      <c r="N3384" t="s">
        <v>585</v>
      </c>
      <c r="O3384" t="s">
        <v>82</v>
      </c>
      <c r="P3384" t="str">
        <f>"4170040729                    "</f>
        <v xml:space="preserve">4170040729                    </v>
      </c>
      <c r="Q3384">
        <v>0</v>
      </c>
      <c r="R3384">
        <v>0</v>
      </c>
      <c r="S3384">
        <v>0</v>
      </c>
      <c r="T3384">
        <v>0</v>
      </c>
      <c r="U3384">
        <v>0</v>
      </c>
      <c r="V3384">
        <v>0</v>
      </c>
      <c r="W3384">
        <v>0</v>
      </c>
      <c r="X3384">
        <v>0</v>
      </c>
      <c r="Y3384">
        <v>0</v>
      </c>
      <c r="Z3384">
        <v>0</v>
      </c>
      <c r="AA3384">
        <v>0</v>
      </c>
      <c r="AB3384">
        <v>0</v>
      </c>
      <c r="AC3384">
        <v>0</v>
      </c>
      <c r="AD3384">
        <v>0</v>
      </c>
      <c r="AE3384">
        <v>0</v>
      </c>
      <c r="AF3384">
        <v>0</v>
      </c>
      <c r="AG3384">
        <v>0</v>
      </c>
      <c r="AH3384">
        <v>0</v>
      </c>
      <c r="AI3384">
        <v>0</v>
      </c>
      <c r="AJ3384">
        <v>0</v>
      </c>
      <c r="AK3384">
        <v>0</v>
      </c>
      <c r="AL3384">
        <v>0</v>
      </c>
      <c r="AM3384">
        <v>0</v>
      </c>
      <c r="AN3384">
        <v>0</v>
      </c>
      <c r="AO3384">
        <v>0</v>
      </c>
      <c r="AP3384">
        <v>0</v>
      </c>
      <c r="AQ3384">
        <v>21.38</v>
      </c>
      <c r="AR3384">
        <v>0</v>
      </c>
      <c r="AS3384">
        <v>0</v>
      </c>
      <c r="AT3384">
        <v>0</v>
      </c>
      <c r="AU3384">
        <v>0</v>
      </c>
      <c r="AV3384">
        <v>0</v>
      </c>
      <c r="AW3384">
        <v>0</v>
      </c>
      <c r="AX3384">
        <v>0</v>
      </c>
      <c r="AY3384">
        <v>0</v>
      </c>
      <c r="AZ3384">
        <v>0</v>
      </c>
      <c r="BA3384">
        <v>0</v>
      </c>
      <c r="BB3384">
        <v>0</v>
      </c>
      <c r="BC3384">
        <v>0</v>
      </c>
      <c r="BD3384">
        <v>0</v>
      </c>
      <c r="BE3384">
        <v>0</v>
      </c>
      <c r="BF3384">
        <v>0</v>
      </c>
      <c r="BG3384">
        <v>0</v>
      </c>
      <c r="BH3384">
        <v>1</v>
      </c>
      <c r="BI3384">
        <v>1</v>
      </c>
      <c r="BJ3384">
        <v>0.2</v>
      </c>
      <c r="BK3384">
        <v>1</v>
      </c>
      <c r="BL3384">
        <v>69.98</v>
      </c>
      <c r="BM3384">
        <v>10.5</v>
      </c>
      <c r="BN3384">
        <v>80.48</v>
      </c>
      <c r="BO3384">
        <v>80.48</v>
      </c>
      <c r="BQ3384" t="s">
        <v>586</v>
      </c>
      <c r="BR3384" t="s">
        <v>84</v>
      </c>
      <c r="BS3384" s="3">
        <v>45804</v>
      </c>
      <c r="BT3384" s="4">
        <v>0.4375</v>
      </c>
      <c r="BU3384" t="s">
        <v>1300</v>
      </c>
      <c r="BV3384" t="s">
        <v>86</v>
      </c>
      <c r="BY3384">
        <v>1200</v>
      </c>
      <c r="CA3384" t="s">
        <v>588</v>
      </c>
      <c r="CC3384" t="s">
        <v>464</v>
      </c>
      <c r="CD3384">
        <v>5201</v>
      </c>
      <c r="CE3384" t="s">
        <v>88</v>
      </c>
      <c r="CF3384" s="3">
        <v>45804</v>
      </c>
      <c r="CI3384">
        <v>1</v>
      </c>
      <c r="CJ3384">
        <v>1</v>
      </c>
      <c r="CK3384">
        <v>21</v>
      </c>
      <c r="CL3384" t="s">
        <v>89</v>
      </c>
    </row>
    <row r="3385" spans="1:90" x14ac:dyDescent="0.3">
      <c r="A3385" t="s">
        <v>72</v>
      </c>
      <c r="B3385" t="s">
        <v>73</v>
      </c>
      <c r="C3385" t="s">
        <v>74</v>
      </c>
      <c r="E3385" t="str">
        <f>"080065570221"</f>
        <v>080065570221</v>
      </c>
      <c r="F3385" s="3">
        <v>45803</v>
      </c>
      <c r="G3385">
        <v>202602</v>
      </c>
      <c r="H3385" t="s">
        <v>75</v>
      </c>
      <c r="I3385" t="s">
        <v>76</v>
      </c>
      <c r="J3385" t="s">
        <v>77</v>
      </c>
      <c r="K3385" t="s">
        <v>78</v>
      </c>
      <c r="L3385" t="s">
        <v>489</v>
      </c>
      <c r="M3385" t="s">
        <v>490</v>
      </c>
      <c r="N3385" t="s">
        <v>491</v>
      </c>
      <c r="O3385" t="s">
        <v>82</v>
      </c>
      <c r="P3385" t="str">
        <f>"4170040665                    "</f>
        <v xml:space="preserve">4170040665                    </v>
      </c>
      <c r="Q3385">
        <v>0</v>
      </c>
      <c r="R3385">
        <v>0</v>
      </c>
      <c r="S3385">
        <v>0</v>
      </c>
      <c r="T3385">
        <v>0</v>
      </c>
      <c r="U3385">
        <v>0</v>
      </c>
      <c r="V3385">
        <v>0</v>
      </c>
      <c r="W3385">
        <v>0</v>
      </c>
      <c r="X3385">
        <v>0</v>
      </c>
      <c r="Y3385">
        <v>0</v>
      </c>
      <c r="Z3385">
        <v>0</v>
      </c>
      <c r="AA3385">
        <v>0</v>
      </c>
      <c r="AB3385">
        <v>0</v>
      </c>
      <c r="AC3385">
        <v>0</v>
      </c>
      <c r="AD3385">
        <v>0</v>
      </c>
      <c r="AE3385">
        <v>0</v>
      </c>
      <c r="AF3385">
        <v>0</v>
      </c>
      <c r="AG3385">
        <v>0</v>
      </c>
      <c r="AH3385">
        <v>0</v>
      </c>
      <c r="AI3385">
        <v>0</v>
      </c>
      <c r="AJ3385">
        <v>0</v>
      </c>
      <c r="AK3385">
        <v>0</v>
      </c>
      <c r="AL3385">
        <v>0</v>
      </c>
      <c r="AM3385">
        <v>0</v>
      </c>
      <c r="AN3385">
        <v>0</v>
      </c>
      <c r="AO3385">
        <v>0</v>
      </c>
      <c r="AP3385">
        <v>0</v>
      </c>
      <c r="AQ3385">
        <v>41.43</v>
      </c>
      <c r="AR3385">
        <v>0</v>
      </c>
      <c r="AS3385">
        <v>0</v>
      </c>
      <c r="AT3385">
        <v>0</v>
      </c>
      <c r="AU3385">
        <v>0</v>
      </c>
      <c r="AV3385">
        <v>0</v>
      </c>
      <c r="AW3385">
        <v>0</v>
      </c>
      <c r="AX3385">
        <v>0</v>
      </c>
      <c r="AY3385">
        <v>0</v>
      </c>
      <c r="AZ3385">
        <v>0</v>
      </c>
      <c r="BA3385">
        <v>0</v>
      </c>
      <c r="BB3385">
        <v>0</v>
      </c>
      <c r="BC3385">
        <v>0</v>
      </c>
      <c r="BD3385">
        <v>0</v>
      </c>
      <c r="BE3385">
        <v>0</v>
      </c>
      <c r="BF3385">
        <v>0</v>
      </c>
      <c r="BG3385">
        <v>0</v>
      </c>
      <c r="BH3385">
        <v>1</v>
      </c>
      <c r="BI3385">
        <v>1</v>
      </c>
      <c r="BJ3385">
        <v>0.2</v>
      </c>
      <c r="BK3385">
        <v>1</v>
      </c>
      <c r="BL3385">
        <v>135.59</v>
      </c>
      <c r="BM3385">
        <v>20.34</v>
      </c>
      <c r="BN3385">
        <v>155.93</v>
      </c>
      <c r="BO3385">
        <v>155.93</v>
      </c>
      <c r="BQ3385" t="s">
        <v>492</v>
      </c>
      <c r="BR3385" t="s">
        <v>84</v>
      </c>
      <c r="BS3385" s="3">
        <v>45804</v>
      </c>
      <c r="BT3385" s="4">
        <v>0.36458333333333331</v>
      </c>
      <c r="BU3385" t="s">
        <v>912</v>
      </c>
      <c r="BV3385" t="s">
        <v>86</v>
      </c>
      <c r="BY3385">
        <v>1200</v>
      </c>
      <c r="CA3385" t="s">
        <v>913</v>
      </c>
      <c r="CC3385" t="s">
        <v>490</v>
      </c>
      <c r="CD3385">
        <v>2740</v>
      </c>
      <c r="CE3385" t="s">
        <v>88</v>
      </c>
      <c r="CF3385" s="3">
        <v>45805</v>
      </c>
      <c r="CI3385">
        <v>1</v>
      </c>
      <c r="CJ3385">
        <v>1</v>
      </c>
      <c r="CK3385">
        <v>23</v>
      </c>
      <c r="CL3385" t="s">
        <v>89</v>
      </c>
    </row>
    <row r="3386" spans="1:90" x14ac:dyDescent="0.3">
      <c r="A3386" t="s">
        <v>72</v>
      </c>
      <c r="B3386" t="s">
        <v>73</v>
      </c>
      <c r="C3386" t="s">
        <v>74</v>
      </c>
      <c r="E3386" t="str">
        <f>"080065571216"</f>
        <v>080065571216</v>
      </c>
      <c r="F3386" s="3">
        <v>45803</v>
      </c>
      <c r="G3386">
        <v>202602</v>
      </c>
      <c r="H3386" t="s">
        <v>75</v>
      </c>
      <c r="I3386" t="s">
        <v>76</v>
      </c>
      <c r="J3386" t="s">
        <v>77</v>
      </c>
      <c r="K3386" t="s">
        <v>78</v>
      </c>
      <c r="L3386" t="s">
        <v>266</v>
      </c>
      <c r="M3386" t="s">
        <v>267</v>
      </c>
      <c r="N3386" t="s">
        <v>663</v>
      </c>
      <c r="O3386" t="s">
        <v>82</v>
      </c>
      <c r="P3386" t="str">
        <f>"4170040739                    "</f>
        <v xml:space="preserve">4170040739                    </v>
      </c>
      <c r="Q3386">
        <v>0</v>
      </c>
      <c r="R3386">
        <v>0</v>
      </c>
      <c r="S3386">
        <v>0</v>
      </c>
      <c r="T3386">
        <v>0</v>
      </c>
      <c r="U3386">
        <v>0</v>
      </c>
      <c r="V3386">
        <v>0</v>
      </c>
      <c r="W3386">
        <v>0</v>
      </c>
      <c r="X3386">
        <v>0</v>
      </c>
      <c r="Y3386">
        <v>0</v>
      </c>
      <c r="Z3386">
        <v>0</v>
      </c>
      <c r="AA3386">
        <v>0</v>
      </c>
      <c r="AB3386">
        <v>0</v>
      </c>
      <c r="AC3386">
        <v>0</v>
      </c>
      <c r="AD3386">
        <v>0</v>
      </c>
      <c r="AE3386">
        <v>0</v>
      </c>
      <c r="AF3386">
        <v>0</v>
      </c>
      <c r="AG3386">
        <v>0</v>
      </c>
      <c r="AH3386">
        <v>0</v>
      </c>
      <c r="AI3386">
        <v>0</v>
      </c>
      <c r="AJ3386">
        <v>0</v>
      </c>
      <c r="AK3386">
        <v>0</v>
      </c>
      <c r="AL3386">
        <v>0</v>
      </c>
      <c r="AM3386">
        <v>0</v>
      </c>
      <c r="AN3386">
        <v>0</v>
      </c>
      <c r="AO3386">
        <v>0</v>
      </c>
      <c r="AP3386">
        <v>0</v>
      </c>
      <c r="AQ3386">
        <v>74.8</v>
      </c>
      <c r="AR3386">
        <v>0</v>
      </c>
      <c r="AS3386">
        <v>0</v>
      </c>
      <c r="AT3386">
        <v>0</v>
      </c>
      <c r="AU3386">
        <v>0</v>
      </c>
      <c r="AV3386">
        <v>0</v>
      </c>
      <c r="AW3386">
        <v>0</v>
      </c>
      <c r="AX3386">
        <v>0</v>
      </c>
      <c r="AY3386">
        <v>0</v>
      </c>
      <c r="AZ3386">
        <v>0</v>
      </c>
      <c r="BA3386">
        <v>0</v>
      </c>
      <c r="BB3386">
        <v>0</v>
      </c>
      <c r="BC3386">
        <v>0</v>
      </c>
      <c r="BD3386">
        <v>0</v>
      </c>
      <c r="BE3386">
        <v>0</v>
      </c>
      <c r="BF3386">
        <v>0</v>
      </c>
      <c r="BG3386">
        <v>0</v>
      </c>
      <c r="BH3386">
        <v>1</v>
      </c>
      <c r="BI3386">
        <v>7</v>
      </c>
      <c r="BJ3386">
        <v>2.5</v>
      </c>
      <c r="BK3386">
        <v>7</v>
      </c>
      <c r="BL3386">
        <v>244.8</v>
      </c>
      <c r="BM3386">
        <v>36.72</v>
      </c>
      <c r="BN3386">
        <v>281.52</v>
      </c>
      <c r="BO3386">
        <v>281.52</v>
      </c>
      <c r="BQ3386" t="s">
        <v>664</v>
      </c>
      <c r="BR3386" t="s">
        <v>84</v>
      </c>
      <c r="BS3386" s="3">
        <v>45804</v>
      </c>
      <c r="BT3386" s="4">
        <v>0.41249999999999998</v>
      </c>
      <c r="BU3386" t="s">
        <v>3190</v>
      </c>
      <c r="BV3386" t="s">
        <v>86</v>
      </c>
      <c r="BY3386">
        <v>12348</v>
      </c>
      <c r="CA3386" t="s">
        <v>632</v>
      </c>
      <c r="CC3386" t="s">
        <v>267</v>
      </c>
      <c r="CD3386">
        <v>6220</v>
      </c>
      <c r="CE3386" t="s">
        <v>221</v>
      </c>
      <c r="CF3386" s="3">
        <v>45804</v>
      </c>
      <c r="CI3386">
        <v>1</v>
      </c>
      <c r="CJ3386">
        <v>1</v>
      </c>
      <c r="CK3386">
        <v>21</v>
      </c>
      <c r="CL3386" t="s">
        <v>89</v>
      </c>
    </row>
    <row r="3387" spans="1:90" x14ac:dyDescent="0.3">
      <c r="A3387" t="s">
        <v>72</v>
      </c>
      <c r="B3387" t="s">
        <v>73</v>
      </c>
      <c r="C3387" t="s">
        <v>74</v>
      </c>
      <c r="E3387" t="str">
        <f>"080065571263"</f>
        <v>080065571263</v>
      </c>
      <c r="F3387" s="3">
        <v>45803</v>
      </c>
      <c r="G3387">
        <v>202602</v>
      </c>
      <c r="H3387" t="s">
        <v>75</v>
      </c>
      <c r="I3387" t="s">
        <v>76</v>
      </c>
      <c r="J3387" t="s">
        <v>77</v>
      </c>
      <c r="K3387" t="s">
        <v>78</v>
      </c>
      <c r="L3387" t="s">
        <v>1099</v>
      </c>
      <c r="M3387" t="s">
        <v>1100</v>
      </c>
      <c r="N3387" t="s">
        <v>1430</v>
      </c>
      <c r="O3387" t="s">
        <v>82</v>
      </c>
      <c r="P3387" t="str">
        <f>"4170040742                    "</f>
        <v xml:space="preserve">4170040742                    </v>
      </c>
      <c r="Q3387">
        <v>0</v>
      </c>
      <c r="R3387">
        <v>0</v>
      </c>
      <c r="S3387">
        <v>0</v>
      </c>
      <c r="T3387">
        <v>0</v>
      </c>
      <c r="U3387">
        <v>0</v>
      </c>
      <c r="V3387">
        <v>0</v>
      </c>
      <c r="W3387">
        <v>0</v>
      </c>
      <c r="X3387">
        <v>0</v>
      </c>
      <c r="Y3387">
        <v>0</v>
      </c>
      <c r="Z3387">
        <v>0</v>
      </c>
      <c r="AA3387">
        <v>0</v>
      </c>
      <c r="AB3387">
        <v>0</v>
      </c>
      <c r="AC3387">
        <v>0</v>
      </c>
      <c r="AD3387">
        <v>0</v>
      </c>
      <c r="AE3387">
        <v>0</v>
      </c>
      <c r="AF3387">
        <v>0</v>
      </c>
      <c r="AG3387">
        <v>0</v>
      </c>
      <c r="AH3387">
        <v>0</v>
      </c>
      <c r="AI3387">
        <v>0</v>
      </c>
      <c r="AJ3387">
        <v>0</v>
      </c>
      <c r="AK3387">
        <v>0</v>
      </c>
      <c r="AL3387">
        <v>0</v>
      </c>
      <c r="AM3387">
        <v>0</v>
      </c>
      <c r="AN3387">
        <v>0</v>
      </c>
      <c r="AO3387">
        <v>0</v>
      </c>
      <c r="AP3387">
        <v>0</v>
      </c>
      <c r="AQ3387">
        <v>209.81</v>
      </c>
      <c r="AR3387">
        <v>0</v>
      </c>
      <c r="AS3387">
        <v>0</v>
      </c>
      <c r="AT3387">
        <v>0</v>
      </c>
      <c r="AU3387">
        <v>0</v>
      </c>
      <c r="AV3387">
        <v>0</v>
      </c>
      <c r="AW3387">
        <v>0</v>
      </c>
      <c r="AX3387">
        <v>0</v>
      </c>
      <c r="AY3387">
        <v>0</v>
      </c>
      <c r="AZ3387">
        <v>0</v>
      </c>
      <c r="BA3387">
        <v>0</v>
      </c>
      <c r="BB3387">
        <v>0</v>
      </c>
      <c r="BC3387">
        <v>0</v>
      </c>
      <c r="BD3387">
        <v>0</v>
      </c>
      <c r="BE3387">
        <v>0</v>
      </c>
      <c r="BF3387">
        <v>0</v>
      </c>
      <c r="BG3387">
        <v>0</v>
      </c>
      <c r="BH3387">
        <v>1</v>
      </c>
      <c r="BI3387">
        <v>11</v>
      </c>
      <c r="BJ3387">
        <v>5.8</v>
      </c>
      <c r="BK3387">
        <v>11</v>
      </c>
      <c r="BL3387">
        <v>686.65</v>
      </c>
      <c r="BM3387">
        <v>103</v>
      </c>
      <c r="BN3387">
        <v>789.65</v>
      </c>
      <c r="BO3387">
        <v>789.65</v>
      </c>
      <c r="BQ3387" t="s">
        <v>1431</v>
      </c>
      <c r="BR3387" t="s">
        <v>84</v>
      </c>
      <c r="BS3387" s="3">
        <v>45804</v>
      </c>
      <c r="BT3387" s="4">
        <v>0.43402777777777779</v>
      </c>
      <c r="BU3387" t="s">
        <v>3191</v>
      </c>
      <c r="BV3387" t="s">
        <v>86</v>
      </c>
      <c r="BY3387">
        <v>28900</v>
      </c>
      <c r="CA3387" t="s">
        <v>2085</v>
      </c>
      <c r="CC3387" t="s">
        <v>1100</v>
      </c>
      <c r="CD3387" s="5" t="s">
        <v>1291</v>
      </c>
      <c r="CE3387" t="s">
        <v>221</v>
      </c>
      <c r="CF3387" s="3">
        <v>45805</v>
      </c>
      <c r="CI3387">
        <v>1</v>
      </c>
      <c r="CJ3387">
        <v>1</v>
      </c>
      <c r="CK3387">
        <v>23</v>
      </c>
      <c r="CL3387" t="s">
        <v>89</v>
      </c>
    </row>
    <row r="3388" spans="1:90" x14ac:dyDescent="0.3">
      <c r="A3388" t="s">
        <v>72</v>
      </c>
      <c r="B3388" t="s">
        <v>73</v>
      </c>
      <c r="C3388" t="s">
        <v>74</v>
      </c>
      <c r="E3388" t="str">
        <f>"080065571284"</f>
        <v>080065571284</v>
      </c>
      <c r="F3388" s="3">
        <v>45803</v>
      </c>
      <c r="G3388">
        <v>202602</v>
      </c>
      <c r="H3388" t="s">
        <v>75</v>
      </c>
      <c r="I3388" t="s">
        <v>76</v>
      </c>
      <c r="J3388" t="s">
        <v>77</v>
      </c>
      <c r="K3388" t="s">
        <v>78</v>
      </c>
      <c r="L3388" t="s">
        <v>130</v>
      </c>
      <c r="M3388" t="s">
        <v>131</v>
      </c>
      <c r="N3388" t="s">
        <v>343</v>
      </c>
      <c r="O3388" t="s">
        <v>82</v>
      </c>
      <c r="P3388" t="str">
        <f>"4170040740                    "</f>
        <v xml:space="preserve">4170040740                    </v>
      </c>
      <c r="Q3388">
        <v>0</v>
      </c>
      <c r="R3388">
        <v>0</v>
      </c>
      <c r="S3388">
        <v>0</v>
      </c>
      <c r="T3388">
        <v>0</v>
      </c>
      <c r="U3388">
        <v>0</v>
      </c>
      <c r="V3388">
        <v>0</v>
      </c>
      <c r="W3388">
        <v>0</v>
      </c>
      <c r="X3388">
        <v>0</v>
      </c>
      <c r="Y3388">
        <v>0</v>
      </c>
      <c r="Z3388">
        <v>0</v>
      </c>
      <c r="AA3388">
        <v>0</v>
      </c>
      <c r="AB3388">
        <v>0</v>
      </c>
      <c r="AC3388">
        <v>0</v>
      </c>
      <c r="AD3388">
        <v>0</v>
      </c>
      <c r="AE3388">
        <v>0</v>
      </c>
      <c r="AF3388">
        <v>0</v>
      </c>
      <c r="AG3388">
        <v>0</v>
      </c>
      <c r="AH3388">
        <v>0</v>
      </c>
      <c r="AI3388">
        <v>0</v>
      </c>
      <c r="AJ3388">
        <v>0</v>
      </c>
      <c r="AK3388">
        <v>0</v>
      </c>
      <c r="AL3388">
        <v>0</v>
      </c>
      <c r="AM3388">
        <v>0</v>
      </c>
      <c r="AN3388">
        <v>0</v>
      </c>
      <c r="AO3388">
        <v>0</v>
      </c>
      <c r="AP3388">
        <v>0</v>
      </c>
      <c r="AQ3388">
        <v>74.8</v>
      </c>
      <c r="AR3388">
        <v>0</v>
      </c>
      <c r="AS3388">
        <v>0</v>
      </c>
      <c r="AT3388">
        <v>0</v>
      </c>
      <c r="AU3388">
        <v>0</v>
      </c>
      <c r="AV3388">
        <v>0</v>
      </c>
      <c r="AW3388">
        <v>0</v>
      </c>
      <c r="AX3388">
        <v>0</v>
      </c>
      <c r="AY3388">
        <v>0</v>
      </c>
      <c r="AZ3388">
        <v>0</v>
      </c>
      <c r="BA3388">
        <v>0</v>
      </c>
      <c r="BB3388">
        <v>0</v>
      </c>
      <c r="BC3388">
        <v>0</v>
      </c>
      <c r="BD3388">
        <v>0</v>
      </c>
      <c r="BE3388">
        <v>0</v>
      </c>
      <c r="BF3388">
        <v>0</v>
      </c>
      <c r="BG3388">
        <v>0</v>
      </c>
      <c r="BH3388">
        <v>1</v>
      </c>
      <c r="BI3388">
        <v>7</v>
      </c>
      <c r="BJ3388">
        <v>3.5</v>
      </c>
      <c r="BK3388">
        <v>7</v>
      </c>
      <c r="BL3388">
        <v>244.8</v>
      </c>
      <c r="BM3388">
        <v>36.72</v>
      </c>
      <c r="BN3388">
        <v>281.52</v>
      </c>
      <c r="BO3388">
        <v>281.52</v>
      </c>
      <c r="BQ3388" t="s">
        <v>344</v>
      </c>
      <c r="BR3388" t="s">
        <v>84</v>
      </c>
      <c r="BS3388" s="3">
        <v>45804</v>
      </c>
      <c r="BT3388" s="4">
        <v>0.39930555555555558</v>
      </c>
      <c r="BU3388" t="s">
        <v>345</v>
      </c>
      <c r="BV3388" t="s">
        <v>86</v>
      </c>
      <c r="BY3388">
        <v>17550</v>
      </c>
      <c r="CA3388" t="s">
        <v>242</v>
      </c>
      <c r="CC3388" t="s">
        <v>131</v>
      </c>
      <c r="CD3388">
        <v>7441</v>
      </c>
      <c r="CE3388" t="s">
        <v>221</v>
      </c>
      <c r="CF3388" s="3">
        <v>45805</v>
      </c>
      <c r="CI3388">
        <v>1</v>
      </c>
      <c r="CJ3388">
        <v>1</v>
      </c>
      <c r="CK3388">
        <v>21</v>
      </c>
      <c r="CL3388" t="s">
        <v>89</v>
      </c>
    </row>
    <row r="3389" spans="1:90" x14ac:dyDescent="0.3">
      <c r="A3389" t="s">
        <v>72</v>
      </c>
      <c r="B3389" t="s">
        <v>73</v>
      </c>
      <c r="C3389" t="s">
        <v>74</v>
      </c>
      <c r="E3389" t="str">
        <f>"080065571321"</f>
        <v>080065571321</v>
      </c>
      <c r="F3389" s="3">
        <v>45803</v>
      </c>
      <c r="G3389">
        <v>202602</v>
      </c>
      <c r="H3389" t="s">
        <v>75</v>
      </c>
      <c r="I3389" t="s">
        <v>76</v>
      </c>
      <c r="J3389" t="s">
        <v>77</v>
      </c>
      <c r="K3389" t="s">
        <v>78</v>
      </c>
      <c r="L3389" t="s">
        <v>90</v>
      </c>
      <c r="M3389" t="s">
        <v>91</v>
      </c>
      <c r="N3389" t="s">
        <v>748</v>
      </c>
      <c r="O3389" t="s">
        <v>82</v>
      </c>
      <c r="P3389" t="str">
        <f>"4170040708                    "</f>
        <v xml:space="preserve">4170040708                    </v>
      </c>
      <c r="Q3389">
        <v>0</v>
      </c>
      <c r="R3389">
        <v>0</v>
      </c>
      <c r="S3389">
        <v>0</v>
      </c>
      <c r="T3389">
        <v>0</v>
      </c>
      <c r="U3389">
        <v>0</v>
      </c>
      <c r="V3389">
        <v>0</v>
      </c>
      <c r="W3389">
        <v>0</v>
      </c>
      <c r="X3389">
        <v>0</v>
      </c>
      <c r="Y3389">
        <v>0</v>
      </c>
      <c r="Z3389">
        <v>0</v>
      </c>
      <c r="AA3389">
        <v>0</v>
      </c>
      <c r="AB3389">
        <v>0</v>
      </c>
      <c r="AC3389">
        <v>0</v>
      </c>
      <c r="AD3389">
        <v>0</v>
      </c>
      <c r="AE3389">
        <v>0</v>
      </c>
      <c r="AF3389">
        <v>0</v>
      </c>
      <c r="AG3389">
        <v>0</v>
      </c>
      <c r="AH3389">
        <v>0</v>
      </c>
      <c r="AI3389">
        <v>0</v>
      </c>
      <c r="AJ3389">
        <v>0</v>
      </c>
      <c r="AK3389">
        <v>0</v>
      </c>
      <c r="AL3389">
        <v>0</v>
      </c>
      <c r="AM3389">
        <v>0</v>
      </c>
      <c r="AN3389">
        <v>0</v>
      </c>
      <c r="AO3389">
        <v>0</v>
      </c>
      <c r="AP3389">
        <v>0</v>
      </c>
      <c r="AQ3389">
        <v>138.9</v>
      </c>
      <c r="AR3389">
        <v>0</v>
      </c>
      <c r="AS3389">
        <v>0</v>
      </c>
      <c r="AT3389">
        <v>0</v>
      </c>
      <c r="AU3389">
        <v>0</v>
      </c>
      <c r="AV3389">
        <v>0</v>
      </c>
      <c r="AW3389">
        <v>0</v>
      </c>
      <c r="AX3389">
        <v>0</v>
      </c>
      <c r="AY3389">
        <v>0</v>
      </c>
      <c r="AZ3389">
        <v>0</v>
      </c>
      <c r="BA3389">
        <v>0</v>
      </c>
      <c r="BB3389">
        <v>0</v>
      </c>
      <c r="BC3389">
        <v>0</v>
      </c>
      <c r="BD3389">
        <v>0</v>
      </c>
      <c r="BE3389">
        <v>0</v>
      </c>
      <c r="BF3389">
        <v>0</v>
      </c>
      <c r="BG3389">
        <v>0</v>
      </c>
      <c r="BH3389">
        <v>1</v>
      </c>
      <c r="BI3389">
        <v>13</v>
      </c>
      <c r="BJ3389">
        <v>10.4</v>
      </c>
      <c r="BK3389">
        <v>13</v>
      </c>
      <c r="BL3389">
        <v>454.58</v>
      </c>
      <c r="BM3389">
        <v>68.19</v>
      </c>
      <c r="BN3389">
        <v>522.77</v>
      </c>
      <c r="BO3389">
        <v>522.77</v>
      </c>
      <c r="BQ3389" t="s">
        <v>3192</v>
      </c>
      <c r="BR3389" t="s">
        <v>84</v>
      </c>
      <c r="BS3389" s="3">
        <v>45805</v>
      </c>
      <c r="BT3389" s="4">
        <v>0.2951388888888889</v>
      </c>
      <c r="BU3389" t="s">
        <v>1199</v>
      </c>
      <c r="BV3389" t="s">
        <v>89</v>
      </c>
      <c r="BY3389">
        <v>51750</v>
      </c>
      <c r="CA3389" t="s">
        <v>298</v>
      </c>
      <c r="CC3389" t="s">
        <v>91</v>
      </c>
      <c r="CD3389">
        <v>6045</v>
      </c>
      <c r="CE3389" t="s">
        <v>221</v>
      </c>
      <c r="CF3389" s="3">
        <v>45805</v>
      </c>
      <c r="CI3389">
        <v>1</v>
      </c>
      <c r="CJ3389">
        <v>2</v>
      </c>
      <c r="CK3389">
        <v>21</v>
      </c>
      <c r="CL3389" t="s">
        <v>89</v>
      </c>
    </row>
    <row r="3390" spans="1:90" x14ac:dyDescent="0.3">
      <c r="A3390" t="s">
        <v>72</v>
      </c>
      <c r="B3390" t="s">
        <v>73</v>
      </c>
      <c r="C3390" t="s">
        <v>74</v>
      </c>
      <c r="E3390" t="str">
        <f>"080065571359"</f>
        <v>080065571359</v>
      </c>
      <c r="F3390" s="3">
        <v>45803</v>
      </c>
      <c r="G3390">
        <v>202602</v>
      </c>
      <c r="H3390" t="s">
        <v>75</v>
      </c>
      <c r="I3390" t="s">
        <v>76</v>
      </c>
      <c r="J3390" t="s">
        <v>77</v>
      </c>
      <c r="K3390" t="s">
        <v>78</v>
      </c>
      <c r="L3390" t="s">
        <v>117</v>
      </c>
      <c r="M3390" t="s">
        <v>118</v>
      </c>
      <c r="N3390" t="s">
        <v>1851</v>
      </c>
      <c r="O3390" t="s">
        <v>82</v>
      </c>
      <c r="P3390" t="str">
        <f>"4170040743                    "</f>
        <v xml:space="preserve">4170040743                    </v>
      </c>
      <c r="Q3390">
        <v>0</v>
      </c>
      <c r="R3390">
        <v>0</v>
      </c>
      <c r="S3390">
        <v>0</v>
      </c>
      <c r="T3390">
        <v>0</v>
      </c>
      <c r="U3390">
        <v>0</v>
      </c>
      <c r="V3390">
        <v>0</v>
      </c>
      <c r="W3390">
        <v>0</v>
      </c>
      <c r="X3390">
        <v>0</v>
      </c>
      <c r="Y3390">
        <v>0</v>
      </c>
      <c r="Z3390">
        <v>0</v>
      </c>
      <c r="AA3390">
        <v>0</v>
      </c>
      <c r="AB3390">
        <v>0</v>
      </c>
      <c r="AC3390">
        <v>0</v>
      </c>
      <c r="AD3390">
        <v>0</v>
      </c>
      <c r="AE3390">
        <v>0</v>
      </c>
      <c r="AF3390">
        <v>0</v>
      </c>
      <c r="AG3390">
        <v>0</v>
      </c>
      <c r="AH3390">
        <v>0</v>
      </c>
      <c r="AI3390">
        <v>0</v>
      </c>
      <c r="AJ3390">
        <v>0</v>
      </c>
      <c r="AK3390">
        <v>0</v>
      </c>
      <c r="AL3390">
        <v>0</v>
      </c>
      <c r="AM3390">
        <v>0</v>
      </c>
      <c r="AN3390">
        <v>0</v>
      </c>
      <c r="AO3390">
        <v>0</v>
      </c>
      <c r="AP3390">
        <v>0</v>
      </c>
      <c r="AQ3390">
        <v>16.7</v>
      </c>
      <c r="AR3390">
        <v>0</v>
      </c>
      <c r="AS3390">
        <v>0</v>
      </c>
      <c r="AT3390">
        <v>0</v>
      </c>
      <c r="AU3390">
        <v>0</v>
      </c>
      <c r="AV3390">
        <v>0</v>
      </c>
      <c r="AW3390">
        <v>0</v>
      </c>
      <c r="AX3390">
        <v>0</v>
      </c>
      <c r="AY3390">
        <v>0</v>
      </c>
      <c r="AZ3390">
        <v>0</v>
      </c>
      <c r="BA3390">
        <v>0</v>
      </c>
      <c r="BB3390">
        <v>0</v>
      </c>
      <c r="BC3390">
        <v>0</v>
      </c>
      <c r="BD3390">
        <v>0</v>
      </c>
      <c r="BE3390">
        <v>0</v>
      </c>
      <c r="BF3390">
        <v>0</v>
      </c>
      <c r="BG3390">
        <v>0</v>
      </c>
      <c r="BH3390">
        <v>1</v>
      </c>
      <c r="BI3390">
        <v>3</v>
      </c>
      <c r="BJ3390">
        <v>2.4</v>
      </c>
      <c r="BK3390">
        <v>3</v>
      </c>
      <c r="BL3390">
        <v>54.66</v>
      </c>
      <c r="BM3390">
        <v>8.1999999999999993</v>
      </c>
      <c r="BN3390">
        <v>62.86</v>
      </c>
      <c r="BO3390">
        <v>62.86</v>
      </c>
      <c r="BQ3390" t="s">
        <v>1852</v>
      </c>
      <c r="BR3390" t="s">
        <v>84</v>
      </c>
      <c r="BS3390" s="3">
        <v>45804</v>
      </c>
      <c r="BT3390" s="4">
        <v>0.3888888888888889</v>
      </c>
      <c r="BU3390" t="s">
        <v>2643</v>
      </c>
      <c r="BV3390" t="s">
        <v>86</v>
      </c>
      <c r="BY3390">
        <v>11760</v>
      </c>
      <c r="CA3390" t="s">
        <v>3193</v>
      </c>
      <c r="CC3390" t="s">
        <v>118</v>
      </c>
      <c r="CD3390">
        <v>2139</v>
      </c>
      <c r="CE3390" t="s">
        <v>221</v>
      </c>
      <c r="CF3390" s="3">
        <v>45804</v>
      </c>
      <c r="CI3390">
        <v>1</v>
      </c>
      <c r="CJ3390">
        <v>1</v>
      </c>
      <c r="CK3390">
        <v>22</v>
      </c>
      <c r="CL3390" t="s">
        <v>89</v>
      </c>
    </row>
    <row r="3391" spans="1:90" x14ac:dyDescent="0.3">
      <c r="A3391" t="s">
        <v>72</v>
      </c>
      <c r="B3391" t="s">
        <v>73</v>
      </c>
      <c r="C3391" t="s">
        <v>74</v>
      </c>
      <c r="E3391" t="str">
        <f>"080065571392"</f>
        <v>080065571392</v>
      </c>
      <c r="F3391" s="3">
        <v>45803</v>
      </c>
      <c r="G3391">
        <v>202602</v>
      </c>
      <c r="H3391" t="s">
        <v>75</v>
      </c>
      <c r="I3391" t="s">
        <v>76</v>
      </c>
      <c r="J3391" t="s">
        <v>77</v>
      </c>
      <c r="K3391" t="s">
        <v>78</v>
      </c>
      <c r="L3391" t="s">
        <v>331</v>
      </c>
      <c r="M3391" t="s">
        <v>332</v>
      </c>
      <c r="N3391" t="s">
        <v>499</v>
      </c>
      <c r="O3391" t="s">
        <v>82</v>
      </c>
      <c r="P3391" t="str">
        <f>"4170040535                    "</f>
        <v xml:space="preserve">4170040535                    </v>
      </c>
      <c r="Q3391">
        <v>0</v>
      </c>
      <c r="R3391">
        <v>0</v>
      </c>
      <c r="S3391">
        <v>0</v>
      </c>
      <c r="T3391">
        <v>0</v>
      </c>
      <c r="U3391">
        <v>0</v>
      </c>
      <c r="V3391">
        <v>0</v>
      </c>
      <c r="W3391">
        <v>0</v>
      </c>
      <c r="X3391">
        <v>0</v>
      </c>
      <c r="Y3391">
        <v>0</v>
      </c>
      <c r="Z3391">
        <v>0</v>
      </c>
      <c r="AA3391">
        <v>0</v>
      </c>
      <c r="AB3391">
        <v>0</v>
      </c>
      <c r="AC3391">
        <v>0</v>
      </c>
      <c r="AD3391">
        <v>0</v>
      </c>
      <c r="AE3391">
        <v>0</v>
      </c>
      <c r="AF3391">
        <v>0</v>
      </c>
      <c r="AG3391">
        <v>0</v>
      </c>
      <c r="AH3391">
        <v>0</v>
      </c>
      <c r="AI3391">
        <v>0</v>
      </c>
      <c r="AJ3391">
        <v>0</v>
      </c>
      <c r="AK3391">
        <v>0</v>
      </c>
      <c r="AL3391">
        <v>0</v>
      </c>
      <c r="AM3391">
        <v>0</v>
      </c>
      <c r="AN3391">
        <v>0</v>
      </c>
      <c r="AO3391">
        <v>0</v>
      </c>
      <c r="AP3391">
        <v>0</v>
      </c>
      <c r="AQ3391">
        <v>16.7</v>
      </c>
      <c r="AR3391">
        <v>0</v>
      </c>
      <c r="AS3391">
        <v>0</v>
      </c>
      <c r="AT3391">
        <v>0</v>
      </c>
      <c r="AU3391">
        <v>0</v>
      </c>
      <c r="AV3391">
        <v>0</v>
      </c>
      <c r="AW3391">
        <v>0</v>
      </c>
      <c r="AX3391">
        <v>0</v>
      </c>
      <c r="AY3391">
        <v>0</v>
      </c>
      <c r="AZ3391">
        <v>0</v>
      </c>
      <c r="BA3391">
        <v>0</v>
      </c>
      <c r="BB3391">
        <v>0</v>
      </c>
      <c r="BC3391">
        <v>0</v>
      </c>
      <c r="BD3391">
        <v>0</v>
      </c>
      <c r="BE3391">
        <v>0</v>
      </c>
      <c r="BF3391">
        <v>0</v>
      </c>
      <c r="BG3391">
        <v>0</v>
      </c>
      <c r="BH3391">
        <v>1</v>
      </c>
      <c r="BI3391">
        <v>8</v>
      </c>
      <c r="BJ3391">
        <v>4.3</v>
      </c>
      <c r="BK3391">
        <v>8</v>
      </c>
      <c r="BL3391">
        <v>54.66</v>
      </c>
      <c r="BM3391">
        <v>8.1999999999999993</v>
      </c>
      <c r="BN3391">
        <v>62.86</v>
      </c>
      <c r="BO3391">
        <v>62.86</v>
      </c>
      <c r="BQ3391" t="s">
        <v>500</v>
      </c>
      <c r="BR3391" t="s">
        <v>84</v>
      </c>
      <c r="BS3391" s="3">
        <v>45804</v>
      </c>
      <c r="BT3391" s="4">
        <v>0.6020833333333333</v>
      </c>
      <c r="BU3391" t="s">
        <v>1185</v>
      </c>
      <c r="BV3391" t="s">
        <v>89</v>
      </c>
      <c r="BY3391">
        <v>21463</v>
      </c>
      <c r="CA3391" t="s">
        <v>336</v>
      </c>
      <c r="CC3391" t="s">
        <v>332</v>
      </c>
      <c r="CD3391">
        <v>1451</v>
      </c>
      <c r="CE3391" t="s">
        <v>221</v>
      </c>
      <c r="CF3391" s="3">
        <v>45805</v>
      </c>
      <c r="CI3391">
        <v>1</v>
      </c>
      <c r="CJ3391">
        <v>1</v>
      </c>
      <c r="CK3391">
        <v>22</v>
      </c>
      <c r="CL3391" t="s">
        <v>89</v>
      </c>
    </row>
    <row r="3392" spans="1:90" x14ac:dyDescent="0.3">
      <c r="A3392" t="s">
        <v>72</v>
      </c>
      <c r="B3392" t="s">
        <v>73</v>
      </c>
      <c r="C3392" t="s">
        <v>74</v>
      </c>
      <c r="E3392" t="str">
        <f>"080065571415"</f>
        <v>080065571415</v>
      </c>
      <c r="F3392" s="3">
        <v>45803</v>
      </c>
      <c r="G3392">
        <v>202602</v>
      </c>
      <c r="H3392" t="s">
        <v>75</v>
      </c>
      <c r="I3392" t="s">
        <v>76</v>
      </c>
      <c r="J3392" t="s">
        <v>77</v>
      </c>
      <c r="K3392" t="s">
        <v>78</v>
      </c>
      <c r="L3392" t="s">
        <v>143</v>
      </c>
      <c r="M3392" t="s">
        <v>144</v>
      </c>
      <c r="N3392" t="s">
        <v>1965</v>
      </c>
      <c r="O3392" t="s">
        <v>82</v>
      </c>
      <c r="P3392" t="str">
        <f>"4170040745                    "</f>
        <v xml:space="preserve">4170040745                    </v>
      </c>
      <c r="Q3392">
        <v>0</v>
      </c>
      <c r="R3392">
        <v>0</v>
      </c>
      <c r="S3392">
        <v>0</v>
      </c>
      <c r="T3392">
        <v>0</v>
      </c>
      <c r="U3392">
        <v>0</v>
      </c>
      <c r="V3392">
        <v>0</v>
      </c>
      <c r="W3392">
        <v>0</v>
      </c>
      <c r="X3392">
        <v>0</v>
      </c>
      <c r="Y3392">
        <v>0</v>
      </c>
      <c r="Z3392">
        <v>0</v>
      </c>
      <c r="AA3392">
        <v>0</v>
      </c>
      <c r="AB3392">
        <v>0</v>
      </c>
      <c r="AC3392">
        <v>0</v>
      </c>
      <c r="AD3392">
        <v>0</v>
      </c>
      <c r="AE3392">
        <v>0</v>
      </c>
      <c r="AF3392">
        <v>0</v>
      </c>
      <c r="AG3392">
        <v>0</v>
      </c>
      <c r="AH3392">
        <v>0</v>
      </c>
      <c r="AI3392">
        <v>0</v>
      </c>
      <c r="AJ3392">
        <v>0</v>
      </c>
      <c r="AK3392">
        <v>0</v>
      </c>
      <c r="AL3392">
        <v>0</v>
      </c>
      <c r="AM3392">
        <v>0</v>
      </c>
      <c r="AN3392">
        <v>0</v>
      </c>
      <c r="AO3392">
        <v>0</v>
      </c>
      <c r="AP3392">
        <v>0</v>
      </c>
      <c r="AQ3392">
        <v>16.7</v>
      </c>
      <c r="AR3392">
        <v>0</v>
      </c>
      <c r="AS3392">
        <v>0</v>
      </c>
      <c r="AT3392">
        <v>0</v>
      </c>
      <c r="AU3392">
        <v>0</v>
      </c>
      <c r="AV3392">
        <v>0</v>
      </c>
      <c r="AW3392">
        <v>0</v>
      </c>
      <c r="AX3392">
        <v>0</v>
      </c>
      <c r="AY3392">
        <v>0</v>
      </c>
      <c r="AZ3392">
        <v>0</v>
      </c>
      <c r="BA3392">
        <v>0</v>
      </c>
      <c r="BB3392">
        <v>0</v>
      </c>
      <c r="BC3392">
        <v>0</v>
      </c>
      <c r="BD3392">
        <v>0</v>
      </c>
      <c r="BE3392">
        <v>0</v>
      </c>
      <c r="BF3392">
        <v>0</v>
      </c>
      <c r="BG3392">
        <v>0</v>
      </c>
      <c r="BH3392">
        <v>1</v>
      </c>
      <c r="BI3392">
        <v>4</v>
      </c>
      <c r="BJ3392">
        <v>1.9</v>
      </c>
      <c r="BK3392">
        <v>4</v>
      </c>
      <c r="BL3392">
        <v>54.66</v>
      </c>
      <c r="BM3392">
        <v>8.1999999999999993</v>
      </c>
      <c r="BN3392">
        <v>62.86</v>
      </c>
      <c r="BO3392">
        <v>62.86</v>
      </c>
      <c r="BQ3392" t="s">
        <v>1966</v>
      </c>
      <c r="BR3392" t="s">
        <v>84</v>
      </c>
      <c r="BS3392" s="3">
        <v>45804</v>
      </c>
      <c r="BT3392" s="4">
        <v>0.41666666666666669</v>
      </c>
      <c r="BU3392" t="s">
        <v>407</v>
      </c>
      <c r="BV3392" t="s">
        <v>86</v>
      </c>
      <c r="BY3392">
        <v>9600</v>
      </c>
      <c r="CA3392" t="s">
        <v>765</v>
      </c>
      <c r="CC3392" t="s">
        <v>144</v>
      </c>
      <c r="CD3392">
        <v>1401</v>
      </c>
      <c r="CE3392" t="s">
        <v>96</v>
      </c>
      <c r="CF3392" s="3">
        <v>45805</v>
      </c>
      <c r="CI3392">
        <v>1</v>
      </c>
      <c r="CJ3392">
        <v>1</v>
      </c>
      <c r="CK3392">
        <v>22</v>
      </c>
      <c r="CL3392" t="s">
        <v>89</v>
      </c>
    </row>
    <row r="3393" spans="1:90" x14ac:dyDescent="0.3">
      <c r="A3393" t="s">
        <v>72</v>
      </c>
      <c r="B3393" t="s">
        <v>73</v>
      </c>
      <c r="C3393" t="s">
        <v>74</v>
      </c>
      <c r="E3393" t="str">
        <f>"080065571552"</f>
        <v>080065571552</v>
      </c>
      <c r="F3393" s="3">
        <v>45803</v>
      </c>
      <c r="G3393">
        <v>202602</v>
      </c>
      <c r="H3393" t="s">
        <v>75</v>
      </c>
      <c r="I3393" t="s">
        <v>76</v>
      </c>
      <c r="J3393" t="s">
        <v>77</v>
      </c>
      <c r="K3393" t="s">
        <v>78</v>
      </c>
      <c r="L3393" t="s">
        <v>1099</v>
      </c>
      <c r="M3393" t="s">
        <v>1100</v>
      </c>
      <c r="N3393" t="s">
        <v>1287</v>
      </c>
      <c r="O3393" t="s">
        <v>82</v>
      </c>
      <c r="P3393" t="str">
        <f>"4170040741                    "</f>
        <v xml:space="preserve">4170040741                    </v>
      </c>
      <c r="Q3393">
        <v>0</v>
      </c>
      <c r="R3393">
        <v>0</v>
      </c>
      <c r="S3393">
        <v>0</v>
      </c>
      <c r="T3393">
        <v>0</v>
      </c>
      <c r="U3393">
        <v>0</v>
      </c>
      <c r="V3393">
        <v>0</v>
      </c>
      <c r="W3393">
        <v>0</v>
      </c>
      <c r="X3393">
        <v>0</v>
      </c>
      <c r="Y3393">
        <v>0</v>
      </c>
      <c r="Z3393">
        <v>0</v>
      </c>
      <c r="AA3393">
        <v>0</v>
      </c>
      <c r="AB3393">
        <v>0</v>
      </c>
      <c r="AC3393">
        <v>0</v>
      </c>
      <c r="AD3393">
        <v>0</v>
      </c>
      <c r="AE3393">
        <v>0</v>
      </c>
      <c r="AF3393">
        <v>0</v>
      </c>
      <c r="AG3393">
        <v>0</v>
      </c>
      <c r="AH3393">
        <v>0</v>
      </c>
      <c r="AI3393">
        <v>0</v>
      </c>
      <c r="AJ3393">
        <v>0</v>
      </c>
      <c r="AK3393">
        <v>0</v>
      </c>
      <c r="AL3393">
        <v>0</v>
      </c>
      <c r="AM3393">
        <v>0</v>
      </c>
      <c r="AN3393">
        <v>0</v>
      </c>
      <c r="AO3393">
        <v>0</v>
      </c>
      <c r="AP3393">
        <v>0</v>
      </c>
      <c r="AQ3393">
        <v>191.1</v>
      </c>
      <c r="AR3393">
        <v>0</v>
      </c>
      <c r="AS3393">
        <v>0</v>
      </c>
      <c r="AT3393">
        <v>0</v>
      </c>
      <c r="AU3393">
        <v>0</v>
      </c>
      <c r="AV3393">
        <v>0</v>
      </c>
      <c r="AW3393">
        <v>0</v>
      </c>
      <c r="AX3393">
        <v>0</v>
      </c>
      <c r="AY3393">
        <v>0</v>
      </c>
      <c r="AZ3393">
        <v>0</v>
      </c>
      <c r="BA3393">
        <v>0</v>
      </c>
      <c r="BB3393">
        <v>0</v>
      </c>
      <c r="BC3393">
        <v>0</v>
      </c>
      <c r="BD3393">
        <v>0</v>
      </c>
      <c r="BE3393">
        <v>0</v>
      </c>
      <c r="BF3393">
        <v>0</v>
      </c>
      <c r="BG3393">
        <v>0</v>
      </c>
      <c r="BH3393">
        <v>1</v>
      </c>
      <c r="BI3393">
        <v>10</v>
      </c>
      <c r="BJ3393">
        <v>7.5</v>
      </c>
      <c r="BK3393">
        <v>10</v>
      </c>
      <c r="BL3393">
        <v>625.41999999999996</v>
      </c>
      <c r="BM3393">
        <v>93.81</v>
      </c>
      <c r="BN3393">
        <v>719.23</v>
      </c>
      <c r="BO3393">
        <v>719.23</v>
      </c>
      <c r="BQ3393" t="s">
        <v>1288</v>
      </c>
      <c r="BR3393" t="s">
        <v>84</v>
      </c>
      <c r="BS3393" s="3">
        <v>45804</v>
      </c>
      <c r="BT3393" s="4">
        <v>0.39930555555555558</v>
      </c>
      <c r="BU3393" t="s">
        <v>3147</v>
      </c>
      <c r="BV3393" t="s">
        <v>86</v>
      </c>
      <c r="BY3393">
        <v>37536</v>
      </c>
      <c r="CA3393" t="s">
        <v>2693</v>
      </c>
      <c r="CC3393" t="s">
        <v>1100</v>
      </c>
      <c r="CD3393" s="5" t="s">
        <v>1291</v>
      </c>
      <c r="CE3393" t="s">
        <v>550</v>
      </c>
      <c r="CF3393" s="3">
        <v>45805</v>
      </c>
      <c r="CI3393">
        <v>1</v>
      </c>
      <c r="CJ3393">
        <v>1</v>
      </c>
      <c r="CK3393">
        <v>23</v>
      </c>
      <c r="CL3393" t="s">
        <v>89</v>
      </c>
    </row>
    <row r="3394" spans="1:90" x14ac:dyDescent="0.3">
      <c r="A3394" t="s">
        <v>72</v>
      </c>
      <c r="B3394" t="s">
        <v>73</v>
      </c>
      <c r="C3394" t="s">
        <v>74</v>
      </c>
      <c r="E3394" t="str">
        <f>"080065571717"</f>
        <v>080065571717</v>
      </c>
      <c r="F3394" s="3">
        <v>45803</v>
      </c>
      <c r="G3394">
        <v>202602</v>
      </c>
      <c r="H3394" t="s">
        <v>75</v>
      </c>
      <c r="I3394" t="s">
        <v>76</v>
      </c>
      <c r="J3394" t="s">
        <v>77</v>
      </c>
      <c r="K3394" t="s">
        <v>78</v>
      </c>
      <c r="L3394" t="s">
        <v>902</v>
      </c>
      <c r="M3394" t="s">
        <v>903</v>
      </c>
      <c r="N3394" t="s">
        <v>1303</v>
      </c>
      <c r="O3394" t="s">
        <v>82</v>
      </c>
      <c r="P3394" t="str">
        <f>"4170040724                    "</f>
        <v xml:space="preserve">4170040724                    </v>
      </c>
      <c r="Q3394">
        <v>0</v>
      </c>
      <c r="R3394">
        <v>0</v>
      </c>
      <c r="S3394">
        <v>0</v>
      </c>
      <c r="T3394">
        <v>0</v>
      </c>
      <c r="U3394">
        <v>0</v>
      </c>
      <c r="V3394">
        <v>0</v>
      </c>
      <c r="W3394">
        <v>0</v>
      </c>
      <c r="X3394">
        <v>0</v>
      </c>
      <c r="Y3394">
        <v>0</v>
      </c>
      <c r="Z3394">
        <v>0</v>
      </c>
      <c r="AA3394">
        <v>0</v>
      </c>
      <c r="AB3394">
        <v>0</v>
      </c>
      <c r="AC3394">
        <v>0</v>
      </c>
      <c r="AD3394">
        <v>0</v>
      </c>
      <c r="AE3394">
        <v>0</v>
      </c>
      <c r="AF3394">
        <v>0</v>
      </c>
      <c r="AG3394">
        <v>0</v>
      </c>
      <c r="AH3394">
        <v>0</v>
      </c>
      <c r="AI3394">
        <v>0</v>
      </c>
      <c r="AJ3394">
        <v>0</v>
      </c>
      <c r="AK3394">
        <v>0</v>
      </c>
      <c r="AL3394">
        <v>0</v>
      </c>
      <c r="AM3394">
        <v>0</v>
      </c>
      <c r="AN3394">
        <v>0</v>
      </c>
      <c r="AO3394">
        <v>0</v>
      </c>
      <c r="AP3394">
        <v>0</v>
      </c>
      <c r="AQ3394">
        <v>41.43</v>
      </c>
      <c r="AR3394">
        <v>0</v>
      </c>
      <c r="AS3394">
        <v>0</v>
      </c>
      <c r="AT3394">
        <v>0</v>
      </c>
      <c r="AU3394">
        <v>0</v>
      </c>
      <c r="AV3394">
        <v>0</v>
      </c>
      <c r="AW3394">
        <v>0</v>
      </c>
      <c r="AX3394">
        <v>0</v>
      </c>
      <c r="AY3394">
        <v>0</v>
      </c>
      <c r="AZ3394">
        <v>0</v>
      </c>
      <c r="BA3394">
        <v>0</v>
      </c>
      <c r="BB3394">
        <v>0</v>
      </c>
      <c r="BC3394">
        <v>0</v>
      </c>
      <c r="BD3394">
        <v>0</v>
      </c>
      <c r="BE3394">
        <v>0</v>
      </c>
      <c r="BF3394">
        <v>0</v>
      </c>
      <c r="BG3394">
        <v>0</v>
      </c>
      <c r="BH3394">
        <v>1</v>
      </c>
      <c r="BI3394">
        <v>1</v>
      </c>
      <c r="BJ3394">
        <v>0.2</v>
      </c>
      <c r="BK3394">
        <v>1</v>
      </c>
      <c r="BL3394">
        <v>135.59</v>
      </c>
      <c r="BM3394">
        <v>20.34</v>
      </c>
      <c r="BN3394">
        <v>155.93</v>
      </c>
      <c r="BO3394">
        <v>155.93</v>
      </c>
      <c r="BQ3394" t="s">
        <v>1304</v>
      </c>
      <c r="BR3394" t="s">
        <v>84</v>
      </c>
      <c r="BS3394" s="3">
        <v>45804</v>
      </c>
      <c r="BT3394" s="4">
        <v>0.47638888888888886</v>
      </c>
      <c r="BU3394" t="s">
        <v>3194</v>
      </c>
      <c r="BV3394" t="s">
        <v>86</v>
      </c>
      <c r="BY3394">
        <v>1200</v>
      </c>
      <c r="CA3394" t="s">
        <v>1306</v>
      </c>
      <c r="CC3394" t="s">
        <v>903</v>
      </c>
      <c r="CD3394">
        <v>1020</v>
      </c>
      <c r="CE3394" t="s">
        <v>88</v>
      </c>
      <c r="CF3394" s="3">
        <v>45804</v>
      </c>
      <c r="CI3394">
        <v>1</v>
      </c>
      <c r="CJ3394">
        <v>1</v>
      </c>
      <c r="CK3394">
        <v>23</v>
      </c>
      <c r="CL3394" t="s">
        <v>89</v>
      </c>
    </row>
    <row r="3395" spans="1:90" x14ac:dyDescent="0.3">
      <c r="A3395" t="s">
        <v>72</v>
      </c>
      <c r="B3395" t="s">
        <v>73</v>
      </c>
      <c r="C3395" t="s">
        <v>74</v>
      </c>
      <c r="E3395" t="str">
        <f>"080065571725"</f>
        <v>080065571725</v>
      </c>
      <c r="F3395" s="3">
        <v>45803</v>
      </c>
      <c r="G3395">
        <v>202602</v>
      </c>
      <c r="H3395" t="s">
        <v>75</v>
      </c>
      <c r="I3395" t="s">
        <v>76</v>
      </c>
      <c r="J3395" t="s">
        <v>77</v>
      </c>
      <c r="K3395" t="s">
        <v>78</v>
      </c>
      <c r="L3395" t="s">
        <v>350</v>
      </c>
      <c r="M3395" t="s">
        <v>351</v>
      </c>
      <c r="N3395" t="s">
        <v>459</v>
      </c>
      <c r="O3395" t="s">
        <v>300</v>
      </c>
      <c r="P3395" t="str">
        <f>"4170040715                    "</f>
        <v xml:space="preserve">4170040715                    </v>
      </c>
      <c r="Q3395">
        <v>0</v>
      </c>
      <c r="R3395">
        <v>0</v>
      </c>
      <c r="S3395">
        <v>0</v>
      </c>
      <c r="T3395">
        <v>0</v>
      </c>
      <c r="U3395">
        <v>0</v>
      </c>
      <c r="V3395">
        <v>0</v>
      </c>
      <c r="W3395">
        <v>0</v>
      </c>
      <c r="X3395">
        <v>0</v>
      </c>
      <c r="Y3395">
        <v>0</v>
      </c>
      <c r="Z3395">
        <v>0</v>
      </c>
      <c r="AA3395">
        <v>0</v>
      </c>
      <c r="AB3395">
        <v>0</v>
      </c>
      <c r="AC3395">
        <v>0</v>
      </c>
      <c r="AD3395">
        <v>0</v>
      </c>
      <c r="AE3395">
        <v>0</v>
      </c>
      <c r="AF3395">
        <v>0</v>
      </c>
      <c r="AG3395">
        <v>0</v>
      </c>
      <c r="AH3395">
        <v>0</v>
      </c>
      <c r="AI3395">
        <v>0</v>
      </c>
      <c r="AJ3395">
        <v>0</v>
      </c>
      <c r="AK3395">
        <v>0</v>
      </c>
      <c r="AL3395">
        <v>0</v>
      </c>
      <c r="AM3395">
        <v>0</v>
      </c>
      <c r="AN3395">
        <v>0</v>
      </c>
      <c r="AO3395">
        <v>0</v>
      </c>
      <c r="AP3395">
        <v>0</v>
      </c>
      <c r="AQ3395">
        <v>44.77</v>
      </c>
      <c r="AR3395">
        <v>0</v>
      </c>
      <c r="AS3395">
        <v>0</v>
      </c>
      <c r="AT3395">
        <v>0</v>
      </c>
      <c r="AU3395">
        <v>0</v>
      </c>
      <c r="AV3395">
        <v>0</v>
      </c>
      <c r="AW3395">
        <v>0</v>
      </c>
      <c r="AX3395">
        <v>0</v>
      </c>
      <c r="AY3395">
        <v>0</v>
      </c>
      <c r="AZ3395">
        <v>0</v>
      </c>
      <c r="BA3395">
        <v>0</v>
      </c>
      <c r="BB3395">
        <v>0</v>
      </c>
      <c r="BC3395">
        <v>0</v>
      </c>
      <c r="BD3395">
        <v>0</v>
      </c>
      <c r="BE3395">
        <v>0</v>
      </c>
      <c r="BF3395">
        <v>0</v>
      </c>
      <c r="BG3395">
        <v>0</v>
      </c>
      <c r="BH3395">
        <v>1</v>
      </c>
      <c r="BI3395">
        <v>16</v>
      </c>
      <c r="BJ3395">
        <v>16.3</v>
      </c>
      <c r="BK3395">
        <v>17</v>
      </c>
      <c r="BL3395">
        <v>152.08000000000001</v>
      </c>
      <c r="BM3395">
        <v>22.81</v>
      </c>
      <c r="BN3395">
        <v>174.89</v>
      </c>
      <c r="BO3395">
        <v>174.89</v>
      </c>
      <c r="BQ3395" t="s">
        <v>460</v>
      </c>
      <c r="BR3395" t="s">
        <v>84</v>
      </c>
      <c r="BS3395" s="3">
        <v>45805</v>
      </c>
      <c r="BT3395" s="4">
        <v>0.33402777777777776</v>
      </c>
      <c r="BU3395" t="s">
        <v>461</v>
      </c>
      <c r="BV3395" t="s">
        <v>89</v>
      </c>
      <c r="BY3395">
        <v>81675</v>
      </c>
      <c r="CA3395" t="s">
        <v>462</v>
      </c>
      <c r="CC3395" t="s">
        <v>351</v>
      </c>
      <c r="CD3395">
        <v>4051</v>
      </c>
      <c r="CE3395" t="s">
        <v>511</v>
      </c>
      <c r="CF3395" s="3">
        <v>45805</v>
      </c>
      <c r="CI3395">
        <v>1</v>
      </c>
      <c r="CJ3395">
        <v>2</v>
      </c>
      <c r="CK3395">
        <v>41</v>
      </c>
      <c r="CL3395" t="s">
        <v>89</v>
      </c>
    </row>
    <row r="3396" spans="1:90" x14ac:dyDescent="0.3">
      <c r="A3396" t="s">
        <v>72</v>
      </c>
      <c r="B3396" t="s">
        <v>73</v>
      </c>
      <c r="C3396" t="s">
        <v>74</v>
      </c>
      <c r="E3396" t="str">
        <f>"080065571739"</f>
        <v>080065571739</v>
      </c>
      <c r="F3396" s="3">
        <v>45803</v>
      </c>
      <c r="G3396">
        <v>202602</v>
      </c>
      <c r="H3396" t="s">
        <v>75</v>
      </c>
      <c r="I3396" t="s">
        <v>76</v>
      </c>
      <c r="J3396" t="s">
        <v>77</v>
      </c>
      <c r="K3396" t="s">
        <v>78</v>
      </c>
      <c r="L3396" t="s">
        <v>2278</v>
      </c>
      <c r="M3396" t="s">
        <v>2279</v>
      </c>
      <c r="N3396" t="s">
        <v>3195</v>
      </c>
      <c r="O3396" t="s">
        <v>82</v>
      </c>
      <c r="P3396" t="str">
        <f>"4170040721                    "</f>
        <v xml:space="preserve">4170040721                    </v>
      </c>
      <c r="Q3396">
        <v>0</v>
      </c>
      <c r="R3396">
        <v>0</v>
      </c>
      <c r="S3396">
        <v>0</v>
      </c>
      <c r="T3396">
        <v>0</v>
      </c>
      <c r="U3396">
        <v>0</v>
      </c>
      <c r="V3396">
        <v>0</v>
      </c>
      <c r="W3396">
        <v>0</v>
      </c>
      <c r="X3396">
        <v>0</v>
      </c>
      <c r="Y3396">
        <v>0</v>
      </c>
      <c r="Z3396">
        <v>0</v>
      </c>
      <c r="AA3396">
        <v>0</v>
      </c>
      <c r="AB3396">
        <v>0</v>
      </c>
      <c r="AC3396">
        <v>0</v>
      </c>
      <c r="AD3396">
        <v>0</v>
      </c>
      <c r="AE3396">
        <v>0</v>
      </c>
      <c r="AF3396">
        <v>0</v>
      </c>
      <c r="AG3396">
        <v>0</v>
      </c>
      <c r="AH3396">
        <v>0</v>
      </c>
      <c r="AI3396">
        <v>0</v>
      </c>
      <c r="AJ3396">
        <v>0</v>
      </c>
      <c r="AK3396">
        <v>0</v>
      </c>
      <c r="AL3396">
        <v>0</v>
      </c>
      <c r="AM3396">
        <v>0</v>
      </c>
      <c r="AN3396">
        <v>0</v>
      </c>
      <c r="AO3396">
        <v>0</v>
      </c>
      <c r="AP3396">
        <v>0</v>
      </c>
      <c r="AQ3396">
        <v>21.38</v>
      </c>
      <c r="AR3396">
        <v>0</v>
      </c>
      <c r="AS3396">
        <v>0</v>
      </c>
      <c r="AT3396">
        <v>0</v>
      </c>
      <c r="AU3396">
        <v>0</v>
      </c>
      <c r="AV3396">
        <v>0</v>
      </c>
      <c r="AW3396">
        <v>0</v>
      </c>
      <c r="AX3396">
        <v>0</v>
      </c>
      <c r="AY3396">
        <v>0</v>
      </c>
      <c r="AZ3396">
        <v>0</v>
      </c>
      <c r="BA3396">
        <v>0</v>
      </c>
      <c r="BB3396">
        <v>0</v>
      </c>
      <c r="BC3396">
        <v>0</v>
      </c>
      <c r="BD3396">
        <v>0</v>
      </c>
      <c r="BE3396">
        <v>0</v>
      </c>
      <c r="BF3396">
        <v>0</v>
      </c>
      <c r="BG3396">
        <v>0</v>
      </c>
      <c r="BH3396">
        <v>1</v>
      </c>
      <c r="BI3396">
        <v>1</v>
      </c>
      <c r="BJ3396">
        <v>0.2</v>
      </c>
      <c r="BK3396">
        <v>1</v>
      </c>
      <c r="BL3396">
        <v>69.98</v>
      </c>
      <c r="BM3396">
        <v>10.5</v>
      </c>
      <c r="BN3396">
        <v>80.48</v>
      </c>
      <c r="BO3396">
        <v>80.48</v>
      </c>
      <c r="BQ3396" t="s">
        <v>3196</v>
      </c>
      <c r="BR3396" t="s">
        <v>84</v>
      </c>
      <c r="BS3396" s="3">
        <v>45804</v>
      </c>
      <c r="BT3396" s="4">
        <v>0.41666666666666669</v>
      </c>
      <c r="BU3396" t="s">
        <v>3197</v>
      </c>
      <c r="BV3396" t="s">
        <v>86</v>
      </c>
      <c r="BY3396">
        <v>1200</v>
      </c>
      <c r="CA3396" t="s">
        <v>3162</v>
      </c>
      <c r="CC3396" t="s">
        <v>2279</v>
      </c>
      <c r="CD3396">
        <v>4026</v>
      </c>
      <c r="CE3396" t="s">
        <v>88</v>
      </c>
      <c r="CF3396" s="3">
        <v>45805</v>
      </c>
      <c r="CI3396">
        <v>1</v>
      </c>
      <c r="CJ3396">
        <v>1</v>
      </c>
      <c r="CK3396">
        <v>21</v>
      </c>
      <c r="CL3396" t="s">
        <v>89</v>
      </c>
    </row>
    <row r="3397" spans="1:90" x14ac:dyDescent="0.3">
      <c r="A3397" t="s">
        <v>72</v>
      </c>
      <c r="B3397" t="s">
        <v>73</v>
      </c>
      <c r="C3397" t="s">
        <v>74</v>
      </c>
      <c r="E3397" t="str">
        <f>"080065571767"</f>
        <v>080065571767</v>
      </c>
      <c r="F3397" s="3">
        <v>45803</v>
      </c>
      <c r="G3397">
        <v>202602</v>
      </c>
      <c r="H3397" t="s">
        <v>75</v>
      </c>
      <c r="I3397" t="s">
        <v>76</v>
      </c>
      <c r="J3397" t="s">
        <v>77</v>
      </c>
      <c r="K3397" t="s">
        <v>78</v>
      </c>
      <c r="L3397" t="s">
        <v>79</v>
      </c>
      <c r="M3397" t="s">
        <v>80</v>
      </c>
      <c r="N3397" t="s">
        <v>3198</v>
      </c>
      <c r="O3397" t="s">
        <v>300</v>
      </c>
      <c r="P3397" t="str">
        <f>"4170040719                    "</f>
        <v xml:space="preserve">4170040719                    </v>
      </c>
      <c r="Q3397">
        <v>0</v>
      </c>
      <c r="R3397">
        <v>0</v>
      </c>
      <c r="S3397">
        <v>0</v>
      </c>
      <c r="T3397">
        <v>0</v>
      </c>
      <c r="U3397">
        <v>0</v>
      </c>
      <c r="V3397">
        <v>0</v>
      </c>
      <c r="W3397">
        <v>0</v>
      </c>
      <c r="X3397">
        <v>0</v>
      </c>
      <c r="Y3397">
        <v>0</v>
      </c>
      <c r="Z3397">
        <v>0</v>
      </c>
      <c r="AA3397">
        <v>0</v>
      </c>
      <c r="AB3397">
        <v>0</v>
      </c>
      <c r="AC3397">
        <v>0</v>
      </c>
      <c r="AD3397">
        <v>0</v>
      </c>
      <c r="AE3397">
        <v>0</v>
      </c>
      <c r="AF3397">
        <v>0</v>
      </c>
      <c r="AG3397">
        <v>0</v>
      </c>
      <c r="AH3397">
        <v>0</v>
      </c>
      <c r="AI3397">
        <v>0</v>
      </c>
      <c r="AJ3397">
        <v>0</v>
      </c>
      <c r="AK3397">
        <v>0</v>
      </c>
      <c r="AL3397">
        <v>0</v>
      </c>
      <c r="AM3397">
        <v>0</v>
      </c>
      <c r="AN3397">
        <v>0</v>
      </c>
      <c r="AO3397">
        <v>0</v>
      </c>
      <c r="AP3397">
        <v>0</v>
      </c>
      <c r="AQ3397">
        <v>53.3</v>
      </c>
      <c r="AR3397">
        <v>0</v>
      </c>
      <c r="AS3397">
        <v>0</v>
      </c>
      <c r="AT3397">
        <v>0</v>
      </c>
      <c r="AU3397">
        <v>0</v>
      </c>
      <c r="AV3397">
        <v>0</v>
      </c>
      <c r="AW3397">
        <v>0</v>
      </c>
      <c r="AX3397">
        <v>0</v>
      </c>
      <c r="AY3397">
        <v>0</v>
      </c>
      <c r="AZ3397">
        <v>0</v>
      </c>
      <c r="BA3397">
        <v>0</v>
      </c>
      <c r="BB3397">
        <v>0</v>
      </c>
      <c r="BC3397">
        <v>0</v>
      </c>
      <c r="BD3397">
        <v>0</v>
      </c>
      <c r="BE3397">
        <v>0</v>
      </c>
      <c r="BF3397">
        <v>0</v>
      </c>
      <c r="BG3397">
        <v>0</v>
      </c>
      <c r="BH3397">
        <v>1</v>
      </c>
      <c r="BI3397">
        <v>22</v>
      </c>
      <c r="BJ3397">
        <v>9.6999999999999993</v>
      </c>
      <c r="BK3397">
        <v>22</v>
      </c>
      <c r="BL3397">
        <v>180.01</v>
      </c>
      <c r="BM3397">
        <v>27</v>
      </c>
      <c r="BN3397">
        <v>207.01</v>
      </c>
      <c r="BO3397">
        <v>207.01</v>
      </c>
      <c r="BQ3397" t="s">
        <v>3199</v>
      </c>
      <c r="BR3397" t="s">
        <v>84</v>
      </c>
      <c r="BS3397" s="3">
        <v>45804</v>
      </c>
      <c r="BT3397" s="4">
        <v>0.5395833333333333</v>
      </c>
      <c r="BU3397" t="s">
        <v>202</v>
      </c>
      <c r="BV3397" t="s">
        <v>86</v>
      </c>
      <c r="BY3397">
        <v>48450</v>
      </c>
      <c r="CA3397" t="s">
        <v>1046</v>
      </c>
      <c r="CC3397" t="s">
        <v>80</v>
      </c>
      <c r="CD3397">
        <v>3600</v>
      </c>
      <c r="CE3397" t="s">
        <v>356</v>
      </c>
      <c r="CF3397" s="3">
        <v>45804</v>
      </c>
      <c r="CI3397">
        <v>1</v>
      </c>
      <c r="CJ3397">
        <v>1</v>
      </c>
      <c r="CK3397">
        <v>41</v>
      </c>
      <c r="CL3397" t="s">
        <v>89</v>
      </c>
    </row>
    <row r="3398" spans="1:90" x14ac:dyDescent="0.3">
      <c r="A3398" t="s">
        <v>72</v>
      </c>
      <c r="B3398" t="s">
        <v>73</v>
      </c>
      <c r="C3398" t="s">
        <v>74</v>
      </c>
      <c r="E3398" t="str">
        <f>"080065571770"</f>
        <v>080065571770</v>
      </c>
      <c r="F3398" s="3">
        <v>45803</v>
      </c>
      <c r="G3398">
        <v>202602</v>
      </c>
      <c r="H3398" t="s">
        <v>75</v>
      </c>
      <c r="I3398" t="s">
        <v>76</v>
      </c>
      <c r="J3398" t="s">
        <v>77</v>
      </c>
      <c r="K3398" t="s">
        <v>78</v>
      </c>
      <c r="L3398" t="s">
        <v>75</v>
      </c>
      <c r="M3398" t="s">
        <v>76</v>
      </c>
      <c r="N3398" t="s">
        <v>390</v>
      </c>
      <c r="O3398" t="s">
        <v>82</v>
      </c>
      <c r="P3398" t="str">
        <f>"4170040713                    "</f>
        <v xml:space="preserve">4170040713                    </v>
      </c>
      <c r="Q3398">
        <v>0</v>
      </c>
      <c r="R3398">
        <v>0</v>
      </c>
      <c r="S3398">
        <v>0</v>
      </c>
      <c r="T3398">
        <v>0</v>
      </c>
      <c r="U3398">
        <v>0</v>
      </c>
      <c r="V3398">
        <v>0</v>
      </c>
      <c r="W3398">
        <v>0</v>
      </c>
      <c r="X3398">
        <v>0</v>
      </c>
      <c r="Y3398">
        <v>0</v>
      </c>
      <c r="Z3398">
        <v>0</v>
      </c>
      <c r="AA3398">
        <v>0</v>
      </c>
      <c r="AB3398">
        <v>0</v>
      </c>
      <c r="AC3398">
        <v>0</v>
      </c>
      <c r="AD3398">
        <v>0</v>
      </c>
      <c r="AE3398">
        <v>0</v>
      </c>
      <c r="AF3398">
        <v>0</v>
      </c>
      <c r="AG3398">
        <v>0</v>
      </c>
      <c r="AH3398">
        <v>0</v>
      </c>
      <c r="AI3398">
        <v>0</v>
      </c>
      <c r="AJ3398">
        <v>0</v>
      </c>
      <c r="AK3398">
        <v>0</v>
      </c>
      <c r="AL3398">
        <v>0</v>
      </c>
      <c r="AM3398">
        <v>0</v>
      </c>
      <c r="AN3398">
        <v>0</v>
      </c>
      <c r="AO3398">
        <v>0</v>
      </c>
      <c r="AP3398">
        <v>0</v>
      </c>
      <c r="AQ3398">
        <v>16.7</v>
      </c>
      <c r="AR3398">
        <v>0</v>
      </c>
      <c r="AS3398">
        <v>0</v>
      </c>
      <c r="AT3398">
        <v>0</v>
      </c>
      <c r="AU3398">
        <v>0</v>
      </c>
      <c r="AV3398">
        <v>0</v>
      </c>
      <c r="AW3398">
        <v>0</v>
      </c>
      <c r="AX3398">
        <v>0</v>
      </c>
      <c r="AY3398">
        <v>0</v>
      </c>
      <c r="AZ3398">
        <v>0</v>
      </c>
      <c r="BA3398">
        <v>0</v>
      </c>
      <c r="BB3398">
        <v>0</v>
      </c>
      <c r="BC3398">
        <v>0</v>
      </c>
      <c r="BD3398">
        <v>0</v>
      </c>
      <c r="BE3398">
        <v>0</v>
      </c>
      <c r="BF3398">
        <v>0</v>
      </c>
      <c r="BG3398">
        <v>0</v>
      </c>
      <c r="BH3398">
        <v>1</v>
      </c>
      <c r="BI3398">
        <v>1</v>
      </c>
      <c r="BJ3398">
        <v>0.2</v>
      </c>
      <c r="BK3398">
        <v>1</v>
      </c>
      <c r="BL3398">
        <v>54.66</v>
      </c>
      <c r="BM3398">
        <v>8.1999999999999993</v>
      </c>
      <c r="BN3398">
        <v>62.86</v>
      </c>
      <c r="BO3398">
        <v>62.86</v>
      </c>
      <c r="BQ3398" t="s">
        <v>391</v>
      </c>
      <c r="BR3398" t="s">
        <v>84</v>
      </c>
      <c r="BS3398" s="3">
        <v>45804</v>
      </c>
      <c r="BT3398" s="4">
        <v>0.3576388888888889</v>
      </c>
      <c r="BU3398" t="s">
        <v>1060</v>
      </c>
      <c r="BV3398" t="s">
        <v>86</v>
      </c>
      <c r="BY3398">
        <v>1200</v>
      </c>
      <c r="CA3398" t="s">
        <v>115</v>
      </c>
      <c r="CC3398" t="s">
        <v>76</v>
      </c>
      <c r="CD3398">
        <v>1600</v>
      </c>
      <c r="CE3398" t="s">
        <v>88</v>
      </c>
      <c r="CF3398" s="3">
        <v>45805</v>
      </c>
      <c r="CI3398">
        <v>1</v>
      </c>
      <c r="CJ3398">
        <v>1</v>
      </c>
      <c r="CK3398">
        <v>22</v>
      </c>
      <c r="CL3398" t="s">
        <v>89</v>
      </c>
    </row>
    <row r="3399" spans="1:90" x14ac:dyDescent="0.3">
      <c r="A3399" t="s">
        <v>72</v>
      </c>
      <c r="B3399" t="s">
        <v>73</v>
      </c>
      <c r="C3399" t="s">
        <v>74</v>
      </c>
      <c r="E3399" t="str">
        <f>"080065571859"</f>
        <v>080065571859</v>
      </c>
      <c r="F3399" s="3">
        <v>45803</v>
      </c>
      <c r="G3399">
        <v>202602</v>
      </c>
      <c r="H3399" t="s">
        <v>75</v>
      </c>
      <c r="I3399" t="s">
        <v>76</v>
      </c>
      <c r="J3399" t="s">
        <v>77</v>
      </c>
      <c r="K3399" t="s">
        <v>78</v>
      </c>
      <c r="L3399" t="s">
        <v>136</v>
      </c>
      <c r="M3399" t="s">
        <v>137</v>
      </c>
      <c r="N3399" t="s">
        <v>1235</v>
      </c>
      <c r="O3399" t="s">
        <v>300</v>
      </c>
      <c r="P3399" t="str">
        <f>"4170040746                    "</f>
        <v xml:space="preserve">4170040746                    </v>
      </c>
      <c r="Q3399">
        <v>0</v>
      </c>
      <c r="R3399">
        <v>0</v>
      </c>
      <c r="S3399">
        <v>0</v>
      </c>
      <c r="T3399">
        <v>0</v>
      </c>
      <c r="U3399">
        <v>0</v>
      </c>
      <c r="V3399">
        <v>0</v>
      </c>
      <c r="W3399">
        <v>0</v>
      </c>
      <c r="X3399">
        <v>0</v>
      </c>
      <c r="Y3399">
        <v>0</v>
      </c>
      <c r="Z3399">
        <v>0</v>
      </c>
      <c r="AA3399">
        <v>0</v>
      </c>
      <c r="AB3399">
        <v>0</v>
      </c>
      <c r="AC3399">
        <v>0</v>
      </c>
      <c r="AD3399">
        <v>0</v>
      </c>
      <c r="AE3399">
        <v>0</v>
      </c>
      <c r="AF3399">
        <v>0</v>
      </c>
      <c r="AG3399">
        <v>0</v>
      </c>
      <c r="AH3399">
        <v>0</v>
      </c>
      <c r="AI3399">
        <v>0</v>
      </c>
      <c r="AJ3399">
        <v>0</v>
      </c>
      <c r="AK3399">
        <v>0</v>
      </c>
      <c r="AL3399">
        <v>0</v>
      </c>
      <c r="AM3399">
        <v>0</v>
      </c>
      <c r="AN3399">
        <v>0</v>
      </c>
      <c r="AO3399">
        <v>0</v>
      </c>
      <c r="AP3399">
        <v>0</v>
      </c>
      <c r="AQ3399">
        <v>41.35</v>
      </c>
      <c r="AR3399">
        <v>0</v>
      </c>
      <c r="AS3399">
        <v>0</v>
      </c>
      <c r="AT3399">
        <v>0</v>
      </c>
      <c r="AU3399">
        <v>0</v>
      </c>
      <c r="AV3399">
        <v>0</v>
      </c>
      <c r="AW3399">
        <v>0</v>
      </c>
      <c r="AX3399">
        <v>0</v>
      </c>
      <c r="AY3399">
        <v>0</v>
      </c>
      <c r="AZ3399">
        <v>0</v>
      </c>
      <c r="BA3399">
        <v>0</v>
      </c>
      <c r="BB3399">
        <v>0</v>
      </c>
      <c r="BC3399">
        <v>0</v>
      </c>
      <c r="BD3399">
        <v>0</v>
      </c>
      <c r="BE3399">
        <v>0</v>
      </c>
      <c r="BF3399">
        <v>0</v>
      </c>
      <c r="BG3399">
        <v>0</v>
      </c>
      <c r="BH3399">
        <v>2</v>
      </c>
      <c r="BI3399">
        <v>9</v>
      </c>
      <c r="BJ3399">
        <v>4.5</v>
      </c>
      <c r="BK3399">
        <v>9</v>
      </c>
      <c r="BL3399">
        <v>140.9</v>
      </c>
      <c r="BM3399">
        <v>21.14</v>
      </c>
      <c r="BN3399">
        <v>162.04</v>
      </c>
      <c r="BO3399">
        <v>162.04</v>
      </c>
      <c r="BQ3399" t="s">
        <v>1236</v>
      </c>
      <c r="BR3399" t="s">
        <v>84</v>
      </c>
      <c r="BS3399" s="3">
        <v>45804</v>
      </c>
      <c r="BT3399" s="4">
        <v>0.31805555555555554</v>
      </c>
      <c r="BU3399" t="s">
        <v>1604</v>
      </c>
      <c r="BV3399" t="s">
        <v>86</v>
      </c>
      <c r="BY3399">
        <v>22728</v>
      </c>
      <c r="CA3399" t="s">
        <v>1238</v>
      </c>
      <c r="CC3399" t="s">
        <v>137</v>
      </c>
      <c r="CD3399" s="5" t="s">
        <v>1239</v>
      </c>
      <c r="CE3399" t="s">
        <v>116</v>
      </c>
      <c r="CF3399" s="3">
        <v>45804</v>
      </c>
      <c r="CI3399">
        <v>1</v>
      </c>
      <c r="CJ3399">
        <v>1</v>
      </c>
      <c r="CK3399">
        <v>41</v>
      </c>
      <c r="CL3399" t="s">
        <v>89</v>
      </c>
    </row>
    <row r="3400" spans="1:90" x14ac:dyDescent="0.3">
      <c r="A3400" t="s">
        <v>72</v>
      </c>
      <c r="B3400" t="s">
        <v>73</v>
      </c>
      <c r="C3400" t="s">
        <v>74</v>
      </c>
      <c r="E3400" t="str">
        <f>"080065571880"</f>
        <v>080065571880</v>
      </c>
      <c r="F3400" s="3">
        <v>45803</v>
      </c>
      <c r="G3400">
        <v>202602</v>
      </c>
      <c r="H3400" t="s">
        <v>75</v>
      </c>
      <c r="I3400" t="s">
        <v>76</v>
      </c>
      <c r="J3400" t="s">
        <v>77</v>
      </c>
      <c r="K3400" t="s">
        <v>78</v>
      </c>
      <c r="L3400" t="s">
        <v>567</v>
      </c>
      <c r="M3400" t="s">
        <v>568</v>
      </c>
      <c r="N3400" t="s">
        <v>1590</v>
      </c>
      <c r="O3400" t="s">
        <v>82</v>
      </c>
      <c r="P3400" t="str">
        <f>"4170040747                    "</f>
        <v xml:space="preserve">4170040747                    </v>
      </c>
      <c r="Q3400">
        <v>0</v>
      </c>
      <c r="R3400">
        <v>0</v>
      </c>
      <c r="S3400">
        <v>0</v>
      </c>
      <c r="T3400">
        <v>0</v>
      </c>
      <c r="U3400">
        <v>0</v>
      </c>
      <c r="V3400">
        <v>0</v>
      </c>
      <c r="W3400">
        <v>0</v>
      </c>
      <c r="X3400">
        <v>0</v>
      </c>
      <c r="Y3400">
        <v>0</v>
      </c>
      <c r="Z3400">
        <v>0</v>
      </c>
      <c r="AA3400">
        <v>0</v>
      </c>
      <c r="AB3400">
        <v>0</v>
      </c>
      <c r="AC3400">
        <v>0</v>
      </c>
      <c r="AD3400">
        <v>0</v>
      </c>
      <c r="AE3400">
        <v>0</v>
      </c>
      <c r="AF3400">
        <v>0</v>
      </c>
      <c r="AG3400">
        <v>0</v>
      </c>
      <c r="AH3400">
        <v>0</v>
      </c>
      <c r="AI3400">
        <v>0</v>
      </c>
      <c r="AJ3400">
        <v>0</v>
      </c>
      <c r="AK3400">
        <v>0</v>
      </c>
      <c r="AL3400">
        <v>0</v>
      </c>
      <c r="AM3400">
        <v>0</v>
      </c>
      <c r="AN3400">
        <v>0</v>
      </c>
      <c r="AO3400">
        <v>0</v>
      </c>
      <c r="AP3400">
        <v>0</v>
      </c>
      <c r="AQ3400">
        <v>60.14</v>
      </c>
      <c r="AR3400">
        <v>0</v>
      </c>
      <c r="AS3400">
        <v>0</v>
      </c>
      <c r="AT3400">
        <v>0</v>
      </c>
      <c r="AU3400">
        <v>0</v>
      </c>
      <c r="AV3400">
        <v>0</v>
      </c>
      <c r="AW3400">
        <v>0</v>
      </c>
      <c r="AX3400">
        <v>0</v>
      </c>
      <c r="AY3400">
        <v>0</v>
      </c>
      <c r="AZ3400">
        <v>0</v>
      </c>
      <c r="BA3400">
        <v>0</v>
      </c>
      <c r="BB3400">
        <v>0</v>
      </c>
      <c r="BC3400">
        <v>0</v>
      </c>
      <c r="BD3400">
        <v>0</v>
      </c>
      <c r="BE3400">
        <v>0</v>
      </c>
      <c r="BF3400">
        <v>0</v>
      </c>
      <c r="BG3400">
        <v>0</v>
      </c>
      <c r="BH3400">
        <v>1</v>
      </c>
      <c r="BI3400">
        <v>3</v>
      </c>
      <c r="BJ3400">
        <v>2.8</v>
      </c>
      <c r="BK3400">
        <v>3</v>
      </c>
      <c r="BL3400">
        <v>196.82</v>
      </c>
      <c r="BM3400">
        <v>29.52</v>
      </c>
      <c r="BN3400">
        <v>226.34</v>
      </c>
      <c r="BO3400">
        <v>226.34</v>
      </c>
      <c r="BQ3400" t="s">
        <v>1591</v>
      </c>
      <c r="BR3400" t="s">
        <v>84</v>
      </c>
      <c r="BS3400" s="3">
        <v>45804</v>
      </c>
      <c r="BT3400" s="4">
        <v>0.40069444444444446</v>
      </c>
      <c r="BU3400" t="s">
        <v>3200</v>
      </c>
      <c r="BV3400" t="s">
        <v>86</v>
      </c>
      <c r="BY3400">
        <v>14080</v>
      </c>
      <c r="CA3400" t="s">
        <v>572</v>
      </c>
      <c r="CC3400" t="s">
        <v>568</v>
      </c>
      <c r="CD3400" s="5" t="s">
        <v>573</v>
      </c>
      <c r="CE3400" t="s">
        <v>221</v>
      </c>
      <c r="CF3400" s="3">
        <v>45805</v>
      </c>
      <c r="CI3400">
        <v>1</v>
      </c>
      <c r="CJ3400">
        <v>1</v>
      </c>
      <c r="CK3400">
        <v>23</v>
      </c>
      <c r="CL3400" t="s">
        <v>89</v>
      </c>
    </row>
    <row r="3401" spans="1:90" x14ac:dyDescent="0.3">
      <c r="A3401" t="s">
        <v>72</v>
      </c>
      <c r="B3401" t="s">
        <v>73</v>
      </c>
      <c r="C3401" t="s">
        <v>74</v>
      </c>
      <c r="E3401" t="str">
        <f>"080065571890"</f>
        <v>080065571890</v>
      </c>
      <c r="F3401" s="3">
        <v>45803</v>
      </c>
      <c r="G3401">
        <v>202602</v>
      </c>
      <c r="H3401" t="s">
        <v>75</v>
      </c>
      <c r="I3401" t="s">
        <v>76</v>
      </c>
      <c r="J3401" t="s">
        <v>77</v>
      </c>
      <c r="K3401" t="s">
        <v>78</v>
      </c>
      <c r="L3401" t="s">
        <v>97</v>
      </c>
      <c r="M3401" t="s">
        <v>98</v>
      </c>
      <c r="N3401" t="s">
        <v>1284</v>
      </c>
      <c r="O3401" t="s">
        <v>82</v>
      </c>
      <c r="P3401" t="str">
        <f>"4170040748                    "</f>
        <v xml:space="preserve">4170040748                    </v>
      </c>
      <c r="Q3401">
        <v>0</v>
      </c>
      <c r="R3401">
        <v>0</v>
      </c>
      <c r="S3401">
        <v>0</v>
      </c>
      <c r="T3401">
        <v>0</v>
      </c>
      <c r="U3401">
        <v>0</v>
      </c>
      <c r="V3401">
        <v>0</v>
      </c>
      <c r="W3401">
        <v>0</v>
      </c>
      <c r="X3401">
        <v>0</v>
      </c>
      <c r="Y3401">
        <v>0</v>
      </c>
      <c r="Z3401">
        <v>0</v>
      </c>
      <c r="AA3401">
        <v>0</v>
      </c>
      <c r="AB3401">
        <v>0</v>
      </c>
      <c r="AC3401">
        <v>0</v>
      </c>
      <c r="AD3401">
        <v>0</v>
      </c>
      <c r="AE3401">
        <v>0</v>
      </c>
      <c r="AF3401">
        <v>0</v>
      </c>
      <c r="AG3401">
        <v>0</v>
      </c>
      <c r="AH3401">
        <v>0</v>
      </c>
      <c r="AI3401">
        <v>0</v>
      </c>
      <c r="AJ3401">
        <v>0</v>
      </c>
      <c r="AK3401">
        <v>0</v>
      </c>
      <c r="AL3401">
        <v>0</v>
      </c>
      <c r="AM3401">
        <v>0</v>
      </c>
      <c r="AN3401">
        <v>0</v>
      </c>
      <c r="AO3401">
        <v>0</v>
      </c>
      <c r="AP3401">
        <v>0</v>
      </c>
      <c r="AQ3401">
        <v>16.7</v>
      </c>
      <c r="AR3401">
        <v>0</v>
      </c>
      <c r="AS3401">
        <v>0</v>
      </c>
      <c r="AT3401">
        <v>0</v>
      </c>
      <c r="AU3401">
        <v>0</v>
      </c>
      <c r="AV3401">
        <v>0</v>
      </c>
      <c r="AW3401">
        <v>0</v>
      </c>
      <c r="AX3401">
        <v>0</v>
      </c>
      <c r="AY3401">
        <v>0</v>
      </c>
      <c r="AZ3401">
        <v>0</v>
      </c>
      <c r="BA3401">
        <v>0</v>
      </c>
      <c r="BB3401">
        <v>0</v>
      </c>
      <c r="BC3401">
        <v>0</v>
      </c>
      <c r="BD3401">
        <v>0</v>
      </c>
      <c r="BE3401">
        <v>0</v>
      </c>
      <c r="BF3401">
        <v>0</v>
      </c>
      <c r="BG3401">
        <v>0</v>
      </c>
      <c r="BH3401">
        <v>1</v>
      </c>
      <c r="BI3401">
        <v>1</v>
      </c>
      <c r="BJ3401">
        <v>0.2</v>
      </c>
      <c r="BK3401">
        <v>1</v>
      </c>
      <c r="BL3401">
        <v>54.66</v>
      </c>
      <c r="BM3401">
        <v>8.1999999999999993</v>
      </c>
      <c r="BN3401">
        <v>62.86</v>
      </c>
      <c r="BO3401">
        <v>62.86</v>
      </c>
      <c r="BQ3401" t="s">
        <v>1285</v>
      </c>
      <c r="BR3401" t="s">
        <v>84</v>
      </c>
      <c r="BS3401" s="3">
        <v>45804</v>
      </c>
      <c r="BT3401" s="4">
        <v>0.36805555555555558</v>
      </c>
      <c r="BU3401" t="s">
        <v>1346</v>
      </c>
      <c r="BV3401" t="s">
        <v>86</v>
      </c>
      <c r="BY3401">
        <v>1200</v>
      </c>
      <c r="CA3401" t="s">
        <v>175</v>
      </c>
      <c r="CC3401" t="s">
        <v>98</v>
      </c>
      <c r="CD3401">
        <v>1459</v>
      </c>
      <c r="CE3401" t="s">
        <v>88</v>
      </c>
      <c r="CF3401" s="3">
        <v>45805</v>
      </c>
      <c r="CI3401">
        <v>1</v>
      </c>
      <c r="CJ3401">
        <v>1</v>
      </c>
      <c r="CK3401">
        <v>22</v>
      </c>
      <c r="CL3401" t="s">
        <v>89</v>
      </c>
    </row>
    <row r="3402" spans="1:90" x14ac:dyDescent="0.3">
      <c r="A3402" t="s">
        <v>72</v>
      </c>
      <c r="B3402" t="s">
        <v>73</v>
      </c>
      <c r="C3402" t="s">
        <v>74</v>
      </c>
      <c r="E3402" t="str">
        <f>"080065571951"</f>
        <v>080065571951</v>
      </c>
      <c r="F3402" s="3">
        <v>45803</v>
      </c>
      <c r="G3402">
        <v>202602</v>
      </c>
      <c r="H3402" t="s">
        <v>75</v>
      </c>
      <c r="I3402" t="s">
        <v>76</v>
      </c>
      <c r="J3402" t="s">
        <v>77</v>
      </c>
      <c r="K3402" t="s">
        <v>78</v>
      </c>
      <c r="L3402" t="s">
        <v>75</v>
      </c>
      <c r="M3402" t="s">
        <v>76</v>
      </c>
      <c r="N3402" t="s">
        <v>540</v>
      </c>
      <c r="O3402" t="s">
        <v>82</v>
      </c>
      <c r="P3402" t="str">
        <f>"4170040749                    "</f>
        <v xml:space="preserve">4170040749                    </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c r="AI3402">
        <v>0</v>
      </c>
      <c r="AJ3402">
        <v>0</v>
      </c>
      <c r="AK3402">
        <v>0</v>
      </c>
      <c r="AL3402">
        <v>0</v>
      </c>
      <c r="AM3402">
        <v>0</v>
      </c>
      <c r="AN3402">
        <v>0</v>
      </c>
      <c r="AO3402">
        <v>0</v>
      </c>
      <c r="AP3402">
        <v>0</v>
      </c>
      <c r="AQ3402">
        <v>16.7</v>
      </c>
      <c r="AR3402">
        <v>0</v>
      </c>
      <c r="AS3402">
        <v>0</v>
      </c>
      <c r="AT3402">
        <v>0</v>
      </c>
      <c r="AU3402">
        <v>0</v>
      </c>
      <c r="AV3402">
        <v>0</v>
      </c>
      <c r="AW3402">
        <v>0</v>
      </c>
      <c r="AX3402">
        <v>0</v>
      </c>
      <c r="AY3402">
        <v>0</v>
      </c>
      <c r="AZ3402">
        <v>0</v>
      </c>
      <c r="BA3402">
        <v>0</v>
      </c>
      <c r="BB3402">
        <v>0</v>
      </c>
      <c r="BC3402">
        <v>0</v>
      </c>
      <c r="BD3402">
        <v>0</v>
      </c>
      <c r="BE3402">
        <v>0</v>
      </c>
      <c r="BF3402">
        <v>0</v>
      </c>
      <c r="BG3402">
        <v>0</v>
      </c>
      <c r="BH3402">
        <v>1</v>
      </c>
      <c r="BI3402">
        <v>2</v>
      </c>
      <c r="BJ3402">
        <v>3.1</v>
      </c>
      <c r="BK3402">
        <v>4</v>
      </c>
      <c r="BL3402">
        <v>54.66</v>
      </c>
      <c r="BM3402">
        <v>8.1999999999999993</v>
      </c>
      <c r="BN3402">
        <v>62.86</v>
      </c>
      <c r="BO3402">
        <v>62.86</v>
      </c>
      <c r="BQ3402" t="s">
        <v>541</v>
      </c>
      <c r="BR3402" t="s">
        <v>84</v>
      </c>
      <c r="BS3402" s="3">
        <v>45804</v>
      </c>
      <c r="BT3402" s="4">
        <v>0.38541666666666669</v>
      </c>
      <c r="BU3402" t="s">
        <v>542</v>
      </c>
      <c r="BV3402" t="s">
        <v>86</v>
      </c>
      <c r="BY3402">
        <v>15360</v>
      </c>
      <c r="CA3402" t="s">
        <v>484</v>
      </c>
      <c r="CC3402" t="s">
        <v>76</v>
      </c>
      <c r="CD3402">
        <v>1600</v>
      </c>
      <c r="CE3402" t="s">
        <v>221</v>
      </c>
      <c r="CF3402" s="3">
        <v>45804</v>
      </c>
      <c r="CI3402">
        <v>1</v>
      </c>
      <c r="CJ3402">
        <v>1</v>
      </c>
      <c r="CK3402">
        <v>22</v>
      </c>
      <c r="CL3402" t="s">
        <v>89</v>
      </c>
    </row>
    <row r="3403" spans="1:90" x14ac:dyDescent="0.3">
      <c r="A3403" t="s">
        <v>72</v>
      </c>
      <c r="B3403" t="s">
        <v>73</v>
      </c>
      <c r="C3403" t="s">
        <v>74</v>
      </c>
      <c r="E3403" t="str">
        <f>"080011525115"</f>
        <v>080011525115</v>
      </c>
      <c r="F3403" s="3">
        <v>45803</v>
      </c>
      <c r="G3403">
        <v>202602</v>
      </c>
      <c r="H3403" t="s">
        <v>177</v>
      </c>
      <c r="I3403" t="s">
        <v>178</v>
      </c>
      <c r="J3403" t="s">
        <v>3201</v>
      </c>
      <c r="K3403" t="s">
        <v>78</v>
      </c>
      <c r="L3403" t="s">
        <v>75</v>
      </c>
      <c r="M3403" t="s">
        <v>76</v>
      </c>
      <c r="N3403" t="s">
        <v>1035</v>
      </c>
      <c r="O3403" t="s">
        <v>300</v>
      </c>
      <c r="P3403" t="str">
        <f>"Sarah                         "</f>
        <v xml:space="preserve">Sarah                         </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c r="AI3403">
        <v>0</v>
      </c>
      <c r="AJ3403">
        <v>0</v>
      </c>
      <c r="AK3403">
        <v>0</v>
      </c>
      <c r="AL3403">
        <v>0</v>
      </c>
      <c r="AM3403">
        <v>0</v>
      </c>
      <c r="AN3403">
        <v>0</v>
      </c>
      <c r="AO3403">
        <v>0</v>
      </c>
      <c r="AP3403">
        <v>0</v>
      </c>
      <c r="AQ3403">
        <v>41.35</v>
      </c>
      <c r="AR3403">
        <v>0</v>
      </c>
      <c r="AS3403">
        <v>0</v>
      </c>
      <c r="AT3403">
        <v>0</v>
      </c>
      <c r="AU3403">
        <v>0</v>
      </c>
      <c r="AV3403">
        <v>0</v>
      </c>
      <c r="AW3403">
        <v>0</v>
      </c>
      <c r="AX3403">
        <v>0</v>
      </c>
      <c r="AY3403">
        <v>0</v>
      </c>
      <c r="AZ3403">
        <v>0</v>
      </c>
      <c r="BA3403">
        <v>0</v>
      </c>
      <c r="BB3403">
        <v>0</v>
      </c>
      <c r="BC3403">
        <v>0</v>
      </c>
      <c r="BD3403">
        <v>0</v>
      </c>
      <c r="BE3403">
        <v>0</v>
      </c>
      <c r="BF3403">
        <v>0</v>
      </c>
      <c r="BG3403">
        <v>0</v>
      </c>
      <c r="BH3403">
        <v>1</v>
      </c>
      <c r="BI3403">
        <v>5</v>
      </c>
      <c r="BJ3403">
        <v>8.8000000000000007</v>
      </c>
      <c r="BK3403">
        <v>9</v>
      </c>
      <c r="BL3403">
        <v>140.9</v>
      </c>
      <c r="BM3403">
        <v>21.14</v>
      </c>
      <c r="BN3403">
        <v>162.04</v>
      </c>
      <c r="BO3403">
        <v>162.04</v>
      </c>
      <c r="BP3403" t="s">
        <v>1540</v>
      </c>
      <c r="BQ3403" t="s">
        <v>1037</v>
      </c>
      <c r="BR3403" t="s">
        <v>3202</v>
      </c>
      <c r="BS3403" s="3">
        <v>45805</v>
      </c>
      <c r="BT3403" s="4">
        <v>0.4375</v>
      </c>
      <c r="BU3403" t="s">
        <v>3203</v>
      </c>
      <c r="BV3403" t="s">
        <v>86</v>
      </c>
      <c r="BY3403">
        <v>44206</v>
      </c>
      <c r="BZ3403" t="s">
        <v>303</v>
      </c>
      <c r="CA3403" t="s">
        <v>1900</v>
      </c>
      <c r="CC3403" t="s">
        <v>76</v>
      </c>
      <c r="CD3403">
        <v>1619</v>
      </c>
      <c r="CE3403" t="s">
        <v>1904</v>
      </c>
      <c r="CF3403" s="3">
        <v>45806</v>
      </c>
      <c r="CI3403">
        <v>3</v>
      </c>
      <c r="CJ3403">
        <v>2</v>
      </c>
      <c r="CK3403">
        <v>41</v>
      </c>
      <c r="CL3403" t="s">
        <v>89</v>
      </c>
    </row>
    <row r="3404" spans="1:90" x14ac:dyDescent="0.3">
      <c r="A3404" t="s">
        <v>72</v>
      </c>
      <c r="B3404" t="s">
        <v>73</v>
      </c>
      <c r="C3404" t="s">
        <v>74</v>
      </c>
      <c r="E3404" t="str">
        <f>"009944815666"</f>
        <v>009944815666</v>
      </c>
      <c r="F3404" s="3">
        <v>45803</v>
      </c>
      <c r="G3404">
        <v>202602</v>
      </c>
      <c r="H3404" t="s">
        <v>75</v>
      </c>
      <c r="I3404" t="s">
        <v>76</v>
      </c>
      <c r="J3404" t="s">
        <v>3204</v>
      </c>
      <c r="K3404" t="s">
        <v>78</v>
      </c>
      <c r="L3404" t="s">
        <v>75</v>
      </c>
      <c r="M3404" t="s">
        <v>76</v>
      </c>
      <c r="N3404" t="s">
        <v>1035</v>
      </c>
      <c r="O3404" t="s">
        <v>300</v>
      </c>
      <c r="P3404" t="str">
        <f>"NA                            "</f>
        <v xml:space="preserve">NA                            </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c r="AI3404">
        <v>0</v>
      </c>
      <c r="AJ3404">
        <v>0</v>
      </c>
      <c r="AK3404">
        <v>0</v>
      </c>
      <c r="AL3404">
        <v>0</v>
      </c>
      <c r="AM3404">
        <v>0</v>
      </c>
      <c r="AN3404">
        <v>0</v>
      </c>
      <c r="AO3404">
        <v>0</v>
      </c>
      <c r="AP3404">
        <v>0</v>
      </c>
      <c r="AQ3404">
        <v>31.91</v>
      </c>
      <c r="AR3404">
        <v>0</v>
      </c>
      <c r="AS3404">
        <v>0</v>
      </c>
      <c r="AT3404">
        <v>0</v>
      </c>
      <c r="AU3404">
        <v>0</v>
      </c>
      <c r="AV3404">
        <v>0</v>
      </c>
      <c r="AW3404">
        <v>0</v>
      </c>
      <c r="AX3404">
        <v>0</v>
      </c>
      <c r="AY3404">
        <v>0</v>
      </c>
      <c r="AZ3404">
        <v>0</v>
      </c>
      <c r="BA3404">
        <v>0</v>
      </c>
      <c r="BB3404">
        <v>0</v>
      </c>
      <c r="BC3404">
        <v>0</v>
      </c>
      <c r="BD3404">
        <v>0</v>
      </c>
      <c r="BE3404">
        <v>0</v>
      </c>
      <c r="BF3404">
        <v>0</v>
      </c>
      <c r="BG3404">
        <v>0</v>
      </c>
      <c r="BH3404">
        <v>1</v>
      </c>
      <c r="BI3404">
        <v>1</v>
      </c>
      <c r="BJ3404">
        <v>0.2</v>
      </c>
      <c r="BK3404">
        <v>1</v>
      </c>
      <c r="BL3404">
        <v>110</v>
      </c>
      <c r="BM3404">
        <v>16.5</v>
      </c>
      <c r="BN3404">
        <v>126.5</v>
      </c>
      <c r="BO3404">
        <v>126.5</v>
      </c>
      <c r="BQ3404" t="s">
        <v>3205</v>
      </c>
      <c r="BR3404" t="s">
        <v>2184</v>
      </c>
      <c r="BS3404" s="3">
        <v>45804</v>
      </c>
      <c r="BT3404" s="4">
        <v>0.35138888888888886</v>
      </c>
      <c r="BU3404" t="s">
        <v>1039</v>
      </c>
      <c r="BV3404" t="s">
        <v>86</v>
      </c>
      <c r="BY3404">
        <v>1200</v>
      </c>
      <c r="BZ3404" t="s">
        <v>303</v>
      </c>
      <c r="CA3404" t="s">
        <v>484</v>
      </c>
      <c r="CC3404" t="s">
        <v>76</v>
      </c>
      <c r="CD3404">
        <v>1600</v>
      </c>
      <c r="CE3404" t="s">
        <v>176</v>
      </c>
      <c r="CF3404" s="3">
        <v>45804</v>
      </c>
      <c r="CI3404">
        <v>1</v>
      </c>
      <c r="CJ3404">
        <v>1</v>
      </c>
      <c r="CK3404">
        <v>42</v>
      </c>
      <c r="CL3404" t="s">
        <v>89</v>
      </c>
    </row>
    <row r="3405" spans="1:90" x14ac:dyDescent="0.3">
      <c r="A3405" t="s">
        <v>72</v>
      </c>
      <c r="B3405" t="s">
        <v>73</v>
      </c>
      <c r="C3405" t="s">
        <v>74</v>
      </c>
      <c r="E3405" t="str">
        <f>"080065588594"</f>
        <v>080065588594</v>
      </c>
      <c r="F3405" s="3">
        <v>45804</v>
      </c>
      <c r="G3405">
        <v>202602</v>
      </c>
      <c r="H3405" t="s">
        <v>75</v>
      </c>
      <c r="I3405" t="s">
        <v>76</v>
      </c>
      <c r="J3405" t="s">
        <v>77</v>
      </c>
      <c r="K3405" t="s">
        <v>78</v>
      </c>
      <c r="L3405" t="s">
        <v>463</v>
      </c>
      <c r="M3405" t="s">
        <v>464</v>
      </c>
      <c r="N3405" t="s">
        <v>1325</v>
      </c>
      <c r="O3405" t="s">
        <v>82</v>
      </c>
      <c r="P3405" t="str">
        <f>"4170040868                    "</f>
        <v xml:space="preserve">4170040868                    </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0</v>
      </c>
      <c r="AJ3405">
        <v>0</v>
      </c>
      <c r="AK3405">
        <v>0</v>
      </c>
      <c r="AL3405">
        <v>0</v>
      </c>
      <c r="AM3405">
        <v>0</v>
      </c>
      <c r="AN3405">
        <v>0</v>
      </c>
      <c r="AO3405">
        <v>0</v>
      </c>
      <c r="AP3405">
        <v>0</v>
      </c>
      <c r="AQ3405">
        <v>21.38</v>
      </c>
      <c r="AR3405">
        <v>0</v>
      </c>
      <c r="AS3405">
        <v>0</v>
      </c>
      <c r="AT3405">
        <v>0</v>
      </c>
      <c r="AU3405">
        <v>0</v>
      </c>
      <c r="AV3405">
        <v>0</v>
      </c>
      <c r="AW3405">
        <v>0</v>
      </c>
      <c r="AX3405">
        <v>0</v>
      </c>
      <c r="AY3405">
        <v>0</v>
      </c>
      <c r="AZ3405">
        <v>0</v>
      </c>
      <c r="BA3405">
        <v>0</v>
      </c>
      <c r="BB3405">
        <v>0</v>
      </c>
      <c r="BC3405">
        <v>0</v>
      </c>
      <c r="BD3405">
        <v>0</v>
      </c>
      <c r="BE3405">
        <v>0</v>
      </c>
      <c r="BF3405">
        <v>0</v>
      </c>
      <c r="BG3405">
        <v>0</v>
      </c>
      <c r="BH3405">
        <v>1</v>
      </c>
      <c r="BI3405">
        <v>1</v>
      </c>
      <c r="BJ3405">
        <v>0.2</v>
      </c>
      <c r="BK3405">
        <v>1</v>
      </c>
      <c r="BL3405">
        <v>69.98</v>
      </c>
      <c r="BM3405">
        <v>10.5</v>
      </c>
      <c r="BN3405">
        <v>80.48</v>
      </c>
      <c r="BO3405">
        <v>80.48</v>
      </c>
      <c r="BQ3405" t="s">
        <v>1326</v>
      </c>
      <c r="BR3405" t="s">
        <v>84</v>
      </c>
      <c r="BS3405" s="3">
        <v>45805</v>
      </c>
      <c r="BT3405" s="4">
        <v>0.48472222222222222</v>
      </c>
      <c r="BU3405" t="s">
        <v>3206</v>
      </c>
      <c r="BV3405" t="s">
        <v>86</v>
      </c>
      <c r="BY3405">
        <v>1200</v>
      </c>
      <c r="CA3405" t="s">
        <v>468</v>
      </c>
      <c r="CC3405" t="s">
        <v>464</v>
      </c>
      <c r="CD3405">
        <v>5201</v>
      </c>
      <c r="CE3405" t="s">
        <v>88</v>
      </c>
      <c r="CF3405" s="3">
        <v>45806</v>
      </c>
      <c r="CI3405">
        <v>5</v>
      </c>
      <c r="CJ3405">
        <v>1</v>
      </c>
      <c r="CK3405">
        <v>21</v>
      </c>
      <c r="CL3405" t="s">
        <v>89</v>
      </c>
    </row>
    <row r="3406" spans="1:90" x14ac:dyDescent="0.3">
      <c r="A3406" t="s">
        <v>72</v>
      </c>
      <c r="B3406" t="s">
        <v>73</v>
      </c>
      <c r="C3406" t="s">
        <v>74</v>
      </c>
      <c r="E3406" t="str">
        <f>"080065591344"</f>
        <v>080065591344</v>
      </c>
      <c r="F3406" s="3">
        <v>45804</v>
      </c>
      <c r="G3406">
        <v>202602</v>
      </c>
      <c r="H3406" t="s">
        <v>75</v>
      </c>
      <c r="I3406" t="s">
        <v>76</v>
      </c>
      <c r="J3406" t="s">
        <v>77</v>
      </c>
      <c r="K3406" t="s">
        <v>78</v>
      </c>
      <c r="L3406" t="s">
        <v>1241</v>
      </c>
      <c r="M3406" t="s">
        <v>1242</v>
      </c>
      <c r="N3406" t="s">
        <v>1243</v>
      </c>
      <c r="O3406" t="s">
        <v>82</v>
      </c>
      <c r="P3406" t="str">
        <f>"4170040774                    "</f>
        <v xml:space="preserve">4170040774                    </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c r="AI3406">
        <v>0</v>
      </c>
      <c r="AJ3406">
        <v>0</v>
      </c>
      <c r="AK3406">
        <v>0</v>
      </c>
      <c r="AL3406">
        <v>0</v>
      </c>
      <c r="AM3406">
        <v>0</v>
      </c>
      <c r="AN3406">
        <v>0</v>
      </c>
      <c r="AO3406">
        <v>0</v>
      </c>
      <c r="AP3406">
        <v>0</v>
      </c>
      <c r="AQ3406">
        <v>41.43</v>
      </c>
      <c r="AR3406">
        <v>0</v>
      </c>
      <c r="AS3406">
        <v>0</v>
      </c>
      <c r="AT3406">
        <v>0</v>
      </c>
      <c r="AU3406">
        <v>0</v>
      </c>
      <c r="AV3406">
        <v>0</v>
      </c>
      <c r="AW3406">
        <v>0</v>
      </c>
      <c r="AX3406">
        <v>0</v>
      </c>
      <c r="AY3406">
        <v>0</v>
      </c>
      <c r="AZ3406">
        <v>0</v>
      </c>
      <c r="BA3406">
        <v>0</v>
      </c>
      <c r="BB3406">
        <v>0</v>
      </c>
      <c r="BC3406">
        <v>0</v>
      </c>
      <c r="BD3406">
        <v>0</v>
      </c>
      <c r="BE3406">
        <v>0</v>
      </c>
      <c r="BF3406">
        <v>0</v>
      </c>
      <c r="BG3406">
        <v>0</v>
      </c>
      <c r="BH3406">
        <v>1</v>
      </c>
      <c r="BI3406">
        <v>1</v>
      </c>
      <c r="BJ3406">
        <v>0.2</v>
      </c>
      <c r="BK3406">
        <v>1</v>
      </c>
      <c r="BL3406">
        <v>135.59</v>
      </c>
      <c r="BM3406">
        <v>20.34</v>
      </c>
      <c r="BN3406">
        <v>155.93</v>
      </c>
      <c r="BO3406">
        <v>155.93</v>
      </c>
      <c r="BQ3406" t="s">
        <v>1244</v>
      </c>
      <c r="BR3406" t="s">
        <v>84</v>
      </c>
      <c r="BS3406" s="3">
        <v>45805</v>
      </c>
      <c r="BT3406" s="4">
        <v>0.4375</v>
      </c>
      <c r="BU3406" t="s">
        <v>3207</v>
      </c>
      <c r="BV3406" t="s">
        <v>86</v>
      </c>
      <c r="BY3406">
        <v>1200</v>
      </c>
      <c r="CC3406" t="s">
        <v>1242</v>
      </c>
      <c r="CD3406">
        <v>1871</v>
      </c>
      <c r="CE3406" t="s">
        <v>88</v>
      </c>
      <c r="CF3406" s="3">
        <v>45806</v>
      </c>
      <c r="CI3406">
        <v>1</v>
      </c>
      <c r="CJ3406">
        <v>1</v>
      </c>
      <c r="CK3406">
        <v>23</v>
      </c>
      <c r="CL3406" t="s">
        <v>89</v>
      </c>
    </row>
    <row r="3407" spans="1:90" x14ac:dyDescent="0.3">
      <c r="A3407" t="s">
        <v>72</v>
      </c>
      <c r="B3407" t="s">
        <v>73</v>
      </c>
      <c r="C3407" t="s">
        <v>74</v>
      </c>
      <c r="E3407" t="str">
        <f>"080065586664"</f>
        <v>080065586664</v>
      </c>
      <c r="F3407" s="3">
        <v>45804</v>
      </c>
      <c r="G3407">
        <v>202602</v>
      </c>
      <c r="H3407" t="s">
        <v>75</v>
      </c>
      <c r="I3407" t="s">
        <v>76</v>
      </c>
      <c r="J3407" t="s">
        <v>77</v>
      </c>
      <c r="K3407" t="s">
        <v>78</v>
      </c>
      <c r="L3407" t="s">
        <v>130</v>
      </c>
      <c r="M3407" t="s">
        <v>131</v>
      </c>
      <c r="N3407" t="s">
        <v>3208</v>
      </c>
      <c r="O3407" t="s">
        <v>82</v>
      </c>
      <c r="P3407" t="str">
        <f>"4170040824                    "</f>
        <v xml:space="preserve">4170040824                    </v>
      </c>
      <c r="Q3407">
        <v>0</v>
      </c>
      <c r="R3407">
        <v>0</v>
      </c>
      <c r="S3407">
        <v>0</v>
      </c>
      <c r="T3407">
        <v>0</v>
      </c>
      <c r="U3407">
        <v>0</v>
      </c>
      <c r="V3407">
        <v>0</v>
      </c>
      <c r="W3407">
        <v>0</v>
      </c>
      <c r="X3407">
        <v>0</v>
      </c>
      <c r="Y3407">
        <v>0</v>
      </c>
      <c r="Z3407">
        <v>0</v>
      </c>
      <c r="AA3407">
        <v>0</v>
      </c>
      <c r="AB3407">
        <v>0</v>
      </c>
      <c r="AC3407">
        <v>0</v>
      </c>
      <c r="AD3407">
        <v>0</v>
      </c>
      <c r="AE3407">
        <v>0</v>
      </c>
      <c r="AF3407">
        <v>0</v>
      </c>
      <c r="AG3407">
        <v>0</v>
      </c>
      <c r="AH3407">
        <v>0</v>
      </c>
      <c r="AI3407">
        <v>0</v>
      </c>
      <c r="AJ3407">
        <v>0</v>
      </c>
      <c r="AK3407">
        <v>0</v>
      </c>
      <c r="AL3407">
        <v>0</v>
      </c>
      <c r="AM3407">
        <v>0</v>
      </c>
      <c r="AN3407">
        <v>0</v>
      </c>
      <c r="AO3407">
        <v>0</v>
      </c>
      <c r="AP3407">
        <v>0</v>
      </c>
      <c r="AQ3407">
        <v>21.38</v>
      </c>
      <c r="AR3407">
        <v>0</v>
      </c>
      <c r="AS3407">
        <v>0</v>
      </c>
      <c r="AT3407">
        <v>0</v>
      </c>
      <c r="AU3407">
        <v>0</v>
      </c>
      <c r="AV3407">
        <v>0</v>
      </c>
      <c r="AW3407">
        <v>0</v>
      </c>
      <c r="AX3407">
        <v>0</v>
      </c>
      <c r="AY3407">
        <v>0</v>
      </c>
      <c r="AZ3407">
        <v>0</v>
      </c>
      <c r="BA3407">
        <v>0</v>
      </c>
      <c r="BB3407">
        <v>0</v>
      </c>
      <c r="BC3407">
        <v>0</v>
      </c>
      <c r="BD3407">
        <v>0</v>
      </c>
      <c r="BE3407">
        <v>0</v>
      </c>
      <c r="BF3407">
        <v>0</v>
      </c>
      <c r="BG3407">
        <v>0</v>
      </c>
      <c r="BH3407">
        <v>1</v>
      </c>
      <c r="BI3407">
        <v>1</v>
      </c>
      <c r="BJ3407">
        <v>1.4</v>
      </c>
      <c r="BK3407">
        <v>1.5</v>
      </c>
      <c r="BL3407">
        <v>69.98</v>
      </c>
      <c r="BM3407">
        <v>10.5</v>
      </c>
      <c r="BN3407">
        <v>80.48</v>
      </c>
      <c r="BO3407">
        <v>80.48</v>
      </c>
      <c r="BQ3407" t="s">
        <v>3209</v>
      </c>
      <c r="BR3407" t="s">
        <v>84</v>
      </c>
      <c r="BS3407" s="3">
        <v>45805</v>
      </c>
      <c r="BT3407" s="4">
        <v>0.42777777777777776</v>
      </c>
      <c r="BU3407" t="s">
        <v>3210</v>
      </c>
      <c r="BV3407" t="s">
        <v>86</v>
      </c>
      <c r="BY3407">
        <v>7000</v>
      </c>
      <c r="CA3407" t="s">
        <v>1350</v>
      </c>
      <c r="CC3407" t="s">
        <v>131</v>
      </c>
      <c r="CD3407">
        <v>7441</v>
      </c>
      <c r="CE3407" t="s">
        <v>116</v>
      </c>
      <c r="CF3407" s="3">
        <v>45806</v>
      </c>
      <c r="CI3407">
        <v>1</v>
      </c>
      <c r="CJ3407">
        <v>1</v>
      </c>
      <c r="CK3407">
        <v>21</v>
      </c>
      <c r="CL3407" t="s">
        <v>89</v>
      </c>
    </row>
    <row r="3408" spans="1:90" x14ac:dyDescent="0.3">
      <c r="A3408" t="s">
        <v>72</v>
      </c>
      <c r="B3408" t="s">
        <v>73</v>
      </c>
      <c r="C3408" t="s">
        <v>74</v>
      </c>
      <c r="E3408" t="str">
        <f>"080065586684"</f>
        <v>080065586684</v>
      </c>
      <c r="F3408" s="3">
        <v>45804</v>
      </c>
      <c r="G3408">
        <v>202602</v>
      </c>
      <c r="H3408" t="s">
        <v>75</v>
      </c>
      <c r="I3408" t="s">
        <v>76</v>
      </c>
      <c r="J3408" t="s">
        <v>77</v>
      </c>
      <c r="K3408" t="s">
        <v>78</v>
      </c>
      <c r="L3408" t="s">
        <v>136</v>
      </c>
      <c r="M3408" t="s">
        <v>137</v>
      </c>
      <c r="N3408" t="s">
        <v>3211</v>
      </c>
      <c r="O3408" t="s">
        <v>82</v>
      </c>
      <c r="P3408" t="str">
        <f>"4170040933                    "</f>
        <v xml:space="preserve">4170040933                    </v>
      </c>
      <c r="Q3408">
        <v>0</v>
      </c>
      <c r="R3408">
        <v>0</v>
      </c>
      <c r="S3408">
        <v>0</v>
      </c>
      <c r="T3408">
        <v>0</v>
      </c>
      <c r="U3408">
        <v>0</v>
      </c>
      <c r="V3408">
        <v>0</v>
      </c>
      <c r="W3408">
        <v>0</v>
      </c>
      <c r="X3408">
        <v>0</v>
      </c>
      <c r="Y3408">
        <v>0</v>
      </c>
      <c r="Z3408">
        <v>0</v>
      </c>
      <c r="AA3408">
        <v>0</v>
      </c>
      <c r="AB3408">
        <v>0</v>
      </c>
      <c r="AC3408">
        <v>0</v>
      </c>
      <c r="AD3408">
        <v>0</v>
      </c>
      <c r="AE3408">
        <v>0</v>
      </c>
      <c r="AF3408">
        <v>0</v>
      </c>
      <c r="AG3408">
        <v>0</v>
      </c>
      <c r="AH3408">
        <v>0</v>
      </c>
      <c r="AI3408">
        <v>0</v>
      </c>
      <c r="AJ3408">
        <v>0</v>
      </c>
      <c r="AK3408">
        <v>0</v>
      </c>
      <c r="AL3408">
        <v>0</v>
      </c>
      <c r="AM3408">
        <v>0</v>
      </c>
      <c r="AN3408">
        <v>0</v>
      </c>
      <c r="AO3408">
        <v>0</v>
      </c>
      <c r="AP3408">
        <v>0</v>
      </c>
      <c r="AQ3408">
        <v>21.38</v>
      </c>
      <c r="AR3408">
        <v>0</v>
      </c>
      <c r="AS3408">
        <v>0</v>
      </c>
      <c r="AT3408">
        <v>0</v>
      </c>
      <c r="AU3408">
        <v>0</v>
      </c>
      <c r="AV3408">
        <v>0</v>
      </c>
      <c r="AW3408">
        <v>0</v>
      </c>
      <c r="AX3408">
        <v>0</v>
      </c>
      <c r="AY3408">
        <v>0</v>
      </c>
      <c r="AZ3408">
        <v>0</v>
      </c>
      <c r="BA3408">
        <v>0</v>
      </c>
      <c r="BB3408">
        <v>0</v>
      </c>
      <c r="BC3408">
        <v>0</v>
      </c>
      <c r="BD3408">
        <v>0</v>
      </c>
      <c r="BE3408">
        <v>0</v>
      </c>
      <c r="BF3408">
        <v>0</v>
      </c>
      <c r="BG3408">
        <v>0</v>
      </c>
      <c r="BH3408">
        <v>1</v>
      </c>
      <c r="BI3408">
        <v>1</v>
      </c>
      <c r="BJ3408">
        <v>0.2</v>
      </c>
      <c r="BK3408">
        <v>1</v>
      </c>
      <c r="BL3408">
        <v>69.98</v>
      </c>
      <c r="BM3408">
        <v>10.5</v>
      </c>
      <c r="BN3408">
        <v>80.48</v>
      </c>
      <c r="BO3408">
        <v>80.48</v>
      </c>
      <c r="BQ3408" t="s">
        <v>3212</v>
      </c>
      <c r="BR3408" t="s">
        <v>84</v>
      </c>
      <c r="BS3408" s="3">
        <v>45805</v>
      </c>
      <c r="BT3408" s="4">
        <v>0.37638888888888888</v>
      </c>
      <c r="BU3408" t="s">
        <v>3213</v>
      </c>
      <c r="BV3408" t="s">
        <v>86</v>
      </c>
      <c r="BY3408">
        <v>1200</v>
      </c>
      <c r="CA3408" t="s">
        <v>141</v>
      </c>
      <c r="CC3408" t="s">
        <v>137</v>
      </c>
      <c r="CD3408" s="5" t="s">
        <v>142</v>
      </c>
      <c r="CE3408" t="s">
        <v>88</v>
      </c>
      <c r="CF3408" s="3">
        <v>45805</v>
      </c>
      <c r="CI3408">
        <v>1</v>
      </c>
      <c r="CJ3408">
        <v>1</v>
      </c>
      <c r="CK3408">
        <v>21</v>
      </c>
      <c r="CL3408" t="s">
        <v>89</v>
      </c>
    </row>
    <row r="3409" spans="1:90" x14ac:dyDescent="0.3">
      <c r="A3409" t="s">
        <v>72</v>
      </c>
      <c r="B3409" t="s">
        <v>73</v>
      </c>
      <c r="C3409" t="s">
        <v>74</v>
      </c>
      <c r="E3409" t="str">
        <f>"080065586759"</f>
        <v>080065586759</v>
      </c>
      <c r="F3409" s="3">
        <v>45804</v>
      </c>
      <c r="G3409">
        <v>202602</v>
      </c>
      <c r="H3409" t="s">
        <v>75</v>
      </c>
      <c r="I3409" t="s">
        <v>76</v>
      </c>
      <c r="J3409" t="s">
        <v>77</v>
      </c>
      <c r="K3409" t="s">
        <v>78</v>
      </c>
      <c r="L3409" t="s">
        <v>177</v>
      </c>
      <c r="M3409" t="s">
        <v>178</v>
      </c>
      <c r="N3409" t="s">
        <v>1854</v>
      </c>
      <c r="O3409" t="s">
        <v>82</v>
      </c>
      <c r="P3409" t="str">
        <f>"4170040930                    "</f>
        <v xml:space="preserve">4170040930                    </v>
      </c>
      <c r="Q3409">
        <v>0</v>
      </c>
      <c r="R3409">
        <v>0</v>
      </c>
      <c r="S3409">
        <v>0</v>
      </c>
      <c r="T3409">
        <v>0</v>
      </c>
      <c r="U3409">
        <v>0</v>
      </c>
      <c r="V3409">
        <v>0</v>
      </c>
      <c r="W3409">
        <v>0</v>
      </c>
      <c r="X3409">
        <v>0</v>
      </c>
      <c r="Y3409">
        <v>0</v>
      </c>
      <c r="Z3409">
        <v>0</v>
      </c>
      <c r="AA3409">
        <v>0</v>
      </c>
      <c r="AB3409">
        <v>0</v>
      </c>
      <c r="AC3409">
        <v>0</v>
      </c>
      <c r="AD3409">
        <v>0</v>
      </c>
      <c r="AE3409">
        <v>0</v>
      </c>
      <c r="AF3409">
        <v>0</v>
      </c>
      <c r="AG3409">
        <v>0</v>
      </c>
      <c r="AH3409">
        <v>0</v>
      </c>
      <c r="AI3409">
        <v>0</v>
      </c>
      <c r="AJ3409">
        <v>0</v>
      </c>
      <c r="AK3409">
        <v>0</v>
      </c>
      <c r="AL3409">
        <v>0</v>
      </c>
      <c r="AM3409">
        <v>0</v>
      </c>
      <c r="AN3409">
        <v>0</v>
      </c>
      <c r="AO3409">
        <v>0</v>
      </c>
      <c r="AP3409">
        <v>0</v>
      </c>
      <c r="AQ3409">
        <v>21.38</v>
      </c>
      <c r="AR3409">
        <v>0</v>
      </c>
      <c r="AS3409">
        <v>0</v>
      </c>
      <c r="AT3409">
        <v>0</v>
      </c>
      <c r="AU3409">
        <v>0</v>
      </c>
      <c r="AV3409">
        <v>0</v>
      </c>
      <c r="AW3409">
        <v>0</v>
      </c>
      <c r="AX3409">
        <v>0</v>
      </c>
      <c r="AY3409">
        <v>0</v>
      </c>
      <c r="AZ3409">
        <v>0</v>
      </c>
      <c r="BA3409">
        <v>0</v>
      </c>
      <c r="BB3409">
        <v>0</v>
      </c>
      <c r="BC3409">
        <v>0</v>
      </c>
      <c r="BD3409">
        <v>0</v>
      </c>
      <c r="BE3409">
        <v>0</v>
      </c>
      <c r="BF3409">
        <v>0</v>
      </c>
      <c r="BG3409">
        <v>0</v>
      </c>
      <c r="BH3409">
        <v>1</v>
      </c>
      <c r="BI3409">
        <v>1</v>
      </c>
      <c r="BJ3409">
        <v>0.6</v>
      </c>
      <c r="BK3409">
        <v>1</v>
      </c>
      <c r="BL3409">
        <v>69.98</v>
      </c>
      <c r="BM3409">
        <v>10.5</v>
      </c>
      <c r="BN3409">
        <v>80.48</v>
      </c>
      <c r="BO3409">
        <v>80.48</v>
      </c>
      <c r="BQ3409" t="s">
        <v>1855</v>
      </c>
      <c r="BR3409" t="s">
        <v>84</v>
      </c>
      <c r="BS3409" s="3">
        <v>45805</v>
      </c>
      <c r="BT3409" s="4">
        <v>0.33611111111111114</v>
      </c>
      <c r="BU3409" t="s">
        <v>3214</v>
      </c>
      <c r="BV3409" t="s">
        <v>86</v>
      </c>
      <c r="BY3409">
        <v>3192</v>
      </c>
      <c r="CA3409" t="s">
        <v>182</v>
      </c>
      <c r="CC3409" t="s">
        <v>178</v>
      </c>
      <c r="CD3409">
        <v>6230</v>
      </c>
      <c r="CE3409" t="s">
        <v>116</v>
      </c>
      <c r="CF3409" s="3">
        <v>45805</v>
      </c>
      <c r="CI3409">
        <v>1</v>
      </c>
      <c r="CJ3409">
        <v>1</v>
      </c>
      <c r="CK3409">
        <v>21</v>
      </c>
      <c r="CL3409" t="s">
        <v>89</v>
      </c>
    </row>
    <row r="3410" spans="1:90" x14ac:dyDescent="0.3">
      <c r="A3410" t="s">
        <v>72</v>
      </c>
      <c r="B3410" t="s">
        <v>73</v>
      </c>
      <c r="C3410" t="s">
        <v>74</v>
      </c>
      <c r="E3410" t="str">
        <f>"080065586859"</f>
        <v>080065586859</v>
      </c>
      <c r="F3410" s="3">
        <v>45804</v>
      </c>
      <c r="G3410">
        <v>202602</v>
      </c>
      <c r="H3410" t="s">
        <v>75</v>
      </c>
      <c r="I3410" t="s">
        <v>76</v>
      </c>
      <c r="J3410" t="s">
        <v>77</v>
      </c>
      <c r="K3410" t="s">
        <v>78</v>
      </c>
      <c r="L3410" t="s">
        <v>350</v>
      </c>
      <c r="M3410" t="s">
        <v>351</v>
      </c>
      <c r="N3410" t="s">
        <v>3215</v>
      </c>
      <c r="O3410" t="s">
        <v>82</v>
      </c>
      <c r="P3410" t="str">
        <f>"4170040751                    "</f>
        <v xml:space="preserve">4170040751                    </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0</v>
      </c>
      <c r="AJ3410">
        <v>0</v>
      </c>
      <c r="AK3410">
        <v>0</v>
      </c>
      <c r="AL3410">
        <v>0</v>
      </c>
      <c r="AM3410">
        <v>0</v>
      </c>
      <c r="AN3410">
        <v>0</v>
      </c>
      <c r="AO3410">
        <v>0</v>
      </c>
      <c r="AP3410">
        <v>0</v>
      </c>
      <c r="AQ3410">
        <v>21.38</v>
      </c>
      <c r="AR3410">
        <v>0</v>
      </c>
      <c r="AS3410">
        <v>0</v>
      </c>
      <c r="AT3410">
        <v>0</v>
      </c>
      <c r="AU3410">
        <v>0</v>
      </c>
      <c r="AV3410">
        <v>0</v>
      </c>
      <c r="AW3410">
        <v>0</v>
      </c>
      <c r="AX3410">
        <v>0</v>
      </c>
      <c r="AY3410">
        <v>0</v>
      </c>
      <c r="AZ3410">
        <v>0</v>
      </c>
      <c r="BA3410">
        <v>0</v>
      </c>
      <c r="BB3410">
        <v>0</v>
      </c>
      <c r="BC3410">
        <v>0</v>
      </c>
      <c r="BD3410">
        <v>0</v>
      </c>
      <c r="BE3410">
        <v>0</v>
      </c>
      <c r="BF3410">
        <v>0</v>
      </c>
      <c r="BG3410">
        <v>0</v>
      </c>
      <c r="BH3410">
        <v>1</v>
      </c>
      <c r="BI3410">
        <v>1</v>
      </c>
      <c r="BJ3410">
        <v>0.2</v>
      </c>
      <c r="BK3410">
        <v>1</v>
      </c>
      <c r="BL3410">
        <v>69.98</v>
      </c>
      <c r="BM3410">
        <v>10.5</v>
      </c>
      <c r="BN3410">
        <v>80.48</v>
      </c>
      <c r="BO3410">
        <v>80.48</v>
      </c>
      <c r="BQ3410" t="s">
        <v>3216</v>
      </c>
      <c r="BR3410" t="s">
        <v>84</v>
      </c>
      <c r="BS3410" s="3">
        <v>45805</v>
      </c>
      <c r="BT3410" s="4">
        <v>0.4909722222222222</v>
      </c>
      <c r="BU3410" t="s">
        <v>3217</v>
      </c>
      <c r="BV3410" t="s">
        <v>86</v>
      </c>
      <c r="BY3410">
        <v>1200</v>
      </c>
      <c r="CA3410" t="s">
        <v>3218</v>
      </c>
      <c r="CC3410" t="s">
        <v>351</v>
      </c>
      <c r="CD3410">
        <v>4093</v>
      </c>
      <c r="CE3410" t="s">
        <v>88</v>
      </c>
      <c r="CF3410" s="3">
        <v>45805</v>
      </c>
      <c r="CI3410">
        <v>1</v>
      </c>
      <c r="CJ3410">
        <v>1</v>
      </c>
      <c r="CK3410">
        <v>21</v>
      </c>
      <c r="CL3410" t="s">
        <v>89</v>
      </c>
    </row>
    <row r="3411" spans="1:90" x14ac:dyDescent="0.3">
      <c r="A3411" t="s">
        <v>72</v>
      </c>
      <c r="B3411" t="s">
        <v>73</v>
      </c>
      <c r="C3411" t="s">
        <v>74</v>
      </c>
      <c r="E3411" t="str">
        <f>"080065586876"</f>
        <v>080065586876</v>
      </c>
      <c r="F3411" s="3">
        <v>45804</v>
      </c>
      <c r="G3411">
        <v>202602</v>
      </c>
      <c r="H3411" t="s">
        <v>75</v>
      </c>
      <c r="I3411" t="s">
        <v>76</v>
      </c>
      <c r="J3411" t="s">
        <v>77</v>
      </c>
      <c r="K3411" t="s">
        <v>78</v>
      </c>
      <c r="L3411" t="s">
        <v>97</v>
      </c>
      <c r="M3411" t="s">
        <v>98</v>
      </c>
      <c r="N3411" t="s">
        <v>2325</v>
      </c>
      <c r="O3411" t="s">
        <v>82</v>
      </c>
      <c r="P3411" t="str">
        <f>"4170040792                    "</f>
        <v xml:space="preserve">4170040792                    </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c r="AJ3411">
        <v>0</v>
      </c>
      <c r="AK3411">
        <v>0</v>
      </c>
      <c r="AL3411">
        <v>0</v>
      </c>
      <c r="AM3411">
        <v>0</v>
      </c>
      <c r="AN3411">
        <v>0</v>
      </c>
      <c r="AO3411">
        <v>0</v>
      </c>
      <c r="AP3411">
        <v>0</v>
      </c>
      <c r="AQ3411">
        <v>16.7</v>
      </c>
      <c r="AR3411">
        <v>0</v>
      </c>
      <c r="AS3411">
        <v>0</v>
      </c>
      <c r="AT3411">
        <v>0</v>
      </c>
      <c r="AU3411">
        <v>0</v>
      </c>
      <c r="AV3411">
        <v>0</v>
      </c>
      <c r="AW3411">
        <v>0</v>
      </c>
      <c r="AX3411">
        <v>0</v>
      </c>
      <c r="AY3411">
        <v>0</v>
      </c>
      <c r="AZ3411">
        <v>0</v>
      </c>
      <c r="BA3411">
        <v>0</v>
      </c>
      <c r="BB3411">
        <v>0</v>
      </c>
      <c r="BC3411">
        <v>0</v>
      </c>
      <c r="BD3411">
        <v>0</v>
      </c>
      <c r="BE3411">
        <v>0</v>
      </c>
      <c r="BF3411">
        <v>0</v>
      </c>
      <c r="BG3411">
        <v>0</v>
      </c>
      <c r="BH3411">
        <v>1</v>
      </c>
      <c r="BI3411">
        <v>1</v>
      </c>
      <c r="BJ3411">
        <v>0.2</v>
      </c>
      <c r="BK3411">
        <v>1</v>
      </c>
      <c r="BL3411">
        <v>54.66</v>
      </c>
      <c r="BM3411">
        <v>8.1999999999999993</v>
      </c>
      <c r="BN3411">
        <v>62.86</v>
      </c>
      <c r="BO3411">
        <v>62.86</v>
      </c>
      <c r="BQ3411" t="s">
        <v>2326</v>
      </c>
      <c r="BR3411" t="s">
        <v>84</v>
      </c>
      <c r="BS3411" s="3">
        <v>45805</v>
      </c>
      <c r="BT3411" s="4">
        <v>0.37013888888888891</v>
      </c>
      <c r="BU3411" t="s">
        <v>2327</v>
      </c>
      <c r="BV3411" t="s">
        <v>86</v>
      </c>
      <c r="BY3411">
        <v>1200</v>
      </c>
      <c r="CA3411" t="s">
        <v>279</v>
      </c>
      <c r="CC3411" t="s">
        <v>98</v>
      </c>
      <c r="CD3411">
        <v>1460</v>
      </c>
      <c r="CE3411" t="s">
        <v>88</v>
      </c>
      <c r="CF3411" s="3">
        <v>45806</v>
      </c>
      <c r="CI3411">
        <v>1</v>
      </c>
      <c r="CJ3411">
        <v>1</v>
      </c>
      <c r="CK3411">
        <v>22</v>
      </c>
      <c r="CL3411" t="s">
        <v>89</v>
      </c>
    </row>
    <row r="3412" spans="1:90" x14ac:dyDescent="0.3">
      <c r="A3412" t="s">
        <v>72</v>
      </c>
      <c r="B3412" t="s">
        <v>73</v>
      </c>
      <c r="C3412" t="s">
        <v>74</v>
      </c>
      <c r="E3412" t="str">
        <f>"080065586880"</f>
        <v>080065586880</v>
      </c>
      <c r="F3412" s="3">
        <v>45804</v>
      </c>
      <c r="G3412">
        <v>202602</v>
      </c>
      <c r="H3412" t="s">
        <v>75</v>
      </c>
      <c r="I3412" t="s">
        <v>76</v>
      </c>
      <c r="J3412" t="s">
        <v>77</v>
      </c>
      <c r="K3412" t="s">
        <v>78</v>
      </c>
      <c r="L3412" t="s">
        <v>463</v>
      </c>
      <c r="M3412" t="s">
        <v>464</v>
      </c>
      <c r="N3412" t="s">
        <v>3219</v>
      </c>
      <c r="O3412" t="s">
        <v>82</v>
      </c>
      <c r="P3412" t="str">
        <f>"4170040807                    "</f>
        <v xml:space="preserve">4170040807                    </v>
      </c>
      <c r="Q3412">
        <v>0</v>
      </c>
      <c r="R3412">
        <v>0</v>
      </c>
      <c r="S3412">
        <v>0</v>
      </c>
      <c r="T3412">
        <v>0</v>
      </c>
      <c r="U3412">
        <v>0</v>
      </c>
      <c r="V3412">
        <v>0</v>
      </c>
      <c r="W3412">
        <v>0</v>
      </c>
      <c r="X3412">
        <v>0</v>
      </c>
      <c r="Y3412">
        <v>0</v>
      </c>
      <c r="Z3412">
        <v>0</v>
      </c>
      <c r="AA3412">
        <v>0</v>
      </c>
      <c r="AB3412">
        <v>0</v>
      </c>
      <c r="AC3412">
        <v>0</v>
      </c>
      <c r="AD3412">
        <v>0</v>
      </c>
      <c r="AE3412">
        <v>0</v>
      </c>
      <c r="AF3412">
        <v>0</v>
      </c>
      <c r="AG3412">
        <v>0</v>
      </c>
      <c r="AH3412">
        <v>0</v>
      </c>
      <c r="AI3412">
        <v>0</v>
      </c>
      <c r="AJ3412">
        <v>0</v>
      </c>
      <c r="AK3412">
        <v>0</v>
      </c>
      <c r="AL3412">
        <v>0</v>
      </c>
      <c r="AM3412">
        <v>0</v>
      </c>
      <c r="AN3412">
        <v>0</v>
      </c>
      <c r="AO3412">
        <v>0</v>
      </c>
      <c r="AP3412">
        <v>0</v>
      </c>
      <c r="AQ3412">
        <v>21.38</v>
      </c>
      <c r="AR3412">
        <v>0</v>
      </c>
      <c r="AS3412">
        <v>0</v>
      </c>
      <c r="AT3412">
        <v>0</v>
      </c>
      <c r="AU3412">
        <v>0</v>
      </c>
      <c r="AV3412">
        <v>0</v>
      </c>
      <c r="AW3412">
        <v>0</v>
      </c>
      <c r="AX3412">
        <v>0</v>
      </c>
      <c r="AY3412">
        <v>0</v>
      </c>
      <c r="AZ3412">
        <v>0</v>
      </c>
      <c r="BA3412">
        <v>0</v>
      </c>
      <c r="BB3412">
        <v>0</v>
      </c>
      <c r="BC3412">
        <v>0</v>
      </c>
      <c r="BD3412">
        <v>0</v>
      </c>
      <c r="BE3412">
        <v>0</v>
      </c>
      <c r="BF3412">
        <v>0</v>
      </c>
      <c r="BG3412">
        <v>0</v>
      </c>
      <c r="BH3412">
        <v>1</v>
      </c>
      <c r="BI3412">
        <v>1</v>
      </c>
      <c r="BJ3412">
        <v>0.2</v>
      </c>
      <c r="BK3412">
        <v>1</v>
      </c>
      <c r="BL3412">
        <v>69.98</v>
      </c>
      <c r="BM3412">
        <v>10.5</v>
      </c>
      <c r="BN3412">
        <v>80.48</v>
      </c>
      <c r="BO3412">
        <v>80.48</v>
      </c>
      <c r="BQ3412" t="s">
        <v>3220</v>
      </c>
      <c r="BR3412" t="s">
        <v>84</v>
      </c>
      <c r="BS3412" s="3">
        <v>45805</v>
      </c>
      <c r="BT3412" s="4">
        <v>0.48819444444444443</v>
      </c>
      <c r="BU3412" t="s">
        <v>3221</v>
      </c>
      <c r="BV3412" t="s">
        <v>89</v>
      </c>
      <c r="BY3412">
        <v>1200</v>
      </c>
      <c r="CA3412" t="s">
        <v>468</v>
      </c>
      <c r="CC3412" t="s">
        <v>464</v>
      </c>
      <c r="CD3412">
        <v>5201</v>
      </c>
      <c r="CE3412" t="s">
        <v>88</v>
      </c>
      <c r="CF3412" s="3">
        <v>45806</v>
      </c>
      <c r="CI3412">
        <v>1</v>
      </c>
      <c r="CJ3412">
        <v>1</v>
      </c>
      <c r="CK3412">
        <v>21</v>
      </c>
      <c r="CL3412" t="s">
        <v>89</v>
      </c>
    </row>
    <row r="3413" spans="1:90" x14ac:dyDescent="0.3">
      <c r="A3413" t="s">
        <v>72</v>
      </c>
      <c r="B3413" t="s">
        <v>73</v>
      </c>
      <c r="C3413" t="s">
        <v>74</v>
      </c>
      <c r="E3413" t="str">
        <f>"080065586896"</f>
        <v>080065586896</v>
      </c>
      <c r="F3413" s="3">
        <v>45804</v>
      </c>
      <c r="G3413">
        <v>202602</v>
      </c>
      <c r="H3413" t="s">
        <v>75</v>
      </c>
      <c r="I3413" t="s">
        <v>76</v>
      </c>
      <c r="J3413" t="s">
        <v>77</v>
      </c>
      <c r="K3413" t="s">
        <v>78</v>
      </c>
      <c r="L3413" t="s">
        <v>90</v>
      </c>
      <c r="M3413" t="s">
        <v>91</v>
      </c>
      <c r="N3413" t="s">
        <v>2177</v>
      </c>
      <c r="O3413" t="s">
        <v>82</v>
      </c>
      <c r="P3413" t="str">
        <f>"4170040843                    "</f>
        <v xml:space="preserve">4170040843                    </v>
      </c>
      <c r="Q3413">
        <v>0</v>
      </c>
      <c r="R3413">
        <v>0</v>
      </c>
      <c r="S3413">
        <v>0</v>
      </c>
      <c r="T3413">
        <v>0</v>
      </c>
      <c r="U3413">
        <v>0</v>
      </c>
      <c r="V3413">
        <v>0</v>
      </c>
      <c r="W3413">
        <v>0</v>
      </c>
      <c r="X3413">
        <v>0</v>
      </c>
      <c r="Y3413">
        <v>0</v>
      </c>
      <c r="Z3413">
        <v>0</v>
      </c>
      <c r="AA3413">
        <v>0</v>
      </c>
      <c r="AB3413">
        <v>0</v>
      </c>
      <c r="AC3413">
        <v>0</v>
      </c>
      <c r="AD3413">
        <v>0</v>
      </c>
      <c r="AE3413">
        <v>0</v>
      </c>
      <c r="AF3413">
        <v>0</v>
      </c>
      <c r="AG3413">
        <v>0</v>
      </c>
      <c r="AH3413">
        <v>0</v>
      </c>
      <c r="AI3413">
        <v>0</v>
      </c>
      <c r="AJ3413">
        <v>0</v>
      </c>
      <c r="AK3413">
        <v>0</v>
      </c>
      <c r="AL3413">
        <v>0</v>
      </c>
      <c r="AM3413">
        <v>0</v>
      </c>
      <c r="AN3413">
        <v>0</v>
      </c>
      <c r="AO3413">
        <v>0</v>
      </c>
      <c r="AP3413">
        <v>0</v>
      </c>
      <c r="AQ3413">
        <v>21.38</v>
      </c>
      <c r="AR3413">
        <v>0</v>
      </c>
      <c r="AS3413">
        <v>0</v>
      </c>
      <c r="AT3413">
        <v>0</v>
      </c>
      <c r="AU3413">
        <v>0</v>
      </c>
      <c r="AV3413">
        <v>0</v>
      </c>
      <c r="AW3413">
        <v>0</v>
      </c>
      <c r="AX3413">
        <v>0</v>
      </c>
      <c r="AY3413">
        <v>0</v>
      </c>
      <c r="AZ3413">
        <v>0</v>
      </c>
      <c r="BA3413">
        <v>0</v>
      </c>
      <c r="BB3413">
        <v>0</v>
      </c>
      <c r="BC3413">
        <v>0</v>
      </c>
      <c r="BD3413">
        <v>0</v>
      </c>
      <c r="BE3413">
        <v>0</v>
      </c>
      <c r="BF3413">
        <v>0</v>
      </c>
      <c r="BG3413">
        <v>0</v>
      </c>
      <c r="BH3413">
        <v>1</v>
      </c>
      <c r="BI3413">
        <v>1</v>
      </c>
      <c r="BJ3413">
        <v>0.2</v>
      </c>
      <c r="BK3413">
        <v>1</v>
      </c>
      <c r="BL3413">
        <v>69.98</v>
      </c>
      <c r="BM3413">
        <v>10.5</v>
      </c>
      <c r="BN3413">
        <v>80.48</v>
      </c>
      <c r="BO3413">
        <v>80.48</v>
      </c>
      <c r="BQ3413" t="s">
        <v>2178</v>
      </c>
      <c r="BR3413" t="s">
        <v>84</v>
      </c>
      <c r="BS3413" s="3">
        <v>45805</v>
      </c>
      <c r="BT3413" s="4">
        <v>0.43402777777777779</v>
      </c>
      <c r="BU3413" t="s">
        <v>2179</v>
      </c>
      <c r="BV3413" t="s">
        <v>86</v>
      </c>
      <c r="BY3413">
        <v>1170</v>
      </c>
      <c r="CA3413" t="s">
        <v>2180</v>
      </c>
      <c r="CC3413" t="s">
        <v>91</v>
      </c>
      <c r="CD3413">
        <v>6001</v>
      </c>
      <c r="CE3413" t="s">
        <v>88</v>
      </c>
      <c r="CF3413" s="3">
        <v>45805</v>
      </c>
      <c r="CI3413">
        <v>1</v>
      </c>
      <c r="CJ3413">
        <v>1</v>
      </c>
      <c r="CK3413">
        <v>21</v>
      </c>
      <c r="CL3413" t="s">
        <v>89</v>
      </c>
    </row>
    <row r="3414" spans="1:90" x14ac:dyDescent="0.3">
      <c r="A3414" t="s">
        <v>72</v>
      </c>
      <c r="B3414" t="s">
        <v>73</v>
      </c>
      <c r="C3414" t="s">
        <v>74</v>
      </c>
      <c r="E3414" t="str">
        <f>"080065586897"</f>
        <v>080065586897</v>
      </c>
      <c r="F3414" s="3">
        <v>45804</v>
      </c>
      <c r="G3414">
        <v>202602</v>
      </c>
      <c r="H3414" t="s">
        <v>75</v>
      </c>
      <c r="I3414" t="s">
        <v>76</v>
      </c>
      <c r="J3414" t="s">
        <v>77</v>
      </c>
      <c r="K3414" t="s">
        <v>78</v>
      </c>
      <c r="L3414" t="s">
        <v>75</v>
      </c>
      <c r="M3414" t="s">
        <v>76</v>
      </c>
      <c r="N3414" t="s">
        <v>346</v>
      </c>
      <c r="O3414" t="s">
        <v>82</v>
      </c>
      <c r="P3414" t="str">
        <f>"4170040819                    "</f>
        <v xml:space="preserve">4170040819                    </v>
      </c>
      <c r="Q3414">
        <v>0</v>
      </c>
      <c r="R3414">
        <v>0</v>
      </c>
      <c r="S3414">
        <v>0</v>
      </c>
      <c r="T3414">
        <v>0</v>
      </c>
      <c r="U3414">
        <v>0</v>
      </c>
      <c r="V3414">
        <v>0</v>
      </c>
      <c r="W3414">
        <v>0</v>
      </c>
      <c r="X3414">
        <v>0</v>
      </c>
      <c r="Y3414">
        <v>0</v>
      </c>
      <c r="Z3414">
        <v>0</v>
      </c>
      <c r="AA3414">
        <v>0</v>
      </c>
      <c r="AB3414">
        <v>0</v>
      </c>
      <c r="AC3414">
        <v>0</v>
      </c>
      <c r="AD3414">
        <v>0</v>
      </c>
      <c r="AE3414">
        <v>0</v>
      </c>
      <c r="AF3414">
        <v>0</v>
      </c>
      <c r="AG3414">
        <v>0</v>
      </c>
      <c r="AH3414">
        <v>0</v>
      </c>
      <c r="AI3414">
        <v>0</v>
      </c>
      <c r="AJ3414">
        <v>0</v>
      </c>
      <c r="AK3414">
        <v>0</v>
      </c>
      <c r="AL3414">
        <v>0</v>
      </c>
      <c r="AM3414">
        <v>0</v>
      </c>
      <c r="AN3414">
        <v>0</v>
      </c>
      <c r="AO3414">
        <v>0</v>
      </c>
      <c r="AP3414">
        <v>0</v>
      </c>
      <c r="AQ3414">
        <v>16.7</v>
      </c>
      <c r="AR3414">
        <v>0</v>
      </c>
      <c r="AS3414">
        <v>0</v>
      </c>
      <c r="AT3414">
        <v>0</v>
      </c>
      <c r="AU3414">
        <v>0</v>
      </c>
      <c r="AV3414">
        <v>0</v>
      </c>
      <c r="AW3414">
        <v>0</v>
      </c>
      <c r="AX3414">
        <v>0</v>
      </c>
      <c r="AY3414">
        <v>0</v>
      </c>
      <c r="AZ3414">
        <v>0</v>
      </c>
      <c r="BA3414">
        <v>0</v>
      </c>
      <c r="BB3414">
        <v>0</v>
      </c>
      <c r="BC3414">
        <v>0</v>
      </c>
      <c r="BD3414">
        <v>0</v>
      </c>
      <c r="BE3414">
        <v>0</v>
      </c>
      <c r="BF3414">
        <v>0</v>
      </c>
      <c r="BG3414">
        <v>0</v>
      </c>
      <c r="BH3414">
        <v>1</v>
      </c>
      <c r="BI3414">
        <v>1</v>
      </c>
      <c r="BJ3414">
        <v>0.2</v>
      </c>
      <c r="BK3414">
        <v>1</v>
      </c>
      <c r="BL3414">
        <v>54.66</v>
      </c>
      <c r="BM3414">
        <v>8.1999999999999993</v>
      </c>
      <c r="BN3414">
        <v>62.86</v>
      </c>
      <c r="BO3414">
        <v>62.86</v>
      </c>
      <c r="BQ3414" t="s">
        <v>347</v>
      </c>
      <c r="BR3414" t="s">
        <v>84</v>
      </c>
      <c r="BS3414" s="3">
        <v>45805</v>
      </c>
      <c r="BT3414" s="4">
        <v>0.39791666666666664</v>
      </c>
      <c r="BU3414" t="s">
        <v>2542</v>
      </c>
      <c r="BV3414" t="s">
        <v>86</v>
      </c>
      <c r="BY3414">
        <v>1200</v>
      </c>
      <c r="CA3414" t="s">
        <v>1519</v>
      </c>
      <c r="CC3414" t="s">
        <v>76</v>
      </c>
      <c r="CD3414">
        <v>1619</v>
      </c>
      <c r="CE3414" t="s">
        <v>88</v>
      </c>
      <c r="CF3414" s="3">
        <v>45805</v>
      </c>
      <c r="CI3414">
        <v>1</v>
      </c>
      <c r="CJ3414">
        <v>1</v>
      </c>
      <c r="CK3414">
        <v>22</v>
      </c>
      <c r="CL3414" t="s">
        <v>89</v>
      </c>
    </row>
    <row r="3415" spans="1:90" x14ac:dyDescent="0.3">
      <c r="A3415" t="s">
        <v>72</v>
      </c>
      <c r="B3415" t="s">
        <v>73</v>
      </c>
      <c r="C3415" t="s">
        <v>74</v>
      </c>
      <c r="E3415" t="str">
        <f>"080065586945"</f>
        <v>080065586945</v>
      </c>
      <c r="F3415" s="3">
        <v>45804</v>
      </c>
      <c r="G3415">
        <v>202602</v>
      </c>
      <c r="H3415" t="s">
        <v>75</v>
      </c>
      <c r="I3415" t="s">
        <v>76</v>
      </c>
      <c r="J3415" t="s">
        <v>77</v>
      </c>
      <c r="K3415" t="s">
        <v>78</v>
      </c>
      <c r="L3415" t="s">
        <v>143</v>
      </c>
      <c r="M3415" t="s">
        <v>144</v>
      </c>
      <c r="N3415" t="s">
        <v>1118</v>
      </c>
      <c r="O3415" t="s">
        <v>82</v>
      </c>
      <c r="P3415" t="str">
        <f>"4170040772                    "</f>
        <v xml:space="preserve">4170040772                    </v>
      </c>
      <c r="Q3415">
        <v>0</v>
      </c>
      <c r="R3415">
        <v>0</v>
      </c>
      <c r="S3415">
        <v>0</v>
      </c>
      <c r="T3415">
        <v>0</v>
      </c>
      <c r="U3415">
        <v>0</v>
      </c>
      <c r="V3415">
        <v>0</v>
      </c>
      <c r="W3415">
        <v>0</v>
      </c>
      <c r="X3415">
        <v>0</v>
      </c>
      <c r="Y3415">
        <v>0</v>
      </c>
      <c r="Z3415">
        <v>0</v>
      </c>
      <c r="AA3415">
        <v>0</v>
      </c>
      <c r="AB3415">
        <v>0</v>
      </c>
      <c r="AC3415">
        <v>0</v>
      </c>
      <c r="AD3415">
        <v>0</v>
      </c>
      <c r="AE3415">
        <v>0</v>
      </c>
      <c r="AF3415">
        <v>0</v>
      </c>
      <c r="AG3415">
        <v>0</v>
      </c>
      <c r="AH3415">
        <v>0</v>
      </c>
      <c r="AI3415">
        <v>0</v>
      </c>
      <c r="AJ3415">
        <v>0</v>
      </c>
      <c r="AK3415">
        <v>0</v>
      </c>
      <c r="AL3415">
        <v>0</v>
      </c>
      <c r="AM3415">
        <v>0</v>
      </c>
      <c r="AN3415">
        <v>0</v>
      </c>
      <c r="AO3415">
        <v>0</v>
      </c>
      <c r="AP3415">
        <v>0</v>
      </c>
      <c r="AQ3415">
        <v>16.7</v>
      </c>
      <c r="AR3415">
        <v>0</v>
      </c>
      <c r="AS3415">
        <v>0</v>
      </c>
      <c r="AT3415">
        <v>0</v>
      </c>
      <c r="AU3415">
        <v>0</v>
      </c>
      <c r="AV3415">
        <v>0</v>
      </c>
      <c r="AW3415">
        <v>0</v>
      </c>
      <c r="AX3415">
        <v>0</v>
      </c>
      <c r="AY3415">
        <v>0</v>
      </c>
      <c r="AZ3415">
        <v>0</v>
      </c>
      <c r="BA3415">
        <v>0</v>
      </c>
      <c r="BB3415">
        <v>0</v>
      </c>
      <c r="BC3415">
        <v>0</v>
      </c>
      <c r="BD3415">
        <v>0</v>
      </c>
      <c r="BE3415">
        <v>0</v>
      </c>
      <c r="BF3415">
        <v>0</v>
      </c>
      <c r="BG3415">
        <v>0</v>
      </c>
      <c r="BH3415">
        <v>1</v>
      </c>
      <c r="BI3415">
        <v>1</v>
      </c>
      <c r="BJ3415">
        <v>0.2</v>
      </c>
      <c r="BK3415">
        <v>1</v>
      </c>
      <c r="BL3415">
        <v>54.66</v>
      </c>
      <c r="BM3415">
        <v>8.1999999999999993</v>
      </c>
      <c r="BN3415">
        <v>62.86</v>
      </c>
      <c r="BO3415">
        <v>62.86</v>
      </c>
      <c r="BQ3415" t="s">
        <v>1119</v>
      </c>
      <c r="BR3415" t="s">
        <v>84</v>
      </c>
      <c r="BS3415" s="3">
        <v>45805</v>
      </c>
      <c r="BT3415" s="4">
        <v>0.36458333333333331</v>
      </c>
      <c r="BU3415" t="s">
        <v>1775</v>
      </c>
      <c r="BV3415" t="s">
        <v>86</v>
      </c>
      <c r="BY3415">
        <v>1200</v>
      </c>
      <c r="CA3415" t="s">
        <v>3222</v>
      </c>
      <c r="CC3415" t="s">
        <v>144</v>
      </c>
      <c r="CD3415">
        <v>1422</v>
      </c>
      <c r="CE3415" t="s">
        <v>88</v>
      </c>
      <c r="CF3415" s="3">
        <v>45805</v>
      </c>
      <c r="CI3415">
        <v>1</v>
      </c>
      <c r="CJ3415">
        <v>1</v>
      </c>
      <c r="CK3415">
        <v>22</v>
      </c>
      <c r="CL3415" t="s">
        <v>89</v>
      </c>
    </row>
    <row r="3416" spans="1:90" x14ac:dyDescent="0.3">
      <c r="A3416" t="s">
        <v>72</v>
      </c>
      <c r="B3416" t="s">
        <v>73</v>
      </c>
      <c r="C3416" t="s">
        <v>74</v>
      </c>
      <c r="E3416" t="str">
        <f>"080065586970"</f>
        <v>080065586970</v>
      </c>
      <c r="F3416" s="3">
        <v>45804</v>
      </c>
      <c r="G3416">
        <v>202602</v>
      </c>
      <c r="H3416" t="s">
        <v>75</v>
      </c>
      <c r="I3416" t="s">
        <v>76</v>
      </c>
      <c r="J3416" t="s">
        <v>77</v>
      </c>
      <c r="K3416" t="s">
        <v>78</v>
      </c>
      <c r="L3416" t="s">
        <v>75</v>
      </c>
      <c r="M3416" t="s">
        <v>76</v>
      </c>
      <c r="N3416" t="s">
        <v>3223</v>
      </c>
      <c r="O3416" t="s">
        <v>82</v>
      </c>
      <c r="P3416" t="str">
        <f>"4170040821                    "</f>
        <v xml:space="preserve">4170040821                    </v>
      </c>
      <c r="Q3416">
        <v>0</v>
      </c>
      <c r="R3416">
        <v>0</v>
      </c>
      <c r="S3416">
        <v>0</v>
      </c>
      <c r="T3416">
        <v>0</v>
      </c>
      <c r="U3416">
        <v>0</v>
      </c>
      <c r="V3416">
        <v>0</v>
      </c>
      <c r="W3416">
        <v>0</v>
      </c>
      <c r="X3416">
        <v>0</v>
      </c>
      <c r="Y3416">
        <v>0</v>
      </c>
      <c r="Z3416">
        <v>0</v>
      </c>
      <c r="AA3416">
        <v>0</v>
      </c>
      <c r="AB3416">
        <v>0</v>
      </c>
      <c r="AC3416">
        <v>0</v>
      </c>
      <c r="AD3416">
        <v>0</v>
      </c>
      <c r="AE3416">
        <v>0</v>
      </c>
      <c r="AF3416">
        <v>0</v>
      </c>
      <c r="AG3416">
        <v>0</v>
      </c>
      <c r="AH3416">
        <v>0</v>
      </c>
      <c r="AI3416">
        <v>0</v>
      </c>
      <c r="AJ3416">
        <v>0</v>
      </c>
      <c r="AK3416">
        <v>0</v>
      </c>
      <c r="AL3416">
        <v>0</v>
      </c>
      <c r="AM3416">
        <v>0</v>
      </c>
      <c r="AN3416">
        <v>0</v>
      </c>
      <c r="AO3416">
        <v>0</v>
      </c>
      <c r="AP3416">
        <v>0</v>
      </c>
      <c r="AQ3416">
        <v>16.7</v>
      </c>
      <c r="AR3416">
        <v>0</v>
      </c>
      <c r="AS3416">
        <v>0</v>
      </c>
      <c r="AT3416">
        <v>0</v>
      </c>
      <c r="AU3416">
        <v>0</v>
      </c>
      <c r="AV3416">
        <v>0</v>
      </c>
      <c r="AW3416">
        <v>0</v>
      </c>
      <c r="AX3416">
        <v>0</v>
      </c>
      <c r="AY3416">
        <v>0</v>
      </c>
      <c r="AZ3416">
        <v>0</v>
      </c>
      <c r="BA3416">
        <v>0</v>
      </c>
      <c r="BB3416">
        <v>0</v>
      </c>
      <c r="BC3416">
        <v>0</v>
      </c>
      <c r="BD3416">
        <v>0</v>
      </c>
      <c r="BE3416">
        <v>0</v>
      </c>
      <c r="BF3416">
        <v>0</v>
      </c>
      <c r="BG3416">
        <v>0</v>
      </c>
      <c r="BH3416">
        <v>1</v>
      </c>
      <c r="BI3416">
        <v>1</v>
      </c>
      <c r="BJ3416">
        <v>0.2</v>
      </c>
      <c r="BK3416">
        <v>1</v>
      </c>
      <c r="BL3416">
        <v>54.66</v>
      </c>
      <c r="BM3416">
        <v>8.1999999999999993</v>
      </c>
      <c r="BN3416">
        <v>62.86</v>
      </c>
      <c r="BO3416">
        <v>62.86</v>
      </c>
      <c r="BQ3416" t="s">
        <v>3224</v>
      </c>
      <c r="BR3416" t="s">
        <v>84</v>
      </c>
      <c r="BS3416" s="3">
        <v>45805</v>
      </c>
      <c r="BT3416" s="4">
        <v>0.33402777777777776</v>
      </c>
      <c r="BU3416" t="s">
        <v>3225</v>
      </c>
      <c r="BV3416" t="s">
        <v>86</v>
      </c>
      <c r="BY3416">
        <v>1200</v>
      </c>
      <c r="CA3416" t="s">
        <v>806</v>
      </c>
      <c r="CC3416" t="s">
        <v>76</v>
      </c>
      <c r="CD3416">
        <v>1600</v>
      </c>
      <c r="CE3416" t="s">
        <v>88</v>
      </c>
      <c r="CF3416" s="3">
        <v>45805</v>
      </c>
      <c r="CI3416">
        <v>1</v>
      </c>
      <c r="CJ3416">
        <v>1</v>
      </c>
      <c r="CK3416">
        <v>22</v>
      </c>
      <c r="CL3416" t="s">
        <v>89</v>
      </c>
    </row>
    <row r="3417" spans="1:90" x14ac:dyDescent="0.3">
      <c r="A3417" t="s">
        <v>72</v>
      </c>
      <c r="B3417" t="s">
        <v>73</v>
      </c>
      <c r="C3417" t="s">
        <v>74</v>
      </c>
      <c r="E3417" t="str">
        <f>"080065586993"</f>
        <v>080065586993</v>
      </c>
      <c r="F3417" s="3">
        <v>45804</v>
      </c>
      <c r="G3417">
        <v>202602</v>
      </c>
      <c r="H3417" t="s">
        <v>75</v>
      </c>
      <c r="I3417" t="s">
        <v>76</v>
      </c>
      <c r="J3417" t="s">
        <v>77</v>
      </c>
      <c r="K3417" t="s">
        <v>78</v>
      </c>
      <c r="L3417" t="s">
        <v>143</v>
      </c>
      <c r="M3417" t="s">
        <v>144</v>
      </c>
      <c r="N3417" t="s">
        <v>3226</v>
      </c>
      <c r="O3417" t="s">
        <v>82</v>
      </c>
      <c r="P3417" t="str">
        <f>"4170040797                    "</f>
        <v xml:space="preserve">4170040797                    </v>
      </c>
      <c r="Q3417">
        <v>0</v>
      </c>
      <c r="R3417">
        <v>0</v>
      </c>
      <c r="S3417">
        <v>0</v>
      </c>
      <c r="T3417">
        <v>0</v>
      </c>
      <c r="U3417">
        <v>0</v>
      </c>
      <c r="V3417">
        <v>0</v>
      </c>
      <c r="W3417">
        <v>0</v>
      </c>
      <c r="X3417">
        <v>0</v>
      </c>
      <c r="Y3417">
        <v>0</v>
      </c>
      <c r="Z3417">
        <v>0</v>
      </c>
      <c r="AA3417">
        <v>0</v>
      </c>
      <c r="AB3417">
        <v>0</v>
      </c>
      <c r="AC3417">
        <v>0</v>
      </c>
      <c r="AD3417">
        <v>0</v>
      </c>
      <c r="AE3417">
        <v>0</v>
      </c>
      <c r="AF3417">
        <v>0</v>
      </c>
      <c r="AG3417">
        <v>0</v>
      </c>
      <c r="AH3417">
        <v>0</v>
      </c>
      <c r="AI3417">
        <v>0</v>
      </c>
      <c r="AJ3417">
        <v>0</v>
      </c>
      <c r="AK3417">
        <v>0</v>
      </c>
      <c r="AL3417">
        <v>0</v>
      </c>
      <c r="AM3417">
        <v>0</v>
      </c>
      <c r="AN3417">
        <v>0</v>
      </c>
      <c r="AO3417">
        <v>0</v>
      </c>
      <c r="AP3417">
        <v>0</v>
      </c>
      <c r="AQ3417">
        <v>16.7</v>
      </c>
      <c r="AR3417">
        <v>0</v>
      </c>
      <c r="AS3417">
        <v>0</v>
      </c>
      <c r="AT3417">
        <v>0</v>
      </c>
      <c r="AU3417">
        <v>0</v>
      </c>
      <c r="AV3417">
        <v>0</v>
      </c>
      <c r="AW3417">
        <v>0</v>
      </c>
      <c r="AX3417">
        <v>0</v>
      </c>
      <c r="AY3417">
        <v>0</v>
      </c>
      <c r="AZ3417">
        <v>0</v>
      </c>
      <c r="BA3417">
        <v>0</v>
      </c>
      <c r="BB3417">
        <v>0</v>
      </c>
      <c r="BC3417">
        <v>0</v>
      </c>
      <c r="BD3417">
        <v>0</v>
      </c>
      <c r="BE3417">
        <v>0</v>
      </c>
      <c r="BF3417">
        <v>0</v>
      </c>
      <c r="BG3417">
        <v>0</v>
      </c>
      <c r="BH3417">
        <v>1</v>
      </c>
      <c r="BI3417">
        <v>1</v>
      </c>
      <c r="BJ3417">
        <v>0.2</v>
      </c>
      <c r="BK3417">
        <v>1</v>
      </c>
      <c r="BL3417">
        <v>54.66</v>
      </c>
      <c r="BM3417">
        <v>8.1999999999999993</v>
      </c>
      <c r="BN3417">
        <v>62.86</v>
      </c>
      <c r="BO3417">
        <v>62.86</v>
      </c>
      <c r="BQ3417" t="s">
        <v>3227</v>
      </c>
      <c r="BR3417" t="s">
        <v>84</v>
      </c>
      <c r="BS3417" s="3">
        <v>45805</v>
      </c>
      <c r="BT3417" s="4">
        <v>0.4465277777777778</v>
      </c>
      <c r="BU3417" t="s">
        <v>861</v>
      </c>
      <c r="BV3417" t="s">
        <v>89</v>
      </c>
      <c r="BW3417" t="s">
        <v>148</v>
      </c>
      <c r="BX3417" t="s">
        <v>149</v>
      </c>
      <c r="BY3417">
        <v>1200</v>
      </c>
      <c r="CA3417" t="s">
        <v>150</v>
      </c>
      <c r="CC3417" t="s">
        <v>144</v>
      </c>
      <c r="CD3417">
        <v>1401</v>
      </c>
      <c r="CE3417" t="s">
        <v>88</v>
      </c>
      <c r="CF3417" s="3">
        <v>45805</v>
      </c>
      <c r="CI3417">
        <v>1</v>
      </c>
      <c r="CJ3417">
        <v>1</v>
      </c>
      <c r="CK3417">
        <v>22</v>
      </c>
      <c r="CL3417" t="s">
        <v>89</v>
      </c>
    </row>
    <row r="3418" spans="1:90" x14ac:dyDescent="0.3">
      <c r="A3418" t="s">
        <v>72</v>
      </c>
      <c r="B3418" t="s">
        <v>73</v>
      </c>
      <c r="C3418" t="s">
        <v>74</v>
      </c>
      <c r="E3418" t="str">
        <f>"080065587470"</f>
        <v>080065587470</v>
      </c>
      <c r="F3418" s="3">
        <v>45804</v>
      </c>
      <c r="G3418">
        <v>202602</v>
      </c>
      <c r="H3418" t="s">
        <v>75</v>
      </c>
      <c r="I3418" t="s">
        <v>76</v>
      </c>
      <c r="J3418" t="s">
        <v>77</v>
      </c>
      <c r="K3418" t="s">
        <v>78</v>
      </c>
      <c r="L3418" t="s">
        <v>130</v>
      </c>
      <c r="M3418" t="s">
        <v>131</v>
      </c>
      <c r="N3418" t="s">
        <v>343</v>
      </c>
      <c r="O3418" t="s">
        <v>82</v>
      </c>
      <c r="P3418" t="str">
        <f>"4170040765                    "</f>
        <v xml:space="preserve">4170040765                    </v>
      </c>
      <c r="Q3418">
        <v>0</v>
      </c>
      <c r="R3418">
        <v>0</v>
      </c>
      <c r="S3418">
        <v>0</v>
      </c>
      <c r="T3418">
        <v>0</v>
      </c>
      <c r="U3418">
        <v>0</v>
      </c>
      <c r="V3418">
        <v>0</v>
      </c>
      <c r="W3418">
        <v>0</v>
      </c>
      <c r="X3418">
        <v>0</v>
      </c>
      <c r="Y3418">
        <v>0</v>
      </c>
      <c r="Z3418">
        <v>0</v>
      </c>
      <c r="AA3418">
        <v>0</v>
      </c>
      <c r="AB3418">
        <v>0</v>
      </c>
      <c r="AC3418">
        <v>0</v>
      </c>
      <c r="AD3418">
        <v>0</v>
      </c>
      <c r="AE3418">
        <v>0</v>
      </c>
      <c r="AF3418">
        <v>0</v>
      </c>
      <c r="AG3418">
        <v>0</v>
      </c>
      <c r="AH3418">
        <v>0</v>
      </c>
      <c r="AI3418">
        <v>0</v>
      </c>
      <c r="AJ3418">
        <v>0</v>
      </c>
      <c r="AK3418">
        <v>0</v>
      </c>
      <c r="AL3418">
        <v>0</v>
      </c>
      <c r="AM3418">
        <v>0</v>
      </c>
      <c r="AN3418">
        <v>0</v>
      </c>
      <c r="AO3418">
        <v>0</v>
      </c>
      <c r="AP3418">
        <v>0</v>
      </c>
      <c r="AQ3418">
        <v>21.38</v>
      </c>
      <c r="AR3418">
        <v>0</v>
      </c>
      <c r="AS3418">
        <v>0</v>
      </c>
      <c r="AT3418">
        <v>0</v>
      </c>
      <c r="AU3418">
        <v>0</v>
      </c>
      <c r="AV3418">
        <v>0</v>
      </c>
      <c r="AW3418">
        <v>0</v>
      </c>
      <c r="AX3418">
        <v>0</v>
      </c>
      <c r="AY3418">
        <v>0</v>
      </c>
      <c r="AZ3418">
        <v>0</v>
      </c>
      <c r="BA3418">
        <v>0</v>
      </c>
      <c r="BB3418">
        <v>0</v>
      </c>
      <c r="BC3418">
        <v>0</v>
      </c>
      <c r="BD3418">
        <v>0</v>
      </c>
      <c r="BE3418">
        <v>0</v>
      </c>
      <c r="BF3418">
        <v>0</v>
      </c>
      <c r="BG3418">
        <v>0</v>
      </c>
      <c r="BH3418">
        <v>1</v>
      </c>
      <c r="BI3418">
        <v>1</v>
      </c>
      <c r="BJ3418">
        <v>0.2</v>
      </c>
      <c r="BK3418">
        <v>1</v>
      </c>
      <c r="BL3418">
        <v>69.98</v>
      </c>
      <c r="BM3418">
        <v>10.5</v>
      </c>
      <c r="BN3418">
        <v>80.48</v>
      </c>
      <c r="BO3418">
        <v>80.48</v>
      </c>
      <c r="BQ3418" t="s">
        <v>344</v>
      </c>
      <c r="BR3418" t="s">
        <v>84</v>
      </c>
      <c r="BS3418" s="3">
        <v>45805</v>
      </c>
      <c r="BT3418" s="4">
        <v>0.4152777777777778</v>
      </c>
      <c r="BU3418" t="s">
        <v>3228</v>
      </c>
      <c r="BV3418" t="s">
        <v>86</v>
      </c>
      <c r="BY3418">
        <v>1200</v>
      </c>
      <c r="CA3418" t="s">
        <v>242</v>
      </c>
      <c r="CC3418" t="s">
        <v>131</v>
      </c>
      <c r="CD3418">
        <v>7441</v>
      </c>
      <c r="CE3418" t="s">
        <v>88</v>
      </c>
      <c r="CF3418" s="3">
        <v>45806</v>
      </c>
      <c r="CI3418">
        <v>1</v>
      </c>
      <c r="CJ3418">
        <v>1</v>
      </c>
      <c r="CK3418">
        <v>21</v>
      </c>
      <c r="CL3418" t="s">
        <v>89</v>
      </c>
    </row>
    <row r="3419" spans="1:90" x14ac:dyDescent="0.3">
      <c r="A3419" t="s">
        <v>72</v>
      </c>
      <c r="B3419" t="s">
        <v>73</v>
      </c>
      <c r="C3419" t="s">
        <v>74</v>
      </c>
      <c r="E3419" t="str">
        <f>"080065587504"</f>
        <v>080065587504</v>
      </c>
      <c r="F3419" s="3">
        <v>45804</v>
      </c>
      <c r="G3419">
        <v>202602</v>
      </c>
      <c r="H3419" t="s">
        <v>75</v>
      </c>
      <c r="I3419" t="s">
        <v>76</v>
      </c>
      <c r="J3419" t="s">
        <v>77</v>
      </c>
      <c r="K3419" t="s">
        <v>78</v>
      </c>
      <c r="L3419" t="s">
        <v>90</v>
      </c>
      <c r="M3419" t="s">
        <v>91</v>
      </c>
      <c r="N3419" t="s">
        <v>92</v>
      </c>
      <c r="O3419" t="s">
        <v>82</v>
      </c>
      <c r="P3419" t="str">
        <f>"4170040844                    "</f>
        <v xml:space="preserve">4170040844                    </v>
      </c>
      <c r="Q3419">
        <v>0</v>
      </c>
      <c r="R3419">
        <v>0</v>
      </c>
      <c r="S3419">
        <v>0</v>
      </c>
      <c r="T3419">
        <v>0</v>
      </c>
      <c r="U3419">
        <v>0</v>
      </c>
      <c r="V3419">
        <v>0</v>
      </c>
      <c r="W3419">
        <v>0</v>
      </c>
      <c r="X3419">
        <v>0</v>
      </c>
      <c r="Y3419">
        <v>0</v>
      </c>
      <c r="Z3419">
        <v>0</v>
      </c>
      <c r="AA3419">
        <v>0</v>
      </c>
      <c r="AB3419">
        <v>0</v>
      </c>
      <c r="AC3419">
        <v>0</v>
      </c>
      <c r="AD3419">
        <v>0</v>
      </c>
      <c r="AE3419">
        <v>0</v>
      </c>
      <c r="AF3419">
        <v>0</v>
      </c>
      <c r="AG3419">
        <v>0</v>
      </c>
      <c r="AH3419">
        <v>0</v>
      </c>
      <c r="AI3419">
        <v>0</v>
      </c>
      <c r="AJ3419">
        <v>0</v>
      </c>
      <c r="AK3419">
        <v>0</v>
      </c>
      <c r="AL3419">
        <v>0</v>
      </c>
      <c r="AM3419">
        <v>0</v>
      </c>
      <c r="AN3419">
        <v>0</v>
      </c>
      <c r="AO3419">
        <v>0</v>
      </c>
      <c r="AP3419">
        <v>0</v>
      </c>
      <c r="AQ3419">
        <v>21.38</v>
      </c>
      <c r="AR3419">
        <v>0</v>
      </c>
      <c r="AS3419">
        <v>0</v>
      </c>
      <c r="AT3419">
        <v>0</v>
      </c>
      <c r="AU3419">
        <v>0</v>
      </c>
      <c r="AV3419">
        <v>0</v>
      </c>
      <c r="AW3419">
        <v>0</v>
      </c>
      <c r="AX3419">
        <v>0</v>
      </c>
      <c r="AY3419">
        <v>0</v>
      </c>
      <c r="AZ3419">
        <v>0</v>
      </c>
      <c r="BA3419">
        <v>0</v>
      </c>
      <c r="BB3419">
        <v>0</v>
      </c>
      <c r="BC3419">
        <v>0</v>
      </c>
      <c r="BD3419">
        <v>0</v>
      </c>
      <c r="BE3419">
        <v>0</v>
      </c>
      <c r="BF3419">
        <v>0</v>
      </c>
      <c r="BG3419">
        <v>0</v>
      </c>
      <c r="BH3419">
        <v>1</v>
      </c>
      <c r="BI3419">
        <v>1</v>
      </c>
      <c r="BJ3419">
        <v>0.2</v>
      </c>
      <c r="BK3419">
        <v>1</v>
      </c>
      <c r="BL3419">
        <v>69.98</v>
      </c>
      <c r="BM3419">
        <v>10.5</v>
      </c>
      <c r="BN3419">
        <v>80.48</v>
      </c>
      <c r="BO3419">
        <v>80.48</v>
      </c>
      <c r="BQ3419" t="s">
        <v>93</v>
      </c>
      <c r="BR3419" t="s">
        <v>84</v>
      </c>
      <c r="BS3419" s="3">
        <v>45805</v>
      </c>
      <c r="BT3419" s="4">
        <v>0.36319444444444443</v>
      </c>
      <c r="BU3419" t="s">
        <v>94</v>
      </c>
      <c r="BV3419" t="s">
        <v>86</v>
      </c>
      <c r="BY3419">
        <v>1200</v>
      </c>
      <c r="CA3419" t="s">
        <v>95</v>
      </c>
      <c r="CC3419" t="s">
        <v>91</v>
      </c>
      <c r="CD3419">
        <v>6001</v>
      </c>
      <c r="CE3419" t="s">
        <v>88</v>
      </c>
      <c r="CF3419" s="3">
        <v>45805</v>
      </c>
      <c r="CI3419">
        <v>1</v>
      </c>
      <c r="CJ3419">
        <v>1</v>
      </c>
      <c r="CK3419">
        <v>21</v>
      </c>
      <c r="CL3419" t="s">
        <v>89</v>
      </c>
    </row>
    <row r="3420" spans="1:90" x14ac:dyDescent="0.3">
      <c r="A3420" t="s">
        <v>72</v>
      </c>
      <c r="B3420" t="s">
        <v>73</v>
      </c>
      <c r="C3420" t="s">
        <v>74</v>
      </c>
      <c r="E3420" t="str">
        <f>"080065587536"</f>
        <v>080065587536</v>
      </c>
      <c r="F3420" s="3">
        <v>45804</v>
      </c>
      <c r="G3420">
        <v>202602</v>
      </c>
      <c r="H3420" t="s">
        <v>75</v>
      </c>
      <c r="I3420" t="s">
        <v>76</v>
      </c>
      <c r="J3420" t="s">
        <v>77</v>
      </c>
      <c r="K3420" t="s">
        <v>78</v>
      </c>
      <c r="L3420" t="s">
        <v>177</v>
      </c>
      <c r="M3420" t="s">
        <v>178</v>
      </c>
      <c r="N3420" t="s">
        <v>1439</v>
      </c>
      <c r="O3420" t="s">
        <v>82</v>
      </c>
      <c r="P3420" t="str">
        <f>"4170040812                    "</f>
        <v xml:space="preserve">4170040812                    </v>
      </c>
      <c r="Q3420">
        <v>0</v>
      </c>
      <c r="R3420">
        <v>0</v>
      </c>
      <c r="S3420">
        <v>0</v>
      </c>
      <c r="T3420">
        <v>0</v>
      </c>
      <c r="U3420">
        <v>0</v>
      </c>
      <c r="V3420">
        <v>0</v>
      </c>
      <c r="W3420">
        <v>0</v>
      </c>
      <c r="X3420">
        <v>0</v>
      </c>
      <c r="Y3420">
        <v>0</v>
      </c>
      <c r="Z3420">
        <v>0</v>
      </c>
      <c r="AA3420">
        <v>0</v>
      </c>
      <c r="AB3420">
        <v>0</v>
      </c>
      <c r="AC3420">
        <v>0</v>
      </c>
      <c r="AD3420">
        <v>0</v>
      </c>
      <c r="AE3420">
        <v>0</v>
      </c>
      <c r="AF3420">
        <v>0</v>
      </c>
      <c r="AG3420">
        <v>0</v>
      </c>
      <c r="AH3420">
        <v>0</v>
      </c>
      <c r="AI3420">
        <v>0</v>
      </c>
      <c r="AJ3420">
        <v>0</v>
      </c>
      <c r="AK3420">
        <v>0</v>
      </c>
      <c r="AL3420">
        <v>0</v>
      </c>
      <c r="AM3420">
        <v>0</v>
      </c>
      <c r="AN3420">
        <v>0</v>
      </c>
      <c r="AO3420">
        <v>0</v>
      </c>
      <c r="AP3420">
        <v>0</v>
      </c>
      <c r="AQ3420">
        <v>21.38</v>
      </c>
      <c r="AR3420">
        <v>0</v>
      </c>
      <c r="AS3420">
        <v>0</v>
      </c>
      <c r="AT3420">
        <v>0</v>
      </c>
      <c r="AU3420">
        <v>0</v>
      </c>
      <c r="AV3420">
        <v>0</v>
      </c>
      <c r="AW3420">
        <v>0</v>
      </c>
      <c r="AX3420">
        <v>0</v>
      </c>
      <c r="AY3420">
        <v>0</v>
      </c>
      <c r="AZ3420">
        <v>0</v>
      </c>
      <c r="BA3420">
        <v>0</v>
      </c>
      <c r="BB3420">
        <v>0</v>
      </c>
      <c r="BC3420">
        <v>0</v>
      </c>
      <c r="BD3420">
        <v>0</v>
      </c>
      <c r="BE3420">
        <v>0</v>
      </c>
      <c r="BF3420">
        <v>0</v>
      </c>
      <c r="BG3420">
        <v>0</v>
      </c>
      <c r="BH3420">
        <v>1</v>
      </c>
      <c r="BI3420">
        <v>1</v>
      </c>
      <c r="BJ3420">
        <v>0.2</v>
      </c>
      <c r="BK3420">
        <v>1</v>
      </c>
      <c r="BL3420">
        <v>69.98</v>
      </c>
      <c r="BM3420">
        <v>10.5</v>
      </c>
      <c r="BN3420">
        <v>80.48</v>
      </c>
      <c r="BO3420">
        <v>80.48</v>
      </c>
      <c r="BQ3420" t="s">
        <v>1440</v>
      </c>
      <c r="BR3420" t="s">
        <v>84</v>
      </c>
      <c r="BS3420" s="3">
        <v>45805</v>
      </c>
      <c r="BT3420" s="4">
        <v>0.34375</v>
      </c>
      <c r="BU3420" t="s">
        <v>3120</v>
      </c>
      <c r="BV3420" t="s">
        <v>86</v>
      </c>
      <c r="BY3420">
        <v>1200</v>
      </c>
      <c r="CA3420" t="s">
        <v>182</v>
      </c>
      <c r="CC3420" t="s">
        <v>178</v>
      </c>
      <c r="CD3420">
        <v>6229</v>
      </c>
      <c r="CE3420" t="s">
        <v>88</v>
      </c>
      <c r="CF3420" s="3">
        <v>45805</v>
      </c>
      <c r="CI3420">
        <v>1</v>
      </c>
      <c r="CJ3420">
        <v>1</v>
      </c>
      <c r="CK3420">
        <v>21</v>
      </c>
      <c r="CL3420" t="s">
        <v>89</v>
      </c>
    </row>
    <row r="3421" spans="1:90" x14ac:dyDescent="0.3">
      <c r="A3421" t="s">
        <v>72</v>
      </c>
      <c r="B3421" t="s">
        <v>73</v>
      </c>
      <c r="C3421" t="s">
        <v>74</v>
      </c>
      <c r="E3421" t="str">
        <f>"080065587562"</f>
        <v>080065587562</v>
      </c>
      <c r="F3421" s="3">
        <v>45804</v>
      </c>
      <c r="G3421">
        <v>202602</v>
      </c>
      <c r="H3421" t="s">
        <v>75</v>
      </c>
      <c r="I3421" t="s">
        <v>76</v>
      </c>
      <c r="J3421" t="s">
        <v>77</v>
      </c>
      <c r="K3421" t="s">
        <v>78</v>
      </c>
      <c r="L3421" t="s">
        <v>366</v>
      </c>
      <c r="M3421" t="s">
        <v>367</v>
      </c>
      <c r="N3421" t="s">
        <v>522</v>
      </c>
      <c r="O3421" t="s">
        <v>82</v>
      </c>
      <c r="P3421" t="str">
        <f>"4170040776                    "</f>
        <v xml:space="preserve">4170040776                    </v>
      </c>
      <c r="Q3421">
        <v>0</v>
      </c>
      <c r="R3421">
        <v>0</v>
      </c>
      <c r="S3421">
        <v>0</v>
      </c>
      <c r="T3421">
        <v>0</v>
      </c>
      <c r="U3421">
        <v>0</v>
      </c>
      <c r="V3421">
        <v>0</v>
      </c>
      <c r="W3421">
        <v>0</v>
      </c>
      <c r="X3421">
        <v>0</v>
      </c>
      <c r="Y3421">
        <v>0</v>
      </c>
      <c r="Z3421">
        <v>0</v>
      </c>
      <c r="AA3421">
        <v>0</v>
      </c>
      <c r="AB3421">
        <v>0</v>
      </c>
      <c r="AC3421">
        <v>0</v>
      </c>
      <c r="AD3421">
        <v>0</v>
      </c>
      <c r="AE3421">
        <v>0</v>
      </c>
      <c r="AF3421">
        <v>0</v>
      </c>
      <c r="AG3421">
        <v>0</v>
      </c>
      <c r="AH3421">
        <v>0</v>
      </c>
      <c r="AI3421">
        <v>0</v>
      </c>
      <c r="AJ3421">
        <v>0</v>
      </c>
      <c r="AK3421">
        <v>0</v>
      </c>
      <c r="AL3421">
        <v>0</v>
      </c>
      <c r="AM3421">
        <v>0</v>
      </c>
      <c r="AN3421">
        <v>0</v>
      </c>
      <c r="AO3421">
        <v>0</v>
      </c>
      <c r="AP3421">
        <v>0</v>
      </c>
      <c r="AQ3421">
        <v>30.07</v>
      </c>
      <c r="AR3421">
        <v>0</v>
      </c>
      <c r="AS3421">
        <v>0</v>
      </c>
      <c r="AT3421">
        <v>0</v>
      </c>
      <c r="AU3421">
        <v>0</v>
      </c>
      <c r="AV3421">
        <v>0</v>
      </c>
      <c r="AW3421">
        <v>0</v>
      </c>
      <c r="AX3421">
        <v>0</v>
      </c>
      <c r="AY3421">
        <v>0</v>
      </c>
      <c r="AZ3421">
        <v>0</v>
      </c>
      <c r="BA3421">
        <v>0</v>
      </c>
      <c r="BB3421">
        <v>0</v>
      </c>
      <c r="BC3421">
        <v>0</v>
      </c>
      <c r="BD3421">
        <v>0</v>
      </c>
      <c r="BE3421">
        <v>0</v>
      </c>
      <c r="BF3421">
        <v>0</v>
      </c>
      <c r="BG3421">
        <v>0</v>
      </c>
      <c r="BH3421">
        <v>1</v>
      </c>
      <c r="BI3421">
        <v>1</v>
      </c>
      <c r="BJ3421">
        <v>0.2</v>
      </c>
      <c r="BK3421">
        <v>1</v>
      </c>
      <c r="BL3421">
        <v>98.42</v>
      </c>
      <c r="BM3421">
        <v>14.76</v>
      </c>
      <c r="BN3421">
        <v>113.18</v>
      </c>
      <c r="BO3421">
        <v>113.18</v>
      </c>
      <c r="BQ3421" t="s">
        <v>523</v>
      </c>
      <c r="BR3421" t="s">
        <v>84</v>
      </c>
      <c r="BS3421" s="3">
        <v>45805</v>
      </c>
      <c r="BT3421" s="4">
        <v>0.3888888888888889</v>
      </c>
      <c r="BU3421" t="s">
        <v>3229</v>
      </c>
      <c r="BV3421" t="s">
        <v>86</v>
      </c>
      <c r="BY3421">
        <v>1200</v>
      </c>
      <c r="CA3421" t="s">
        <v>971</v>
      </c>
      <c r="CC3421" t="s">
        <v>367</v>
      </c>
      <c r="CD3421">
        <v>1441</v>
      </c>
      <c r="CE3421" t="s">
        <v>88</v>
      </c>
      <c r="CF3421" s="3">
        <v>45806</v>
      </c>
      <c r="CI3421">
        <v>1</v>
      </c>
      <c r="CJ3421">
        <v>1</v>
      </c>
      <c r="CK3421">
        <v>24</v>
      </c>
      <c r="CL3421" t="s">
        <v>89</v>
      </c>
    </row>
    <row r="3422" spans="1:90" x14ac:dyDescent="0.3">
      <c r="A3422" t="s">
        <v>72</v>
      </c>
      <c r="B3422" t="s">
        <v>73</v>
      </c>
      <c r="C3422" t="s">
        <v>74</v>
      </c>
      <c r="E3422" t="str">
        <f>"080065588032"</f>
        <v>080065588032</v>
      </c>
      <c r="F3422" s="3">
        <v>45804</v>
      </c>
      <c r="G3422">
        <v>202602</v>
      </c>
      <c r="H3422" t="s">
        <v>75</v>
      </c>
      <c r="I3422" t="s">
        <v>76</v>
      </c>
      <c r="J3422" t="s">
        <v>77</v>
      </c>
      <c r="K3422" t="s">
        <v>78</v>
      </c>
      <c r="L3422" t="s">
        <v>136</v>
      </c>
      <c r="M3422" t="s">
        <v>137</v>
      </c>
      <c r="N3422" t="s">
        <v>499</v>
      </c>
      <c r="O3422" t="s">
        <v>82</v>
      </c>
      <c r="P3422" t="str">
        <f>"4170040906                    "</f>
        <v xml:space="preserve">4170040906                    </v>
      </c>
      <c r="Q3422">
        <v>0</v>
      </c>
      <c r="R3422">
        <v>0</v>
      </c>
      <c r="S3422">
        <v>0</v>
      </c>
      <c r="T3422">
        <v>0</v>
      </c>
      <c r="U3422">
        <v>0</v>
      </c>
      <c r="V3422">
        <v>0</v>
      </c>
      <c r="W3422">
        <v>0</v>
      </c>
      <c r="X3422">
        <v>0</v>
      </c>
      <c r="Y3422">
        <v>0</v>
      </c>
      <c r="Z3422">
        <v>0</v>
      </c>
      <c r="AA3422">
        <v>0</v>
      </c>
      <c r="AB3422">
        <v>0</v>
      </c>
      <c r="AC3422">
        <v>0</v>
      </c>
      <c r="AD3422">
        <v>0</v>
      </c>
      <c r="AE3422">
        <v>0</v>
      </c>
      <c r="AF3422">
        <v>0</v>
      </c>
      <c r="AG3422">
        <v>0</v>
      </c>
      <c r="AH3422">
        <v>0</v>
      </c>
      <c r="AI3422">
        <v>0</v>
      </c>
      <c r="AJ3422">
        <v>0</v>
      </c>
      <c r="AK3422">
        <v>0</v>
      </c>
      <c r="AL3422">
        <v>0</v>
      </c>
      <c r="AM3422">
        <v>0</v>
      </c>
      <c r="AN3422">
        <v>0</v>
      </c>
      <c r="AO3422">
        <v>0</v>
      </c>
      <c r="AP3422">
        <v>0</v>
      </c>
      <c r="AQ3422">
        <v>21.38</v>
      </c>
      <c r="AR3422">
        <v>0</v>
      </c>
      <c r="AS3422">
        <v>0</v>
      </c>
      <c r="AT3422">
        <v>0</v>
      </c>
      <c r="AU3422">
        <v>0</v>
      </c>
      <c r="AV3422">
        <v>0</v>
      </c>
      <c r="AW3422">
        <v>0</v>
      </c>
      <c r="AX3422">
        <v>0</v>
      </c>
      <c r="AY3422">
        <v>0</v>
      </c>
      <c r="AZ3422">
        <v>0</v>
      </c>
      <c r="BA3422">
        <v>0</v>
      </c>
      <c r="BB3422">
        <v>0</v>
      </c>
      <c r="BC3422">
        <v>0</v>
      </c>
      <c r="BD3422">
        <v>0</v>
      </c>
      <c r="BE3422">
        <v>0</v>
      </c>
      <c r="BF3422">
        <v>0</v>
      </c>
      <c r="BG3422">
        <v>0</v>
      </c>
      <c r="BH3422">
        <v>1</v>
      </c>
      <c r="BI3422">
        <v>1</v>
      </c>
      <c r="BJ3422">
        <v>0.2</v>
      </c>
      <c r="BK3422">
        <v>1</v>
      </c>
      <c r="BL3422">
        <v>69.98</v>
      </c>
      <c r="BM3422">
        <v>10.5</v>
      </c>
      <c r="BN3422">
        <v>80.48</v>
      </c>
      <c r="BO3422">
        <v>80.48</v>
      </c>
      <c r="BQ3422" t="s">
        <v>500</v>
      </c>
      <c r="BR3422" t="s">
        <v>84</v>
      </c>
      <c r="BS3422" s="3">
        <v>45805</v>
      </c>
      <c r="BT3422" s="4">
        <v>0.41666666666666669</v>
      </c>
      <c r="BU3422" t="s">
        <v>3230</v>
      </c>
      <c r="BV3422" t="s">
        <v>86</v>
      </c>
      <c r="BY3422">
        <v>1200</v>
      </c>
      <c r="CC3422" t="s">
        <v>137</v>
      </c>
      <c r="CD3422" s="5" t="s">
        <v>142</v>
      </c>
      <c r="CE3422" t="s">
        <v>88</v>
      </c>
      <c r="CF3422" s="3">
        <v>45805</v>
      </c>
      <c r="CI3422">
        <v>1</v>
      </c>
      <c r="CJ3422">
        <v>1</v>
      </c>
      <c r="CK3422">
        <v>21</v>
      </c>
      <c r="CL3422" t="s">
        <v>89</v>
      </c>
    </row>
    <row r="3423" spans="1:90" x14ac:dyDescent="0.3">
      <c r="A3423" t="s">
        <v>72</v>
      </c>
      <c r="B3423" t="s">
        <v>73</v>
      </c>
      <c r="C3423" t="s">
        <v>74</v>
      </c>
      <c r="E3423" t="str">
        <f>"080065588036"</f>
        <v>080065588036</v>
      </c>
      <c r="F3423" s="3">
        <v>45804</v>
      </c>
      <c r="G3423">
        <v>202602</v>
      </c>
      <c r="H3423" t="s">
        <v>75</v>
      </c>
      <c r="I3423" t="s">
        <v>76</v>
      </c>
      <c r="J3423" t="s">
        <v>77</v>
      </c>
      <c r="K3423" t="s">
        <v>78</v>
      </c>
      <c r="L3423" t="s">
        <v>350</v>
      </c>
      <c r="M3423" t="s">
        <v>351</v>
      </c>
      <c r="N3423" t="s">
        <v>352</v>
      </c>
      <c r="O3423" t="s">
        <v>82</v>
      </c>
      <c r="P3423" t="str">
        <f>"4170040756                    "</f>
        <v xml:space="preserve">4170040756                    </v>
      </c>
      <c r="Q3423">
        <v>0</v>
      </c>
      <c r="R3423">
        <v>0</v>
      </c>
      <c r="S3423">
        <v>0</v>
      </c>
      <c r="T3423">
        <v>0</v>
      </c>
      <c r="U3423">
        <v>0</v>
      </c>
      <c r="V3423">
        <v>0</v>
      </c>
      <c r="W3423">
        <v>0</v>
      </c>
      <c r="X3423">
        <v>0</v>
      </c>
      <c r="Y3423">
        <v>0</v>
      </c>
      <c r="Z3423">
        <v>0</v>
      </c>
      <c r="AA3423">
        <v>0</v>
      </c>
      <c r="AB3423">
        <v>0</v>
      </c>
      <c r="AC3423">
        <v>0</v>
      </c>
      <c r="AD3423">
        <v>0</v>
      </c>
      <c r="AE3423">
        <v>0</v>
      </c>
      <c r="AF3423">
        <v>0</v>
      </c>
      <c r="AG3423">
        <v>0</v>
      </c>
      <c r="AH3423">
        <v>0</v>
      </c>
      <c r="AI3423">
        <v>0</v>
      </c>
      <c r="AJ3423">
        <v>0</v>
      </c>
      <c r="AK3423">
        <v>0</v>
      </c>
      <c r="AL3423">
        <v>0</v>
      </c>
      <c r="AM3423">
        <v>0</v>
      </c>
      <c r="AN3423">
        <v>0</v>
      </c>
      <c r="AO3423">
        <v>0</v>
      </c>
      <c r="AP3423">
        <v>0</v>
      </c>
      <c r="AQ3423">
        <v>21.38</v>
      </c>
      <c r="AR3423">
        <v>0</v>
      </c>
      <c r="AS3423">
        <v>0</v>
      </c>
      <c r="AT3423">
        <v>0</v>
      </c>
      <c r="AU3423">
        <v>0</v>
      </c>
      <c r="AV3423">
        <v>0</v>
      </c>
      <c r="AW3423">
        <v>0</v>
      </c>
      <c r="AX3423">
        <v>0</v>
      </c>
      <c r="AY3423">
        <v>0</v>
      </c>
      <c r="AZ3423">
        <v>0</v>
      </c>
      <c r="BA3423">
        <v>0</v>
      </c>
      <c r="BB3423">
        <v>0</v>
      </c>
      <c r="BC3423">
        <v>0</v>
      </c>
      <c r="BD3423">
        <v>0</v>
      </c>
      <c r="BE3423">
        <v>0</v>
      </c>
      <c r="BF3423">
        <v>0</v>
      </c>
      <c r="BG3423">
        <v>0</v>
      </c>
      <c r="BH3423">
        <v>1</v>
      </c>
      <c r="BI3423">
        <v>2</v>
      </c>
      <c r="BJ3423">
        <v>1.1000000000000001</v>
      </c>
      <c r="BK3423">
        <v>2</v>
      </c>
      <c r="BL3423">
        <v>69.98</v>
      </c>
      <c r="BM3423">
        <v>10.5</v>
      </c>
      <c r="BN3423">
        <v>80.48</v>
      </c>
      <c r="BO3423">
        <v>80.48</v>
      </c>
      <c r="BQ3423" t="s">
        <v>353</v>
      </c>
      <c r="BR3423" t="s">
        <v>84</v>
      </c>
      <c r="BS3423" s="3">
        <v>45805</v>
      </c>
      <c r="BT3423" s="4">
        <v>0.56180555555555556</v>
      </c>
      <c r="BU3423" t="s">
        <v>354</v>
      </c>
      <c r="BV3423" t="s">
        <v>89</v>
      </c>
      <c r="BW3423" t="s">
        <v>296</v>
      </c>
      <c r="BX3423" t="s">
        <v>450</v>
      </c>
      <c r="BY3423">
        <v>5320</v>
      </c>
      <c r="CA3423" t="s">
        <v>160</v>
      </c>
      <c r="CC3423" t="s">
        <v>351</v>
      </c>
      <c r="CD3423">
        <v>4000</v>
      </c>
      <c r="CE3423" t="s">
        <v>116</v>
      </c>
      <c r="CF3423" s="3">
        <v>45806</v>
      </c>
      <c r="CI3423">
        <v>1</v>
      </c>
      <c r="CJ3423">
        <v>1</v>
      </c>
      <c r="CK3423">
        <v>21</v>
      </c>
      <c r="CL3423" t="s">
        <v>89</v>
      </c>
    </row>
    <row r="3424" spans="1:90" x14ac:dyDescent="0.3">
      <c r="A3424" t="s">
        <v>72</v>
      </c>
      <c r="B3424" t="s">
        <v>73</v>
      </c>
      <c r="C3424" t="s">
        <v>74</v>
      </c>
      <c r="E3424" t="str">
        <f>"080065588123"</f>
        <v>080065588123</v>
      </c>
      <c r="F3424" s="3">
        <v>45804</v>
      </c>
      <c r="G3424">
        <v>202602</v>
      </c>
      <c r="H3424" t="s">
        <v>75</v>
      </c>
      <c r="I3424" t="s">
        <v>76</v>
      </c>
      <c r="J3424" t="s">
        <v>77</v>
      </c>
      <c r="K3424" t="s">
        <v>78</v>
      </c>
      <c r="L3424" t="s">
        <v>672</v>
      </c>
      <c r="M3424" t="s">
        <v>673</v>
      </c>
      <c r="N3424" t="s">
        <v>674</v>
      </c>
      <c r="O3424" t="s">
        <v>82</v>
      </c>
      <c r="P3424" t="str">
        <f>"4170040815                    "</f>
        <v xml:space="preserve">4170040815                    </v>
      </c>
      <c r="Q3424">
        <v>0</v>
      </c>
      <c r="R3424">
        <v>0</v>
      </c>
      <c r="S3424">
        <v>0</v>
      </c>
      <c r="T3424">
        <v>0</v>
      </c>
      <c r="U3424">
        <v>0</v>
      </c>
      <c r="V3424">
        <v>0</v>
      </c>
      <c r="W3424">
        <v>0</v>
      </c>
      <c r="X3424">
        <v>0</v>
      </c>
      <c r="Y3424">
        <v>0</v>
      </c>
      <c r="Z3424">
        <v>0</v>
      </c>
      <c r="AA3424">
        <v>0</v>
      </c>
      <c r="AB3424">
        <v>0</v>
      </c>
      <c r="AC3424">
        <v>0</v>
      </c>
      <c r="AD3424">
        <v>0</v>
      </c>
      <c r="AE3424">
        <v>0</v>
      </c>
      <c r="AF3424">
        <v>0</v>
      </c>
      <c r="AG3424">
        <v>0</v>
      </c>
      <c r="AH3424">
        <v>0</v>
      </c>
      <c r="AI3424">
        <v>0</v>
      </c>
      <c r="AJ3424">
        <v>0</v>
      </c>
      <c r="AK3424">
        <v>0</v>
      </c>
      <c r="AL3424">
        <v>0</v>
      </c>
      <c r="AM3424">
        <v>0</v>
      </c>
      <c r="AN3424">
        <v>0</v>
      </c>
      <c r="AO3424">
        <v>0</v>
      </c>
      <c r="AP3424">
        <v>0</v>
      </c>
      <c r="AQ3424">
        <v>41.43</v>
      </c>
      <c r="AR3424">
        <v>0</v>
      </c>
      <c r="AS3424">
        <v>0</v>
      </c>
      <c r="AT3424">
        <v>0</v>
      </c>
      <c r="AU3424">
        <v>0</v>
      </c>
      <c r="AV3424">
        <v>0</v>
      </c>
      <c r="AW3424">
        <v>0</v>
      </c>
      <c r="AX3424">
        <v>0</v>
      </c>
      <c r="AY3424">
        <v>0</v>
      </c>
      <c r="AZ3424">
        <v>0</v>
      </c>
      <c r="BA3424">
        <v>0</v>
      </c>
      <c r="BB3424">
        <v>0</v>
      </c>
      <c r="BC3424">
        <v>0</v>
      </c>
      <c r="BD3424">
        <v>0</v>
      </c>
      <c r="BE3424">
        <v>0</v>
      </c>
      <c r="BF3424">
        <v>0</v>
      </c>
      <c r="BG3424">
        <v>0</v>
      </c>
      <c r="BH3424">
        <v>1</v>
      </c>
      <c r="BI3424">
        <v>1</v>
      </c>
      <c r="BJ3424">
        <v>0.2</v>
      </c>
      <c r="BK3424">
        <v>1</v>
      </c>
      <c r="BL3424">
        <v>135.59</v>
      </c>
      <c r="BM3424">
        <v>20.34</v>
      </c>
      <c r="BN3424">
        <v>155.93</v>
      </c>
      <c r="BO3424">
        <v>155.93</v>
      </c>
      <c r="BQ3424" t="s">
        <v>675</v>
      </c>
      <c r="BR3424" t="s">
        <v>84</v>
      </c>
      <c r="BS3424" s="3">
        <v>45805</v>
      </c>
      <c r="BT3424" s="4">
        <v>0.39305555555555555</v>
      </c>
      <c r="BU3424" t="s">
        <v>1059</v>
      </c>
      <c r="BV3424" t="s">
        <v>86</v>
      </c>
      <c r="BY3424">
        <v>1200</v>
      </c>
      <c r="CA3424" t="s">
        <v>677</v>
      </c>
      <c r="CC3424" t="s">
        <v>673</v>
      </c>
      <c r="CD3424">
        <v>2531</v>
      </c>
      <c r="CE3424" t="s">
        <v>88</v>
      </c>
      <c r="CF3424" s="3">
        <v>45806</v>
      </c>
      <c r="CI3424">
        <v>1</v>
      </c>
      <c r="CJ3424">
        <v>1</v>
      </c>
      <c r="CK3424">
        <v>23</v>
      </c>
      <c r="CL3424" t="s">
        <v>89</v>
      </c>
    </row>
    <row r="3425" spans="1:90" x14ac:dyDescent="0.3">
      <c r="A3425" t="s">
        <v>72</v>
      </c>
      <c r="B3425" t="s">
        <v>73</v>
      </c>
      <c r="C3425" t="s">
        <v>74</v>
      </c>
      <c r="E3425" t="str">
        <f>"080065588126"</f>
        <v>080065588126</v>
      </c>
      <c r="F3425" s="3">
        <v>45804</v>
      </c>
      <c r="G3425">
        <v>202602</v>
      </c>
      <c r="H3425" t="s">
        <v>75</v>
      </c>
      <c r="I3425" t="s">
        <v>76</v>
      </c>
      <c r="J3425" t="s">
        <v>77</v>
      </c>
      <c r="K3425" t="s">
        <v>78</v>
      </c>
      <c r="L3425" t="s">
        <v>713</v>
      </c>
      <c r="M3425" t="s">
        <v>714</v>
      </c>
      <c r="N3425" t="s">
        <v>715</v>
      </c>
      <c r="O3425" t="s">
        <v>82</v>
      </c>
      <c r="P3425" t="str">
        <f>"4170040883                    "</f>
        <v xml:space="preserve">4170040883                    </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0</v>
      </c>
      <c r="AJ3425">
        <v>0</v>
      </c>
      <c r="AK3425">
        <v>0</v>
      </c>
      <c r="AL3425">
        <v>0</v>
      </c>
      <c r="AM3425">
        <v>0</v>
      </c>
      <c r="AN3425">
        <v>0</v>
      </c>
      <c r="AO3425">
        <v>0</v>
      </c>
      <c r="AP3425">
        <v>0</v>
      </c>
      <c r="AQ3425">
        <v>41.43</v>
      </c>
      <c r="AR3425">
        <v>0</v>
      </c>
      <c r="AS3425">
        <v>0</v>
      </c>
      <c r="AT3425">
        <v>0</v>
      </c>
      <c r="AU3425">
        <v>0</v>
      </c>
      <c r="AV3425">
        <v>0</v>
      </c>
      <c r="AW3425">
        <v>0</v>
      </c>
      <c r="AX3425">
        <v>0</v>
      </c>
      <c r="AY3425">
        <v>0</v>
      </c>
      <c r="AZ3425">
        <v>0</v>
      </c>
      <c r="BA3425">
        <v>0</v>
      </c>
      <c r="BB3425">
        <v>0</v>
      </c>
      <c r="BC3425">
        <v>0</v>
      </c>
      <c r="BD3425">
        <v>0</v>
      </c>
      <c r="BE3425">
        <v>0</v>
      </c>
      <c r="BF3425">
        <v>0</v>
      </c>
      <c r="BG3425">
        <v>0</v>
      </c>
      <c r="BH3425">
        <v>1</v>
      </c>
      <c r="BI3425">
        <v>1</v>
      </c>
      <c r="BJ3425">
        <v>1.1000000000000001</v>
      </c>
      <c r="BK3425">
        <v>1.5</v>
      </c>
      <c r="BL3425">
        <v>135.59</v>
      </c>
      <c r="BM3425">
        <v>20.34</v>
      </c>
      <c r="BN3425">
        <v>155.93</v>
      </c>
      <c r="BO3425">
        <v>155.93</v>
      </c>
      <c r="BQ3425" t="s">
        <v>716</v>
      </c>
      <c r="BR3425" t="s">
        <v>84</v>
      </c>
      <c r="BS3425" s="3">
        <v>45805</v>
      </c>
      <c r="BT3425" s="4">
        <v>0.51111111111111107</v>
      </c>
      <c r="BU3425" t="s">
        <v>2421</v>
      </c>
      <c r="BV3425" t="s">
        <v>86</v>
      </c>
      <c r="BY3425">
        <v>5320</v>
      </c>
      <c r="CA3425" t="s">
        <v>718</v>
      </c>
      <c r="CC3425" t="s">
        <v>714</v>
      </c>
      <c r="CD3425">
        <v>6300</v>
      </c>
      <c r="CE3425" t="s">
        <v>116</v>
      </c>
      <c r="CF3425" s="3">
        <v>45805</v>
      </c>
      <c r="CI3425">
        <v>2</v>
      </c>
      <c r="CJ3425">
        <v>1</v>
      </c>
      <c r="CK3425">
        <v>23</v>
      </c>
      <c r="CL3425" t="s">
        <v>89</v>
      </c>
    </row>
    <row r="3426" spans="1:90" x14ac:dyDescent="0.3">
      <c r="A3426" t="s">
        <v>72</v>
      </c>
      <c r="B3426" t="s">
        <v>73</v>
      </c>
      <c r="C3426" t="s">
        <v>74</v>
      </c>
      <c r="E3426" t="str">
        <f>"080065588136"</f>
        <v>080065588136</v>
      </c>
      <c r="F3426" s="3">
        <v>45804</v>
      </c>
      <c r="G3426">
        <v>202602</v>
      </c>
      <c r="H3426" t="s">
        <v>75</v>
      </c>
      <c r="I3426" t="s">
        <v>76</v>
      </c>
      <c r="J3426" t="s">
        <v>77</v>
      </c>
      <c r="K3426" t="s">
        <v>78</v>
      </c>
      <c r="L3426" t="s">
        <v>624</v>
      </c>
      <c r="M3426" t="s">
        <v>625</v>
      </c>
      <c r="N3426" t="s">
        <v>626</v>
      </c>
      <c r="O3426" t="s">
        <v>82</v>
      </c>
      <c r="P3426" t="str">
        <f>"4170040782                    "</f>
        <v xml:space="preserve">4170040782                    </v>
      </c>
      <c r="Q3426">
        <v>0</v>
      </c>
      <c r="R3426">
        <v>0</v>
      </c>
      <c r="S3426">
        <v>0</v>
      </c>
      <c r="T3426">
        <v>0</v>
      </c>
      <c r="U3426">
        <v>0</v>
      </c>
      <c r="V3426">
        <v>0</v>
      </c>
      <c r="W3426">
        <v>0</v>
      </c>
      <c r="X3426">
        <v>0</v>
      </c>
      <c r="Y3426">
        <v>0</v>
      </c>
      <c r="Z3426">
        <v>0</v>
      </c>
      <c r="AA3426">
        <v>0</v>
      </c>
      <c r="AB3426">
        <v>0</v>
      </c>
      <c r="AC3426">
        <v>0</v>
      </c>
      <c r="AD3426">
        <v>0</v>
      </c>
      <c r="AE3426">
        <v>0</v>
      </c>
      <c r="AF3426">
        <v>0</v>
      </c>
      <c r="AG3426">
        <v>0</v>
      </c>
      <c r="AH3426">
        <v>0</v>
      </c>
      <c r="AI3426">
        <v>0</v>
      </c>
      <c r="AJ3426">
        <v>0</v>
      </c>
      <c r="AK3426">
        <v>0</v>
      </c>
      <c r="AL3426">
        <v>0</v>
      </c>
      <c r="AM3426">
        <v>0</v>
      </c>
      <c r="AN3426">
        <v>0</v>
      </c>
      <c r="AO3426">
        <v>0</v>
      </c>
      <c r="AP3426">
        <v>0</v>
      </c>
      <c r="AQ3426">
        <v>41.43</v>
      </c>
      <c r="AR3426">
        <v>0</v>
      </c>
      <c r="AS3426">
        <v>0</v>
      </c>
      <c r="AT3426">
        <v>0</v>
      </c>
      <c r="AU3426">
        <v>0</v>
      </c>
      <c r="AV3426">
        <v>0</v>
      </c>
      <c r="AW3426">
        <v>0</v>
      </c>
      <c r="AX3426">
        <v>0</v>
      </c>
      <c r="AY3426">
        <v>0</v>
      </c>
      <c r="AZ3426">
        <v>0</v>
      </c>
      <c r="BA3426">
        <v>0</v>
      </c>
      <c r="BB3426">
        <v>0</v>
      </c>
      <c r="BC3426">
        <v>0</v>
      </c>
      <c r="BD3426">
        <v>0</v>
      </c>
      <c r="BE3426">
        <v>0</v>
      </c>
      <c r="BF3426">
        <v>0</v>
      </c>
      <c r="BG3426">
        <v>0</v>
      </c>
      <c r="BH3426">
        <v>1</v>
      </c>
      <c r="BI3426">
        <v>1</v>
      </c>
      <c r="BJ3426">
        <v>0.2</v>
      </c>
      <c r="BK3426">
        <v>1</v>
      </c>
      <c r="BL3426">
        <v>135.59</v>
      </c>
      <c r="BM3426">
        <v>20.34</v>
      </c>
      <c r="BN3426">
        <v>155.93</v>
      </c>
      <c r="BO3426">
        <v>155.93</v>
      </c>
      <c r="BQ3426" t="s">
        <v>627</v>
      </c>
      <c r="BR3426" t="s">
        <v>84</v>
      </c>
      <c r="BS3426" s="3">
        <v>45805</v>
      </c>
      <c r="BT3426" s="4">
        <v>0.36805555555555558</v>
      </c>
      <c r="BU3426" t="s">
        <v>1674</v>
      </c>
      <c r="BV3426" t="s">
        <v>86</v>
      </c>
      <c r="BY3426">
        <v>1200</v>
      </c>
      <c r="CC3426" t="s">
        <v>625</v>
      </c>
      <c r="CD3426">
        <v>1947</v>
      </c>
      <c r="CE3426" t="s">
        <v>88</v>
      </c>
      <c r="CF3426" s="3">
        <v>45806</v>
      </c>
      <c r="CI3426">
        <v>1</v>
      </c>
      <c r="CJ3426">
        <v>1</v>
      </c>
      <c r="CK3426">
        <v>23</v>
      </c>
      <c r="CL3426" t="s">
        <v>89</v>
      </c>
    </row>
    <row r="3427" spans="1:90" x14ac:dyDescent="0.3">
      <c r="A3427" t="s">
        <v>72</v>
      </c>
      <c r="B3427" t="s">
        <v>73</v>
      </c>
      <c r="C3427" t="s">
        <v>74</v>
      </c>
      <c r="E3427" t="str">
        <f>"080065588158"</f>
        <v>080065588158</v>
      </c>
      <c r="F3427" s="3">
        <v>45804</v>
      </c>
      <c r="G3427">
        <v>202602</v>
      </c>
      <c r="H3427" t="s">
        <v>75</v>
      </c>
      <c r="I3427" t="s">
        <v>76</v>
      </c>
      <c r="J3427" t="s">
        <v>77</v>
      </c>
      <c r="K3427" t="s">
        <v>78</v>
      </c>
      <c r="L3427" t="s">
        <v>90</v>
      </c>
      <c r="M3427" t="s">
        <v>91</v>
      </c>
      <c r="N3427" t="s">
        <v>1211</v>
      </c>
      <c r="O3427" t="s">
        <v>82</v>
      </c>
      <c r="P3427" t="str">
        <f>"4170040813                    "</f>
        <v xml:space="preserve">4170040813                    </v>
      </c>
      <c r="Q3427">
        <v>0</v>
      </c>
      <c r="R3427">
        <v>0</v>
      </c>
      <c r="S3427">
        <v>0</v>
      </c>
      <c r="T3427">
        <v>0</v>
      </c>
      <c r="U3427">
        <v>0</v>
      </c>
      <c r="V3427">
        <v>0</v>
      </c>
      <c r="W3427">
        <v>0</v>
      </c>
      <c r="X3427">
        <v>0</v>
      </c>
      <c r="Y3427">
        <v>0</v>
      </c>
      <c r="Z3427">
        <v>0</v>
      </c>
      <c r="AA3427">
        <v>0</v>
      </c>
      <c r="AB3427">
        <v>0</v>
      </c>
      <c r="AC3427">
        <v>0</v>
      </c>
      <c r="AD3427">
        <v>0</v>
      </c>
      <c r="AE3427">
        <v>0</v>
      </c>
      <c r="AF3427">
        <v>0</v>
      </c>
      <c r="AG3427">
        <v>0</v>
      </c>
      <c r="AH3427">
        <v>0</v>
      </c>
      <c r="AI3427">
        <v>0</v>
      </c>
      <c r="AJ3427">
        <v>0</v>
      </c>
      <c r="AK3427">
        <v>0</v>
      </c>
      <c r="AL3427">
        <v>0</v>
      </c>
      <c r="AM3427">
        <v>0</v>
      </c>
      <c r="AN3427">
        <v>0</v>
      </c>
      <c r="AO3427">
        <v>0</v>
      </c>
      <c r="AP3427">
        <v>0</v>
      </c>
      <c r="AQ3427">
        <v>21.38</v>
      </c>
      <c r="AR3427">
        <v>0</v>
      </c>
      <c r="AS3427">
        <v>0</v>
      </c>
      <c r="AT3427">
        <v>0</v>
      </c>
      <c r="AU3427">
        <v>0</v>
      </c>
      <c r="AV3427">
        <v>0</v>
      </c>
      <c r="AW3427">
        <v>0</v>
      </c>
      <c r="AX3427">
        <v>0</v>
      </c>
      <c r="AY3427">
        <v>0</v>
      </c>
      <c r="AZ3427">
        <v>0</v>
      </c>
      <c r="BA3427">
        <v>0</v>
      </c>
      <c r="BB3427">
        <v>0</v>
      </c>
      <c r="BC3427">
        <v>0</v>
      </c>
      <c r="BD3427">
        <v>0</v>
      </c>
      <c r="BE3427">
        <v>0</v>
      </c>
      <c r="BF3427">
        <v>0</v>
      </c>
      <c r="BG3427">
        <v>0</v>
      </c>
      <c r="BH3427">
        <v>1</v>
      </c>
      <c r="BI3427">
        <v>1</v>
      </c>
      <c r="BJ3427">
        <v>0.2</v>
      </c>
      <c r="BK3427">
        <v>1</v>
      </c>
      <c r="BL3427">
        <v>69.98</v>
      </c>
      <c r="BM3427">
        <v>10.5</v>
      </c>
      <c r="BN3427">
        <v>80.48</v>
      </c>
      <c r="BO3427">
        <v>80.48</v>
      </c>
      <c r="BQ3427" t="s">
        <v>1212</v>
      </c>
      <c r="BR3427" t="s">
        <v>84</v>
      </c>
      <c r="BS3427" s="3">
        <v>45805</v>
      </c>
      <c r="BT3427" s="4">
        <v>0.40208333333333335</v>
      </c>
      <c r="BU3427" t="s">
        <v>2023</v>
      </c>
      <c r="BV3427" t="s">
        <v>86</v>
      </c>
      <c r="BY3427">
        <v>1200</v>
      </c>
      <c r="CA3427" t="s">
        <v>283</v>
      </c>
      <c r="CC3427" t="s">
        <v>91</v>
      </c>
      <c r="CD3427">
        <v>6012</v>
      </c>
      <c r="CE3427" t="s">
        <v>88</v>
      </c>
      <c r="CF3427" s="3">
        <v>45805</v>
      </c>
      <c r="CI3427">
        <v>1</v>
      </c>
      <c r="CJ3427">
        <v>1</v>
      </c>
      <c r="CK3427">
        <v>21</v>
      </c>
      <c r="CL3427" t="s">
        <v>89</v>
      </c>
    </row>
    <row r="3428" spans="1:90" x14ac:dyDescent="0.3">
      <c r="A3428" t="s">
        <v>72</v>
      </c>
      <c r="B3428" t="s">
        <v>73</v>
      </c>
      <c r="C3428" t="s">
        <v>74</v>
      </c>
      <c r="E3428" t="str">
        <f>"080065588179"</f>
        <v>080065588179</v>
      </c>
      <c r="F3428" s="3">
        <v>45804</v>
      </c>
      <c r="G3428">
        <v>202602</v>
      </c>
      <c r="H3428" t="s">
        <v>75</v>
      </c>
      <c r="I3428" t="s">
        <v>76</v>
      </c>
      <c r="J3428" t="s">
        <v>77</v>
      </c>
      <c r="K3428" t="s">
        <v>78</v>
      </c>
      <c r="L3428" t="s">
        <v>374</v>
      </c>
      <c r="M3428" t="s">
        <v>375</v>
      </c>
      <c r="N3428" t="s">
        <v>376</v>
      </c>
      <c r="O3428" t="s">
        <v>82</v>
      </c>
      <c r="P3428" t="str">
        <f>"4170040835                    "</f>
        <v xml:space="preserve">4170040835                    </v>
      </c>
      <c r="Q3428">
        <v>0</v>
      </c>
      <c r="R3428">
        <v>0</v>
      </c>
      <c r="S3428">
        <v>0</v>
      </c>
      <c r="T3428">
        <v>0</v>
      </c>
      <c r="U3428">
        <v>0</v>
      </c>
      <c r="V3428">
        <v>0</v>
      </c>
      <c r="W3428">
        <v>0</v>
      </c>
      <c r="X3428">
        <v>0</v>
      </c>
      <c r="Y3428">
        <v>0</v>
      </c>
      <c r="Z3428">
        <v>0</v>
      </c>
      <c r="AA3428">
        <v>0</v>
      </c>
      <c r="AB3428">
        <v>0</v>
      </c>
      <c r="AC3428">
        <v>0</v>
      </c>
      <c r="AD3428">
        <v>0</v>
      </c>
      <c r="AE3428">
        <v>0</v>
      </c>
      <c r="AF3428">
        <v>0</v>
      </c>
      <c r="AG3428">
        <v>0</v>
      </c>
      <c r="AH3428">
        <v>0</v>
      </c>
      <c r="AI3428">
        <v>0</v>
      </c>
      <c r="AJ3428">
        <v>0</v>
      </c>
      <c r="AK3428">
        <v>0</v>
      </c>
      <c r="AL3428">
        <v>0</v>
      </c>
      <c r="AM3428">
        <v>0</v>
      </c>
      <c r="AN3428">
        <v>0</v>
      </c>
      <c r="AO3428">
        <v>0</v>
      </c>
      <c r="AP3428">
        <v>0</v>
      </c>
      <c r="AQ3428">
        <v>41.43</v>
      </c>
      <c r="AR3428">
        <v>0</v>
      </c>
      <c r="AS3428">
        <v>0</v>
      </c>
      <c r="AT3428">
        <v>0</v>
      </c>
      <c r="AU3428">
        <v>0</v>
      </c>
      <c r="AV3428">
        <v>0</v>
      </c>
      <c r="AW3428">
        <v>0</v>
      </c>
      <c r="AX3428">
        <v>0</v>
      </c>
      <c r="AY3428">
        <v>0</v>
      </c>
      <c r="AZ3428">
        <v>0</v>
      </c>
      <c r="BA3428">
        <v>0</v>
      </c>
      <c r="BB3428">
        <v>0</v>
      </c>
      <c r="BC3428">
        <v>0</v>
      </c>
      <c r="BD3428">
        <v>0</v>
      </c>
      <c r="BE3428">
        <v>0</v>
      </c>
      <c r="BF3428">
        <v>0</v>
      </c>
      <c r="BG3428">
        <v>0</v>
      </c>
      <c r="BH3428">
        <v>1</v>
      </c>
      <c r="BI3428">
        <v>1</v>
      </c>
      <c r="BJ3428">
        <v>0.2</v>
      </c>
      <c r="BK3428">
        <v>1</v>
      </c>
      <c r="BL3428">
        <v>135.59</v>
      </c>
      <c r="BM3428">
        <v>20.34</v>
      </c>
      <c r="BN3428">
        <v>155.93</v>
      </c>
      <c r="BO3428">
        <v>155.93</v>
      </c>
      <c r="BQ3428" t="s">
        <v>377</v>
      </c>
      <c r="BR3428" t="s">
        <v>84</v>
      </c>
      <c r="BS3428" s="3">
        <v>45805</v>
      </c>
      <c r="BT3428" s="4">
        <v>0.41041666666666665</v>
      </c>
      <c r="BU3428" t="s">
        <v>378</v>
      </c>
      <c r="BV3428" t="s">
        <v>86</v>
      </c>
      <c r="BY3428">
        <v>1200</v>
      </c>
      <c r="CA3428" t="s">
        <v>379</v>
      </c>
      <c r="CC3428" t="s">
        <v>375</v>
      </c>
      <c r="CD3428">
        <v>7130</v>
      </c>
      <c r="CE3428" t="s">
        <v>88</v>
      </c>
      <c r="CF3428" s="3">
        <v>45806</v>
      </c>
      <c r="CI3428">
        <v>1</v>
      </c>
      <c r="CJ3428">
        <v>1</v>
      </c>
      <c r="CK3428">
        <v>23</v>
      </c>
      <c r="CL3428" t="s">
        <v>89</v>
      </c>
    </row>
    <row r="3429" spans="1:90" x14ac:dyDescent="0.3">
      <c r="A3429" t="s">
        <v>72</v>
      </c>
      <c r="B3429" t="s">
        <v>73</v>
      </c>
      <c r="C3429" t="s">
        <v>74</v>
      </c>
      <c r="E3429" t="str">
        <f>"080065588213"</f>
        <v>080065588213</v>
      </c>
      <c r="F3429" s="3">
        <v>45804</v>
      </c>
      <c r="G3429">
        <v>202602</v>
      </c>
      <c r="H3429" t="s">
        <v>75</v>
      </c>
      <c r="I3429" t="s">
        <v>76</v>
      </c>
      <c r="J3429" t="s">
        <v>77</v>
      </c>
      <c r="K3429" t="s">
        <v>78</v>
      </c>
      <c r="L3429" t="s">
        <v>420</v>
      </c>
      <c r="M3429" t="s">
        <v>421</v>
      </c>
      <c r="N3429" t="s">
        <v>1914</v>
      </c>
      <c r="O3429" t="s">
        <v>82</v>
      </c>
      <c r="P3429" t="str">
        <f>"4170040833                    "</f>
        <v xml:space="preserve">4170040833                    </v>
      </c>
      <c r="Q3429">
        <v>0</v>
      </c>
      <c r="R3429">
        <v>0</v>
      </c>
      <c r="S3429">
        <v>0</v>
      </c>
      <c r="T3429">
        <v>0</v>
      </c>
      <c r="U3429">
        <v>0</v>
      </c>
      <c r="V3429">
        <v>0</v>
      </c>
      <c r="W3429">
        <v>0</v>
      </c>
      <c r="X3429">
        <v>0</v>
      </c>
      <c r="Y3429">
        <v>0</v>
      </c>
      <c r="Z3429">
        <v>0</v>
      </c>
      <c r="AA3429">
        <v>0</v>
      </c>
      <c r="AB3429">
        <v>0</v>
      </c>
      <c r="AC3429">
        <v>0</v>
      </c>
      <c r="AD3429">
        <v>0</v>
      </c>
      <c r="AE3429">
        <v>0</v>
      </c>
      <c r="AF3429">
        <v>0</v>
      </c>
      <c r="AG3429">
        <v>0</v>
      </c>
      <c r="AH3429">
        <v>0</v>
      </c>
      <c r="AI3429">
        <v>0</v>
      </c>
      <c r="AJ3429">
        <v>0</v>
      </c>
      <c r="AK3429">
        <v>0</v>
      </c>
      <c r="AL3429">
        <v>0</v>
      </c>
      <c r="AM3429">
        <v>0</v>
      </c>
      <c r="AN3429">
        <v>0</v>
      </c>
      <c r="AO3429">
        <v>0</v>
      </c>
      <c r="AP3429">
        <v>0</v>
      </c>
      <c r="AQ3429">
        <v>41.43</v>
      </c>
      <c r="AR3429">
        <v>0</v>
      </c>
      <c r="AS3429">
        <v>0</v>
      </c>
      <c r="AT3429">
        <v>0</v>
      </c>
      <c r="AU3429">
        <v>0</v>
      </c>
      <c r="AV3429">
        <v>0</v>
      </c>
      <c r="AW3429">
        <v>0</v>
      </c>
      <c r="AX3429">
        <v>0</v>
      </c>
      <c r="AY3429">
        <v>0</v>
      </c>
      <c r="AZ3429">
        <v>0</v>
      </c>
      <c r="BA3429">
        <v>0</v>
      </c>
      <c r="BB3429">
        <v>0</v>
      </c>
      <c r="BC3429">
        <v>0</v>
      </c>
      <c r="BD3429">
        <v>0</v>
      </c>
      <c r="BE3429">
        <v>0</v>
      </c>
      <c r="BF3429">
        <v>0</v>
      </c>
      <c r="BG3429">
        <v>0</v>
      </c>
      <c r="BH3429">
        <v>1</v>
      </c>
      <c r="BI3429">
        <v>1</v>
      </c>
      <c r="BJ3429">
        <v>0.2</v>
      </c>
      <c r="BK3429">
        <v>1</v>
      </c>
      <c r="BL3429">
        <v>135.59</v>
      </c>
      <c r="BM3429">
        <v>20.34</v>
      </c>
      <c r="BN3429">
        <v>155.93</v>
      </c>
      <c r="BO3429">
        <v>155.93</v>
      </c>
      <c r="BQ3429" t="s">
        <v>1915</v>
      </c>
      <c r="BR3429" t="s">
        <v>84</v>
      </c>
      <c r="BS3429" s="3">
        <v>45806</v>
      </c>
      <c r="BT3429" s="4">
        <v>0.41666666666666669</v>
      </c>
      <c r="BU3429" t="s">
        <v>2063</v>
      </c>
      <c r="BV3429" t="s">
        <v>86</v>
      </c>
      <c r="BY3429">
        <v>1200</v>
      </c>
      <c r="CC3429" t="s">
        <v>421</v>
      </c>
      <c r="CD3429">
        <v>3224</v>
      </c>
      <c r="CE3429" t="s">
        <v>88</v>
      </c>
      <c r="CI3429">
        <v>1</v>
      </c>
      <c r="CJ3429">
        <v>2</v>
      </c>
      <c r="CK3429">
        <v>23</v>
      </c>
      <c r="CL3429" t="s">
        <v>89</v>
      </c>
    </row>
    <row r="3430" spans="1:90" x14ac:dyDescent="0.3">
      <c r="A3430" t="s">
        <v>72</v>
      </c>
      <c r="B3430" t="s">
        <v>73</v>
      </c>
      <c r="C3430" t="s">
        <v>74</v>
      </c>
      <c r="E3430" t="str">
        <f>"080065588229"</f>
        <v>080065588229</v>
      </c>
      <c r="F3430" s="3">
        <v>45804</v>
      </c>
      <c r="G3430">
        <v>202602</v>
      </c>
      <c r="H3430" t="s">
        <v>75</v>
      </c>
      <c r="I3430" t="s">
        <v>76</v>
      </c>
      <c r="J3430" t="s">
        <v>77</v>
      </c>
      <c r="K3430" t="s">
        <v>78</v>
      </c>
      <c r="L3430" t="s">
        <v>123</v>
      </c>
      <c r="M3430" t="s">
        <v>123</v>
      </c>
      <c r="N3430" t="s">
        <v>317</v>
      </c>
      <c r="O3430" t="s">
        <v>82</v>
      </c>
      <c r="P3430" t="str">
        <f>"4170040760                    "</f>
        <v xml:space="preserve">4170040760                    </v>
      </c>
      <c r="Q3430">
        <v>0</v>
      </c>
      <c r="R3430">
        <v>0</v>
      </c>
      <c r="S3430">
        <v>0</v>
      </c>
      <c r="T3430">
        <v>0</v>
      </c>
      <c r="U3430">
        <v>0</v>
      </c>
      <c r="V3430">
        <v>0</v>
      </c>
      <c r="W3430">
        <v>0</v>
      </c>
      <c r="X3430">
        <v>0</v>
      </c>
      <c r="Y3430">
        <v>0</v>
      </c>
      <c r="Z3430">
        <v>0</v>
      </c>
      <c r="AA3430">
        <v>0</v>
      </c>
      <c r="AB3430">
        <v>0</v>
      </c>
      <c r="AC3430">
        <v>0</v>
      </c>
      <c r="AD3430">
        <v>0</v>
      </c>
      <c r="AE3430">
        <v>0</v>
      </c>
      <c r="AF3430">
        <v>0</v>
      </c>
      <c r="AG3430">
        <v>0</v>
      </c>
      <c r="AH3430">
        <v>0</v>
      </c>
      <c r="AI3430">
        <v>0</v>
      </c>
      <c r="AJ3430">
        <v>0</v>
      </c>
      <c r="AK3430">
        <v>0</v>
      </c>
      <c r="AL3430">
        <v>0</v>
      </c>
      <c r="AM3430">
        <v>0</v>
      </c>
      <c r="AN3430">
        <v>0</v>
      </c>
      <c r="AO3430">
        <v>0</v>
      </c>
      <c r="AP3430">
        <v>0</v>
      </c>
      <c r="AQ3430">
        <v>41.43</v>
      </c>
      <c r="AR3430">
        <v>0</v>
      </c>
      <c r="AS3430">
        <v>0</v>
      </c>
      <c r="AT3430">
        <v>0</v>
      </c>
      <c r="AU3430">
        <v>0</v>
      </c>
      <c r="AV3430">
        <v>0</v>
      </c>
      <c r="AW3430">
        <v>0</v>
      </c>
      <c r="AX3430">
        <v>0</v>
      </c>
      <c r="AY3430">
        <v>0</v>
      </c>
      <c r="AZ3430">
        <v>0</v>
      </c>
      <c r="BA3430">
        <v>0</v>
      </c>
      <c r="BB3430">
        <v>0</v>
      </c>
      <c r="BC3430">
        <v>0</v>
      </c>
      <c r="BD3430">
        <v>0</v>
      </c>
      <c r="BE3430">
        <v>0</v>
      </c>
      <c r="BF3430">
        <v>0</v>
      </c>
      <c r="BG3430">
        <v>0</v>
      </c>
      <c r="BH3430">
        <v>1</v>
      </c>
      <c r="BI3430">
        <v>2</v>
      </c>
      <c r="BJ3430">
        <v>1.1000000000000001</v>
      </c>
      <c r="BK3430">
        <v>2</v>
      </c>
      <c r="BL3430">
        <v>135.59</v>
      </c>
      <c r="BM3430">
        <v>20.34</v>
      </c>
      <c r="BN3430">
        <v>155.93</v>
      </c>
      <c r="BO3430">
        <v>155.93</v>
      </c>
      <c r="BQ3430" t="s">
        <v>318</v>
      </c>
      <c r="BR3430" t="s">
        <v>84</v>
      </c>
      <c r="BS3430" s="3">
        <v>45805</v>
      </c>
      <c r="BT3430" s="4">
        <v>0.52083333333333337</v>
      </c>
      <c r="BU3430" t="s">
        <v>319</v>
      </c>
      <c r="BV3430" t="s">
        <v>86</v>
      </c>
      <c r="BY3430">
        <v>5320</v>
      </c>
      <c r="BZ3430" t="s">
        <v>127</v>
      </c>
      <c r="CA3430" t="s">
        <v>128</v>
      </c>
      <c r="CC3430" t="s">
        <v>123</v>
      </c>
      <c r="CD3430">
        <v>7646</v>
      </c>
      <c r="CE3430" t="s">
        <v>408</v>
      </c>
      <c r="CF3430" s="3">
        <v>45806</v>
      </c>
      <c r="CI3430">
        <v>1</v>
      </c>
      <c r="CJ3430">
        <v>1</v>
      </c>
      <c r="CK3430">
        <v>23</v>
      </c>
      <c r="CL3430" t="s">
        <v>89</v>
      </c>
    </row>
    <row r="3431" spans="1:90" x14ac:dyDescent="0.3">
      <c r="A3431" t="s">
        <v>72</v>
      </c>
      <c r="B3431" t="s">
        <v>73</v>
      </c>
      <c r="C3431" t="s">
        <v>74</v>
      </c>
      <c r="E3431" t="str">
        <f>"080065588249"</f>
        <v>080065588249</v>
      </c>
      <c r="F3431" s="3">
        <v>45804</v>
      </c>
      <c r="G3431">
        <v>202602</v>
      </c>
      <c r="H3431" t="s">
        <v>75</v>
      </c>
      <c r="I3431" t="s">
        <v>76</v>
      </c>
      <c r="J3431" t="s">
        <v>77</v>
      </c>
      <c r="K3431" t="s">
        <v>78</v>
      </c>
      <c r="L3431" t="s">
        <v>177</v>
      </c>
      <c r="M3431" t="s">
        <v>178</v>
      </c>
      <c r="N3431" t="s">
        <v>212</v>
      </c>
      <c r="O3431" t="s">
        <v>82</v>
      </c>
      <c r="P3431" t="str">
        <f>"4170040838                    "</f>
        <v xml:space="preserve">4170040838                    </v>
      </c>
      <c r="Q3431">
        <v>0</v>
      </c>
      <c r="R3431">
        <v>0</v>
      </c>
      <c r="S3431">
        <v>0</v>
      </c>
      <c r="T3431">
        <v>0</v>
      </c>
      <c r="U3431">
        <v>0</v>
      </c>
      <c r="V3431">
        <v>0</v>
      </c>
      <c r="W3431">
        <v>0</v>
      </c>
      <c r="X3431">
        <v>0</v>
      </c>
      <c r="Y3431">
        <v>0</v>
      </c>
      <c r="Z3431">
        <v>0</v>
      </c>
      <c r="AA3431">
        <v>0</v>
      </c>
      <c r="AB3431">
        <v>0</v>
      </c>
      <c r="AC3431">
        <v>0</v>
      </c>
      <c r="AD3431">
        <v>0</v>
      </c>
      <c r="AE3431">
        <v>0</v>
      </c>
      <c r="AF3431">
        <v>0</v>
      </c>
      <c r="AG3431">
        <v>0</v>
      </c>
      <c r="AH3431">
        <v>0</v>
      </c>
      <c r="AI3431">
        <v>0</v>
      </c>
      <c r="AJ3431">
        <v>0</v>
      </c>
      <c r="AK3431">
        <v>0</v>
      </c>
      <c r="AL3431">
        <v>0</v>
      </c>
      <c r="AM3431">
        <v>0</v>
      </c>
      <c r="AN3431">
        <v>0</v>
      </c>
      <c r="AO3431">
        <v>0</v>
      </c>
      <c r="AP3431">
        <v>0</v>
      </c>
      <c r="AQ3431">
        <v>21.38</v>
      </c>
      <c r="AR3431">
        <v>0</v>
      </c>
      <c r="AS3431">
        <v>0</v>
      </c>
      <c r="AT3431">
        <v>0</v>
      </c>
      <c r="AU3431">
        <v>0</v>
      </c>
      <c r="AV3431">
        <v>0</v>
      </c>
      <c r="AW3431">
        <v>0</v>
      </c>
      <c r="AX3431">
        <v>0</v>
      </c>
      <c r="AY3431">
        <v>0</v>
      </c>
      <c r="AZ3431">
        <v>0</v>
      </c>
      <c r="BA3431">
        <v>0</v>
      </c>
      <c r="BB3431">
        <v>0</v>
      </c>
      <c r="BC3431">
        <v>0</v>
      </c>
      <c r="BD3431">
        <v>0</v>
      </c>
      <c r="BE3431">
        <v>0</v>
      </c>
      <c r="BF3431">
        <v>0</v>
      </c>
      <c r="BG3431">
        <v>0</v>
      </c>
      <c r="BH3431">
        <v>1</v>
      </c>
      <c r="BI3431">
        <v>1</v>
      </c>
      <c r="BJ3431">
        <v>0.2</v>
      </c>
      <c r="BK3431">
        <v>1</v>
      </c>
      <c r="BL3431">
        <v>69.98</v>
      </c>
      <c r="BM3431">
        <v>10.5</v>
      </c>
      <c r="BN3431">
        <v>80.48</v>
      </c>
      <c r="BO3431">
        <v>80.48</v>
      </c>
      <c r="BQ3431" t="s">
        <v>213</v>
      </c>
      <c r="BR3431" t="s">
        <v>84</v>
      </c>
      <c r="BS3431" s="3">
        <v>45805</v>
      </c>
      <c r="BT3431" s="4">
        <v>0.35069444444444442</v>
      </c>
      <c r="BU3431" t="s">
        <v>1568</v>
      </c>
      <c r="BV3431" t="s">
        <v>86</v>
      </c>
      <c r="BY3431">
        <v>1200</v>
      </c>
      <c r="BZ3431" t="s">
        <v>127</v>
      </c>
      <c r="CA3431" t="s">
        <v>182</v>
      </c>
      <c r="CC3431" t="s">
        <v>178</v>
      </c>
      <c r="CD3431">
        <v>6021</v>
      </c>
      <c r="CE3431" t="s">
        <v>129</v>
      </c>
      <c r="CF3431" s="3">
        <v>45805</v>
      </c>
      <c r="CI3431">
        <v>1</v>
      </c>
      <c r="CJ3431">
        <v>1</v>
      </c>
      <c r="CK3431">
        <v>21</v>
      </c>
      <c r="CL3431" t="s">
        <v>89</v>
      </c>
    </row>
    <row r="3432" spans="1:90" x14ac:dyDescent="0.3">
      <c r="A3432" t="s">
        <v>72</v>
      </c>
      <c r="B3432" t="s">
        <v>73</v>
      </c>
      <c r="C3432" t="s">
        <v>74</v>
      </c>
      <c r="E3432" t="str">
        <f>"080065588260"</f>
        <v>080065588260</v>
      </c>
      <c r="F3432" s="3">
        <v>45804</v>
      </c>
      <c r="G3432">
        <v>202602</v>
      </c>
      <c r="H3432" t="s">
        <v>75</v>
      </c>
      <c r="I3432" t="s">
        <v>76</v>
      </c>
      <c r="J3432" t="s">
        <v>77</v>
      </c>
      <c r="K3432" t="s">
        <v>78</v>
      </c>
      <c r="L3432" t="s">
        <v>1241</v>
      </c>
      <c r="M3432" t="s">
        <v>1242</v>
      </c>
      <c r="N3432" t="s">
        <v>3231</v>
      </c>
      <c r="O3432" t="s">
        <v>82</v>
      </c>
      <c r="P3432" t="str">
        <f>"4170040764                    "</f>
        <v xml:space="preserve">4170040764                    </v>
      </c>
      <c r="Q3432">
        <v>0</v>
      </c>
      <c r="R3432">
        <v>0</v>
      </c>
      <c r="S3432">
        <v>0</v>
      </c>
      <c r="T3432">
        <v>0</v>
      </c>
      <c r="U3432">
        <v>0</v>
      </c>
      <c r="V3432">
        <v>0</v>
      </c>
      <c r="W3432">
        <v>0</v>
      </c>
      <c r="X3432">
        <v>0</v>
      </c>
      <c r="Y3432">
        <v>0</v>
      </c>
      <c r="Z3432">
        <v>0</v>
      </c>
      <c r="AA3432">
        <v>0</v>
      </c>
      <c r="AB3432">
        <v>0</v>
      </c>
      <c r="AC3432">
        <v>0</v>
      </c>
      <c r="AD3432">
        <v>0</v>
      </c>
      <c r="AE3432">
        <v>0</v>
      </c>
      <c r="AF3432">
        <v>0</v>
      </c>
      <c r="AG3432">
        <v>0</v>
      </c>
      <c r="AH3432">
        <v>0</v>
      </c>
      <c r="AI3432">
        <v>0</v>
      </c>
      <c r="AJ3432">
        <v>0</v>
      </c>
      <c r="AK3432">
        <v>0</v>
      </c>
      <c r="AL3432">
        <v>0</v>
      </c>
      <c r="AM3432">
        <v>0</v>
      </c>
      <c r="AN3432">
        <v>0</v>
      </c>
      <c r="AO3432">
        <v>0</v>
      </c>
      <c r="AP3432">
        <v>0</v>
      </c>
      <c r="AQ3432">
        <v>41.43</v>
      </c>
      <c r="AR3432">
        <v>0</v>
      </c>
      <c r="AS3432">
        <v>0</v>
      </c>
      <c r="AT3432">
        <v>0</v>
      </c>
      <c r="AU3432">
        <v>0</v>
      </c>
      <c r="AV3432">
        <v>0</v>
      </c>
      <c r="AW3432">
        <v>0</v>
      </c>
      <c r="AX3432">
        <v>0</v>
      </c>
      <c r="AY3432">
        <v>0</v>
      </c>
      <c r="AZ3432">
        <v>0</v>
      </c>
      <c r="BA3432">
        <v>0</v>
      </c>
      <c r="BB3432">
        <v>0</v>
      </c>
      <c r="BC3432">
        <v>0</v>
      </c>
      <c r="BD3432">
        <v>0</v>
      </c>
      <c r="BE3432">
        <v>0</v>
      </c>
      <c r="BF3432">
        <v>0</v>
      </c>
      <c r="BG3432">
        <v>0</v>
      </c>
      <c r="BH3432">
        <v>1</v>
      </c>
      <c r="BI3432">
        <v>1</v>
      </c>
      <c r="BJ3432">
        <v>0.2</v>
      </c>
      <c r="BK3432">
        <v>1</v>
      </c>
      <c r="BL3432">
        <v>135.59</v>
      </c>
      <c r="BM3432">
        <v>20.34</v>
      </c>
      <c r="BN3432">
        <v>155.93</v>
      </c>
      <c r="BO3432">
        <v>155.93</v>
      </c>
      <c r="BQ3432" t="s">
        <v>3232</v>
      </c>
      <c r="BR3432" t="s">
        <v>84</v>
      </c>
      <c r="BS3432" s="3">
        <v>45805</v>
      </c>
      <c r="BT3432" s="4">
        <v>0.4375</v>
      </c>
      <c r="BU3432" t="s">
        <v>3233</v>
      </c>
      <c r="BV3432" t="s">
        <v>86</v>
      </c>
      <c r="BY3432">
        <v>1200</v>
      </c>
      <c r="BZ3432" t="s">
        <v>127</v>
      </c>
      <c r="CC3432" t="s">
        <v>1242</v>
      </c>
      <c r="CD3432">
        <v>1961</v>
      </c>
      <c r="CE3432" t="s">
        <v>129</v>
      </c>
      <c r="CF3432" s="3">
        <v>45806</v>
      </c>
      <c r="CI3432">
        <v>1</v>
      </c>
      <c r="CJ3432">
        <v>1</v>
      </c>
      <c r="CK3432">
        <v>23</v>
      </c>
      <c r="CL3432" t="s">
        <v>89</v>
      </c>
    </row>
    <row r="3433" spans="1:90" x14ac:dyDescent="0.3">
      <c r="A3433" t="s">
        <v>72</v>
      </c>
      <c r="B3433" t="s">
        <v>73</v>
      </c>
      <c r="C3433" t="s">
        <v>74</v>
      </c>
      <c r="E3433" t="str">
        <f>"080065588264"</f>
        <v>080065588264</v>
      </c>
      <c r="F3433" s="3">
        <v>45804</v>
      </c>
      <c r="G3433">
        <v>202602</v>
      </c>
      <c r="H3433" t="s">
        <v>75</v>
      </c>
      <c r="I3433" t="s">
        <v>76</v>
      </c>
      <c r="J3433" t="s">
        <v>77</v>
      </c>
      <c r="K3433" t="s">
        <v>78</v>
      </c>
      <c r="L3433" t="s">
        <v>117</v>
      </c>
      <c r="M3433" t="s">
        <v>118</v>
      </c>
      <c r="N3433" t="s">
        <v>3234</v>
      </c>
      <c r="O3433" t="s">
        <v>82</v>
      </c>
      <c r="P3433" t="str">
        <f>"4170040822                    "</f>
        <v xml:space="preserve">4170040822                    </v>
      </c>
      <c r="Q3433">
        <v>0</v>
      </c>
      <c r="R3433">
        <v>0</v>
      </c>
      <c r="S3433">
        <v>0</v>
      </c>
      <c r="T3433">
        <v>0</v>
      </c>
      <c r="U3433">
        <v>0</v>
      </c>
      <c r="V3433">
        <v>0</v>
      </c>
      <c r="W3433">
        <v>0</v>
      </c>
      <c r="X3433">
        <v>0</v>
      </c>
      <c r="Y3433">
        <v>0</v>
      </c>
      <c r="Z3433">
        <v>0</v>
      </c>
      <c r="AA3433">
        <v>0</v>
      </c>
      <c r="AB3433">
        <v>0</v>
      </c>
      <c r="AC3433">
        <v>0</v>
      </c>
      <c r="AD3433">
        <v>0</v>
      </c>
      <c r="AE3433">
        <v>0</v>
      </c>
      <c r="AF3433">
        <v>0</v>
      </c>
      <c r="AG3433">
        <v>0</v>
      </c>
      <c r="AH3433">
        <v>0</v>
      </c>
      <c r="AI3433">
        <v>0</v>
      </c>
      <c r="AJ3433">
        <v>0</v>
      </c>
      <c r="AK3433">
        <v>0</v>
      </c>
      <c r="AL3433">
        <v>0</v>
      </c>
      <c r="AM3433">
        <v>0</v>
      </c>
      <c r="AN3433">
        <v>0</v>
      </c>
      <c r="AO3433">
        <v>0</v>
      </c>
      <c r="AP3433">
        <v>0</v>
      </c>
      <c r="AQ3433">
        <v>16.7</v>
      </c>
      <c r="AR3433">
        <v>0</v>
      </c>
      <c r="AS3433">
        <v>0</v>
      </c>
      <c r="AT3433">
        <v>0</v>
      </c>
      <c r="AU3433">
        <v>0</v>
      </c>
      <c r="AV3433">
        <v>0</v>
      </c>
      <c r="AW3433">
        <v>0</v>
      </c>
      <c r="AX3433">
        <v>0</v>
      </c>
      <c r="AY3433">
        <v>0</v>
      </c>
      <c r="AZ3433">
        <v>0</v>
      </c>
      <c r="BA3433">
        <v>0</v>
      </c>
      <c r="BB3433">
        <v>0</v>
      </c>
      <c r="BC3433">
        <v>0</v>
      </c>
      <c r="BD3433">
        <v>0</v>
      </c>
      <c r="BE3433">
        <v>0</v>
      </c>
      <c r="BF3433">
        <v>0</v>
      </c>
      <c r="BG3433">
        <v>0</v>
      </c>
      <c r="BH3433">
        <v>1</v>
      </c>
      <c r="BI3433">
        <v>1</v>
      </c>
      <c r="BJ3433">
        <v>0.2</v>
      </c>
      <c r="BK3433">
        <v>1</v>
      </c>
      <c r="BL3433">
        <v>54.66</v>
      </c>
      <c r="BM3433">
        <v>8.1999999999999993</v>
      </c>
      <c r="BN3433">
        <v>62.86</v>
      </c>
      <c r="BO3433">
        <v>62.86</v>
      </c>
      <c r="BQ3433" t="s">
        <v>3235</v>
      </c>
      <c r="BR3433" t="s">
        <v>84</v>
      </c>
      <c r="BS3433" s="3">
        <v>45805</v>
      </c>
      <c r="BT3433" s="4">
        <v>0.4777777777777778</v>
      </c>
      <c r="BU3433" t="s">
        <v>3236</v>
      </c>
      <c r="BV3433" t="s">
        <v>89</v>
      </c>
      <c r="BW3433" t="s">
        <v>148</v>
      </c>
      <c r="BX3433" t="s">
        <v>149</v>
      </c>
      <c r="BY3433">
        <v>1200</v>
      </c>
      <c r="BZ3433" t="s">
        <v>127</v>
      </c>
      <c r="CA3433" t="s">
        <v>3237</v>
      </c>
      <c r="CC3433" t="s">
        <v>118</v>
      </c>
      <c r="CD3433">
        <v>2021</v>
      </c>
      <c r="CE3433" t="s">
        <v>129</v>
      </c>
      <c r="CF3433" s="3">
        <v>45806</v>
      </c>
      <c r="CI3433">
        <v>1</v>
      </c>
      <c r="CJ3433">
        <v>1</v>
      </c>
      <c r="CK3433">
        <v>22</v>
      </c>
      <c r="CL3433" t="s">
        <v>89</v>
      </c>
    </row>
    <row r="3434" spans="1:90" x14ac:dyDescent="0.3">
      <c r="A3434" t="s">
        <v>72</v>
      </c>
      <c r="B3434" t="s">
        <v>73</v>
      </c>
      <c r="C3434" t="s">
        <v>74</v>
      </c>
      <c r="E3434" t="str">
        <f>"080065588281"</f>
        <v>080065588281</v>
      </c>
      <c r="F3434" s="3">
        <v>45804</v>
      </c>
      <c r="G3434">
        <v>202602</v>
      </c>
      <c r="H3434" t="s">
        <v>75</v>
      </c>
      <c r="I3434" t="s">
        <v>76</v>
      </c>
      <c r="J3434" t="s">
        <v>77</v>
      </c>
      <c r="K3434" t="s">
        <v>78</v>
      </c>
      <c r="L3434" t="s">
        <v>130</v>
      </c>
      <c r="M3434" t="s">
        <v>131</v>
      </c>
      <c r="N3434" t="s">
        <v>343</v>
      </c>
      <c r="O3434" t="s">
        <v>82</v>
      </c>
      <c r="P3434" t="str">
        <f>"4170040850                    "</f>
        <v xml:space="preserve">4170040850                    </v>
      </c>
      <c r="Q3434">
        <v>0</v>
      </c>
      <c r="R3434">
        <v>0</v>
      </c>
      <c r="S3434">
        <v>0</v>
      </c>
      <c r="T3434">
        <v>0</v>
      </c>
      <c r="U3434">
        <v>0</v>
      </c>
      <c r="V3434">
        <v>0</v>
      </c>
      <c r="W3434">
        <v>0</v>
      </c>
      <c r="X3434">
        <v>0</v>
      </c>
      <c r="Y3434">
        <v>0</v>
      </c>
      <c r="Z3434">
        <v>0</v>
      </c>
      <c r="AA3434">
        <v>0</v>
      </c>
      <c r="AB3434">
        <v>0</v>
      </c>
      <c r="AC3434">
        <v>0</v>
      </c>
      <c r="AD3434">
        <v>0</v>
      </c>
      <c r="AE3434">
        <v>0</v>
      </c>
      <c r="AF3434">
        <v>0</v>
      </c>
      <c r="AG3434">
        <v>0</v>
      </c>
      <c r="AH3434">
        <v>0</v>
      </c>
      <c r="AI3434">
        <v>0</v>
      </c>
      <c r="AJ3434">
        <v>0</v>
      </c>
      <c r="AK3434">
        <v>0</v>
      </c>
      <c r="AL3434">
        <v>0</v>
      </c>
      <c r="AM3434">
        <v>0</v>
      </c>
      <c r="AN3434">
        <v>0</v>
      </c>
      <c r="AO3434">
        <v>0</v>
      </c>
      <c r="AP3434">
        <v>0</v>
      </c>
      <c r="AQ3434">
        <v>21.38</v>
      </c>
      <c r="AR3434">
        <v>0</v>
      </c>
      <c r="AS3434">
        <v>0</v>
      </c>
      <c r="AT3434">
        <v>0</v>
      </c>
      <c r="AU3434">
        <v>0</v>
      </c>
      <c r="AV3434">
        <v>0</v>
      </c>
      <c r="AW3434">
        <v>0</v>
      </c>
      <c r="AX3434">
        <v>0</v>
      </c>
      <c r="AY3434">
        <v>0</v>
      </c>
      <c r="AZ3434">
        <v>0</v>
      </c>
      <c r="BA3434">
        <v>0</v>
      </c>
      <c r="BB3434">
        <v>0</v>
      </c>
      <c r="BC3434">
        <v>0</v>
      </c>
      <c r="BD3434">
        <v>0</v>
      </c>
      <c r="BE3434">
        <v>0</v>
      </c>
      <c r="BF3434">
        <v>0</v>
      </c>
      <c r="BG3434">
        <v>0</v>
      </c>
      <c r="BH3434">
        <v>1</v>
      </c>
      <c r="BI3434">
        <v>1</v>
      </c>
      <c r="BJ3434">
        <v>0.2</v>
      </c>
      <c r="BK3434">
        <v>1</v>
      </c>
      <c r="BL3434">
        <v>69.98</v>
      </c>
      <c r="BM3434">
        <v>10.5</v>
      </c>
      <c r="BN3434">
        <v>80.48</v>
      </c>
      <c r="BO3434">
        <v>80.48</v>
      </c>
      <c r="BQ3434" t="s">
        <v>344</v>
      </c>
      <c r="BR3434" t="s">
        <v>84</v>
      </c>
      <c r="BS3434" s="3">
        <v>45805</v>
      </c>
      <c r="BT3434" s="4">
        <v>0.4152777777777778</v>
      </c>
      <c r="BU3434" t="s">
        <v>3228</v>
      </c>
      <c r="BV3434" t="s">
        <v>86</v>
      </c>
      <c r="BY3434">
        <v>1200</v>
      </c>
      <c r="BZ3434" t="s">
        <v>127</v>
      </c>
      <c r="CA3434" t="s">
        <v>242</v>
      </c>
      <c r="CC3434" t="s">
        <v>131</v>
      </c>
      <c r="CD3434">
        <v>7441</v>
      </c>
      <c r="CE3434" t="s">
        <v>129</v>
      </c>
      <c r="CF3434" s="3">
        <v>45806</v>
      </c>
      <c r="CI3434">
        <v>1</v>
      </c>
      <c r="CJ3434">
        <v>1</v>
      </c>
      <c r="CK3434">
        <v>21</v>
      </c>
      <c r="CL3434" t="s">
        <v>89</v>
      </c>
    </row>
    <row r="3435" spans="1:90" x14ac:dyDescent="0.3">
      <c r="A3435" t="s">
        <v>72</v>
      </c>
      <c r="B3435" t="s">
        <v>73</v>
      </c>
      <c r="C3435" t="s">
        <v>74</v>
      </c>
      <c r="E3435" t="str">
        <f>"080065588287"</f>
        <v>080065588287</v>
      </c>
      <c r="F3435" s="3">
        <v>45804</v>
      </c>
      <c r="G3435">
        <v>202602</v>
      </c>
      <c r="H3435" t="s">
        <v>75</v>
      </c>
      <c r="I3435" t="s">
        <v>76</v>
      </c>
      <c r="J3435" t="s">
        <v>77</v>
      </c>
      <c r="K3435" t="s">
        <v>78</v>
      </c>
      <c r="L3435" t="s">
        <v>320</v>
      </c>
      <c r="M3435" t="s">
        <v>321</v>
      </c>
      <c r="N3435" t="s">
        <v>499</v>
      </c>
      <c r="O3435" t="s">
        <v>82</v>
      </c>
      <c r="P3435" t="str">
        <f>"4170040927                    "</f>
        <v xml:space="preserve">4170040927                    </v>
      </c>
      <c r="Q3435">
        <v>0</v>
      </c>
      <c r="R3435">
        <v>0</v>
      </c>
      <c r="S3435">
        <v>0</v>
      </c>
      <c r="T3435">
        <v>0</v>
      </c>
      <c r="U3435">
        <v>0</v>
      </c>
      <c r="V3435">
        <v>0</v>
      </c>
      <c r="W3435">
        <v>0</v>
      </c>
      <c r="X3435">
        <v>0</v>
      </c>
      <c r="Y3435">
        <v>0</v>
      </c>
      <c r="Z3435">
        <v>0</v>
      </c>
      <c r="AA3435">
        <v>0</v>
      </c>
      <c r="AB3435">
        <v>0</v>
      </c>
      <c r="AC3435">
        <v>0</v>
      </c>
      <c r="AD3435">
        <v>0</v>
      </c>
      <c r="AE3435">
        <v>0</v>
      </c>
      <c r="AF3435">
        <v>0</v>
      </c>
      <c r="AG3435">
        <v>0</v>
      </c>
      <c r="AH3435">
        <v>0</v>
      </c>
      <c r="AI3435">
        <v>0</v>
      </c>
      <c r="AJ3435">
        <v>0</v>
      </c>
      <c r="AK3435">
        <v>0</v>
      </c>
      <c r="AL3435">
        <v>0</v>
      </c>
      <c r="AM3435">
        <v>0</v>
      </c>
      <c r="AN3435">
        <v>0</v>
      </c>
      <c r="AO3435">
        <v>0</v>
      </c>
      <c r="AP3435">
        <v>0</v>
      </c>
      <c r="AQ3435">
        <v>21.38</v>
      </c>
      <c r="AR3435">
        <v>0</v>
      </c>
      <c r="AS3435">
        <v>0</v>
      </c>
      <c r="AT3435">
        <v>0</v>
      </c>
      <c r="AU3435">
        <v>0</v>
      </c>
      <c r="AV3435">
        <v>0</v>
      </c>
      <c r="AW3435">
        <v>0</v>
      </c>
      <c r="AX3435">
        <v>0</v>
      </c>
      <c r="AY3435">
        <v>0</v>
      </c>
      <c r="AZ3435">
        <v>0</v>
      </c>
      <c r="BA3435">
        <v>0</v>
      </c>
      <c r="BB3435">
        <v>0</v>
      </c>
      <c r="BC3435">
        <v>0</v>
      </c>
      <c r="BD3435">
        <v>0</v>
      </c>
      <c r="BE3435">
        <v>0</v>
      </c>
      <c r="BF3435">
        <v>0</v>
      </c>
      <c r="BG3435">
        <v>0</v>
      </c>
      <c r="BH3435">
        <v>1</v>
      </c>
      <c r="BI3435">
        <v>1</v>
      </c>
      <c r="BJ3435">
        <v>0.2</v>
      </c>
      <c r="BK3435">
        <v>1</v>
      </c>
      <c r="BL3435">
        <v>69.98</v>
      </c>
      <c r="BM3435">
        <v>10.5</v>
      </c>
      <c r="BN3435">
        <v>80.48</v>
      </c>
      <c r="BO3435">
        <v>80.48</v>
      </c>
      <c r="BQ3435" t="s">
        <v>500</v>
      </c>
      <c r="BR3435" t="s">
        <v>84</v>
      </c>
      <c r="BS3435" s="3">
        <v>45805</v>
      </c>
      <c r="BT3435" s="4">
        <v>0.42986111111111114</v>
      </c>
      <c r="BU3435" t="s">
        <v>623</v>
      </c>
      <c r="BV3435" t="s">
        <v>86</v>
      </c>
      <c r="BY3435">
        <v>1200</v>
      </c>
      <c r="BZ3435" t="s">
        <v>127</v>
      </c>
      <c r="CA3435" t="s">
        <v>3162</v>
      </c>
      <c r="CC3435" t="s">
        <v>321</v>
      </c>
      <c r="CD3435">
        <v>4133</v>
      </c>
      <c r="CE3435" t="s">
        <v>129</v>
      </c>
      <c r="CF3435" s="3">
        <v>45805</v>
      </c>
      <c r="CI3435">
        <v>1</v>
      </c>
      <c r="CJ3435">
        <v>1</v>
      </c>
      <c r="CK3435">
        <v>21</v>
      </c>
      <c r="CL3435" t="s">
        <v>89</v>
      </c>
    </row>
    <row r="3436" spans="1:90" x14ac:dyDescent="0.3">
      <c r="A3436" t="s">
        <v>72</v>
      </c>
      <c r="B3436" t="s">
        <v>73</v>
      </c>
      <c r="C3436" t="s">
        <v>74</v>
      </c>
      <c r="E3436" t="str">
        <f>"080065588309"</f>
        <v>080065588309</v>
      </c>
      <c r="F3436" s="3">
        <v>45804</v>
      </c>
      <c r="G3436">
        <v>202602</v>
      </c>
      <c r="H3436" t="s">
        <v>75</v>
      </c>
      <c r="I3436" t="s">
        <v>76</v>
      </c>
      <c r="J3436" t="s">
        <v>77</v>
      </c>
      <c r="K3436" t="s">
        <v>78</v>
      </c>
      <c r="L3436" t="s">
        <v>130</v>
      </c>
      <c r="M3436" t="s">
        <v>131</v>
      </c>
      <c r="N3436" t="s">
        <v>709</v>
      </c>
      <c r="O3436" t="s">
        <v>82</v>
      </c>
      <c r="P3436" t="str">
        <f>"4170040891                    "</f>
        <v xml:space="preserve">4170040891                    </v>
      </c>
      <c r="Q3436">
        <v>0</v>
      </c>
      <c r="R3436">
        <v>0</v>
      </c>
      <c r="S3436">
        <v>0</v>
      </c>
      <c r="T3436">
        <v>0</v>
      </c>
      <c r="U3436">
        <v>0</v>
      </c>
      <c r="V3436">
        <v>0</v>
      </c>
      <c r="W3436">
        <v>0</v>
      </c>
      <c r="X3436">
        <v>0</v>
      </c>
      <c r="Y3436">
        <v>0</v>
      </c>
      <c r="Z3436">
        <v>0</v>
      </c>
      <c r="AA3436">
        <v>0</v>
      </c>
      <c r="AB3436">
        <v>0</v>
      </c>
      <c r="AC3436">
        <v>0</v>
      </c>
      <c r="AD3436">
        <v>0</v>
      </c>
      <c r="AE3436">
        <v>0</v>
      </c>
      <c r="AF3436">
        <v>0</v>
      </c>
      <c r="AG3436">
        <v>0</v>
      </c>
      <c r="AH3436">
        <v>0</v>
      </c>
      <c r="AI3436">
        <v>0</v>
      </c>
      <c r="AJ3436">
        <v>0</v>
      </c>
      <c r="AK3436">
        <v>0</v>
      </c>
      <c r="AL3436">
        <v>0</v>
      </c>
      <c r="AM3436">
        <v>0</v>
      </c>
      <c r="AN3436">
        <v>0</v>
      </c>
      <c r="AO3436">
        <v>0</v>
      </c>
      <c r="AP3436">
        <v>0</v>
      </c>
      <c r="AQ3436">
        <v>21.38</v>
      </c>
      <c r="AR3436">
        <v>0</v>
      </c>
      <c r="AS3436">
        <v>0</v>
      </c>
      <c r="AT3436">
        <v>0</v>
      </c>
      <c r="AU3436">
        <v>0</v>
      </c>
      <c r="AV3436">
        <v>0</v>
      </c>
      <c r="AW3436">
        <v>0</v>
      </c>
      <c r="AX3436">
        <v>0</v>
      </c>
      <c r="AY3436">
        <v>0</v>
      </c>
      <c r="AZ3436">
        <v>0</v>
      </c>
      <c r="BA3436">
        <v>0</v>
      </c>
      <c r="BB3436">
        <v>0</v>
      </c>
      <c r="BC3436">
        <v>0</v>
      </c>
      <c r="BD3436">
        <v>0</v>
      </c>
      <c r="BE3436">
        <v>0</v>
      </c>
      <c r="BF3436">
        <v>0</v>
      </c>
      <c r="BG3436">
        <v>0</v>
      </c>
      <c r="BH3436">
        <v>1</v>
      </c>
      <c r="BI3436">
        <v>1</v>
      </c>
      <c r="BJ3436">
        <v>0.2</v>
      </c>
      <c r="BK3436">
        <v>1</v>
      </c>
      <c r="BL3436">
        <v>69.98</v>
      </c>
      <c r="BM3436">
        <v>10.5</v>
      </c>
      <c r="BN3436">
        <v>80.48</v>
      </c>
      <c r="BO3436">
        <v>80.48</v>
      </c>
      <c r="BQ3436" t="s">
        <v>710</v>
      </c>
      <c r="BR3436" t="s">
        <v>84</v>
      </c>
      <c r="BS3436" s="3">
        <v>45805</v>
      </c>
      <c r="BT3436" s="4">
        <v>0.33333333333333331</v>
      </c>
      <c r="BU3436" t="s">
        <v>1272</v>
      </c>
      <c r="BV3436" t="s">
        <v>86</v>
      </c>
      <c r="BY3436">
        <v>1200</v>
      </c>
      <c r="BZ3436" t="s">
        <v>127</v>
      </c>
      <c r="CA3436" t="s">
        <v>712</v>
      </c>
      <c r="CC3436" t="s">
        <v>131</v>
      </c>
      <c r="CD3436">
        <v>7530</v>
      </c>
      <c r="CE3436" t="s">
        <v>129</v>
      </c>
      <c r="CF3436" s="3">
        <v>45806</v>
      </c>
      <c r="CI3436">
        <v>1</v>
      </c>
      <c r="CJ3436">
        <v>1</v>
      </c>
      <c r="CK3436">
        <v>21</v>
      </c>
      <c r="CL3436" t="s">
        <v>89</v>
      </c>
    </row>
    <row r="3437" spans="1:90" x14ac:dyDescent="0.3">
      <c r="A3437" t="s">
        <v>72</v>
      </c>
      <c r="B3437" t="s">
        <v>73</v>
      </c>
      <c r="C3437" t="s">
        <v>74</v>
      </c>
      <c r="E3437" t="str">
        <f>"080065588509"</f>
        <v>080065588509</v>
      </c>
      <c r="F3437" s="3">
        <v>45804</v>
      </c>
      <c r="G3437">
        <v>202602</v>
      </c>
      <c r="H3437" t="s">
        <v>75</v>
      </c>
      <c r="I3437" t="s">
        <v>76</v>
      </c>
      <c r="J3437" t="s">
        <v>77</v>
      </c>
      <c r="K3437" t="s">
        <v>78</v>
      </c>
      <c r="L3437" t="s">
        <v>136</v>
      </c>
      <c r="M3437" t="s">
        <v>137</v>
      </c>
      <c r="N3437" t="s">
        <v>1235</v>
      </c>
      <c r="O3437" t="s">
        <v>82</v>
      </c>
      <c r="P3437" t="str">
        <f>"4170040857                    "</f>
        <v xml:space="preserve">4170040857                    </v>
      </c>
      <c r="Q3437">
        <v>0</v>
      </c>
      <c r="R3437">
        <v>0</v>
      </c>
      <c r="S3437">
        <v>0</v>
      </c>
      <c r="T3437">
        <v>0</v>
      </c>
      <c r="U3437">
        <v>0</v>
      </c>
      <c r="V3437">
        <v>0</v>
      </c>
      <c r="W3437">
        <v>0</v>
      </c>
      <c r="X3437">
        <v>0</v>
      </c>
      <c r="Y3437">
        <v>0</v>
      </c>
      <c r="Z3437">
        <v>0</v>
      </c>
      <c r="AA3437">
        <v>0</v>
      </c>
      <c r="AB3437">
        <v>0</v>
      </c>
      <c r="AC3437">
        <v>0</v>
      </c>
      <c r="AD3437">
        <v>0</v>
      </c>
      <c r="AE3437">
        <v>0</v>
      </c>
      <c r="AF3437">
        <v>0</v>
      </c>
      <c r="AG3437">
        <v>0</v>
      </c>
      <c r="AH3437">
        <v>0</v>
      </c>
      <c r="AI3437">
        <v>0</v>
      </c>
      <c r="AJ3437">
        <v>0</v>
      </c>
      <c r="AK3437">
        <v>0</v>
      </c>
      <c r="AL3437">
        <v>0</v>
      </c>
      <c r="AM3437">
        <v>0</v>
      </c>
      <c r="AN3437">
        <v>0</v>
      </c>
      <c r="AO3437">
        <v>0</v>
      </c>
      <c r="AP3437">
        <v>0</v>
      </c>
      <c r="AQ3437">
        <v>21.38</v>
      </c>
      <c r="AR3437">
        <v>0</v>
      </c>
      <c r="AS3437">
        <v>0</v>
      </c>
      <c r="AT3437">
        <v>0</v>
      </c>
      <c r="AU3437">
        <v>0</v>
      </c>
      <c r="AV3437">
        <v>0</v>
      </c>
      <c r="AW3437">
        <v>0</v>
      </c>
      <c r="AX3437">
        <v>0</v>
      </c>
      <c r="AY3437">
        <v>0</v>
      </c>
      <c r="AZ3437">
        <v>0</v>
      </c>
      <c r="BA3437">
        <v>0</v>
      </c>
      <c r="BB3437">
        <v>0</v>
      </c>
      <c r="BC3437">
        <v>0</v>
      </c>
      <c r="BD3437">
        <v>0</v>
      </c>
      <c r="BE3437">
        <v>0</v>
      </c>
      <c r="BF3437">
        <v>0</v>
      </c>
      <c r="BG3437">
        <v>0</v>
      </c>
      <c r="BH3437">
        <v>1</v>
      </c>
      <c r="BI3437">
        <v>1</v>
      </c>
      <c r="BJ3437">
        <v>1.7</v>
      </c>
      <c r="BK3437">
        <v>2</v>
      </c>
      <c r="BL3437">
        <v>69.98</v>
      </c>
      <c r="BM3437">
        <v>10.5</v>
      </c>
      <c r="BN3437">
        <v>80.48</v>
      </c>
      <c r="BO3437">
        <v>80.48</v>
      </c>
      <c r="BQ3437" t="s">
        <v>1236</v>
      </c>
      <c r="BR3437" t="s">
        <v>84</v>
      </c>
      <c r="BS3437" s="3">
        <v>45805</v>
      </c>
      <c r="BT3437" s="4">
        <v>0.31666666666666665</v>
      </c>
      <c r="BU3437" t="s">
        <v>1604</v>
      </c>
      <c r="BV3437" t="s">
        <v>86</v>
      </c>
      <c r="BY3437">
        <v>8512</v>
      </c>
      <c r="CA3437" t="s">
        <v>1238</v>
      </c>
      <c r="CC3437" t="s">
        <v>137</v>
      </c>
      <c r="CD3437" s="5" t="s">
        <v>1239</v>
      </c>
      <c r="CE3437" t="s">
        <v>116</v>
      </c>
      <c r="CF3437" s="3">
        <v>45805</v>
      </c>
      <c r="CI3437">
        <v>1</v>
      </c>
      <c r="CJ3437">
        <v>1</v>
      </c>
      <c r="CK3437">
        <v>21</v>
      </c>
      <c r="CL3437" t="s">
        <v>89</v>
      </c>
    </row>
    <row r="3438" spans="1:90" x14ac:dyDescent="0.3">
      <c r="A3438" t="s">
        <v>72</v>
      </c>
      <c r="B3438" t="s">
        <v>73</v>
      </c>
      <c r="C3438" t="s">
        <v>74</v>
      </c>
      <c r="E3438" t="str">
        <f>"080065588535"</f>
        <v>080065588535</v>
      </c>
      <c r="F3438" s="3">
        <v>45804</v>
      </c>
      <c r="G3438">
        <v>202602</v>
      </c>
      <c r="H3438" t="s">
        <v>75</v>
      </c>
      <c r="I3438" t="s">
        <v>76</v>
      </c>
      <c r="J3438" t="s">
        <v>77</v>
      </c>
      <c r="K3438" t="s">
        <v>78</v>
      </c>
      <c r="L3438" t="s">
        <v>117</v>
      </c>
      <c r="M3438" t="s">
        <v>118</v>
      </c>
      <c r="N3438" t="s">
        <v>1019</v>
      </c>
      <c r="O3438" t="s">
        <v>82</v>
      </c>
      <c r="P3438" t="str">
        <f>"4170040767                    "</f>
        <v xml:space="preserve">4170040767                    </v>
      </c>
      <c r="Q3438">
        <v>0</v>
      </c>
      <c r="R3438">
        <v>0</v>
      </c>
      <c r="S3438">
        <v>0</v>
      </c>
      <c r="T3438">
        <v>0</v>
      </c>
      <c r="U3438">
        <v>0</v>
      </c>
      <c r="V3438">
        <v>0</v>
      </c>
      <c r="W3438">
        <v>0</v>
      </c>
      <c r="X3438">
        <v>0</v>
      </c>
      <c r="Y3438">
        <v>0</v>
      </c>
      <c r="Z3438">
        <v>0</v>
      </c>
      <c r="AA3438">
        <v>0</v>
      </c>
      <c r="AB3438">
        <v>0</v>
      </c>
      <c r="AC3438">
        <v>0</v>
      </c>
      <c r="AD3438">
        <v>0</v>
      </c>
      <c r="AE3438">
        <v>0</v>
      </c>
      <c r="AF3438">
        <v>0</v>
      </c>
      <c r="AG3438">
        <v>0</v>
      </c>
      <c r="AH3438">
        <v>0</v>
      </c>
      <c r="AI3438">
        <v>0</v>
      </c>
      <c r="AJ3438">
        <v>0</v>
      </c>
      <c r="AK3438">
        <v>0</v>
      </c>
      <c r="AL3438">
        <v>0</v>
      </c>
      <c r="AM3438">
        <v>0</v>
      </c>
      <c r="AN3438">
        <v>0</v>
      </c>
      <c r="AO3438">
        <v>0</v>
      </c>
      <c r="AP3438">
        <v>0</v>
      </c>
      <c r="AQ3438">
        <v>16.7</v>
      </c>
      <c r="AR3438">
        <v>0</v>
      </c>
      <c r="AS3438">
        <v>0</v>
      </c>
      <c r="AT3438">
        <v>0</v>
      </c>
      <c r="AU3438">
        <v>0</v>
      </c>
      <c r="AV3438">
        <v>0</v>
      </c>
      <c r="AW3438">
        <v>0</v>
      </c>
      <c r="AX3438">
        <v>0</v>
      </c>
      <c r="AY3438">
        <v>0</v>
      </c>
      <c r="AZ3438">
        <v>0</v>
      </c>
      <c r="BA3438">
        <v>0</v>
      </c>
      <c r="BB3438">
        <v>0</v>
      </c>
      <c r="BC3438">
        <v>0</v>
      </c>
      <c r="BD3438">
        <v>0</v>
      </c>
      <c r="BE3438">
        <v>0</v>
      </c>
      <c r="BF3438">
        <v>0</v>
      </c>
      <c r="BG3438">
        <v>0</v>
      </c>
      <c r="BH3438">
        <v>1</v>
      </c>
      <c r="BI3438">
        <v>1</v>
      </c>
      <c r="BJ3438">
        <v>0.2</v>
      </c>
      <c r="BK3438">
        <v>1</v>
      </c>
      <c r="BL3438">
        <v>54.66</v>
      </c>
      <c r="BM3438">
        <v>8.1999999999999993</v>
      </c>
      <c r="BN3438">
        <v>62.86</v>
      </c>
      <c r="BO3438">
        <v>62.86</v>
      </c>
      <c r="BQ3438" t="s">
        <v>1020</v>
      </c>
      <c r="BR3438" t="s">
        <v>84</v>
      </c>
      <c r="BS3438" s="3">
        <v>45805</v>
      </c>
      <c r="BT3438" s="4">
        <v>0.37916666666666665</v>
      </c>
      <c r="BU3438" t="s">
        <v>1021</v>
      </c>
      <c r="BV3438" t="s">
        <v>86</v>
      </c>
      <c r="BY3438">
        <v>1200</v>
      </c>
      <c r="CA3438" t="s">
        <v>275</v>
      </c>
      <c r="CC3438" t="s">
        <v>118</v>
      </c>
      <c r="CD3438">
        <v>2013</v>
      </c>
      <c r="CE3438" t="s">
        <v>88</v>
      </c>
      <c r="CF3438" s="3">
        <v>45806</v>
      </c>
      <c r="CI3438">
        <v>1</v>
      </c>
      <c r="CJ3438">
        <v>1</v>
      </c>
      <c r="CK3438">
        <v>22</v>
      </c>
      <c r="CL3438" t="s">
        <v>89</v>
      </c>
    </row>
    <row r="3439" spans="1:90" x14ac:dyDescent="0.3">
      <c r="A3439" t="s">
        <v>72</v>
      </c>
      <c r="B3439" t="s">
        <v>73</v>
      </c>
      <c r="C3439" t="s">
        <v>74</v>
      </c>
      <c r="E3439" t="str">
        <f>"080065588562"</f>
        <v>080065588562</v>
      </c>
      <c r="F3439" s="3">
        <v>45804</v>
      </c>
      <c r="G3439">
        <v>202602</v>
      </c>
      <c r="H3439" t="s">
        <v>75</v>
      </c>
      <c r="I3439" t="s">
        <v>76</v>
      </c>
      <c r="J3439" t="s">
        <v>77</v>
      </c>
      <c r="K3439" t="s">
        <v>78</v>
      </c>
      <c r="L3439" t="s">
        <v>103</v>
      </c>
      <c r="M3439" t="s">
        <v>104</v>
      </c>
      <c r="N3439" t="s">
        <v>3238</v>
      </c>
      <c r="O3439" t="s">
        <v>82</v>
      </c>
      <c r="P3439" t="str">
        <f>"4170040845                    "</f>
        <v xml:space="preserve">4170040845                    </v>
      </c>
      <c r="Q3439">
        <v>0</v>
      </c>
      <c r="R3439">
        <v>0</v>
      </c>
      <c r="S3439">
        <v>0</v>
      </c>
      <c r="T3439">
        <v>0</v>
      </c>
      <c r="U3439">
        <v>0</v>
      </c>
      <c r="V3439">
        <v>0</v>
      </c>
      <c r="W3439">
        <v>0</v>
      </c>
      <c r="X3439">
        <v>0</v>
      </c>
      <c r="Y3439">
        <v>0</v>
      </c>
      <c r="Z3439">
        <v>0</v>
      </c>
      <c r="AA3439">
        <v>0</v>
      </c>
      <c r="AB3439">
        <v>0</v>
      </c>
      <c r="AC3439">
        <v>0</v>
      </c>
      <c r="AD3439">
        <v>0</v>
      </c>
      <c r="AE3439">
        <v>0</v>
      </c>
      <c r="AF3439">
        <v>0</v>
      </c>
      <c r="AG3439">
        <v>0</v>
      </c>
      <c r="AH3439">
        <v>0</v>
      </c>
      <c r="AI3439">
        <v>0</v>
      </c>
      <c r="AJ3439">
        <v>0</v>
      </c>
      <c r="AK3439">
        <v>0</v>
      </c>
      <c r="AL3439">
        <v>0</v>
      </c>
      <c r="AM3439">
        <v>0</v>
      </c>
      <c r="AN3439">
        <v>0</v>
      </c>
      <c r="AO3439">
        <v>0</v>
      </c>
      <c r="AP3439">
        <v>0</v>
      </c>
      <c r="AQ3439">
        <v>21.38</v>
      </c>
      <c r="AR3439">
        <v>0</v>
      </c>
      <c r="AS3439">
        <v>0</v>
      </c>
      <c r="AT3439">
        <v>0</v>
      </c>
      <c r="AU3439">
        <v>0</v>
      </c>
      <c r="AV3439">
        <v>0</v>
      </c>
      <c r="AW3439">
        <v>0</v>
      </c>
      <c r="AX3439">
        <v>0</v>
      </c>
      <c r="AY3439">
        <v>0</v>
      </c>
      <c r="AZ3439">
        <v>0</v>
      </c>
      <c r="BA3439">
        <v>0</v>
      </c>
      <c r="BB3439">
        <v>0</v>
      </c>
      <c r="BC3439">
        <v>0</v>
      </c>
      <c r="BD3439">
        <v>0</v>
      </c>
      <c r="BE3439">
        <v>0</v>
      </c>
      <c r="BF3439">
        <v>0</v>
      </c>
      <c r="BG3439">
        <v>0</v>
      </c>
      <c r="BH3439">
        <v>1</v>
      </c>
      <c r="BI3439">
        <v>1</v>
      </c>
      <c r="BJ3439">
        <v>0.2</v>
      </c>
      <c r="BK3439">
        <v>1</v>
      </c>
      <c r="BL3439">
        <v>69.98</v>
      </c>
      <c r="BM3439">
        <v>10.5</v>
      </c>
      <c r="BN3439">
        <v>80.48</v>
      </c>
      <c r="BO3439">
        <v>80.48</v>
      </c>
      <c r="BQ3439" t="s">
        <v>3239</v>
      </c>
      <c r="BR3439" t="s">
        <v>84</v>
      </c>
      <c r="BS3439" s="3">
        <v>45805</v>
      </c>
      <c r="BT3439" s="4">
        <v>0.58333333333333337</v>
      </c>
      <c r="BU3439" t="s">
        <v>3240</v>
      </c>
      <c r="BV3439" t="s">
        <v>86</v>
      </c>
      <c r="BY3439">
        <v>1200</v>
      </c>
      <c r="CA3439" t="s">
        <v>2367</v>
      </c>
      <c r="CC3439" t="s">
        <v>104</v>
      </c>
      <c r="CD3439">
        <v>3201</v>
      </c>
      <c r="CE3439" t="s">
        <v>88</v>
      </c>
      <c r="CF3439" s="3">
        <v>45806</v>
      </c>
      <c r="CI3439">
        <v>2</v>
      </c>
      <c r="CJ3439">
        <v>1</v>
      </c>
      <c r="CK3439">
        <v>21</v>
      </c>
      <c r="CL3439" t="s">
        <v>89</v>
      </c>
    </row>
    <row r="3440" spans="1:90" x14ac:dyDescent="0.3">
      <c r="A3440" t="s">
        <v>72</v>
      </c>
      <c r="B3440" t="s">
        <v>73</v>
      </c>
      <c r="C3440" t="s">
        <v>74</v>
      </c>
      <c r="E3440" t="str">
        <f>"080065588617"</f>
        <v>080065588617</v>
      </c>
      <c r="F3440" s="3">
        <v>45804</v>
      </c>
      <c r="G3440">
        <v>202602</v>
      </c>
      <c r="H3440" t="s">
        <v>75</v>
      </c>
      <c r="I3440" t="s">
        <v>76</v>
      </c>
      <c r="J3440" t="s">
        <v>77</v>
      </c>
      <c r="K3440" t="s">
        <v>78</v>
      </c>
      <c r="L3440" t="s">
        <v>648</v>
      </c>
      <c r="M3440" t="s">
        <v>649</v>
      </c>
      <c r="N3440" t="s">
        <v>3241</v>
      </c>
      <c r="O3440" t="s">
        <v>82</v>
      </c>
      <c r="P3440" t="str">
        <f>"4170040796                    "</f>
        <v xml:space="preserve">4170040796                    </v>
      </c>
      <c r="Q3440">
        <v>0</v>
      </c>
      <c r="R3440">
        <v>0</v>
      </c>
      <c r="S3440">
        <v>0</v>
      </c>
      <c r="T3440">
        <v>0</v>
      </c>
      <c r="U3440">
        <v>0</v>
      </c>
      <c r="V3440">
        <v>0</v>
      </c>
      <c r="W3440">
        <v>0</v>
      </c>
      <c r="X3440">
        <v>0</v>
      </c>
      <c r="Y3440">
        <v>0</v>
      </c>
      <c r="Z3440">
        <v>0</v>
      </c>
      <c r="AA3440">
        <v>0</v>
      </c>
      <c r="AB3440">
        <v>0</v>
      </c>
      <c r="AC3440">
        <v>0</v>
      </c>
      <c r="AD3440">
        <v>0</v>
      </c>
      <c r="AE3440">
        <v>0</v>
      </c>
      <c r="AF3440">
        <v>0</v>
      </c>
      <c r="AG3440">
        <v>0</v>
      </c>
      <c r="AH3440">
        <v>0</v>
      </c>
      <c r="AI3440">
        <v>0</v>
      </c>
      <c r="AJ3440">
        <v>0</v>
      </c>
      <c r="AK3440">
        <v>0</v>
      </c>
      <c r="AL3440">
        <v>0</v>
      </c>
      <c r="AM3440">
        <v>0</v>
      </c>
      <c r="AN3440">
        <v>0</v>
      </c>
      <c r="AO3440">
        <v>0</v>
      </c>
      <c r="AP3440">
        <v>0</v>
      </c>
      <c r="AQ3440">
        <v>16.7</v>
      </c>
      <c r="AR3440">
        <v>0</v>
      </c>
      <c r="AS3440">
        <v>0</v>
      </c>
      <c r="AT3440">
        <v>0</v>
      </c>
      <c r="AU3440">
        <v>0</v>
      </c>
      <c r="AV3440">
        <v>0</v>
      </c>
      <c r="AW3440">
        <v>0</v>
      </c>
      <c r="AX3440">
        <v>0</v>
      </c>
      <c r="AY3440">
        <v>0</v>
      </c>
      <c r="AZ3440">
        <v>0</v>
      </c>
      <c r="BA3440">
        <v>0</v>
      </c>
      <c r="BB3440">
        <v>0</v>
      </c>
      <c r="BC3440">
        <v>0</v>
      </c>
      <c r="BD3440">
        <v>0</v>
      </c>
      <c r="BE3440">
        <v>0</v>
      </c>
      <c r="BF3440">
        <v>0</v>
      </c>
      <c r="BG3440">
        <v>0</v>
      </c>
      <c r="BH3440">
        <v>1</v>
      </c>
      <c r="BI3440">
        <v>1</v>
      </c>
      <c r="BJ3440">
        <v>0.2</v>
      </c>
      <c r="BK3440">
        <v>1</v>
      </c>
      <c r="BL3440">
        <v>54.66</v>
      </c>
      <c r="BM3440">
        <v>8.1999999999999993</v>
      </c>
      <c r="BN3440">
        <v>62.86</v>
      </c>
      <c r="BO3440">
        <v>62.86</v>
      </c>
      <c r="BQ3440" t="s">
        <v>3242</v>
      </c>
      <c r="BR3440" t="s">
        <v>84</v>
      </c>
      <c r="BS3440" s="3">
        <v>45805</v>
      </c>
      <c r="BT3440" s="4">
        <v>0.45763888888888887</v>
      </c>
      <c r="BU3440" t="s">
        <v>3243</v>
      </c>
      <c r="BV3440" t="s">
        <v>86</v>
      </c>
      <c r="BY3440">
        <v>1200</v>
      </c>
      <c r="CA3440" t="s">
        <v>698</v>
      </c>
      <c r="CC3440" t="s">
        <v>649</v>
      </c>
      <c r="CD3440">
        <v>1559</v>
      </c>
      <c r="CE3440" t="s">
        <v>88</v>
      </c>
      <c r="CF3440" s="3">
        <v>45805</v>
      </c>
      <c r="CI3440">
        <v>1</v>
      </c>
      <c r="CJ3440">
        <v>1</v>
      </c>
      <c r="CK3440">
        <v>22</v>
      </c>
      <c r="CL3440" t="s">
        <v>89</v>
      </c>
    </row>
    <row r="3441" spans="1:90" x14ac:dyDescent="0.3">
      <c r="A3441" t="s">
        <v>72</v>
      </c>
      <c r="B3441" t="s">
        <v>73</v>
      </c>
      <c r="C3441" t="s">
        <v>74</v>
      </c>
      <c r="E3441" t="str">
        <f>"080065588642"</f>
        <v>080065588642</v>
      </c>
      <c r="F3441" s="3">
        <v>45804</v>
      </c>
      <c r="G3441">
        <v>202602</v>
      </c>
      <c r="H3441" t="s">
        <v>75</v>
      </c>
      <c r="I3441" t="s">
        <v>76</v>
      </c>
      <c r="J3441" t="s">
        <v>77</v>
      </c>
      <c r="K3441" t="s">
        <v>78</v>
      </c>
      <c r="L3441" t="s">
        <v>123</v>
      </c>
      <c r="M3441" t="s">
        <v>123</v>
      </c>
      <c r="N3441" t="s">
        <v>317</v>
      </c>
      <c r="O3441" t="s">
        <v>82</v>
      </c>
      <c r="P3441" t="str">
        <f>"4170040839                    "</f>
        <v xml:space="preserve">4170040839                    </v>
      </c>
      <c r="Q3441">
        <v>0</v>
      </c>
      <c r="R3441">
        <v>0</v>
      </c>
      <c r="S3441">
        <v>0</v>
      </c>
      <c r="T3441">
        <v>0</v>
      </c>
      <c r="U3441">
        <v>0</v>
      </c>
      <c r="V3441">
        <v>0</v>
      </c>
      <c r="W3441">
        <v>0</v>
      </c>
      <c r="X3441">
        <v>0</v>
      </c>
      <c r="Y3441">
        <v>0</v>
      </c>
      <c r="Z3441">
        <v>0</v>
      </c>
      <c r="AA3441">
        <v>0</v>
      </c>
      <c r="AB3441">
        <v>0</v>
      </c>
      <c r="AC3441">
        <v>0</v>
      </c>
      <c r="AD3441">
        <v>0</v>
      </c>
      <c r="AE3441">
        <v>0</v>
      </c>
      <c r="AF3441">
        <v>0</v>
      </c>
      <c r="AG3441">
        <v>0</v>
      </c>
      <c r="AH3441">
        <v>0</v>
      </c>
      <c r="AI3441">
        <v>0</v>
      </c>
      <c r="AJ3441">
        <v>0</v>
      </c>
      <c r="AK3441">
        <v>0</v>
      </c>
      <c r="AL3441">
        <v>0</v>
      </c>
      <c r="AM3441">
        <v>0</v>
      </c>
      <c r="AN3441">
        <v>0</v>
      </c>
      <c r="AO3441">
        <v>0</v>
      </c>
      <c r="AP3441">
        <v>0</v>
      </c>
      <c r="AQ3441">
        <v>41.43</v>
      </c>
      <c r="AR3441">
        <v>0</v>
      </c>
      <c r="AS3441">
        <v>0</v>
      </c>
      <c r="AT3441">
        <v>0</v>
      </c>
      <c r="AU3441">
        <v>0</v>
      </c>
      <c r="AV3441">
        <v>0</v>
      </c>
      <c r="AW3441">
        <v>0</v>
      </c>
      <c r="AX3441">
        <v>0</v>
      </c>
      <c r="AY3441">
        <v>0</v>
      </c>
      <c r="AZ3441">
        <v>0</v>
      </c>
      <c r="BA3441">
        <v>0</v>
      </c>
      <c r="BB3441">
        <v>0</v>
      </c>
      <c r="BC3441">
        <v>0</v>
      </c>
      <c r="BD3441">
        <v>0</v>
      </c>
      <c r="BE3441">
        <v>0</v>
      </c>
      <c r="BF3441">
        <v>0</v>
      </c>
      <c r="BG3441">
        <v>0</v>
      </c>
      <c r="BH3441">
        <v>1</v>
      </c>
      <c r="BI3441">
        <v>1</v>
      </c>
      <c r="BJ3441">
        <v>0.2</v>
      </c>
      <c r="BK3441">
        <v>1</v>
      </c>
      <c r="BL3441">
        <v>135.59</v>
      </c>
      <c r="BM3441">
        <v>20.34</v>
      </c>
      <c r="BN3441">
        <v>155.93</v>
      </c>
      <c r="BO3441">
        <v>155.93</v>
      </c>
      <c r="BQ3441" t="s">
        <v>318</v>
      </c>
      <c r="BR3441" t="s">
        <v>84</v>
      </c>
      <c r="BS3441" s="3">
        <v>45805</v>
      </c>
      <c r="BT3441" s="4">
        <v>0.52083333333333337</v>
      </c>
      <c r="BU3441" t="s">
        <v>319</v>
      </c>
      <c r="BV3441" t="s">
        <v>86</v>
      </c>
      <c r="BY3441">
        <v>1200</v>
      </c>
      <c r="CA3441" t="s">
        <v>128</v>
      </c>
      <c r="CC3441" t="s">
        <v>123</v>
      </c>
      <c r="CD3441">
        <v>7646</v>
      </c>
      <c r="CE3441" t="s">
        <v>88</v>
      </c>
      <c r="CF3441" s="3">
        <v>45806</v>
      </c>
      <c r="CI3441">
        <v>1</v>
      </c>
      <c r="CJ3441">
        <v>1</v>
      </c>
      <c r="CK3441">
        <v>23</v>
      </c>
      <c r="CL3441" t="s">
        <v>89</v>
      </c>
    </row>
    <row r="3442" spans="1:90" x14ac:dyDescent="0.3">
      <c r="A3442" t="s">
        <v>72</v>
      </c>
      <c r="B3442" t="s">
        <v>73</v>
      </c>
      <c r="C3442" t="s">
        <v>74</v>
      </c>
      <c r="E3442" t="str">
        <f>"080065588659"</f>
        <v>080065588659</v>
      </c>
      <c r="F3442" s="3">
        <v>45804</v>
      </c>
      <c r="G3442">
        <v>202602</v>
      </c>
      <c r="H3442" t="s">
        <v>75</v>
      </c>
      <c r="I3442" t="s">
        <v>76</v>
      </c>
      <c r="J3442" t="s">
        <v>77</v>
      </c>
      <c r="K3442" t="s">
        <v>78</v>
      </c>
      <c r="L3442" t="s">
        <v>117</v>
      </c>
      <c r="M3442" t="s">
        <v>118</v>
      </c>
      <c r="N3442" t="s">
        <v>304</v>
      </c>
      <c r="O3442" t="s">
        <v>82</v>
      </c>
      <c r="P3442" t="str">
        <f>"4170040929                    "</f>
        <v xml:space="preserve">4170040929                    </v>
      </c>
      <c r="Q3442">
        <v>0</v>
      </c>
      <c r="R3442">
        <v>0</v>
      </c>
      <c r="S3442">
        <v>0</v>
      </c>
      <c r="T3442">
        <v>0</v>
      </c>
      <c r="U3442">
        <v>0</v>
      </c>
      <c r="V3442">
        <v>0</v>
      </c>
      <c r="W3442">
        <v>0</v>
      </c>
      <c r="X3442">
        <v>0</v>
      </c>
      <c r="Y3442">
        <v>0</v>
      </c>
      <c r="Z3442">
        <v>0</v>
      </c>
      <c r="AA3442">
        <v>0</v>
      </c>
      <c r="AB3442">
        <v>0</v>
      </c>
      <c r="AC3442">
        <v>0</v>
      </c>
      <c r="AD3442">
        <v>0</v>
      </c>
      <c r="AE3442">
        <v>0</v>
      </c>
      <c r="AF3442">
        <v>0</v>
      </c>
      <c r="AG3442">
        <v>0</v>
      </c>
      <c r="AH3442">
        <v>0</v>
      </c>
      <c r="AI3442">
        <v>0</v>
      </c>
      <c r="AJ3442">
        <v>0</v>
      </c>
      <c r="AK3442">
        <v>0</v>
      </c>
      <c r="AL3442">
        <v>0</v>
      </c>
      <c r="AM3442">
        <v>0</v>
      </c>
      <c r="AN3442">
        <v>0</v>
      </c>
      <c r="AO3442">
        <v>0</v>
      </c>
      <c r="AP3442">
        <v>0</v>
      </c>
      <c r="AQ3442">
        <v>16.7</v>
      </c>
      <c r="AR3442">
        <v>0</v>
      </c>
      <c r="AS3442">
        <v>0</v>
      </c>
      <c r="AT3442">
        <v>0</v>
      </c>
      <c r="AU3442">
        <v>0</v>
      </c>
      <c r="AV3442">
        <v>0</v>
      </c>
      <c r="AW3442">
        <v>0</v>
      </c>
      <c r="AX3442">
        <v>0</v>
      </c>
      <c r="AY3442">
        <v>0</v>
      </c>
      <c r="AZ3442">
        <v>0</v>
      </c>
      <c r="BA3442">
        <v>0</v>
      </c>
      <c r="BB3442">
        <v>0</v>
      </c>
      <c r="BC3442">
        <v>0</v>
      </c>
      <c r="BD3442">
        <v>0</v>
      </c>
      <c r="BE3442">
        <v>0</v>
      </c>
      <c r="BF3442">
        <v>0</v>
      </c>
      <c r="BG3442">
        <v>0</v>
      </c>
      <c r="BH3442">
        <v>1</v>
      </c>
      <c r="BI3442">
        <v>1</v>
      </c>
      <c r="BJ3442">
        <v>0.2</v>
      </c>
      <c r="BK3442">
        <v>1</v>
      </c>
      <c r="BL3442">
        <v>54.66</v>
      </c>
      <c r="BM3442">
        <v>8.1999999999999993</v>
      </c>
      <c r="BN3442">
        <v>62.86</v>
      </c>
      <c r="BO3442">
        <v>62.86</v>
      </c>
      <c r="BQ3442" t="s">
        <v>305</v>
      </c>
      <c r="BR3442" t="s">
        <v>84</v>
      </c>
      <c r="BS3442" s="3">
        <v>45805</v>
      </c>
      <c r="BT3442" s="4">
        <v>0.36458333333333331</v>
      </c>
      <c r="BU3442" t="s">
        <v>1827</v>
      </c>
      <c r="BV3442" t="s">
        <v>86</v>
      </c>
      <c r="BY3442">
        <v>1200</v>
      </c>
      <c r="CA3442" t="s">
        <v>275</v>
      </c>
      <c r="CC3442" t="s">
        <v>118</v>
      </c>
      <c r="CD3442">
        <v>2190</v>
      </c>
      <c r="CE3442" t="s">
        <v>88</v>
      </c>
      <c r="CF3442" s="3">
        <v>45806</v>
      </c>
      <c r="CI3442">
        <v>1</v>
      </c>
      <c r="CJ3442">
        <v>1</v>
      </c>
      <c r="CK3442">
        <v>22</v>
      </c>
      <c r="CL3442" t="s">
        <v>89</v>
      </c>
    </row>
    <row r="3443" spans="1:90" x14ac:dyDescent="0.3">
      <c r="A3443" t="s">
        <v>72</v>
      </c>
      <c r="B3443" t="s">
        <v>73</v>
      </c>
      <c r="C3443" t="s">
        <v>74</v>
      </c>
      <c r="E3443" t="str">
        <f>"080065588838"</f>
        <v>080065588838</v>
      </c>
      <c r="F3443" s="3">
        <v>45804</v>
      </c>
      <c r="G3443">
        <v>202602</v>
      </c>
      <c r="H3443" t="s">
        <v>75</v>
      </c>
      <c r="I3443" t="s">
        <v>76</v>
      </c>
      <c r="J3443" t="s">
        <v>77</v>
      </c>
      <c r="K3443" t="s">
        <v>78</v>
      </c>
      <c r="L3443" t="s">
        <v>409</v>
      </c>
      <c r="M3443" t="s">
        <v>410</v>
      </c>
      <c r="N3443" t="s">
        <v>512</v>
      </c>
      <c r="O3443" t="s">
        <v>82</v>
      </c>
      <c r="P3443" t="str">
        <f>"4170040903                    "</f>
        <v xml:space="preserve">4170040903                    </v>
      </c>
      <c r="Q3443">
        <v>0</v>
      </c>
      <c r="R3443">
        <v>0</v>
      </c>
      <c r="S3443">
        <v>0</v>
      </c>
      <c r="T3443">
        <v>0</v>
      </c>
      <c r="U3443">
        <v>0</v>
      </c>
      <c r="V3443">
        <v>0</v>
      </c>
      <c r="W3443">
        <v>0</v>
      </c>
      <c r="X3443">
        <v>0</v>
      </c>
      <c r="Y3443">
        <v>0</v>
      </c>
      <c r="Z3443">
        <v>0</v>
      </c>
      <c r="AA3443">
        <v>0</v>
      </c>
      <c r="AB3443">
        <v>0</v>
      </c>
      <c r="AC3443">
        <v>0</v>
      </c>
      <c r="AD3443">
        <v>0</v>
      </c>
      <c r="AE3443">
        <v>0</v>
      </c>
      <c r="AF3443">
        <v>0</v>
      </c>
      <c r="AG3443">
        <v>0</v>
      </c>
      <c r="AH3443">
        <v>0</v>
      </c>
      <c r="AI3443">
        <v>0</v>
      </c>
      <c r="AJ3443">
        <v>0</v>
      </c>
      <c r="AK3443">
        <v>0</v>
      </c>
      <c r="AL3443">
        <v>0</v>
      </c>
      <c r="AM3443">
        <v>0</v>
      </c>
      <c r="AN3443">
        <v>0</v>
      </c>
      <c r="AO3443">
        <v>0</v>
      </c>
      <c r="AP3443">
        <v>0</v>
      </c>
      <c r="AQ3443">
        <v>41.43</v>
      </c>
      <c r="AR3443">
        <v>0</v>
      </c>
      <c r="AS3443">
        <v>0</v>
      </c>
      <c r="AT3443">
        <v>0</v>
      </c>
      <c r="AU3443">
        <v>0</v>
      </c>
      <c r="AV3443">
        <v>0</v>
      </c>
      <c r="AW3443">
        <v>0</v>
      </c>
      <c r="AX3443">
        <v>0</v>
      </c>
      <c r="AY3443">
        <v>0</v>
      </c>
      <c r="AZ3443">
        <v>0</v>
      </c>
      <c r="BA3443">
        <v>0</v>
      </c>
      <c r="BB3443">
        <v>0</v>
      </c>
      <c r="BC3443">
        <v>0</v>
      </c>
      <c r="BD3443">
        <v>0</v>
      </c>
      <c r="BE3443">
        <v>0</v>
      </c>
      <c r="BF3443">
        <v>0</v>
      </c>
      <c r="BG3443">
        <v>0</v>
      </c>
      <c r="BH3443">
        <v>1</v>
      </c>
      <c r="BI3443">
        <v>1</v>
      </c>
      <c r="BJ3443">
        <v>0.2</v>
      </c>
      <c r="BK3443">
        <v>1</v>
      </c>
      <c r="BL3443">
        <v>135.59</v>
      </c>
      <c r="BM3443">
        <v>20.34</v>
      </c>
      <c r="BN3443">
        <v>155.93</v>
      </c>
      <c r="BO3443">
        <v>155.93</v>
      </c>
      <c r="BQ3443" t="s">
        <v>513</v>
      </c>
      <c r="BR3443" t="s">
        <v>84</v>
      </c>
      <c r="BS3443" s="3">
        <v>45805</v>
      </c>
      <c r="BT3443" s="4">
        <v>0.49444444444444446</v>
      </c>
      <c r="BU3443" t="s">
        <v>3244</v>
      </c>
      <c r="BV3443" t="s">
        <v>86</v>
      </c>
      <c r="BY3443">
        <v>1200</v>
      </c>
      <c r="CA3443" t="s">
        <v>414</v>
      </c>
      <c r="CC3443" t="s">
        <v>410</v>
      </c>
      <c r="CD3443">
        <v>6850</v>
      </c>
      <c r="CE3443" t="s">
        <v>88</v>
      </c>
      <c r="CF3443" s="3">
        <v>45806</v>
      </c>
      <c r="CI3443">
        <v>2</v>
      </c>
      <c r="CJ3443">
        <v>1</v>
      </c>
      <c r="CK3443">
        <v>23</v>
      </c>
      <c r="CL3443" t="s">
        <v>89</v>
      </c>
    </row>
    <row r="3444" spans="1:90" x14ac:dyDescent="0.3">
      <c r="A3444" t="s">
        <v>72</v>
      </c>
      <c r="B3444" t="s">
        <v>73</v>
      </c>
      <c r="C3444" t="s">
        <v>74</v>
      </c>
      <c r="E3444" t="str">
        <f>"080065588855"</f>
        <v>080065588855</v>
      </c>
      <c r="F3444" s="3">
        <v>45804</v>
      </c>
      <c r="G3444">
        <v>202602</v>
      </c>
      <c r="H3444" t="s">
        <v>75</v>
      </c>
      <c r="I3444" t="s">
        <v>76</v>
      </c>
      <c r="J3444" t="s">
        <v>77</v>
      </c>
      <c r="K3444" t="s">
        <v>78</v>
      </c>
      <c r="L3444" t="s">
        <v>130</v>
      </c>
      <c r="M3444" t="s">
        <v>131</v>
      </c>
      <c r="N3444" t="s">
        <v>709</v>
      </c>
      <c r="O3444" t="s">
        <v>82</v>
      </c>
      <c r="P3444" t="str">
        <f>"4170040828                    "</f>
        <v xml:space="preserve">4170040828                    </v>
      </c>
      <c r="Q3444">
        <v>0</v>
      </c>
      <c r="R3444">
        <v>0</v>
      </c>
      <c r="S3444">
        <v>0</v>
      </c>
      <c r="T3444">
        <v>0</v>
      </c>
      <c r="U3444">
        <v>0</v>
      </c>
      <c r="V3444">
        <v>0</v>
      </c>
      <c r="W3444">
        <v>0</v>
      </c>
      <c r="X3444">
        <v>0</v>
      </c>
      <c r="Y3444">
        <v>0</v>
      </c>
      <c r="Z3444">
        <v>0</v>
      </c>
      <c r="AA3444">
        <v>0</v>
      </c>
      <c r="AB3444">
        <v>0</v>
      </c>
      <c r="AC3444">
        <v>0</v>
      </c>
      <c r="AD3444">
        <v>0</v>
      </c>
      <c r="AE3444">
        <v>0</v>
      </c>
      <c r="AF3444">
        <v>0</v>
      </c>
      <c r="AG3444">
        <v>0</v>
      </c>
      <c r="AH3444">
        <v>0</v>
      </c>
      <c r="AI3444">
        <v>0</v>
      </c>
      <c r="AJ3444">
        <v>0</v>
      </c>
      <c r="AK3444">
        <v>0</v>
      </c>
      <c r="AL3444">
        <v>0</v>
      </c>
      <c r="AM3444">
        <v>0</v>
      </c>
      <c r="AN3444">
        <v>0</v>
      </c>
      <c r="AO3444">
        <v>0</v>
      </c>
      <c r="AP3444">
        <v>0</v>
      </c>
      <c r="AQ3444">
        <v>21.38</v>
      </c>
      <c r="AR3444">
        <v>0</v>
      </c>
      <c r="AS3444">
        <v>0</v>
      </c>
      <c r="AT3444">
        <v>0</v>
      </c>
      <c r="AU3444">
        <v>0</v>
      </c>
      <c r="AV3444">
        <v>0</v>
      </c>
      <c r="AW3444">
        <v>0</v>
      </c>
      <c r="AX3444">
        <v>0</v>
      </c>
      <c r="AY3444">
        <v>0</v>
      </c>
      <c r="AZ3444">
        <v>0</v>
      </c>
      <c r="BA3444">
        <v>0</v>
      </c>
      <c r="BB3444">
        <v>0</v>
      </c>
      <c r="BC3444">
        <v>0</v>
      </c>
      <c r="BD3444">
        <v>0</v>
      </c>
      <c r="BE3444">
        <v>0</v>
      </c>
      <c r="BF3444">
        <v>0</v>
      </c>
      <c r="BG3444">
        <v>0</v>
      </c>
      <c r="BH3444">
        <v>1</v>
      </c>
      <c r="BI3444">
        <v>1</v>
      </c>
      <c r="BJ3444">
        <v>0.2</v>
      </c>
      <c r="BK3444">
        <v>1</v>
      </c>
      <c r="BL3444">
        <v>69.98</v>
      </c>
      <c r="BM3444">
        <v>10.5</v>
      </c>
      <c r="BN3444">
        <v>80.48</v>
      </c>
      <c r="BO3444">
        <v>80.48</v>
      </c>
      <c r="BQ3444" t="s">
        <v>710</v>
      </c>
      <c r="BR3444" t="s">
        <v>84</v>
      </c>
      <c r="BS3444" s="3">
        <v>45805</v>
      </c>
      <c r="BT3444" s="4">
        <v>0.33333333333333331</v>
      </c>
      <c r="BU3444" t="s">
        <v>1272</v>
      </c>
      <c r="BV3444" t="s">
        <v>86</v>
      </c>
      <c r="BY3444">
        <v>1200</v>
      </c>
      <c r="CA3444" t="s">
        <v>712</v>
      </c>
      <c r="CC3444" t="s">
        <v>131</v>
      </c>
      <c r="CD3444">
        <v>7530</v>
      </c>
      <c r="CE3444" t="s">
        <v>88</v>
      </c>
      <c r="CF3444" s="3">
        <v>45806</v>
      </c>
      <c r="CI3444">
        <v>1</v>
      </c>
      <c r="CJ3444">
        <v>1</v>
      </c>
      <c r="CK3444">
        <v>21</v>
      </c>
      <c r="CL3444" t="s">
        <v>89</v>
      </c>
    </row>
    <row r="3445" spans="1:90" x14ac:dyDescent="0.3">
      <c r="A3445" t="s">
        <v>72</v>
      </c>
      <c r="B3445" t="s">
        <v>73</v>
      </c>
      <c r="C3445" t="s">
        <v>74</v>
      </c>
      <c r="E3445" t="str">
        <f>"080065588859"</f>
        <v>080065588859</v>
      </c>
      <c r="F3445" s="3">
        <v>45804</v>
      </c>
      <c r="G3445">
        <v>202602</v>
      </c>
      <c r="H3445" t="s">
        <v>75</v>
      </c>
      <c r="I3445" t="s">
        <v>76</v>
      </c>
      <c r="J3445" t="s">
        <v>77</v>
      </c>
      <c r="K3445" t="s">
        <v>78</v>
      </c>
      <c r="L3445" t="s">
        <v>75</v>
      </c>
      <c r="M3445" t="s">
        <v>76</v>
      </c>
      <c r="N3445" t="s">
        <v>850</v>
      </c>
      <c r="O3445" t="s">
        <v>82</v>
      </c>
      <c r="P3445" t="str">
        <f>"4170040917                    "</f>
        <v xml:space="preserve">4170040917                    </v>
      </c>
      <c r="Q3445">
        <v>0</v>
      </c>
      <c r="R3445">
        <v>0</v>
      </c>
      <c r="S3445">
        <v>0</v>
      </c>
      <c r="T3445">
        <v>0</v>
      </c>
      <c r="U3445">
        <v>0</v>
      </c>
      <c r="V3445">
        <v>0</v>
      </c>
      <c r="W3445">
        <v>0</v>
      </c>
      <c r="X3445">
        <v>0</v>
      </c>
      <c r="Y3445">
        <v>0</v>
      </c>
      <c r="Z3445">
        <v>0</v>
      </c>
      <c r="AA3445">
        <v>0</v>
      </c>
      <c r="AB3445">
        <v>0</v>
      </c>
      <c r="AC3445">
        <v>0</v>
      </c>
      <c r="AD3445">
        <v>0</v>
      </c>
      <c r="AE3445">
        <v>0</v>
      </c>
      <c r="AF3445">
        <v>0</v>
      </c>
      <c r="AG3445">
        <v>0</v>
      </c>
      <c r="AH3445">
        <v>0</v>
      </c>
      <c r="AI3445">
        <v>0</v>
      </c>
      <c r="AJ3445">
        <v>0</v>
      </c>
      <c r="AK3445">
        <v>0</v>
      </c>
      <c r="AL3445">
        <v>0</v>
      </c>
      <c r="AM3445">
        <v>0</v>
      </c>
      <c r="AN3445">
        <v>0</v>
      </c>
      <c r="AO3445">
        <v>0</v>
      </c>
      <c r="AP3445">
        <v>0</v>
      </c>
      <c r="AQ3445">
        <v>16.7</v>
      </c>
      <c r="AR3445">
        <v>0</v>
      </c>
      <c r="AS3445">
        <v>0</v>
      </c>
      <c r="AT3445">
        <v>0</v>
      </c>
      <c r="AU3445">
        <v>0</v>
      </c>
      <c r="AV3445">
        <v>0</v>
      </c>
      <c r="AW3445">
        <v>0</v>
      </c>
      <c r="AX3445">
        <v>0</v>
      </c>
      <c r="AY3445">
        <v>0</v>
      </c>
      <c r="AZ3445">
        <v>0</v>
      </c>
      <c r="BA3445">
        <v>0</v>
      </c>
      <c r="BB3445">
        <v>0</v>
      </c>
      <c r="BC3445">
        <v>0</v>
      </c>
      <c r="BD3445">
        <v>0</v>
      </c>
      <c r="BE3445">
        <v>0</v>
      </c>
      <c r="BF3445">
        <v>0</v>
      </c>
      <c r="BG3445">
        <v>0</v>
      </c>
      <c r="BH3445">
        <v>1</v>
      </c>
      <c r="BI3445">
        <v>4</v>
      </c>
      <c r="BJ3445">
        <v>3.9</v>
      </c>
      <c r="BK3445">
        <v>4</v>
      </c>
      <c r="BL3445">
        <v>54.66</v>
      </c>
      <c r="BM3445">
        <v>8.1999999999999993</v>
      </c>
      <c r="BN3445">
        <v>62.86</v>
      </c>
      <c r="BO3445">
        <v>62.86</v>
      </c>
      <c r="BQ3445" t="s">
        <v>851</v>
      </c>
      <c r="BR3445" t="s">
        <v>84</v>
      </c>
      <c r="BS3445" s="3">
        <v>45805</v>
      </c>
      <c r="BT3445" s="4">
        <v>0.36527777777777776</v>
      </c>
      <c r="BU3445" t="s">
        <v>3245</v>
      </c>
      <c r="BV3445" t="s">
        <v>86</v>
      </c>
      <c r="BY3445">
        <v>19456</v>
      </c>
      <c r="CA3445" t="s">
        <v>3246</v>
      </c>
      <c r="CC3445" t="s">
        <v>76</v>
      </c>
      <c r="CD3445">
        <v>1666</v>
      </c>
      <c r="CE3445" t="s">
        <v>221</v>
      </c>
      <c r="CF3445" s="3">
        <v>45806</v>
      </c>
      <c r="CI3445">
        <v>1</v>
      </c>
      <c r="CJ3445">
        <v>1</v>
      </c>
      <c r="CK3445">
        <v>22</v>
      </c>
      <c r="CL3445" t="s">
        <v>89</v>
      </c>
    </row>
    <row r="3446" spans="1:90" x14ac:dyDescent="0.3">
      <c r="A3446" t="s">
        <v>72</v>
      </c>
      <c r="B3446" t="s">
        <v>73</v>
      </c>
      <c r="C3446" t="s">
        <v>74</v>
      </c>
      <c r="E3446" t="str">
        <f>"080065588882"</f>
        <v>080065588882</v>
      </c>
      <c r="F3446" s="3">
        <v>45804</v>
      </c>
      <c r="G3446">
        <v>202602</v>
      </c>
      <c r="H3446" t="s">
        <v>75</v>
      </c>
      <c r="I3446" t="s">
        <v>76</v>
      </c>
      <c r="J3446" t="s">
        <v>77</v>
      </c>
      <c r="K3446" t="s">
        <v>78</v>
      </c>
      <c r="L3446" t="s">
        <v>103</v>
      </c>
      <c r="M3446" t="s">
        <v>104</v>
      </c>
      <c r="N3446" t="s">
        <v>437</v>
      </c>
      <c r="O3446" t="s">
        <v>82</v>
      </c>
      <c r="P3446" t="str">
        <f>"4170040902                    "</f>
        <v xml:space="preserve">4170040902                    </v>
      </c>
      <c r="Q3446">
        <v>0</v>
      </c>
      <c r="R3446">
        <v>0</v>
      </c>
      <c r="S3446">
        <v>0</v>
      </c>
      <c r="T3446">
        <v>0</v>
      </c>
      <c r="U3446">
        <v>0</v>
      </c>
      <c r="V3446">
        <v>0</v>
      </c>
      <c r="W3446">
        <v>0</v>
      </c>
      <c r="X3446">
        <v>0</v>
      </c>
      <c r="Y3446">
        <v>0</v>
      </c>
      <c r="Z3446">
        <v>0</v>
      </c>
      <c r="AA3446">
        <v>0</v>
      </c>
      <c r="AB3446">
        <v>0</v>
      </c>
      <c r="AC3446">
        <v>0</v>
      </c>
      <c r="AD3446">
        <v>0</v>
      </c>
      <c r="AE3446">
        <v>0</v>
      </c>
      <c r="AF3446">
        <v>0</v>
      </c>
      <c r="AG3446">
        <v>0</v>
      </c>
      <c r="AH3446">
        <v>0</v>
      </c>
      <c r="AI3446">
        <v>0</v>
      </c>
      <c r="AJ3446">
        <v>0</v>
      </c>
      <c r="AK3446">
        <v>0</v>
      </c>
      <c r="AL3446">
        <v>0</v>
      </c>
      <c r="AM3446">
        <v>0</v>
      </c>
      <c r="AN3446">
        <v>0</v>
      </c>
      <c r="AO3446">
        <v>0</v>
      </c>
      <c r="AP3446">
        <v>0</v>
      </c>
      <c r="AQ3446">
        <v>96.17</v>
      </c>
      <c r="AR3446">
        <v>0</v>
      </c>
      <c r="AS3446">
        <v>0</v>
      </c>
      <c r="AT3446">
        <v>0</v>
      </c>
      <c r="AU3446">
        <v>0</v>
      </c>
      <c r="AV3446">
        <v>0</v>
      </c>
      <c r="AW3446">
        <v>0</v>
      </c>
      <c r="AX3446">
        <v>0</v>
      </c>
      <c r="AY3446">
        <v>0</v>
      </c>
      <c r="AZ3446">
        <v>0</v>
      </c>
      <c r="BA3446">
        <v>0</v>
      </c>
      <c r="BB3446">
        <v>0</v>
      </c>
      <c r="BC3446">
        <v>0</v>
      </c>
      <c r="BD3446">
        <v>0</v>
      </c>
      <c r="BE3446">
        <v>0</v>
      </c>
      <c r="BF3446">
        <v>0</v>
      </c>
      <c r="BG3446">
        <v>0</v>
      </c>
      <c r="BH3446">
        <v>1</v>
      </c>
      <c r="BI3446">
        <v>9</v>
      </c>
      <c r="BJ3446">
        <v>1.7</v>
      </c>
      <c r="BK3446">
        <v>9</v>
      </c>
      <c r="BL3446">
        <v>314.73</v>
      </c>
      <c r="BM3446">
        <v>47.21</v>
      </c>
      <c r="BN3446">
        <v>361.94</v>
      </c>
      <c r="BO3446">
        <v>361.94</v>
      </c>
      <c r="BQ3446" t="s">
        <v>438</v>
      </c>
      <c r="BR3446" t="s">
        <v>84</v>
      </c>
      <c r="BS3446" s="3">
        <v>45805</v>
      </c>
      <c r="BT3446" s="4">
        <v>0.5</v>
      </c>
      <c r="BU3446" t="s">
        <v>2413</v>
      </c>
      <c r="BV3446" t="s">
        <v>86</v>
      </c>
      <c r="BY3446">
        <v>8512</v>
      </c>
      <c r="CA3446" t="s">
        <v>2367</v>
      </c>
      <c r="CC3446" t="s">
        <v>104</v>
      </c>
      <c r="CD3446">
        <v>3212</v>
      </c>
      <c r="CE3446" t="s">
        <v>96</v>
      </c>
      <c r="CF3446" s="3">
        <v>45806</v>
      </c>
      <c r="CI3446">
        <v>2</v>
      </c>
      <c r="CJ3446">
        <v>1</v>
      </c>
      <c r="CK3446">
        <v>21</v>
      </c>
      <c r="CL3446" t="s">
        <v>89</v>
      </c>
    </row>
    <row r="3447" spans="1:90" x14ac:dyDescent="0.3">
      <c r="A3447" t="s">
        <v>72</v>
      </c>
      <c r="B3447" t="s">
        <v>73</v>
      </c>
      <c r="C3447" t="s">
        <v>74</v>
      </c>
      <c r="E3447" t="str">
        <f>"080065588901"</f>
        <v>080065588901</v>
      </c>
      <c r="F3447" s="3">
        <v>45804</v>
      </c>
      <c r="G3447">
        <v>202602</v>
      </c>
      <c r="H3447" t="s">
        <v>75</v>
      </c>
      <c r="I3447" t="s">
        <v>76</v>
      </c>
      <c r="J3447" t="s">
        <v>77</v>
      </c>
      <c r="K3447" t="s">
        <v>78</v>
      </c>
      <c r="L3447" t="s">
        <v>177</v>
      </c>
      <c r="M3447" t="s">
        <v>178</v>
      </c>
      <c r="N3447" t="s">
        <v>212</v>
      </c>
      <c r="O3447" t="s">
        <v>82</v>
      </c>
      <c r="P3447" t="str">
        <f>"4170040837                    "</f>
        <v xml:space="preserve">4170040837                    </v>
      </c>
      <c r="Q3447">
        <v>0</v>
      </c>
      <c r="R3447">
        <v>0</v>
      </c>
      <c r="S3447">
        <v>0</v>
      </c>
      <c r="T3447">
        <v>0</v>
      </c>
      <c r="U3447">
        <v>0</v>
      </c>
      <c r="V3447">
        <v>0</v>
      </c>
      <c r="W3447">
        <v>0</v>
      </c>
      <c r="X3447">
        <v>0</v>
      </c>
      <c r="Y3447">
        <v>0</v>
      </c>
      <c r="Z3447">
        <v>0</v>
      </c>
      <c r="AA3447">
        <v>0</v>
      </c>
      <c r="AB3447">
        <v>0</v>
      </c>
      <c r="AC3447">
        <v>0</v>
      </c>
      <c r="AD3447">
        <v>0</v>
      </c>
      <c r="AE3447">
        <v>0</v>
      </c>
      <c r="AF3447">
        <v>0</v>
      </c>
      <c r="AG3447">
        <v>0</v>
      </c>
      <c r="AH3447">
        <v>0</v>
      </c>
      <c r="AI3447">
        <v>0</v>
      </c>
      <c r="AJ3447">
        <v>0</v>
      </c>
      <c r="AK3447">
        <v>0</v>
      </c>
      <c r="AL3447">
        <v>0</v>
      </c>
      <c r="AM3447">
        <v>0</v>
      </c>
      <c r="AN3447">
        <v>0</v>
      </c>
      <c r="AO3447">
        <v>0</v>
      </c>
      <c r="AP3447">
        <v>0</v>
      </c>
      <c r="AQ3447">
        <v>21.38</v>
      </c>
      <c r="AR3447">
        <v>0</v>
      </c>
      <c r="AS3447">
        <v>0</v>
      </c>
      <c r="AT3447">
        <v>0</v>
      </c>
      <c r="AU3447">
        <v>0</v>
      </c>
      <c r="AV3447">
        <v>0</v>
      </c>
      <c r="AW3447">
        <v>0</v>
      </c>
      <c r="AX3447">
        <v>0</v>
      </c>
      <c r="AY3447">
        <v>0</v>
      </c>
      <c r="AZ3447">
        <v>0</v>
      </c>
      <c r="BA3447">
        <v>0</v>
      </c>
      <c r="BB3447">
        <v>0</v>
      </c>
      <c r="BC3447">
        <v>0</v>
      </c>
      <c r="BD3447">
        <v>0</v>
      </c>
      <c r="BE3447">
        <v>0</v>
      </c>
      <c r="BF3447">
        <v>0</v>
      </c>
      <c r="BG3447">
        <v>0</v>
      </c>
      <c r="BH3447">
        <v>1</v>
      </c>
      <c r="BI3447">
        <v>1</v>
      </c>
      <c r="BJ3447">
        <v>1.1000000000000001</v>
      </c>
      <c r="BK3447">
        <v>1.5</v>
      </c>
      <c r="BL3447">
        <v>69.98</v>
      </c>
      <c r="BM3447">
        <v>10.5</v>
      </c>
      <c r="BN3447">
        <v>80.48</v>
      </c>
      <c r="BO3447">
        <v>80.48</v>
      </c>
      <c r="BQ3447" t="s">
        <v>213</v>
      </c>
      <c r="BR3447" t="s">
        <v>84</v>
      </c>
      <c r="BS3447" s="3">
        <v>45805</v>
      </c>
      <c r="BT3447" s="4">
        <v>0.35069444444444442</v>
      </c>
      <c r="BU3447" t="s">
        <v>1568</v>
      </c>
      <c r="BV3447" t="s">
        <v>86</v>
      </c>
      <c r="BY3447">
        <v>5320</v>
      </c>
      <c r="CA3447" t="s">
        <v>182</v>
      </c>
      <c r="CC3447" t="s">
        <v>178</v>
      </c>
      <c r="CD3447">
        <v>6229</v>
      </c>
      <c r="CE3447" t="s">
        <v>116</v>
      </c>
      <c r="CF3447" s="3">
        <v>45805</v>
      </c>
      <c r="CI3447">
        <v>1</v>
      </c>
      <c r="CJ3447">
        <v>1</v>
      </c>
      <c r="CK3447">
        <v>21</v>
      </c>
      <c r="CL3447" t="s">
        <v>89</v>
      </c>
    </row>
    <row r="3448" spans="1:90" x14ac:dyDescent="0.3">
      <c r="A3448" t="s">
        <v>72</v>
      </c>
      <c r="B3448" t="s">
        <v>73</v>
      </c>
      <c r="C3448" t="s">
        <v>74</v>
      </c>
      <c r="E3448" t="str">
        <f>"080065588924"</f>
        <v>080065588924</v>
      </c>
      <c r="F3448" s="3">
        <v>45804</v>
      </c>
      <c r="G3448">
        <v>202602</v>
      </c>
      <c r="H3448" t="s">
        <v>75</v>
      </c>
      <c r="I3448" t="s">
        <v>76</v>
      </c>
      <c r="J3448" t="s">
        <v>77</v>
      </c>
      <c r="K3448" t="s">
        <v>78</v>
      </c>
      <c r="L3448" t="s">
        <v>1737</v>
      </c>
      <c r="M3448" t="s">
        <v>1738</v>
      </c>
      <c r="N3448" t="s">
        <v>261</v>
      </c>
      <c r="O3448" t="s">
        <v>82</v>
      </c>
      <c r="P3448" t="str">
        <f>"4170040898                    "</f>
        <v xml:space="preserve">4170040898                    </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c r="AI3448">
        <v>0</v>
      </c>
      <c r="AJ3448">
        <v>0</v>
      </c>
      <c r="AK3448">
        <v>0</v>
      </c>
      <c r="AL3448">
        <v>0</v>
      </c>
      <c r="AM3448">
        <v>0</v>
      </c>
      <c r="AN3448">
        <v>0</v>
      </c>
      <c r="AO3448">
        <v>0</v>
      </c>
      <c r="AP3448">
        <v>0</v>
      </c>
      <c r="AQ3448">
        <v>116.27</v>
      </c>
      <c r="AR3448">
        <v>0</v>
      </c>
      <c r="AS3448">
        <v>0</v>
      </c>
      <c r="AT3448">
        <v>0</v>
      </c>
      <c r="AU3448">
        <v>0</v>
      </c>
      <c r="AV3448">
        <v>0</v>
      </c>
      <c r="AW3448">
        <v>0</v>
      </c>
      <c r="AX3448">
        <v>0</v>
      </c>
      <c r="AY3448">
        <v>0</v>
      </c>
      <c r="AZ3448">
        <v>0</v>
      </c>
      <c r="BA3448">
        <v>0</v>
      </c>
      <c r="BB3448">
        <v>0</v>
      </c>
      <c r="BC3448">
        <v>0</v>
      </c>
      <c r="BD3448">
        <v>0</v>
      </c>
      <c r="BE3448">
        <v>0</v>
      </c>
      <c r="BF3448">
        <v>0</v>
      </c>
      <c r="BG3448">
        <v>0</v>
      </c>
      <c r="BH3448">
        <v>1</v>
      </c>
      <c r="BI3448">
        <v>5</v>
      </c>
      <c r="BJ3448">
        <v>5.7</v>
      </c>
      <c r="BK3448">
        <v>6</v>
      </c>
      <c r="BL3448">
        <v>380.51</v>
      </c>
      <c r="BM3448">
        <v>57.08</v>
      </c>
      <c r="BN3448">
        <v>437.59</v>
      </c>
      <c r="BO3448">
        <v>437.59</v>
      </c>
      <c r="BQ3448" t="s">
        <v>262</v>
      </c>
      <c r="BR3448" t="s">
        <v>84</v>
      </c>
      <c r="BS3448" s="3">
        <v>45805</v>
      </c>
      <c r="BT3448" s="4">
        <v>0.6479166666666667</v>
      </c>
      <c r="BU3448" t="s">
        <v>2532</v>
      </c>
      <c r="BV3448" t="s">
        <v>86</v>
      </c>
      <c r="BY3448">
        <v>28275</v>
      </c>
      <c r="CA3448" t="s">
        <v>1740</v>
      </c>
      <c r="CC3448" t="s">
        <v>1738</v>
      </c>
      <c r="CD3448">
        <v>9880</v>
      </c>
      <c r="CE3448" t="s">
        <v>96</v>
      </c>
      <c r="CF3448" s="3">
        <v>45806</v>
      </c>
      <c r="CI3448">
        <v>1</v>
      </c>
      <c r="CJ3448">
        <v>1</v>
      </c>
      <c r="CK3448">
        <v>23</v>
      </c>
      <c r="CL3448" t="s">
        <v>89</v>
      </c>
    </row>
    <row r="3449" spans="1:90" x14ac:dyDescent="0.3">
      <c r="A3449" t="s">
        <v>72</v>
      </c>
      <c r="B3449" t="s">
        <v>73</v>
      </c>
      <c r="C3449" t="s">
        <v>74</v>
      </c>
      <c r="E3449" t="str">
        <f>"080065588950"</f>
        <v>080065588950</v>
      </c>
      <c r="F3449" s="3">
        <v>45804</v>
      </c>
      <c r="G3449">
        <v>202602</v>
      </c>
      <c r="H3449" t="s">
        <v>75</v>
      </c>
      <c r="I3449" t="s">
        <v>76</v>
      </c>
      <c r="J3449" t="s">
        <v>77</v>
      </c>
      <c r="K3449" t="s">
        <v>78</v>
      </c>
      <c r="L3449" t="s">
        <v>79</v>
      </c>
      <c r="M3449" t="s">
        <v>80</v>
      </c>
      <c r="N3449" t="s">
        <v>357</v>
      </c>
      <c r="O3449" t="s">
        <v>82</v>
      </c>
      <c r="P3449" t="str">
        <f>"4170040771                    "</f>
        <v xml:space="preserve">4170040771                    </v>
      </c>
      <c r="Q3449">
        <v>0</v>
      </c>
      <c r="R3449">
        <v>0</v>
      </c>
      <c r="S3449">
        <v>0</v>
      </c>
      <c r="T3449">
        <v>0</v>
      </c>
      <c r="U3449">
        <v>0</v>
      </c>
      <c r="V3449">
        <v>0</v>
      </c>
      <c r="W3449">
        <v>0</v>
      </c>
      <c r="X3449">
        <v>0</v>
      </c>
      <c r="Y3449">
        <v>0</v>
      </c>
      <c r="Z3449">
        <v>0</v>
      </c>
      <c r="AA3449">
        <v>0</v>
      </c>
      <c r="AB3449">
        <v>0</v>
      </c>
      <c r="AC3449">
        <v>0</v>
      </c>
      <c r="AD3449">
        <v>0</v>
      </c>
      <c r="AE3449">
        <v>0</v>
      </c>
      <c r="AF3449">
        <v>0</v>
      </c>
      <c r="AG3449">
        <v>0</v>
      </c>
      <c r="AH3449">
        <v>0</v>
      </c>
      <c r="AI3449">
        <v>0</v>
      </c>
      <c r="AJ3449">
        <v>0</v>
      </c>
      <c r="AK3449">
        <v>0</v>
      </c>
      <c r="AL3449">
        <v>0</v>
      </c>
      <c r="AM3449">
        <v>0</v>
      </c>
      <c r="AN3449">
        <v>0</v>
      </c>
      <c r="AO3449">
        <v>0</v>
      </c>
      <c r="AP3449">
        <v>0</v>
      </c>
      <c r="AQ3449">
        <v>21.38</v>
      </c>
      <c r="AR3449">
        <v>0</v>
      </c>
      <c r="AS3449">
        <v>0</v>
      </c>
      <c r="AT3449">
        <v>0</v>
      </c>
      <c r="AU3449">
        <v>0</v>
      </c>
      <c r="AV3449">
        <v>0</v>
      </c>
      <c r="AW3449">
        <v>0</v>
      </c>
      <c r="AX3449">
        <v>0</v>
      </c>
      <c r="AY3449">
        <v>0</v>
      </c>
      <c r="AZ3449">
        <v>0</v>
      </c>
      <c r="BA3449">
        <v>0</v>
      </c>
      <c r="BB3449">
        <v>0</v>
      </c>
      <c r="BC3449">
        <v>0</v>
      </c>
      <c r="BD3449">
        <v>0</v>
      </c>
      <c r="BE3449">
        <v>0</v>
      </c>
      <c r="BF3449">
        <v>0</v>
      </c>
      <c r="BG3449">
        <v>0</v>
      </c>
      <c r="BH3449">
        <v>1</v>
      </c>
      <c r="BI3449">
        <v>1</v>
      </c>
      <c r="BJ3449">
        <v>1.4</v>
      </c>
      <c r="BK3449">
        <v>1.5</v>
      </c>
      <c r="BL3449">
        <v>69.98</v>
      </c>
      <c r="BM3449">
        <v>10.5</v>
      </c>
      <c r="BN3449">
        <v>80.48</v>
      </c>
      <c r="BO3449">
        <v>80.48</v>
      </c>
      <c r="BQ3449" t="s">
        <v>358</v>
      </c>
      <c r="BR3449" t="s">
        <v>84</v>
      </c>
      <c r="BS3449" s="3">
        <v>45805</v>
      </c>
      <c r="BT3449" s="4">
        <v>0.6430555555555556</v>
      </c>
      <c r="BU3449" t="s">
        <v>3247</v>
      </c>
      <c r="BV3449" t="s">
        <v>89</v>
      </c>
      <c r="BW3449" t="s">
        <v>296</v>
      </c>
      <c r="BX3449" t="s">
        <v>450</v>
      </c>
      <c r="BY3449">
        <v>7000</v>
      </c>
      <c r="CA3449" t="s">
        <v>418</v>
      </c>
      <c r="CC3449" t="s">
        <v>80</v>
      </c>
      <c r="CD3449">
        <v>3608</v>
      </c>
      <c r="CE3449" t="s">
        <v>116</v>
      </c>
      <c r="CF3449" s="3">
        <v>45806</v>
      </c>
      <c r="CI3449">
        <v>1</v>
      </c>
      <c r="CJ3449">
        <v>1</v>
      </c>
      <c r="CK3449">
        <v>21</v>
      </c>
      <c r="CL3449" t="s">
        <v>89</v>
      </c>
    </row>
    <row r="3450" spans="1:90" x14ac:dyDescent="0.3">
      <c r="A3450" t="s">
        <v>72</v>
      </c>
      <c r="B3450" t="s">
        <v>73</v>
      </c>
      <c r="C3450" t="s">
        <v>74</v>
      </c>
      <c r="E3450" t="str">
        <f>"080065589082"</f>
        <v>080065589082</v>
      </c>
      <c r="F3450" s="3">
        <v>45804</v>
      </c>
      <c r="G3450">
        <v>202602</v>
      </c>
      <c r="H3450" t="s">
        <v>75</v>
      </c>
      <c r="I3450" t="s">
        <v>76</v>
      </c>
      <c r="J3450" t="s">
        <v>77</v>
      </c>
      <c r="K3450" t="s">
        <v>78</v>
      </c>
      <c r="L3450" t="s">
        <v>350</v>
      </c>
      <c r="M3450" t="s">
        <v>351</v>
      </c>
      <c r="N3450" t="s">
        <v>459</v>
      </c>
      <c r="O3450" t="s">
        <v>82</v>
      </c>
      <c r="P3450" t="str">
        <f>"4170040809                    "</f>
        <v xml:space="preserve">4170040809                    </v>
      </c>
      <c r="Q3450">
        <v>0</v>
      </c>
      <c r="R3450">
        <v>0</v>
      </c>
      <c r="S3450">
        <v>0</v>
      </c>
      <c r="T3450">
        <v>0</v>
      </c>
      <c r="U3450">
        <v>0</v>
      </c>
      <c r="V3450">
        <v>0</v>
      </c>
      <c r="W3450">
        <v>0</v>
      </c>
      <c r="X3450">
        <v>0</v>
      </c>
      <c r="Y3450">
        <v>0</v>
      </c>
      <c r="Z3450">
        <v>0</v>
      </c>
      <c r="AA3450">
        <v>0</v>
      </c>
      <c r="AB3450">
        <v>0</v>
      </c>
      <c r="AC3450">
        <v>0</v>
      </c>
      <c r="AD3450">
        <v>0</v>
      </c>
      <c r="AE3450">
        <v>0</v>
      </c>
      <c r="AF3450">
        <v>0</v>
      </c>
      <c r="AG3450">
        <v>0</v>
      </c>
      <c r="AH3450">
        <v>0</v>
      </c>
      <c r="AI3450">
        <v>0</v>
      </c>
      <c r="AJ3450">
        <v>0</v>
      </c>
      <c r="AK3450">
        <v>0</v>
      </c>
      <c r="AL3450">
        <v>0</v>
      </c>
      <c r="AM3450">
        <v>0</v>
      </c>
      <c r="AN3450">
        <v>0</v>
      </c>
      <c r="AO3450">
        <v>0</v>
      </c>
      <c r="AP3450">
        <v>0</v>
      </c>
      <c r="AQ3450">
        <v>21.38</v>
      </c>
      <c r="AR3450">
        <v>0</v>
      </c>
      <c r="AS3450">
        <v>0</v>
      </c>
      <c r="AT3450">
        <v>0</v>
      </c>
      <c r="AU3450">
        <v>0</v>
      </c>
      <c r="AV3450">
        <v>0</v>
      </c>
      <c r="AW3450">
        <v>0</v>
      </c>
      <c r="AX3450">
        <v>0</v>
      </c>
      <c r="AY3450">
        <v>0</v>
      </c>
      <c r="AZ3450">
        <v>0</v>
      </c>
      <c r="BA3450">
        <v>0</v>
      </c>
      <c r="BB3450">
        <v>0</v>
      </c>
      <c r="BC3450">
        <v>0</v>
      </c>
      <c r="BD3450">
        <v>0</v>
      </c>
      <c r="BE3450">
        <v>0</v>
      </c>
      <c r="BF3450">
        <v>0</v>
      </c>
      <c r="BG3450">
        <v>0</v>
      </c>
      <c r="BH3450">
        <v>1</v>
      </c>
      <c r="BI3450">
        <v>1</v>
      </c>
      <c r="BJ3450">
        <v>0.2</v>
      </c>
      <c r="BK3450">
        <v>1</v>
      </c>
      <c r="BL3450">
        <v>69.98</v>
      </c>
      <c r="BM3450">
        <v>10.5</v>
      </c>
      <c r="BN3450">
        <v>80.48</v>
      </c>
      <c r="BO3450">
        <v>80.48</v>
      </c>
      <c r="BQ3450" t="s">
        <v>460</v>
      </c>
      <c r="BR3450" t="s">
        <v>84</v>
      </c>
      <c r="BS3450" s="3">
        <v>45805</v>
      </c>
      <c r="BT3450" s="4">
        <v>0.33402777777777776</v>
      </c>
      <c r="BU3450" t="s">
        <v>461</v>
      </c>
      <c r="BV3450" t="s">
        <v>86</v>
      </c>
      <c r="BY3450">
        <v>1200</v>
      </c>
      <c r="CA3450" t="s">
        <v>462</v>
      </c>
      <c r="CC3450" t="s">
        <v>351</v>
      </c>
      <c r="CD3450">
        <v>4051</v>
      </c>
      <c r="CE3450" t="s">
        <v>88</v>
      </c>
      <c r="CF3450" s="3">
        <v>45805</v>
      </c>
      <c r="CI3450">
        <v>1</v>
      </c>
      <c r="CJ3450">
        <v>1</v>
      </c>
      <c r="CK3450">
        <v>21</v>
      </c>
      <c r="CL3450" t="s">
        <v>89</v>
      </c>
    </row>
    <row r="3451" spans="1:90" x14ac:dyDescent="0.3">
      <c r="A3451" t="s">
        <v>72</v>
      </c>
      <c r="B3451" t="s">
        <v>73</v>
      </c>
      <c r="C3451" t="s">
        <v>74</v>
      </c>
      <c r="E3451" t="str">
        <f>"080065589119"</f>
        <v>080065589119</v>
      </c>
      <c r="F3451" s="3">
        <v>45804</v>
      </c>
      <c r="G3451">
        <v>202602</v>
      </c>
      <c r="H3451" t="s">
        <v>75</v>
      </c>
      <c r="I3451" t="s">
        <v>76</v>
      </c>
      <c r="J3451" t="s">
        <v>77</v>
      </c>
      <c r="K3451" t="s">
        <v>78</v>
      </c>
      <c r="L3451" t="s">
        <v>463</v>
      </c>
      <c r="M3451" t="s">
        <v>464</v>
      </c>
      <c r="N3451" t="s">
        <v>1529</v>
      </c>
      <c r="O3451" t="s">
        <v>82</v>
      </c>
      <c r="P3451" t="str">
        <f>"4170040800                    "</f>
        <v xml:space="preserve">4170040800                    </v>
      </c>
      <c r="Q3451">
        <v>0</v>
      </c>
      <c r="R3451">
        <v>0</v>
      </c>
      <c r="S3451">
        <v>0</v>
      </c>
      <c r="T3451">
        <v>0</v>
      </c>
      <c r="U3451">
        <v>0</v>
      </c>
      <c r="V3451">
        <v>0</v>
      </c>
      <c r="W3451">
        <v>0</v>
      </c>
      <c r="X3451">
        <v>0</v>
      </c>
      <c r="Y3451">
        <v>0</v>
      </c>
      <c r="Z3451">
        <v>0</v>
      </c>
      <c r="AA3451">
        <v>0</v>
      </c>
      <c r="AB3451">
        <v>0</v>
      </c>
      <c r="AC3451">
        <v>0</v>
      </c>
      <c r="AD3451">
        <v>0</v>
      </c>
      <c r="AE3451">
        <v>0</v>
      </c>
      <c r="AF3451">
        <v>0</v>
      </c>
      <c r="AG3451">
        <v>0</v>
      </c>
      <c r="AH3451">
        <v>0</v>
      </c>
      <c r="AI3451">
        <v>0</v>
      </c>
      <c r="AJ3451">
        <v>0</v>
      </c>
      <c r="AK3451">
        <v>0</v>
      </c>
      <c r="AL3451">
        <v>0</v>
      </c>
      <c r="AM3451">
        <v>0</v>
      </c>
      <c r="AN3451">
        <v>0</v>
      </c>
      <c r="AO3451">
        <v>0</v>
      </c>
      <c r="AP3451">
        <v>0</v>
      </c>
      <c r="AQ3451">
        <v>21.38</v>
      </c>
      <c r="AR3451">
        <v>0</v>
      </c>
      <c r="AS3451">
        <v>0</v>
      </c>
      <c r="AT3451">
        <v>0</v>
      </c>
      <c r="AU3451">
        <v>0</v>
      </c>
      <c r="AV3451">
        <v>0</v>
      </c>
      <c r="AW3451">
        <v>0</v>
      </c>
      <c r="AX3451">
        <v>0</v>
      </c>
      <c r="AY3451">
        <v>0</v>
      </c>
      <c r="AZ3451">
        <v>0</v>
      </c>
      <c r="BA3451">
        <v>0</v>
      </c>
      <c r="BB3451">
        <v>0</v>
      </c>
      <c r="BC3451">
        <v>0</v>
      </c>
      <c r="BD3451">
        <v>0</v>
      </c>
      <c r="BE3451">
        <v>0</v>
      </c>
      <c r="BF3451">
        <v>0</v>
      </c>
      <c r="BG3451">
        <v>0</v>
      </c>
      <c r="BH3451">
        <v>1</v>
      </c>
      <c r="BI3451">
        <v>1</v>
      </c>
      <c r="BJ3451">
        <v>0.2</v>
      </c>
      <c r="BK3451">
        <v>1</v>
      </c>
      <c r="BL3451">
        <v>69.98</v>
      </c>
      <c r="BM3451">
        <v>10.5</v>
      </c>
      <c r="BN3451">
        <v>80.48</v>
      </c>
      <c r="BO3451">
        <v>80.48</v>
      </c>
      <c r="BQ3451" t="s">
        <v>1530</v>
      </c>
      <c r="BR3451" t="s">
        <v>84</v>
      </c>
      <c r="BS3451" s="3">
        <v>45805</v>
      </c>
      <c r="BT3451" s="4">
        <v>0.65625</v>
      </c>
      <c r="BU3451" t="s">
        <v>3248</v>
      </c>
      <c r="BV3451" t="s">
        <v>89</v>
      </c>
      <c r="BY3451">
        <v>1200</v>
      </c>
      <c r="CA3451" t="s">
        <v>3249</v>
      </c>
      <c r="CC3451" t="s">
        <v>464</v>
      </c>
      <c r="CD3451">
        <v>5201</v>
      </c>
      <c r="CE3451" t="s">
        <v>88</v>
      </c>
      <c r="CF3451" s="3">
        <v>45806</v>
      </c>
      <c r="CI3451">
        <v>1</v>
      </c>
      <c r="CJ3451">
        <v>1</v>
      </c>
      <c r="CK3451">
        <v>21</v>
      </c>
      <c r="CL3451" t="s">
        <v>89</v>
      </c>
    </row>
    <row r="3452" spans="1:90" x14ac:dyDescent="0.3">
      <c r="A3452" t="s">
        <v>72</v>
      </c>
      <c r="B3452" t="s">
        <v>73</v>
      </c>
      <c r="C3452" t="s">
        <v>74</v>
      </c>
      <c r="E3452" t="str">
        <f>"080065589165"</f>
        <v>080065589165</v>
      </c>
      <c r="F3452" s="3">
        <v>45804</v>
      </c>
      <c r="G3452">
        <v>202602</v>
      </c>
      <c r="H3452" t="s">
        <v>75</v>
      </c>
      <c r="I3452" t="s">
        <v>76</v>
      </c>
      <c r="J3452" t="s">
        <v>77</v>
      </c>
      <c r="K3452" t="s">
        <v>78</v>
      </c>
      <c r="L3452" t="s">
        <v>75</v>
      </c>
      <c r="M3452" t="s">
        <v>76</v>
      </c>
      <c r="N3452" t="s">
        <v>850</v>
      </c>
      <c r="O3452" t="s">
        <v>602</v>
      </c>
      <c r="P3452" t="str">
        <f>"4170040754                    "</f>
        <v xml:space="preserve">4170040754                    </v>
      </c>
      <c r="Q3452">
        <v>0</v>
      </c>
      <c r="R3452">
        <v>0</v>
      </c>
      <c r="S3452">
        <v>0</v>
      </c>
      <c r="T3452">
        <v>0</v>
      </c>
      <c r="U3452">
        <v>0</v>
      </c>
      <c r="V3452">
        <v>0</v>
      </c>
      <c r="W3452">
        <v>0</v>
      </c>
      <c r="X3452">
        <v>0</v>
      </c>
      <c r="Y3452">
        <v>0</v>
      </c>
      <c r="Z3452">
        <v>0</v>
      </c>
      <c r="AA3452">
        <v>0</v>
      </c>
      <c r="AB3452">
        <v>0</v>
      </c>
      <c r="AC3452">
        <v>0</v>
      </c>
      <c r="AD3452">
        <v>0</v>
      </c>
      <c r="AE3452">
        <v>0</v>
      </c>
      <c r="AF3452">
        <v>0</v>
      </c>
      <c r="AG3452">
        <v>0</v>
      </c>
      <c r="AH3452">
        <v>0</v>
      </c>
      <c r="AI3452">
        <v>0</v>
      </c>
      <c r="AJ3452">
        <v>0</v>
      </c>
      <c r="AK3452">
        <v>0</v>
      </c>
      <c r="AL3452">
        <v>0</v>
      </c>
      <c r="AM3452">
        <v>0</v>
      </c>
      <c r="AN3452">
        <v>0</v>
      </c>
      <c r="AO3452">
        <v>0</v>
      </c>
      <c r="AP3452">
        <v>0</v>
      </c>
      <c r="AQ3452">
        <v>18.579999999999998</v>
      </c>
      <c r="AR3452">
        <v>0</v>
      </c>
      <c r="AS3452">
        <v>0</v>
      </c>
      <c r="AT3452">
        <v>0</v>
      </c>
      <c r="AU3452">
        <v>0</v>
      </c>
      <c r="AV3452">
        <v>0</v>
      </c>
      <c r="AW3452">
        <v>0</v>
      </c>
      <c r="AX3452">
        <v>0</v>
      </c>
      <c r="AY3452">
        <v>0</v>
      </c>
      <c r="AZ3452">
        <v>0</v>
      </c>
      <c r="BA3452">
        <v>0</v>
      </c>
      <c r="BB3452">
        <v>0</v>
      </c>
      <c r="BC3452">
        <v>0</v>
      </c>
      <c r="BD3452">
        <v>0</v>
      </c>
      <c r="BE3452">
        <v>0</v>
      </c>
      <c r="BF3452">
        <v>0</v>
      </c>
      <c r="BG3452">
        <v>0</v>
      </c>
      <c r="BH3452">
        <v>2</v>
      </c>
      <c r="BI3452">
        <v>9</v>
      </c>
      <c r="BJ3452">
        <v>3.9</v>
      </c>
      <c r="BK3452">
        <v>9</v>
      </c>
      <c r="BL3452">
        <v>60.81</v>
      </c>
      <c r="BM3452">
        <v>9.1199999999999992</v>
      </c>
      <c r="BN3452">
        <v>69.930000000000007</v>
      </c>
      <c r="BO3452">
        <v>69.930000000000007</v>
      </c>
      <c r="BQ3452" t="s">
        <v>851</v>
      </c>
      <c r="BR3452" t="s">
        <v>84</v>
      </c>
      <c r="BS3452" s="3">
        <v>45805</v>
      </c>
      <c r="BT3452" s="4">
        <v>0.36527777777777776</v>
      </c>
      <c r="BU3452" t="s">
        <v>3245</v>
      </c>
      <c r="BV3452" t="s">
        <v>86</v>
      </c>
      <c r="BY3452">
        <v>19456</v>
      </c>
      <c r="CA3452" t="s">
        <v>3246</v>
      </c>
      <c r="CC3452" t="s">
        <v>76</v>
      </c>
      <c r="CD3452">
        <v>1666</v>
      </c>
      <c r="CE3452" t="s">
        <v>116</v>
      </c>
      <c r="CF3452" s="3">
        <v>45806</v>
      </c>
      <c r="CI3452">
        <v>1</v>
      </c>
      <c r="CJ3452">
        <v>1</v>
      </c>
      <c r="CK3452">
        <v>32</v>
      </c>
      <c r="CL3452" t="s">
        <v>89</v>
      </c>
    </row>
    <row r="3453" spans="1:90" x14ac:dyDescent="0.3">
      <c r="A3453" t="s">
        <v>72</v>
      </c>
      <c r="B3453" t="s">
        <v>73</v>
      </c>
      <c r="C3453" t="s">
        <v>74</v>
      </c>
      <c r="E3453" t="str">
        <f>"080065590206"</f>
        <v>080065590206</v>
      </c>
      <c r="F3453" s="3">
        <v>45804</v>
      </c>
      <c r="G3453">
        <v>202602</v>
      </c>
      <c r="H3453" t="s">
        <v>75</v>
      </c>
      <c r="I3453" t="s">
        <v>76</v>
      </c>
      <c r="J3453" t="s">
        <v>77</v>
      </c>
      <c r="K3453" t="s">
        <v>78</v>
      </c>
      <c r="L3453" t="s">
        <v>117</v>
      </c>
      <c r="M3453" t="s">
        <v>118</v>
      </c>
      <c r="N3453" t="s">
        <v>2431</v>
      </c>
      <c r="O3453" t="s">
        <v>300</v>
      </c>
      <c r="P3453" t="str">
        <f>"4170040841                    "</f>
        <v xml:space="preserve">4170040841                    </v>
      </c>
      <c r="Q3453">
        <v>0</v>
      </c>
      <c r="R3453">
        <v>0</v>
      </c>
      <c r="S3453">
        <v>0</v>
      </c>
      <c r="T3453">
        <v>0</v>
      </c>
      <c r="U3453">
        <v>0</v>
      </c>
      <c r="V3453">
        <v>0</v>
      </c>
      <c r="W3453">
        <v>0</v>
      </c>
      <c r="X3453">
        <v>0</v>
      </c>
      <c r="Y3453">
        <v>0</v>
      </c>
      <c r="Z3453">
        <v>0</v>
      </c>
      <c r="AA3453">
        <v>0</v>
      </c>
      <c r="AB3453">
        <v>0</v>
      </c>
      <c r="AC3453">
        <v>0</v>
      </c>
      <c r="AD3453">
        <v>0</v>
      </c>
      <c r="AE3453">
        <v>0</v>
      </c>
      <c r="AF3453">
        <v>0</v>
      </c>
      <c r="AG3453">
        <v>0</v>
      </c>
      <c r="AH3453">
        <v>0</v>
      </c>
      <c r="AI3453">
        <v>0</v>
      </c>
      <c r="AJ3453">
        <v>0</v>
      </c>
      <c r="AK3453">
        <v>0</v>
      </c>
      <c r="AL3453">
        <v>0</v>
      </c>
      <c r="AM3453">
        <v>0</v>
      </c>
      <c r="AN3453">
        <v>0</v>
      </c>
      <c r="AO3453">
        <v>0</v>
      </c>
      <c r="AP3453">
        <v>0</v>
      </c>
      <c r="AQ3453">
        <v>31.91</v>
      </c>
      <c r="AR3453">
        <v>0</v>
      </c>
      <c r="AS3453">
        <v>0</v>
      </c>
      <c r="AT3453">
        <v>0</v>
      </c>
      <c r="AU3453">
        <v>0</v>
      </c>
      <c r="AV3453">
        <v>0</v>
      </c>
      <c r="AW3453">
        <v>0</v>
      </c>
      <c r="AX3453">
        <v>0</v>
      </c>
      <c r="AY3453">
        <v>0</v>
      </c>
      <c r="AZ3453">
        <v>0</v>
      </c>
      <c r="BA3453">
        <v>0</v>
      </c>
      <c r="BB3453">
        <v>0</v>
      </c>
      <c r="BC3453">
        <v>0</v>
      </c>
      <c r="BD3453">
        <v>0</v>
      </c>
      <c r="BE3453">
        <v>0</v>
      </c>
      <c r="BF3453">
        <v>0</v>
      </c>
      <c r="BG3453">
        <v>0</v>
      </c>
      <c r="BH3453">
        <v>1</v>
      </c>
      <c r="BI3453">
        <v>5</v>
      </c>
      <c r="BJ3453">
        <v>8.3000000000000007</v>
      </c>
      <c r="BK3453">
        <v>9</v>
      </c>
      <c r="BL3453">
        <v>110</v>
      </c>
      <c r="BM3453">
        <v>16.5</v>
      </c>
      <c r="BN3453">
        <v>126.5</v>
      </c>
      <c r="BO3453">
        <v>126.5</v>
      </c>
      <c r="BQ3453" t="s">
        <v>3250</v>
      </c>
      <c r="BR3453" t="s">
        <v>84</v>
      </c>
      <c r="BS3453" s="3">
        <v>45805</v>
      </c>
      <c r="BT3453" s="4">
        <v>0.34444444444444444</v>
      </c>
      <c r="BU3453" t="s">
        <v>3251</v>
      </c>
      <c r="BV3453" t="s">
        <v>86</v>
      </c>
      <c r="BY3453">
        <v>41616</v>
      </c>
      <c r="CA3453" t="s">
        <v>3149</v>
      </c>
      <c r="CC3453" t="s">
        <v>118</v>
      </c>
      <c r="CD3453">
        <v>2042</v>
      </c>
      <c r="CE3453" t="s">
        <v>221</v>
      </c>
      <c r="CF3453" s="3">
        <v>45806</v>
      </c>
      <c r="CI3453">
        <v>1</v>
      </c>
      <c r="CJ3453">
        <v>1</v>
      </c>
      <c r="CK3453">
        <v>42</v>
      </c>
      <c r="CL3453" t="s">
        <v>89</v>
      </c>
    </row>
    <row r="3454" spans="1:90" x14ac:dyDescent="0.3">
      <c r="A3454" t="s">
        <v>72</v>
      </c>
      <c r="B3454" t="s">
        <v>73</v>
      </c>
      <c r="C3454" t="s">
        <v>74</v>
      </c>
      <c r="E3454" t="str">
        <f>"080065590235"</f>
        <v>080065590235</v>
      </c>
      <c r="F3454" s="3">
        <v>45804</v>
      </c>
      <c r="G3454">
        <v>202602</v>
      </c>
      <c r="H3454" t="s">
        <v>75</v>
      </c>
      <c r="I3454" t="s">
        <v>76</v>
      </c>
      <c r="J3454" t="s">
        <v>77</v>
      </c>
      <c r="K3454" t="s">
        <v>78</v>
      </c>
      <c r="L3454" t="s">
        <v>117</v>
      </c>
      <c r="M3454" t="s">
        <v>118</v>
      </c>
      <c r="N3454" t="s">
        <v>1533</v>
      </c>
      <c r="O3454" t="s">
        <v>82</v>
      </c>
      <c r="P3454" t="str">
        <f>"4170040840                    "</f>
        <v xml:space="preserve">4170040840                    </v>
      </c>
      <c r="Q3454">
        <v>0</v>
      </c>
      <c r="R3454">
        <v>0</v>
      </c>
      <c r="S3454">
        <v>0</v>
      </c>
      <c r="T3454">
        <v>0</v>
      </c>
      <c r="U3454">
        <v>0</v>
      </c>
      <c r="V3454">
        <v>0</v>
      </c>
      <c r="W3454">
        <v>0</v>
      </c>
      <c r="X3454">
        <v>0</v>
      </c>
      <c r="Y3454">
        <v>0</v>
      </c>
      <c r="Z3454">
        <v>0</v>
      </c>
      <c r="AA3454">
        <v>0</v>
      </c>
      <c r="AB3454">
        <v>0</v>
      </c>
      <c r="AC3454">
        <v>0</v>
      </c>
      <c r="AD3454">
        <v>0</v>
      </c>
      <c r="AE3454">
        <v>0</v>
      </c>
      <c r="AF3454">
        <v>0</v>
      </c>
      <c r="AG3454">
        <v>0</v>
      </c>
      <c r="AH3454">
        <v>0</v>
      </c>
      <c r="AI3454">
        <v>0</v>
      </c>
      <c r="AJ3454">
        <v>0</v>
      </c>
      <c r="AK3454">
        <v>0</v>
      </c>
      <c r="AL3454">
        <v>0</v>
      </c>
      <c r="AM3454">
        <v>0</v>
      </c>
      <c r="AN3454">
        <v>0</v>
      </c>
      <c r="AO3454">
        <v>0</v>
      </c>
      <c r="AP3454">
        <v>0</v>
      </c>
      <c r="AQ3454">
        <v>16.7</v>
      </c>
      <c r="AR3454">
        <v>0</v>
      </c>
      <c r="AS3454">
        <v>0</v>
      </c>
      <c r="AT3454">
        <v>0</v>
      </c>
      <c r="AU3454">
        <v>0</v>
      </c>
      <c r="AV3454">
        <v>0</v>
      </c>
      <c r="AW3454">
        <v>0</v>
      </c>
      <c r="AX3454">
        <v>0</v>
      </c>
      <c r="AY3454">
        <v>0</v>
      </c>
      <c r="AZ3454">
        <v>0</v>
      </c>
      <c r="BA3454">
        <v>0</v>
      </c>
      <c r="BB3454">
        <v>0</v>
      </c>
      <c r="BC3454">
        <v>0</v>
      </c>
      <c r="BD3454">
        <v>0</v>
      </c>
      <c r="BE3454">
        <v>0</v>
      </c>
      <c r="BF3454">
        <v>0</v>
      </c>
      <c r="BG3454">
        <v>0</v>
      </c>
      <c r="BH3454">
        <v>1</v>
      </c>
      <c r="BI3454">
        <v>1</v>
      </c>
      <c r="BJ3454">
        <v>1.7</v>
      </c>
      <c r="BK3454">
        <v>2</v>
      </c>
      <c r="BL3454">
        <v>54.66</v>
      </c>
      <c r="BM3454">
        <v>8.1999999999999993</v>
      </c>
      <c r="BN3454">
        <v>62.86</v>
      </c>
      <c r="BO3454">
        <v>62.86</v>
      </c>
      <c r="BQ3454" t="s">
        <v>1534</v>
      </c>
      <c r="BR3454" t="s">
        <v>84</v>
      </c>
      <c r="BS3454" s="3">
        <v>45805</v>
      </c>
      <c r="BT3454" s="4">
        <v>0.39374999999999999</v>
      </c>
      <c r="BU3454" t="s">
        <v>1971</v>
      </c>
      <c r="BV3454" t="s">
        <v>86</v>
      </c>
      <c r="BY3454">
        <v>8512</v>
      </c>
      <c r="CA3454" t="s">
        <v>275</v>
      </c>
      <c r="CC3454" t="s">
        <v>118</v>
      </c>
      <c r="CD3454">
        <v>2091</v>
      </c>
      <c r="CE3454" t="s">
        <v>116</v>
      </c>
      <c r="CF3454" s="3">
        <v>45806</v>
      </c>
      <c r="CI3454">
        <v>1</v>
      </c>
      <c r="CJ3454">
        <v>1</v>
      </c>
      <c r="CK3454">
        <v>22</v>
      </c>
      <c r="CL3454" t="s">
        <v>89</v>
      </c>
    </row>
    <row r="3455" spans="1:90" x14ac:dyDescent="0.3">
      <c r="A3455" t="s">
        <v>72</v>
      </c>
      <c r="B3455" t="s">
        <v>73</v>
      </c>
      <c r="C3455" t="s">
        <v>74</v>
      </c>
      <c r="E3455" t="str">
        <f>"080065590324"</f>
        <v>080065590324</v>
      </c>
      <c r="F3455" s="3">
        <v>45804</v>
      </c>
      <c r="G3455">
        <v>202602</v>
      </c>
      <c r="H3455" t="s">
        <v>75</v>
      </c>
      <c r="I3455" t="s">
        <v>76</v>
      </c>
      <c r="J3455" t="s">
        <v>77</v>
      </c>
      <c r="K3455" t="s">
        <v>78</v>
      </c>
      <c r="L3455" t="s">
        <v>1737</v>
      </c>
      <c r="M3455" t="s">
        <v>1738</v>
      </c>
      <c r="N3455" t="s">
        <v>261</v>
      </c>
      <c r="O3455" t="s">
        <v>82</v>
      </c>
      <c r="P3455" t="str">
        <f>"4170040808                    "</f>
        <v xml:space="preserve">4170040808                    </v>
      </c>
      <c r="Q3455">
        <v>0</v>
      </c>
      <c r="R3455">
        <v>0</v>
      </c>
      <c r="S3455">
        <v>0</v>
      </c>
      <c r="T3455">
        <v>0</v>
      </c>
      <c r="U3455">
        <v>0</v>
      </c>
      <c r="V3455">
        <v>0</v>
      </c>
      <c r="W3455">
        <v>0</v>
      </c>
      <c r="X3455">
        <v>0</v>
      </c>
      <c r="Y3455">
        <v>0</v>
      </c>
      <c r="Z3455">
        <v>0</v>
      </c>
      <c r="AA3455">
        <v>0</v>
      </c>
      <c r="AB3455">
        <v>0</v>
      </c>
      <c r="AC3455">
        <v>0</v>
      </c>
      <c r="AD3455">
        <v>0</v>
      </c>
      <c r="AE3455">
        <v>0</v>
      </c>
      <c r="AF3455">
        <v>0</v>
      </c>
      <c r="AG3455">
        <v>0</v>
      </c>
      <c r="AH3455">
        <v>0</v>
      </c>
      <c r="AI3455">
        <v>0</v>
      </c>
      <c r="AJ3455">
        <v>0</v>
      </c>
      <c r="AK3455">
        <v>0</v>
      </c>
      <c r="AL3455">
        <v>0</v>
      </c>
      <c r="AM3455">
        <v>0</v>
      </c>
      <c r="AN3455">
        <v>0</v>
      </c>
      <c r="AO3455">
        <v>0</v>
      </c>
      <c r="AP3455">
        <v>0</v>
      </c>
      <c r="AQ3455">
        <v>41.43</v>
      </c>
      <c r="AR3455">
        <v>0</v>
      </c>
      <c r="AS3455">
        <v>0</v>
      </c>
      <c r="AT3455">
        <v>0</v>
      </c>
      <c r="AU3455">
        <v>0</v>
      </c>
      <c r="AV3455">
        <v>0</v>
      </c>
      <c r="AW3455">
        <v>0</v>
      </c>
      <c r="AX3455">
        <v>0</v>
      </c>
      <c r="AY3455">
        <v>0</v>
      </c>
      <c r="AZ3455">
        <v>0</v>
      </c>
      <c r="BA3455">
        <v>0</v>
      </c>
      <c r="BB3455">
        <v>0</v>
      </c>
      <c r="BC3455">
        <v>0</v>
      </c>
      <c r="BD3455">
        <v>0</v>
      </c>
      <c r="BE3455">
        <v>0</v>
      </c>
      <c r="BF3455">
        <v>0</v>
      </c>
      <c r="BG3455">
        <v>0</v>
      </c>
      <c r="BH3455">
        <v>1</v>
      </c>
      <c r="BI3455">
        <v>1</v>
      </c>
      <c r="BJ3455">
        <v>0.2</v>
      </c>
      <c r="BK3455">
        <v>1</v>
      </c>
      <c r="BL3455">
        <v>135.59</v>
      </c>
      <c r="BM3455">
        <v>20.34</v>
      </c>
      <c r="BN3455">
        <v>155.93</v>
      </c>
      <c r="BO3455">
        <v>155.93</v>
      </c>
      <c r="BQ3455" t="s">
        <v>262</v>
      </c>
      <c r="BR3455" t="s">
        <v>84</v>
      </c>
      <c r="BS3455" s="3">
        <v>45805</v>
      </c>
      <c r="BT3455" s="4">
        <v>0.64861111111111114</v>
      </c>
      <c r="BU3455" t="s">
        <v>2532</v>
      </c>
      <c r="BV3455" t="s">
        <v>86</v>
      </c>
      <c r="BY3455">
        <v>1200</v>
      </c>
      <c r="CA3455" t="s">
        <v>1740</v>
      </c>
      <c r="CC3455" t="s">
        <v>1738</v>
      </c>
      <c r="CD3455">
        <v>9880</v>
      </c>
      <c r="CE3455" t="s">
        <v>88</v>
      </c>
      <c r="CF3455" s="3">
        <v>45806</v>
      </c>
      <c r="CI3455">
        <v>1</v>
      </c>
      <c r="CJ3455">
        <v>1</v>
      </c>
      <c r="CK3455">
        <v>23</v>
      </c>
      <c r="CL3455" t="s">
        <v>89</v>
      </c>
    </row>
    <row r="3456" spans="1:90" x14ac:dyDescent="0.3">
      <c r="A3456" t="s">
        <v>72</v>
      </c>
      <c r="B3456" t="s">
        <v>73</v>
      </c>
      <c r="C3456" t="s">
        <v>74</v>
      </c>
      <c r="E3456" t="str">
        <f>"080065590346"</f>
        <v>080065590346</v>
      </c>
      <c r="F3456" s="3">
        <v>45804</v>
      </c>
      <c r="G3456">
        <v>202602</v>
      </c>
      <c r="H3456" t="s">
        <v>75</v>
      </c>
      <c r="I3456" t="s">
        <v>76</v>
      </c>
      <c r="J3456" t="s">
        <v>77</v>
      </c>
      <c r="K3456" t="s">
        <v>78</v>
      </c>
      <c r="L3456" t="s">
        <v>123</v>
      </c>
      <c r="M3456" t="s">
        <v>123</v>
      </c>
      <c r="N3456" t="s">
        <v>317</v>
      </c>
      <c r="O3456" t="s">
        <v>82</v>
      </c>
      <c r="P3456" t="str">
        <f>"4170040753                    "</f>
        <v xml:space="preserve">4170040753                    </v>
      </c>
      <c r="Q3456">
        <v>0</v>
      </c>
      <c r="R3456">
        <v>0</v>
      </c>
      <c r="S3456">
        <v>0</v>
      </c>
      <c r="T3456">
        <v>0</v>
      </c>
      <c r="U3456">
        <v>0</v>
      </c>
      <c r="V3456">
        <v>0</v>
      </c>
      <c r="W3456">
        <v>0</v>
      </c>
      <c r="X3456">
        <v>0</v>
      </c>
      <c r="Y3456">
        <v>0</v>
      </c>
      <c r="Z3456">
        <v>0</v>
      </c>
      <c r="AA3456">
        <v>0</v>
      </c>
      <c r="AB3456">
        <v>0</v>
      </c>
      <c r="AC3456">
        <v>0</v>
      </c>
      <c r="AD3456">
        <v>0</v>
      </c>
      <c r="AE3456">
        <v>0</v>
      </c>
      <c r="AF3456">
        <v>0</v>
      </c>
      <c r="AG3456">
        <v>0</v>
      </c>
      <c r="AH3456">
        <v>0</v>
      </c>
      <c r="AI3456">
        <v>0</v>
      </c>
      <c r="AJ3456">
        <v>0</v>
      </c>
      <c r="AK3456">
        <v>0</v>
      </c>
      <c r="AL3456">
        <v>0</v>
      </c>
      <c r="AM3456">
        <v>0</v>
      </c>
      <c r="AN3456">
        <v>0</v>
      </c>
      <c r="AO3456">
        <v>0</v>
      </c>
      <c r="AP3456">
        <v>0</v>
      </c>
      <c r="AQ3456">
        <v>41.43</v>
      </c>
      <c r="AR3456">
        <v>0</v>
      </c>
      <c r="AS3456">
        <v>0</v>
      </c>
      <c r="AT3456">
        <v>0</v>
      </c>
      <c r="AU3456">
        <v>0</v>
      </c>
      <c r="AV3456">
        <v>0</v>
      </c>
      <c r="AW3456">
        <v>0</v>
      </c>
      <c r="AX3456">
        <v>0</v>
      </c>
      <c r="AY3456">
        <v>0</v>
      </c>
      <c r="AZ3456">
        <v>0</v>
      </c>
      <c r="BA3456">
        <v>0</v>
      </c>
      <c r="BB3456">
        <v>0</v>
      </c>
      <c r="BC3456">
        <v>0</v>
      </c>
      <c r="BD3456">
        <v>0</v>
      </c>
      <c r="BE3456">
        <v>0</v>
      </c>
      <c r="BF3456">
        <v>0</v>
      </c>
      <c r="BG3456">
        <v>0</v>
      </c>
      <c r="BH3456">
        <v>1</v>
      </c>
      <c r="BI3456">
        <v>1</v>
      </c>
      <c r="BJ3456">
        <v>0.2</v>
      </c>
      <c r="BK3456">
        <v>1</v>
      </c>
      <c r="BL3456">
        <v>135.59</v>
      </c>
      <c r="BM3456">
        <v>20.34</v>
      </c>
      <c r="BN3456">
        <v>155.93</v>
      </c>
      <c r="BO3456">
        <v>155.93</v>
      </c>
      <c r="BQ3456" t="s">
        <v>318</v>
      </c>
      <c r="BR3456" t="s">
        <v>84</v>
      </c>
      <c r="BS3456" s="3">
        <v>45805</v>
      </c>
      <c r="BT3456" s="4">
        <v>0.52083333333333337</v>
      </c>
      <c r="BU3456" t="s">
        <v>319</v>
      </c>
      <c r="BV3456" t="s">
        <v>86</v>
      </c>
      <c r="BY3456">
        <v>1200</v>
      </c>
      <c r="BZ3456" t="s">
        <v>127</v>
      </c>
      <c r="CA3456" t="s">
        <v>128</v>
      </c>
      <c r="CC3456" t="s">
        <v>123</v>
      </c>
      <c r="CD3456">
        <v>7646</v>
      </c>
      <c r="CE3456" t="s">
        <v>129</v>
      </c>
      <c r="CF3456" s="3">
        <v>45806</v>
      </c>
      <c r="CI3456">
        <v>1</v>
      </c>
      <c r="CJ3456">
        <v>1</v>
      </c>
      <c r="CK3456">
        <v>23</v>
      </c>
      <c r="CL3456" t="s">
        <v>89</v>
      </c>
    </row>
    <row r="3457" spans="1:90" x14ac:dyDescent="0.3">
      <c r="A3457" t="s">
        <v>72</v>
      </c>
      <c r="B3457" t="s">
        <v>73</v>
      </c>
      <c r="C3457" t="s">
        <v>74</v>
      </c>
      <c r="E3457" t="str">
        <f>"080065591378"</f>
        <v>080065591378</v>
      </c>
      <c r="F3457" s="3">
        <v>45804</v>
      </c>
      <c r="G3457">
        <v>202602</v>
      </c>
      <c r="H3457" t="s">
        <v>75</v>
      </c>
      <c r="I3457" t="s">
        <v>76</v>
      </c>
      <c r="J3457" t="s">
        <v>77</v>
      </c>
      <c r="K3457" t="s">
        <v>78</v>
      </c>
      <c r="L3457" t="s">
        <v>79</v>
      </c>
      <c r="M3457" t="s">
        <v>80</v>
      </c>
      <c r="N3457" t="s">
        <v>3252</v>
      </c>
      <c r="O3457" t="s">
        <v>82</v>
      </c>
      <c r="P3457" t="str">
        <f>"4170040832                    "</f>
        <v xml:space="preserve">4170040832                    </v>
      </c>
      <c r="Q3457">
        <v>0</v>
      </c>
      <c r="R3457">
        <v>0</v>
      </c>
      <c r="S3457">
        <v>0</v>
      </c>
      <c r="T3457">
        <v>0</v>
      </c>
      <c r="U3457">
        <v>0</v>
      </c>
      <c r="V3457">
        <v>0</v>
      </c>
      <c r="W3457">
        <v>0</v>
      </c>
      <c r="X3457">
        <v>0</v>
      </c>
      <c r="Y3457">
        <v>0</v>
      </c>
      <c r="Z3457">
        <v>0</v>
      </c>
      <c r="AA3457">
        <v>0</v>
      </c>
      <c r="AB3457">
        <v>0</v>
      </c>
      <c r="AC3457">
        <v>0</v>
      </c>
      <c r="AD3457">
        <v>0</v>
      </c>
      <c r="AE3457">
        <v>0</v>
      </c>
      <c r="AF3457">
        <v>0</v>
      </c>
      <c r="AG3457">
        <v>0</v>
      </c>
      <c r="AH3457">
        <v>0</v>
      </c>
      <c r="AI3457">
        <v>0</v>
      </c>
      <c r="AJ3457">
        <v>0</v>
      </c>
      <c r="AK3457">
        <v>0</v>
      </c>
      <c r="AL3457">
        <v>0</v>
      </c>
      <c r="AM3457">
        <v>0</v>
      </c>
      <c r="AN3457">
        <v>0</v>
      </c>
      <c r="AO3457">
        <v>0</v>
      </c>
      <c r="AP3457">
        <v>0</v>
      </c>
      <c r="AQ3457">
        <v>21.38</v>
      </c>
      <c r="AR3457">
        <v>0</v>
      </c>
      <c r="AS3457">
        <v>0</v>
      </c>
      <c r="AT3457">
        <v>0</v>
      </c>
      <c r="AU3457">
        <v>0</v>
      </c>
      <c r="AV3457">
        <v>0</v>
      </c>
      <c r="AW3457">
        <v>0</v>
      </c>
      <c r="AX3457">
        <v>0</v>
      </c>
      <c r="AY3457">
        <v>0</v>
      </c>
      <c r="AZ3457">
        <v>0</v>
      </c>
      <c r="BA3457">
        <v>0</v>
      </c>
      <c r="BB3457">
        <v>0</v>
      </c>
      <c r="BC3457">
        <v>0</v>
      </c>
      <c r="BD3457">
        <v>0</v>
      </c>
      <c r="BE3457">
        <v>0</v>
      </c>
      <c r="BF3457">
        <v>0</v>
      </c>
      <c r="BG3457">
        <v>0</v>
      </c>
      <c r="BH3457">
        <v>1</v>
      </c>
      <c r="BI3457">
        <v>1</v>
      </c>
      <c r="BJ3457">
        <v>0.2</v>
      </c>
      <c r="BK3457">
        <v>1</v>
      </c>
      <c r="BL3457">
        <v>69.98</v>
      </c>
      <c r="BM3457">
        <v>10.5</v>
      </c>
      <c r="BN3457">
        <v>80.48</v>
      </c>
      <c r="BO3457">
        <v>80.48</v>
      </c>
      <c r="BQ3457" t="s">
        <v>1025</v>
      </c>
      <c r="BR3457" t="s">
        <v>84</v>
      </c>
      <c r="BS3457" s="3">
        <v>45805</v>
      </c>
      <c r="BT3457" s="4">
        <v>0.43958333333333333</v>
      </c>
      <c r="BU3457" t="s">
        <v>864</v>
      </c>
      <c r="BV3457" t="s">
        <v>86</v>
      </c>
      <c r="BY3457">
        <v>1200</v>
      </c>
      <c r="CA3457" t="s">
        <v>160</v>
      </c>
      <c r="CC3457" t="s">
        <v>80</v>
      </c>
      <c r="CD3457">
        <v>3610</v>
      </c>
      <c r="CE3457" t="s">
        <v>88</v>
      </c>
      <c r="CF3457" s="3">
        <v>45806</v>
      </c>
      <c r="CI3457">
        <v>1</v>
      </c>
      <c r="CJ3457">
        <v>1</v>
      </c>
      <c r="CK3457">
        <v>21</v>
      </c>
      <c r="CL3457" t="s">
        <v>89</v>
      </c>
    </row>
    <row r="3458" spans="1:90" x14ac:dyDescent="0.3">
      <c r="A3458" t="s">
        <v>72</v>
      </c>
      <c r="B3458" t="s">
        <v>73</v>
      </c>
      <c r="C3458" t="s">
        <v>74</v>
      </c>
      <c r="E3458" t="str">
        <f>"080065591417"</f>
        <v>080065591417</v>
      </c>
      <c r="F3458" s="3">
        <v>45804</v>
      </c>
      <c r="G3458">
        <v>202602</v>
      </c>
      <c r="H3458" t="s">
        <v>75</v>
      </c>
      <c r="I3458" t="s">
        <v>76</v>
      </c>
      <c r="J3458" t="s">
        <v>77</v>
      </c>
      <c r="K3458" t="s">
        <v>78</v>
      </c>
      <c r="L3458" t="s">
        <v>136</v>
      </c>
      <c r="M3458" t="s">
        <v>137</v>
      </c>
      <c r="N3458" t="s">
        <v>3211</v>
      </c>
      <c r="O3458" t="s">
        <v>82</v>
      </c>
      <c r="P3458" t="str">
        <f>"4170040934                    "</f>
        <v xml:space="preserve">4170040934                    </v>
      </c>
      <c r="Q3458">
        <v>0</v>
      </c>
      <c r="R3458">
        <v>0</v>
      </c>
      <c r="S3458">
        <v>0</v>
      </c>
      <c r="T3458">
        <v>0</v>
      </c>
      <c r="U3458">
        <v>0</v>
      </c>
      <c r="V3458">
        <v>0</v>
      </c>
      <c r="W3458">
        <v>0</v>
      </c>
      <c r="X3458">
        <v>0</v>
      </c>
      <c r="Y3458">
        <v>0</v>
      </c>
      <c r="Z3458">
        <v>0</v>
      </c>
      <c r="AA3458">
        <v>0</v>
      </c>
      <c r="AB3458">
        <v>0</v>
      </c>
      <c r="AC3458">
        <v>0</v>
      </c>
      <c r="AD3458">
        <v>0</v>
      </c>
      <c r="AE3458">
        <v>0</v>
      </c>
      <c r="AF3458">
        <v>0</v>
      </c>
      <c r="AG3458">
        <v>0</v>
      </c>
      <c r="AH3458">
        <v>0</v>
      </c>
      <c r="AI3458">
        <v>0</v>
      </c>
      <c r="AJ3458">
        <v>0</v>
      </c>
      <c r="AK3458">
        <v>0</v>
      </c>
      <c r="AL3458">
        <v>0</v>
      </c>
      <c r="AM3458">
        <v>0</v>
      </c>
      <c r="AN3458">
        <v>0</v>
      </c>
      <c r="AO3458">
        <v>0</v>
      </c>
      <c r="AP3458">
        <v>0</v>
      </c>
      <c r="AQ3458">
        <v>21.38</v>
      </c>
      <c r="AR3458">
        <v>0</v>
      </c>
      <c r="AS3458">
        <v>0</v>
      </c>
      <c r="AT3458">
        <v>0</v>
      </c>
      <c r="AU3458">
        <v>0</v>
      </c>
      <c r="AV3458">
        <v>0</v>
      </c>
      <c r="AW3458">
        <v>0</v>
      </c>
      <c r="AX3458">
        <v>0</v>
      </c>
      <c r="AY3458">
        <v>0</v>
      </c>
      <c r="AZ3458">
        <v>0</v>
      </c>
      <c r="BA3458">
        <v>0</v>
      </c>
      <c r="BB3458">
        <v>0</v>
      </c>
      <c r="BC3458">
        <v>0</v>
      </c>
      <c r="BD3458">
        <v>0</v>
      </c>
      <c r="BE3458">
        <v>0</v>
      </c>
      <c r="BF3458">
        <v>0</v>
      </c>
      <c r="BG3458">
        <v>0</v>
      </c>
      <c r="BH3458">
        <v>1</v>
      </c>
      <c r="BI3458">
        <v>1</v>
      </c>
      <c r="BJ3458">
        <v>0.2</v>
      </c>
      <c r="BK3458">
        <v>1</v>
      </c>
      <c r="BL3458">
        <v>69.98</v>
      </c>
      <c r="BM3458">
        <v>10.5</v>
      </c>
      <c r="BN3458">
        <v>80.48</v>
      </c>
      <c r="BO3458">
        <v>80.48</v>
      </c>
      <c r="BQ3458" t="s">
        <v>3212</v>
      </c>
      <c r="BR3458" t="s">
        <v>84</v>
      </c>
      <c r="BS3458" s="3">
        <v>45805</v>
      </c>
      <c r="BT3458" s="4">
        <v>0.37638888888888888</v>
      </c>
      <c r="BU3458" t="s">
        <v>3213</v>
      </c>
      <c r="BV3458" t="s">
        <v>86</v>
      </c>
      <c r="BY3458">
        <v>1200</v>
      </c>
      <c r="CA3458" t="s">
        <v>141</v>
      </c>
      <c r="CC3458" t="s">
        <v>137</v>
      </c>
      <c r="CD3458" s="5" t="s">
        <v>142</v>
      </c>
      <c r="CE3458" t="s">
        <v>88</v>
      </c>
      <c r="CF3458" s="3">
        <v>45805</v>
      </c>
      <c r="CI3458">
        <v>1</v>
      </c>
      <c r="CJ3458">
        <v>1</v>
      </c>
      <c r="CK3458">
        <v>21</v>
      </c>
      <c r="CL3458" t="s">
        <v>89</v>
      </c>
    </row>
    <row r="3459" spans="1:90" x14ac:dyDescent="0.3">
      <c r="A3459" t="s">
        <v>72</v>
      </c>
      <c r="B3459" t="s">
        <v>73</v>
      </c>
      <c r="C3459" t="s">
        <v>74</v>
      </c>
      <c r="E3459" t="str">
        <f>"080065591467"</f>
        <v>080065591467</v>
      </c>
      <c r="F3459" s="3">
        <v>45804</v>
      </c>
      <c r="G3459">
        <v>202602</v>
      </c>
      <c r="H3459" t="s">
        <v>75</v>
      </c>
      <c r="I3459" t="s">
        <v>76</v>
      </c>
      <c r="J3459" t="s">
        <v>77</v>
      </c>
      <c r="K3459" t="s">
        <v>78</v>
      </c>
      <c r="L3459" t="s">
        <v>232</v>
      </c>
      <c r="M3459" t="s">
        <v>233</v>
      </c>
      <c r="N3459" t="s">
        <v>1108</v>
      </c>
      <c r="O3459" t="s">
        <v>82</v>
      </c>
      <c r="P3459" t="str">
        <f>"4170040801                    "</f>
        <v xml:space="preserve">4170040801                    </v>
      </c>
      <c r="Q3459">
        <v>0</v>
      </c>
      <c r="R3459">
        <v>0</v>
      </c>
      <c r="S3459">
        <v>0</v>
      </c>
      <c r="T3459">
        <v>0</v>
      </c>
      <c r="U3459">
        <v>0</v>
      </c>
      <c r="V3459">
        <v>0</v>
      </c>
      <c r="W3459">
        <v>0</v>
      </c>
      <c r="X3459">
        <v>0</v>
      </c>
      <c r="Y3459">
        <v>0</v>
      </c>
      <c r="Z3459">
        <v>0</v>
      </c>
      <c r="AA3459">
        <v>0</v>
      </c>
      <c r="AB3459">
        <v>0</v>
      </c>
      <c r="AC3459">
        <v>0</v>
      </c>
      <c r="AD3459">
        <v>0</v>
      </c>
      <c r="AE3459">
        <v>0</v>
      </c>
      <c r="AF3459">
        <v>0</v>
      </c>
      <c r="AG3459">
        <v>0</v>
      </c>
      <c r="AH3459">
        <v>0</v>
      </c>
      <c r="AI3459">
        <v>0</v>
      </c>
      <c r="AJ3459">
        <v>0</v>
      </c>
      <c r="AK3459">
        <v>0</v>
      </c>
      <c r="AL3459">
        <v>0</v>
      </c>
      <c r="AM3459">
        <v>0</v>
      </c>
      <c r="AN3459">
        <v>0</v>
      </c>
      <c r="AO3459">
        <v>0</v>
      </c>
      <c r="AP3459">
        <v>0</v>
      </c>
      <c r="AQ3459">
        <v>21.38</v>
      </c>
      <c r="AR3459">
        <v>0</v>
      </c>
      <c r="AS3459">
        <v>0</v>
      </c>
      <c r="AT3459">
        <v>0</v>
      </c>
      <c r="AU3459">
        <v>0</v>
      </c>
      <c r="AV3459">
        <v>0</v>
      </c>
      <c r="AW3459">
        <v>0</v>
      </c>
      <c r="AX3459">
        <v>0</v>
      </c>
      <c r="AY3459">
        <v>0</v>
      </c>
      <c r="AZ3459">
        <v>0</v>
      </c>
      <c r="BA3459">
        <v>0</v>
      </c>
      <c r="BB3459">
        <v>0</v>
      </c>
      <c r="BC3459">
        <v>0</v>
      </c>
      <c r="BD3459">
        <v>0</v>
      </c>
      <c r="BE3459">
        <v>0</v>
      </c>
      <c r="BF3459">
        <v>0</v>
      </c>
      <c r="BG3459">
        <v>0</v>
      </c>
      <c r="BH3459">
        <v>1</v>
      </c>
      <c r="BI3459">
        <v>1</v>
      </c>
      <c r="BJ3459">
        <v>0.2</v>
      </c>
      <c r="BK3459">
        <v>1</v>
      </c>
      <c r="BL3459">
        <v>69.98</v>
      </c>
      <c r="BM3459">
        <v>10.5</v>
      </c>
      <c r="BN3459">
        <v>80.48</v>
      </c>
      <c r="BO3459">
        <v>80.48</v>
      </c>
      <c r="BQ3459" t="s">
        <v>1109</v>
      </c>
      <c r="BR3459" t="s">
        <v>84</v>
      </c>
      <c r="BS3459" s="3">
        <v>45805</v>
      </c>
      <c r="BT3459" s="4">
        <v>0.38680555555555557</v>
      </c>
      <c r="BU3459" t="s">
        <v>2601</v>
      </c>
      <c r="BV3459" t="s">
        <v>86</v>
      </c>
      <c r="BY3459">
        <v>1200</v>
      </c>
      <c r="CA3459" t="s">
        <v>237</v>
      </c>
      <c r="CC3459" t="s">
        <v>233</v>
      </c>
      <c r="CD3459" s="5" t="s">
        <v>238</v>
      </c>
      <c r="CE3459" t="s">
        <v>88</v>
      </c>
      <c r="CF3459" s="3">
        <v>45805</v>
      </c>
      <c r="CI3459">
        <v>1</v>
      </c>
      <c r="CJ3459">
        <v>1</v>
      </c>
      <c r="CK3459">
        <v>21</v>
      </c>
      <c r="CL3459" t="s">
        <v>89</v>
      </c>
    </row>
    <row r="3460" spans="1:90" x14ac:dyDescent="0.3">
      <c r="A3460" t="s">
        <v>72</v>
      </c>
      <c r="B3460" t="s">
        <v>73</v>
      </c>
      <c r="C3460" t="s">
        <v>74</v>
      </c>
      <c r="E3460" t="str">
        <f>"080065591484"</f>
        <v>080065591484</v>
      </c>
      <c r="F3460" s="3">
        <v>45804</v>
      </c>
      <c r="G3460">
        <v>202602</v>
      </c>
      <c r="H3460" t="s">
        <v>75</v>
      </c>
      <c r="I3460" t="s">
        <v>76</v>
      </c>
      <c r="J3460" t="s">
        <v>77</v>
      </c>
      <c r="K3460" t="s">
        <v>78</v>
      </c>
      <c r="L3460" t="s">
        <v>350</v>
      </c>
      <c r="M3460" t="s">
        <v>351</v>
      </c>
      <c r="N3460" t="s">
        <v>352</v>
      </c>
      <c r="O3460" t="s">
        <v>300</v>
      </c>
      <c r="P3460" t="str">
        <f>"4170040750                    "</f>
        <v xml:space="preserve">4170040750                    </v>
      </c>
      <c r="Q3460">
        <v>0</v>
      </c>
      <c r="R3460">
        <v>0</v>
      </c>
      <c r="S3460">
        <v>0</v>
      </c>
      <c r="T3460">
        <v>0</v>
      </c>
      <c r="U3460">
        <v>0</v>
      </c>
      <c r="V3460">
        <v>0</v>
      </c>
      <c r="W3460">
        <v>0</v>
      </c>
      <c r="X3460">
        <v>0</v>
      </c>
      <c r="Y3460">
        <v>0</v>
      </c>
      <c r="Z3460">
        <v>0</v>
      </c>
      <c r="AA3460">
        <v>0</v>
      </c>
      <c r="AB3460">
        <v>0</v>
      </c>
      <c r="AC3460">
        <v>0</v>
      </c>
      <c r="AD3460">
        <v>0</v>
      </c>
      <c r="AE3460">
        <v>0</v>
      </c>
      <c r="AF3460">
        <v>0</v>
      </c>
      <c r="AG3460">
        <v>0</v>
      </c>
      <c r="AH3460">
        <v>0</v>
      </c>
      <c r="AI3460">
        <v>0</v>
      </c>
      <c r="AJ3460">
        <v>0</v>
      </c>
      <c r="AK3460">
        <v>0</v>
      </c>
      <c r="AL3460">
        <v>0</v>
      </c>
      <c r="AM3460">
        <v>0</v>
      </c>
      <c r="AN3460">
        <v>0</v>
      </c>
      <c r="AO3460">
        <v>0</v>
      </c>
      <c r="AP3460">
        <v>0</v>
      </c>
      <c r="AQ3460">
        <v>46.47</v>
      </c>
      <c r="AR3460">
        <v>0</v>
      </c>
      <c r="AS3460">
        <v>0</v>
      </c>
      <c r="AT3460">
        <v>0</v>
      </c>
      <c r="AU3460">
        <v>0</v>
      </c>
      <c r="AV3460">
        <v>0</v>
      </c>
      <c r="AW3460">
        <v>0</v>
      </c>
      <c r="AX3460">
        <v>0</v>
      </c>
      <c r="AY3460">
        <v>0</v>
      </c>
      <c r="AZ3460">
        <v>0</v>
      </c>
      <c r="BA3460">
        <v>0</v>
      </c>
      <c r="BB3460">
        <v>0</v>
      </c>
      <c r="BC3460">
        <v>0</v>
      </c>
      <c r="BD3460">
        <v>0</v>
      </c>
      <c r="BE3460">
        <v>0</v>
      </c>
      <c r="BF3460">
        <v>0</v>
      </c>
      <c r="BG3460">
        <v>0</v>
      </c>
      <c r="BH3460">
        <v>1</v>
      </c>
      <c r="BI3460">
        <v>9</v>
      </c>
      <c r="BJ3460">
        <v>17.7</v>
      </c>
      <c r="BK3460">
        <v>18</v>
      </c>
      <c r="BL3460">
        <v>157.66</v>
      </c>
      <c r="BM3460">
        <v>23.65</v>
      </c>
      <c r="BN3460">
        <v>181.31</v>
      </c>
      <c r="BO3460">
        <v>181.31</v>
      </c>
      <c r="BQ3460" t="s">
        <v>353</v>
      </c>
      <c r="BR3460" t="s">
        <v>84</v>
      </c>
      <c r="BS3460" s="3">
        <v>45805</v>
      </c>
      <c r="BT3460" s="4">
        <v>0.54513888888888884</v>
      </c>
      <c r="BU3460" t="s">
        <v>3253</v>
      </c>
      <c r="BV3460" t="s">
        <v>86</v>
      </c>
      <c r="BY3460">
        <v>88320</v>
      </c>
      <c r="CA3460" t="s">
        <v>3254</v>
      </c>
      <c r="CC3460" t="s">
        <v>351</v>
      </c>
      <c r="CD3460">
        <v>4000</v>
      </c>
      <c r="CE3460" t="s">
        <v>96</v>
      </c>
      <c r="CF3460" s="3">
        <v>45806</v>
      </c>
      <c r="CI3460">
        <v>1</v>
      </c>
      <c r="CJ3460">
        <v>1</v>
      </c>
      <c r="CK3460">
        <v>41</v>
      </c>
      <c r="CL3460" t="s">
        <v>89</v>
      </c>
    </row>
    <row r="3461" spans="1:90" x14ac:dyDescent="0.3">
      <c r="A3461" t="s">
        <v>72</v>
      </c>
      <c r="B3461" t="s">
        <v>73</v>
      </c>
      <c r="C3461" t="s">
        <v>74</v>
      </c>
      <c r="E3461" t="str">
        <f>"080065591499"</f>
        <v>080065591499</v>
      </c>
      <c r="F3461" s="3">
        <v>45804</v>
      </c>
      <c r="G3461">
        <v>202602</v>
      </c>
      <c r="H3461" t="s">
        <v>75</v>
      </c>
      <c r="I3461" t="s">
        <v>76</v>
      </c>
      <c r="J3461" t="s">
        <v>77</v>
      </c>
      <c r="K3461" t="s">
        <v>78</v>
      </c>
      <c r="L3461" t="s">
        <v>350</v>
      </c>
      <c r="M3461" t="s">
        <v>351</v>
      </c>
      <c r="N3461" t="s">
        <v>876</v>
      </c>
      <c r="O3461" t="s">
        <v>82</v>
      </c>
      <c r="P3461" t="str">
        <f>"4170040949                    "</f>
        <v xml:space="preserve">4170040949                    </v>
      </c>
      <c r="Q3461">
        <v>0</v>
      </c>
      <c r="R3461">
        <v>0</v>
      </c>
      <c r="S3461">
        <v>0</v>
      </c>
      <c r="T3461">
        <v>0</v>
      </c>
      <c r="U3461">
        <v>0</v>
      </c>
      <c r="V3461">
        <v>0</v>
      </c>
      <c r="W3461">
        <v>0</v>
      </c>
      <c r="X3461">
        <v>0</v>
      </c>
      <c r="Y3461">
        <v>0</v>
      </c>
      <c r="Z3461">
        <v>0</v>
      </c>
      <c r="AA3461">
        <v>0</v>
      </c>
      <c r="AB3461">
        <v>0</v>
      </c>
      <c r="AC3461">
        <v>0</v>
      </c>
      <c r="AD3461">
        <v>0</v>
      </c>
      <c r="AE3461">
        <v>0</v>
      </c>
      <c r="AF3461">
        <v>0</v>
      </c>
      <c r="AG3461">
        <v>0</v>
      </c>
      <c r="AH3461">
        <v>0</v>
      </c>
      <c r="AI3461">
        <v>0</v>
      </c>
      <c r="AJ3461">
        <v>0</v>
      </c>
      <c r="AK3461">
        <v>0</v>
      </c>
      <c r="AL3461">
        <v>0</v>
      </c>
      <c r="AM3461">
        <v>0</v>
      </c>
      <c r="AN3461">
        <v>0</v>
      </c>
      <c r="AO3461">
        <v>0</v>
      </c>
      <c r="AP3461">
        <v>0</v>
      </c>
      <c r="AQ3461">
        <v>37.409999999999997</v>
      </c>
      <c r="AR3461">
        <v>0</v>
      </c>
      <c r="AS3461">
        <v>0</v>
      </c>
      <c r="AT3461">
        <v>0</v>
      </c>
      <c r="AU3461">
        <v>0</v>
      </c>
      <c r="AV3461">
        <v>0</v>
      </c>
      <c r="AW3461">
        <v>0</v>
      </c>
      <c r="AX3461">
        <v>0</v>
      </c>
      <c r="AY3461">
        <v>0</v>
      </c>
      <c r="AZ3461">
        <v>0</v>
      </c>
      <c r="BA3461">
        <v>0</v>
      </c>
      <c r="BB3461">
        <v>0</v>
      </c>
      <c r="BC3461">
        <v>0</v>
      </c>
      <c r="BD3461">
        <v>0</v>
      </c>
      <c r="BE3461">
        <v>0</v>
      </c>
      <c r="BF3461">
        <v>0</v>
      </c>
      <c r="BG3461">
        <v>0</v>
      </c>
      <c r="BH3461">
        <v>1</v>
      </c>
      <c r="BI3461">
        <v>1</v>
      </c>
      <c r="BJ3461">
        <v>3.1</v>
      </c>
      <c r="BK3461">
        <v>3.5</v>
      </c>
      <c r="BL3461">
        <v>122.43</v>
      </c>
      <c r="BM3461">
        <v>18.36</v>
      </c>
      <c r="BN3461">
        <v>140.79</v>
      </c>
      <c r="BO3461">
        <v>140.79</v>
      </c>
      <c r="BQ3461" t="s">
        <v>1409</v>
      </c>
      <c r="BR3461" t="s">
        <v>84</v>
      </c>
      <c r="BS3461" s="3">
        <v>45805</v>
      </c>
      <c r="BT3461" s="4">
        <v>0.38958333333333334</v>
      </c>
      <c r="BU3461" t="s">
        <v>1155</v>
      </c>
      <c r="BV3461" t="s">
        <v>86</v>
      </c>
      <c r="BY3461">
        <v>15360</v>
      </c>
      <c r="CA3461" t="s">
        <v>1410</v>
      </c>
      <c r="CC3461" t="s">
        <v>351</v>
      </c>
      <c r="CD3461">
        <v>4001</v>
      </c>
      <c r="CE3461" t="s">
        <v>116</v>
      </c>
      <c r="CF3461" s="3">
        <v>45805</v>
      </c>
      <c r="CI3461">
        <v>1</v>
      </c>
      <c r="CJ3461">
        <v>1</v>
      </c>
      <c r="CK3461">
        <v>21</v>
      </c>
      <c r="CL3461" t="s">
        <v>89</v>
      </c>
    </row>
    <row r="3462" spans="1:90" x14ac:dyDescent="0.3">
      <c r="A3462" t="s">
        <v>72</v>
      </c>
      <c r="B3462" t="s">
        <v>73</v>
      </c>
      <c r="C3462" t="s">
        <v>74</v>
      </c>
      <c r="E3462" t="str">
        <f>"080065591522"</f>
        <v>080065591522</v>
      </c>
      <c r="F3462" s="3">
        <v>45804</v>
      </c>
      <c r="G3462">
        <v>202602</v>
      </c>
      <c r="H3462" t="s">
        <v>75</v>
      </c>
      <c r="I3462" t="s">
        <v>76</v>
      </c>
      <c r="J3462" t="s">
        <v>77</v>
      </c>
      <c r="K3462" t="s">
        <v>78</v>
      </c>
      <c r="L3462" t="s">
        <v>130</v>
      </c>
      <c r="M3462" t="s">
        <v>131</v>
      </c>
      <c r="N3462" t="s">
        <v>496</v>
      </c>
      <c r="O3462" t="s">
        <v>82</v>
      </c>
      <c r="P3462" t="str">
        <f>"4170040947                    "</f>
        <v xml:space="preserve">4170040947                    </v>
      </c>
      <c r="Q3462">
        <v>0</v>
      </c>
      <c r="R3462">
        <v>0</v>
      </c>
      <c r="S3462">
        <v>0</v>
      </c>
      <c r="T3462">
        <v>0</v>
      </c>
      <c r="U3462">
        <v>0</v>
      </c>
      <c r="V3462">
        <v>0</v>
      </c>
      <c r="W3462">
        <v>0</v>
      </c>
      <c r="X3462">
        <v>0</v>
      </c>
      <c r="Y3462">
        <v>0</v>
      </c>
      <c r="Z3462">
        <v>0</v>
      </c>
      <c r="AA3462">
        <v>0</v>
      </c>
      <c r="AB3462">
        <v>0</v>
      </c>
      <c r="AC3462">
        <v>0</v>
      </c>
      <c r="AD3462">
        <v>0</v>
      </c>
      <c r="AE3462">
        <v>0</v>
      </c>
      <c r="AF3462">
        <v>0</v>
      </c>
      <c r="AG3462">
        <v>0</v>
      </c>
      <c r="AH3462">
        <v>0</v>
      </c>
      <c r="AI3462">
        <v>0</v>
      </c>
      <c r="AJ3462">
        <v>0</v>
      </c>
      <c r="AK3462">
        <v>0</v>
      </c>
      <c r="AL3462">
        <v>0</v>
      </c>
      <c r="AM3462">
        <v>0</v>
      </c>
      <c r="AN3462">
        <v>0</v>
      </c>
      <c r="AO3462">
        <v>0</v>
      </c>
      <c r="AP3462">
        <v>0</v>
      </c>
      <c r="AQ3462">
        <v>37.409999999999997</v>
      </c>
      <c r="AR3462">
        <v>0</v>
      </c>
      <c r="AS3462">
        <v>0</v>
      </c>
      <c r="AT3462">
        <v>0</v>
      </c>
      <c r="AU3462">
        <v>0</v>
      </c>
      <c r="AV3462">
        <v>0</v>
      </c>
      <c r="AW3462">
        <v>0</v>
      </c>
      <c r="AX3462">
        <v>0</v>
      </c>
      <c r="AY3462">
        <v>0</v>
      </c>
      <c r="AZ3462">
        <v>0</v>
      </c>
      <c r="BA3462">
        <v>0</v>
      </c>
      <c r="BB3462">
        <v>0</v>
      </c>
      <c r="BC3462">
        <v>0</v>
      </c>
      <c r="BD3462">
        <v>0</v>
      </c>
      <c r="BE3462">
        <v>0</v>
      </c>
      <c r="BF3462">
        <v>0</v>
      </c>
      <c r="BG3462">
        <v>0</v>
      </c>
      <c r="BH3462">
        <v>1</v>
      </c>
      <c r="BI3462">
        <v>1</v>
      </c>
      <c r="BJ3462">
        <v>3.1</v>
      </c>
      <c r="BK3462">
        <v>3.5</v>
      </c>
      <c r="BL3462">
        <v>122.43</v>
      </c>
      <c r="BM3462">
        <v>18.36</v>
      </c>
      <c r="BN3462">
        <v>140.79</v>
      </c>
      <c r="BO3462">
        <v>140.79</v>
      </c>
      <c r="BQ3462" t="s">
        <v>497</v>
      </c>
      <c r="BR3462" t="s">
        <v>84</v>
      </c>
      <c r="BS3462" s="3">
        <v>45805</v>
      </c>
      <c r="BT3462" s="4">
        <v>0.4375</v>
      </c>
      <c r="BU3462" t="s">
        <v>498</v>
      </c>
      <c r="BV3462" t="s">
        <v>86</v>
      </c>
      <c r="BY3462">
        <v>15360</v>
      </c>
      <c r="CA3462" t="s">
        <v>242</v>
      </c>
      <c r="CC3462" t="s">
        <v>131</v>
      </c>
      <c r="CD3462">
        <v>8001</v>
      </c>
      <c r="CE3462" t="s">
        <v>116</v>
      </c>
      <c r="CF3462" s="3">
        <v>45806</v>
      </c>
      <c r="CI3462">
        <v>1</v>
      </c>
      <c r="CJ3462">
        <v>1</v>
      </c>
      <c r="CK3462">
        <v>21</v>
      </c>
      <c r="CL3462" t="s">
        <v>89</v>
      </c>
    </row>
    <row r="3463" spans="1:90" x14ac:dyDescent="0.3">
      <c r="A3463" t="s">
        <v>72</v>
      </c>
      <c r="B3463" t="s">
        <v>73</v>
      </c>
      <c r="C3463" t="s">
        <v>74</v>
      </c>
      <c r="E3463" t="str">
        <f>"080065591782"</f>
        <v>080065591782</v>
      </c>
      <c r="F3463" s="3">
        <v>45804</v>
      </c>
      <c r="G3463">
        <v>202602</v>
      </c>
      <c r="H3463" t="s">
        <v>75</v>
      </c>
      <c r="I3463" t="s">
        <v>76</v>
      </c>
      <c r="J3463" t="s">
        <v>77</v>
      </c>
      <c r="K3463" t="s">
        <v>78</v>
      </c>
      <c r="L3463" t="s">
        <v>123</v>
      </c>
      <c r="M3463" t="s">
        <v>123</v>
      </c>
      <c r="N3463" t="s">
        <v>124</v>
      </c>
      <c r="O3463" t="s">
        <v>82</v>
      </c>
      <c r="P3463" t="str">
        <f>"4170040787                    "</f>
        <v xml:space="preserve">4170040787                    </v>
      </c>
      <c r="Q3463">
        <v>0</v>
      </c>
      <c r="R3463">
        <v>0</v>
      </c>
      <c r="S3463">
        <v>0</v>
      </c>
      <c r="T3463">
        <v>0</v>
      </c>
      <c r="U3463">
        <v>0</v>
      </c>
      <c r="V3463">
        <v>0</v>
      </c>
      <c r="W3463">
        <v>0</v>
      </c>
      <c r="X3463">
        <v>0</v>
      </c>
      <c r="Y3463">
        <v>0</v>
      </c>
      <c r="Z3463">
        <v>0</v>
      </c>
      <c r="AA3463">
        <v>0</v>
      </c>
      <c r="AB3463">
        <v>0</v>
      </c>
      <c r="AC3463">
        <v>0</v>
      </c>
      <c r="AD3463">
        <v>0</v>
      </c>
      <c r="AE3463">
        <v>0</v>
      </c>
      <c r="AF3463">
        <v>0</v>
      </c>
      <c r="AG3463">
        <v>0</v>
      </c>
      <c r="AH3463">
        <v>0</v>
      </c>
      <c r="AI3463">
        <v>0</v>
      </c>
      <c r="AJ3463">
        <v>0</v>
      </c>
      <c r="AK3463">
        <v>0</v>
      </c>
      <c r="AL3463">
        <v>0</v>
      </c>
      <c r="AM3463">
        <v>0</v>
      </c>
      <c r="AN3463">
        <v>0</v>
      </c>
      <c r="AO3463">
        <v>0</v>
      </c>
      <c r="AP3463">
        <v>0</v>
      </c>
      <c r="AQ3463">
        <v>69.489999999999995</v>
      </c>
      <c r="AR3463">
        <v>0</v>
      </c>
      <c r="AS3463">
        <v>0</v>
      </c>
      <c r="AT3463">
        <v>0</v>
      </c>
      <c r="AU3463">
        <v>0</v>
      </c>
      <c r="AV3463">
        <v>0</v>
      </c>
      <c r="AW3463">
        <v>0</v>
      </c>
      <c r="AX3463">
        <v>0</v>
      </c>
      <c r="AY3463">
        <v>0</v>
      </c>
      <c r="AZ3463">
        <v>0</v>
      </c>
      <c r="BA3463">
        <v>0</v>
      </c>
      <c r="BB3463">
        <v>0</v>
      </c>
      <c r="BC3463">
        <v>0</v>
      </c>
      <c r="BD3463">
        <v>0</v>
      </c>
      <c r="BE3463">
        <v>0</v>
      </c>
      <c r="BF3463">
        <v>0</v>
      </c>
      <c r="BG3463">
        <v>0</v>
      </c>
      <c r="BH3463">
        <v>1</v>
      </c>
      <c r="BI3463">
        <v>3</v>
      </c>
      <c r="BJ3463">
        <v>3.4</v>
      </c>
      <c r="BK3463">
        <v>3.5</v>
      </c>
      <c r="BL3463">
        <v>227.43</v>
      </c>
      <c r="BM3463">
        <v>34.11</v>
      </c>
      <c r="BN3463">
        <v>261.54000000000002</v>
      </c>
      <c r="BO3463">
        <v>261.54000000000002</v>
      </c>
      <c r="BQ3463" t="s">
        <v>125</v>
      </c>
      <c r="BR3463" t="s">
        <v>84</v>
      </c>
      <c r="BS3463" s="3">
        <v>45805</v>
      </c>
      <c r="BT3463" s="4">
        <v>0.50972222222222219</v>
      </c>
      <c r="BU3463" t="s">
        <v>126</v>
      </c>
      <c r="BV3463" t="s">
        <v>86</v>
      </c>
      <c r="BY3463">
        <v>16965</v>
      </c>
      <c r="CA3463" t="s">
        <v>128</v>
      </c>
      <c r="CC3463" t="s">
        <v>123</v>
      </c>
      <c r="CD3463">
        <v>7646</v>
      </c>
      <c r="CE3463" t="s">
        <v>96</v>
      </c>
      <c r="CF3463" s="3">
        <v>45806</v>
      </c>
      <c r="CI3463">
        <v>1</v>
      </c>
      <c r="CJ3463">
        <v>1</v>
      </c>
      <c r="CK3463">
        <v>23</v>
      </c>
      <c r="CL3463" t="s">
        <v>89</v>
      </c>
    </row>
    <row r="3464" spans="1:90" x14ac:dyDescent="0.3">
      <c r="A3464" t="s">
        <v>72</v>
      </c>
      <c r="B3464" t="s">
        <v>73</v>
      </c>
      <c r="C3464" t="s">
        <v>74</v>
      </c>
      <c r="E3464" t="str">
        <f>"080065591819"</f>
        <v>080065591819</v>
      </c>
      <c r="F3464" s="3">
        <v>45804</v>
      </c>
      <c r="G3464">
        <v>202602</v>
      </c>
      <c r="H3464" t="s">
        <v>75</v>
      </c>
      <c r="I3464" t="s">
        <v>76</v>
      </c>
      <c r="J3464" t="s">
        <v>77</v>
      </c>
      <c r="K3464" t="s">
        <v>78</v>
      </c>
      <c r="L3464" t="s">
        <v>103</v>
      </c>
      <c r="M3464" t="s">
        <v>104</v>
      </c>
      <c r="N3464" t="s">
        <v>105</v>
      </c>
      <c r="O3464" t="s">
        <v>82</v>
      </c>
      <c r="P3464" t="str">
        <f>"4170040762                    "</f>
        <v xml:space="preserve">4170040762                    </v>
      </c>
      <c r="Q3464">
        <v>0</v>
      </c>
      <c r="R3464">
        <v>0</v>
      </c>
      <c r="S3464">
        <v>0</v>
      </c>
      <c r="T3464">
        <v>0</v>
      </c>
      <c r="U3464">
        <v>0</v>
      </c>
      <c r="V3464">
        <v>0</v>
      </c>
      <c r="W3464">
        <v>0</v>
      </c>
      <c r="X3464">
        <v>0</v>
      </c>
      <c r="Y3464">
        <v>0</v>
      </c>
      <c r="Z3464">
        <v>0</v>
      </c>
      <c r="AA3464">
        <v>0</v>
      </c>
      <c r="AB3464">
        <v>0</v>
      </c>
      <c r="AC3464">
        <v>0</v>
      </c>
      <c r="AD3464">
        <v>0</v>
      </c>
      <c r="AE3464">
        <v>0</v>
      </c>
      <c r="AF3464">
        <v>0</v>
      </c>
      <c r="AG3464">
        <v>0</v>
      </c>
      <c r="AH3464">
        <v>0</v>
      </c>
      <c r="AI3464">
        <v>0</v>
      </c>
      <c r="AJ3464">
        <v>0</v>
      </c>
      <c r="AK3464">
        <v>0</v>
      </c>
      <c r="AL3464">
        <v>0</v>
      </c>
      <c r="AM3464">
        <v>0</v>
      </c>
      <c r="AN3464">
        <v>0</v>
      </c>
      <c r="AO3464">
        <v>0</v>
      </c>
      <c r="AP3464">
        <v>0</v>
      </c>
      <c r="AQ3464">
        <v>32.07</v>
      </c>
      <c r="AR3464">
        <v>0</v>
      </c>
      <c r="AS3464">
        <v>0</v>
      </c>
      <c r="AT3464">
        <v>0</v>
      </c>
      <c r="AU3464">
        <v>0</v>
      </c>
      <c r="AV3464">
        <v>0</v>
      </c>
      <c r="AW3464">
        <v>0</v>
      </c>
      <c r="AX3464">
        <v>0</v>
      </c>
      <c r="AY3464">
        <v>0</v>
      </c>
      <c r="AZ3464">
        <v>0</v>
      </c>
      <c r="BA3464">
        <v>0</v>
      </c>
      <c r="BB3464">
        <v>0</v>
      </c>
      <c r="BC3464">
        <v>0</v>
      </c>
      <c r="BD3464">
        <v>0</v>
      </c>
      <c r="BE3464">
        <v>0</v>
      </c>
      <c r="BF3464">
        <v>0</v>
      </c>
      <c r="BG3464">
        <v>0</v>
      </c>
      <c r="BH3464">
        <v>1</v>
      </c>
      <c r="BI3464">
        <v>3</v>
      </c>
      <c r="BJ3464">
        <v>1.4</v>
      </c>
      <c r="BK3464">
        <v>3</v>
      </c>
      <c r="BL3464">
        <v>104.95</v>
      </c>
      <c r="BM3464">
        <v>15.74</v>
      </c>
      <c r="BN3464">
        <v>120.69</v>
      </c>
      <c r="BO3464">
        <v>120.69</v>
      </c>
      <c r="BQ3464" t="s">
        <v>106</v>
      </c>
      <c r="BR3464" t="s">
        <v>84</v>
      </c>
      <c r="BS3464" s="3">
        <v>45806</v>
      </c>
      <c r="BT3464" s="4">
        <v>0.41666666666666669</v>
      </c>
      <c r="BU3464" t="s">
        <v>430</v>
      </c>
      <c r="BV3464" t="s">
        <v>89</v>
      </c>
      <c r="BY3464">
        <v>7000</v>
      </c>
      <c r="CA3464" t="s">
        <v>108</v>
      </c>
      <c r="CC3464" t="s">
        <v>104</v>
      </c>
      <c r="CD3464">
        <v>3201</v>
      </c>
      <c r="CE3464" t="s">
        <v>116</v>
      </c>
      <c r="CI3464">
        <v>1</v>
      </c>
      <c r="CJ3464">
        <v>2</v>
      </c>
      <c r="CK3464">
        <v>21</v>
      </c>
      <c r="CL3464" t="s">
        <v>89</v>
      </c>
    </row>
    <row r="3465" spans="1:90" x14ac:dyDescent="0.3">
      <c r="A3465" t="s">
        <v>72</v>
      </c>
      <c r="B3465" t="s">
        <v>73</v>
      </c>
      <c r="C3465" t="s">
        <v>74</v>
      </c>
      <c r="E3465" t="str">
        <f>"080065591830"</f>
        <v>080065591830</v>
      </c>
      <c r="F3465" s="3">
        <v>45804</v>
      </c>
      <c r="G3465">
        <v>202602</v>
      </c>
      <c r="H3465" t="s">
        <v>75</v>
      </c>
      <c r="I3465" t="s">
        <v>76</v>
      </c>
      <c r="J3465" t="s">
        <v>77</v>
      </c>
      <c r="K3465" t="s">
        <v>78</v>
      </c>
      <c r="L3465" t="s">
        <v>259</v>
      </c>
      <c r="M3465" t="s">
        <v>260</v>
      </c>
      <c r="N3465" t="s">
        <v>261</v>
      </c>
      <c r="O3465" t="s">
        <v>82</v>
      </c>
      <c r="P3465" t="str">
        <f>"4170040755                    "</f>
        <v xml:space="preserve">4170040755                    </v>
      </c>
      <c r="Q3465">
        <v>0</v>
      </c>
      <c r="R3465">
        <v>0</v>
      </c>
      <c r="S3465">
        <v>0</v>
      </c>
      <c r="T3465">
        <v>0</v>
      </c>
      <c r="U3465">
        <v>0</v>
      </c>
      <c r="V3465">
        <v>0</v>
      </c>
      <c r="W3465">
        <v>0</v>
      </c>
      <c r="X3465">
        <v>0</v>
      </c>
      <c r="Y3465">
        <v>0</v>
      </c>
      <c r="Z3465">
        <v>0</v>
      </c>
      <c r="AA3465">
        <v>0</v>
      </c>
      <c r="AB3465">
        <v>0</v>
      </c>
      <c r="AC3465">
        <v>0</v>
      </c>
      <c r="AD3465">
        <v>0</v>
      </c>
      <c r="AE3465">
        <v>0</v>
      </c>
      <c r="AF3465">
        <v>0</v>
      </c>
      <c r="AG3465">
        <v>0</v>
      </c>
      <c r="AH3465">
        <v>0</v>
      </c>
      <c r="AI3465">
        <v>0</v>
      </c>
      <c r="AJ3465">
        <v>0</v>
      </c>
      <c r="AK3465">
        <v>0</v>
      </c>
      <c r="AL3465">
        <v>0</v>
      </c>
      <c r="AM3465">
        <v>0</v>
      </c>
      <c r="AN3465">
        <v>0</v>
      </c>
      <c r="AO3465">
        <v>0</v>
      </c>
      <c r="AP3465">
        <v>0</v>
      </c>
      <c r="AQ3465">
        <v>41.43</v>
      </c>
      <c r="AR3465">
        <v>0</v>
      </c>
      <c r="AS3465">
        <v>0</v>
      </c>
      <c r="AT3465">
        <v>0</v>
      </c>
      <c r="AU3465">
        <v>0</v>
      </c>
      <c r="AV3465">
        <v>0</v>
      </c>
      <c r="AW3465">
        <v>16.739999999999998</v>
      </c>
      <c r="AX3465">
        <v>0</v>
      </c>
      <c r="AY3465">
        <v>0</v>
      </c>
      <c r="AZ3465">
        <v>0</v>
      </c>
      <c r="BA3465">
        <v>0</v>
      </c>
      <c r="BB3465">
        <v>0</v>
      </c>
      <c r="BC3465">
        <v>0</v>
      </c>
      <c r="BD3465">
        <v>0</v>
      </c>
      <c r="BE3465">
        <v>0</v>
      </c>
      <c r="BF3465">
        <v>0</v>
      </c>
      <c r="BG3465">
        <v>0</v>
      </c>
      <c r="BH3465">
        <v>1</v>
      </c>
      <c r="BI3465">
        <v>1</v>
      </c>
      <c r="BJ3465">
        <v>1.1000000000000001</v>
      </c>
      <c r="BK3465">
        <v>1.5</v>
      </c>
      <c r="BL3465">
        <v>152.33000000000001</v>
      </c>
      <c r="BM3465">
        <v>22.85</v>
      </c>
      <c r="BN3465">
        <v>175.18</v>
      </c>
      <c r="BO3465">
        <v>175.18</v>
      </c>
      <c r="BQ3465" t="s">
        <v>262</v>
      </c>
      <c r="BR3465" t="s">
        <v>84</v>
      </c>
      <c r="BS3465" s="3">
        <v>45805</v>
      </c>
      <c r="BT3465" s="4">
        <v>0.45208333333333334</v>
      </c>
      <c r="BU3465" t="s">
        <v>3255</v>
      </c>
      <c r="BV3465" t="s">
        <v>86</v>
      </c>
      <c r="BY3465">
        <v>5320</v>
      </c>
      <c r="BZ3465" t="s">
        <v>30</v>
      </c>
      <c r="CA3465" t="s">
        <v>3256</v>
      </c>
      <c r="CC3465" t="s">
        <v>260</v>
      </c>
      <c r="CD3465" s="5" t="s">
        <v>265</v>
      </c>
      <c r="CE3465" t="s">
        <v>116</v>
      </c>
      <c r="CF3465" s="3">
        <v>45806</v>
      </c>
      <c r="CI3465">
        <v>1</v>
      </c>
      <c r="CJ3465">
        <v>1</v>
      </c>
      <c r="CK3465">
        <v>23</v>
      </c>
      <c r="CL3465" t="s">
        <v>89</v>
      </c>
    </row>
    <row r="3466" spans="1:90" x14ac:dyDescent="0.3">
      <c r="A3466" t="s">
        <v>72</v>
      </c>
      <c r="B3466" t="s">
        <v>73</v>
      </c>
      <c r="C3466" t="s">
        <v>74</v>
      </c>
      <c r="E3466" t="str">
        <f>"080065591841"</f>
        <v>080065591841</v>
      </c>
      <c r="F3466" s="3">
        <v>45804</v>
      </c>
      <c r="G3466">
        <v>202602</v>
      </c>
      <c r="H3466" t="s">
        <v>75</v>
      </c>
      <c r="I3466" t="s">
        <v>76</v>
      </c>
      <c r="J3466" t="s">
        <v>77</v>
      </c>
      <c r="K3466" t="s">
        <v>78</v>
      </c>
      <c r="L3466" t="s">
        <v>409</v>
      </c>
      <c r="M3466" t="s">
        <v>410</v>
      </c>
      <c r="N3466" t="s">
        <v>411</v>
      </c>
      <c r="O3466" t="s">
        <v>82</v>
      </c>
      <c r="P3466" t="str">
        <f>"4170040911                    "</f>
        <v xml:space="preserve">4170040911                    </v>
      </c>
      <c r="Q3466">
        <v>0</v>
      </c>
      <c r="R3466">
        <v>0</v>
      </c>
      <c r="S3466">
        <v>0</v>
      </c>
      <c r="T3466">
        <v>0</v>
      </c>
      <c r="U3466">
        <v>0</v>
      </c>
      <c r="V3466">
        <v>0</v>
      </c>
      <c r="W3466">
        <v>0</v>
      </c>
      <c r="X3466">
        <v>0</v>
      </c>
      <c r="Y3466">
        <v>0</v>
      </c>
      <c r="Z3466">
        <v>0</v>
      </c>
      <c r="AA3466">
        <v>0</v>
      </c>
      <c r="AB3466">
        <v>0</v>
      </c>
      <c r="AC3466">
        <v>0</v>
      </c>
      <c r="AD3466">
        <v>0</v>
      </c>
      <c r="AE3466">
        <v>0</v>
      </c>
      <c r="AF3466">
        <v>0</v>
      </c>
      <c r="AG3466">
        <v>0</v>
      </c>
      <c r="AH3466">
        <v>0</v>
      </c>
      <c r="AI3466">
        <v>0</v>
      </c>
      <c r="AJ3466">
        <v>0</v>
      </c>
      <c r="AK3466">
        <v>0</v>
      </c>
      <c r="AL3466">
        <v>0</v>
      </c>
      <c r="AM3466">
        <v>0</v>
      </c>
      <c r="AN3466">
        <v>0</v>
      </c>
      <c r="AO3466">
        <v>0</v>
      </c>
      <c r="AP3466">
        <v>0</v>
      </c>
      <c r="AQ3466">
        <v>41.43</v>
      </c>
      <c r="AR3466">
        <v>0</v>
      </c>
      <c r="AS3466">
        <v>0</v>
      </c>
      <c r="AT3466">
        <v>0</v>
      </c>
      <c r="AU3466">
        <v>0</v>
      </c>
      <c r="AV3466">
        <v>0</v>
      </c>
      <c r="AW3466">
        <v>0</v>
      </c>
      <c r="AX3466">
        <v>0</v>
      </c>
      <c r="AY3466">
        <v>0</v>
      </c>
      <c r="AZ3466">
        <v>0</v>
      </c>
      <c r="BA3466">
        <v>0</v>
      </c>
      <c r="BB3466">
        <v>0</v>
      </c>
      <c r="BC3466">
        <v>0</v>
      </c>
      <c r="BD3466">
        <v>0</v>
      </c>
      <c r="BE3466">
        <v>0</v>
      </c>
      <c r="BF3466">
        <v>0</v>
      </c>
      <c r="BG3466">
        <v>0</v>
      </c>
      <c r="BH3466">
        <v>1</v>
      </c>
      <c r="BI3466">
        <v>1</v>
      </c>
      <c r="BJ3466">
        <v>0.2</v>
      </c>
      <c r="BK3466">
        <v>1</v>
      </c>
      <c r="BL3466">
        <v>135.59</v>
      </c>
      <c r="BM3466">
        <v>20.34</v>
      </c>
      <c r="BN3466">
        <v>155.93</v>
      </c>
      <c r="BO3466">
        <v>155.93</v>
      </c>
      <c r="BQ3466" t="s">
        <v>412</v>
      </c>
      <c r="BR3466" t="s">
        <v>84</v>
      </c>
      <c r="BS3466" s="3">
        <v>45805</v>
      </c>
      <c r="BT3466" s="4">
        <v>0.48333333333333334</v>
      </c>
      <c r="BU3466" t="s">
        <v>413</v>
      </c>
      <c r="BV3466" t="s">
        <v>86</v>
      </c>
      <c r="BY3466">
        <v>1200</v>
      </c>
      <c r="CA3466" t="s">
        <v>414</v>
      </c>
      <c r="CC3466" t="s">
        <v>410</v>
      </c>
      <c r="CD3466">
        <v>6850</v>
      </c>
      <c r="CE3466" t="s">
        <v>88</v>
      </c>
      <c r="CF3466" s="3">
        <v>45806</v>
      </c>
      <c r="CI3466">
        <v>2</v>
      </c>
      <c r="CJ3466">
        <v>1</v>
      </c>
      <c r="CK3466">
        <v>23</v>
      </c>
      <c r="CL3466" t="s">
        <v>89</v>
      </c>
    </row>
    <row r="3467" spans="1:90" x14ac:dyDescent="0.3">
      <c r="A3467" t="s">
        <v>72</v>
      </c>
      <c r="B3467" t="s">
        <v>73</v>
      </c>
      <c r="C3467" t="s">
        <v>74</v>
      </c>
      <c r="E3467" t="str">
        <f>"080065591857"</f>
        <v>080065591857</v>
      </c>
      <c r="F3467" s="3">
        <v>45804</v>
      </c>
      <c r="G3467">
        <v>202602</v>
      </c>
      <c r="H3467" t="s">
        <v>75</v>
      </c>
      <c r="I3467" t="s">
        <v>76</v>
      </c>
      <c r="J3467" t="s">
        <v>77</v>
      </c>
      <c r="K3467" t="s">
        <v>78</v>
      </c>
      <c r="L3467" t="s">
        <v>130</v>
      </c>
      <c r="M3467" t="s">
        <v>131</v>
      </c>
      <c r="N3467" t="s">
        <v>3257</v>
      </c>
      <c r="O3467" t="s">
        <v>82</v>
      </c>
      <c r="P3467" t="str">
        <f>"4170040926                    "</f>
        <v xml:space="preserve">4170040926                    </v>
      </c>
      <c r="Q3467">
        <v>0</v>
      </c>
      <c r="R3467">
        <v>0</v>
      </c>
      <c r="S3467">
        <v>0</v>
      </c>
      <c r="T3467">
        <v>0</v>
      </c>
      <c r="U3467">
        <v>0</v>
      </c>
      <c r="V3467">
        <v>0</v>
      </c>
      <c r="W3467">
        <v>0</v>
      </c>
      <c r="X3467">
        <v>0</v>
      </c>
      <c r="Y3467">
        <v>0</v>
      </c>
      <c r="Z3467">
        <v>0</v>
      </c>
      <c r="AA3467">
        <v>0</v>
      </c>
      <c r="AB3467">
        <v>0</v>
      </c>
      <c r="AC3467">
        <v>0</v>
      </c>
      <c r="AD3467">
        <v>0</v>
      </c>
      <c r="AE3467">
        <v>0</v>
      </c>
      <c r="AF3467">
        <v>0</v>
      </c>
      <c r="AG3467">
        <v>0</v>
      </c>
      <c r="AH3467">
        <v>0</v>
      </c>
      <c r="AI3467">
        <v>0</v>
      </c>
      <c r="AJ3467">
        <v>0</v>
      </c>
      <c r="AK3467">
        <v>0</v>
      </c>
      <c r="AL3467">
        <v>0</v>
      </c>
      <c r="AM3467">
        <v>0</v>
      </c>
      <c r="AN3467">
        <v>0</v>
      </c>
      <c r="AO3467">
        <v>0</v>
      </c>
      <c r="AP3467">
        <v>0</v>
      </c>
      <c r="AQ3467">
        <v>21.38</v>
      </c>
      <c r="AR3467">
        <v>0</v>
      </c>
      <c r="AS3467">
        <v>0</v>
      </c>
      <c r="AT3467">
        <v>0</v>
      </c>
      <c r="AU3467">
        <v>0</v>
      </c>
      <c r="AV3467">
        <v>0</v>
      </c>
      <c r="AW3467">
        <v>0</v>
      </c>
      <c r="AX3467">
        <v>0</v>
      </c>
      <c r="AY3467">
        <v>0</v>
      </c>
      <c r="AZ3467">
        <v>0</v>
      </c>
      <c r="BA3467">
        <v>0</v>
      </c>
      <c r="BB3467">
        <v>0</v>
      </c>
      <c r="BC3467">
        <v>0</v>
      </c>
      <c r="BD3467">
        <v>0</v>
      </c>
      <c r="BE3467">
        <v>0</v>
      </c>
      <c r="BF3467">
        <v>0</v>
      </c>
      <c r="BG3467">
        <v>0</v>
      </c>
      <c r="BH3467">
        <v>1</v>
      </c>
      <c r="BI3467">
        <v>1</v>
      </c>
      <c r="BJ3467">
        <v>0.2</v>
      </c>
      <c r="BK3467">
        <v>1</v>
      </c>
      <c r="BL3467">
        <v>69.98</v>
      </c>
      <c r="BM3467">
        <v>10.5</v>
      </c>
      <c r="BN3467">
        <v>80.48</v>
      </c>
      <c r="BO3467">
        <v>80.48</v>
      </c>
      <c r="BQ3467" t="s">
        <v>3258</v>
      </c>
      <c r="BR3467" t="s">
        <v>84</v>
      </c>
      <c r="BS3467" s="3">
        <v>45805</v>
      </c>
      <c r="BT3467" s="4">
        <v>0.42708333333333331</v>
      </c>
      <c r="BU3467" t="s">
        <v>3259</v>
      </c>
      <c r="BV3467" t="s">
        <v>86</v>
      </c>
      <c r="BY3467">
        <v>1200</v>
      </c>
      <c r="CA3467" t="s">
        <v>242</v>
      </c>
      <c r="CC3467" t="s">
        <v>131</v>
      </c>
      <c r="CD3467">
        <v>7441</v>
      </c>
      <c r="CE3467" t="s">
        <v>88</v>
      </c>
      <c r="CF3467" s="3">
        <v>45806</v>
      </c>
      <c r="CI3467">
        <v>1</v>
      </c>
      <c r="CJ3467">
        <v>1</v>
      </c>
      <c r="CK3467">
        <v>21</v>
      </c>
      <c r="CL3467" t="s">
        <v>89</v>
      </c>
    </row>
    <row r="3468" spans="1:90" x14ac:dyDescent="0.3">
      <c r="A3468" t="s">
        <v>72</v>
      </c>
      <c r="B3468" t="s">
        <v>73</v>
      </c>
      <c r="C3468" t="s">
        <v>74</v>
      </c>
      <c r="E3468" t="str">
        <f>"080065592155"</f>
        <v>080065592155</v>
      </c>
      <c r="F3468" s="3">
        <v>45804</v>
      </c>
      <c r="G3468">
        <v>202602</v>
      </c>
      <c r="H3468" t="s">
        <v>75</v>
      </c>
      <c r="I3468" t="s">
        <v>76</v>
      </c>
      <c r="J3468" t="s">
        <v>77</v>
      </c>
      <c r="K3468" t="s">
        <v>78</v>
      </c>
      <c r="L3468" t="s">
        <v>130</v>
      </c>
      <c r="M3468" t="s">
        <v>131</v>
      </c>
      <c r="N3468" t="s">
        <v>709</v>
      </c>
      <c r="O3468" t="s">
        <v>82</v>
      </c>
      <c r="P3468" t="str">
        <f>"4170040804                    "</f>
        <v xml:space="preserve">4170040804                    </v>
      </c>
      <c r="Q3468">
        <v>0</v>
      </c>
      <c r="R3468">
        <v>0</v>
      </c>
      <c r="S3468">
        <v>0</v>
      </c>
      <c r="T3468">
        <v>0</v>
      </c>
      <c r="U3468">
        <v>0</v>
      </c>
      <c r="V3468">
        <v>0</v>
      </c>
      <c r="W3468">
        <v>0</v>
      </c>
      <c r="X3468">
        <v>0</v>
      </c>
      <c r="Y3468">
        <v>0</v>
      </c>
      <c r="Z3468">
        <v>0</v>
      </c>
      <c r="AA3468">
        <v>0</v>
      </c>
      <c r="AB3468">
        <v>0</v>
      </c>
      <c r="AC3468">
        <v>0</v>
      </c>
      <c r="AD3468">
        <v>0</v>
      </c>
      <c r="AE3468">
        <v>0</v>
      </c>
      <c r="AF3468">
        <v>0</v>
      </c>
      <c r="AG3468">
        <v>0</v>
      </c>
      <c r="AH3468">
        <v>0</v>
      </c>
      <c r="AI3468">
        <v>0</v>
      </c>
      <c r="AJ3468">
        <v>0</v>
      </c>
      <c r="AK3468">
        <v>0</v>
      </c>
      <c r="AL3468">
        <v>0</v>
      </c>
      <c r="AM3468">
        <v>0</v>
      </c>
      <c r="AN3468">
        <v>0</v>
      </c>
      <c r="AO3468">
        <v>0</v>
      </c>
      <c r="AP3468">
        <v>0</v>
      </c>
      <c r="AQ3468">
        <v>96.17</v>
      </c>
      <c r="AR3468">
        <v>0</v>
      </c>
      <c r="AS3468">
        <v>0</v>
      </c>
      <c r="AT3468">
        <v>0</v>
      </c>
      <c r="AU3468">
        <v>0</v>
      </c>
      <c r="AV3468">
        <v>0</v>
      </c>
      <c r="AW3468">
        <v>0</v>
      </c>
      <c r="AX3468">
        <v>0</v>
      </c>
      <c r="AY3468">
        <v>0</v>
      </c>
      <c r="AZ3468">
        <v>0</v>
      </c>
      <c r="BA3468">
        <v>0</v>
      </c>
      <c r="BB3468">
        <v>0</v>
      </c>
      <c r="BC3468">
        <v>0</v>
      </c>
      <c r="BD3468">
        <v>0</v>
      </c>
      <c r="BE3468">
        <v>0</v>
      </c>
      <c r="BF3468">
        <v>0</v>
      </c>
      <c r="BG3468">
        <v>0</v>
      </c>
      <c r="BH3468">
        <v>1</v>
      </c>
      <c r="BI3468">
        <v>6</v>
      </c>
      <c r="BJ3468">
        <v>8.6</v>
      </c>
      <c r="BK3468">
        <v>9</v>
      </c>
      <c r="BL3468">
        <v>314.73</v>
      </c>
      <c r="BM3468">
        <v>47.21</v>
      </c>
      <c r="BN3468">
        <v>361.94</v>
      </c>
      <c r="BO3468">
        <v>361.94</v>
      </c>
      <c r="BQ3468" t="s">
        <v>710</v>
      </c>
      <c r="BR3468" t="s">
        <v>84</v>
      </c>
      <c r="BS3468" s="3">
        <v>45805</v>
      </c>
      <c r="BT3468" s="4">
        <v>0.33333333333333331</v>
      </c>
      <c r="BU3468" t="s">
        <v>1272</v>
      </c>
      <c r="BV3468" t="s">
        <v>86</v>
      </c>
      <c r="BY3468">
        <v>43200</v>
      </c>
      <c r="CA3468" t="s">
        <v>712</v>
      </c>
      <c r="CC3468" t="s">
        <v>131</v>
      </c>
      <c r="CD3468">
        <v>7530</v>
      </c>
      <c r="CE3468" t="s">
        <v>221</v>
      </c>
      <c r="CF3468" s="3">
        <v>45806</v>
      </c>
      <c r="CI3468">
        <v>1</v>
      </c>
      <c r="CJ3468">
        <v>1</v>
      </c>
      <c r="CK3468">
        <v>21</v>
      </c>
      <c r="CL3468" t="s">
        <v>89</v>
      </c>
    </row>
    <row r="3469" spans="1:90" x14ac:dyDescent="0.3">
      <c r="A3469" t="s">
        <v>72</v>
      </c>
      <c r="B3469" t="s">
        <v>73</v>
      </c>
      <c r="C3469" t="s">
        <v>74</v>
      </c>
      <c r="E3469" t="str">
        <f>"080065592235"</f>
        <v>080065592235</v>
      </c>
      <c r="F3469" s="3">
        <v>45804</v>
      </c>
      <c r="G3469">
        <v>202602</v>
      </c>
      <c r="H3469" t="s">
        <v>75</v>
      </c>
      <c r="I3469" t="s">
        <v>76</v>
      </c>
      <c r="J3469" t="s">
        <v>77</v>
      </c>
      <c r="K3469" t="s">
        <v>78</v>
      </c>
      <c r="L3469" t="s">
        <v>90</v>
      </c>
      <c r="M3469" t="s">
        <v>91</v>
      </c>
      <c r="N3469" t="s">
        <v>92</v>
      </c>
      <c r="O3469" t="s">
        <v>82</v>
      </c>
      <c r="P3469" t="str">
        <f>"4170040794                    "</f>
        <v xml:space="preserve">4170040794                    </v>
      </c>
      <c r="Q3469">
        <v>0</v>
      </c>
      <c r="R3469">
        <v>0</v>
      </c>
      <c r="S3469">
        <v>0</v>
      </c>
      <c r="T3469">
        <v>0</v>
      </c>
      <c r="U3469">
        <v>0</v>
      </c>
      <c r="V3469">
        <v>0</v>
      </c>
      <c r="W3469">
        <v>0</v>
      </c>
      <c r="X3469">
        <v>0</v>
      </c>
      <c r="Y3469">
        <v>0</v>
      </c>
      <c r="Z3469">
        <v>0</v>
      </c>
      <c r="AA3469">
        <v>0</v>
      </c>
      <c r="AB3469">
        <v>0</v>
      </c>
      <c r="AC3469">
        <v>0</v>
      </c>
      <c r="AD3469">
        <v>0</v>
      </c>
      <c r="AE3469">
        <v>0</v>
      </c>
      <c r="AF3469">
        <v>0</v>
      </c>
      <c r="AG3469">
        <v>0</v>
      </c>
      <c r="AH3469">
        <v>0</v>
      </c>
      <c r="AI3469">
        <v>0</v>
      </c>
      <c r="AJ3469">
        <v>0</v>
      </c>
      <c r="AK3469">
        <v>0</v>
      </c>
      <c r="AL3469">
        <v>0</v>
      </c>
      <c r="AM3469">
        <v>0</v>
      </c>
      <c r="AN3469">
        <v>0</v>
      </c>
      <c r="AO3469">
        <v>0</v>
      </c>
      <c r="AP3469">
        <v>0</v>
      </c>
      <c r="AQ3469">
        <v>21.38</v>
      </c>
      <c r="AR3469">
        <v>0</v>
      </c>
      <c r="AS3469">
        <v>0</v>
      </c>
      <c r="AT3469">
        <v>0</v>
      </c>
      <c r="AU3469">
        <v>0</v>
      </c>
      <c r="AV3469">
        <v>0</v>
      </c>
      <c r="AW3469">
        <v>0</v>
      </c>
      <c r="AX3469">
        <v>0</v>
      </c>
      <c r="AY3469">
        <v>0</v>
      </c>
      <c r="AZ3469">
        <v>0</v>
      </c>
      <c r="BA3469">
        <v>0</v>
      </c>
      <c r="BB3469">
        <v>0</v>
      </c>
      <c r="BC3469">
        <v>0</v>
      </c>
      <c r="BD3469">
        <v>0</v>
      </c>
      <c r="BE3469">
        <v>0</v>
      </c>
      <c r="BF3469">
        <v>0</v>
      </c>
      <c r="BG3469">
        <v>0</v>
      </c>
      <c r="BH3469">
        <v>1</v>
      </c>
      <c r="BI3469">
        <v>1</v>
      </c>
      <c r="BJ3469">
        <v>0.2</v>
      </c>
      <c r="BK3469">
        <v>1</v>
      </c>
      <c r="BL3469">
        <v>69.98</v>
      </c>
      <c r="BM3469">
        <v>10.5</v>
      </c>
      <c r="BN3469">
        <v>80.48</v>
      </c>
      <c r="BO3469">
        <v>80.48</v>
      </c>
      <c r="BQ3469" t="s">
        <v>93</v>
      </c>
      <c r="BR3469" t="s">
        <v>84</v>
      </c>
      <c r="BS3469" s="3">
        <v>45805</v>
      </c>
      <c r="BT3469" s="4">
        <v>0.36319444444444443</v>
      </c>
      <c r="BU3469" t="s">
        <v>94</v>
      </c>
      <c r="BV3469" t="s">
        <v>86</v>
      </c>
      <c r="BY3469">
        <v>1200</v>
      </c>
      <c r="CA3469" t="s">
        <v>95</v>
      </c>
      <c r="CC3469" t="s">
        <v>91</v>
      </c>
      <c r="CD3469">
        <v>6001</v>
      </c>
      <c r="CE3469" t="s">
        <v>88</v>
      </c>
      <c r="CF3469" s="3">
        <v>45805</v>
      </c>
      <c r="CI3469">
        <v>1</v>
      </c>
      <c r="CJ3469">
        <v>1</v>
      </c>
      <c r="CK3469">
        <v>21</v>
      </c>
      <c r="CL3469" t="s">
        <v>89</v>
      </c>
    </row>
    <row r="3470" spans="1:90" x14ac:dyDescent="0.3">
      <c r="A3470" t="s">
        <v>72</v>
      </c>
      <c r="B3470" t="s">
        <v>73</v>
      </c>
      <c r="C3470" t="s">
        <v>74</v>
      </c>
      <c r="E3470" t="str">
        <f>"080065592242"</f>
        <v>080065592242</v>
      </c>
      <c r="F3470" s="3">
        <v>45804</v>
      </c>
      <c r="G3470">
        <v>202602</v>
      </c>
      <c r="H3470" t="s">
        <v>75</v>
      </c>
      <c r="I3470" t="s">
        <v>76</v>
      </c>
      <c r="J3470" t="s">
        <v>77</v>
      </c>
      <c r="K3470" t="s">
        <v>78</v>
      </c>
      <c r="L3470" t="s">
        <v>130</v>
      </c>
      <c r="M3470" t="s">
        <v>131</v>
      </c>
      <c r="N3470" t="s">
        <v>2308</v>
      </c>
      <c r="O3470" t="s">
        <v>82</v>
      </c>
      <c r="P3470" t="str">
        <f>"4170040803                    "</f>
        <v xml:space="preserve">4170040803                    </v>
      </c>
      <c r="Q3470">
        <v>0</v>
      </c>
      <c r="R3470">
        <v>0</v>
      </c>
      <c r="S3470">
        <v>0</v>
      </c>
      <c r="T3470">
        <v>0</v>
      </c>
      <c r="U3470">
        <v>0</v>
      </c>
      <c r="V3470">
        <v>0</v>
      </c>
      <c r="W3470">
        <v>0</v>
      </c>
      <c r="X3470">
        <v>0</v>
      </c>
      <c r="Y3470">
        <v>0</v>
      </c>
      <c r="Z3470">
        <v>0</v>
      </c>
      <c r="AA3470">
        <v>0</v>
      </c>
      <c r="AB3470">
        <v>0</v>
      </c>
      <c r="AC3470">
        <v>0</v>
      </c>
      <c r="AD3470">
        <v>0</v>
      </c>
      <c r="AE3470">
        <v>0</v>
      </c>
      <c r="AF3470">
        <v>0</v>
      </c>
      <c r="AG3470">
        <v>0</v>
      </c>
      <c r="AH3470">
        <v>0</v>
      </c>
      <c r="AI3470">
        <v>0</v>
      </c>
      <c r="AJ3470">
        <v>0</v>
      </c>
      <c r="AK3470">
        <v>0</v>
      </c>
      <c r="AL3470">
        <v>0</v>
      </c>
      <c r="AM3470">
        <v>0</v>
      </c>
      <c r="AN3470">
        <v>0</v>
      </c>
      <c r="AO3470">
        <v>0</v>
      </c>
      <c r="AP3470">
        <v>0</v>
      </c>
      <c r="AQ3470">
        <v>21.38</v>
      </c>
      <c r="AR3470">
        <v>0</v>
      </c>
      <c r="AS3470">
        <v>0</v>
      </c>
      <c r="AT3470">
        <v>0</v>
      </c>
      <c r="AU3470">
        <v>0</v>
      </c>
      <c r="AV3470">
        <v>0</v>
      </c>
      <c r="AW3470">
        <v>0</v>
      </c>
      <c r="AX3470">
        <v>0</v>
      </c>
      <c r="AY3470">
        <v>0</v>
      </c>
      <c r="AZ3470">
        <v>0</v>
      </c>
      <c r="BA3470">
        <v>0</v>
      </c>
      <c r="BB3470">
        <v>0</v>
      </c>
      <c r="BC3470">
        <v>0</v>
      </c>
      <c r="BD3470">
        <v>0</v>
      </c>
      <c r="BE3470">
        <v>0</v>
      </c>
      <c r="BF3470">
        <v>0</v>
      </c>
      <c r="BG3470">
        <v>0</v>
      </c>
      <c r="BH3470">
        <v>1</v>
      </c>
      <c r="BI3470">
        <v>2</v>
      </c>
      <c r="BJ3470">
        <v>1.9</v>
      </c>
      <c r="BK3470">
        <v>2</v>
      </c>
      <c r="BL3470">
        <v>69.98</v>
      </c>
      <c r="BM3470">
        <v>10.5</v>
      </c>
      <c r="BN3470">
        <v>80.48</v>
      </c>
      <c r="BO3470">
        <v>80.48</v>
      </c>
      <c r="BQ3470" t="s">
        <v>2309</v>
      </c>
      <c r="BR3470" t="s">
        <v>84</v>
      </c>
      <c r="BS3470" s="3">
        <v>45805</v>
      </c>
      <c r="BT3470" s="4">
        <v>0.37569444444444444</v>
      </c>
      <c r="BU3470" t="s">
        <v>2310</v>
      </c>
      <c r="BV3470" t="s">
        <v>86</v>
      </c>
      <c r="BY3470">
        <v>9555</v>
      </c>
      <c r="CA3470" t="s">
        <v>389</v>
      </c>
      <c r="CC3470" t="s">
        <v>131</v>
      </c>
      <c r="CD3470">
        <v>7535</v>
      </c>
      <c r="CE3470" t="s">
        <v>221</v>
      </c>
      <c r="CF3470" s="3">
        <v>45806</v>
      </c>
      <c r="CI3470">
        <v>1</v>
      </c>
      <c r="CJ3470">
        <v>1</v>
      </c>
      <c r="CK3470">
        <v>21</v>
      </c>
      <c r="CL3470" t="s">
        <v>89</v>
      </c>
    </row>
    <row r="3471" spans="1:90" x14ac:dyDescent="0.3">
      <c r="A3471" t="s">
        <v>72</v>
      </c>
      <c r="B3471" t="s">
        <v>73</v>
      </c>
      <c r="C3471" t="s">
        <v>74</v>
      </c>
      <c r="E3471" t="str">
        <f>"080065592255"</f>
        <v>080065592255</v>
      </c>
      <c r="F3471" s="3">
        <v>45804</v>
      </c>
      <c r="G3471">
        <v>202602</v>
      </c>
      <c r="H3471" t="s">
        <v>75</v>
      </c>
      <c r="I3471" t="s">
        <v>76</v>
      </c>
      <c r="J3471" t="s">
        <v>77</v>
      </c>
      <c r="K3471" t="s">
        <v>78</v>
      </c>
      <c r="L3471" t="s">
        <v>409</v>
      </c>
      <c r="M3471" t="s">
        <v>410</v>
      </c>
      <c r="N3471" t="s">
        <v>512</v>
      </c>
      <c r="O3471" t="s">
        <v>82</v>
      </c>
      <c r="P3471" t="str">
        <f>"4170040788                    "</f>
        <v xml:space="preserve">4170040788                    </v>
      </c>
      <c r="Q3471">
        <v>0</v>
      </c>
      <c r="R3471">
        <v>0</v>
      </c>
      <c r="S3471">
        <v>0</v>
      </c>
      <c r="T3471">
        <v>0</v>
      </c>
      <c r="U3471">
        <v>0</v>
      </c>
      <c r="V3471">
        <v>0</v>
      </c>
      <c r="W3471">
        <v>0</v>
      </c>
      <c r="X3471">
        <v>0</v>
      </c>
      <c r="Y3471">
        <v>0</v>
      </c>
      <c r="Z3471">
        <v>0</v>
      </c>
      <c r="AA3471">
        <v>0</v>
      </c>
      <c r="AB3471">
        <v>0</v>
      </c>
      <c r="AC3471">
        <v>0</v>
      </c>
      <c r="AD3471">
        <v>0</v>
      </c>
      <c r="AE3471">
        <v>0</v>
      </c>
      <c r="AF3471">
        <v>0</v>
      </c>
      <c r="AG3471">
        <v>0</v>
      </c>
      <c r="AH3471">
        <v>0</v>
      </c>
      <c r="AI3471">
        <v>0</v>
      </c>
      <c r="AJ3471">
        <v>0</v>
      </c>
      <c r="AK3471">
        <v>0</v>
      </c>
      <c r="AL3471">
        <v>0</v>
      </c>
      <c r="AM3471">
        <v>0</v>
      </c>
      <c r="AN3471">
        <v>0</v>
      </c>
      <c r="AO3471">
        <v>0</v>
      </c>
      <c r="AP3471">
        <v>0</v>
      </c>
      <c r="AQ3471">
        <v>41.43</v>
      </c>
      <c r="AR3471">
        <v>0</v>
      </c>
      <c r="AS3471">
        <v>0</v>
      </c>
      <c r="AT3471">
        <v>0</v>
      </c>
      <c r="AU3471">
        <v>0</v>
      </c>
      <c r="AV3471">
        <v>0</v>
      </c>
      <c r="AW3471">
        <v>0</v>
      </c>
      <c r="AX3471">
        <v>0</v>
      </c>
      <c r="AY3471">
        <v>0</v>
      </c>
      <c r="AZ3471">
        <v>0</v>
      </c>
      <c r="BA3471">
        <v>0</v>
      </c>
      <c r="BB3471">
        <v>0</v>
      </c>
      <c r="BC3471">
        <v>0</v>
      </c>
      <c r="BD3471">
        <v>0</v>
      </c>
      <c r="BE3471">
        <v>0</v>
      </c>
      <c r="BF3471">
        <v>0</v>
      </c>
      <c r="BG3471">
        <v>0</v>
      </c>
      <c r="BH3471">
        <v>1</v>
      </c>
      <c r="BI3471">
        <v>1</v>
      </c>
      <c r="BJ3471">
        <v>0.2</v>
      </c>
      <c r="BK3471">
        <v>1</v>
      </c>
      <c r="BL3471">
        <v>135.59</v>
      </c>
      <c r="BM3471">
        <v>20.34</v>
      </c>
      <c r="BN3471">
        <v>155.93</v>
      </c>
      <c r="BO3471">
        <v>155.93</v>
      </c>
      <c r="BQ3471" t="s">
        <v>513</v>
      </c>
      <c r="BR3471" t="s">
        <v>84</v>
      </c>
      <c r="BS3471" s="3">
        <v>45805</v>
      </c>
      <c r="BT3471" s="4">
        <v>0.49375000000000002</v>
      </c>
      <c r="BU3471" t="s">
        <v>3260</v>
      </c>
      <c r="BV3471" t="s">
        <v>86</v>
      </c>
      <c r="BY3471">
        <v>1200</v>
      </c>
      <c r="CA3471" t="s">
        <v>414</v>
      </c>
      <c r="CC3471" t="s">
        <v>410</v>
      </c>
      <c r="CD3471">
        <v>6850</v>
      </c>
      <c r="CE3471" t="s">
        <v>88</v>
      </c>
      <c r="CF3471" s="3">
        <v>45806</v>
      </c>
      <c r="CI3471">
        <v>2</v>
      </c>
      <c r="CJ3471">
        <v>1</v>
      </c>
      <c r="CK3471">
        <v>23</v>
      </c>
      <c r="CL3471" t="s">
        <v>89</v>
      </c>
    </row>
    <row r="3472" spans="1:90" x14ac:dyDescent="0.3">
      <c r="A3472" t="s">
        <v>72</v>
      </c>
      <c r="B3472" t="s">
        <v>73</v>
      </c>
      <c r="C3472" t="s">
        <v>74</v>
      </c>
      <c r="E3472" t="str">
        <f>"080065592270"</f>
        <v>080065592270</v>
      </c>
      <c r="F3472" s="3">
        <v>45804</v>
      </c>
      <c r="G3472">
        <v>202602</v>
      </c>
      <c r="H3472" t="s">
        <v>75</v>
      </c>
      <c r="I3472" t="s">
        <v>76</v>
      </c>
      <c r="J3472" t="s">
        <v>77</v>
      </c>
      <c r="K3472" t="s">
        <v>78</v>
      </c>
      <c r="L3472" t="s">
        <v>526</v>
      </c>
      <c r="M3472" t="s">
        <v>527</v>
      </c>
      <c r="N3472" t="s">
        <v>528</v>
      </c>
      <c r="O3472" t="s">
        <v>82</v>
      </c>
      <c r="P3472" t="str">
        <f>"4170040768                    "</f>
        <v xml:space="preserve">4170040768                    </v>
      </c>
      <c r="Q3472">
        <v>0</v>
      </c>
      <c r="R3472">
        <v>0</v>
      </c>
      <c r="S3472">
        <v>0</v>
      </c>
      <c r="T3472">
        <v>0</v>
      </c>
      <c r="U3472">
        <v>0</v>
      </c>
      <c r="V3472">
        <v>0</v>
      </c>
      <c r="W3472">
        <v>0</v>
      </c>
      <c r="X3472">
        <v>0</v>
      </c>
      <c r="Y3472">
        <v>0</v>
      </c>
      <c r="Z3472">
        <v>0</v>
      </c>
      <c r="AA3472">
        <v>0</v>
      </c>
      <c r="AB3472">
        <v>0</v>
      </c>
      <c r="AC3472">
        <v>0</v>
      </c>
      <c r="AD3472">
        <v>0</v>
      </c>
      <c r="AE3472">
        <v>0</v>
      </c>
      <c r="AF3472">
        <v>0</v>
      </c>
      <c r="AG3472">
        <v>0</v>
      </c>
      <c r="AH3472">
        <v>0</v>
      </c>
      <c r="AI3472">
        <v>0</v>
      </c>
      <c r="AJ3472">
        <v>0</v>
      </c>
      <c r="AK3472">
        <v>0</v>
      </c>
      <c r="AL3472">
        <v>0</v>
      </c>
      <c r="AM3472">
        <v>0</v>
      </c>
      <c r="AN3472">
        <v>0</v>
      </c>
      <c r="AO3472">
        <v>0</v>
      </c>
      <c r="AP3472">
        <v>0</v>
      </c>
      <c r="AQ3472">
        <v>30.07</v>
      </c>
      <c r="AR3472">
        <v>0</v>
      </c>
      <c r="AS3472">
        <v>0</v>
      </c>
      <c r="AT3472">
        <v>0</v>
      </c>
      <c r="AU3472">
        <v>0</v>
      </c>
      <c r="AV3472">
        <v>0</v>
      </c>
      <c r="AW3472">
        <v>0</v>
      </c>
      <c r="AX3472">
        <v>0</v>
      </c>
      <c r="AY3472">
        <v>0</v>
      </c>
      <c r="AZ3472">
        <v>0</v>
      </c>
      <c r="BA3472">
        <v>0</v>
      </c>
      <c r="BB3472">
        <v>0</v>
      </c>
      <c r="BC3472">
        <v>0</v>
      </c>
      <c r="BD3472">
        <v>0</v>
      </c>
      <c r="BE3472">
        <v>0</v>
      </c>
      <c r="BF3472">
        <v>0</v>
      </c>
      <c r="BG3472">
        <v>0</v>
      </c>
      <c r="BH3472">
        <v>1</v>
      </c>
      <c r="BI3472">
        <v>1</v>
      </c>
      <c r="BJ3472">
        <v>1.1000000000000001</v>
      </c>
      <c r="BK3472">
        <v>1.5</v>
      </c>
      <c r="BL3472">
        <v>98.42</v>
      </c>
      <c r="BM3472">
        <v>14.76</v>
      </c>
      <c r="BN3472">
        <v>113.18</v>
      </c>
      <c r="BO3472">
        <v>113.18</v>
      </c>
      <c r="BQ3472" t="s">
        <v>529</v>
      </c>
      <c r="BR3472" t="s">
        <v>84</v>
      </c>
      <c r="BS3472" s="3">
        <v>45805</v>
      </c>
      <c r="BT3472" s="4">
        <v>0.37152777777777779</v>
      </c>
      <c r="BU3472" t="s">
        <v>3261</v>
      </c>
      <c r="BV3472" t="s">
        <v>86</v>
      </c>
      <c r="BY3472">
        <v>5320</v>
      </c>
      <c r="CA3472" t="s">
        <v>531</v>
      </c>
      <c r="CC3472" t="s">
        <v>527</v>
      </c>
      <c r="CD3472">
        <v>1760</v>
      </c>
      <c r="CE3472" t="s">
        <v>116</v>
      </c>
      <c r="CF3472" s="3">
        <v>45805</v>
      </c>
      <c r="CI3472">
        <v>1</v>
      </c>
      <c r="CJ3472">
        <v>1</v>
      </c>
      <c r="CK3472">
        <v>24</v>
      </c>
      <c r="CL3472" t="s">
        <v>89</v>
      </c>
    </row>
    <row r="3473" spans="1:90" x14ac:dyDescent="0.3">
      <c r="A3473" t="s">
        <v>72</v>
      </c>
      <c r="B3473" t="s">
        <v>73</v>
      </c>
      <c r="C3473" t="s">
        <v>74</v>
      </c>
      <c r="E3473" t="str">
        <f>"080065592286"</f>
        <v>080065592286</v>
      </c>
      <c r="F3473" s="3">
        <v>45804</v>
      </c>
      <c r="G3473">
        <v>202602</v>
      </c>
      <c r="H3473" t="s">
        <v>75</v>
      </c>
      <c r="I3473" t="s">
        <v>76</v>
      </c>
      <c r="J3473" t="s">
        <v>77</v>
      </c>
      <c r="K3473" t="s">
        <v>78</v>
      </c>
      <c r="L3473" t="s">
        <v>103</v>
      </c>
      <c r="M3473" t="s">
        <v>104</v>
      </c>
      <c r="N3473" t="s">
        <v>1614</v>
      </c>
      <c r="O3473" t="s">
        <v>82</v>
      </c>
      <c r="P3473" t="str">
        <f>"4170040752                    "</f>
        <v xml:space="preserve">4170040752                    </v>
      </c>
      <c r="Q3473">
        <v>0</v>
      </c>
      <c r="R3473">
        <v>0</v>
      </c>
      <c r="S3473">
        <v>0</v>
      </c>
      <c r="T3473">
        <v>0</v>
      </c>
      <c r="U3473">
        <v>0</v>
      </c>
      <c r="V3473">
        <v>0</v>
      </c>
      <c r="W3473">
        <v>0</v>
      </c>
      <c r="X3473">
        <v>0</v>
      </c>
      <c r="Y3473">
        <v>0</v>
      </c>
      <c r="Z3473">
        <v>0</v>
      </c>
      <c r="AA3473">
        <v>0</v>
      </c>
      <c r="AB3473">
        <v>0</v>
      </c>
      <c r="AC3473">
        <v>0</v>
      </c>
      <c r="AD3473">
        <v>0</v>
      </c>
      <c r="AE3473">
        <v>0</v>
      </c>
      <c r="AF3473">
        <v>0</v>
      </c>
      <c r="AG3473">
        <v>0</v>
      </c>
      <c r="AH3473">
        <v>0</v>
      </c>
      <c r="AI3473">
        <v>0</v>
      </c>
      <c r="AJ3473">
        <v>0</v>
      </c>
      <c r="AK3473">
        <v>0</v>
      </c>
      <c r="AL3473">
        <v>0</v>
      </c>
      <c r="AM3473">
        <v>0</v>
      </c>
      <c r="AN3473">
        <v>0</v>
      </c>
      <c r="AO3473">
        <v>0</v>
      </c>
      <c r="AP3473">
        <v>0</v>
      </c>
      <c r="AQ3473">
        <v>21.38</v>
      </c>
      <c r="AR3473">
        <v>0</v>
      </c>
      <c r="AS3473">
        <v>0</v>
      </c>
      <c r="AT3473">
        <v>0</v>
      </c>
      <c r="AU3473">
        <v>0</v>
      </c>
      <c r="AV3473">
        <v>0</v>
      </c>
      <c r="AW3473">
        <v>16.739999999999998</v>
      </c>
      <c r="AX3473">
        <v>0</v>
      </c>
      <c r="AY3473">
        <v>0</v>
      </c>
      <c r="AZ3473">
        <v>0</v>
      </c>
      <c r="BA3473">
        <v>0</v>
      </c>
      <c r="BB3473">
        <v>0</v>
      </c>
      <c r="BC3473">
        <v>0</v>
      </c>
      <c r="BD3473">
        <v>0</v>
      </c>
      <c r="BE3473">
        <v>0</v>
      </c>
      <c r="BF3473">
        <v>0</v>
      </c>
      <c r="BG3473">
        <v>0</v>
      </c>
      <c r="BH3473">
        <v>1</v>
      </c>
      <c r="BI3473">
        <v>1</v>
      </c>
      <c r="BJ3473">
        <v>0.2</v>
      </c>
      <c r="BK3473">
        <v>1</v>
      </c>
      <c r="BL3473">
        <v>86.72</v>
      </c>
      <c r="BM3473">
        <v>13.01</v>
      </c>
      <c r="BN3473">
        <v>99.73</v>
      </c>
      <c r="BO3473">
        <v>99.73</v>
      </c>
      <c r="BQ3473" t="s">
        <v>1615</v>
      </c>
      <c r="BR3473" t="s">
        <v>84</v>
      </c>
      <c r="BS3473" s="3">
        <v>45805</v>
      </c>
      <c r="BT3473" s="4">
        <v>0.58333333333333337</v>
      </c>
      <c r="BU3473" t="s">
        <v>3262</v>
      </c>
      <c r="BV3473" t="s">
        <v>86</v>
      </c>
      <c r="BY3473">
        <v>1200</v>
      </c>
      <c r="BZ3473" t="s">
        <v>30</v>
      </c>
      <c r="CA3473" t="s">
        <v>945</v>
      </c>
      <c r="CC3473" t="s">
        <v>104</v>
      </c>
      <c r="CD3473">
        <v>3699</v>
      </c>
      <c r="CE3473" t="s">
        <v>88</v>
      </c>
      <c r="CF3473" s="3">
        <v>45806</v>
      </c>
      <c r="CI3473">
        <v>1</v>
      </c>
      <c r="CJ3473">
        <v>1</v>
      </c>
      <c r="CK3473">
        <v>21</v>
      </c>
      <c r="CL3473" t="s">
        <v>89</v>
      </c>
    </row>
    <row r="3474" spans="1:90" x14ac:dyDescent="0.3">
      <c r="A3474" t="s">
        <v>72</v>
      </c>
      <c r="B3474" t="s">
        <v>73</v>
      </c>
      <c r="C3474" t="s">
        <v>74</v>
      </c>
      <c r="E3474" t="str">
        <f>"080065592312"</f>
        <v>080065592312</v>
      </c>
      <c r="F3474" s="3">
        <v>45804</v>
      </c>
      <c r="G3474">
        <v>202602</v>
      </c>
      <c r="H3474" t="s">
        <v>75</v>
      </c>
      <c r="I3474" t="s">
        <v>76</v>
      </c>
      <c r="J3474" t="s">
        <v>77</v>
      </c>
      <c r="K3474" t="s">
        <v>78</v>
      </c>
      <c r="L3474" t="s">
        <v>266</v>
      </c>
      <c r="M3474" t="s">
        <v>267</v>
      </c>
      <c r="N3474" t="s">
        <v>268</v>
      </c>
      <c r="O3474" t="s">
        <v>82</v>
      </c>
      <c r="P3474" t="str">
        <f>"4170040786                    "</f>
        <v xml:space="preserve">4170040786                    </v>
      </c>
      <c r="Q3474">
        <v>0</v>
      </c>
      <c r="R3474">
        <v>0</v>
      </c>
      <c r="S3474">
        <v>0</v>
      </c>
      <c r="T3474">
        <v>0</v>
      </c>
      <c r="U3474">
        <v>0</v>
      </c>
      <c r="V3474">
        <v>0</v>
      </c>
      <c r="W3474">
        <v>0</v>
      </c>
      <c r="X3474">
        <v>0</v>
      </c>
      <c r="Y3474">
        <v>0</v>
      </c>
      <c r="Z3474">
        <v>0</v>
      </c>
      <c r="AA3474">
        <v>0</v>
      </c>
      <c r="AB3474">
        <v>0</v>
      </c>
      <c r="AC3474">
        <v>0</v>
      </c>
      <c r="AD3474">
        <v>0</v>
      </c>
      <c r="AE3474">
        <v>0</v>
      </c>
      <c r="AF3474">
        <v>0</v>
      </c>
      <c r="AG3474">
        <v>0</v>
      </c>
      <c r="AH3474">
        <v>0</v>
      </c>
      <c r="AI3474">
        <v>0</v>
      </c>
      <c r="AJ3474">
        <v>0</v>
      </c>
      <c r="AK3474">
        <v>0</v>
      </c>
      <c r="AL3474">
        <v>0</v>
      </c>
      <c r="AM3474">
        <v>0</v>
      </c>
      <c r="AN3474">
        <v>0</v>
      </c>
      <c r="AO3474">
        <v>0</v>
      </c>
      <c r="AP3474">
        <v>0</v>
      </c>
      <c r="AQ3474">
        <v>21.38</v>
      </c>
      <c r="AR3474">
        <v>0</v>
      </c>
      <c r="AS3474">
        <v>0</v>
      </c>
      <c r="AT3474">
        <v>0</v>
      </c>
      <c r="AU3474">
        <v>0</v>
      </c>
      <c r="AV3474">
        <v>0</v>
      </c>
      <c r="AW3474">
        <v>0</v>
      </c>
      <c r="AX3474">
        <v>0</v>
      </c>
      <c r="AY3474">
        <v>0</v>
      </c>
      <c r="AZ3474">
        <v>0</v>
      </c>
      <c r="BA3474">
        <v>0</v>
      </c>
      <c r="BB3474">
        <v>0</v>
      </c>
      <c r="BC3474">
        <v>0</v>
      </c>
      <c r="BD3474">
        <v>0</v>
      </c>
      <c r="BE3474">
        <v>0</v>
      </c>
      <c r="BF3474">
        <v>0</v>
      </c>
      <c r="BG3474">
        <v>0</v>
      </c>
      <c r="BH3474">
        <v>1</v>
      </c>
      <c r="BI3474">
        <v>1</v>
      </c>
      <c r="BJ3474">
        <v>0.2</v>
      </c>
      <c r="BK3474">
        <v>1</v>
      </c>
      <c r="BL3474">
        <v>69.98</v>
      </c>
      <c r="BM3474">
        <v>10.5</v>
      </c>
      <c r="BN3474">
        <v>80.48</v>
      </c>
      <c r="BO3474">
        <v>80.48</v>
      </c>
      <c r="BQ3474" t="s">
        <v>269</v>
      </c>
      <c r="BR3474" t="s">
        <v>84</v>
      </c>
      <c r="BS3474" s="3">
        <v>45805</v>
      </c>
      <c r="BT3474" s="4">
        <v>0.42291666666666666</v>
      </c>
      <c r="BU3474" t="s">
        <v>487</v>
      </c>
      <c r="BV3474" t="s">
        <v>86</v>
      </c>
      <c r="BY3474">
        <v>1200</v>
      </c>
      <c r="CA3474" t="s">
        <v>271</v>
      </c>
      <c r="CC3474" t="s">
        <v>267</v>
      </c>
      <c r="CD3474">
        <v>6220</v>
      </c>
      <c r="CE3474" t="s">
        <v>88</v>
      </c>
      <c r="CF3474" s="3">
        <v>45805</v>
      </c>
      <c r="CI3474">
        <v>1</v>
      </c>
      <c r="CJ3474">
        <v>1</v>
      </c>
      <c r="CK3474">
        <v>21</v>
      </c>
      <c r="CL3474" t="s">
        <v>89</v>
      </c>
    </row>
    <row r="3475" spans="1:90" x14ac:dyDescent="0.3">
      <c r="A3475" t="s">
        <v>72</v>
      </c>
      <c r="B3475" t="s">
        <v>73</v>
      </c>
      <c r="C3475" t="s">
        <v>74</v>
      </c>
      <c r="E3475" t="str">
        <f>"080065592343"</f>
        <v>080065592343</v>
      </c>
      <c r="F3475" s="3">
        <v>45804</v>
      </c>
      <c r="G3475">
        <v>202602</v>
      </c>
      <c r="H3475" t="s">
        <v>75</v>
      </c>
      <c r="I3475" t="s">
        <v>76</v>
      </c>
      <c r="J3475" t="s">
        <v>77</v>
      </c>
      <c r="K3475" t="s">
        <v>78</v>
      </c>
      <c r="L3475" t="s">
        <v>409</v>
      </c>
      <c r="M3475" t="s">
        <v>410</v>
      </c>
      <c r="N3475" t="s">
        <v>411</v>
      </c>
      <c r="O3475" t="s">
        <v>82</v>
      </c>
      <c r="P3475" t="str">
        <f>"4170040907                    "</f>
        <v xml:space="preserve">4170040907                    </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c r="AI3475">
        <v>0</v>
      </c>
      <c r="AJ3475">
        <v>0</v>
      </c>
      <c r="AK3475">
        <v>0</v>
      </c>
      <c r="AL3475">
        <v>0</v>
      </c>
      <c r="AM3475">
        <v>0</v>
      </c>
      <c r="AN3475">
        <v>0</v>
      </c>
      <c r="AO3475">
        <v>0</v>
      </c>
      <c r="AP3475">
        <v>0</v>
      </c>
      <c r="AQ3475">
        <v>41.43</v>
      </c>
      <c r="AR3475">
        <v>0</v>
      </c>
      <c r="AS3475">
        <v>0</v>
      </c>
      <c r="AT3475">
        <v>0</v>
      </c>
      <c r="AU3475">
        <v>0</v>
      </c>
      <c r="AV3475">
        <v>0</v>
      </c>
      <c r="AW3475">
        <v>0</v>
      </c>
      <c r="AX3475">
        <v>0</v>
      </c>
      <c r="AY3475">
        <v>0</v>
      </c>
      <c r="AZ3475">
        <v>0</v>
      </c>
      <c r="BA3475">
        <v>0</v>
      </c>
      <c r="BB3475">
        <v>0</v>
      </c>
      <c r="BC3475">
        <v>0</v>
      </c>
      <c r="BD3475">
        <v>0</v>
      </c>
      <c r="BE3475">
        <v>0</v>
      </c>
      <c r="BF3475">
        <v>0</v>
      </c>
      <c r="BG3475">
        <v>0</v>
      </c>
      <c r="BH3475">
        <v>1</v>
      </c>
      <c r="BI3475">
        <v>1</v>
      </c>
      <c r="BJ3475">
        <v>0.2</v>
      </c>
      <c r="BK3475">
        <v>1</v>
      </c>
      <c r="BL3475">
        <v>135.59</v>
      </c>
      <c r="BM3475">
        <v>20.34</v>
      </c>
      <c r="BN3475">
        <v>155.93</v>
      </c>
      <c r="BO3475">
        <v>155.93</v>
      </c>
      <c r="BQ3475" t="s">
        <v>412</v>
      </c>
      <c r="BR3475" t="s">
        <v>84</v>
      </c>
      <c r="BS3475" s="3">
        <v>45805</v>
      </c>
      <c r="BT3475" s="4">
        <v>0.48194444444444445</v>
      </c>
      <c r="BU3475" t="s">
        <v>413</v>
      </c>
      <c r="BV3475" t="s">
        <v>86</v>
      </c>
      <c r="BY3475">
        <v>1200</v>
      </c>
      <c r="CA3475" t="s">
        <v>414</v>
      </c>
      <c r="CC3475" t="s">
        <v>410</v>
      </c>
      <c r="CD3475">
        <v>6850</v>
      </c>
      <c r="CE3475" t="s">
        <v>88</v>
      </c>
      <c r="CF3475" s="3">
        <v>45806</v>
      </c>
      <c r="CI3475">
        <v>2</v>
      </c>
      <c r="CJ3475">
        <v>1</v>
      </c>
      <c r="CK3475">
        <v>23</v>
      </c>
      <c r="CL3475" t="s">
        <v>89</v>
      </c>
    </row>
    <row r="3476" spans="1:90" x14ac:dyDescent="0.3">
      <c r="A3476" t="s">
        <v>72</v>
      </c>
      <c r="B3476" t="s">
        <v>73</v>
      </c>
      <c r="C3476" t="s">
        <v>74</v>
      </c>
      <c r="E3476" t="str">
        <f>"080065592517"</f>
        <v>080065592517</v>
      </c>
      <c r="F3476" s="3">
        <v>45804</v>
      </c>
      <c r="G3476">
        <v>202602</v>
      </c>
      <c r="H3476" t="s">
        <v>75</v>
      </c>
      <c r="I3476" t="s">
        <v>76</v>
      </c>
      <c r="J3476" t="s">
        <v>77</v>
      </c>
      <c r="K3476" t="s">
        <v>78</v>
      </c>
      <c r="L3476" t="s">
        <v>409</v>
      </c>
      <c r="M3476" t="s">
        <v>410</v>
      </c>
      <c r="N3476" t="s">
        <v>512</v>
      </c>
      <c r="O3476" t="s">
        <v>82</v>
      </c>
      <c r="P3476" t="str">
        <f>"4170040793                    "</f>
        <v xml:space="preserve">4170040793                    </v>
      </c>
      <c r="Q3476">
        <v>0</v>
      </c>
      <c r="R3476">
        <v>0</v>
      </c>
      <c r="S3476">
        <v>0</v>
      </c>
      <c r="T3476">
        <v>0</v>
      </c>
      <c r="U3476">
        <v>0</v>
      </c>
      <c r="V3476">
        <v>0</v>
      </c>
      <c r="W3476">
        <v>0</v>
      </c>
      <c r="X3476">
        <v>0</v>
      </c>
      <c r="Y3476">
        <v>0</v>
      </c>
      <c r="Z3476">
        <v>0</v>
      </c>
      <c r="AA3476">
        <v>0</v>
      </c>
      <c r="AB3476">
        <v>0</v>
      </c>
      <c r="AC3476">
        <v>0</v>
      </c>
      <c r="AD3476">
        <v>0</v>
      </c>
      <c r="AE3476">
        <v>0</v>
      </c>
      <c r="AF3476">
        <v>0</v>
      </c>
      <c r="AG3476">
        <v>0</v>
      </c>
      <c r="AH3476">
        <v>0</v>
      </c>
      <c r="AI3476">
        <v>0</v>
      </c>
      <c r="AJ3476">
        <v>0</v>
      </c>
      <c r="AK3476">
        <v>0</v>
      </c>
      <c r="AL3476">
        <v>0</v>
      </c>
      <c r="AM3476">
        <v>0</v>
      </c>
      <c r="AN3476">
        <v>0</v>
      </c>
      <c r="AO3476">
        <v>0</v>
      </c>
      <c r="AP3476">
        <v>0</v>
      </c>
      <c r="AQ3476">
        <v>41.43</v>
      </c>
      <c r="AR3476">
        <v>0</v>
      </c>
      <c r="AS3476">
        <v>0</v>
      </c>
      <c r="AT3476">
        <v>0</v>
      </c>
      <c r="AU3476">
        <v>0</v>
      </c>
      <c r="AV3476">
        <v>0</v>
      </c>
      <c r="AW3476">
        <v>0</v>
      </c>
      <c r="AX3476">
        <v>0</v>
      </c>
      <c r="AY3476">
        <v>0</v>
      </c>
      <c r="AZ3476">
        <v>0</v>
      </c>
      <c r="BA3476">
        <v>0</v>
      </c>
      <c r="BB3476">
        <v>0</v>
      </c>
      <c r="BC3476">
        <v>0</v>
      </c>
      <c r="BD3476">
        <v>0</v>
      </c>
      <c r="BE3476">
        <v>0</v>
      </c>
      <c r="BF3476">
        <v>0</v>
      </c>
      <c r="BG3476">
        <v>0</v>
      </c>
      <c r="BH3476">
        <v>1</v>
      </c>
      <c r="BI3476">
        <v>1</v>
      </c>
      <c r="BJ3476">
        <v>0.2</v>
      </c>
      <c r="BK3476">
        <v>1</v>
      </c>
      <c r="BL3476">
        <v>135.59</v>
      </c>
      <c r="BM3476">
        <v>20.34</v>
      </c>
      <c r="BN3476">
        <v>155.93</v>
      </c>
      <c r="BO3476">
        <v>155.93</v>
      </c>
      <c r="BQ3476" t="s">
        <v>513</v>
      </c>
      <c r="BR3476" t="s">
        <v>84</v>
      </c>
      <c r="BS3476" s="3">
        <v>45805</v>
      </c>
      <c r="BT3476" s="4">
        <v>0.49375000000000002</v>
      </c>
      <c r="BU3476" t="s">
        <v>3244</v>
      </c>
      <c r="BV3476" t="s">
        <v>86</v>
      </c>
      <c r="BY3476">
        <v>1200</v>
      </c>
      <c r="CA3476" t="s">
        <v>414</v>
      </c>
      <c r="CC3476" t="s">
        <v>410</v>
      </c>
      <c r="CD3476">
        <v>6850</v>
      </c>
      <c r="CE3476" t="s">
        <v>88</v>
      </c>
      <c r="CF3476" s="3">
        <v>45806</v>
      </c>
      <c r="CI3476">
        <v>2</v>
      </c>
      <c r="CJ3476">
        <v>1</v>
      </c>
      <c r="CK3476">
        <v>23</v>
      </c>
      <c r="CL3476" t="s">
        <v>89</v>
      </c>
    </row>
    <row r="3477" spans="1:90" x14ac:dyDescent="0.3">
      <c r="A3477" t="s">
        <v>72</v>
      </c>
      <c r="B3477" t="s">
        <v>73</v>
      </c>
      <c r="C3477" t="s">
        <v>74</v>
      </c>
      <c r="E3477" t="str">
        <f>"080065592523"</f>
        <v>080065592523</v>
      </c>
      <c r="F3477" s="3">
        <v>45804</v>
      </c>
      <c r="G3477">
        <v>202602</v>
      </c>
      <c r="H3477" t="s">
        <v>75</v>
      </c>
      <c r="I3477" t="s">
        <v>76</v>
      </c>
      <c r="J3477" t="s">
        <v>77</v>
      </c>
      <c r="K3477" t="s">
        <v>78</v>
      </c>
      <c r="L3477" t="s">
        <v>75</v>
      </c>
      <c r="M3477" t="s">
        <v>76</v>
      </c>
      <c r="N3477" t="s">
        <v>390</v>
      </c>
      <c r="O3477" t="s">
        <v>82</v>
      </c>
      <c r="P3477" t="str">
        <f>"4170040901                    "</f>
        <v xml:space="preserve">4170040901                    </v>
      </c>
      <c r="Q3477">
        <v>0</v>
      </c>
      <c r="R3477">
        <v>0</v>
      </c>
      <c r="S3477">
        <v>0</v>
      </c>
      <c r="T3477">
        <v>0</v>
      </c>
      <c r="U3477">
        <v>0</v>
      </c>
      <c r="V3477">
        <v>0</v>
      </c>
      <c r="W3477">
        <v>0</v>
      </c>
      <c r="X3477">
        <v>0</v>
      </c>
      <c r="Y3477">
        <v>0</v>
      </c>
      <c r="Z3477">
        <v>0</v>
      </c>
      <c r="AA3477">
        <v>0</v>
      </c>
      <c r="AB3477">
        <v>0</v>
      </c>
      <c r="AC3477">
        <v>0</v>
      </c>
      <c r="AD3477">
        <v>0</v>
      </c>
      <c r="AE3477">
        <v>0</v>
      </c>
      <c r="AF3477">
        <v>0</v>
      </c>
      <c r="AG3477">
        <v>0</v>
      </c>
      <c r="AH3477">
        <v>0</v>
      </c>
      <c r="AI3477">
        <v>0</v>
      </c>
      <c r="AJ3477">
        <v>0</v>
      </c>
      <c r="AK3477">
        <v>0</v>
      </c>
      <c r="AL3477">
        <v>0</v>
      </c>
      <c r="AM3477">
        <v>0</v>
      </c>
      <c r="AN3477">
        <v>0</v>
      </c>
      <c r="AO3477">
        <v>0</v>
      </c>
      <c r="AP3477">
        <v>0</v>
      </c>
      <c r="AQ3477">
        <v>16.7</v>
      </c>
      <c r="AR3477">
        <v>0</v>
      </c>
      <c r="AS3477">
        <v>0</v>
      </c>
      <c r="AT3477">
        <v>0</v>
      </c>
      <c r="AU3477">
        <v>0</v>
      </c>
      <c r="AV3477">
        <v>0</v>
      </c>
      <c r="AW3477">
        <v>0</v>
      </c>
      <c r="AX3477">
        <v>0</v>
      </c>
      <c r="AY3477">
        <v>0</v>
      </c>
      <c r="AZ3477">
        <v>0</v>
      </c>
      <c r="BA3477">
        <v>0</v>
      </c>
      <c r="BB3477">
        <v>0</v>
      </c>
      <c r="BC3477">
        <v>0</v>
      </c>
      <c r="BD3477">
        <v>0</v>
      </c>
      <c r="BE3477">
        <v>0</v>
      </c>
      <c r="BF3477">
        <v>0</v>
      </c>
      <c r="BG3477">
        <v>0</v>
      </c>
      <c r="BH3477">
        <v>1</v>
      </c>
      <c r="BI3477">
        <v>2</v>
      </c>
      <c r="BJ3477">
        <v>5.4</v>
      </c>
      <c r="BK3477">
        <v>6</v>
      </c>
      <c r="BL3477">
        <v>54.66</v>
      </c>
      <c r="BM3477">
        <v>8.1999999999999993</v>
      </c>
      <c r="BN3477">
        <v>62.86</v>
      </c>
      <c r="BO3477">
        <v>62.86</v>
      </c>
      <c r="BQ3477" t="s">
        <v>391</v>
      </c>
      <c r="BR3477" t="s">
        <v>84</v>
      </c>
      <c r="BS3477" s="3">
        <v>45805</v>
      </c>
      <c r="BT3477" s="4">
        <v>0.34375</v>
      </c>
      <c r="BU3477" t="s">
        <v>1060</v>
      </c>
      <c r="BV3477" t="s">
        <v>86</v>
      </c>
      <c r="BY3477">
        <v>27144</v>
      </c>
      <c r="CA3477" t="s">
        <v>115</v>
      </c>
      <c r="CC3477" t="s">
        <v>76</v>
      </c>
      <c r="CD3477">
        <v>1600</v>
      </c>
      <c r="CE3477" t="s">
        <v>96</v>
      </c>
      <c r="CF3477" s="3">
        <v>45805</v>
      </c>
      <c r="CI3477">
        <v>1</v>
      </c>
      <c r="CJ3477">
        <v>1</v>
      </c>
      <c r="CK3477">
        <v>22</v>
      </c>
      <c r="CL3477" t="s">
        <v>89</v>
      </c>
    </row>
    <row r="3478" spans="1:90" x14ac:dyDescent="0.3">
      <c r="A3478" t="s">
        <v>72</v>
      </c>
      <c r="B3478" t="s">
        <v>73</v>
      </c>
      <c r="C3478" t="s">
        <v>74</v>
      </c>
      <c r="E3478" t="str">
        <f>"080065592573"</f>
        <v>080065592573</v>
      </c>
      <c r="F3478" s="3">
        <v>45804</v>
      </c>
      <c r="G3478">
        <v>202602</v>
      </c>
      <c r="H3478" t="s">
        <v>75</v>
      </c>
      <c r="I3478" t="s">
        <v>76</v>
      </c>
      <c r="J3478" t="s">
        <v>77</v>
      </c>
      <c r="K3478" t="s">
        <v>78</v>
      </c>
      <c r="L3478" t="s">
        <v>117</v>
      </c>
      <c r="M3478" t="s">
        <v>118</v>
      </c>
      <c r="N3478" t="s">
        <v>532</v>
      </c>
      <c r="O3478" t="s">
        <v>82</v>
      </c>
      <c r="P3478" t="str">
        <f>"4170040915                    "</f>
        <v xml:space="preserve">4170040915                    </v>
      </c>
      <c r="Q3478">
        <v>0</v>
      </c>
      <c r="R3478">
        <v>0</v>
      </c>
      <c r="S3478">
        <v>0</v>
      </c>
      <c r="T3478">
        <v>0</v>
      </c>
      <c r="U3478">
        <v>0</v>
      </c>
      <c r="V3478">
        <v>0</v>
      </c>
      <c r="W3478">
        <v>0</v>
      </c>
      <c r="X3478">
        <v>0</v>
      </c>
      <c r="Y3478">
        <v>0</v>
      </c>
      <c r="Z3478">
        <v>0</v>
      </c>
      <c r="AA3478">
        <v>0</v>
      </c>
      <c r="AB3478">
        <v>0</v>
      </c>
      <c r="AC3478">
        <v>0</v>
      </c>
      <c r="AD3478">
        <v>0</v>
      </c>
      <c r="AE3478">
        <v>0</v>
      </c>
      <c r="AF3478">
        <v>0</v>
      </c>
      <c r="AG3478">
        <v>0</v>
      </c>
      <c r="AH3478">
        <v>0</v>
      </c>
      <c r="AI3478">
        <v>0</v>
      </c>
      <c r="AJ3478">
        <v>0</v>
      </c>
      <c r="AK3478">
        <v>0</v>
      </c>
      <c r="AL3478">
        <v>0</v>
      </c>
      <c r="AM3478">
        <v>0</v>
      </c>
      <c r="AN3478">
        <v>0</v>
      </c>
      <c r="AO3478">
        <v>0</v>
      </c>
      <c r="AP3478">
        <v>0</v>
      </c>
      <c r="AQ3478">
        <v>16.7</v>
      </c>
      <c r="AR3478">
        <v>0</v>
      </c>
      <c r="AS3478">
        <v>0</v>
      </c>
      <c r="AT3478">
        <v>0</v>
      </c>
      <c r="AU3478">
        <v>0</v>
      </c>
      <c r="AV3478">
        <v>0</v>
      </c>
      <c r="AW3478">
        <v>0</v>
      </c>
      <c r="AX3478">
        <v>0</v>
      </c>
      <c r="AY3478">
        <v>0</v>
      </c>
      <c r="AZ3478">
        <v>0</v>
      </c>
      <c r="BA3478">
        <v>0</v>
      </c>
      <c r="BB3478">
        <v>0</v>
      </c>
      <c r="BC3478">
        <v>0</v>
      </c>
      <c r="BD3478">
        <v>0</v>
      </c>
      <c r="BE3478">
        <v>0</v>
      </c>
      <c r="BF3478">
        <v>0</v>
      </c>
      <c r="BG3478">
        <v>0</v>
      </c>
      <c r="BH3478">
        <v>1</v>
      </c>
      <c r="BI3478">
        <v>1</v>
      </c>
      <c r="BJ3478">
        <v>0.2</v>
      </c>
      <c r="BK3478">
        <v>1</v>
      </c>
      <c r="BL3478">
        <v>54.66</v>
      </c>
      <c r="BM3478">
        <v>8.1999999999999993</v>
      </c>
      <c r="BN3478">
        <v>62.86</v>
      </c>
      <c r="BO3478">
        <v>62.86</v>
      </c>
      <c r="BQ3478" t="s">
        <v>533</v>
      </c>
      <c r="BR3478" t="s">
        <v>84</v>
      </c>
      <c r="BS3478" s="3">
        <v>45805</v>
      </c>
      <c r="BT3478" s="4">
        <v>0.40277777777777779</v>
      </c>
      <c r="BU3478" t="s">
        <v>348</v>
      </c>
      <c r="BV3478" t="s">
        <v>86</v>
      </c>
      <c r="BY3478">
        <v>1200</v>
      </c>
      <c r="CA3478" t="s">
        <v>535</v>
      </c>
      <c r="CC3478" t="s">
        <v>118</v>
      </c>
      <c r="CD3478">
        <v>2094</v>
      </c>
      <c r="CE3478" t="s">
        <v>88</v>
      </c>
      <c r="CF3478" s="3">
        <v>45806</v>
      </c>
      <c r="CI3478">
        <v>1</v>
      </c>
      <c r="CJ3478">
        <v>1</v>
      </c>
      <c r="CK3478">
        <v>22</v>
      </c>
      <c r="CL3478" t="s">
        <v>89</v>
      </c>
    </row>
    <row r="3479" spans="1:90" x14ac:dyDescent="0.3">
      <c r="A3479" t="s">
        <v>72</v>
      </c>
      <c r="B3479" t="s">
        <v>73</v>
      </c>
      <c r="C3479" t="s">
        <v>74</v>
      </c>
      <c r="E3479" t="str">
        <f>"080065592619"</f>
        <v>080065592619</v>
      </c>
      <c r="F3479" s="3">
        <v>45804</v>
      </c>
      <c r="G3479">
        <v>202602</v>
      </c>
      <c r="H3479" t="s">
        <v>75</v>
      </c>
      <c r="I3479" t="s">
        <v>76</v>
      </c>
      <c r="J3479" t="s">
        <v>77</v>
      </c>
      <c r="K3479" t="s">
        <v>78</v>
      </c>
      <c r="L3479" t="s">
        <v>90</v>
      </c>
      <c r="M3479" t="s">
        <v>91</v>
      </c>
      <c r="N3479" t="s">
        <v>563</v>
      </c>
      <c r="O3479" t="s">
        <v>82</v>
      </c>
      <c r="P3479" t="str">
        <f>"4170040925                    "</f>
        <v xml:space="preserve">4170040925                    </v>
      </c>
      <c r="Q3479">
        <v>0</v>
      </c>
      <c r="R3479">
        <v>0</v>
      </c>
      <c r="S3479">
        <v>0</v>
      </c>
      <c r="T3479">
        <v>0</v>
      </c>
      <c r="U3479">
        <v>0</v>
      </c>
      <c r="V3479">
        <v>0</v>
      </c>
      <c r="W3479">
        <v>0</v>
      </c>
      <c r="X3479">
        <v>0</v>
      </c>
      <c r="Y3479">
        <v>0</v>
      </c>
      <c r="Z3479">
        <v>0</v>
      </c>
      <c r="AA3479">
        <v>0</v>
      </c>
      <c r="AB3479">
        <v>0</v>
      </c>
      <c r="AC3479">
        <v>0</v>
      </c>
      <c r="AD3479">
        <v>0</v>
      </c>
      <c r="AE3479">
        <v>0</v>
      </c>
      <c r="AF3479">
        <v>0</v>
      </c>
      <c r="AG3479">
        <v>0</v>
      </c>
      <c r="AH3479">
        <v>0</v>
      </c>
      <c r="AI3479">
        <v>0</v>
      </c>
      <c r="AJ3479">
        <v>0</v>
      </c>
      <c r="AK3479">
        <v>0</v>
      </c>
      <c r="AL3479">
        <v>0</v>
      </c>
      <c r="AM3479">
        <v>0</v>
      </c>
      <c r="AN3479">
        <v>0</v>
      </c>
      <c r="AO3479">
        <v>0</v>
      </c>
      <c r="AP3479">
        <v>0</v>
      </c>
      <c r="AQ3479">
        <v>21.38</v>
      </c>
      <c r="AR3479">
        <v>0</v>
      </c>
      <c r="AS3479">
        <v>0</v>
      </c>
      <c r="AT3479">
        <v>0</v>
      </c>
      <c r="AU3479">
        <v>0</v>
      </c>
      <c r="AV3479">
        <v>0</v>
      </c>
      <c r="AW3479">
        <v>0</v>
      </c>
      <c r="AX3479">
        <v>0</v>
      </c>
      <c r="AY3479">
        <v>0</v>
      </c>
      <c r="AZ3479">
        <v>0</v>
      </c>
      <c r="BA3479">
        <v>0</v>
      </c>
      <c r="BB3479">
        <v>0</v>
      </c>
      <c r="BC3479">
        <v>0</v>
      </c>
      <c r="BD3479">
        <v>0</v>
      </c>
      <c r="BE3479">
        <v>0</v>
      </c>
      <c r="BF3479">
        <v>0</v>
      </c>
      <c r="BG3479">
        <v>0</v>
      </c>
      <c r="BH3479">
        <v>1</v>
      </c>
      <c r="BI3479">
        <v>1</v>
      </c>
      <c r="BJ3479">
        <v>0.2</v>
      </c>
      <c r="BK3479">
        <v>1</v>
      </c>
      <c r="BL3479">
        <v>69.98</v>
      </c>
      <c r="BM3479">
        <v>10.5</v>
      </c>
      <c r="BN3479">
        <v>80.48</v>
      </c>
      <c r="BO3479">
        <v>80.48</v>
      </c>
      <c r="BQ3479" t="s">
        <v>564</v>
      </c>
      <c r="BR3479" t="s">
        <v>84</v>
      </c>
      <c r="BS3479" s="3">
        <v>45805</v>
      </c>
      <c r="BT3479" s="4">
        <v>0.34444444444444444</v>
      </c>
      <c r="BU3479" t="s">
        <v>2082</v>
      </c>
      <c r="BV3479" t="s">
        <v>86</v>
      </c>
      <c r="BY3479">
        <v>1200</v>
      </c>
      <c r="CA3479" t="s">
        <v>566</v>
      </c>
      <c r="CC3479" t="s">
        <v>91</v>
      </c>
      <c r="CD3479">
        <v>6001</v>
      </c>
      <c r="CE3479" t="s">
        <v>176</v>
      </c>
      <c r="CF3479" s="3">
        <v>45805</v>
      </c>
      <c r="CI3479">
        <v>1</v>
      </c>
      <c r="CJ3479">
        <v>1</v>
      </c>
      <c r="CK3479">
        <v>21</v>
      </c>
      <c r="CL3479" t="s">
        <v>89</v>
      </c>
    </row>
    <row r="3480" spans="1:90" x14ac:dyDescent="0.3">
      <c r="A3480" t="s">
        <v>72</v>
      </c>
      <c r="B3480" t="s">
        <v>73</v>
      </c>
      <c r="C3480" t="s">
        <v>74</v>
      </c>
      <c r="E3480" t="str">
        <f>"080065592620"</f>
        <v>080065592620</v>
      </c>
      <c r="F3480" s="3">
        <v>45804</v>
      </c>
      <c r="G3480">
        <v>202602</v>
      </c>
      <c r="H3480" t="s">
        <v>75</v>
      </c>
      <c r="I3480" t="s">
        <v>76</v>
      </c>
      <c r="J3480" t="s">
        <v>77</v>
      </c>
      <c r="K3480" t="s">
        <v>78</v>
      </c>
      <c r="L3480" t="s">
        <v>90</v>
      </c>
      <c r="M3480" t="s">
        <v>91</v>
      </c>
      <c r="N3480" t="s">
        <v>92</v>
      </c>
      <c r="O3480" t="s">
        <v>300</v>
      </c>
      <c r="P3480" t="str">
        <f>"4170040831                    "</f>
        <v xml:space="preserve">4170040831                    </v>
      </c>
      <c r="Q3480">
        <v>0</v>
      </c>
      <c r="R3480">
        <v>0</v>
      </c>
      <c r="S3480">
        <v>0</v>
      </c>
      <c r="T3480">
        <v>0</v>
      </c>
      <c r="U3480">
        <v>0</v>
      </c>
      <c r="V3480">
        <v>0</v>
      </c>
      <c r="W3480">
        <v>0</v>
      </c>
      <c r="X3480">
        <v>0</v>
      </c>
      <c r="Y3480">
        <v>0</v>
      </c>
      <c r="Z3480">
        <v>0</v>
      </c>
      <c r="AA3480">
        <v>0</v>
      </c>
      <c r="AB3480">
        <v>0</v>
      </c>
      <c r="AC3480">
        <v>0</v>
      </c>
      <c r="AD3480">
        <v>0</v>
      </c>
      <c r="AE3480">
        <v>0</v>
      </c>
      <c r="AF3480">
        <v>0</v>
      </c>
      <c r="AG3480">
        <v>0</v>
      </c>
      <c r="AH3480">
        <v>0</v>
      </c>
      <c r="AI3480">
        <v>0</v>
      </c>
      <c r="AJ3480">
        <v>0</v>
      </c>
      <c r="AK3480">
        <v>0</v>
      </c>
      <c r="AL3480">
        <v>0</v>
      </c>
      <c r="AM3480">
        <v>0</v>
      </c>
      <c r="AN3480">
        <v>0</v>
      </c>
      <c r="AO3480">
        <v>0</v>
      </c>
      <c r="AP3480">
        <v>0</v>
      </c>
      <c r="AQ3480">
        <v>92.57</v>
      </c>
      <c r="AR3480">
        <v>0</v>
      </c>
      <c r="AS3480">
        <v>0</v>
      </c>
      <c r="AT3480">
        <v>0</v>
      </c>
      <c r="AU3480">
        <v>0</v>
      </c>
      <c r="AV3480">
        <v>0</v>
      </c>
      <c r="AW3480">
        <v>0</v>
      </c>
      <c r="AX3480">
        <v>0</v>
      </c>
      <c r="AY3480">
        <v>0</v>
      </c>
      <c r="AZ3480">
        <v>0</v>
      </c>
      <c r="BA3480">
        <v>0</v>
      </c>
      <c r="BB3480">
        <v>0</v>
      </c>
      <c r="BC3480">
        <v>0</v>
      </c>
      <c r="BD3480">
        <v>0</v>
      </c>
      <c r="BE3480">
        <v>0</v>
      </c>
      <c r="BF3480">
        <v>0</v>
      </c>
      <c r="BG3480">
        <v>0</v>
      </c>
      <c r="BH3480">
        <v>3</v>
      </c>
      <c r="BI3480">
        <v>26</v>
      </c>
      <c r="BJ3480">
        <v>44.3</v>
      </c>
      <c r="BK3480">
        <v>45</v>
      </c>
      <c r="BL3480">
        <v>308.52</v>
      </c>
      <c r="BM3480">
        <v>46.28</v>
      </c>
      <c r="BN3480">
        <v>354.8</v>
      </c>
      <c r="BO3480">
        <v>354.8</v>
      </c>
      <c r="BQ3480" t="s">
        <v>93</v>
      </c>
      <c r="BR3480" t="s">
        <v>84</v>
      </c>
      <c r="BS3480" s="3">
        <v>45806</v>
      </c>
      <c r="BT3480" s="4">
        <v>0.40486111111111112</v>
      </c>
      <c r="BU3480" t="s">
        <v>205</v>
      </c>
      <c r="BV3480" t="s">
        <v>86</v>
      </c>
      <c r="BY3480">
        <v>132960</v>
      </c>
      <c r="CA3480" t="s">
        <v>95</v>
      </c>
      <c r="CC3480" t="s">
        <v>91</v>
      </c>
      <c r="CD3480">
        <v>6001</v>
      </c>
      <c r="CE3480" t="s">
        <v>176</v>
      </c>
      <c r="CF3480" s="3">
        <v>45806</v>
      </c>
      <c r="CI3480">
        <v>3</v>
      </c>
      <c r="CJ3480">
        <v>2</v>
      </c>
      <c r="CK3480">
        <v>41</v>
      </c>
      <c r="CL3480" t="s">
        <v>89</v>
      </c>
    </row>
    <row r="3481" spans="1:90" x14ac:dyDescent="0.3">
      <c r="A3481" t="s">
        <v>72</v>
      </c>
      <c r="B3481" t="s">
        <v>73</v>
      </c>
      <c r="C3481" t="s">
        <v>74</v>
      </c>
      <c r="E3481" t="str">
        <f>"080065592677"</f>
        <v>080065592677</v>
      </c>
      <c r="F3481" s="3">
        <v>45804</v>
      </c>
      <c r="G3481">
        <v>202602</v>
      </c>
      <c r="H3481" t="s">
        <v>75</v>
      </c>
      <c r="I3481" t="s">
        <v>76</v>
      </c>
      <c r="J3481" t="s">
        <v>77</v>
      </c>
      <c r="K3481" t="s">
        <v>78</v>
      </c>
      <c r="L3481" t="s">
        <v>130</v>
      </c>
      <c r="M3481" t="s">
        <v>131</v>
      </c>
      <c r="N3481" t="s">
        <v>897</v>
      </c>
      <c r="O3481" t="s">
        <v>82</v>
      </c>
      <c r="P3481" t="str">
        <f>"4170040460                    "</f>
        <v xml:space="preserve">4170040460                    </v>
      </c>
      <c r="Q3481">
        <v>0</v>
      </c>
      <c r="R3481">
        <v>0</v>
      </c>
      <c r="S3481">
        <v>0</v>
      </c>
      <c r="T3481">
        <v>0</v>
      </c>
      <c r="U3481">
        <v>0</v>
      </c>
      <c r="V3481">
        <v>0</v>
      </c>
      <c r="W3481">
        <v>0</v>
      </c>
      <c r="X3481">
        <v>0</v>
      </c>
      <c r="Y3481">
        <v>0</v>
      </c>
      <c r="Z3481">
        <v>0</v>
      </c>
      <c r="AA3481">
        <v>0</v>
      </c>
      <c r="AB3481">
        <v>0</v>
      </c>
      <c r="AC3481">
        <v>0</v>
      </c>
      <c r="AD3481">
        <v>0</v>
      </c>
      <c r="AE3481">
        <v>0</v>
      </c>
      <c r="AF3481">
        <v>0</v>
      </c>
      <c r="AG3481">
        <v>0</v>
      </c>
      <c r="AH3481">
        <v>0</v>
      </c>
      <c r="AI3481">
        <v>0</v>
      </c>
      <c r="AJ3481">
        <v>0</v>
      </c>
      <c r="AK3481">
        <v>0</v>
      </c>
      <c r="AL3481">
        <v>0</v>
      </c>
      <c r="AM3481">
        <v>0</v>
      </c>
      <c r="AN3481">
        <v>0</v>
      </c>
      <c r="AO3481">
        <v>0</v>
      </c>
      <c r="AP3481">
        <v>0</v>
      </c>
      <c r="AQ3481">
        <v>21.38</v>
      </c>
      <c r="AR3481">
        <v>0</v>
      </c>
      <c r="AS3481">
        <v>0</v>
      </c>
      <c r="AT3481">
        <v>0</v>
      </c>
      <c r="AU3481">
        <v>0</v>
      </c>
      <c r="AV3481">
        <v>0</v>
      </c>
      <c r="AW3481">
        <v>0</v>
      </c>
      <c r="AX3481">
        <v>0</v>
      </c>
      <c r="AY3481">
        <v>0</v>
      </c>
      <c r="AZ3481">
        <v>0</v>
      </c>
      <c r="BA3481">
        <v>0</v>
      </c>
      <c r="BB3481">
        <v>0</v>
      </c>
      <c r="BC3481">
        <v>0</v>
      </c>
      <c r="BD3481">
        <v>0</v>
      </c>
      <c r="BE3481">
        <v>0</v>
      </c>
      <c r="BF3481">
        <v>0</v>
      </c>
      <c r="BG3481">
        <v>0</v>
      </c>
      <c r="BH3481">
        <v>1</v>
      </c>
      <c r="BI3481">
        <v>1</v>
      </c>
      <c r="BJ3481">
        <v>0.2</v>
      </c>
      <c r="BK3481">
        <v>1</v>
      </c>
      <c r="BL3481">
        <v>69.98</v>
      </c>
      <c r="BM3481">
        <v>10.5</v>
      </c>
      <c r="BN3481">
        <v>80.48</v>
      </c>
      <c r="BO3481">
        <v>80.48</v>
      </c>
      <c r="BQ3481" t="s">
        <v>898</v>
      </c>
      <c r="BR3481" t="s">
        <v>84</v>
      </c>
      <c r="BS3481" s="3">
        <v>45805</v>
      </c>
      <c r="BT3481" s="4">
        <v>0.4152777777777778</v>
      </c>
      <c r="BU3481" t="s">
        <v>899</v>
      </c>
      <c r="BV3481" t="s">
        <v>86</v>
      </c>
      <c r="BY3481">
        <v>1200</v>
      </c>
      <c r="CA3481" t="s">
        <v>901</v>
      </c>
      <c r="CC3481" t="s">
        <v>131</v>
      </c>
      <c r="CD3481">
        <v>7550</v>
      </c>
      <c r="CE3481" t="s">
        <v>176</v>
      </c>
      <c r="CF3481" s="3">
        <v>45806</v>
      </c>
      <c r="CI3481">
        <v>1</v>
      </c>
      <c r="CJ3481">
        <v>1</v>
      </c>
      <c r="CK3481">
        <v>21</v>
      </c>
      <c r="CL3481" t="s">
        <v>89</v>
      </c>
    </row>
    <row r="3482" spans="1:90" x14ac:dyDescent="0.3">
      <c r="A3482" t="s">
        <v>72</v>
      </c>
      <c r="B3482" t="s">
        <v>73</v>
      </c>
      <c r="C3482" t="s">
        <v>74</v>
      </c>
      <c r="E3482" t="str">
        <f>"080065592695"</f>
        <v>080065592695</v>
      </c>
      <c r="F3482" s="3">
        <v>45804</v>
      </c>
      <c r="G3482">
        <v>202602</v>
      </c>
      <c r="H3482" t="s">
        <v>75</v>
      </c>
      <c r="I3482" t="s">
        <v>76</v>
      </c>
      <c r="J3482" t="s">
        <v>77</v>
      </c>
      <c r="K3482" t="s">
        <v>78</v>
      </c>
      <c r="L3482" t="s">
        <v>103</v>
      </c>
      <c r="M3482" t="s">
        <v>104</v>
      </c>
      <c r="N3482" t="s">
        <v>633</v>
      </c>
      <c r="O3482" t="s">
        <v>82</v>
      </c>
      <c r="P3482" t="str">
        <f>"4170040889                    "</f>
        <v xml:space="preserve">4170040889                    </v>
      </c>
      <c r="Q3482">
        <v>0</v>
      </c>
      <c r="R3482">
        <v>0</v>
      </c>
      <c r="S3482">
        <v>0</v>
      </c>
      <c r="T3482">
        <v>0</v>
      </c>
      <c r="U3482">
        <v>0</v>
      </c>
      <c r="V3482">
        <v>0</v>
      </c>
      <c r="W3482">
        <v>0</v>
      </c>
      <c r="X3482">
        <v>0</v>
      </c>
      <c r="Y3482">
        <v>0</v>
      </c>
      <c r="Z3482">
        <v>0</v>
      </c>
      <c r="AA3482">
        <v>0</v>
      </c>
      <c r="AB3482">
        <v>0</v>
      </c>
      <c r="AC3482">
        <v>0</v>
      </c>
      <c r="AD3482">
        <v>0</v>
      </c>
      <c r="AE3482">
        <v>0</v>
      </c>
      <c r="AF3482">
        <v>0</v>
      </c>
      <c r="AG3482">
        <v>0</v>
      </c>
      <c r="AH3482">
        <v>0</v>
      </c>
      <c r="AI3482">
        <v>0</v>
      </c>
      <c r="AJ3482">
        <v>0</v>
      </c>
      <c r="AK3482">
        <v>0</v>
      </c>
      <c r="AL3482">
        <v>0</v>
      </c>
      <c r="AM3482">
        <v>0</v>
      </c>
      <c r="AN3482">
        <v>0</v>
      </c>
      <c r="AO3482">
        <v>0</v>
      </c>
      <c r="AP3482">
        <v>0</v>
      </c>
      <c r="AQ3482">
        <v>138.9</v>
      </c>
      <c r="AR3482">
        <v>0</v>
      </c>
      <c r="AS3482">
        <v>0</v>
      </c>
      <c r="AT3482">
        <v>0</v>
      </c>
      <c r="AU3482">
        <v>0</v>
      </c>
      <c r="AV3482">
        <v>0</v>
      </c>
      <c r="AW3482">
        <v>0</v>
      </c>
      <c r="AX3482">
        <v>0</v>
      </c>
      <c r="AY3482">
        <v>0</v>
      </c>
      <c r="AZ3482">
        <v>0</v>
      </c>
      <c r="BA3482">
        <v>0</v>
      </c>
      <c r="BB3482">
        <v>0</v>
      </c>
      <c r="BC3482">
        <v>0</v>
      </c>
      <c r="BD3482">
        <v>0</v>
      </c>
      <c r="BE3482">
        <v>0</v>
      </c>
      <c r="BF3482">
        <v>0</v>
      </c>
      <c r="BG3482">
        <v>0</v>
      </c>
      <c r="BH3482">
        <v>1</v>
      </c>
      <c r="BI3482">
        <v>13</v>
      </c>
      <c r="BJ3482">
        <v>3.4</v>
      </c>
      <c r="BK3482">
        <v>13</v>
      </c>
      <c r="BL3482">
        <v>454.58</v>
      </c>
      <c r="BM3482">
        <v>68.19</v>
      </c>
      <c r="BN3482">
        <v>522.77</v>
      </c>
      <c r="BO3482">
        <v>522.77</v>
      </c>
      <c r="BQ3482" t="s">
        <v>634</v>
      </c>
      <c r="BR3482" t="s">
        <v>84</v>
      </c>
      <c r="BS3482" s="3">
        <v>45805</v>
      </c>
      <c r="BT3482" s="4">
        <v>0.59583333333333333</v>
      </c>
      <c r="BU3482" t="s">
        <v>3263</v>
      </c>
      <c r="BV3482" t="s">
        <v>86</v>
      </c>
      <c r="BY3482">
        <v>16965</v>
      </c>
      <c r="CA3482" t="s">
        <v>2367</v>
      </c>
      <c r="CC3482" t="s">
        <v>104</v>
      </c>
      <c r="CD3482">
        <v>3212</v>
      </c>
      <c r="CE3482" t="s">
        <v>176</v>
      </c>
      <c r="CF3482" s="3">
        <v>45806</v>
      </c>
      <c r="CI3482">
        <v>2</v>
      </c>
      <c r="CJ3482">
        <v>1</v>
      </c>
      <c r="CK3482">
        <v>21</v>
      </c>
      <c r="CL3482" t="s">
        <v>89</v>
      </c>
    </row>
    <row r="3483" spans="1:90" x14ac:dyDescent="0.3">
      <c r="A3483" t="s">
        <v>72</v>
      </c>
      <c r="B3483" t="s">
        <v>73</v>
      </c>
      <c r="C3483" t="s">
        <v>74</v>
      </c>
      <c r="E3483" t="str">
        <f>"080065592743"</f>
        <v>080065592743</v>
      </c>
      <c r="F3483" s="3">
        <v>45804</v>
      </c>
      <c r="G3483">
        <v>202602</v>
      </c>
      <c r="H3483" t="s">
        <v>75</v>
      </c>
      <c r="I3483" t="s">
        <v>76</v>
      </c>
      <c r="J3483" t="s">
        <v>77</v>
      </c>
      <c r="K3483" t="s">
        <v>78</v>
      </c>
      <c r="L3483" t="s">
        <v>130</v>
      </c>
      <c r="M3483" t="s">
        <v>131</v>
      </c>
      <c r="N3483" t="s">
        <v>897</v>
      </c>
      <c r="O3483" t="s">
        <v>82</v>
      </c>
      <c r="P3483" t="str">
        <f>"4170040586                    "</f>
        <v xml:space="preserve">4170040586                    </v>
      </c>
      <c r="Q3483">
        <v>0</v>
      </c>
      <c r="R3483">
        <v>0</v>
      </c>
      <c r="S3483">
        <v>0</v>
      </c>
      <c r="T3483">
        <v>0</v>
      </c>
      <c r="U3483">
        <v>0</v>
      </c>
      <c r="V3483">
        <v>0</v>
      </c>
      <c r="W3483">
        <v>0</v>
      </c>
      <c r="X3483">
        <v>0</v>
      </c>
      <c r="Y3483">
        <v>0</v>
      </c>
      <c r="Z3483">
        <v>0</v>
      </c>
      <c r="AA3483">
        <v>0</v>
      </c>
      <c r="AB3483">
        <v>0</v>
      </c>
      <c r="AC3483">
        <v>0</v>
      </c>
      <c r="AD3483">
        <v>0</v>
      </c>
      <c r="AE3483">
        <v>0</v>
      </c>
      <c r="AF3483">
        <v>0</v>
      </c>
      <c r="AG3483">
        <v>0</v>
      </c>
      <c r="AH3483">
        <v>0</v>
      </c>
      <c r="AI3483">
        <v>0</v>
      </c>
      <c r="AJ3483">
        <v>0</v>
      </c>
      <c r="AK3483">
        <v>0</v>
      </c>
      <c r="AL3483">
        <v>0</v>
      </c>
      <c r="AM3483">
        <v>0</v>
      </c>
      <c r="AN3483">
        <v>0</v>
      </c>
      <c r="AO3483">
        <v>0</v>
      </c>
      <c r="AP3483">
        <v>0</v>
      </c>
      <c r="AQ3483">
        <v>21.38</v>
      </c>
      <c r="AR3483">
        <v>0</v>
      </c>
      <c r="AS3483">
        <v>0</v>
      </c>
      <c r="AT3483">
        <v>0</v>
      </c>
      <c r="AU3483">
        <v>0</v>
      </c>
      <c r="AV3483">
        <v>0</v>
      </c>
      <c r="AW3483">
        <v>0</v>
      </c>
      <c r="AX3483">
        <v>0</v>
      </c>
      <c r="AY3483">
        <v>0</v>
      </c>
      <c r="AZ3483">
        <v>0</v>
      </c>
      <c r="BA3483">
        <v>0</v>
      </c>
      <c r="BB3483">
        <v>0</v>
      </c>
      <c r="BC3483">
        <v>0</v>
      </c>
      <c r="BD3483">
        <v>0</v>
      </c>
      <c r="BE3483">
        <v>0</v>
      </c>
      <c r="BF3483">
        <v>0</v>
      </c>
      <c r="BG3483">
        <v>0</v>
      </c>
      <c r="BH3483">
        <v>1</v>
      </c>
      <c r="BI3483">
        <v>1</v>
      </c>
      <c r="BJ3483">
        <v>0.2</v>
      </c>
      <c r="BK3483">
        <v>1</v>
      </c>
      <c r="BL3483">
        <v>69.98</v>
      </c>
      <c r="BM3483">
        <v>10.5</v>
      </c>
      <c r="BN3483">
        <v>80.48</v>
      </c>
      <c r="BO3483">
        <v>80.48</v>
      </c>
      <c r="BQ3483" t="s">
        <v>898</v>
      </c>
      <c r="BR3483" t="s">
        <v>84</v>
      </c>
      <c r="BS3483" s="3">
        <v>45805</v>
      </c>
      <c r="BT3483" s="4">
        <v>0.4152777777777778</v>
      </c>
      <c r="BU3483" t="s">
        <v>899</v>
      </c>
      <c r="BV3483" t="s">
        <v>86</v>
      </c>
      <c r="BY3483">
        <v>1200</v>
      </c>
      <c r="CA3483" t="s">
        <v>901</v>
      </c>
      <c r="CC3483" t="s">
        <v>131</v>
      </c>
      <c r="CD3483">
        <v>7550</v>
      </c>
      <c r="CE3483" t="s">
        <v>88</v>
      </c>
      <c r="CF3483" s="3">
        <v>45806</v>
      </c>
      <c r="CI3483">
        <v>1</v>
      </c>
      <c r="CJ3483">
        <v>1</v>
      </c>
      <c r="CK3483">
        <v>21</v>
      </c>
      <c r="CL3483" t="s">
        <v>89</v>
      </c>
    </row>
    <row r="3484" spans="1:90" x14ac:dyDescent="0.3">
      <c r="A3484" t="s">
        <v>72</v>
      </c>
      <c r="B3484" t="s">
        <v>73</v>
      </c>
      <c r="C3484" t="s">
        <v>74</v>
      </c>
      <c r="E3484" t="str">
        <f>"080065592790"</f>
        <v>080065592790</v>
      </c>
      <c r="F3484" s="3">
        <v>45804</v>
      </c>
      <c r="G3484">
        <v>202602</v>
      </c>
      <c r="H3484" t="s">
        <v>75</v>
      </c>
      <c r="I3484" t="s">
        <v>76</v>
      </c>
      <c r="J3484" t="s">
        <v>77</v>
      </c>
      <c r="K3484" t="s">
        <v>78</v>
      </c>
      <c r="L3484" t="s">
        <v>420</v>
      </c>
      <c r="M3484" t="s">
        <v>421</v>
      </c>
      <c r="N3484" t="s">
        <v>1914</v>
      </c>
      <c r="O3484" t="s">
        <v>82</v>
      </c>
      <c r="P3484" t="str">
        <f>"4170040834                    "</f>
        <v xml:space="preserve">4170040834                    </v>
      </c>
      <c r="Q3484">
        <v>0</v>
      </c>
      <c r="R3484">
        <v>0</v>
      </c>
      <c r="S3484">
        <v>0</v>
      </c>
      <c r="T3484">
        <v>0</v>
      </c>
      <c r="U3484">
        <v>0</v>
      </c>
      <c r="V3484">
        <v>0</v>
      </c>
      <c r="W3484">
        <v>0</v>
      </c>
      <c r="X3484">
        <v>0</v>
      </c>
      <c r="Y3484">
        <v>0</v>
      </c>
      <c r="Z3484">
        <v>0</v>
      </c>
      <c r="AA3484">
        <v>0</v>
      </c>
      <c r="AB3484">
        <v>0</v>
      </c>
      <c r="AC3484">
        <v>0</v>
      </c>
      <c r="AD3484">
        <v>0</v>
      </c>
      <c r="AE3484">
        <v>0</v>
      </c>
      <c r="AF3484">
        <v>0</v>
      </c>
      <c r="AG3484">
        <v>0</v>
      </c>
      <c r="AH3484">
        <v>0</v>
      </c>
      <c r="AI3484">
        <v>0</v>
      </c>
      <c r="AJ3484">
        <v>0</v>
      </c>
      <c r="AK3484">
        <v>0</v>
      </c>
      <c r="AL3484">
        <v>0</v>
      </c>
      <c r="AM3484">
        <v>0</v>
      </c>
      <c r="AN3484">
        <v>0</v>
      </c>
      <c r="AO3484">
        <v>0</v>
      </c>
      <c r="AP3484">
        <v>0</v>
      </c>
      <c r="AQ3484">
        <v>41.43</v>
      </c>
      <c r="AR3484">
        <v>0</v>
      </c>
      <c r="AS3484">
        <v>0</v>
      </c>
      <c r="AT3484">
        <v>0</v>
      </c>
      <c r="AU3484">
        <v>0</v>
      </c>
      <c r="AV3484">
        <v>0</v>
      </c>
      <c r="AW3484">
        <v>0</v>
      </c>
      <c r="AX3484">
        <v>0</v>
      </c>
      <c r="AY3484">
        <v>0</v>
      </c>
      <c r="AZ3484">
        <v>0</v>
      </c>
      <c r="BA3484">
        <v>0</v>
      </c>
      <c r="BB3484">
        <v>0</v>
      </c>
      <c r="BC3484">
        <v>0</v>
      </c>
      <c r="BD3484">
        <v>0</v>
      </c>
      <c r="BE3484">
        <v>0</v>
      </c>
      <c r="BF3484">
        <v>0</v>
      </c>
      <c r="BG3484">
        <v>0</v>
      </c>
      <c r="BH3484">
        <v>1</v>
      </c>
      <c r="BI3484">
        <v>1</v>
      </c>
      <c r="BJ3484">
        <v>1.1000000000000001</v>
      </c>
      <c r="BK3484">
        <v>1.5</v>
      </c>
      <c r="BL3484">
        <v>135.59</v>
      </c>
      <c r="BM3484">
        <v>20.34</v>
      </c>
      <c r="BN3484">
        <v>155.93</v>
      </c>
      <c r="BO3484">
        <v>155.93</v>
      </c>
      <c r="BQ3484" t="s">
        <v>1915</v>
      </c>
      <c r="BR3484" t="s">
        <v>84</v>
      </c>
      <c r="BS3484" s="3">
        <v>45806</v>
      </c>
      <c r="BT3484" s="4">
        <v>0.41666666666666669</v>
      </c>
      <c r="BU3484" t="s">
        <v>2063</v>
      </c>
      <c r="BV3484" t="s">
        <v>86</v>
      </c>
      <c r="BY3484">
        <v>5320</v>
      </c>
      <c r="CC3484" t="s">
        <v>421</v>
      </c>
      <c r="CD3484">
        <v>3290</v>
      </c>
      <c r="CE3484" t="s">
        <v>116</v>
      </c>
      <c r="CI3484">
        <v>1</v>
      </c>
      <c r="CJ3484">
        <v>2</v>
      </c>
      <c r="CK3484">
        <v>23</v>
      </c>
      <c r="CL3484" t="s">
        <v>89</v>
      </c>
    </row>
    <row r="3485" spans="1:90" x14ac:dyDescent="0.3">
      <c r="A3485" t="s">
        <v>72</v>
      </c>
      <c r="B3485" t="s">
        <v>73</v>
      </c>
      <c r="C3485" t="s">
        <v>74</v>
      </c>
      <c r="E3485" t="str">
        <f>"080011524118"</f>
        <v>080011524118</v>
      </c>
      <c r="F3485" s="3">
        <v>45804</v>
      </c>
      <c r="G3485">
        <v>202602</v>
      </c>
      <c r="H3485" t="s">
        <v>75</v>
      </c>
      <c r="I3485" t="s">
        <v>76</v>
      </c>
      <c r="J3485" t="s">
        <v>3264</v>
      </c>
      <c r="K3485" t="s">
        <v>78</v>
      </c>
      <c r="L3485" t="s">
        <v>75</v>
      </c>
      <c r="M3485" t="s">
        <v>76</v>
      </c>
      <c r="N3485" t="s">
        <v>1035</v>
      </c>
      <c r="O3485" t="s">
        <v>300</v>
      </c>
      <c r="P3485" t="str">
        <f>"ZA100382967 and ZA1001382954  "</f>
        <v xml:space="preserve">ZA100382967 and ZA1001382954  </v>
      </c>
      <c r="Q3485">
        <v>0</v>
      </c>
      <c r="R3485">
        <v>0</v>
      </c>
      <c r="S3485">
        <v>0</v>
      </c>
      <c r="T3485">
        <v>0</v>
      </c>
      <c r="U3485">
        <v>0</v>
      </c>
      <c r="V3485">
        <v>0</v>
      </c>
      <c r="W3485">
        <v>0</v>
      </c>
      <c r="X3485">
        <v>0</v>
      </c>
      <c r="Y3485">
        <v>0</v>
      </c>
      <c r="Z3485">
        <v>0</v>
      </c>
      <c r="AA3485">
        <v>0</v>
      </c>
      <c r="AB3485">
        <v>0</v>
      </c>
      <c r="AC3485">
        <v>0</v>
      </c>
      <c r="AD3485">
        <v>0</v>
      </c>
      <c r="AE3485">
        <v>0</v>
      </c>
      <c r="AF3485">
        <v>0</v>
      </c>
      <c r="AG3485">
        <v>0</v>
      </c>
      <c r="AH3485">
        <v>0</v>
      </c>
      <c r="AI3485">
        <v>0</v>
      </c>
      <c r="AJ3485">
        <v>0</v>
      </c>
      <c r="AK3485">
        <v>0</v>
      </c>
      <c r="AL3485">
        <v>0</v>
      </c>
      <c r="AM3485">
        <v>0</v>
      </c>
      <c r="AN3485">
        <v>0</v>
      </c>
      <c r="AO3485">
        <v>0</v>
      </c>
      <c r="AP3485">
        <v>0</v>
      </c>
      <c r="AQ3485">
        <v>31.91</v>
      </c>
      <c r="AR3485">
        <v>0</v>
      </c>
      <c r="AS3485">
        <v>0</v>
      </c>
      <c r="AT3485">
        <v>0</v>
      </c>
      <c r="AU3485">
        <v>0</v>
      </c>
      <c r="AV3485">
        <v>0</v>
      </c>
      <c r="AW3485">
        <v>0</v>
      </c>
      <c r="AX3485">
        <v>0</v>
      </c>
      <c r="AY3485">
        <v>0</v>
      </c>
      <c r="AZ3485">
        <v>0</v>
      </c>
      <c r="BA3485">
        <v>0</v>
      </c>
      <c r="BB3485">
        <v>0</v>
      </c>
      <c r="BC3485">
        <v>0</v>
      </c>
      <c r="BD3485">
        <v>0</v>
      </c>
      <c r="BE3485">
        <v>0</v>
      </c>
      <c r="BF3485">
        <v>0</v>
      </c>
      <c r="BG3485">
        <v>0</v>
      </c>
      <c r="BH3485">
        <v>1</v>
      </c>
      <c r="BI3485">
        <v>1.8</v>
      </c>
      <c r="BJ3485">
        <v>2.8</v>
      </c>
      <c r="BK3485">
        <v>3</v>
      </c>
      <c r="BL3485">
        <v>110</v>
      </c>
      <c r="BM3485">
        <v>16.5</v>
      </c>
      <c r="BN3485">
        <v>126.5</v>
      </c>
      <c r="BO3485">
        <v>126.5</v>
      </c>
      <c r="BP3485" t="s">
        <v>3265</v>
      </c>
      <c r="BQ3485" t="s">
        <v>1037</v>
      </c>
      <c r="BR3485" t="s">
        <v>329</v>
      </c>
      <c r="BS3485" s="3">
        <v>45805</v>
      </c>
      <c r="BT3485" s="4">
        <v>0.34027777777777779</v>
      </c>
      <c r="BU3485" t="s">
        <v>3266</v>
      </c>
      <c r="BV3485" t="s">
        <v>86</v>
      </c>
      <c r="BY3485">
        <v>14212.8</v>
      </c>
      <c r="BZ3485" t="s">
        <v>303</v>
      </c>
      <c r="CA3485" t="s">
        <v>806</v>
      </c>
      <c r="CC3485" t="s">
        <v>76</v>
      </c>
      <c r="CD3485">
        <v>1619</v>
      </c>
      <c r="CE3485" t="s">
        <v>2953</v>
      </c>
      <c r="CF3485" s="3">
        <v>45805</v>
      </c>
      <c r="CI3485">
        <v>1</v>
      </c>
      <c r="CJ3485">
        <v>1</v>
      </c>
      <c r="CK3485">
        <v>42</v>
      </c>
      <c r="CL3485" t="s">
        <v>89</v>
      </c>
    </row>
    <row r="3486" spans="1:90" x14ac:dyDescent="0.3">
      <c r="A3486" t="s">
        <v>72</v>
      </c>
      <c r="B3486" t="s">
        <v>73</v>
      </c>
      <c r="C3486" t="s">
        <v>74</v>
      </c>
      <c r="E3486" t="str">
        <f>"080011525053"</f>
        <v>080011525053</v>
      </c>
      <c r="F3486" s="3">
        <v>45804</v>
      </c>
      <c r="G3486">
        <v>202602</v>
      </c>
      <c r="H3486" t="s">
        <v>90</v>
      </c>
      <c r="I3486" t="s">
        <v>91</v>
      </c>
      <c r="J3486" t="s">
        <v>3267</v>
      </c>
      <c r="K3486" t="s">
        <v>78</v>
      </c>
      <c r="L3486" t="s">
        <v>75</v>
      </c>
      <c r="M3486" t="s">
        <v>76</v>
      </c>
      <c r="N3486" t="s">
        <v>1035</v>
      </c>
      <c r="O3486" t="s">
        <v>82</v>
      </c>
      <c r="P3486" t="str">
        <f>"ZA1001385076                  "</f>
        <v xml:space="preserve">ZA1001385076                  </v>
      </c>
      <c r="Q3486">
        <v>0</v>
      </c>
      <c r="R3486">
        <v>0</v>
      </c>
      <c r="S3486">
        <v>0</v>
      </c>
      <c r="T3486">
        <v>0</v>
      </c>
      <c r="U3486">
        <v>0</v>
      </c>
      <c r="V3486">
        <v>0</v>
      </c>
      <c r="W3486">
        <v>0</v>
      </c>
      <c r="X3486">
        <v>0</v>
      </c>
      <c r="Y3486">
        <v>0</v>
      </c>
      <c r="Z3486">
        <v>0</v>
      </c>
      <c r="AA3486">
        <v>0</v>
      </c>
      <c r="AB3486">
        <v>0</v>
      </c>
      <c r="AC3486">
        <v>0</v>
      </c>
      <c r="AD3486">
        <v>0</v>
      </c>
      <c r="AE3486">
        <v>0</v>
      </c>
      <c r="AF3486">
        <v>0</v>
      </c>
      <c r="AG3486">
        <v>0</v>
      </c>
      <c r="AH3486">
        <v>0</v>
      </c>
      <c r="AI3486">
        <v>0</v>
      </c>
      <c r="AJ3486">
        <v>0</v>
      </c>
      <c r="AK3486">
        <v>0</v>
      </c>
      <c r="AL3486">
        <v>0</v>
      </c>
      <c r="AM3486">
        <v>0</v>
      </c>
      <c r="AN3486">
        <v>0</v>
      </c>
      <c r="AO3486">
        <v>0</v>
      </c>
      <c r="AP3486">
        <v>0</v>
      </c>
      <c r="AQ3486">
        <v>32.07</v>
      </c>
      <c r="AR3486">
        <v>0</v>
      </c>
      <c r="AS3486">
        <v>0</v>
      </c>
      <c r="AT3486">
        <v>0</v>
      </c>
      <c r="AU3486">
        <v>0</v>
      </c>
      <c r="AV3486">
        <v>0</v>
      </c>
      <c r="AW3486">
        <v>0</v>
      </c>
      <c r="AX3486">
        <v>0</v>
      </c>
      <c r="AY3486">
        <v>0</v>
      </c>
      <c r="AZ3486">
        <v>0</v>
      </c>
      <c r="BA3486">
        <v>0</v>
      </c>
      <c r="BB3486">
        <v>0</v>
      </c>
      <c r="BC3486">
        <v>0</v>
      </c>
      <c r="BD3486">
        <v>0</v>
      </c>
      <c r="BE3486">
        <v>0</v>
      </c>
      <c r="BF3486">
        <v>0</v>
      </c>
      <c r="BG3486">
        <v>0</v>
      </c>
      <c r="BH3486">
        <v>1</v>
      </c>
      <c r="BI3486">
        <v>3</v>
      </c>
      <c r="BJ3486">
        <v>2.4</v>
      </c>
      <c r="BK3486">
        <v>3</v>
      </c>
      <c r="BL3486">
        <v>104.95</v>
      </c>
      <c r="BM3486">
        <v>15.74</v>
      </c>
      <c r="BN3486">
        <v>120.69</v>
      </c>
      <c r="BO3486">
        <v>120.69</v>
      </c>
      <c r="BP3486" t="s">
        <v>1540</v>
      </c>
      <c r="BQ3486" t="s">
        <v>1037</v>
      </c>
      <c r="BR3486" t="s">
        <v>3268</v>
      </c>
      <c r="BS3486" s="3">
        <v>45805</v>
      </c>
      <c r="BT3486" s="4">
        <v>0.34305555555555556</v>
      </c>
      <c r="BU3486" t="s">
        <v>3266</v>
      </c>
      <c r="BV3486" t="s">
        <v>86</v>
      </c>
      <c r="BY3486">
        <v>12000</v>
      </c>
      <c r="BZ3486" t="s">
        <v>127</v>
      </c>
      <c r="CA3486" t="s">
        <v>806</v>
      </c>
      <c r="CC3486" t="s">
        <v>76</v>
      </c>
      <c r="CD3486">
        <v>1619</v>
      </c>
      <c r="CE3486" t="s">
        <v>1904</v>
      </c>
      <c r="CF3486" s="3">
        <v>45805</v>
      </c>
      <c r="CI3486">
        <v>1</v>
      </c>
      <c r="CJ3486">
        <v>1</v>
      </c>
      <c r="CK3486">
        <v>21</v>
      </c>
      <c r="CL3486" t="s">
        <v>89</v>
      </c>
    </row>
    <row r="3487" spans="1:90" x14ac:dyDescent="0.3">
      <c r="A3487" t="s">
        <v>72</v>
      </c>
      <c r="B3487" t="s">
        <v>73</v>
      </c>
      <c r="C3487" t="s">
        <v>74</v>
      </c>
      <c r="E3487" t="str">
        <f>"080011526495"</f>
        <v>080011526495</v>
      </c>
      <c r="F3487" s="3">
        <v>45804</v>
      </c>
      <c r="G3487">
        <v>202602</v>
      </c>
      <c r="H3487" t="s">
        <v>117</v>
      </c>
      <c r="I3487" t="s">
        <v>118</v>
      </c>
      <c r="J3487" t="s">
        <v>3269</v>
      </c>
      <c r="K3487" t="s">
        <v>78</v>
      </c>
      <c r="L3487" t="s">
        <v>75</v>
      </c>
      <c r="M3487" t="s">
        <v>76</v>
      </c>
      <c r="N3487" t="s">
        <v>1035</v>
      </c>
      <c r="O3487" t="s">
        <v>300</v>
      </c>
      <c r="P3487" t="str">
        <f>"ZA1001385388                  "</f>
        <v xml:space="preserve">ZA1001385388                  </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0</v>
      </c>
      <c r="AJ3487">
        <v>0</v>
      </c>
      <c r="AK3487">
        <v>0</v>
      </c>
      <c r="AL3487">
        <v>0</v>
      </c>
      <c r="AM3487">
        <v>0</v>
      </c>
      <c r="AN3487">
        <v>0</v>
      </c>
      <c r="AO3487">
        <v>0</v>
      </c>
      <c r="AP3487">
        <v>0</v>
      </c>
      <c r="AQ3487">
        <v>42.17</v>
      </c>
      <c r="AR3487">
        <v>0</v>
      </c>
      <c r="AS3487">
        <v>0</v>
      </c>
      <c r="AT3487">
        <v>0</v>
      </c>
      <c r="AU3487">
        <v>0</v>
      </c>
      <c r="AV3487">
        <v>0</v>
      </c>
      <c r="AW3487">
        <v>0</v>
      </c>
      <c r="AX3487">
        <v>0</v>
      </c>
      <c r="AY3487">
        <v>0</v>
      </c>
      <c r="AZ3487">
        <v>0</v>
      </c>
      <c r="BA3487">
        <v>0</v>
      </c>
      <c r="BB3487">
        <v>0</v>
      </c>
      <c r="BC3487">
        <v>0</v>
      </c>
      <c r="BD3487">
        <v>0</v>
      </c>
      <c r="BE3487">
        <v>0</v>
      </c>
      <c r="BF3487">
        <v>0</v>
      </c>
      <c r="BG3487">
        <v>0</v>
      </c>
      <c r="BH3487">
        <v>1</v>
      </c>
      <c r="BI3487">
        <v>11.8</v>
      </c>
      <c r="BJ3487">
        <v>25.8</v>
      </c>
      <c r="BK3487">
        <v>26</v>
      </c>
      <c r="BL3487">
        <v>143.58000000000001</v>
      </c>
      <c r="BM3487">
        <v>21.54</v>
      </c>
      <c r="BN3487">
        <v>165.12</v>
      </c>
      <c r="BO3487">
        <v>165.12</v>
      </c>
      <c r="BP3487" t="s">
        <v>1540</v>
      </c>
      <c r="BQ3487" t="s">
        <v>1037</v>
      </c>
      <c r="BR3487" t="s">
        <v>3270</v>
      </c>
      <c r="BS3487" s="3">
        <v>45805</v>
      </c>
      <c r="BT3487" s="4">
        <v>0.34583333333333333</v>
      </c>
      <c r="BU3487" t="s">
        <v>3266</v>
      </c>
      <c r="BV3487" t="s">
        <v>86</v>
      </c>
      <c r="BY3487">
        <v>128776.77</v>
      </c>
      <c r="BZ3487" t="s">
        <v>303</v>
      </c>
      <c r="CA3487" t="s">
        <v>806</v>
      </c>
      <c r="CC3487" t="s">
        <v>76</v>
      </c>
      <c r="CD3487">
        <v>1619</v>
      </c>
      <c r="CE3487" t="s">
        <v>1904</v>
      </c>
      <c r="CF3487" s="3">
        <v>45805</v>
      </c>
      <c r="CI3487">
        <v>1</v>
      </c>
      <c r="CJ3487">
        <v>1</v>
      </c>
      <c r="CK3487">
        <v>42</v>
      </c>
      <c r="CL3487" t="s">
        <v>89</v>
      </c>
    </row>
    <row r="3488" spans="1:90" x14ac:dyDescent="0.3">
      <c r="A3488" t="s">
        <v>72</v>
      </c>
      <c r="B3488" t="s">
        <v>73</v>
      </c>
      <c r="C3488" t="s">
        <v>74</v>
      </c>
      <c r="E3488" t="str">
        <f>"080011526571"</f>
        <v>080011526571</v>
      </c>
      <c r="F3488" s="3">
        <v>45804</v>
      </c>
      <c r="G3488">
        <v>202602</v>
      </c>
      <c r="H3488" t="s">
        <v>123</v>
      </c>
      <c r="I3488" t="s">
        <v>123</v>
      </c>
      <c r="J3488" t="s">
        <v>3271</v>
      </c>
      <c r="K3488" t="s">
        <v>78</v>
      </c>
      <c r="L3488" t="s">
        <v>75</v>
      </c>
      <c r="M3488" t="s">
        <v>76</v>
      </c>
      <c r="N3488" t="s">
        <v>1035</v>
      </c>
      <c r="O3488" t="s">
        <v>82</v>
      </c>
      <c r="P3488" t="str">
        <f>"ZA1001379033                  "</f>
        <v xml:space="preserve">ZA1001379033                  </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c r="AI3488">
        <v>0</v>
      </c>
      <c r="AJ3488">
        <v>0</v>
      </c>
      <c r="AK3488">
        <v>0</v>
      </c>
      <c r="AL3488">
        <v>0</v>
      </c>
      <c r="AM3488">
        <v>0</v>
      </c>
      <c r="AN3488">
        <v>0</v>
      </c>
      <c r="AO3488">
        <v>0</v>
      </c>
      <c r="AP3488">
        <v>0</v>
      </c>
      <c r="AQ3488">
        <v>41.43</v>
      </c>
      <c r="AR3488">
        <v>0</v>
      </c>
      <c r="AS3488">
        <v>0</v>
      </c>
      <c r="AT3488">
        <v>0</v>
      </c>
      <c r="AU3488">
        <v>0</v>
      </c>
      <c r="AV3488">
        <v>0</v>
      </c>
      <c r="AW3488">
        <v>0</v>
      </c>
      <c r="AX3488">
        <v>0</v>
      </c>
      <c r="AY3488">
        <v>0</v>
      </c>
      <c r="AZ3488">
        <v>0</v>
      </c>
      <c r="BA3488">
        <v>0</v>
      </c>
      <c r="BB3488">
        <v>0</v>
      </c>
      <c r="BC3488">
        <v>0</v>
      </c>
      <c r="BD3488">
        <v>0</v>
      </c>
      <c r="BE3488">
        <v>0</v>
      </c>
      <c r="BF3488">
        <v>0</v>
      </c>
      <c r="BG3488">
        <v>0</v>
      </c>
      <c r="BH3488">
        <v>1</v>
      </c>
      <c r="BI3488">
        <v>0.8</v>
      </c>
      <c r="BJ3488">
        <v>0.9</v>
      </c>
      <c r="BK3488">
        <v>1</v>
      </c>
      <c r="BL3488">
        <v>135.59</v>
      </c>
      <c r="BM3488">
        <v>20.34</v>
      </c>
      <c r="BN3488">
        <v>155.93</v>
      </c>
      <c r="BO3488">
        <v>155.93</v>
      </c>
      <c r="BP3488" t="s">
        <v>3272</v>
      </c>
      <c r="BQ3488" t="s">
        <v>1037</v>
      </c>
      <c r="BR3488" t="s">
        <v>3273</v>
      </c>
      <c r="BS3488" s="3">
        <v>45805</v>
      </c>
      <c r="BT3488" s="4">
        <v>0.34305555555555556</v>
      </c>
      <c r="BU3488" t="s">
        <v>3266</v>
      </c>
      <c r="BV3488" t="s">
        <v>86</v>
      </c>
      <c r="BY3488">
        <v>4422.6000000000004</v>
      </c>
      <c r="BZ3488" t="s">
        <v>127</v>
      </c>
      <c r="CA3488" t="s">
        <v>806</v>
      </c>
      <c r="CC3488" t="s">
        <v>76</v>
      </c>
      <c r="CD3488">
        <v>1619</v>
      </c>
      <c r="CE3488" t="s">
        <v>3274</v>
      </c>
      <c r="CF3488" s="3">
        <v>45805</v>
      </c>
      <c r="CI3488">
        <v>1</v>
      </c>
      <c r="CJ3488">
        <v>1</v>
      </c>
      <c r="CK3488">
        <v>23</v>
      </c>
      <c r="CL3488" t="s">
        <v>89</v>
      </c>
    </row>
    <row r="3489" spans="1:90" x14ac:dyDescent="0.3">
      <c r="A3489" t="s">
        <v>72</v>
      </c>
      <c r="B3489" t="s">
        <v>73</v>
      </c>
      <c r="C3489" t="s">
        <v>74</v>
      </c>
      <c r="E3489" t="str">
        <f>"080065592795"</f>
        <v>080065592795</v>
      </c>
      <c r="F3489" s="3">
        <v>45804</v>
      </c>
      <c r="G3489">
        <v>202602</v>
      </c>
      <c r="H3489" t="s">
        <v>75</v>
      </c>
      <c r="I3489" t="s">
        <v>76</v>
      </c>
      <c r="J3489" t="s">
        <v>77</v>
      </c>
      <c r="K3489" t="s">
        <v>78</v>
      </c>
      <c r="L3489" t="s">
        <v>143</v>
      </c>
      <c r="M3489" t="s">
        <v>144</v>
      </c>
      <c r="N3489" t="s">
        <v>1118</v>
      </c>
      <c r="O3489" t="s">
        <v>82</v>
      </c>
      <c r="P3489" t="str">
        <f>"4170040789                    "</f>
        <v xml:space="preserve">4170040789                    </v>
      </c>
      <c r="Q3489">
        <v>0</v>
      </c>
      <c r="R3489">
        <v>0</v>
      </c>
      <c r="S3489">
        <v>0</v>
      </c>
      <c r="T3489">
        <v>0</v>
      </c>
      <c r="U3489">
        <v>0</v>
      </c>
      <c r="V3489">
        <v>0</v>
      </c>
      <c r="W3489">
        <v>0</v>
      </c>
      <c r="X3489">
        <v>0</v>
      </c>
      <c r="Y3489">
        <v>0</v>
      </c>
      <c r="Z3489">
        <v>0</v>
      </c>
      <c r="AA3489">
        <v>0</v>
      </c>
      <c r="AB3489">
        <v>0</v>
      </c>
      <c r="AC3489">
        <v>0</v>
      </c>
      <c r="AD3489">
        <v>0</v>
      </c>
      <c r="AE3489">
        <v>0</v>
      </c>
      <c r="AF3489">
        <v>0</v>
      </c>
      <c r="AG3489">
        <v>0</v>
      </c>
      <c r="AH3489">
        <v>0</v>
      </c>
      <c r="AI3489">
        <v>0</v>
      </c>
      <c r="AJ3489">
        <v>0</v>
      </c>
      <c r="AK3489">
        <v>0</v>
      </c>
      <c r="AL3489">
        <v>0</v>
      </c>
      <c r="AM3489">
        <v>0</v>
      </c>
      <c r="AN3489">
        <v>0</v>
      </c>
      <c r="AO3489">
        <v>0</v>
      </c>
      <c r="AP3489">
        <v>0</v>
      </c>
      <c r="AQ3489">
        <v>16.7</v>
      </c>
      <c r="AR3489">
        <v>0</v>
      </c>
      <c r="AS3489">
        <v>0</v>
      </c>
      <c r="AT3489">
        <v>0</v>
      </c>
      <c r="AU3489">
        <v>0</v>
      </c>
      <c r="AV3489">
        <v>0</v>
      </c>
      <c r="AW3489">
        <v>0</v>
      </c>
      <c r="AX3489">
        <v>0</v>
      </c>
      <c r="AY3489">
        <v>0</v>
      </c>
      <c r="AZ3489">
        <v>0</v>
      </c>
      <c r="BA3489">
        <v>0</v>
      </c>
      <c r="BB3489">
        <v>0</v>
      </c>
      <c r="BC3489">
        <v>0</v>
      </c>
      <c r="BD3489">
        <v>0</v>
      </c>
      <c r="BE3489">
        <v>0</v>
      </c>
      <c r="BF3489">
        <v>0</v>
      </c>
      <c r="BG3489">
        <v>0</v>
      </c>
      <c r="BH3489">
        <v>1</v>
      </c>
      <c r="BI3489">
        <v>1</v>
      </c>
      <c r="BJ3489">
        <v>0.2</v>
      </c>
      <c r="BK3489">
        <v>1</v>
      </c>
      <c r="BL3489">
        <v>54.66</v>
      </c>
      <c r="BM3489">
        <v>8.1999999999999993</v>
      </c>
      <c r="BN3489">
        <v>62.86</v>
      </c>
      <c r="BO3489">
        <v>62.86</v>
      </c>
      <c r="BQ3489" t="s">
        <v>1119</v>
      </c>
      <c r="BR3489" t="s">
        <v>84</v>
      </c>
      <c r="BS3489" s="3">
        <v>45805</v>
      </c>
      <c r="BT3489" s="4">
        <v>0.36458333333333331</v>
      </c>
      <c r="BU3489" t="s">
        <v>1775</v>
      </c>
      <c r="BV3489" t="s">
        <v>86</v>
      </c>
      <c r="BY3489">
        <v>1200</v>
      </c>
      <c r="CA3489" t="s">
        <v>3222</v>
      </c>
      <c r="CC3489" t="s">
        <v>144</v>
      </c>
      <c r="CD3489">
        <v>1422</v>
      </c>
      <c r="CE3489" t="s">
        <v>176</v>
      </c>
      <c r="CF3489" s="3">
        <v>45805</v>
      </c>
      <c r="CI3489">
        <v>1</v>
      </c>
      <c r="CJ3489">
        <v>1</v>
      </c>
      <c r="CK3489">
        <v>22</v>
      </c>
      <c r="CL3489" t="s">
        <v>89</v>
      </c>
    </row>
    <row r="3490" spans="1:90" x14ac:dyDescent="0.3">
      <c r="A3490" t="s">
        <v>72</v>
      </c>
      <c r="B3490" t="s">
        <v>73</v>
      </c>
      <c r="C3490" t="s">
        <v>74</v>
      </c>
      <c r="E3490" t="str">
        <f>"080065592872"</f>
        <v>080065592872</v>
      </c>
      <c r="F3490" s="3">
        <v>45804</v>
      </c>
      <c r="G3490">
        <v>202602</v>
      </c>
      <c r="H3490" t="s">
        <v>75</v>
      </c>
      <c r="I3490" t="s">
        <v>76</v>
      </c>
      <c r="J3490" t="s">
        <v>77</v>
      </c>
      <c r="K3490" t="s">
        <v>78</v>
      </c>
      <c r="L3490" t="s">
        <v>117</v>
      </c>
      <c r="M3490" t="s">
        <v>118</v>
      </c>
      <c r="N3490" t="s">
        <v>2317</v>
      </c>
      <c r="O3490" t="s">
        <v>82</v>
      </c>
      <c r="P3490" t="str">
        <f>"4170040887                    "</f>
        <v xml:space="preserve">4170040887                    </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c r="AI3490">
        <v>0</v>
      </c>
      <c r="AJ3490">
        <v>0</v>
      </c>
      <c r="AK3490">
        <v>0</v>
      </c>
      <c r="AL3490">
        <v>0</v>
      </c>
      <c r="AM3490">
        <v>0</v>
      </c>
      <c r="AN3490">
        <v>0</v>
      </c>
      <c r="AO3490">
        <v>0</v>
      </c>
      <c r="AP3490">
        <v>0</v>
      </c>
      <c r="AQ3490">
        <v>16.7</v>
      </c>
      <c r="AR3490">
        <v>0</v>
      </c>
      <c r="AS3490">
        <v>0</v>
      </c>
      <c r="AT3490">
        <v>0</v>
      </c>
      <c r="AU3490">
        <v>0</v>
      </c>
      <c r="AV3490">
        <v>0</v>
      </c>
      <c r="AW3490">
        <v>0</v>
      </c>
      <c r="AX3490">
        <v>0</v>
      </c>
      <c r="AY3490">
        <v>0</v>
      </c>
      <c r="AZ3490">
        <v>0</v>
      </c>
      <c r="BA3490">
        <v>0</v>
      </c>
      <c r="BB3490">
        <v>0</v>
      </c>
      <c r="BC3490">
        <v>0</v>
      </c>
      <c r="BD3490">
        <v>0</v>
      </c>
      <c r="BE3490">
        <v>0</v>
      </c>
      <c r="BF3490">
        <v>0</v>
      </c>
      <c r="BG3490">
        <v>0</v>
      </c>
      <c r="BH3490">
        <v>1</v>
      </c>
      <c r="BI3490">
        <v>1</v>
      </c>
      <c r="BJ3490">
        <v>1.1000000000000001</v>
      </c>
      <c r="BK3490">
        <v>2</v>
      </c>
      <c r="BL3490">
        <v>54.66</v>
      </c>
      <c r="BM3490">
        <v>8.1999999999999993</v>
      </c>
      <c r="BN3490">
        <v>62.86</v>
      </c>
      <c r="BO3490">
        <v>62.86</v>
      </c>
      <c r="BQ3490" t="s">
        <v>2318</v>
      </c>
      <c r="BR3490" t="s">
        <v>84</v>
      </c>
      <c r="BS3490" s="3">
        <v>45805</v>
      </c>
      <c r="BT3490" s="4">
        <v>0.35069444444444442</v>
      </c>
      <c r="BU3490" t="s">
        <v>3275</v>
      </c>
      <c r="BV3490" t="s">
        <v>86</v>
      </c>
      <c r="BY3490">
        <v>5320</v>
      </c>
      <c r="CC3490" t="s">
        <v>118</v>
      </c>
      <c r="CD3490">
        <v>2008</v>
      </c>
      <c r="CE3490" t="s">
        <v>176</v>
      </c>
      <c r="CF3490" s="3">
        <v>45805</v>
      </c>
      <c r="CI3490">
        <v>1</v>
      </c>
      <c r="CJ3490">
        <v>1</v>
      </c>
      <c r="CK3490">
        <v>22</v>
      </c>
      <c r="CL3490" t="s">
        <v>89</v>
      </c>
    </row>
    <row r="3491" spans="1:90" x14ac:dyDescent="0.3">
      <c r="A3491" t="s">
        <v>72</v>
      </c>
      <c r="B3491" t="s">
        <v>73</v>
      </c>
      <c r="C3491" t="s">
        <v>74</v>
      </c>
      <c r="E3491" t="str">
        <f>"080065593182"</f>
        <v>080065593182</v>
      </c>
      <c r="F3491" s="3">
        <v>45804</v>
      </c>
      <c r="G3491">
        <v>202602</v>
      </c>
      <c r="H3491" t="s">
        <v>75</v>
      </c>
      <c r="I3491" t="s">
        <v>76</v>
      </c>
      <c r="J3491" t="s">
        <v>77</v>
      </c>
      <c r="K3491" t="s">
        <v>78</v>
      </c>
      <c r="L3491" t="s">
        <v>90</v>
      </c>
      <c r="M3491" t="s">
        <v>91</v>
      </c>
      <c r="N3491" t="s">
        <v>92</v>
      </c>
      <c r="O3491" t="s">
        <v>82</v>
      </c>
      <c r="P3491" t="str">
        <f>"4170040829                    "</f>
        <v xml:space="preserve">4170040829                    </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c r="AI3491">
        <v>0</v>
      </c>
      <c r="AJ3491">
        <v>0</v>
      </c>
      <c r="AK3491">
        <v>0</v>
      </c>
      <c r="AL3491">
        <v>0</v>
      </c>
      <c r="AM3491">
        <v>0</v>
      </c>
      <c r="AN3491">
        <v>0</v>
      </c>
      <c r="AO3491">
        <v>0</v>
      </c>
      <c r="AP3491">
        <v>0</v>
      </c>
      <c r="AQ3491">
        <v>21.38</v>
      </c>
      <c r="AR3491">
        <v>0</v>
      </c>
      <c r="AS3491">
        <v>0</v>
      </c>
      <c r="AT3491">
        <v>0</v>
      </c>
      <c r="AU3491">
        <v>0</v>
      </c>
      <c r="AV3491">
        <v>0</v>
      </c>
      <c r="AW3491">
        <v>0</v>
      </c>
      <c r="AX3491">
        <v>0</v>
      </c>
      <c r="AY3491">
        <v>0</v>
      </c>
      <c r="AZ3491">
        <v>0</v>
      </c>
      <c r="BA3491">
        <v>0</v>
      </c>
      <c r="BB3491">
        <v>0</v>
      </c>
      <c r="BC3491">
        <v>0</v>
      </c>
      <c r="BD3491">
        <v>0</v>
      </c>
      <c r="BE3491">
        <v>0</v>
      </c>
      <c r="BF3491">
        <v>0</v>
      </c>
      <c r="BG3491">
        <v>0</v>
      </c>
      <c r="BH3491">
        <v>1</v>
      </c>
      <c r="BI3491">
        <v>1</v>
      </c>
      <c r="BJ3491">
        <v>0.2</v>
      </c>
      <c r="BK3491">
        <v>1</v>
      </c>
      <c r="BL3491">
        <v>69.98</v>
      </c>
      <c r="BM3491">
        <v>10.5</v>
      </c>
      <c r="BN3491">
        <v>80.48</v>
      </c>
      <c r="BO3491">
        <v>80.48</v>
      </c>
      <c r="BQ3491" t="s">
        <v>93</v>
      </c>
      <c r="BR3491" t="s">
        <v>84</v>
      </c>
      <c r="BS3491" s="3">
        <v>45805</v>
      </c>
      <c r="BT3491" s="4">
        <v>0.36319444444444443</v>
      </c>
      <c r="BU3491" t="s">
        <v>94</v>
      </c>
      <c r="BV3491" t="s">
        <v>86</v>
      </c>
      <c r="BY3491">
        <v>1200</v>
      </c>
      <c r="CA3491" t="s">
        <v>95</v>
      </c>
      <c r="CC3491" t="s">
        <v>91</v>
      </c>
      <c r="CD3491">
        <v>6001</v>
      </c>
      <c r="CE3491" t="s">
        <v>88</v>
      </c>
      <c r="CF3491" s="3">
        <v>45805</v>
      </c>
      <c r="CI3491">
        <v>1</v>
      </c>
      <c r="CJ3491">
        <v>1</v>
      </c>
      <c r="CK3491">
        <v>21</v>
      </c>
      <c r="CL3491" t="s">
        <v>89</v>
      </c>
    </row>
    <row r="3492" spans="1:90" x14ac:dyDescent="0.3">
      <c r="A3492" t="s">
        <v>72</v>
      </c>
      <c r="B3492" t="s">
        <v>73</v>
      </c>
      <c r="C3492" t="s">
        <v>74</v>
      </c>
      <c r="E3492" t="str">
        <f>"080065593206"</f>
        <v>080065593206</v>
      </c>
      <c r="F3492" s="3">
        <v>45804</v>
      </c>
      <c r="G3492">
        <v>202602</v>
      </c>
      <c r="H3492" t="s">
        <v>75</v>
      </c>
      <c r="I3492" t="s">
        <v>76</v>
      </c>
      <c r="J3492" t="s">
        <v>77</v>
      </c>
      <c r="K3492" t="s">
        <v>78</v>
      </c>
      <c r="L3492" t="s">
        <v>75</v>
      </c>
      <c r="M3492" t="s">
        <v>76</v>
      </c>
      <c r="N3492" t="s">
        <v>3276</v>
      </c>
      <c r="O3492" t="s">
        <v>300</v>
      </c>
      <c r="P3492" t="str">
        <f>"4170040852                    "</f>
        <v xml:space="preserve">4170040852                    </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c r="AI3492">
        <v>0</v>
      </c>
      <c r="AJ3492">
        <v>0</v>
      </c>
      <c r="AK3492">
        <v>0</v>
      </c>
      <c r="AL3492">
        <v>0</v>
      </c>
      <c r="AM3492">
        <v>0</v>
      </c>
      <c r="AN3492">
        <v>0</v>
      </c>
      <c r="AO3492">
        <v>0</v>
      </c>
      <c r="AP3492">
        <v>0</v>
      </c>
      <c r="AQ3492">
        <v>85.08</v>
      </c>
      <c r="AR3492">
        <v>0</v>
      </c>
      <c r="AS3492">
        <v>0</v>
      </c>
      <c r="AT3492">
        <v>0</v>
      </c>
      <c r="AU3492">
        <v>0</v>
      </c>
      <c r="AV3492">
        <v>0</v>
      </c>
      <c r="AW3492">
        <v>0</v>
      </c>
      <c r="AX3492">
        <v>0</v>
      </c>
      <c r="AY3492">
        <v>0</v>
      </c>
      <c r="AZ3492">
        <v>0</v>
      </c>
      <c r="BA3492">
        <v>0</v>
      </c>
      <c r="BB3492">
        <v>0</v>
      </c>
      <c r="BC3492">
        <v>0</v>
      </c>
      <c r="BD3492">
        <v>0</v>
      </c>
      <c r="BE3492">
        <v>0</v>
      </c>
      <c r="BF3492">
        <v>0</v>
      </c>
      <c r="BG3492">
        <v>0</v>
      </c>
      <c r="BH3492">
        <v>2</v>
      </c>
      <c r="BI3492">
        <v>32</v>
      </c>
      <c r="BJ3492">
        <v>71.8</v>
      </c>
      <c r="BK3492">
        <v>72</v>
      </c>
      <c r="BL3492">
        <v>284.01</v>
      </c>
      <c r="BM3492">
        <v>42.6</v>
      </c>
      <c r="BN3492">
        <v>326.61</v>
      </c>
      <c r="BO3492">
        <v>326.61</v>
      </c>
      <c r="BQ3492" t="s">
        <v>3277</v>
      </c>
      <c r="BR3492" t="s">
        <v>84</v>
      </c>
      <c r="BS3492" s="3">
        <v>45805</v>
      </c>
      <c r="BT3492" s="4">
        <v>0.375</v>
      </c>
      <c r="BU3492" t="s">
        <v>392</v>
      </c>
      <c r="BV3492" t="s">
        <v>86</v>
      </c>
      <c r="BY3492">
        <v>358800</v>
      </c>
      <c r="CA3492" t="s">
        <v>1900</v>
      </c>
      <c r="CC3492" t="s">
        <v>76</v>
      </c>
      <c r="CD3492">
        <v>1600</v>
      </c>
      <c r="CE3492" t="s">
        <v>96</v>
      </c>
      <c r="CF3492" s="3">
        <v>45806</v>
      </c>
      <c r="CI3492">
        <v>1</v>
      </c>
      <c r="CJ3492">
        <v>1</v>
      </c>
      <c r="CK3492">
        <v>42</v>
      </c>
      <c r="CL3492" t="s">
        <v>89</v>
      </c>
    </row>
    <row r="3493" spans="1:90" x14ac:dyDescent="0.3">
      <c r="A3493" t="s">
        <v>72</v>
      </c>
      <c r="B3493" t="s">
        <v>73</v>
      </c>
      <c r="C3493" t="s">
        <v>74</v>
      </c>
      <c r="E3493" t="str">
        <f>"080065593219"</f>
        <v>080065593219</v>
      </c>
      <c r="F3493" s="3">
        <v>45804</v>
      </c>
      <c r="G3493">
        <v>202602</v>
      </c>
      <c r="H3493" t="s">
        <v>75</v>
      </c>
      <c r="I3493" t="s">
        <v>76</v>
      </c>
      <c r="J3493" t="s">
        <v>77</v>
      </c>
      <c r="K3493" t="s">
        <v>78</v>
      </c>
      <c r="L3493" t="s">
        <v>90</v>
      </c>
      <c r="M3493" t="s">
        <v>91</v>
      </c>
      <c r="N3493" t="s">
        <v>1211</v>
      </c>
      <c r="O3493" t="s">
        <v>82</v>
      </c>
      <c r="P3493" t="str">
        <f>"4170040878                    "</f>
        <v xml:space="preserve">4170040878                    </v>
      </c>
      <c r="Q3493">
        <v>0</v>
      </c>
      <c r="R3493">
        <v>0</v>
      </c>
      <c r="S3493">
        <v>0</v>
      </c>
      <c r="T3493">
        <v>0</v>
      </c>
      <c r="U3493">
        <v>0</v>
      </c>
      <c r="V3493">
        <v>0</v>
      </c>
      <c r="W3493">
        <v>0</v>
      </c>
      <c r="X3493">
        <v>0</v>
      </c>
      <c r="Y3493">
        <v>0</v>
      </c>
      <c r="Z3493">
        <v>0</v>
      </c>
      <c r="AA3493">
        <v>0</v>
      </c>
      <c r="AB3493">
        <v>0</v>
      </c>
      <c r="AC3493">
        <v>0</v>
      </c>
      <c r="AD3493">
        <v>0</v>
      </c>
      <c r="AE3493">
        <v>0</v>
      </c>
      <c r="AF3493">
        <v>0</v>
      </c>
      <c r="AG3493">
        <v>0</v>
      </c>
      <c r="AH3493">
        <v>0</v>
      </c>
      <c r="AI3493">
        <v>0</v>
      </c>
      <c r="AJ3493">
        <v>0</v>
      </c>
      <c r="AK3493">
        <v>0</v>
      </c>
      <c r="AL3493">
        <v>0</v>
      </c>
      <c r="AM3493">
        <v>0</v>
      </c>
      <c r="AN3493">
        <v>0</v>
      </c>
      <c r="AO3493">
        <v>0</v>
      </c>
      <c r="AP3493">
        <v>0</v>
      </c>
      <c r="AQ3493">
        <v>21.38</v>
      </c>
      <c r="AR3493">
        <v>0</v>
      </c>
      <c r="AS3493">
        <v>0</v>
      </c>
      <c r="AT3493">
        <v>0</v>
      </c>
      <c r="AU3493">
        <v>0</v>
      </c>
      <c r="AV3493">
        <v>0</v>
      </c>
      <c r="AW3493">
        <v>0</v>
      </c>
      <c r="AX3493">
        <v>0</v>
      </c>
      <c r="AY3493">
        <v>0</v>
      </c>
      <c r="AZ3493">
        <v>0</v>
      </c>
      <c r="BA3493">
        <v>0</v>
      </c>
      <c r="BB3493">
        <v>0</v>
      </c>
      <c r="BC3493">
        <v>0</v>
      </c>
      <c r="BD3493">
        <v>0</v>
      </c>
      <c r="BE3493">
        <v>0</v>
      </c>
      <c r="BF3493">
        <v>0</v>
      </c>
      <c r="BG3493">
        <v>0</v>
      </c>
      <c r="BH3493">
        <v>1</v>
      </c>
      <c r="BI3493">
        <v>1</v>
      </c>
      <c r="BJ3493">
        <v>0.2</v>
      </c>
      <c r="BK3493">
        <v>1</v>
      </c>
      <c r="BL3493">
        <v>69.98</v>
      </c>
      <c r="BM3493">
        <v>10.5</v>
      </c>
      <c r="BN3493">
        <v>80.48</v>
      </c>
      <c r="BO3493">
        <v>80.48</v>
      </c>
      <c r="BQ3493" t="s">
        <v>1212</v>
      </c>
      <c r="BR3493" t="s">
        <v>84</v>
      </c>
      <c r="BS3493" s="3">
        <v>45805</v>
      </c>
      <c r="BT3493" s="4">
        <v>0.40138888888888891</v>
      </c>
      <c r="BU3493" t="s">
        <v>2023</v>
      </c>
      <c r="BV3493" t="s">
        <v>86</v>
      </c>
      <c r="BY3493">
        <v>1200</v>
      </c>
      <c r="CA3493" t="s">
        <v>283</v>
      </c>
      <c r="CC3493" t="s">
        <v>91</v>
      </c>
      <c r="CD3493">
        <v>6012</v>
      </c>
      <c r="CE3493" t="s">
        <v>88</v>
      </c>
      <c r="CF3493" s="3">
        <v>45805</v>
      </c>
      <c r="CI3493">
        <v>1</v>
      </c>
      <c r="CJ3493">
        <v>1</v>
      </c>
      <c r="CK3493">
        <v>21</v>
      </c>
      <c r="CL3493" t="s">
        <v>89</v>
      </c>
    </row>
    <row r="3494" spans="1:90" x14ac:dyDescent="0.3">
      <c r="A3494" t="s">
        <v>72</v>
      </c>
      <c r="B3494" t="s">
        <v>73</v>
      </c>
      <c r="C3494" t="s">
        <v>74</v>
      </c>
      <c r="E3494" t="str">
        <f>"080065593258"</f>
        <v>080065593258</v>
      </c>
      <c r="F3494" s="3">
        <v>45804</v>
      </c>
      <c r="G3494">
        <v>202602</v>
      </c>
      <c r="H3494" t="s">
        <v>75</v>
      </c>
      <c r="I3494" t="s">
        <v>76</v>
      </c>
      <c r="J3494" t="s">
        <v>77</v>
      </c>
      <c r="K3494" t="s">
        <v>78</v>
      </c>
      <c r="L3494" t="s">
        <v>130</v>
      </c>
      <c r="M3494" t="s">
        <v>131</v>
      </c>
      <c r="N3494" t="s">
        <v>239</v>
      </c>
      <c r="O3494" t="s">
        <v>82</v>
      </c>
      <c r="P3494" t="str">
        <f>"4170040777                    "</f>
        <v xml:space="preserve">4170040777                    </v>
      </c>
      <c r="Q3494">
        <v>0</v>
      </c>
      <c r="R3494">
        <v>0</v>
      </c>
      <c r="S3494">
        <v>0</v>
      </c>
      <c r="T3494">
        <v>0</v>
      </c>
      <c r="U3494">
        <v>0</v>
      </c>
      <c r="V3494">
        <v>0</v>
      </c>
      <c r="W3494">
        <v>0</v>
      </c>
      <c r="X3494">
        <v>0</v>
      </c>
      <c r="Y3494">
        <v>0</v>
      </c>
      <c r="Z3494">
        <v>0</v>
      </c>
      <c r="AA3494">
        <v>0</v>
      </c>
      <c r="AB3494">
        <v>0</v>
      </c>
      <c r="AC3494">
        <v>0</v>
      </c>
      <c r="AD3494">
        <v>0</v>
      </c>
      <c r="AE3494">
        <v>0</v>
      </c>
      <c r="AF3494">
        <v>0</v>
      </c>
      <c r="AG3494">
        <v>0</v>
      </c>
      <c r="AH3494">
        <v>0</v>
      </c>
      <c r="AI3494">
        <v>0</v>
      </c>
      <c r="AJ3494">
        <v>0</v>
      </c>
      <c r="AK3494">
        <v>0</v>
      </c>
      <c r="AL3494">
        <v>0</v>
      </c>
      <c r="AM3494">
        <v>0</v>
      </c>
      <c r="AN3494">
        <v>0</v>
      </c>
      <c r="AO3494">
        <v>0</v>
      </c>
      <c r="AP3494">
        <v>0</v>
      </c>
      <c r="AQ3494">
        <v>53.43</v>
      </c>
      <c r="AR3494">
        <v>0</v>
      </c>
      <c r="AS3494">
        <v>0</v>
      </c>
      <c r="AT3494">
        <v>0</v>
      </c>
      <c r="AU3494">
        <v>0</v>
      </c>
      <c r="AV3494">
        <v>0</v>
      </c>
      <c r="AW3494">
        <v>0</v>
      </c>
      <c r="AX3494">
        <v>0</v>
      </c>
      <c r="AY3494">
        <v>0</v>
      </c>
      <c r="AZ3494">
        <v>0</v>
      </c>
      <c r="BA3494">
        <v>0</v>
      </c>
      <c r="BB3494">
        <v>0</v>
      </c>
      <c r="BC3494">
        <v>0</v>
      </c>
      <c r="BD3494">
        <v>0</v>
      </c>
      <c r="BE3494">
        <v>0</v>
      </c>
      <c r="BF3494">
        <v>0</v>
      </c>
      <c r="BG3494">
        <v>0</v>
      </c>
      <c r="BH3494">
        <v>1</v>
      </c>
      <c r="BI3494">
        <v>5</v>
      </c>
      <c r="BJ3494">
        <v>3.4</v>
      </c>
      <c r="BK3494">
        <v>5</v>
      </c>
      <c r="BL3494">
        <v>174.87</v>
      </c>
      <c r="BM3494">
        <v>26.23</v>
      </c>
      <c r="BN3494">
        <v>201.1</v>
      </c>
      <c r="BO3494">
        <v>201.1</v>
      </c>
      <c r="BQ3494" t="s">
        <v>240</v>
      </c>
      <c r="BR3494" t="s">
        <v>84</v>
      </c>
      <c r="BS3494" s="3">
        <v>45805</v>
      </c>
      <c r="BT3494" s="4">
        <v>0.36527777777777776</v>
      </c>
      <c r="BU3494" t="s">
        <v>2832</v>
      </c>
      <c r="BV3494" t="s">
        <v>86</v>
      </c>
      <c r="BY3494">
        <v>16965</v>
      </c>
      <c r="CA3494" t="s">
        <v>242</v>
      </c>
      <c r="CC3494" t="s">
        <v>131</v>
      </c>
      <c r="CD3494">
        <v>7441</v>
      </c>
      <c r="CE3494" t="s">
        <v>96</v>
      </c>
      <c r="CF3494" s="3">
        <v>45806</v>
      </c>
      <c r="CI3494">
        <v>1</v>
      </c>
      <c r="CJ3494">
        <v>1</v>
      </c>
      <c r="CK3494">
        <v>21</v>
      </c>
      <c r="CL3494" t="s">
        <v>89</v>
      </c>
    </row>
    <row r="3495" spans="1:90" x14ac:dyDescent="0.3">
      <c r="A3495" t="s">
        <v>72</v>
      </c>
      <c r="B3495" t="s">
        <v>73</v>
      </c>
      <c r="C3495" t="s">
        <v>74</v>
      </c>
      <c r="E3495" t="str">
        <f>"080065593265"</f>
        <v>080065593265</v>
      </c>
      <c r="F3495" s="3">
        <v>45804</v>
      </c>
      <c r="G3495">
        <v>202602</v>
      </c>
      <c r="H3495" t="s">
        <v>75</v>
      </c>
      <c r="I3495" t="s">
        <v>76</v>
      </c>
      <c r="J3495" t="s">
        <v>77</v>
      </c>
      <c r="K3495" t="s">
        <v>78</v>
      </c>
      <c r="L3495" t="s">
        <v>136</v>
      </c>
      <c r="M3495" t="s">
        <v>137</v>
      </c>
      <c r="N3495" t="s">
        <v>925</v>
      </c>
      <c r="O3495" t="s">
        <v>82</v>
      </c>
      <c r="P3495" t="str">
        <f>"4170040757                    "</f>
        <v xml:space="preserve">4170040757                    </v>
      </c>
      <c r="Q3495">
        <v>0</v>
      </c>
      <c r="R3495">
        <v>0</v>
      </c>
      <c r="S3495">
        <v>0</v>
      </c>
      <c r="T3495">
        <v>0</v>
      </c>
      <c r="U3495">
        <v>0</v>
      </c>
      <c r="V3495">
        <v>0</v>
      </c>
      <c r="W3495">
        <v>0</v>
      </c>
      <c r="X3495">
        <v>0</v>
      </c>
      <c r="Y3495">
        <v>0</v>
      </c>
      <c r="Z3495">
        <v>0</v>
      </c>
      <c r="AA3495">
        <v>0</v>
      </c>
      <c r="AB3495">
        <v>0</v>
      </c>
      <c r="AC3495">
        <v>0</v>
      </c>
      <c r="AD3495">
        <v>0</v>
      </c>
      <c r="AE3495">
        <v>0</v>
      </c>
      <c r="AF3495">
        <v>0</v>
      </c>
      <c r="AG3495">
        <v>0</v>
      </c>
      <c r="AH3495">
        <v>0</v>
      </c>
      <c r="AI3495">
        <v>0</v>
      </c>
      <c r="AJ3495">
        <v>0</v>
      </c>
      <c r="AK3495">
        <v>0</v>
      </c>
      <c r="AL3495">
        <v>0</v>
      </c>
      <c r="AM3495">
        <v>0</v>
      </c>
      <c r="AN3495">
        <v>0</v>
      </c>
      <c r="AO3495">
        <v>0</v>
      </c>
      <c r="AP3495">
        <v>0</v>
      </c>
      <c r="AQ3495">
        <v>21.38</v>
      </c>
      <c r="AR3495">
        <v>0</v>
      </c>
      <c r="AS3495">
        <v>0</v>
      </c>
      <c r="AT3495">
        <v>0</v>
      </c>
      <c r="AU3495">
        <v>0</v>
      </c>
      <c r="AV3495">
        <v>0</v>
      </c>
      <c r="AW3495">
        <v>0</v>
      </c>
      <c r="AX3495">
        <v>0</v>
      </c>
      <c r="AY3495">
        <v>0</v>
      </c>
      <c r="AZ3495">
        <v>0</v>
      </c>
      <c r="BA3495">
        <v>0</v>
      </c>
      <c r="BB3495">
        <v>0</v>
      </c>
      <c r="BC3495">
        <v>0</v>
      </c>
      <c r="BD3495">
        <v>0</v>
      </c>
      <c r="BE3495">
        <v>0</v>
      </c>
      <c r="BF3495">
        <v>0</v>
      </c>
      <c r="BG3495">
        <v>0</v>
      </c>
      <c r="BH3495">
        <v>1</v>
      </c>
      <c r="BI3495">
        <v>1</v>
      </c>
      <c r="BJ3495">
        <v>0.2</v>
      </c>
      <c r="BK3495">
        <v>1</v>
      </c>
      <c r="BL3495">
        <v>69.98</v>
      </c>
      <c r="BM3495">
        <v>10.5</v>
      </c>
      <c r="BN3495">
        <v>80.48</v>
      </c>
      <c r="BO3495">
        <v>80.48</v>
      </c>
      <c r="BQ3495" t="s">
        <v>926</v>
      </c>
      <c r="BR3495" t="s">
        <v>84</v>
      </c>
      <c r="BS3495" s="3">
        <v>45805</v>
      </c>
      <c r="BT3495" s="4">
        <v>0.43611111111111112</v>
      </c>
      <c r="BU3495" t="s">
        <v>3278</v>
      </c>
      <c r="BV3495" t="s">
        <v>86</v>
      </c>
      <c r="BY3495">
        <v>1200</v>
      </c>
      <c r="CA3495" t="s">
        <v>141</v>
      </c>
      <c r="CC3495" t="s">
        <v>137</v>
      </c>
      <c r="CD3495" s="5" t="s">
        <v>142</v>
      </c>
      <c r="CE3495" t="s">
        <v>88</v>
      </c>
      <c r="CF3495" s="3">
        <v>45805</v>
      </c>
      <c r="CI3495">
        <v>1</v>
      </c>
      <c r="CJ3495">
        <v>1</v>
      </c>
      <c r="CK3495">
        <v>21</v>
      </c>
      <c r="CL3495" t="s">
        <v>89</v>
      </c>
    </row>
    <row r="3496" spans="1:90" x14ac:dyDescent="0.3">
      <c r="A3496" t="s">
        <v>72</v>
      </c>
      <c r="B3496" t="s">
        <v>73</v>
      </c>
      <c r="C3496" t="s">
        <v>74</v>
      </c>
      <c r="E3496" t="str">
        <f>"080065593313"</f>
        <v>080065593313</v>
      </c>
      <c r="F3496" s="3">
        <v>45804</v>
      </c>
      <c r="G3496">
        <v>202602</v>
      </c>
      <c r="H3496" t="s">
        <v>75</v>
      </c>
      <c r="I3496" t="s">
        <v>76</v>
      </c>
      <c r="J3496" t="s">
        <v>77</v>
      </c>
      <c r="K3496" t="s">
        <v>78</v>
      </c>
      <c r="L3496" t="s">
        <v>130</v>
      </c>
      <c r="M3496" t="s">
        <v>131</v>
      </c>
      <c r="N3496" t="s">
        <v>343</v>
      </c>
      <c r="O3496" t="s">
        <v>82</v>
      </c>
      <c r="P3496" t="str">
        <f>"4170040908                    "</f>
        <v xml:space="preserve">4170040908                    </v>
      </c>
      <c r="Q3496">
        <v>0</v>
      </c>
      <c r="R3496">
        <v>0</v>
      </c>
      <c r="S3496">
        <v>0</v>
      </c>
      <c r="T3496">
        <v>0</v>
      </c>
      <c r="U3496">
        <v>0</v>
      </c>
      <c r="V3496">
        <v>0</v>
      </c>
      <c r="W3496">
        <v>0</v>
      </c>
      <c r="X3496">
        <v>0</v>
      </c>
      <c r="Y3496">
        <v>0</v>
      </c>
      <c r="Z3496">
        <v>0</v>
      </c>
      <c r="AA3496">
        <v>0</v>
      </c>
      <c r="AB3496">
        <v>0</v>
      </c>
      <c r="AC3496">
        <v>0</v>
      </c>
      <c r="AD3496">
        <v>0</v>
      </c>
      <c r="AE3496">
        <v>0</v>
      </c>
      <c r="AF3496">
        <v>0</v>
      </c>
      <c r="AG3496">
        <v>0</v>
      </c>
      <c r="AH3496">
        <v>0</v>
      </c>
      <c r="AI3496">
        <v>0</v>
      </c>
      <c r="AJ3496">
        <v>0</v>
      </c>
      <c r="AK3496">
        <v>0</v>
      </c>
      <c r="AL3496">
        <v>0</v>
      </c>
      <c r="AM3496">
        <v>0</v>
      </c>
      <c r="AN3496">
        <v>0</v>
      </c>
      <c r="AO3496">
        <v>0</v>
      </c>
      <c r="AP3496">
        <v>0</v>
      </c>
      <c r="AQ3496">
        <v>42.75</v>
      </c>
      <c r="AR3496">
        <v>0</v>
      </c>
      <c r="AS3496">
        <v>0</v>
      </c>
      <c r="AT3496">
        <v>0</v>
      </c>
      <c r="AU3496">
        <v>0</v>
      </c>
      <c r="AV3496">
        <v>0</v>
      </c>
      <c r="AW3496">
        <v>0</v>
      </c>
      <c r="AX3496">
        <v>0</v>
      </c>
      <c r="AY3496">
        <v>0</v>
      </c>
      <c r="AZ3496">
        <v>0</v>
      </c>
      <c r="BA3496">
        <v>0</v>
      </c>
      <c r="BB3496">
        <v>0</v>
      </c>
      <c r="BC3496">
        <v>0</v>
      </c>
      <c r="BD3496">
        <v>0</v>
      </c>
      <c r="BE3496">
        <v>0</v>
      </c>
      <c r="BF3496">
        <v>0</v>
      </c>
      <c r="BG3496">
        <v>0</v>
      </c>
      <c r="BH3496">
        <v>1</v>
      </c>
      <c r="BI3496">
        <v>4</v>
      </c>
      <c r="BJ3496">
        <v>1.7</v>
      </c>
      <c r="BK3496">
        <v>4</v>
      </c>
      <c r="BL3496">
        <v>139.91</v>
      </c>
      <c r="BM3496">
        <v>20.99</v>
      </c>
      <c r="BN3496">
        <v>160.9</v>
      </c>
      <c r="BO3496">
        <v>160.9</v>
      </c>
      <c r="BQ3496" t="s">
        <v>344</v>
      </c>
      <c r="BR3496" t="s">
        <v>84</v>
      </c>
      <c r="BS3496" s="3">
        <v>45805</v>
      </c>
      <c r="BT3496" s="4">
        <v>0.4152777777777778</v>
      </c>
      <c r="BU3496" t="s">
        <v>3228</v>
      </c>
      <c r="BV3496" t="s">
        <v>86</v>
      </c>
      <c r="BY3496">
        <v>8512</v>
      </c>
      <c r="CA3496" t="s">
        <v>242</v>
      </c>
      <c r="CC3496" t="s">
        <v>131</v>
      </c>
      <c r="CD3496">
        <v>7441</v>
      </c>
      <c r="CE3496" t="s">
        <v>116</v>
      </c>
      <c r="CF3496" s="3">
        <v>45806</v>
      </c>
      <c r="CI3496">
        <v>1</v>
      </c>
      <c r="CJ3496">
        <v>1</v>
      </c>
      <c r="CK3496">
        <v>21</v>
      </c>
      <c r="CL3496" t="s">
        <v>89</v>
      </c>
    </row>
    <row r="3497" spans="1:90" x14ac:dyDescent="0.3">
      <c r="A3497" t="s">
        <v>72</v>
      </c>
      <c r="B3497" t="s">
        <v>73</v>
      </c>
      <c r="C3497" t="s">
        <v>74</v>
      </c>
      <c r="E3497" t="str">
        <f>"080065593329"</f>
        <v>080065593329</v>
      </c>
      <c r="F3497" s="3">
        <v>45804</v>
      </c>
      <c r="G3497">
        <v>202602</v>
      </c>
      <c r="H3497" t="s">
        <v>75</v>
      </c>
      <c r="I3497" t="s">
        <v>76</v>
      </c>
      <c r="J3497" t="s">
        <v>77</v>
      </c>
      <c r="K3497" t="s">
        <v>78</v>
      </c>
      <c r="L3497" t="s">
        <v>177</v>
      </c>
      <c r="M3497" t="s">
        <v>178</v>
      </c>
      <c r="N3497" t="s">
        <v>1854</v>
      </c>
      <c r="O3497" t="s">
        <v>82</v>
      </c>
      <c r="P3497" t="str">
        <f>"4170040779                    "</f>
        <v xml:space="preserve">4170040779                    </v>
      </c>
      <c r="Q3497">
        <v>0</v>
      </c>
      <c r="R3497">
        <v>0</v>
      </c>
      <c r="S3497">
        <v>0</v>
      </c>
      <c r="T3497">
        <v>0</v>
      </c>
      <c r="U3497">
        <v>0</v>
      </c>
      <c r="V3497">
        <v>0</v>
      </c>
      <c r="W3497">
        <v>0</v>
      </c>
      <c r="X3497">
        <v>0</v>
      </c>
      <c r="Y3497">
        <v>0</v>
      </c>
      <c r="Z3497">
        <v>0</v>
      </c>
      <c r="AA3497">
        <v>0</v>
      </c>
      <c r="AB3497">
        <v>0</v>
      </c>
      <c r="AC3497">
        <v>0</v>
      </c>
      <c r="AD3497">
        <v>0</v>
      </c>
      <c r="AE3497">
        <v>0</v>
      </c>
      <c r="AF3497">
        <v>0</v>
      </c>
      <c r="AG3497">
        <v>0</v>
      </c>
      <c r="AH3497">
        <v>0</v>
      </c>
      <c r="AI3497">
        <v>0</v>
      </c>
      <c r="AJ3497">
        <v>0</v>
      </c>
      <c r="AK3497">
        <v>0</v>
      </c>
      <c r="AL3497">
        <v>0</v>
      </c>
      <c r="AM3497">
        <v>0</v>
      </c>
      <c r="AN3497">
        <v>0</v>
      </c>
      <c r="AO3497">
        <v>0</v>
      </c>
      <c r="AP3497">
        <v>0</v>
      </c>
      <c r="AQ3497">
        <v>21.38</v>
      </c>
      <c r="AR3497">
        <v>0</v>
      </c>
      <c r="AS3497">
        <v>0</v>
      </c>
      <c r="AT3497">
        <v>0</v>
      </c>
      <c r="AU3497">
        <v>0</v>
      </c>
      <c r="AV3497">
        <v>0</v>
      </c>
      <c r="AW3497">
        <v>0</v>
      </c>
      <c r="AX3497">
        <v>0</v>
      </c>
      <c r="AY3497">
        <v>0</v>
      </c>
      <c r="AZ3497">
        <v>0</v>
      </c>
      <c r="BA3497">
        <v>0</v>
      </c>
      <c r="BB3497">
        <v>0</v>
      </c>
      <c r="BC3497">
        <v>0</v>
      </c>
      <c r="BD3497">
        <v>0</v>
      </c>
      <c r="BE3497">
        <v>0</v>
      </c>
      <c r="BF3497">
        <v>0</v>
      </c>
      <c r="BG3497">
        <v>0</v>
      </c>
      <c r="BH3497">
        <v>1</v>
      </c>
      <c r="BI3497">
        <v>1</v>
      </c>
      <c r="BJ3497">
        <v>0.2</v>
      </c>
      <c r="BK3497">
        <v>1</v>
      </c>
      <c r="BL3497">
        <v>69.98</v>
      </c>
      <c r="BM3497">
        <v>10.5</v>
      </c>
      <c r="BN3497">
        <v>80.48</v>
      </c>
      <c r="BO3497">
        <v>80.48</v>
      </c>
      <c r="BQ3497" t="s">
        <v>1855</v>
      </c>
      <c r="BR3497" t="s">
        <v>84</v>
      </c>
      <c r="BS3497" s="3">
        <v>45805</v>
      </c>
      <c r="BT3497" s="4">
        <v>0.33680555555555558</v>
      </c>
      <c r="BU3497" t="s">
        <v>3214</v>
      </c>
      <c r="BV3497" t="s">
        <v>86</v>
      </c>
      <c r="BY3497">
        <v>1200</v>
      </c>
      <c r="CA3497" t="s">
        <v>182</v>
      </c>
      <c r="CC3497" t="s">
        <v>178</v>
      </c>
      <c r="CD3497">
        <v>6230</v>
      </c>
      <c r="CE3497" t="s">
        <v>88</v>
      </c>
      <c r="CF3497" s="3">
        <v>45805</v>
      </c>
      <c r="CI3497">
        <v>1</v>
      </c>
      <c r="CJ3497">
        <v>1</v>
      </c>
      <c r="CK3497">
        <v>21</v>
      </c>
      <c r="CL3497" t="s">
        <v>89</v>
      </c>
    </row>
    <row r="3498" spans="1:90" x14ac:dyDescent="0.3">
      <c r="A3498" t="s">
        <v>72</v>
      </c>
      <c r="B3498" t="s">
        <v>73</v>
      </c>
      <c r="C3498" t="s">
        <v>74</v>
      </c>
      <c r="E3498" t="str">
        <f>"080065593374"</f>
        <v>080065593374</v>
      </c>
      <c r="F3498" s="3">
        <v>45804</v>
      </c>
      <c r="G3498">
        <v>202602</v>
      </c>
      <c r="H3498" t="s">
        <v>75</v>
      </c>
      <c r="I3498" t="s">
        <v>76</v>
      </c>
      <c r="J3498" t="s">
        <v>77</v>
      </c>
      <c r="K3498" t="s">
        <v>78</v>
      </c>
      <c r="L3498" t="s">
        <v>136</v>
      </c>
      <c r="M3498" t="s">
        <v>137</v>
      </c>
      <c r="N3498" t="s">
        <v>1656</v>
      </c>
      <c r="O3498" t="s">
        <v>82</v>
      </c>
      <c r="P3498" t="str">
        <f>"4170040913                    "</f>
        <v xml:space="preserve">4170040913                    </v>
      </c>
      <c r="Q3498">
        <v>0</v>
      </c>
      <c r="R3498">
        <v>0</v>
      </c>
      <c r="S3498">
        <v>0</v>
      </c>
      <c r="T3498">
        <v>0</v>
      </c>
      <c r="U3498">
        <v>0</v>
      </c>
      <c r="V3498">
        <v>0</v>
      </c>
      <c r="W3498">
        <v>0</v>
      </c>
      <c r="X3498">
        <v>0</v>
      </c>
      <c r="Y3498">
        <v>0</v>
      </c>
      <c r="Z3498">
        <v>0</v>
      </c>
      <c r="AA3498">
        <v>0</v>
      </c>
      <c r="AB3498">
        <v>0</v>
      </c>
      <c r="AC3498">
        <v>0</v>
      </c>
      <c r="AD3498">
        <v>0</v>
      </c>
      <c r="AE3498">
        <v>0</v>
      </c>
      <c r="AF3498">
        <v>0</v>
      </c>
      <c r="AG3498">
        <v>0</v>
      </c>
      <c r="AH3498">
        <v>0</v>
      </c>
      <c r="AI3498">
        <v>0</v>
      </c>
      <c r="AJ3498">
        <v>0</v>
      </c>
      <c r="AK3498">
        <v>0</v>
      </c>
      <c r="AL3498">
        <v>0</v>
      </c>
      <c r="AM3498">
        <v>0</v>
      </c>
      <c r="AN3498">
        <v>0</v>
      </c>
      <c r="AO3498">
        <v>0</v>
      </c>
      <c r="AP3498">
        <v>0</v>
      </c>
      <c r="AQ3498">
        <v>21.38</v>
      </c>
      <c r="AR3498">
        <v>0</v>
      </c>
      <c r="AS3498">
        <v>0</v>
      </c>
      <c r="AT3498">
        <v>0</v>
      </c>
      <c r="AU3498">
        <v>0</v>
      </c>
      <c r="AV3498">
        <v>0</v>
      </c>
      <c r="AW3498">
        <v>0</v>
      </c>
      <c r="AX3498">
        <v>0</v>
      </c>
      <c r="AY3498">
        <v>0</v>
      </c>
      <c r="AZ3498">
        <v>0</v>
      </c>
      <c r="BA3498">
        <v>0</v>
      </c>
      <c r="BB3498">
        <v>0</v>
      </c>
      <c r="BC3498">
        <v>0</v>
      </c>
      <c r="BD3498">
        <v>0</v>
      </c>
      <c r="BE3498">
        <v>0</v>
      </c>
      <c r="BF3498">
        <v>0</v>
      </c>
      <c r="BG3498">
        <v>0</v>
      </c>
      <c r="BH3498">
        <v>1</v>
      </c>
      <c r="BI3498">
        <v>1</v>
      </c>
      <c r="BJ3498">
        <v>1.7</v>
      </c>
      <c r="BK3498">
        <v>2</v>
      </c>
      <c r="BL3498">
        <v>69.98</v>
      </c>
      <c r="BM3498">
        <v>10.5</v>
      </c>
      <c r="BN3498">
        <v>80.48</v>
      </c>
      <c r="BO3498">
        <v>80.48</v>
      </c>
      <c r="BQ3498" t="s">
        <v>1657</v>
      </c>
      <c r="BR3498" t="s">
        <v>84</v>
      </c>
      <c r="BS3498" s="3">
        <v>45805</v>
      </c>
      <c r="BT3498" s="4">
        <v>0.38124999999999998</v>
      </c>
      <c r="BU3498" t="s">
        <v>1658</v>
      </c>
      <c r="BV3498" t="s">
        <v>86</v>
      </c>
      <c r="BY3498">
        <v>8550</v>
      </c>
      <c r="CA3498" t="s">
        <v>141</v>
      </c>
      <c r="CC3498" t="s">
        <v>137</v>
      </c>
      <c r="CD3498" s="5" t="s">
        <v>142</v>
      </c>
      <c r="CE3498" t="s">
        <v>116</v>
      </c>
      <c r="CF3498" s="3">
        <v>45805</v>
      </c>
      <c r="CI3498">
        <v>1</v>
      </c>
      <c r="CJ3498">
        <v>1</v>
      </c>
      <c r="CK3498">
        <v>21</v>
      </c>
      <c r="CL3498" t="s">
        <v>89</v>
      </c>
    </row>
    <row r="3499" spans="1:90" x14ac:dyDescent="0.3">
      <c r="A3499" t="s">
        <v>72</v>
      </c>
      <c r="B3499" t="s">
        <v>73</v>
      </c>
      <c r="C3499" t="s">
        <v>74</v>
      </c>
      <c r="E3499" t="str">
        <f>"080065593391"</f>
        <v>080065593391</v>
      </c>
      <c r="F3499" s="3">
        <v>45804</v>
      </c>
      <c r="G3499">
        <v>202602</v>
      </c>
      <c r="H3499" t="s">
        <v>75</v>
      </c>
      <c r="I3499" t="s">
        <v>76</v>
      </c>
      <c r="J3499" t="s">
        <v>77</v>
      </c>
      <c r="K3499" t="s">
        <v>78</v>
      </c>
      <c r="L3499" t="s">
        <v>123</v>
      </c>
      <c r="M3499" t="s">
        <v>123</v>
      </c>
      <c r="N3499" t="s">
        <v>1700</v>
      </c>
      <c r="O3499" t="s">
        <v>82</v>
      </c>
      <c r="P3499" t="str">
        <f>"4170040766                    "</f>
        <v xml:space="preserve">4170040766                    </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0</v>
      </c>
      <c r="AJ3499">
        <v>0</v>
      </c>
      <c r="AK3499">
        <v>0</v>
      </c>
      <c r="AL3499">
        <v>0</v>
      </c>
      <c r="AM3499">
        <v>0</v>
      </c>
      <c r="AN3499">
        <v>0</v>
      </c>
      <c r="AO3499">
        <v>0</v>
      </c>
      <c r="AP3499">
        <v>0</v>
      </c>
      <c r="AQ3499">
        <v>41.43</v>
      </c>
      <c r="AR3499">
        <v>0</v>
      </c>
      <c r="AS3499">
        <v>0</v>
      </c>
      <c r="AT3499">
        <v>0</v>
      </c>
      <c r="AU3499">
        <v>0</v>
      </c>
      <c r="AV3499">
        <v>0</v>
      </c>
      <c r="AW3499">
        <v>0</v>
      </c>
      <c r="AX3499">
        <v>0</v>
      </c>
      <c r="AY3499">
        <v>0</v>
      </c>
      <c r="AZ3499">
        <v>0</v>
      </c>
      <c r="BA3499">
        <v>0</v>
      </c>
      <c r="BB3499">
        <v>0</v>
      </c>
      <c r="BC3499">
        <v>0</v>
      </c>
      <c r="BD3499">
        <v>0</v>
      </c>
      <c r="BE3499">
        <v>0</v>
      </c>
      <c r="BF3499">
        <v>0</v>
      </c>
      <c r="BG3499">
        <v>0</v>
      </c>
      <c r="BH3499">
        <v>1</v>
      </c>
      <c r="BI3499">
        <v>1</v>
      </c>
      <c r="BJ3499">
        <v>0.2</v>
      </c>
      <c r="BK3499">
        <v>1</v>
      </c>
      <c r="BL3499">
        <v>135.59</v>
      </c>
      <c r="BM3499">
        <v>20.34</v>
      </c>
      <c r="BN3499">
        <v>155.93</v>
      </c>
      <c r="BO3499">
        <v>155.93</v>
      </c>
      <c r="BQ3499" t="s">
        <v>1701</v>
      </c>
      <c r="BR3499" t="s">
        <v>84</v>
      </c>
      <c r="BS3499" s="3">
        <v>45805</v>
      </c>
      <c r="BT3499" s="4">
        <v>0.52083333333333337</v>
      </c>
      <c r="BU3499" t="s">
        <v>319</v>
      </c>
      <c r="BV3499" t="s">
        <v>86</v>
      </c>
      <c r="BY3499">
        <v>1200</v>
      </c>
      <c r="CA3499" t="s">
        <v>128</v>
      </c>
      <c r="CC3499" t="s">
        <v>123</v>
      </c>
      <c r="CD3499">
        <v>7646</v>
      </c>
      <c r="CE3499" t="s">
        <v>88</v>
      </c>
      <c r="CF3499" s="3">
        <v>45806</v>
      </c>
      <c r="CI3499">
        <v>1</v>
      </c>
      <c r="CJ3499">
        <v>1</v>
      </c>
      <c r="CK3499">
        <v>23</v>
      </c>
      <c r="CL3499" t="s">
        <v>89</v>
      </c>
    </row>
    <row r="3500" spans="1:90" x14ac:dyDescent="0.3">
      <c r="A3500" t="s">
        <v>72</v>
      </c>
      <c r="B3500" t="s">
        <v>73</v>
      </c>
      <c r="C3500" t="s">
        <v>74</v>
      </c>
      <c r="E3500" t="str">
        <f>"080065593435"</f>
        <v>080065593435</v>
      </c>
      <c r="F3500" s="3">
        <v>45804</v>
      </c>
      <c r="G3500">
        <v>202602</v>
      </c>
      <c r="H3500" t="s">
        <v>75</v>
      </c>
      <c r="I3500" t="s">
        <v>76</v>
      </c>
      <c r="J3500" t="s">
        <v>77</v>
      </c>
      <c r="K3500" t="s">
        <v>78</v>
      </c>
      <c r="L3500" t="s">
        <v>90</v>
      </c>
      <c r="M3500" t="s">
        <v>91</v>
      </c>
      <c r="N3500" t="s">
        <v>92</v>
      </c>
      <c r="O3500" t="s">
        <v>82</v>
      </c>
      <c r="P3500" t="str">
        <f>"4170040826                    "</f>
        <v xml:space="preserve">4170040826                    </v>
      </c>
      <c r="Q3500">
        <v>0</v>
      </c>
      <c r="R3500">
        <v>0</v>
      </c>
      <c r="S3500">
        <v>0</v>
      </c>
      <c r="T3500">
        <v>0</v>
      </c>
      <c r="U3500">
        <v>0</v>
      </c>
      <c r="V3500">
        <v>0</v>
      </c>
      <c r="W3500">
        <v>0</v>
      </c>
      <c r="X3500">
        <v>0</v>
      </c>
      <c r="Y3500">
        <v>0</v>
      </c>
      <c r="Z3500">
        <v>0</v>
      </c>
      <c r="AA3500">
        <v>0</v>
      </c>
      <c r="AB3500">
        <v>0</v>
      </c>
      <c r="AC3500">
        <v>0</v>
      </c>
      <c r="AD3500">
        <v>0</v>
      </c>
      <c r="AE3500">
        <v>0</v>
      </c>
      <c r="AF3500">
        <v>0</v>
      </c>
      <c r="AG3500">
        <v>0</v>
      </c>
      <c r="AH3500">
        <v>0</v>
      </c>
      <c r="AI3500">
        <v>0</v>
      </c>
      <c r="AJ3500">
        <v>0</v>
      </c>
      <c r="AK3500">
        <v>0</v>
      </c>
      <c r="AL3500">
        <v>0</v>
      </c>
      <c r="AM3500">
        <v>0</v>
      </c>
      <c r="AN3500">
        <v>0</v>
      </c>
      <c r="AO3500">
        <v>0</v>
      </c>
      <c r="AP3500">
        <v>0</v>
      </c>
      <c r="AQ3500">
        <v>21.38</v>
      </c>
      <c r="AR3500">
        <v>0</v>
      </c>
      <c r="AS3500">
        <v>0</v>
      </c>
      <c r="AT3500">
        <v>0</v>
      </c>
      <c r="AU3500">
        <v>0</v>
      </c>
      <c r="AV3500">
        <v>0</v>
      </c>
      <c r="AW3500">
        <v>0</v>
      </c>
      <c r="AX3500">
        <v>0</v>
      </c>
      <c r="AY3500">
        <v>0</v>
      </c>
      <c r="AZ3500">
        <v>0</v>
      </c>
      <c r="BA3500">
        <v>0</v>
      </c>
      <c r="BB3500">
        <v>0</v>
      </c>
      <c r="BC3500">
        <v>0</v>
      </c>
      <c r="BD3500">
        <v>0</v>
      </c>
      <c r="BE3500">
        <v>0</v>
      </c>
      <c r="BF3500">
        <v>0</v>
      </c>
      <c r="BG3500">
        <v>0</v>
      </c>
      <c r="BH3500">
        <v>1</v>
      </c>
      <c r="BI3500">
        <v>1</v>
      </c>
      <c r="BJ3500">
        <v>0.2</v>
      </c>
      <c r="BK3500">
        <v>1</v>
      </c>
      <c r="BL3500">
        <v>69.98</v>
      </c>
      <c r="BM3500">
        <v>10.5</v>
      </c>
      <c r="BN3500">
        <v>80.48</v>
      </c>
      <c r="BO3500">
        <v>80.48</v>
      </c>
      <c r="BQ3500" t="s">
        <v>93</v>
      </c>
      <c r="BR3500" t="s">
        <v>84</v>
      </c>
      <c r="BS3500" s="3">
        <v>45805</v>
      </c>
      <c r="BT3500" s="4">
        <v>0.36319444444444443</v>
      </c>
      <c r="BU3500" t="s">
        <v>94</v>
      </c>
      <c r="BV3500" t="s">
        <v>86</v>
      </c>
      <c r="BY3500">
        <v>1200</v>
      </c>
      <c r="CA3500" t="s">
        <v>95</v>
      </c>
      <c r="CC3500" t="s">
        <v>91</v>
      </c>
      <c r="CD3500">
        <v>6001</v>
      </c>
      <c r="CE3500" t="s">
        <v>88</v>
      </c>
      <c r="CF3500" s="3">
        <v>45805</v>
      </c>
      <c r="CI3500">
        <v>1</v>
      </c>
      <c r="CJ3500">
        <v>1</v>
      </c>
      <c r="CK3500">
        <v>21</v>
      </c>
      <c r="CL3500" t="s">
        <v>89</v>
      </c>
    </row>
    <row r="3501" spans="1:90" x14ac:dyDescent="0.3">
      <c r="A3501" t="s">
        <v>72</v>
      </c>
      <c r="B3501" t="s">
        <v>73</v>
      </c>
      <c r="C3501" t="s">
        <v>74</v>
      </c>
      <c r="E3501" t="str">
        <f>"080065593478"</f>
        <v>080065593478</v>
      </c>
      <c r="F3501" s="3">
        <v>45804</v>
      </c>
      <c r="G3501">
        <v>202602</v>
      </c>
      <c r="H3501" t="s">
        <v>75</v>
      </c>
      <c r="I3501" t="s">
        <v>76</v>
      </c>
      <c r="J3501" t="s">
        <v>77</v>
      </c>
      <c r="K3501" t="s">
        <v>78</v>
      </c>
      <c r="L3501" t="s">
        <v>489</v>
      </c>
      <c r="M3501" t="s">
        <v>490</v>
      </c>
      <c r="N3501" t="s">
        <v>491</v>
      </c>
      <c r="O3501" t="s">
        <v>82</v>
      </c>
      <c r="P3501" t="str">
        <f>"4170040904                    "</f>
        <v xml:space="preserve">4170040904                    </v>
      </c>
      <c r="Q3501">
        <v>0</v>
      </c>
      <c r="R3501">
        <v>0</v>
      </c>
      <c r="S3501">
        <v>0</v>
      </c>
      <c r="T3501">
        <v>0</v>
      </c>
      <c r="U3501">
        <v>0</v>
      </c>
      <c r="V3501">
        <v>0</v>
      </c>
      <c r="W3501">
        <v>0</v>
      </c>
      <c r="X3501">
        <v>0</v>
      </c>
      <c r="Y3501">
        <v>0</v>
      </c>
      <c r="Z3501">
        <v>0</v>
      </c>
      <c r="AA3501">
        <v>0</v>
      </c>
      <c r="AB3501">
        <v>0</v>
      </c>
      <c r="AC3501">
        <v>0</v>
      </c>
      <c r="AD3501">
        <v>0</v>
      </c>
      <c r="AE3501">
        <v>0</v>
      </c>
      <c r="AF3501">
        <v>0</v>
      </c>
      <c r="AG3501">
        <v>0</v>
      </c>
      <c r="AH3501">
        <v>0</v>
      </c>
      <c r="AI3501">
        <v>0</v>
      </c>
      <c r="AJ3501">
        <v>0</v>
      </c>
      <c r="AK3501">
        <v>0</v>
      </c>
      <c r="AL3501">
        <v>0</v>
      </c>
      <c r="AM3501">
        <v>0</v>
      </c>
      <c r="AN3501">
        <v>0</v>
      </c>
      <c r="AO3501">
        <v>0</v>
      </c>
      <c r="AP3501">
        <v>0</v>
      </c>
      <c r="AQ3501">
        <v>41.43</v>
      </c>
      <c r="AR3501">
        <v>0</v>
      </c>
      <c r="AS3501">
        <v>0</v>
      </c>
      <c r="AT3501">
        <v>0</v>
      </c>
      <c r="AU3501">
        <v>0</v>
      </c>
      <c r="AV3501">
        <v>0</v>
      </c>
      <c r="AW3501">
        <v>0</v>
      </c>
      <c r="AX3501">
        <v>0</v>
      </c>
      <c r="AY3501">
        <v>0</v>
      </c>
      <c r="AZ3501">
        <v>0</v>
      </c>
      <c r="BA3501">
        <v>0</v>
      </c>
      <c r="BB3501">
        <v>0</v>
      </c>
      <c r="BC3501">
        <v>0</v>
      </c>
      <c r="BD3501">
        <v>0</v>
      </c>
      <c r="BE3501">
        <v>0</v>
      </c>
      <c r="BF3501">
        <v>0</v>
      </c>
      <c r="BG3501">
        <v>0</v>
      </c>
      <c r="BH3501">
        <v>1</v>
      </c>
      <c r="BI3501">
        <v>1</v>
      </c>
      <c r="BJ3501">
        <v>0.2</v>
      </c>
      <c r="BK3501">
        <v>1</v>
      </c>
      <c r="BL3501">
        <v>135.59</v>
      </c>
      <c r="BM3501">
        <v>20.34</v>
      </c>
      <c r="BN3501">
        <v>155.93</v>
      </c>
      <c r="BO3501">
        <v>155.93</v>
      </c>
      <c r="BQ3501" t="s">
        <v>492</v>
      </c>
      <c r="BR3501" t="s">
        <v>84</v>
      </c>
      <c r="BS3501" s="3">
        <v>45805</v>
      </c>
      <c r="BT3501" s="4">
        <v>0.36875000000000002</v>
      </c>
      <c r="BU3501" t="s">
        <v>2931</v>
      </c>
      <c r="BV3501" t="s">
        <v>86</v>
      </c>
      <c r="BY3501">
        <v>1200</v>
      </c>
      <c r="CA3501" t="s">
        <v>913</v>
      </c>
      <c r="CC3501" t="s">
        <v>490</v>
      </c>
      <c r="CD3501">
        <v>2740</v>
      </c>
      <c r="CE3501" t="s">
        <v>88</v>
      </c>
      <c r="CF3501" s="3">
        <v>45806</v>
      </c>
      <c r="CI3501">
        <v>1</v>
      </c>
      <c r="CJ3501">
        <v>1</v>
      </c>
      <c r="CK3501">
        <v>23</v>
      </c>
      <c r="CL3501" t="s">
        <v>89</v>
      </c>
    </row>
    <row r="3502" spans="1:90" x14ac:dyDescent="0.3">
      <c r="A3502" t="s">
        <v>72</v>
      </c>
      <c r="B3502" t="s">
        <v>73</v>
      </c>
      <c r="C3502" t="s">
        <v>74</v>
      </c>
      <c r="E3502" t="str">
        <f>"080065593509"</f>
        <v>080065593509</v>
      </c>
      <c r="F3502" s="3">
        <v>45804</v>
      </c>
      <c r="G3502">
        <v>202602</v>
      </c>
      <c r="H3502" t="s">
        <v>75</v>
      </c>
      <c r="I3502" t="s">
        <v>76</v>
      </c>
      <c r="J3502" t="s">
        <v>77</v>
      </c>
      <c r="K3502" t="s">
        <v>78</v>
      </c>
      <c r="L3502" t="s">
        <v>151</v>
      </c>
      <c r="M3502" t="s">
        <v>152</v>
      </c>
      <c r="N3502" t="s">
        <v>2482</v>
      </c>
      <c r="O3502" t="s">
        <v>82</v>
      </c>
      <c r="P3502" t="str">
        <f>"4170040790                    "</f>
        <v xml:space="preserve">4170040790                    </v>
      </c>
      <c r="Q3502">
        <v>0</v>
      </c>
      <c r="R3502">
        <v>0</v>
      </c>
      <c r="S3502">
        <v>0</v>
      </c>
      <c r="T3502">
        <v>0</v>
      </c>
      <c r="U3502">
        <v>0</v>
      </c>
      <c r="V3502">
        <v>0</v>
      </c>
      <c r="W3502">
        <v>0</v>
      </c>
      <c r="X3502">
        <v>0</v>
      </c>
      <c r="Y3502">
        <v>0</v>
      </c>
      <c r="Z3502">
        <v>0</v>
      </c>
      <c r="AA3502">
        <v>0</v>
      </c>
      <c r="AB3502">
        <v>0</v>
      </c>
      <c r="AC3502">
        <v>0</v>
      </c>
      <c r="AD3502">
        <v>0</v>
      </c>
      <c r="AE3502">
        <v>0</v>
      </c>
      <c r="AF3502">
        <v>0</v>
      </c>
      <c r="AG3502">
        <v>0</v>
      </c>
      <c r="AH3502">
        <v>0</v>
      </c>
      <c r="AI3502">
        <v>0</v>
      </c>
      <c r="AJ3502">
        <v>0</v>
      </c>
      <c r="AK3502">
        <v>0</v>
      </c>
      <c r="AL3502">
        <v>0</v>
      </c>
      <c r="AM3502">
        <v>0</v>
      </c>
      <c r="AN3502">
        <v>0</v>
      </c>
      <c r="AO3502">
        <v>0</v>
      </c>
      <c r="AP3502">
        <v>0</v>
      </c>
      <c r="AQ3502">
        <v>134.97</v>
      </c>
      <c r="AR3502">
        <v>0</v>
      </c>
      <c r="AS3502">
        <v>0</v>
      </c>
      <c r="AT3502">
        <v>0</v>
      </c>
      <c r="AU3502">
        <v>0</v>
      </c>
      <c r="AV3502">
        <v>0</v>
      </c>
      <c r="AW3502">
        <v>0</v>
      </c>
      <c r="AX3502">
        <v>0</v>
      </c>
      <c r="AY3502">
        <v>0</v>
      </c>
      <c r="AZ3502">
        <v>0</v>
      </c>
      <c r="BA3502">
        <v>0</v>
      </c>
      <c r="BB3502">
        <v>0</v>
      </c>
      <c r="BC3502">
        <v>0</v>
      </c>
      <c r="BD3502">
        <v>0</v>
      </c>
      <c r="BE3502">
        <v>0</v>
      </c>
      <c r="BF3502">
        <v>0</v>
      </c>
      <c r="BG3502">
        <v>0</v>
      </c>
      <c r="BH3502">
        <v>1</v>
      </c>
      <c r="BI3502">
        <v>7</v>
      </c>
      <c r="BJ3502">
        <v>3.4</v>
      </c>
      <c r="BK3502">
        <v>7</v>
      </c>
      <c r="BL3502">
        <v>441.73</v>
      </c>
      <c r="BM3502">
        <v>66.260000000000005</v>
      </c>
      <c r="BN3502">
        <v>507.99</v>
      </c>
      <c r="BO3502">
        <v>507.99</v>
      </c>
      <c r="BQ3502" t="s">
        <v>2483</v>
      </c>
      <c r="BR3502" t="s">
        <v>84</v>
      </c>
      <c r="BS3502" s="3">
        <v>45805</v>
      </c>
      <c r="BT3502" s="4">
        <v>0.43333333333333335</v>
      </c>
      <c r="BU3502" t="s">
        <v>3279</v>
      </c>
      <c r="BV3502" t="s">
        <v>86</v>
      </c>
      <c r="BY3502">
        <v>16965</v>
      </c>
      <c r="CA3502" t="s">
        <v>156</v>
      </c>
      <c r="CC3502" t="s">
        <v>152</v>
      </c>
      <c r="CD3502">
        <v>1911</v>
      </c>
      <c r="CE3502" t="s">
        <v>96</v>
      </c>
      <c r="CF3502" s="3">
        <v>45806</v>
      </c>
      <c r="CI3502">
        <v>1</v>
      </c>
      <c r="CJ3502">
        <v>1</v>
      </c>
      <c r="CK3502">
        <v>23</v>
      </c>
      <c r="CL3502" t="s">
        <v>89</v>
      </c>
    </row>
    <row r="3503" spans="1:90" x14ac:dyDescent="0.3">
      <c r="A3503" t="s">
        <v>72</v>
      </c>
      <c r="B3503" t="s">
        <v>73</v>
      </c>
      <c r="C3503" t="s">
        <v>74</v>
      </c>
      <c r="E3503" t="str">
        <f>"080065593525"</f>
        <v>080065593525</v>
      </c>
      <c r="F3503" s="3">
        <v>45804</v>
      </c>
      <c r="G3503">
        <v>202602</v>
      </c>
      <c r="H3503" t="s">
        <v>75</v>
      </c>
      <c r="I3503" t="s">
        <v>76</v>
      </c>
      <c r="J3503" t="s">
        <v>77</v>
      </c>
      <c r="K3503" t="s">
        <v>78</v>
      </c>
      <c r="L3503" t="s">
        <v>409</v>
      </c>
      <c r="M3503" t="s">
        <v>410</v>
      </c>
      <c r="N3503" t="s">
        <v>1682</v>
      </c>
      <c r="O3503" t="s">
        <v>82</v>
      </c>
      <c r="P3503" t="str">
        <f>"4170040806                    "</f>
        <v xml:space="preserve">4170040806                    </v>
      </c>
      <c r="Q3503">
        <v>0</v>
      </c>
      <c r="R3503">
        <v>0</v>
      </c>
      <c r="S3503">
        <v>0</v>
      </c>
      <c r="T3503">
        <v>0</v>
      </c>
      <c r="U3503">
        <v>0</v>
      </c>
      <c r="V3503">
        <v>0</v>
      </c>
      <c r="W3503">
        <v>0</v>
      </c>
      <c r="X3503">
        <v>0</v>
      </c>
      <c r="Y3503">
        <v>0</v>
      </c>
      <c r="Z3503">
        <v>0</v>
      </c>
      <c r="AA3503">
        <v>0</v>
      </c>
      <c r="AB3503">
        <v>0</v>
      </c>
      <c r="AC3503">
        <v>0</v>
      </c>
      <c r="AD3503">
        <v>0</v>
      </c>
      <c r="AE3503">
        <v>0</v>
      </c>
      <c r="AF3503">
        <v>0</v>
      </c>
      <c r="AG3503">
        <v>0</v>
      </c>
      <c r="AH3503">
        <v>0</v>
      </c>
      <c r="AI3503">
        <v>0</v>
      </c>
      <c r="AJ3503">
        <v>0</v>
      </c>
      <c r="AK3503">
        <v>0</v>
      </c>
      <c r="AL3503">
        <v>0</v>
      </c>
      <c r="AM3503">
        <v>0</v>
      </c>
      <c r="AN3503">
        <v>0</v>
      </c>
      <c r="AO3503">
        <v>0</v>
      </c>
      <c r="AP3503">
        <v>0</v>
      </c>
      <c r="AQ3503">
        <v>41.43</v>
      </c>
      <c r="AR3503">
        <v>0</v>
      </c>
      <c r="AS3503">
        <v>0</v>
      </c>
      <c r="AT3503">
        <v>0</v>
      </c>
      <c r="AU3503">
        <v>0</v>
      </c>
      <c r="AV3503">
        <v>0</v>
      </c>
      <c r="AW3503">
        <v>0</v>
      </c>
      <c r="AX3503">
        <v>0</v>
      </c>
      <c r="AY3503">
        <v>0</v>
      </c>
      <c r="AZ3503">
        <v>0</v>
      </c>
      <c r="BA3503">
        <v>0</v>
      </c>
      <c r="BB3503">
        <v>0</v>
      </c>
      <c r="BC3503">
        <v>0</v>
      </c>
      <c r="BD3503">
        <v>0</v>
      </c>
      <c r="BE3503">
        <v>0</v>
      </c>
      <c r="BF3503">
        <v>0</v>
      </c>
      <c r="BG3503">
        <v>0</v>
      </c>
      <c r="BH3503">
        <v>1</v>
      </c>
      <c r="BI3503">
        <v>1</v>
      </c>
      <c r="BJ3503">
        <v>0.2</v>
      </c>
      <c r="BK3503">
        <v>1</v>
      </c>
      <c r="BL3503">
        <v>135.59</v>
      </c>
      <c r="BM3503">
        <v>20.34</v>
      </c>
      <c r="BN3503">
        <v>155.93</v>
      </c>
      <c r="BO3503">
        <v>155.93</v>
      </c>
      <c r="BQ3503" t="s">
        <v>1683</v>
      </c>
      <c r="BR3503" t="s">
        <v>84</v>
      </c>
      <c r="BS3503" s="3">
        <v>45805</v>
      </c>
      <c r="BT3503" s="4">
        <v>0.47291666666666665</v>
      </c>
      <c r="BU3503" t="s">
        <v>3280</v>
      </c>
      <c r="BV3503" t="s">
        <v>86</v>
      </c>
      <c r="BY3503">
        <v>1200</v>
      </c>
      <c r="CA3503" t="s">
        <v>414</v>
      </c>
      <c r="CC3503" t="s">
        <v>410</v>
      </c>
      <c r="CD3503">
        <v>6850</v>
      </c>
      <c r="CE3503" t="s">
        <v>88</v>
      </c>
      <c r="CF3503" s="3">
        <v>45806</v>
      </c>
      <c r="CI3503">
        <v>2</v>
      </c>
      <c r="CJ3503">
        <v>1</v>
      </c>
      <c r="CK3503">
        <v>23</v>
      </c>
      <c r="CL3503" t="s">
        <v>89</v>
      </c>
    </row>
    <row r="3504" spans="1:90" x14ac:dyDescent="0.3">
      <c r="A3504" t="s">
        <v>72</v>
      </c>
      <c r="B3504" t="s">
        <v>73</v>
      </c>
      <c r="C3504" t="s">
        <v>74</v>
      </c>
      <c r="E3504" t="str">
        <f>"080065593565"</f>
        <v>080065593565</v>
      </c>
      <c r="F3504" s="3">
        <v>45804</v>
      </c>
      <c r="G3504">
        <v>202602</v>
      </c>
      <c r="H3504" t="s">
        <v>75</v>
      </c>
      <c r="I3504" t="s">
        <v>76</v>
      </c>
      <c r="J3504" t="s">
        <v>77</v>
      </c>
      <c r="K3504" t="s">
        <v>78</v>
      </c>
      <c r="L3504" t="s">
        <v>117</v>
      </c>
      <c r="M3504" t="s">
        <v>118</v>
      </c>
      <c r="N3504" t="s">
        <v>722</v>
      </c>
      <c r="O3504" t="s">
        <v>82</v>
      </c>
      <c r="P3504" t="str">
        <f>"4170040867                    "</f>
        <v xml:space="preserve">4170040867                    </v>
      </c>
      <c r="Q3504">
        <v>0</v>
      </c>
      <c r="R3504">
        <v>0</v>
      </c>
      <c r="S3504">
        <v>0</v>
      </c>
      <c r="T3504">
        <v>0</v>
      </c>
      <c r="U3504">
        <v>0</v>
      </c>
      <c r="V3504">
        <v>0</v>
      </c>
      <c r="W3504">
        <v>0</v>
      </c>
      <c r="X3504">
        <v>0</v>
      </c>
      <c r="Y3504">
        <v>0</v>
      </c>
      <c r="Z3504">
        <v>0</v>
      </c>
      <c r="AA3504">
        <v>0</v>
      </c>
      <c r="AB3504">
        <v>0</v>
      </c>
      <c r="AC3504">
        <v>0</v>
      </c>
      <c r="AD3504">
        <v>0</v>
      </c>
      <c r="AE3504">
        <v>0</v>
      </c>
      <c r="AF3504">
        <v>0</v>
      </c>
      <c r="AG3504">
        <v>0</v>
      </c>
      <c r="AH3504">
        <v>0</v>
      </c>
      <c r="AI3504">
        <v>0</v>
      </c>
      <c r="AJ3504">
        <v>0</v>
      </c>
      <c r="AK3504">
        <v>0</v>
      </c>
      <c r="AL3504">
        <v>0</v>
      </c>
      <c r="AM3504">
        <v>0</v>
      </c>
      <c r="AN3504">
        <v>0</v>
      </c>
      <c r="AO3504">
        <v>0</v>
      </c>
      <c r="AP3504">
        <v>0</v>
      </c>
      <c r="AQ3504">
        <v>16.7</v>
      </c>
      <c r="AR3504">
        <v>0</v>
      </c>
      <c r="AS3504">
        <v>0</v>
      </c>
      <c r="AT3504">
        <v>0</v>
      </c>
      <c r="AU3504">
        <v>0</v>
      </c>
      <c r="AV3504">
        <v>0</v>
      </c>
      <c r="AW3504">
        <v>0</v>
      </c>
      <c r="AX3504">
        <v>0</v>
      </c>
      <c r="AY3504">
        <v>0</v>
      </c>
      <c r="AZ3504">
        <v>0</v>
      </c>
      <c r="BA3504">
        <v>0</v>
      </c>
      <c r="BB3504">
        <v>0</v>
      </c>
      <c r="BC3504">
        <v>0</v>
      </c>
      <c r="BD3504">
        <v>0</v>
      </c>
      <c r="BE3504">
        <v>0</v>
      </c>
      <c r="BF3504">
        <v>0</v>
      </c>
      <c r="BG3504">
        <v>0</v>
      </c>
      <c r="BH3504">
        <v>1</v>
      </c>
      <c r="BI3504">
        <v>1</v>
      </c>
      <c r="BJ3504">
        <v>0.2</v>
      </c>
      <c r="BK3504">
        <v>1</v>
      </c>
      <c r="BL3504">
        <v>54.66</v>
      </c>
      <c r="BM3504">
        <v>8.1999999999999993</v>
      </c>
      <c r="BN3504">
        <v>62.86</v>
      </c>
      <c r="BO3504">
        <v>62.86</v>
      </c>
      <c r="BQ3504" t="s">
        <v>723</v>
      </c>
      <c r="BR3504" t="s">
        <v>84</v>
      </c>
      <c r="BS3504" s="3">
        <v>45805</v>
      </c>
      <c r="BT3504" s="4">
        <v>0.36805555555555558</v>
      </c>
      <c r="BU3504" t="s">
        <v>724</v>
      </c>
      <c r="BV3504" t="s">
        <v>86</v>
      </c>
      <c r="BY3504">
        <v>1200</v>
      </c>
      <c r="CA3504" t="s">
        <v>535</v>
      </c>
      <c r="CC3504" t="s">
        <v>118</v>
      </c>
      <c r="CD3504">
        <v>2094</v>
      </c>
      <c r="CE3504" t="s">
        <v>88</v>
      </c>
      <c r="CF3504" s="3">
        <v>45806</v>
      </c>
      <c r="CI3504">
        <v>1</v>
      </c>
      <c r="CJ3504">
        <v>1</v>
      </c>
      <c r="CK3504">
        <v>22</v>
      </c>
      <c r="CL3504" t="s">
        <v>89</v>
      </c>
    </row>
    <row r="3505" spans="1:90" x14ac:dyDescent="0.3">
      <c r="A3505" t="s">
        <v>72</v>
      </c>
      <c r="B3505" t="s">
        <v>73</v>
      </c>
      <c r="C3505" t="s">
        <v>74</v>
      </c>
      <c r="E3505" t="str">
        <f>"080065593609"</f>
        <v>080065593609</v>
      </c>
      <c r="F3505" s="3">
        <v>45804</v>
      </c>
      <c r="G3505">
        <v>202602</v>
      </c>
      <c r="H3505" t="s">
        <v>75</v>
      </c>
      <c r="I3505" t="s">
        <v>76</v>
      </c>
      <c r="J3505" t="s">
        <v>77</v>
      </c>
      <c r="K3505" t="s">
        <v>78</v>
      </c>
      <c r="L3505" t="s">
        <v>151</v>
      </c>
      <c r="M3505" t="s">
        <v>152</v>
      </c>
      <c r="N3505" t="s">
        <v>153</v>
      </c>
      <c r="O3505" t="s">
        <v>82</v>
      </c>
      <c r="P3505" t="str">
        <f>"4170040875                    "</f>
        <v xml:space="preserve">4170040875                    </v>
      </c>
      <c r="Q3505">
        <v>0</v>
      </c>
      <c r="R3505">
        <v>0</v>
      </c>
      <c r="S3505">
        <v>0</v>
      </c>
      <c r="T3505">
        <v>0</v>
      </c>
      <c r="U3505">
        <v>0</v>
      </c>
      <c r="V3505">
        <v>0</v>
      </c>
      <c r="W3505">
        <v>0</v>
      </c>
      <c r="X3505">
        <v>0</v>
      </c>
      <c r="Y3505">
        <v>0</v>
      </c>
      <c r="Z3505">
        <v>0</v>
      </c>
      <c r="AA3505">
        <v>0</v>
      </c>
      <c r="AB3505">
        <v>0</v>
      </c>
      <c r="AC3505">
        <v>0</v>
      </c>
      <c r="AD3505">
        <v>0</v>
      </c>
      <c r="AE3505">
        <v>0</v>
      </c>
      <c r="AF3505">
        <v>0</v>
      </c>
      <c r="AG3505">
        <v>0</v>
      </c>
      <c r="AH3505">
        <v>0</v>
      </c>
      <c r="AI3505">
        <v>0</v>
      </c>
      <c r="AJ3505">
        <v>0</v>
      </c>
      <c r="AK3505">
        <v>0</v>
      </c>
      <c r="AL3505">
        <v>0</v>
      </c>
      <c r="AM3505">
        <v>0</v>
      </c>
      <c r="AN3505">
        <v>0</v>
      </c>
      <c r="AO3505">
        <v>0</v>
      </c>
      <c r="AP3505">
        <v>0</v>
      </c>
      <c r="AQ3505">
        <v>41.43</v>
      </c>
      <c r="AR3505">
        <v>0</v>
      </c>
      <c r="AS3505">
        <v>0</v>
      </c>
      <c r="AT3505">
        <v>0</v>
      </c>
      <c r="AU3505">
        <v>0</v>
      </c>
      <c r="AV3505">
        <v>0</v>
      </c>
      <c r="AW3505">
        <v>0</v>
      </c>
      <c r="AX3505">
        <v>0</v>
      </c>
      <c r="AY3505">
        <v>0</v>
      </c>
      <c r="AZ3505">
        <v>0</v>
      </c>
      <c r="BA3505">
        <v>0</v>
      </c>
      <c r="BB3505">
        <v>0</v>
      </c>
      <c r="BC3505">
        <v>0</v>
      </c>
      <c r="BD3505">
        <v>0</v>
      </c>
      <c r="BE3505">
        <v>0</v>
      </c>
      <c r="BF3505">
        <v>0</v>
      </c>
      <c r="BG3505">
        <v>0</v>
      </c>
      <c r="BH3505">
        <v>1</v>
      </c>
      <c r="BI3505">
        <v>1</v>
      </c>
      <c r="BJ3505">
        <v>0.2</v>
      </c>
      <c r="BK3505">
        <v>1</v>
      </c>
      <c r="BL3505">
        <v>135.59</v>
      </c>
      <c r="BM3505">
        <v>20.34</v>
      </c>
      <c r="BN3505">
        <v>155.93</v>
      </c>
      <c r="BO3505">
        <v>155.93</v>
      </c>
      <c r="BQ3505" t="s">
        <v>154</v>
      </c>
      <c r="BR3505" t="s">
        <v>84</v>
      </c>
      <c r="BS3505" s="3">
        <v>45805</v>
      </c>
      <c r="BT3505" s="4">
        <v>0.42430555555555555</v>
      </c>
      <c r="BU3505" t="s">
        <v>3281</v>
      </c>
      <c r="BV3505" t="s">
        <v>86</v>
      </c>
      <c r="BY3505">
        <v>1200</v>
      </c>
      <c r="CA3505" t="s">
        <v>156</v>
      </c>
      <c r="CC3505" t="s">
        <v>152</v>
      </c>
      <c r="CD3505">
        <v>1911</v>
      </c>
      <c r="CE3505" t="s">
        <v>88</v>
      </c>
      <c r="CF3505" s="3">
        <v>45806</v>
      </c>
      <c r="CI3505">
        <v>1</v>
      </c>
      <c r="CJ3505">
        <v>1</v>
      </c>
      <c r="CK3505">
        <v>23</v>
      </c>
      <c r="CL3505" t="s">
        <v>89</v>
      </c>
    </row>
    <row r="3506" spans="1:90" x14ac:dyDescent="0.3">
      <c r="A3506" t="s">
        <v>72</v>
      </c>
      <c r="B3506" t="s">
        <v>73</v>
      </c>
      <c r="C3506" t="s">
        <v>74</v>
      </c>
      <c r="E3506" t="str">
        <f>"080065593638"</f>
        <v>080065593638</v>
      </c>
      <c r="F3506" s="3">
        <v>45804</v>
      </c>
      <c r="G3506">
        <v>202602</v>
      </c>
      <c r="H3506" t="s">
        <v>75</v>
      </c>
      <c r="I3506" t="s">
        <v>76</v>
      </c>
      <c r="J3506" t="s">
        <v>77</v>
      </c>
      <c r="K3506" t="s">
        <v>78</v>
      </c>
      <c r="L3506" t="s">
        <v>90</v>
      </c>
      <c r="M3506" t="s">
        <v>91</v>
      </c>
      <c r="N3506" t="s">
        <v>385</v>
      </c>
      <c r="O3506" t="s">
        <v>82</v>
      </c>
      <c r="P3506" t="str">
        <f>"4170040877                    "</f>
        <v xml:space="preserve">4170040877                    </v>
      </c>
      <c r="Q3506">
        <v>0</v>
      </c>
      <c r="R3506">
        <v>0</v>
      </c>
      <c r="S3506">
        <v>0</v>
      </c>
      <c r="T3506">
        <v>0</v>
      </c>
      <c r="U3506">
        <v>0</v>
      </c>
      <c r="V3506">
        <v>0</v>
      </c>
      <c r="W3506">
        <v>0</v>
      </c>
      <c r="X3506">
        <v>0</v>
      </c>
      <c r="Y3506">
        <v>0</v>
      </c>
      <c r="Z3506">
        <v>0</v>
      </c>
      <c r="AA3506">
        <v>0</v>
      </c>
      <c r="AB3506">
        <v>0</v>
      </c>
      <c r="AC3506">
        <v>0</v>
      </c>
      <c r="AD3506">
        <v>0</v>
      </c>
      <c r="AE3506">
        <v>0</v>
      </c>
      <c r="AF3506">
        <v>0</v>
      </c>
      <c r="AG3506">
        <v>0</v>
      </c>
      <c r="AH3506">
        <v>0</v>
      </c>
      <c r="AI3506">
        <v>0</v>
      </c>
      <c r="AJ3506">
        <v>0</v>
      </c>
      <c r="AK3506">
        <v>0</v>
      </c>
      <c r="AL3506">
        <v>0</v>
      </c>
      <c r="AM3506">
        <v>0</v>
      </c>
      <c r="AN3506">
        <v>0</v>
      </c>
      <c r="AO3506">
        <v>0</v>
      </c>
      <c r="AP3506">
        <v>0</v>
      </c>
      <c r="AQ3506">
        <v>21.38</v>
      </c>
      <c r="AR3506">
        <v>0</v>
      </c>
      <c r="AS3506">
        <v>0</v>
      </c>
      <c r="AT3506">
        <v>0</v>
      </c>
      <c r="AU3506">
        <v>0</v>
      </c>
      <c r="AV3506">
        <v>0</v>
      </c>
      <c r="AW3506">
        <v>0</v>
      </c>
      <c r="AX3506">
        <v>0</v>
      </c>
      <c r="AY3506">
        <v>0</v>
      </c>
      <c r="AZ3506">
        <v>0</v>
      </c>
      <c r="BA3506">
        <v>0</v>
      </c>
      <c r="BB3506">
        <v>0</v>
      </c>
      <c r="BC3506">
        <v>0</v>
      </c>
      <c r="BD3506">
        <v>0</v>
      </c>
      <c r="BE3506">
        <v>0</v>
      </c>
      <c r="BF3506">
        <v>0</v>
      </c>
      <c r="BG3506">
        <v>0</v>
      </c>
      <c r="BH3506">
        <v>1</v>
      </c>
      <c r="BI3506">
        <v>1</v>
      </c>
      <c r="BJ3506">
        <v>0.2</v>
      </c>
      <c r="BK3506">
        <v>1</v>
      </c>
      <c r="BL3506">
        <v>69.98</v>
      </c>
      <c r="BM3506">
        <v>10.5</v>
      </c>
      <c r="BN3506">
        <v>80.48</v>
      </c>
      <c r="BO3506">
        <v>80.48</v>
      </c>
      <c r="BQ3506" t="s">
        <v>386</v>
      </c>
      <c r="BR3506" t="s">
        <v>84</v>
      </c>
      <c r="BS3506" s="3">
        <v>45805</v>
      </c>
      <c r="BT3506" s="4">
        <v>0.40625</v>
      </c>
      <c r="BU3506" t="s">
        <v>387</v>
      </c>
      <c r="BV3506" t="s">
        <v>86</v>
      </c>
      <c r="BY3506">
        <v>1200</v>
      </c>
      <c r="CA3506" t="s">
        <v>95</v>
      </c>
      <c r="CC3506" t="s">
        <v>91</v>
      </c>
      <c r="CD3506">
        <v>6056</v>
      </c>
      <c r="CE3506" t="s">
        <v>88</v>
      </c>
      <c r="CF3506" s="3">
        <v>45805</v>
      </c>
      <c r="CI3506">
        <v>1</v>
      </c>
      <c r="CJ3506">
        <v>1</v>
      </c>
      <c r="CK3506">
        <v>21</v>
      </c>
      <c r="CL3506" t="s">
        <v>89</v>
      </c>
    </row>
    <row r="3507" spans="1:90" x14ac:dyDescent="0.3">
      <c r="A3507" t="s">
        <v>72</v>
      </c>
      <c r="B3507" t="s">
        <v>73</v>
      </c>
      <c r="C3507" t="s">
        <v>74</v>
      </c>
      <c r="E3507" t="str">
        <f>"080065593784"</f>
        <v>080065593784</v>
      </c>
      <c r="F3507" s="3">
        <v>45804</v>
      </c>
      <c r="G3507">
        <v>202602</v>
      </c>
      <c r="H3507" t="s">
        <v>75</v>
      </c>
      <c r="I3507" t="s">
        <v>76</v>
      </c>
      <c r="J3507" t="s">
        <v>77</v>
      </c>
      <c r="K3507" t="s">
        <v>78</v>
      </c>
      <c r="L3507" t="s">
        <v>151</v>
      </c>
      <c r="M3507" t="s">
        <v>152</v>
      </c>
      <c r="N3507" t="s">
        <v>153</v>
      </c>
      <c r="O3507" t="s">
        <v>82</v>
      </c>
      <c r="P3507" t="str">
        <f>"4170040859                    "</f>
        <v xml:space="preserve">4170040859                    </v>
      </c>
      <c r="Q3507">
        <v>0</v>
      </c>
      <c r="R3507">
        <v>0</v>
      </c>
      <c r="S3507">
        <v>0</v>
      </c>
      <c r="T3507">
        <v>0</v>
      </c>
      <c r="U3507">
        <v>0</v>
      </c>
      <c r="V3507">
        <v>0</v>
      </c>
      <c r="W3507">
        <v>0</v>
      </c>
      <c r="X3507">
        <v>0</v>
      </c>
      <c r="Y3507">
        <v>0</v>
      </c>
      <c r="Z3507">
        <v>0</v>
      </c>
      <c r="AA3507">
        <v>0</v>
      </c>
      <c r="AB3507">
        <v>0</v>
      </c>
      <c r="AC3507">
        <v>0</v>
      </c>
      <c r="AD3507">
        <v>0</v>
      </c>
      <c r="AE3507">
        <v>0</v>
      </c>
      <c r="AF3507">
        <v>0</v>
      </c>
      <c r="AG3507">
        <v>0</v>
      </c>
      <c r="AH3507">
        <v>0</v>
      </c>
      <c r="AI3507">
        <v>0</v>
      </c>
      <c r="AJ3507">
        <v>0</v>
      </c>
      <c r="AK3507">
        <v>0</v>
      </c>
      <c r="AL3507">
        <v>0</v>
      </c>
      <c r="AM3507">
        <v>0</v>
      </c>
      <c r="AN3507">
        <v>0</v>
      </c>
      <c r="AO3507">
        <v>0</v>
      </c>
      <c r="AP3507">
        <v>0</v>
      </c>
      <c r="AQ3507">
        <v>41.43</v>
      </c>
      <c r="AR3507">
        <v>0</v>
      </c>
      <c r="AS3507">
        <v>0</v>
      </c>
      <c r="AT3507">
        <v>0</v>
      </c>
      <c r="AU3507">
        <v>0</v>
      </c>
      <c r="AV3507">
        <v>0</v>
      </c>
      <c r="AW3507">
        <v>0</v>
      </c>
      <c r="AX3507">
        <v>0</v>
      </c>
      <c r="AY3507">
        <v>0</v>
      </c>
      <c r="AZ3507">
        <v>0</v>
      </c>
      <c r="BA3507">
        <v>0</v>
      </c>
      <c r="BB3507">
        <v>0</v>
      </c>
      <c r="BC3507">
        <v>0</v>
      </c>
      <c r="BD3507">
        <v>0</v>
      </c>
      <c r="BE3507">
        <v>0</v>
      </c>
      <c r="BF3507">
        <v>0</v>
      </c>
      <c r="BG3507">
        <v>0</v>
      </c>
      <c r="BH3507">
        <v>1</v>
      </c>
      <c r="BI3507">
        <v>2</v>
      </c>
      <c r="BJ3507">
        <v>0.9</v>
      </c>
      <c r="BK3507">
        <v>2</v>
      </c>
      <c r="BL3507">
        <v>135.59</v>
      </c>
      <c r="BM3507">
        <v>20.34</v>
      </c>
      <c r="BN3507">
        <v>155.93</v>
      </c>
      <c r="BO3507">
        <v>155.93</v>
      </c>
      <c r="BQ3507" t="s">
        <v>154</v>
      </c>
      <c r="BR3507" t="s">
        <v>84</v>
      </c>
      <c r="BS3507" s="3">
        <v>45805</v>
      </c>
      <c r="BT3507" s="4">
        <v>0.42430555555555555</v>
      </c>
      <c r="BU3507" t="s">
        <v>3281</v>
      </c>
      <c r="BV3507" t="s">
        <v>86</v>
      </c>
      <c r="BY3507">
        <v>4400</v>
      </c>
      <c r="CA3507" t="s">
        <v>156</v>
      </c>
      <c r="CC3507" t="s">
        <v>152</v>
      </c>
      <c r="CD3507">
        <v>1911</v>
      </c>
      <c r="CE3507" t="s">
        <v>221</v>
      </c>
      <c r="CF3507" s="3">
        <v>45806</v>
      </c>
      <c r="CI3507">
        <v>1</v>
      </c>
      <c r="CJ3507">
        <v>1</v>
      </c>
      <c r="CK3507">
        <v>23</v>
      </c>
      <c r="CL3507" t="s">
        <v>89</v>
      </c>
    </row>
    <row r="3508" spans="1:90" x14ac:dyDescent="0.3">
      <c r="A3508" t="s">
        <v>72</v>
      </c>
      <c r="B3508" t="s">
        <v>73</v>
      </c>
      <c r="C3508" t="s">
        <v>74</v>
      </c>
      <c r="E3508" t="str">
        <f>"080065593826"</f>
        <v>080065593826</v>
      </c>
      <c r="F3508" s="3">
        <v>45804</v>
      </c>
      <c r="G3508">
        <v>202602</v>
      </c>
      <c r="H3508" t="s">
        <v>75</v>
      </c>
      <c r="I3508" t="s">
        <v>76</v>
      </c>
      <c r="J3508" t="s">
        <v>77</v>
      </c>
      <c r="K3508" t="s">
        <v>78</v>
      </c>
      <c r="L3508" t="s">
        <v>1885</v>
      </c>
      <c r="M3508" t="s">
        <v>1886</v>
      </c>
      <c r="N3508" t="s">
        <v>1887</v>
      </c>
      <c r="O3508" t="s">
        <v>82</v>
      </c>
      <c r="P3508" t="str">
        <f>"4170040770                    "</f>
        <v xml:space="preserve">4170040770                    </v>
      </c>
      <c r="Q3508">
        <v>0</v>
      </c>
      <c r="R3508">
        <v>0</v>
      </c>
      <c r="S3508">
        <v>0</v>
      </c>
      <c r="T3508">
        <v>0</v>
      </c>
      <c r="U3508">
        <v>0</v>
      </c>
      <c r="V3508">
        <v>0</v>
      </c>
      <c r="W3508">
        <v>0</v>
      </c>
      <c r="X3508">
        <v>0</v>
      </c>
      <c r="Y3508">
        <v>0</v>
      </c>
      <c r="Z3508">
        <v>0</v>
      </c>
      <c r="AA3508">
        <v>0</v>
      </c>
      <c r="AB3508">
        <v>0</v>
      </c>
      <c r="AC3508">
        <v>0</v>
      </c>
      <c r="AD3508">
        <v>0</v>
      </c>
      <c r="AE3508">
        <v>0</v>
      </c>
      <c r="AF3508">
        <v>0</v>
      </c>
      <c r="AG3508">
        <v>0</v>
      </c>
      <c r="AH3508">
        <v>0</v>
      </c>
      <c r="AI3508">
        <v>0</v>
      </c>
      <c r="AJ3508">
        <v>0</v>
      </c>
      <c r="AK3508">
        <v>0</v>
      </c>
      <c r="AL3508">
        <v>0</v>
      </c>
      <c r="AM3508">
        <v>0</v>
      </c>
      <c r="AN3508">
        <v>0</v>
      </c>
      <c r="AO3508">
        <v>0</v>
      </c>
      <c r="AP3508">
        <v>0</v>
      </c>
      <c r="AQ3508">
        <v>78.849999999999994</v>
      </c>
      <c r="AR3508">
        <v>0</v>
      </c>
      <c r="AS3508">
        <v>0</v>
      </c>
      <c r="AT3508">
        <v>0</v>
      </c>
      <c r="AU3508">
        <v>0</v>
      </c>
      <c r="AV3508">
        <v>0</v>
      </c>
      <c r="AW3508">
        <v>0</v>
      </c>
      <c r="AX3508">
        <v>0</v>
      </c>
      <c r="AY3508">
        <v>0</v>
      </c>
      <c r="AZ3508">
        <v>0</v>
      </c>
      <c r="BA3508">
        <v>0</v>
      </c>
      <c r="BB3508">
        <v>0</v>
      </c>
      <c r="BC3508">
        <v>0</v>
      </c>
      <c r="BD3508">
        <v>0</v>
      </c>
      <c r="BE3508">
        <v>0</v>
      </c>
      <c r="BF3508">
        <v>0</v>
      </c>
      <c r="BG3508">
        <v>0</v>
      </c>
      <c r="BH3508">
        <v>1</v>
      </c>
      <c r="BI3508">
        <v>4</v>
      </c>
      <c r="BJ3508">
        <v>3.1</v>
      </c>
      <c r="BK3508">
        <v>4</v>
      </c>
      <c r="BL3508">
        <v>258.05</v>
      </c>
      <c r="BM3508">
        <v>38.71</v>
      </c>
      <c r="BN3508">
        <v>296.76</v>
      </c>
      <c r="BO3508">
        <v>296.76</v>
      </c>
      <c r="BQ3508" t="s">
        <v>1888</v>
      </c>
      <c r="BR3508" t="s">
        <v>84</v>
      </c>
      <c r="BS3508" s="3">
        <v>45806</v>
      </c>
      <c r="BT3508" s="4">
        <v>0.41666666666666669</v>
      </c>
      <c r="BU3508" t="s">
        <v>1889</v>
      </c>
      <c r="BV3508" t="s">
        <v>89</v>
      </c>
      <c r="BY3508">
        <v>15360</v>
      </c>
      <c r="CC3508" t="s">
        <v>1886</v>
      </c>
      <c r="CD3508">
        <v>3310</v>
      </c>
      <c r="CE3508" t="s">
        <v>221</v>
      </c>
      <c r="CI3508">
        <v>1</v>
      </c>
      <c r="CJ3508">
        <v>2</v>
      </c>
      <c r="CK3508">
        <v>23</v>
      </c>
      <c r="CL3508" t="s">
        <v>89</v>
      </c>
    </row>
    <row r="3509" spans="1:90" x14ac:dyDescent="0.3">
      <c r="A3509" t="s">
        <v>72</v>
      </c>
      <c r="B3509" t="s">
        <v>73</v>
      </c>
      <c r="C3509" t="s">
        <v>74</v>
      </c>
      <c r="E3509" t="str">
        <f>"080065593857"</f>
        <v>080065593857</v>
      </c>
      <c r="F3509" s="3">
        <v>45804</v>
      </c>
      <c r="G3509">
        <v>202602</v>
      </c>
      <c r="H3509" t="s">
        <v>75</v>
      </c>
      <c r="I3509" t="s">
        <v>76</v>
      </c>
      <c r="J3509" t="s">
        <v>77</v>
      </c>
      <c r="K3509" t="s">
        <v>78</v>
      </c>
      <c r="L3509" t="s">
        <v>75</v>
      </c>
      <c r="M3509" t="s">
        <v>76</v>
      </c>
      <c r="N3509" t="s">
        <v>1776</v>
      </c>
      <c r="O3509" t="s">
        <v>82</v>
      </c>
      <c r="P3509" t="str">
        <f>"4170040893                    "</f>
        <v xml:space="preserve">4170040893                    </v>
      </c>
      <c r="Q3509">
        <v>0</v>
      </c>
      <c r="R3509">
        <v>0</v>
      </c>
      <c r="S3509">
        <v>0</v>
      </c>
      <c r="T3509">
        <v>0</v>
      </c>
      <c r="U3509">
        <v>0</v>
      </c>
      <c r="V3509">
        <v>0</v>
      </c>
      <c r="W3509">
        <v>0</v>
      </c>
      <c r="X3509">
        <v>0</v>
      </c>
      <c r="Y3509">
        <v>0</v>
      </c>
      <c r="Z3509">
        <v>0</v>
      </c>
      <c r="AA3509">
        <v>0</v>
      </c>
      <c r="AB3509">
        <v>0</v>
      </c>
      <c r="AC3509">
        <v>0</v>
      </c>
      <c r="AD3509">
        <v>0</v>
      </c>
      <c r="AE3509">
        <v>0</v>
      </c>
      <c r="AF3509">
        <v>0</v>
      </c>
      <c r="AG3509">
        <v>0</v>
      </c>
      <c r="AH3509">
        <v>0</v>
      </c>
      <c r="AI3509">
        <v>0</v>
      </c>
      <c r="AJ3509">
        <v>0</v>
      </c>
      <c r="AK3509">
        <v>0</v>
      </c>
      <c r="AL3509">
        <v>0</v>
      </c>
      <c r="AM3509">
        <v>0</v>
      </c>
      <c r="AN3509">
        <v>0</v>
      </c>
      <c r="AO3509">
        <v>0</v>
      </c>
      <c r="AP3509">
        <v>0</v>
      </c>
      <c r="AQ3509">
        <v>16.7</v>
      </c>
      <c r="AR3509">
        <v>0</v>
      </c>
      <c r="AS3509">
        <v>0</v>
      </c>
      <c r="AT3509">
        <v>0</v>
      </c>
      <c r="AU3509">
        <v>0</v>
      </c>
      <c r="AV3509">
        <v>0</v>
      </c>
      <c r="AW3509">
        <v>0</v>
      </c>
      <c r="AX3509">
        <v>0</v>
      </c>
      <c r="AY3509">
        <v>0</v>
      </c>
      <c r="AZ3509">
        <v>0</v>
      </c>
      <c r="BA3509">
        <v>0</v>
      </c>
      <c r="BB3509">
        <v>0</v>
      </c>
      <c r="BC3509">
        <v>0</v>
      </c>
      <c r="BD3509">
        <v>0</v>
      </c>
      <c r="BE3509">
        <v>0</v>
      </c>
      <c r="BF3509">
        <v>0</v>
      </c>
      <c r="BG3509">
        <v>0</v>
      </c>
      <c r="BH3509">
        <v>1</v>
      </c>
      <c r="BI3509">
        <v>1</v>
      </c>
      <c r="BJ3509">
        <v>0.6</v>
      </c>
      <c r="BK3509">
        <v>1</v>
      </c>
      <c r="BL3509">
        <v>54.66</v>
      </c>
      <c r="BM3509">
        <v>8.1999999999999993</v>
      </c>
      <c r="BN3509">
        <v>62.86</v>
      </c>
      <c r="BO3509">
        <v>62.86</v>
      </c>
      <c r="BQ3509" t="s">
        <v>1777</v>
      </c>
      <c r="BR3509" t="s">
        <v>84</v>
      </c>
      <c r="BS3509" s="3">
        <v>45805</v>
      </c>
      <c r="BT3509" s="4">
        <v>0.3576388888888889</v>
      </c>
      <c r="BU3509" t="s">
        <v>3282</v>
      </c>
      <c r="BV3509" t="s">
        <v>86</v>
      </c>
      <c r="BY3509">
        <v>3192</v>
      </c>
      <c r="CA3509" t="s">
        <v>3246</v>
      </c>
      <c r="CC3509" t="s">
        <v>76</v>
      </c>
      <c r="CD3509">
        <v>1665</v>
      </c>
      <c r="CE3509" t="s">
        <v>116</v>
      </c>
      <c r="CF3509" s="3">
        <v>45806</v>
      </c>
      <c r="CI3509">
        <v>1</v>
      </c>
      <c r="CJ3509">
        <v>1</v>
      </c>
      <c r="CK3509">
        <v>22</v>
      </c>
      <c r="CL3509" t="s">
        <v>89</v>
      </c>
    </row>
    <row r="3510" spans="1:90" x14ac:dyDescent="0.3">
      <c r="A3510" t="s">
        <v>72</v>
      </c>
      <c r="B3510" t="s">
        <v>73</v>
      </c>
      <c r="C3510" t="s">
        <v>74</v>
      </c>
      <c r="E3510" t="str">
        <f>"080065593918"</f>
        <v>080065593918</v>
      </c>
      <c r="F3510" s="3">
        <v>45804</v>
      </c>
      <c r="G3510">
        <v>202602</v>
      </c>
      <c r="H3510" t="s">
        <v>75</v>
      </c>
      <c r="I3510" t="s">
        <v>76</v>
      </c>
      <c r="J3510" t="s">
        <v>77</v>
      </c>
      <c r="K3510" t="s">
        <v>78</v>
      </c>
      <c r="L3510" t="s">
        <v>103</v>
      </c>
      <c r="M3510" t="s">
        <v>104</v>
      </c>
      <c r="N3510" t="s">
        <v>633</v>
      </c>
      <c r="O3510" t="s">
        <v>82</v>
      </c>
      <c r="P3510" t="str">
        <f>"4170040910                    "</f>
        <v xml:space="preserve">4170040910                    </v>
      </c>
      <c r="Q3510">
        <v>0</v>
      </c>
      <c r="R3510">
        <v>0</v>
      </c>
      <c r="S3510">
        <v>0</v>
      </c>
      <c r="T3510">
        <v>0</v>
      </c>
      <c r="U3510">
        <v>0</v>
      </c>
      <c r="V3510">
        <v>0</v>
      </c>
      <c r="W3510">
        <v>0</v>
      </c>
      <c r="X3510">
        <v>0</v>
      </c>
      <c r="Y3510">
        <v>0</v>
      </c>
      <c r="Z3510">
        <v>0</v>
      </c>
      <c r="AA3510">
        <v>0</v>
      </c>
      <c r="AB3510">
        <v>0</v>
      </c>
      <c r="AC3510">
        <v>0</v>
      </c>
      <c r="AD3510">
        <v>0</v>
      </c>
      <c r="AE3510">
        <v>0</v>
      </c>
      <c r="AF3510">
        <v>0</v>
      </c>
      <c r="AG3510">
        <v>0</v>
      </c>
      <c r="AH3510">
        <v>0</v>
      </c>
      <c r="AI3510">
        <v>0</v>
      </c>
      <c r="AJ3510">
        <v>0</v>
      </c>
      <c r="AK3510">
        <v>0</v>
      </c>
      <c r="AL3510">
        <v>0</v>
      </c>
      <c r="AM3510">
        <v>0</v>
      </c>
      <c r="AN3510">
        <v>0</v>
      </c>
      <c r="AO3510">
        <v>0</v>
      </c>
      <c r="AP3510">
        <v>0</v>
      </c>
      <c r="AQ3510">
        <v>74.8</v>
      </c>
      <c r="AR3510">
        <v>0</v>
      </c>
      <c r="AS3510">
        <v>0</v>
      </c>
      <c r="AT3510">
        <v>0</v>
      </c>
      <c r="AU3510">
        <v>0</v>
      </c>
      <c r="AV3510">
        <v>0</v>
      </c>
      <c r="AW3510">
        <v>0</v>
      </c>
      <c r="AX3510">
        <v>0</v>
      </c>
      <c r="AY3510">
        <v>0</v>
      </c>
      <c r="AZ3510">
        <v>0</v>
      </c>
      <c r="BA3510">
        <v>0</v>
      </c>
      <c r="BB3510">
        <v>0</v>
      </c>
      <c r="BC3510">
        <v>0</v>
      </c>
      <c r="BD3510">
        <v>0</v>
      </c>
      <c r="BE3510">
        <v>0</v>
      </c>
      <c r="BF3510">
        <v>0</v>
      </c>
      <c r="BG3510">
        <v>0</v>
      </c>
      <c r="BH3510">
        <v>1</v>
      </c>
      <c r="BI3510">
        <v>4</v>
      </c>
      <c r="BJ3510">
        <v>6.6</v>
      </c>
      <c r="BK3510">
        <v>7</v>
      </c>
      <c r="BL3510">
        <v>244.8</v>
      </c>
      <c r="BM3510">
        <v>36.72</v>
      </c>
      <c r="BN3510">
        <v>281.52</v>
      </c>
      <c r="BO3510">
        <v>281.52</v>
      </c>
      <c r="BQ3510" t="s">
        <v>634</v>
      </c>
      <c r="BR3510" t="s">
        <v>84</v>
      </c>
      <c r="BS3510" s="3">
        <v>45805</v>
      </c>
      <c r="BT3510" s="4">
        <v>0.59583333333333333</v>
      </c>
      <c r="BU3510" t="s">
        <v>3263</v>
      </c>
      <c r="BV3510" t="s">
        <v>86</v>
      </c>
      <c r="BY3510">
        <v>32760</v>
      </c>
      <c r="CA3510" t="s">
        <v>2367</v>
      </c>
      <c r="CC3510" t="s">
        <v>104</v>
      </c>
      <c r="CD3510">
        <v>3212</v>
      </c>
      <c r="CE3510" t="s">
        <v>96</v>
      </c>
      <c r="CF3510" s="3">
        <v>45806</v>
      </c>
      <c r="CI3510">
        <v>2</v>
      </c>
      <c r="CJ3510">
        <v>1</v>
      </c>
      <c r="CK3510">
        <v>21</v>
      </c>
      <c r="CL3510" t="s">
        <v>89</v>
      </c>
    </row>
    <row r="3511" spans="1:90" x14ac:dyDescent="0.3">
      <c r="A3511" t="s">
        <v>72</v>
      </c>
      <c r="B3511" t="s">
        <v>73</v>
      </c>
      <c r="C3511" t="s">
        <v>74</v>
      </c>
      <c r="E3511" t="str">
        <f>"080065593952"</f>
        <v>080065593952</v>
      </c>
      <c r="F3511" s="3">
        <v>45804</v>
      </c>
      <c r="G3511">
        <v>202602</v>
      </c>
      <c r="H3511" t="s">
        <v>75</v>
      </c>
      <c r="I3511" t="s">
        <v>76</v>
      </c>
      <c r="J3511" t="s">
        <v>77</v>
      </c>
      <c r="K3511" t="s">
        <v>78</v>
      </c>
      <c r="L3511" t="s">
        <v>177</v>
      </c>
      <c r="M3511" t="s">
        <v>178</v>
      </c>
      <c r="N3511" t="s">
        <v>393</v>
      </c>
      <c r="O3511" t="s">
        <v>82</v>
      </c>
      <c r="P3511" t="str">
        <f>"4170040856                    "</f>
        <v xml:space="preserve">4170040856                    </v>
      </c>
      <c r="Q3511">
        <v>0</v>
      </c>
      <c r="R3511">
        <v>0</v>
      </c>
      <c r="S3511">
        <v>0</v>
      </c>
      <c r="T3511">
        <v>0</v>
      </c>
      <c r="U3511">
        <v>0</v>
      </c>
      <c r="V3511">
        <v>0</v>
      </c>
      <c r="W3511">
        <v>0</v>
      </c>
      <c r="X3511">
        <v>0</v>
      </c>
      <c r="Y3511">
        <v>0</v>
      </c>
      <c r="Z3511">
        <v>0</v>
      </c>
      <c r="AA3511">
        <v>0</v>
      </c>
      <c r="AB3511">
        <v>0</v>
      </c>
      <c r="AC3511">
        <v>0</v>
      </c>
      <c r="AD3511">
        <v>0</v>
      </c>
      <c r="AE3511">
        <v>0</v>
      </c>
      <c r="AF3511">
        <v>0</v>
      </c>
      <c r="AG3511">
        <v>0</v>
      </c>
      <c r="AH3511">
        <v>0</v>
      </c>
      <c r="AI3511">
        <v>0</v>
      </c>
      <c r="AJ3511">
        <v>0</v>
      </c>
      <c r="AK3511">
        <v>0</v>
      </c>
      <c r="AL3511">
        <v>0</v>
      </c>
      <c r="AM3511">
        <v>0</v>
      </c>
      <c r="AN3511">
        <v>0</v>
      </c>
      <c r="AO3511">
        <v>0</v>
      </c>
      <c r="AP3511">
        <v>0</v>
      </c>
      <c r="AQ3511">
        <v>26.73</v>
      </c>
      <c r="AR3511">
        <v>0</v>
      </c>
      <c r="AS3511">
        <v>0</v>
      </c>
      <c r="AT3511">
        <v>0</v>
      </c>
      <c r="AU3511">
        <v>0</v>
      </c>
      <c r="AV3511">
        <v>0</v>
      </c>
      <c r="AW3511">
        <v>0</v>
      </c>
      <c r="AX3511">
        <v>0</v>
      </c>
      <c r="AY3511">
        <v>0</v>
      </c>
      <c r="AZ3511">
        <v>0</v>
      </c>
      <c r="BA3511">
        <v>0</v>
      </c>
      <c r="BB3511">
        <v>0</v>
      </c>
      <c r="BC3511">
        <v>0</v>
      </c>
      <c r="BD3511">
        <v>0</v>
      </c>
      <c r="BE3511">
        <v>0</v>
      </c>
      <c r="BF3511">
        <v>0</v>
      </c>
      <c r="BG3511">
        <v>0</v>
      </c>
      <c r="BH3511">
        <v>1</v>
      </c>
      <c r="BI3511">
        <v>1</v>
      </c>
      <c r="BJ3511">
        <v>2.1</v>
      </c>
      <c r="BK3511">
        <v>2.5</v>
      </c>
      <c r="BL3511">
        <v>87.47</v>
      </c>
      <c r="BM3511">
        <v>13.12</v>
      </c>
      <c r="BN3511">
        <v>100.59</v>
      </c>
      <c r="BO3511">
        <v>100.59</v>
      </c>
      <c r="BQ3511" t="s">
        <v>394</v>
      </c>
      <c r="BR3511" t="s">
        <v>84</v>
      </c>
      <c r="BS3511" s="3">
        <v>45805</v>
      </c>
      <c r="BT3511" s="4">
        <v>0.33402777777777776</v>
      </c>
      <c r="BU3511" t="s">
        <v>395</v>
      </c>
      <c r="BV3511" t="s">
        <v>86</v>
      </c>
      <c r="BY3511">
        <v>10304</v>
      </c>
      <c r="CA3511" t="s">
        <v>182</v>
      </c>
      <c r="CC3511" t="s">
        <v>178</v>
      </c>
      <c r="CD3511">
        <v>6230</v>
      </c>
      <c r="CE3511" t="s">
        <v>221</v>
      </c>
      <c r="CF3511" s="3">
        <v>45805</v>
      </c>
      <c r="CI3511">
        <v>1</v>
      </c>
      <c r="CJ3511">
        <v>1</v>
      </c>
      <c r="CK3511">
        <v>21</v>
      </c>
      <c r="CL3511" t="s">
        <v>89</v>
      </c>
    </row>
    <row r="3512" spans="1:90" x14ac:dyDescent="0.3">
      <c r="A3512" t="s">
        <v>72</v>
      </c>
      <c r="B3512" t="s">
        <v>73</v>
      </c>
      <c r="C3512" t="s">
        <v>74</v>
      </c>
      <c r="E3512" t="str">
        <f>"080065593995"</f>
        <v>080065593995</v>
      </c>
      <c r="F3512" s="3">
        <v>45804</v>
      </c>
      <c r="G3512">
        <v>202602</v>
      </c>
      <c r="H3512" t="s">
        <v>75</v>
      </c>
      <c r="I3512" t="s">
        <v>76</v>
      </c>
      <c r="J3512" t="s">
        <v>77</v>
      </c>
      <c r="K3512" t="s">
        <v>78</v>
      </c>
      <c r="L3512" t="s">
        <v>463</v>
      </c>
      <c r="M3512" t="s">
        <v>464</v>
      </c>
      <c r="N3512" t="s">
        <v>585</v>
      </c>
      <c r="O3512" t="s">
        <v>82</v>
      </c>
      <c r="P3512" t="str">
        <f>"4170040810                    "</f>
        <v xml:space="preserve">4170040810                    </v>
      </c>
      <c r="Q3512">
        <v>0</v>
      </c>
      <c r="R3512">
        <v>0</v>
      </c>
      <c r="S3512">
        <v>0</v>
      </c>
      <c r="T3512">
        <v>0</v>
      </c>
      <c r="U3512">
        <v>0</v>
      </c>
      <c r="V3512">
        <v>0</v>
      </c>
      <c r="W3512">
        <v>0</v>
      </c>
      <c r="X3512">
        <v>0</v>
      </c>
      <c r="Y3512">
        <v>0</v>
      </c>
      <c r="Z3512">
        <v>0</v>
      </c>
      <c r="AA3512">
        <v>0</v>
      </c>
      <c r="AB3512">
        <v>0</v>
      </c>
      <c r="AC3512">
        <v>0</v>
      </c>
      <c r="AD3512">
        <v>0</v>
      </c>
      <c r="AE3512">
        <v>0</v>
      </c>
      <c r="AF3512">
        <v>0</v>
      </c>
      <c r="AG3512">
        <v>0</v>
      </c>
      <c r="AH3512">
        <v>0</v>
      </c>
      <c r="AI3512">
        <v>0</v>
      </c>
      <c r="AJ3512">
        <v>0</v>
      </c>
      <c r="AK3512">
        <v>0</v>
      </c>
      <c r="AL3512">
        <v>0</v>
      </c>
      <c r="AM3512">
        <v>0</v>
      </c>
      <c r="AN3512">
        <v>0</v>
      </c>
      <c r="AO3512">
        <v>0</v>
      </c>
      <c r="AP3512">
        <v>0</v>
      </c>
      <c r="AQ3512">
        <v>21.38</v>
      </c>
      <c r="AR3512">
        <v>0</v>
      </c>
      <c r="AS3512">
        <v>0</v>
      </c>
      <c r="AT3512">
        <v>0</v>
      </c>
      <c r="AU3512">
        <v>0</v>
      </c>
      <c r="AV3512">
        <v>0</v>
      </c>
      <c r="AW3512">
        <v>0</v>
      </c>
      <c r="AX3512">
        <v>0</v>
      </c>
      <c r="AY3512">
        <v>0</v>
      </c>
      <c r="AZ3512">
        <v>0</v>
      </c>
      <c r="BA3512">
        <v>0</v>
      </c>
      <c r="BB3512">
        <v>0</v>
      </c>
      <c r="BC3512">
        <v>0</v>
      </c>
      <c r="BD3512">
        <v>0</v>
      </c>
      <c r="BE3512">
        <v>0</v>
      </c>
      <c r="BF3512">
        <v>0</v>
      </c>
      <c r="BG3512">
        <v>0</v>
      </c>
      <c r="BH3512">
        <v>1</v>
      </c>
      <c r="BI3512">
        <v>1</v>
      </c>
      <c r="BJ3512">
        <v>0.2</v>
      </c>
      <c r="BK3512">
        <v>1</v>
      </c>
      <c r="BL3512">
        <v>69.98</v>
      </c>
      <c r="BM3512">
        <v>10.5</v>
      </c>
      <c r="BN3512">
        <v>80.48</v>
      </c>
      <c r="BO3512">
        <v>80.48</v>
      </c>
      <c r="BQ3512" t="s">
        <v>586</v>
      </c>
      <c r="BR3512" t="s">
        <v>84</v>
      </c>
      <c r="BS3512" s="3">
        <v>45805</v>
      </c>
      <c r="BT3512" s="4">
        <v>0.46458333333333335</v>
      </c>
      <c r="BU3512" t="s">
        <v>2297</v>
      </c>
      <c r="BV3512" t="s">
        <v>89</v>
      </c>
      <c r="BY3512">
        <v>1200</v>
      </c>
      <c r="CA3512" t="s">
        <v>588</v>
      </c>
      <c r="CC3512" t="s">
        <v>464</v>
      </c>
      <c r="CD3512">
        <v>5201</v>
      </c>
      <c r="CE3512" t="s">
        <v>88</v>
      </c>
      <c r="CF3512" s="3">
        <v>45806</v>
      </c>
      <c r="CI3512">
        <v>1</v>
      </c>
      <c r="CJ3512">
        <v>1</v>
      </c>
      <c r="CK3512">
        <v>21</v>
      </c>
      <c r="CL3512" t="s">
        <v>89</v>
      </c>
    </row>
    <row r="3513" spans="1:90" x14ac:dyDescent="0.3">
      <c r="A3513" t="s">
        <v>72</v>
      </c>
      <c r="B3513" t="s">
        <v>73</v>
      </c>
      <c r="C3513" t="s">
        <v>74</v>
      </c>
      <c r="E3513" t="str">
        <f>"080065594038"</f>
        <v>080065594038</v>
      </c>
      <c r="F3513" s="3">
        <v>45804</v>
      </c>
      <c r="G3513">
        <v>202602</v>
      </c>
      <c r="H3513" t="s">
        <v>75</v>
      </c>
      <c r="I3513" t="s">
        <v>76</v>
      </c>
      <c r="J3513" t="s">
        <v>77</v>
      </c>
      <c r="K3513" t="s">
        <v>78</v>
      </c>
      <c r="L3513" t="s">
        <v>90</v>
      </c>
      <c r="M3513" t="s">
        <v>91</v>
      </c>
      <c r="N3513" t="s">
        <v>1211</v>
      </c>
      <c r="O3513" t="s">
        <v>82</v>
      </c>
      <c r="P3513" t="str">
        <f>"4170040814                    "</f>
        <v xml:space="preserve">4170040814                    </v>
      </c>
      <c r="Q3513">
        <v>0</v>
      </c>
      <c r="R3513">
        <v>0</v>
      </c>
      <c r="S3513">
        <v>0</v>
      </c>
      <c r="T3513">
        <v>0</v>
      </c>
      <c r="U3513">
        <v>0</v>
      </c>
      <c r="V3513">
        <v>0</v>
      </c>
      <c r="W3513">
        <v>0</v>
      </c>
      <c r="X3513">
        <v>0</v>
      </c>
      <c r="Y3513">
        <v>0</v>
      </c>
      <c r="Z3513">
        <v>0</v>
      </c>
      <c r="AA3513">
        <v>0</v>
      </c>
      <c r="AB3513">
        <v>0</v>
      </c>
      <c r="AC3513">
        <v>0</v>
      </c>
      <c r="AD3513">
        <v>0</v>
      </c>
      <c r="AE3513">
        <v>0</v>
      </c>
      <c r="AF3513">
        <v>0</v>
      </c>
      <c r="AG3513">
        <v>0</v>
      </c>
      <c r="AH3513">
        <v>0</v>
      </c>
      <c r="AI3513">
        <v>0</v>
      </c>
      <c r="AJ3513">
        <v>0</v>
      </c>
      <c r="AK3513">
        <v>0</v>
      </c>
      <c r="AL3513">
        <v>0</v>
      </c>
      <c r="AM3513">
        <v>0</v>
      </c>
      <c r="AN3513">
        <v>0</v>
      </c>
      <c r="AO3513">
        <v>0</v>
      </c>
      <c r="AP3513">
        <v>0</v>
      </c>
      <c r="AQ3513">
        <v>21.38</v>
      </c>
      <c r="AR3513">
        <v>0</v>
      </c>
      <c r="AS3513">
        <v>0</v>
      </c>
      <c r="AT3513">
        <v>0</v>
      </c>
      <c r="AU3513">
        <v>0</v>
      </c>
      <c r="AV3513">
        <v>0</v>
      </c>
      <c r="AW3513">
        <v>0</v>
      </c>
      <c r="AX3513">
        <v>0</v>
      </c>
      <c r="AY3513">
        <v>0</v>
      </c>
      <c r="AZ3513">
        <v>0</v>
      </c>
      <c r="BA3513">
        <v>0</v>
      </c>
      <c r="BB3513">
        <v>0</v>
      </c>
      <c r="BC3513">
        <v>0</v>
      </c>
      <c r="BD3513">
        <v>0</v>
      </c>
      <c r="BE3513">
        <v>0</v>
      </c>
      <c r="BF3513">
        <v>0</v>
      </c>
      <c r="BG3513">
        <v>0</v>
      </c>
      <c r="BH3513">
        <v>1</v>
      </c>
      <c r="BI3513">
        <v>1</v>
      </c>
      <c r="BJ3513">
        <v>0.2</v>
      </c>
      <c r="BK3513">
        <v>1</v>
      </c>
      <c r="BL3513">
        <v>69.98</v>
      </c>
      <c r="BM3513">
        <v>10.5</v>
      </c>
      <c r="BN3513">
        <v>80.48</v>
      </c>
      <c r="BO3513">
        <v>80.48</v>
      </c>
      <c r="BQ3513" t="s">
        <v>1212</v>
      </c>
      <c r="BR3513" t="s">
        <v>84</v>
      </c>
      <c r="BS3513" s="3">
        <v>45805</v>
      </c>
      <c r="BT3513" s="4">
        <v>0.40138888888888891</v>
      </c>
      <c r="BU3513" t="s">
        <v>2023</v>
      </c>
      <c r="BV3513" t="s">
        <v>86</v>
      </c>
      <c r="BY3513">
        <v>1200</v>
      </c>
      <c r="CA3513" t="s">
        <v>283</v>
      </c>
      <c r="CC3513" t="s">
        <v>91</v>
      </c>
      <c r="CD3513">
        <v>6012</v>
      </c>
      <c r="CE3513" t="s">
        <v>88</v>
      </c>
      <c r="CF3513" s="3">
        <v>45805</v>
      </c>
      <c r="CI3513">
        <v>1</v>
      </c>
      <c r="CJ3513">
        <v>1</v>
      </c>
      <c r="CK3513">
        <v>21</v>
      </c>
      <c r="CL3513" t="s">
        <v>89</v>
      </c>
    </row>
    <row r="3514" spans="1:90" x14ac:dyDescent="0.3">
      <c r="A3514" t="s">
        <v>72</v>
      </c>
      <c r="B3514" t="s">
        <v>73</v>
      </c>
      <c r="C3514" t="s">
        <v>74</v>
      </c>
      <c r="E3514" t="str">
        <f>"080065594184"</f>
        <v>080065594184</v>
      </c>
      <c r="F3514" s="3">
        <v>45804</v>
      </c>
      <c r="G3514">
        <v>202602</v>
      </c>
      <c r="H3514" t="s">
        <v>75</v>
      </c>
      <c r="I3514" t="s">
        <v>76</v>
      </c>
      <c r="J3514" t="s">
        <v>77</v>
      </c>
      <c r="K3514" t="s">
        <v>78</v>
      </c>
      <c r="L3514" t="s">
        <v>79</v>
      </c>
      <c r="M3514" t="s">
        <v>80</v>
      </c>
      <c r="N3514" t="s">
        <v>2154</v>
      </c>
      <c r="O3514" t="s">
        <v>82</v>
      </c>
      <c r="P3514" t="str">
        <f>"4170040783                    "</f>
        <v xml:space="preserve">4170040783                    </v>
      </c>
      <c r="Q3514">
        <v>0</v>
      </c>
      <c r="R3514">
        <v>0</v>
      </c>
      <c r="S3514">
        <v>0</v>
      </c>
      <c r="T3514">
        <v>0</v>
      </c>
      <c r="U3514">
        <v>0</v>
      </c>
      <c r="V3514">
        <v>0</v>
      </c>
      <c r="W3514">
        <v>0</v>
      </c>
      <c r="X3514">
        <v>0</v>
      </c>
      <c r="Y3514">
        <v>0</v>
      </c>
      <c r="Z3514">
        <v>0</v>
      </c>
      <c r="AA3514">
        <v>0</v>
      </c>
      <c r="AB3514">
        <v>0</v>
      </c>
      <c r="AC3514">
        <v>0</v>
      </c>
      <c r="AD3514">
        <v>0</v>
      </c>
      <c r="AE3514">
        <v>0</v>
      </c>
      <c r="AF3514">
        <v>0</v>
      </c>
      <c r="AG3514">
        <v>0</v>
      </c>
      <c r="AH3514">
        <v>0</v>
      </c>
      <c r="AI3514">
        <v>0</v>
      </c>
      <c r="AJ3514">
        <v>0</v>
      </c>
      <c r="AK3514">
        <v>0</v>
      </c>
      <c r="AL3514">
        <v>0</v>
      </c>
      <c r="AM3514">
        <v>0</v>
      </c>
      <c r="AN3514">
        <v>0</v>
      </c>
      <c r="AO3514">
        <v>0</v>
      </c>
      <c r="AP3514">
        <v>0</v>
      </c>
      <c r="AQ3514">
        <v>21.38</v>
      </c>
      <c r="AR3514">
        <v>0</v>
      </c>
      <c r="AS3514">
        <v>0</v>
      </c>
      <c r="AT3514">
        <v>0</v>
      </c>
      <c r="AU3514">
        <v>0</v>
      </c>
      <c r="AV3514">
        <v>0</v>
      </c>
      <c r="AW3514">
        <v>0</v>
      </c>
      <c r="AX3514">
        <v>0</v>
      </c>
      <c r="AY3514">
        <v>0</v>
      </c>
      <c r="AZ3514">
        <v>0</v>
      </c>
      <c r="BA3514">
        <v>0</v>
      </c>
      <c r="BB3514">
        <v>0</v>
      </c>
      <c r="BC3514">
        <v>0</v>
      </c>
      <c r="BD3514">
        <v>0</v>
      </c>
      <c r="BE3514">
        <v>0</v>
      </c>
      <c r="BF3514">
        <v>0</v>
      </c>
      <c r="BG3514">
        <v>0</v>
      </c>
      <c r="BH3514">
        <v>1</v>
      </c>
      <c r="BI3514">
        <v>1</v>
      </c>
      <c r="BJ3514">
        <v>0.2</v>
      </c>
      <c r="BK3514">
        <v>1</v>
      </c>
      <c r="BL3514">
        <v>69.98</v>
      </c>
      <c r="BM3514">
        <v>10.5</v>
      </c>
      <c r="BN3514">
        <v>80.48</v>
      </c>
      <c r="BO3514">
        <v>80.48</v>
      </c>
      <c r="BQ3514" t="s">
        <v>2155</v>
      </c>
      <c r="BR3514" t="s">
        <v>84</v>
      </c>
      <c r="BS3514" s="3">
        <v>45805</v>
      </c>
      <c r="BT3514" s="4">
        <v>0.46250000000000002</v>
      </c>
      <c r="BU3514" t="s">
        <v>3283</v>
      </c>
      <c r="BV3514" t="s">
        <v>89</v>
      </c>
      <c r="BW3514" t="s">
        <v>296</v>
      </c>
      <c r="BX3514" t="s">
        <v>450</v>
      </c>
      <c r="BY3514">
        <v>1200</v>
      </c>
      <c r="CA3514" t="s">
        <v>418</v>
      </c>
      <c r="CC3514" t="s">
        <v>80</v>
      </c>
      <c r="CD3514">
        <v>3600</v>
      </c>
      <c r="CE3514" t="s">
        <v>88</v>
      </c>
      <c r="CF3514" s="3">
        <v>45806</v>
      </c>
      <c r="CI3514">
        <v>1</v>
      </c>
      <c r="CJ3514">
        <v>1</v>
      </c>
      <c r="CK3514">
        <v>21</v>
      </c>
      <c r="CL3514" t="s">
        <v>89</v>
      </c>
    </row>
    <row r="3515" spans="1:90" x14ac:dyDescent="0.3">
      <c r="A3515" t="s">
        <v>72</v>
      </c>
      <c r="B3515" t="s">
        <v>73</v>
      </c>
      <c r="C3515" t="s">
        <v>74</v>
      </c>
      <c r="E3515" t="str">
        <f>"080065594213"</f>
        <v>080065594213</v>
      </c>
      <c r="F3515" s="3">
        <v>45804</v>
      </c>
      <c r="G3515">
        <v>202602</v>
      </c>
      <c r="H3515" t="s">
        <v>75</v>
      </c>
      <c r="I3515" t="s">
        <v>76</v>
      </c>
      <c r="J3515" t="s">
        <v>77</v>
      </c>
      <c r="K3515" t="s">
        <v>78</v>
      </c>
      <c r="L3515" t="s">
        <v>117</v>
      </c>
      <c r="M3515" t="s">
        <v>118</v>
      </c>
      <c r="N3515" t="s">
        <v>3284</v>
      </c>
      <c r="O3515" t="s">
        <v>82</v>
      </c>
      <c r="P3515" t="str">
        <f>"4170040773                    "</f>
        <v xml:space="preserve">4170040773                    </v>
      </c>
      <c r="Q3515">
        <v>0</v>
      </c>
      <c r="R3515">
        <v>0</v>
      </c>
      <c r="S3515">
        <v>0</v>
      </c>
      <c r="T3515">
        <v>0</v>
      </c>
      <c r="U3515">
        <v>0</v>
      </c>
      <c r="V3515">
        <v>0</v>
      </c>
      <c r="W3515">
        <v>0</v>
      </c>
      <c r="X3515">
        <v>0</v>
      </c>
      <c r="Y3515">
        <v>0</v>
      </c>
      <c r="Z3515">
        <v>0</v>
      </c>
      <c r="AA3515">
        <v>0</v>
      </c>
      <c r="AB3515">
        <v>0</v>
      </c>
      <c r="AC3515">
        <v>0</v>
      </c>
      <c r="AD3515">
        <v>0</v>
      </c>
      <c r="AE3515">
        <v>0</v>
      </c>
      <c r="AF3515">
        <v>0</v>
      </c>
      <c r="AG3515">
        <v>0</v>
      </c>
      <c r="AH3515">
        <v>0</v>
      </c>
      <c r="AI3515">
        <v>0</v>
      </c>
      <c r="AJ3515">
        <v>0</v>
      </c>
      <c r="AK3515">
        <v>0</v>
      </c>
      <c r="AL3515">
        <v>0</v>
      </c>
      <c r="AM3515">
        <v>0</v>
      </c>
      <c r="AN3515">
        <v>0</v>
      </c>
      <c r="AO3515">
        <v>0</v>
      </c>
      <c r="AP3515">
        <v>0</v>
      </c>
      <c r="AQ3515">
        <v>16.7</v>
      </c>
      <c r="AR3515">
        <v>0</v>
      </c>
      <c r="AS3515">
        <v>0</v>
      </c>
      <c r="AT3515">
        <v>0</v>
      </c>
      <c r="AU3515">
        <v>0</v>
      </c>
      <c r="AV3515">
        <v>0</v>
      </c>
      <c r="AW3515">
        <v>0</v>
      </c>
      <c r="AX3515">
        <v>0</v>
      </c>
      <c r="AY3515">
        <v>0</v>
      </c>
      <c r="AZ3515">
        <v>0</v>
      </c>
      <c r="BA3515">
        <v>0</v>
      </c>
      <c r="BB3515">
        <v>0</v>
      </c>
      <c r="BC3515">
        <v>0</v>
      </c>
      <c r="BD3515">
        <v>0</v>
      </c>
      <c r="BE3515">
        <v>0</v>
      </c>
      <c r="BF3515">
        <v>0</v>
      </c>
      <c r="BG3515">
        <v>0</v>
      </c>
      <c r="BH3515">
        <v>1</v>
      </c>
      <c r="BI3515">
        <v>1</v>
      </c>
      <c r="BJ3515">
        <v>0.2</v>
      </c>
      <c r="BK3515">
        <v>1</v>
      </c>
      <c r="BL3515">
        <v>54.66</v>
      </c>
      <c r="BM3515">
        <v>8.1999999999999993</v>
      </c>
      <c r="BN3515">
        <v>62.86</v>
      </c>
      <c r="BO3515">
        <v>62.86</v>
      </c>
      <c r="BQ3515" t="s">
        <v>3285</v>
      </c>
      <c r="BR3515" t="s">
        <v>84</v>
      </c>
      <c r="BS3515" s="3">
        <v>45805</v>
      </c>
      <c r="BT3515" s="4">
        <v>0.34722222222222221</v>
      </c>
      <c r="BU3515" t="s">
        <v>3286</v>
      </c>
      <c r="BV3515" t="s">
        <v>86</v>
      </c>
      <c r="BY3515">
        <v>1200</v>
      </c>
      <c r="CA3515" t="s">
        <v>924</v>
      </c>
      <c r="CC3515" t="s">
        <v>118</v>
      </c>
      <c r="CD3515">
        <v>2001</v>
      </c>
      <c r="CE3515" t="s">
        <v>88</v>
      </c>
      <c r="CF3515" s="3">
        <v>45805</v>
      </c>
      <c r="CI3515">
        <v>1</v>
      </c>
      <c r="CJ3515">
        <v>1</v>
      </c>
      <c r="CK3515">
        <v>22</v>
      </c>
      <c r="CL3515" t="s">
        <v>89</v>
      </c>
    </row>
    <row r="3516" spans="1:90" x14ac:dyDescent="0.3">
      <c r="A3516" t="s">
        <v>72</v>
      </c>
      <c r="B3516" t="s">
        <v>73</v>
      </c>
      <c r="C3516" t="s">
        <v>74</v>
      </c>
      <c r="E3516" t="str">
        <f>"080065594242"</f>
        <v>080065594242</v>
      </c>
      <c r="F3516" s="3">
        <v>45804</v>
      </c>
      <c r="G3516">
        <v>202602</v>
      </c>
      <c r="H3516" t="s">
        <v>75</v>
      </c>
      <c r="I3516" t="s">
        <v>76</v>
      </c>
      <c r="J3516" t="s">
        <v>77</v>
      </c>
      <c r="K3516" t="s">
        <v>78</v>
      </c>
      <c r="L3516" t="s">
        <v>374</v>
      </c>
      <c r="M3516" t="s">
        <v>375</v>
      </c>
      <c r="N3516" t="s">
        <v>376</v>
      </c>
      <c r="O3516" t="s">
        <v>82</v>
      </c>
      <c r="P3516" t="str">
        <f>"4170040890                    "</f>
        <v xml:space="preserve">4170040890                    </v>
      </c>
      <c r="Q3516">
        <v>0</v>
      </c>
      <c r="R3516">
        <v>0</v>
      </c>
      <c r="S3516">
        <v>0</v>
      </c>
      <c r="T3516">
        <v>0</v>
      </c>
      <c r="U3516">
        <v>0</v>
      </c>
      <c r="V3516">
        <v>0</v>
      </c>
      <c r="W3516">
        <v>0</v>
      </c>
      <c r="X3516">
        <v>0</v>
      </c>
      <c r="Y3516">
        <v>0</v>
      </c>
      <c r="Z3516">
        <v>0</v>
      </c>
      <c r="AA3516">
        <v>0</v>
      </c>
      <c r="AB3516">
        <v>0</v>
      </c>
      <c r="AC3516">
        <v>0</v>
      </c>
      <c r="AD3516">
        <v>0</v>
      </c>
      <c r="AE3516">
        <v>0</v>
      </c>
      <c r="AF3516">
        <v>0</v>
      </c>
      <c r="AG3516">
        <v>0</v>
      </c>
      <c r="AH3516">
        <v>0</v>
      </c>
      <c r="AI3516">
        <v>0</v>
      </c>
      <c r="AJ3516">
        <v>0</v>
      </c>
      <c r="AK3516">
        <v>0</v>
      </c>
      <c r="AL3516">
        <v>0</v>
      </c>
      <c r="AM3516">
        <v>0</v>
      </c>
      <c r="AN3516">
        <v>0</v>
      </c>
      <c r="AO3516">
        <v>0</v>
      </c>
      <c r="AP3516">
        <v>0</v>
      </c>
      <c r="AQ3516">
        <v>41.43</v>
      </c>
      <c r="AR3516">
        <v>0</v>
      </c>
      <c r="AS3516">
        <v>0</v>
      </c>
      <c r="AT3516">
        <v>0</v>
      </c>
      <c r="AU3516">
        <v>0</v>
      </c>
      <c r="AV3516">
        <v>0</v>
      </c>
      <c r="AW3516">
        <v>0</v>
      </c>
      <c r="AX3516">
        <v>0</v>
      </c>
      <c r="AY3516">
        <v>0</v>
      </c>
      <c r="AZ3516">
        <v>0</v>
      </c>
      <c r="BA3516">
        <v>0</v>
      </c>
      <c r="BB3516">
        <v>0</v>
      </c>
      <c r="BC3516">
        <v>0</v>
      </c>
      <c r="BD3516">
        <v>0</v>
      </c>
      <c r="BE3516">
        <v>0</v>
      </c>
      <c r="BF3516">
        <v>0</v>
      </c>
      <c r="BG3516">
        <v>0</v>
      </c>
      <c r="BH3516">
        <v>1</v>
      </c>
      <c r="BI3516">
        <v>1</v>
      </c>
      <c r="BJ3516">
        <v>0.2</v>
      </c>
      <c r="BK3516">
        <v>1</v>
      </c>
      <c r="BL3516">
        <v>135.59</v>
      </c>
      <c r="BM3516">
        <v>20.34</v>
      </c>
      <c r="BN3516">
        <v>155.93</v>
      </c>
      <c r="BO3516">
        <v>155.93</v>
      </c>
      <c r="BQ3516" t="s">
        <v>377</v>
      </c>
      <c r="BR3516" t="s">
        <v>84</v>
      </c>
      <c r="BS3516" s="3">
        <v>45805</v>
      </c>
      <c r="BT3516" s="4">
        <v>0.41666666666666669</v>
      </c>
      <c r="BU3516" t="s">
        <v>2236</v>
      </c>
      <c r="BV3516" t="s">
        <v>86</v>
      </c>
      <c r="BY3516">
        <v>1200</v>
      </c>
      <c r="CC3516" t="s">
        <v>375</v>
      </c>
      <c r="CD3516">
        <v>7130</v>
      </c>
      <c r="CE3516" t="s">
        <v>88</v>
      </c>
      <c r="CF3516" s="3">
        <v>45806</v>
      </c>
      <c r="CI3516">
        <v>1</v>
      </c>
      <c r="CJ3516">
        <v>1</v>
      </c>
      <c r="CK3516">
        <v>23</v>
      </c>
      <c r="CL3516" t="s">
        <v>89</v>
      </c>
    </row>
    <row r="3517" spans="1:90" x14ac:dyDescent="0.3">
      <c r="A3517" t="s">
        <v>72</v>
      </c>
      <c r="B3517" t="s">
        <v>73</v>
      </c>
      <c r="C3517" t="s">
        <v>74</v>
      </c>
      <c r="E3517" t="str">
        <f>"080065594266"</f>
        <v>080065594266</v>
      </c>
      <c r="F3517" s="3">
        <v>45804</v>
      </c>
      <c r="G3517">
        <v>202602</v>
      </c>
      <c r="H3517" t="s">
        <v>75</v>
      </c>
      <c r="I3517" t="s">
        <v>76</v>
      </c>
      <c r="J3517" t="s">
        <v>77</v>
      </c>
      <c r="K3517" t="s">
        <v>78</v>
      </c>
      <c r="L3517" t="s">
        <v>136</v>
      </c>
      <c r="M3517" t="s">
        <v>137</v>
      </c>
      <c r="N3517" t="s">
        <v>1656</v>
      </c>
      <c r="O3517" t="s">
        <v>82</v>
      </c>
      <c r="P3517" t="str">
        <f>"4170040858                    "</f>
        <v xml:space="preserve">4170040858                    </v>
      </c>
      <c r="Q3517">
        <v>0</v>
      </c>
      <c r="R3517">
        <v>0</v>
      </c>
      <c r="S3517">
        <v>0</v>
      </c>
      <c r="T3517">
        <v>0</v>
      </c>
      <c r="U3517">
        <v>0</v>
      </c>
      <c r="V3517">
        <v>0</v>
      </c>
      <c r="W3517">
        <v>0</v>
      </c>
      <c r="X3517">
        <v>0</v>
      </c>
      <c r="Y3517">
        <v>0</v>
      </c>
      <c r="Z3517">
        <v>0</v>
      </c>
      <c r="AA3517">
        <v>0</v>
      </c>
      <c r="AB3517">
        <v>0</v>
      </c>
      <c r="AC3517">
        <v>0</v>
      </c>
      <c r="AD3517">
        <v>0</v>
      </c>
      <c r="AE3517">
        <v>0</v>
      </c>
      <c r="AF3517">
        <v>0</v>
      </c>
      <c r="AG3517">
        <v>0</v>
      </c>
      <c r="AH3517">
        <v>0</v>
      </c>
      <c r="AI3517">
        <v>0</v>
      </c>
      <c r="AJ3517">
        <v>0</v>
      </c>
      <c r="AK3517">
        <v>0</v>
      </c>
      <c r="AL3517">
        <v>0</v>
      </c>
      <c r="AM3517">
        <v>0</v>
      </c>
      <c r="AN3517">
        <v>0</v>
      </c>
      <c r="AO3517">
        <v>0</v>
      </c>
      <c r="AP3517">
        <v>0</v>
      </c>
      <c r="AQ3517">
        <v>21.38</v>
      </c>
      <c r="AR3517">
        <v>0</v>
      </c>
      <c r="AS3517">
        <v>0</v>
      </c>
      <c r="AT3517">
        <v>0</v>
      </c>
      <c r="AU3517">
        <v>0</v>
      </c>
      <c r="AV3517">
        <v>0</v>
      </c>
      <c r="AW3517">
        <v>0</v>
      </c>
      <c r="AX3517">
        <v>0</v>
      </c>
      <c r="AY3517">
        <v>0</v>
      </c>
      <c r="AZ3517">
        <v>0</v>
      </c>
      <c r="BA3517">
        <v>0</v>
      </c>
      <c r="BB3517">
        <v>0</v>
      </c>
      <c r="BC3517">
        <v>0</v>
      </c>
      <c r="BD3517">
        <v>0</v>
      </c>
      <c r="BE3517">
        <v>0</v>
      </c>
      <c r="BF3517">
        <v>0</v>
      </c>
      <c r="BG3517">
        <v>0</v>
      </c>
      <c r="BH3517">
        <v>1</v>
      </c>
      <c r="BI3517">
        <v>1</v>
      </c>
      <c r="BJ3517">
        <v>1.1000000000000001</v>
      </c>
      <c r="BK3517">
        <v>1.5</v>
      </c>
      <c r="BL3517">
        <v>69.98</v>
      </c>
      <c r="BM3517">
        <v>10.5</v>
      </c>
      <c r="BN3517">
        <v>80.48</v>
      </c>
      <c r="BO3517">
        <v>80.48</v>
      </c>
      <c r="BQ3517" t="s">
        <v>1657</v>
      </c>
      <c r="BR3517" t="s">
        <v>84</v>
      </c>
      <c r="BS3517" s="3">
        <v>45805</v>
      </c>
      <c r="BT3517" s="4">
        <v>0.38124999999999998</v>
      </c>
      <c r="BU3517" t="s">
        <v>1658</v>
      </c>
      <c r="BV3517" t="s">
        <v>86</v>
      </c>
      <c r="BY3517">
        <v>5320</v>
      </c>
      <c r="CA3517" t="s">
        <v>141</v>
      </c>
      <c r="CC3517" t="s">
        <v>137</v>
      </c>
      <c r="CD3517" s="5" t="s">
        <v>142</v>
      </c>
      <c r="CE3517" t="s">
        <v>116</v>
      </c>
      <c r="CF3517" s="3">
        <v>45805</v>
      </c>
      <c r="CI3517">
        <v>1</v>
      </c>
      <c r="CJ3517">
        <v>1</v>
      </c>
      <c r="CK3517">
        <v>21</v>
      </c>
      <c r="CL3517" t="s">
        <v>89</v>
      </c>
    </row>
    <row r="3518" spans="1:90" x14ac:dyDescent="0.3">
      <c r="A3518" t="s">
        <v>72</v>
      </c>
      <c r="B3518" t="s">
        <v>73</v>
      </c>
      <c r="C3518" t="s">
        <v>74</v>
      </c>
      <c r="E3518" t="str">
        <f>"080065594296"</f>
        <v>080065594296</v>
      </c>
      <c r="F3518" s="3">
        <v>45804</v>
      </c>
      <c r="G3518">
        <v>202602</v>
      </c>
      <c r="H3518" t="s">
        <v>75</v>
      </c>
      <c r="I3518" t="s">
        <v>76</v>
      </c>
      <c r="J3518" t="s">
        <v>77</v>
      </c>
      <c r="K3518" t="s">
        <v>78</v>
      </c>
      <c r="L3518" t="s">
        <v>75</v>
      </c>
      <c r="M3518" t="s">
        <v>76</v>
      </c>
      <c r="N3518" t="s">
        <v>3287</v>
      </c>
      <c r="O3518" t="s">
        <v>602</v>
      </c>
      <c r="P3518" t="str">
        <f>"4170040798                    "</f>
        <v xml:space="preserve">4170040798                    </v>
      </c>
      <c r="Q3518">
        <v>0</v>
      </c>
      <c r="R3518">
        <v>0</v>
      </c>
      <c r="S3518">
        <v>0</v>
      </c>
      <c r="T3518">
        <v>0</v>
      </c>
      <c r="U3518">
        <v>0</v>
      </c>
      <c r="V3518">
        <v>0</v>
      </c>
      <c r="W3518">
        <v>0</v>
      </c>
      <c r="X3518">
        <v>0</v>
      </c>
      <c r="Y3518">
        <v>0</v>
      </c>
      <c r="Z3518">
        <v>0</v>
      </c>
      <c r="AA3518">
        <v>0</v>
      </c>
      <c r="AB3518">
        <v>0</v>
      </c>
      <c r="AC3518">
        <v>0</v>
      </c>
      <c r="AD3518">
        <v>0</v>
      </c>
      <c r="AE3518">
        <v>0</v>
      </c>
      <c r="AF3518">
        <v>0</v>
      </c>
      <c r="AG3518">
        <v>0</v>
      </c>
      <c r="AH3518">
        <v>0</v>
      </c>
      <c r="AI3518">
        <v>0</v>
      </c>
      <c r="AJ3518">
        <v>0</v>
      </c>
      <c r="AK3518">
        <v>0</v>
      </c>
      <c r="AL3518">
        <v>0</v>
      </c>
      <c r="AM3518">
        <v>0</v>
      </c>
      <c r="AN3518">
        <v>0</v>
      </c>
      <c r="AO3518">
        <v>0</v>
      </c>
      <c r="AP3518">
        <v>0</v>
      </c>
      <c r="AQ3518">
        <v>31.7</v>
      </c>
      <c r="AR3518">
        <v>0</v>
      </c>
      <c r="AS3518">
        <v>0</v>
      </c>
      <c r="AT3518">
        <v>0</v>
      </c>
      <c r="AU3518">
        <v>0</v>
      </c>
      <c r="AV3518">
        <v>0</v>
      </c>
      <c r="AW3518">
        <v>0</v>
      </c>
      <c r="AX3518">
        <v>0</v>
      </c>
      <c r="AY3518">
        <v>0</v>
      </c>
      <c r="AZ3518">
        <v>0</v>
      </c>
      <c r="BA3518">
        <v>0</v>
      </c>
      <c r="BB3518">
        <v>0</v>
      </c>
      <c r="BC3518">
        <v>0</v>
      </c>
      <c r="BD3518">
        <v>0</v>
      </c>
      <c r="BE3518">
        <v>0</v>
      </c>
      <c r="BF3518">
        <v>0</v>
      </c>
      <c r="BG3518">
        <v>0</v>
      </c>
      <c r="BH3518">
        <v>1</v>
      </c>
      <c r="BI3518">
        <v>16</v>
      </c>
      <c r="BJ3518">
        <v>4.0999999999999996</v>
      </c>
      <c r="BK3518">
        <v>16</v>
      </c>
      <c r="BL3518">
        <v>103.75</v>
      </c>
      <c r="BM3518">
        <v>15.56</v>
      </c>
      <c r="BN3518">
        <v>119.31</v>
      </c>
      <c r="BO3518">
        <v>119.31</v>
      </c>
      <c r="BQ3518" t="s">
        <v>3288</v>
      </c>
      <c r="BR3518" t="s">
        <v>84</v>
      </c>
      <c r="BS3518" s="3">
        <v>45805</v>
      </c>
      <c r="BT3518" s="4">
        <v>0.32916666666666666</v>
      </c>
      <c r="BU3518" t="s">
        <v>2240</v>
      </c>
      <c r="BV3518" t="s">
        <v>86</v>
      </c>
      <c r="BY3518">
        <v>20358</v>
      </c>
      <c r="CA3518" t="s">
        <v>806</v>
      </c>
      <c r="CC3518" t="s">
        <v>76</v>
      </c>
      <c r="CD3518">
        <v>1601</v>
      </c>
      <c r="CE3518" t="s">
        <v>96</v>
      </c>
      <c r="CF3518" s="3">
        <v>45805</v>
      </c>
      <c r="CI3518">
        <v>1</v>
      </c>
      <c r="CJ3518">
        <v>1</v>
      </c>
      <c r="CK3518">
        <v>32</v>
      </c>
      <c r="CL3518" t="s">
        <v>89</v>
      </c>
    </row>
    <row r="3519" spans="1:90" x14ac:dyDescent="0.3">
      <c r="A3519" t="s">
        <v>72</v>
      </c>
      <c r="B3519" t="s">
        <v>73</v>
      </c>
      <c r="C3519" t="s">
        <v>74</v>
      </c>
      <c r="E3519" t="str">
        <f>"080065594322"</f>
        <v>080065594322</v>
      </c>
      <c r="F3519" s="3">
        <v>45804</v>
      </c>
      <c r="G3519">
        <v>202602</v>
      </c>
      <c r="H3519" t="s">
        <v>75</v>
      </c>
      <c r="I3519" t="s">
        <v>76</v>
      </c>
      <c r="J3519" t="s">
        <v>77</v>
      </c>
      <c r="K3519" t="s">
        <v>78</v>
      </c>
      <c r="L3519" t="s">
        <v>90</v>
      </c>
      <c r="M3519" t="s">
        <v>91</v>
      </c>
      <c r="N3519" t="s">
        <v>865</v>
      </c>
      <c r="O3519" t="s">
        <v>82</v>
      </c>
      <c r="P3519" t="str">
        <f>"4170040874                    "</f>
        <v xml:space="preserve">4170040874                    </v>
      </c>
      <c r="Q3519">
        <v>0</v>
      </c>
      <c r="R3519">
        <v>0</v>
      </c>
      <c r="S3519">
        <v>0</v>
      </c>
      <c r="T3519">
        <v>0</v>
      </c>
      <c r="U3519">
        <v>0</v>
      </c>
      <c r="V3519">
        <v>0</v>
      </c>
      <c r="W3519">
        <v>0</v>
      </c>
      <c r="X3519">
        <v>0</v>
      </c>
      <c r="Y3519">
        <v>0</v>
      </c>
      <c r="Z3519">
        <v>0</v>
      </c>
      <c r="AA3519">
        <v>0</v>
      </c>
      <c r="AB3519">
        <v>0</v>
      </c>
      <c r="AC3519">
        <v>0</v>
      </c>
      <c r="AD3519">
        <v>0</v>
      </c>
      <c r="AE3519">
        <v>0</v>
      </c>
      <c r="AF3519">
        <v>0</v>
      </c>
      <c r="AG3519">
        <v>0</v>
      </c>
      <c r="AH3519">
        <v>0</v>
      </c>
      <c r="AI3519">
        <v>0</v>
      </c>
      <c r="AJ3519">
        <v>0</v>
      </c>
      <c r="AK3519">
        <v>0</v>
      </c>
      <c r="AL3519">
        <v>0</v>
      </c>
      <c r="AM3519">
        <v>0</v>
      </c>
      <c r="AN3519">
        <v>0</v>
      </c>
      <c r="AO3519">
        <v>0</v>
      </c>
      <c r="AP3519">
        <v>0</v>
      </c>
      <c r="AQ3519">
        <v>21.38</v>
      </c>
      <c r="AR3519">
        <v>0</v>
      </c>
      <c r="AS3519">
        <v>0</v>
      </c>
      <c r="AT3519">
        <v>0</v>
      </c>
      <c r="AU3519">
        <v>0</v>
      </c>
      <c r="AV3519">
        <v>0</v>
      </c>
      <c r="AW3519">
        <v>0</v>
      </c>
      <c r="AX3519">
        <v>0</v>
      </c>
      <c r="AY3519">
        <v>0</v>
      </c>
      <c r="AZ3519">
        <v>0</v>
      </c>
      <c r="BA3519">
        <v>0</v>
      </c>
      <c r="BB3519">
        <v>0</v>
      </c>
      <c r="BC3519">
        <v>0</v>
      </c>
      <c r="BD3519">
        <v>0</v>
      </c>
      <c r="BE3519">
        <v>0</v>
      </c>
      <c r="BF3519">
        <v>0</v>
      </c>
      <c r="BG3519">
        <v>0</v>
      </c>
      <c r="BH3519">
        <v>1</v>
      </c>
      <c r="BI3519">
        <v>2</v>
      </c>
      <c r="BJ3519">
        <v>0.9</v>
      </c>
      <c r="BK3519">
        <v>2</v>
      </c>
      <c r="BL3519">
        <v>69.98</v>
      </c>
      <c r="BM3519">
        <v>10.5</v>
      </c>
      <c r="BN3519">
        <v>80.48</v>
      </c>
      <c r="BO3519">
        <v>80.48</v>
      </c>
      <c r="BQ3519" t="s">
        <v>866</v>
      </c>
      <c r="BR3519" t="s">
        <v>84</v>
      </c>
      <c r="BS3519" s="3">
        <v>45805</v>
      </c>
      <c r="BT3519" s="4">
        <v>0.3888888888888889</v>
      </c>
      <c r="BU3519" t="s">
        <v>3289</v>
      </c>
      <c r="BV3519" t="s">
        <v>86</v>
      </c>
      <c r="BY3519">
        <v>4275</v>
      </c>
      <c r="CA3519" t="s">
        <v>824</v>
      </c>
      <c r="CC3519" t="s">
        <v>91</v>
      </c>
      <c r="CD3519">
        <v>6001</v>
      </c>
      <c r="CE3519" t="s">
        <v>116</v>
      </c>
      <c r="CF3519" s="3">
        <v>45805</v>
      </c>
      <c r="CI3519">
        <v>1</v>
      </c>
      <c r="CJ3519">
        <v>1</v>
      </c>
      <c r="CK3519">
        <v>21</v>
      </c>
      <c r="CL3519" t="s">
        <v>89</v>
      </c>
    </row>
    <row r="3520" spans="1:90" x14ac:dyDescent="0.3">
      <c r="A3520" t="s">
        <v>72</v>
      </c>
      <c r="B3520" t="s">
        <v>73</v>
      </c>
      <c r="C3520" t="s">
        <v>74</v>
      </c>
      <c r="E3520" t="str">
        <f>"080065594356"</f>
        <v>080065594356</v>
      </c>
      <c r="F3520" s="3">
        <v>45804</v>
      </c>
      <c r="G3520">
        <v>202602</v>
      </c>
      <c r="H3520" t="s">
        <v>75</v>
      </c>
      <c r="I3520" t="s">
        <v>76</v>
      </c>
      <c r="J3520" t="s">
        <v>77</v>
      </c>
      <c r="K3520" t="s">
        <v>78</v>
      </c>
      <c r="L3520" t="s">
        <v>130</v>
      </c>
      <c r="M3520" t="s">
        <v>131</v>
      </c>
      <c r="N3520" t="s">
        <v>337</v>
      </c>
      <c r="O3520" t="s">
        <v>82</v>
      </c>
      <c r="P3520" t="str">
        <f>"4170040817                    "</f>
        <v xml:space="preserve">4170040817                    </v>
      </c>
      <c r="Q3520">
        <v>0</v>
      </c>
      <c r="R3520">
        <v>0</v>
      </c>
      <c r="S3520">
        <v>0</v>
      </c>
      <c r="T3520">
        <v>0</v>
      </c>
      <c r="U3520">
        <v>0</v>
      </c>
      <c r="V3520">
        <v>0</v>
      </c>
      <c r="W3520">
        <v>0</v>
      </c>
      <c r="X3520">
        <v>0</v>
      </c>
      <c r="Y3520">
        <v>0</v>
      </c>
      <c r="Z3520">
        <v>0</v>
      </c>
      <c r="AA3520">
        <v>0</v>
      </c>
      <c r="AB3520">
        <v>0</v>
      </c>
      <c r="AC3520">
        <v>0</v>
      </c>
      <c r="AD3520">
        <v>0</v>
      </c>
      <c r="AE3520">
        <v>0</v>
      </c>
      <c r="AF3520">
        <v>0</v>
      </c>
      <c r="AG3520">
        <v>0</v>
      </c>
      <c r="AH3520">
        <v>0</v>
      </c>
      <c r="AI3520">
        <v>0</v>
      </c>
      <c r="AJ3520">
        <v>0</v>
      </c>
      <c r="AK3520">
        <v>0</v>
      </c>
      <c r="AL3520">
        <v>0</v>
      </c>
      <c r="AM3520">
        <v>0</v>
      </c>
      <c r="AN3520">
        <v>0</v>
      </c>
      <c r="AO3520">
        <v>0</v>
      </c>
      <c r="AP3520">
        <v>0</v>
      </c>
      <c r="AQ3520">
        <v>37.409999999999997</v>
      </c>
      <c r="AR3520">
        <v>0</v>
      </c>
      <c r="AS3520">
        <v>0</v>
      </c>
      <c r="AT3520">
        <v>0</v>
      </c>
      <c r="AU3520">
        <v>0</v>
      </c>
      <c r="AV3520">
        <v>0</v>
      </c>
      <c r="AW3520">
        <v>0</v>
      </c>
      <c r="AX3520">
        <v>0</v>
      </c>
      <c r="AY3520">
        <v>0</v>
      </c>
      <c r="AZ3520">
        <v>0</v>
      </c>
      <c r="BA3520">
        <v>0</v>
      </c>
      <c r="BB3520">
        <v>0</v>
      </c>
      <c r="BC3520">
        <v>0</v>
      </c>
      <c r="BD3520">
        <v>0</v>
      </c>
      <c r="BE3520">
        <v>0</v>
      </c>
      <c r="BF3520">
        <v>0</v>
      </c>
      <c r="BG3520">
        <v>0</v>
      </c>
      <c r="BH3520">
        <v>1</v>
      </c>
      <c r="BI3520">
        <v>2</v>
      </c>
      <c r="BJ3520">
        <v>3.2</v>
      </c>
      <c r="BK3520">
        <v>3.5</v>
      </c>
      <c r="BL3520">
        <v>122.43</v>
      </c>
      <c r="BM3520">
        <v>18.36</v>
      </c>
      <c r="BN3520">
        <v>140.79</v>
      </c>
      <c r="BO3520">
        <v>140.79</v>
      </c>
      <c r="BQ3520" t="s">
        <v>338</v>
      </c>
      <c r="BR3520" t="s">
        <v>84</v>
      </c>
      <c r="BS3520" s="3">
        <v>45805</v>
      </c>
      <c r="BT3520" s="4">
        <v>0.4201388888888889</v>
      </c>
      <c r="BU3520" t="s">
        <v>3290</v>
      </c>
      <c r="BV3520" t="s">
        <v>86</v>
      </c>
      <c r="BY3520">
        <v>16184</v>
      </c>
      <c r="CA3520" t="s">
        <v>3291</v>
      </c>
      <c r="CC3520" t="s">
        <v>131</v>
      </c>
      <c r="CD3520">
        <v>7800</v>
      </c>
      <c r="CE3520" t="s">
        <v>1296</v>
      </c>
      <c r="CF3520" s="3">
        <v>45806</v>
      </c>
      <c r="CI3520">
        <v>1</v>
      </c>
      <c r="CJ3520">
        <v>1</v>
      </c>
      <c r="CK3520">
        <v>21</v>
      </c>
      <c r="CL3520" t="s">
        <v>89</v>
      </c>
    </row>
    <row r="3521" spans="1:90" x14ac:dyDescent="0.3">
      <c r="A3521" t="s">
        <v>72</v>
      </c>
      <c r="B3521" t="s">
        <v>73</v>
      </c>
      <c r="C3521" t="s">
        <v>74</v>
      </c>
      <c r="E3521" t="str">
        <f>"080065594389"</f>
        <v>080065594389</v>
      </c>
      <c r="F3521" s="3">
        <v>45804</v>
      </c>
      <c r="G3521">
        <v>202602</v>
      </c>
      <c r="H3521" t="s">
        <v>75</v>
      </c>
      <c r="I3521" t="s">
        <v>76</v>
      </c>
      <c r="J3521" t="s">
        <v>77</v>
      </c>
      <c r="K3521" t="s">
        <v>78</v>
      </c>
      <c r="L3521" t="s">
        <v>222</v>
      </c>
      <c r="M3521" t="s">
        <v>223</v>
      </c>
      <c r="N3521" t="s">
        <v>984</v>
      </c>
      <c r="O3521" t="s">
        <v>82</v>
      </c>
      <c r="P3521" t="str">
        <f>"4170040816                    "</f>
        <v xml:space="preserve">4170040816                    </v>
      </c>
      <c r="Q3521">
        <v>0</v>
      </c>
      <c r="R3521">
        <v>0</v>
      </c>
      <c r="S3521">
        <v>0</v>
      </c>
      <c r="T3521">
        <v>0</v>
      </c>
      <c r="U3521">
        <v>0</v>
      </c>
      <c r="V3521">
        <v>0</v>
      </c>
      <c r="W3521">
        <v>0</v>
      </c>
      <c r="X3521">
        <v>0</v>
      </c>
      <c r="Y3521">
        <v>0</v>
      </c>
      <c r="Z3521">
        <v>0</v>
      </c>
      <c r="AA3521">
        <v>0</v>
      </c>
      <c r="AB3521">
        <v>0</v>
      </c>
      <c r="AC3521">
        <v>0</v>
      </c>
      <c r="AD3521">
        <v>0</v>
      </c>
      <c r="AE3521">
        <v>0</v>
      </c>
      <c r="AF3521">
        <v>0</v>
      </c>
      <c r="AG3521">
        <v>0</v>
      </c>
      <c r="AH3521">
        <v>0</v>
      </c>
      <c r="AI3521">
        <v>0</v>
      </c>
      <c r="AJ3521">
        <v>0</v>
      </c>
      <c r="AK3521">
        <v>0</v>
      </c>
      <c r="AL3521">
        <v>0</v>
      </c>
      <c r="AM3521">
        <v>0</v>
      </c>
      <c r="AN3521">
        <v>0</v>
      </c>
      <c r="AO3521">
        <v>0</v>
      </c>
      <c r="AP3521">
        <v>0</v>
      </c>
      <c r="AQ3521">
        <v>59.36</v>
      </c>
      <c r="AR3521">
        <v>0</v>
      </c>
      <c r="AS3521">
        <v>0</v>
      </c>
      <c r="AT3521">
        <v>0</v>
      </c>
      <c r="AU3521">
        <v>0</v>
      </c>
      <c r="AV3521">
        <v>0</v>
      </c>
      <c r="AW3521">
        <v>0</v>
      </c>
      <c r="AX3521">
        <v>0</v>
      </c>
      <c r="AY3521">
        <v>0</v>
      </c>
      <c r="AZ3521">
        <v>0</v>
      </c>
      <c r="BA3521">
        <v>0</v>
      </c>
      <c r="BB3521">
        <v>0</v>
      </c>
      <c r="BC3521">
        <v>0</v>
      </c>
      <c r="BD3521">
        <v>0</v>
      </c>
      <c r="BE3521">
        <v>0</v>
      </c>
      <c r="BF3521">
        <v>0</v>
      </c>
      <c r="BG3521">
        <v>0</v>
      </c>
      <c r="BH3521">
        <v>1</v>
      </c>
      <c r="BI3521">
        <v>4</v>
      </c>
      <c r="BJ3521">
        <v>1.7</v>
      </c>
      <c r="BK3521">
        <v>4</v>
      </c>
      <c r="BL3521">
        <v>194.27</v>
      </c>
      <c r="BM3521">
        <v>29.14</v>
      </c>
      <c r="BN3521">
        <v>223.41</v>
      </c>
      <c r="BO3521">
        <v>223.41</v>
      </c>
      <c r="BQ3521" t="s">
        <v>2975</v>
      </c>
      <c r="BR3521" t="s">
        <v>84</v>
      </c>
      <c r="BS3521" s="3">
        <v>45805</v>
      </c>
      <c r="BT3521" s="4">
        <v>0.375</v>
      </c>
      <c r="BU3521" t="s">
        <v>3292</v>
      </c>
      <c r="BV3521" t="s">
        <v>86</v>
      </c>
      <c r="BY3521">
        <v>8512</v>
      </c>
      <c r="CA3521" t="s">
        <v>1015</v>
      </c>
      <c r="CC3521" t="s">
        <v>223</v>
      </c>
      <c r="CD3521">
        <v>1739</v>
      </c>
      <c r="CE3521" t="s">
        <v>116</v>
      </c>
      <c r="CF3521" s="3">
        <v>45806</v>
      </c>
      <c r="CI3521">
        <v>1</v>
      </c>
      <c r="CJ3521">
        <v>1</v>
      </c>
      <c r="CK3521">
        <v>24</v>
      </c>
      <c r="CL3521" t="s">
        <v>89</v>
      </c>
    </row>
    <row r="3522" spans="1:90" x14ac:dyDescent="0.3">
      <c r="A3522" t="s">
        <v>72</v>
      </c>
      <c r="B3522" t="s">
        <v>73</v>
      </c>
      <c r="C3522" t="s">
        <v>74</v>
      </c>
      <c r="E3522" t="str">
        <f>"080065594393"</f>
        <v>080065594393</v>
      </c>
      <c r="F3522" s="3">
        <v>45804</v>
      </c>
      <c r="G3522">
        <v>202602</v>
      </c>
      <c r="H3522" t="s">
        <v>75</v>
      </c>
      <c r="I3522" t="s">
        <v>76</v>
      </c>
      <c r="J3522" t="s">
        <v>77</v>
      </c>
      <c r="K3522" t="s">
        <v>78</v>
      </c>
      <c r="L3522" t="s">
        <v>130</v>
      </c>
      <c r="M3522" t="s">
        <v>131</v>
      </c>
      <c r="N3522" t="s">
        <v>897</v>
      </c>
      <c r="O3522" t="s">
        <v>82</v>
      </c>
      <c r="P3522" t="str">
        <f>"4170040784                    "</f>
        <v xml:space="preserve">4170040784                    </v>
      </c>
      <c r="Q3522">
        <v>0</v>
      </c>
      <c r="R3522">
        <v>0</v>
      </c>
      <c r="S3522">
        <v>0</v>
      </c>
      <c r="T3522">
        <v>0</v>
      </c>
      <c r="U3522">
        <v>0</v>
      </c>
      <c r="V3522">
        <v>0</v>
      </c>
      <c r="W3522">
        <v>0</v>
      </c>
      <c r="X3522">
        <v>0</v>
      </c>
      <c r="Y3522">
        <v>0</v>
      </c>
      <c r="Z3522">
        <v>0</v>
      </c>
      <c r="AA3522">
        <v>0</v>
      </c>
      <c r="AB3522">
        <v>0</v>
      </c>
      <c r="AC3522">
        <v>0</v>
      </c>
      <c r="AD3522">
        <v>0</v>
      </c>
      <c r="AE3522">
        <v>0</v>
      </c>
      <c r="AF3522">
        <v>0</v>
      </c>
      <c r="AG3522">
        <v>0</v>
      </c>
      <c r="AH3522">
        <v>0</v>
      </c>
      <c r="AI3522">
        <v>0</v>
      </c>
      <c r="AJ3522">
        <v>0</v>
      </c>
      <c r="AK3522">
        <v>0</v>
      </c>
      <c r="AL3522">
        <v>0</v>
      </c>
      <c r="AM3522">
        <v>0</v>
      </c>
      <c r="AN3522">
        <v>0</v>
      </c>
      <c r="AO3522">
        <v>0</v>
      </c>
      <c r="AP3522">
        <v>0</v>
      </c>
      <c r="AQ3522">
        <v>21.38</v>
      </c>
      <c r="AR3522">
        <v>0</v>
      </c>
      <c r="AS3522">
        <v>0</v>
      </c>
      <c r="AT3522">
        <v>0</v>
      </c>
      <c r="AU3522">
        <v>0</v>
      </c>
      <c r="AV3522">
        <v>0</v>
      </c>
      <c r="AW3522">
        <v>0</v>
      </c>
      <c r="AX3522">
        <v>0</v>
      </c>
      <c r="AY3522">
        <v>0</v>
      </c>
      <c r="AZ3522">
        <v>0</v>
      </c>
      <c r="BA3522">
        <v>0</v>
      </c>
      <c r="BB3522">
        <v>0</v>
      </c>
      <c r="BC3522">
        <v>0</v>
      </c>
      <c r="BD3522">
        <v>0</v>
      </c>
      <c r="BE3522">
        <v>0</v>
      </c>
      <c r="BF3522">
        <v>0</v>
      </c>
      <c r="BG3522">
        <v>0</v>
      </c>
      <c r="BH3522">
        <v>1</v>
      </c>
      <c r="BI3522">
        <v>1</v>
      </c>
      <c r="BJ3522">
        <v>1.5</v>
      </c>
      <c r="BK3522">
        <v>1.5</v>
      </c>
      <c r="BL3522">
        <v>69.98</v>
      </c>
      <c r="BM3522">
        <v>10.5</v>
      </c>
      <c r="BN3522">
        <v>80.48</v>
      </c>
      <c r="BO3522">
        <v>80.48</v>
      </c>
      <c r="BQ3522" t="s">
        <v>898</v>
      </c>
      <c r="BR3522" t="s">
        <v>84</v>
      </c>
      <c r="BS3522" s="3">
        <v>45805</v>
      </c>
      <c r="BT3522" s="4">
        <v>0.41458333333333336</v>
      </c>
      <c r="BU3522" t="s">
        <v>899</v>
      </c>
      <c r="BV3522" t="s">
        <v>86</v>
      </c>
      <c r="BY3522">
        <v>7540</v>
      </c>
      <c r="CA3522" t="s">
        <v>901</v>
      </c>
      <c r="CC3522" t="s">
        <v>131</v>
      </c>
      <c r="CD3522">
        <v>7550</v>
      </c>
      <c r="CE3522" t="s">
        <v>96</v>
      </c>
      <c r="CF3522" s="3">
        <v>45806</v>
      </c>
      <c r="CI3522">
        <v>1</v>
      </c>
      <c r="CJ3522">
        <v>1</v>
      </c>
      <c r="CK3522">
        <v>21</v>
      </c>
      <c r="CL3522" t="s">
        <v>89</v>
      </c>
    </row>
    <row r="3523" spans="1:90" x14ac:dyDescent="0.3">
      <c r="A3523" t="s">
        <v>72</v>
      </c>
      <c r="B3523" t="s">
        <v>73</v>
      </c>
      <c r="C3523" t="s">
        <v>74</v>
      </c>
      <c r="E3523" t="str">
        <f>"080065594438"</f>
        <v>080065594438</v>
      </c>
      <c r="F3523" s="3">
        <v>45804</v>
      </c>
      <c r="G3523">
        <v>202602</v>
      </c>
      <c r="H3523" t="s">
        <v>75</v>
      </c>
      <c r="I3523" t="s">
        <v>76</v>
      </c>
      <c r="J3523" t="s">
        <v>77</v>
      </c>
      <c r="K3523" t="s">
        <v>78</v>
      </c>
      <c r="L3523" t="s">
        <v>463</v>
      </c>
      <c r="M3523" t="s">
        <v>464</v>
      </c>
      <c r="N3523" t="s">
        <v>744</v>
      </c>
      <c r="O3523" t="s">
        <v>82</v>
      </c>
      <c r="P3523" t="str">
        <f>"4170040848                    "</f>
        <v xml:space="preserve">4170040848                    </v>
      </c>
      <c r="Q3523">
        <v>0</v>
      </c>
      <c r="R3523">
        <v>0</v>
      </c>
      <c r="S3523">
        <v>0</v>
      </c>
      <c r="T3523">
        <v>0</v>
      </c>
      <c r="U3523">
        <v>0</v>
      </c>
      <c r="V3523">
        <v>0</v>
      </c>
      <c r="W3523">
        <v>0</v>
      </c>
      <c r="X3523">
        <v>0</v>
      </c>
      <c r="Y3523">
        <v>0</v>
      </c>
      <c r="Z3523">
        <v>0</v>
      </c>
      <c r="AA3523">
        <v>0</v>
      </c>
      <c r="AB3523">
        <v>0</v>
      </c>
      <c r="AC3523">
        <v>0</v>
      </c>
      <c r="AD3523">
        <v>0</v>
      </c>
      <c r="AE3523">
        <v>0</v>
      </c>
      <c r="AF3523">
        <v>0</v>
      </c>
      <c r="AG3523">
        <v>0</v>
      </c>
      <c r="AH3523">
        <v>0</v>
      </c>
      <c r="AI3523">
        <v>0</v>
      </c>
      <c r="AJ3523">
        <v>0</v>
      </c>
      <c r="AK3523">
        <v>0</v>
      </c>
      <c r="AL3523">
        <v>0</v>
      </c>
      <c r="AM3523">
        <v>0</v>
      </c>
      <c r="AN3523">
        <v>0</v>
      </c>
      <c r="AO3523">
        <v>0</v>
      </c>
      <c r="AP3523">
        <v>0</v>
      </c>
      <c r="AQ3523">
        <v>21.38</v>
      </c>
      <c r="AR3523">
        <v>0</v>
      </c>
      <c r="AS3523">
        <v>0</v>
      </c>
      <c r="AT3523">
        <v>0</v>
      </c>
      <c r="AU3523">
        <v>0</v>
      </c>
      <c r="AV3523">
        <v>0</v>
      </c>
      <c r="AW3523">
        <v>0</v>
      </c>
      <c r="AX3523">
        <v>0</v>
      </c>
      <c r="AY3523">
        <v>0</v>
      </c>
      <c r="AZ3523">
        <v>0</v>
      </c>
      <c r="BA3523">
        <v>0</v>
      </c>
      <c r="BB3523">
        <v>0</v>
      </c>
      <c r="BC3523">
        <v>0</v>
      </c>
      <c r="BD3523">
        <v>0</v>
      </c>
      <c r="BE3523">
        <v>0</v>
      </c>
      <c r="BF3523">
        <v>0</v>
      </c>
      <c r="BG3523">
        <v>0</v>
      </c>
      <c r="BH3523">
        <v>1</v>
      </c>
      <c r="BI3523">
        <v>1</v>
      </c>
      <c r="BJ3523">
        <v>1.1000000000000001</v>
      </c>
      <c r="BK3523">
        <v>1.5</v>
      </c>
      <c r="BL3523">
        <v>69.98</v>
      </c>
      <c r="BM3523">
        <v>10.5</v>
      </c>
      <c r="BN3523">
        <v>80.48</v>
      </c>
      <c r="BO3523">
        <v>80.48</v>
      </c>
      <c r="BQ3523" t="s">
        <v>745</v>
      </c>
      <c r="BR3523" t="s">
        <v>84</v>
      </c>
      <c r="BS3523" s="3">
        <v>45805</v>
      </c>
      <c r="BT3523" s="4">
        <v>0.4513888888888889</v>
      </c>
      <c r="BU3523" t="s">
        <v>746</v>
      </c>
      <c r="BV3523" t="s">
        <v>89</v>
      </c>
      <c r="BY3523">
        <v>5320</v>
      </c>
      <c r="CA3523" t="s">
        <v>588</v>
      </c>
      <c r="CC3523" t="s">
        <v>464</v>
      </c>
      <c r="CD3523">
        <v>5201</v>
      </c>
      <c r="CE3523" t="s">
        <v>96</v>
      </c>
      <c r="CF3523" s="3">
        <v>45806</v>
      </c>
      <c r="CI3523">
        <v>1</v>
      </c>
      <c r="CJ3523">
        <v>1</v>
      </c>
      <c r="CK3523">
        <v>21</v>
      </c>
      <c r="CL3523" t="s">
        <v>89</v>
      </c>
    </row>
    <row r="3524" spans="1:90" x14ac:dyDescent="0.3">
      <c r="A3524" t="s">
        <v>72</v>
      </c>
      <c r="B3524" t="s">
        <v>73</v>
      </c>
      <c r="C3524" t="s">
        <v>74</v>
      </c>
      <c r="E3524" t="str">
        <f>"080065594512"</f>
        <v>080065594512</v>
      </c>
      <c r="F3524" s="3">
        <v>45804</v>
      </c>
      <c r="G3524">
        <v>202602</v>
      </c>
      <c r="H3524" t="s">
        <v>75</v>
      </c>
      <c r="I3524" t="s">
        <v>76</v>
      </c>
      <c r="J3524" t="s">
        <v>77</v>
      </c>
      <c r="K3524" t="s">
        <v>78</v>
      </c>
      <c r="L3524" t="s">
        <v>117</v>
      </c>
      <c r="M3524" t="s">
        <v>118</v>
      </c>
      <c r="N3524" t="s">
        <v>1421</v>
      </c>
      <c r="O3524" t="s">
        <v>82</v>
      </c>
      <c r="P3524" t="str">
        <f>"4170040864                    "</f>
        <v xml:space="preserve">4170040864                    </v>
      </c>
      <c r="Q3524">
        <v>0</v>
      </c>
      <c r="R3524">
        <v>0</v>
      </c>
      <c r="S3524">
        <v>0</v>
      </c>
      <c r="T3524">
        <v>0</v>
      </c>
      <c r="U3524">
        <v>0</v>
      </c>
      <c r="V3524">
        <v>0</v>
      </c>
      <c r="W3524">
        <v>0</v>
      </c>
      <c r="X3524">
        <v>0</v>
      </c>
      <c r="Y3524">
        <v>0</v>
      </c>
      <c r="Z3524">
        <v>0</v>
      </c>
      <c r="AA3524">
        <v>0</v>
      </c>
      <c r="AB3524">
        <v>0</v>
      </c>
      <c r="AC3524">
        <v>0</v>
      </c>
      <c r="AD3524">
        <v>0</v>
      </c>
      <c r="AE3524">
        <v>0</v>
      </c>
      <c r="AF3524">
        <v>0</v>
      </c>
      <c r="AG3524">
        <v>0</v>
      </c>
      <c r="AH3524">
        <v>0</v>
      </c>
      <c r="AI3524">
        <v>0</v>
      </c>
      <c r="AJ3524">
        <v>0</v>
      </c>
      <c r="AK3524">
        <v>0</v>
      </c>
      <c r="AL3524">
        <v>0</v>
      </c>
      <c r="AM3524">
        <v>0</v>
      </c>
      <c r="AN3524">
        <v>0</v>
      </c>
      <c r="AO3524">
        <v>0</v>
      </c>
      <c r="AP3524">
        <v>0</v>
      </c>
      <c r="AQ3524">
        <v>16.7</v>
      </c>
      <c r="AR3524">
        <v>0</v>
      </c>
      <c r="AS3524">
        <v>0</v>
      </c>
      <c r="AT3524">
        <v>0</v>
      </c>
      <c r="AU3524">
        <v>0</v>
      </c>
      <c r="AV3524">
        <v>0</v>
      </c>
      <c r="AW3524">
        <v>16.739999999999998</v>
      </c>
      <c r="AX3524">
        <v>0</v>
      </c>
      <c r="AY3524">
        <v>0</v>
      </c>
      <c r="AZ3524">
        <v>0</v>
      </c>
      <c r="BA3524">
        <v>0</v>
      </c>
      <c r="BB3524">
        <v>0</v>
      </c>
      <c r="BC3524">
        <v>0</v>
      </c>
      <c r="BD3524">
        <v>0</v>
      </c>
      <c r="BE3524">
        <v>0</v>
      </c>
      <c r="BF3524">
        <v>0</v>
      </c>
      <c r="BG3524">
        <v>0</v>
      </c>
      <c r="BH3524">
        <v>1</v>
      </c>
      <c r="BI3524">
        <v>6</v>
      </c>
      <c r="BJ3524">
        <v>2</v>
      </c>
      <c r="BK3524">
        <v>6</v>
      </c>
      <c r="BL3524">
        <v>71.400000000000006</v>
      </c>
      <c r="BM3524">
        <v>10.71</v>
      </c>
      <c r="BN3524">
        <v>82.11</v>
      </c>
      <c r="BO3524">
        <v>82.11</v>
      </c>
      <c r="BQ3524" t="s">
        <v>1422</v>
      </c>
      <c r="BR3524" t="s">
        <v>84</v>
      </c>
      <c r="BS3524" s="3">
        <v>45805</v>
      </c>
      <c r="BT3524" s="4">
        <v>0.36805555555555558</v>
      </c>
      <c r="BU3524" t="s">
        <v>1423</v>
      </c>
      <c r="BV3524" t="s">
        <v>86</v>
      </c>
      <c r="BY3524">
        <v>9918</v>
      </c>
      <c r="BZ3524" t="s">
        <v>30</v>
      </c>
      <c r="CA3524" t="s">
        <v>1424</v>
      </c>
      <c r="CC3524" t="s">
        <v>118</v>
      </c>
      <c r="CD3524">
        <v>2188</v>
      </c>
      <c r="CE3524" t="s">
        <v>96</v>
      </c>
      <c r="CF3524" s="3">
        <v>45806</v>
      </c>
      <c r="CI3524">
        <v>1</v>
      </c>
      <c r="CJ3524">
        <v>1</v>
      </c>
      <c r="CK3524">
        <v>22</v>
      </c>
      <c r="CL3524" t="s">
        <v>89</v>
      </c>
    </row>
    <row r="3525" spans="1:90" x14ac:dyDescent="0.3">
      <c r="A3525" t="s">
        <v>72</v>
      </c>
      <c r="B3525" t="s">
        <v>73</v>
      </c>
      <c r="C3525" t="s">
        <v>74</v>
      </c>
      <c r="E3525" t="str">
        <f>"080065594539"</f>
        <v>080065594539</v>
      </c>
      <c r="F3525" s="3">
        <v>45804</v>
      </c>
      <c r="G3525">
        <v>202602</v>
      </c>
      <c r="H3525" t="s">
        <v>75</v>
      </c>
      <c r="I3525" t="s">
        <v>76</v>
      </c>
      <c r="J3525" t="s">
        <v>77</v>
      </c>
      <c r="K3525" t="s">
        <v>78</v>
      </c>
      <c r="L3525" t="s">
        <v>117</v>
      </c>
      <c r="M3525" t="s">
        <v>118</v>
      </c>
      <c r="N3525" t="s">
        <v>1533</v>
      </c>
      <c r="O3525" t="s">
        <v>82</v>
      </c>
      <c r="P3525" t="str">
        <f>"4170040885                    "</f>
        <v xml:space="preserve">4170040885                    </v>
      </c>
      <c r="Q3525">
        <v>0</v>
      </c>
      <c r="R3525">
        <v>0</v>
      </c>
      <c r="S3525">
        <v>0</v>
      </c>
      <c r="T3525">
        <v>0</v>
      </c>
      <c r="U3525">
        <v>0</v>
      </c>
      <c r="V3525">
        <v>0</v>
      </c>
      <c r="W3525">
        <v>0</v>
      </c>
      <c r="X3525">
        <v>0</v>
      </c>
      <c r="Y3525">
        <v>0</v>
      </c>
      <c r="Z3525">
        <v>0</v>
      </c>
      <c r="AA3525">
        <v>0</v>
      </c>
      <c r="AB3525">
        <v>0</v>
      </c>
      <c r="AC3525">
        <v>0</v>
      </c>
      <c r="AD3525">
        <v>0</v>
      </c>
      <c r="AE3525">
        <v>0</v>
      </c>
      <c r="AF3525">
        <v>0</v>
      </c>
      <c r="AG3525">
        <v>0</v>
      </c>
      <c r="AH3525">
        <v>0</v>
      </c>
      <c r="AI3525">
        <v>0</v>
      </c>
      <c r="AJ3525">
        <v>0</v>
      </c>
      <c r="AK3525">
        <v>0</v>
      </c>
      <c r="AL3525">
        <v>0</v>
      </c>
      <c r="AM3525">
        <v>0</v>
      </c>
      <c r="AN3525">
        <v>0</v>
      </c>
      <c r="AO3525">
        <v>0</v>
      </c>
      <c r="AP3525">
        <v>0</v>
      </c>
      <c r="AQ3525">
        <v>16.7</v>
      </c>
      <c r="AR3525">
        <v>0</v>
      </c>
      <c r="AS3525">
        <v>0</v>
      </c>
      <c r="AT3525">
        <v>0</v>
      </c>
      <c r="AU3525">
        <v>0</v>
      </c>
      <c r="AV3525">
        <v>0</v>
      </c>
      <c r="AW3525">
        <v>0</v>
      </c>
      <c r="AX3525">
        <v>0</v>
      </c>
      <c r="AY3525">
        <v>0</v>
      </c>
      <c r="AZ3525">
        <v>0</v>
      </c>
      <c r="BA3525">
        <v>0</v>
      </c>
      <c r="BB3525">
        <v>0</v>
      </c>
      <c r="BC3525">
        <v>0</v>
      </c>
      <c r="BD3525">
        <v>0</v>
      </c>
      <c r="BE3525">
        <v>0</v>
      </c>
      <c r="BF3525">
        <v>0</v>
      </c>
      <c r="BG3525">
        <v>0</v>
      </c>
      <c r="BH3525">
        <v>1</v>
      </c>
      <c r="BI3525">
        <v>2</v>
      </c>
      <c r="BJ3525">
        <v>2</v>
      </c>
      <c r="BK3525">
        <v>2</v>
      </c>
      <c r="BL3525">
        <v>54.66</v>
      </c>
      <c r="BM3525">
        <v>8.1999999999999993</v>
      </c>
      <c r="BN3525">
        <v>62.86</v>
      </c>
      <c r="BO3525">
        <v>62.86</v>
      </c>
      <c r="BQ3525" t="s">
        <v>1534</v>
      </c>
      <c r="BR3525" t="s">
        <v>84</v>
      </c>
      <c r="BS3525" s="3">
        <v>45805</v>
      </c>
      <c r="BT3525" s="4">
        <v>0.39374999999999999</v>
      </c>
      <c r="BU3525" t="s">
        <v>1535</v>
      </c>
      <c r="BV3525" t="s">
        <v>86</v>
      </c>
      <c r="BY3525">
        <v>9918</v>
      </c>
      <c r="CA3525" t="s">
        <v>275</v>
      </c>
      <c r="CC3525" t="s">
        <v>118</v>
      </c>
      <c r="CD3525">
        <v>2091</v>
      </c>
      <c r="CE3525" t="s">
        <v>96</v>
      </c>
      <c r="CF3525" s="3">
        <v>45806</v>
      </c>
      <c r="CI3525">
        <v>1</v>
      </c>
      <c r="CJ3525">
        <v>1</v>
      </c>
      <c r="CK3525">
        <v>22</v>
      </c>
      <c r="CL3525" t="s">
        <v>89</v>
      </c>
    </row>
    <row r="3526" spans="1:90" x14ac:dyDescent="0.3">
      <c r="A3526" t="s">
        <v>72</v>
      </c>
      <c r="B3526" t="s">
        <v>73</v>
      </c>
      <c r="C3526" t="s">
        <v>74</v>
      </c>
      <c r="E3526" t="str">
        <f>"080065594577"</f>
        <v>080065594577</v>
      </c>
      <c r="F3526" s="3">
        <v>45804</v>
      </c>
      <c r="G3526">
        <v>202602</v>
      </c>
      <c r="H3526" t="s">
        <v>75</v>
      </c>
      <c r="I3526" t="s">
        <v>76</v>
      </c>
      <c r="J3526" t="s">
        <v>77</v>
      </c>
      <c r="K3526" t="s">
        <v>78</v>
      </c>
      <c r="L3526" t="s">
        <v>409</v>
      </c>
      <c r="M3526" t="s">
        <v>410</v>
      </c>
      <c r="N3526" t="s">
        <v>411</v>
      </c>
      <c r="O3526" t="s">
        <v>82</v>
      </c>
      <c r="P3526" t="str">
        <f>"4170040945                    "</f>
        <v xml:space="preserve">4170040945                    </v>
      </c>
      <c r="Q3526">
        <v>0</v>
      </c>
      <c r="R3526">
        <v>0</v>
      </c>
      <c r="S3526">
        <v>0</v>
      </c>
      <c r="T3526">
        <v>0</v>
      </c>
      <c r="U3526">
        <v>0</v>
      </c>
      <c r="V3526">
        <v>0</v>
      </c>
      <c r="W3526">
        <v>0</v>
      </c>
      <c r="X3526">
        <v>0</v>
      </c>
      <c r="Y3526">
        <v>0</v>
      </c>
      <c r="Z3526">
        <v>0</v>
      </c>
      <c r="AA3526">
        <v>0</v>
      </c>
      <c r="AB3526">
        <v>0</v>
      </c>
      <c r="AC3526">
        <v>0</v>
      </c>
      <c r="AD3526">
        <v>0</v>
      </c>
      <c r="AE3526">
        <v>0</v>
      </c>
      <c r="AF3526">
        <v>0</v>
      </c>
      <c r="AG3526">
        <v>0</v>
      </c>
      <c r="AH3526">
        <v>0</v>
      </c>
      <c r="AI3526">
        <v>0</v>
      </c>
      <c r="AJ3526">
        <v>0</v>
      </c>
      <c r="AK3526">
        <v>0</v>
      </c>
      <c r="AL3526">
        <v>0</v>
      </c>
      <c r="AM3526">
        <v>0</v>
      </c>
      <c r="AN3526">
        <v>0</v>
      </c>
      <c r="AO3526">
        <v>0</v>
      </c>
      <c r="AP3526">
        <v>0</v>
      </c>
      <c r="AQ3526">
        <v>191.1</v>
      </c>
      <c r="AR3526">
        <v>0</v>
      </c>
      <c r="AS3526">
        <v>0</v>
      </c>
      <c r="AT3526">
        <v>0</v>
      </c>
      <c r="AU3526">
        <v>0</v>
      </c>
      <c r="AV3526">
        <v>0</v>
      </c>
      <c r="AW3526">
        <v>0</v>
      </c>
      <c r="AX3526">
        <v>0</v>
      </c>
      <c r="AY3526">
        <v>0</v>
      </c>
      <c r="AZ3526">
        <v>0</v>
      </c>
      <c r="BA3526">
        <v>0</v>
      </c>
      <c r="BB3526">
        <v>0</v>
      </c>
      <c r="BC3526">
        <v>0</v>
      </c>
      <c r="BD3526">
        <v>0</v>
      </c>
      <c r="BE3526">
        <v>0</v>
      </c>
      <c r="BF3526">
        <v>0</v>
      </c>
      <c r="BG3526">
        <v>0</v>
      </c>
      <c r="BH3526">
        <v>1</v>
      </c>
      <c r="BI3526">
        <v>10</v>
      </c>
      <c r="BJ3526">
        <v>9.1</v>
      </c>
      <c r="BK3526">
        <v>10</v>
      </c>
      <c r="BL3526">
        <v>625.41999999999996</v>
      </c>
      <c r="BM3526">
        <v>93.81</v>
      </c>
      <c r="BN3526">
        <v>719.23</v>
      </c>
      <c r="BO3526">
        <v>719.23</v>
      </c>
      <c r="BQ3526" t="s">
        <v>412</v>
      </c>
      <c r="BR3526" t="s">
        <v>84</v>
      </c>
      <c r="BS3526" s="3">
        <v>45805</v>
      </c>
      <c r="BT3526" s="4">
        <v>0.48125000000000001</v>
      </c>
      <c r="BU3526" t="s">
        <v>413</v>
      </c>
      <c r="BV3526" t="s">
        <v>86</v>
      </c>
      <c r="BY3526">
        <v>45632</v>
      </c>
      <c r="CA3526" t="s">
        <v>414</v>
      </c>
      <c r="CC3526" t="s">
        <v>410</v>
      </c>
      <c r="CD3526">
        <v>6850</v>
      </c>
      <c r="CE3526" t="s">
        <v>96</v>
      </c>
      <c r="CF3526" s="3">
        <v>45806</v>
      </c>
      <c r="CI3526">
        <v>2</v>
      </c>
      <c r="CJ3526">
        <v>1</v>
      </c>
      <c r="CK3526">
        <v>23</v>
      </c>
      <c r="CL3526" t="s">
        <v>89</v>
      </c>
    </row>
    <row r="3527" spans="1:90" x14ac:dyDescent="0.3">
      <c r="A3527" t="s">
        <v>72</v>
      </c>
      <c r="B3527" t="s">
        <v>73</v>
      </c>
      <c r="C3527" t="s">
        <v>74</v>
      </c>
      <c r="E3527" t="str">
        <f>"080065594640"</f>
        <v>080065594640</v>
      </c>
      <c r="F3527" s="3">
        <v>45804</v>
      </c>
      <c r="G3527">
        <v>202602</v>
      </c>
      <c r="H3527" t="s">
        <v>75</v>
      </c>
      <c r="I3527" t="s">
        <v>76</v>
      </c>
      <c r="J3527" t="s">
        <v>77</v>
      </c>
      <c r="K3527" t="s">
        <v>78</v>
      </c>
      <c r="L3527" t="s">
        <v>75</v>
      </c>
      <c r="M3527" t="s">
        <v>76</v>
      </c>
      <c r="N3527" t="s">
        <v>390</v>
      </c>
      <c r="O3527" t="s">
        <v>82</v>
      </c>
      <c r="P3527" t="str">
        <f>"4170040842                    "</f>
        <v xml:space="preserve">4170040842                    </v>
      </c>
      <c r="Q3527">
        <v>0</v>
      </c>
      <c r="R3527">
        <v>0</v>
      </c>
      <c r="S3527">
        <v>0</v>
      </c>
      <c r="T3527">
        <v>0</v>
      </c>
      <c r="U3527">
        <v>0</v>
      </c>
      <c r="V3527">
        <v>0</v>
      </c>
      <c r="W3527">
        <v>0</v>
      </c>
      <c r="X3527">
        <v>0</v>
      </c>
      <c r="Y3527">
        <v>0</v>
      </c>
      <c r="Z3527">
        <v>0</v>
      </c>
      <c r="AA3527">
        <v>0</v>
      </c>
      <c r="AB3527">
        <v>0</v>
      </c>
      <c r="AC3527">
        <v>0</v>
      </c>
      <c r="AD3527">
        <v>0</v>
      </c>
      <c r="AE3527">
        <v>0</v>
      </c>
      <c r="AF3527">
        <v>0</v>
      </c>
      <c r="AG3527">
        <v>0</v>
      </c>
      <c r="AH3527">
        <v>0</v>
      </c>
      <c r="AI3527">
        <v>0</v>
      </c>
      <c r="AJ3527">
        <v>0</v>
      </c>
      <c r="AK3527">
        <v>0</v>
      </c>
      <c r="AL3527">
        <v>0</v>
      </c>
      <c r="AM3527">
        <v>0</v>
      </c>
      <c r="AN3527">
        <v>0</v>
      </c>
      <c r="AO3527">
        <v>0</v>
      </c>
      <c r="AP3527">
        <v>0</v>
      </c>
      <c r="AQ3527">
        <v>16.7</v>
      </c>
      <c r="AR3527">
        <v>0</v>
      </c>
      <c r="AS3527">
        <v>0</v>
      </c>
      <c r="AT3527">
        <v>0</v>
      </c>
      <c r="AU3527">
        <v>0</v>
      </c>
      <c r="AV3527">
        <v>0</v>
      </c>
      <c r="AW3527">
        <v>0</v>
      </c>
      <c r="AX3527">
        <v>0</v>
      </c>
      <c r="AY3527">
        <v>0</v>
      </c>
      <c r="AZ3527">
        <v>0</v>
      </c>
      <c r="BA3527">
        <v>0</v>
      </c>
      <c r="BB3527">
        <v>0</v>
      </c>
      <c r="BC3527">
        <v>0</v>
      </c>
      <c r="BD3527">
        <v>0</v>
      </c>
      <c r="BE3527">
        <v>0</v>
      </c>
      <c r="BF3527">
        <v>0</v>
      </c>
      <c r="BG3527">
        <v>0</v>
      </c>
      <c r="BH3527">
        <v>1</v>
      </c>
      <c r="BI3527">
        <v>2</v>
      </c>
      <c r="BJ3527">
        <v>3.8</v>
      </c>
      <c r="BK3527">
        <v>4</v>
      </c>
      <c r="BL3527">
        <v>54.66</v>
      </c>
      <c r="BM3527">
        <v>8.1999999999999993</v>
      </c>
      <c r="BN3527">
        <v>62.86</v>
      </c>
      <c r="BO3527">
        <v>62.86</v>
      </c>
      <c r="BQ3527" t="s">
        <v>391</v>
      </c>
      <c r="BR3527" t="s">
        <v>84</v>
      </c>
      <c r="BS3527" s="3">
        <v>45805</v>
      </c>
      <c r="BT3527" s="4">
        <v>0.34305555555555556</v>
      </c>
      <c r="BU3527" t="s">
        <v>1060</v>
      </c>
      <c r="BV3527" t="s">
        <v>86</v>
      </c>
      <c r="BY3527">
        <v>19096</v>
      </c>
      <c r="CA3527" t="s">
        <v>115</v>
      </c>
      <c r="CC3527" t="s">
        <v>76</v>
      </c>
      <c r="CD3527">
        <v>1600</v>
      </c>
      <c r="CE3527" t="s">
        <v>221</v>
      </c>
      <c r="CF3527" s="3">
        <v>45805</v>
      </c>
      <c r="CI3527">
        <v>1</v>
      </c>
      <c r="CJ3527">
        <v>1</v>
      </c>
      <c r="CK3527">
        <v>22</v>
      </c>
      <c r="CL3527" t="s">
        <v>89</v>
      </c>
    </row>
    <row r="3528" spans="1:90" x14ac:dyDescent="0.3">
      <c r="A3528" t="s">
        <v>72</v>
      </c>
      <c r="B3528" t="s">
        <v>73</v>
      </c>
      <c r="C3528" t="s">
        <v>74</v>
      </c>
      <c r="E3528" t="str">
        <f>"080065594675"</f>
        <v>080065594675</v>
      </c>
      <c r="F3528" s="3">
        <v>45804</v>
      </c>
      <c r="G3528">
        <v>202602</v>
      </c>
      <c r="H3528" t="s">
        <v>75</v>
      </c>
      <c r="I3528" t="s">
        <v>76</v>
      </c>
      <c r="J3528" t="s">
        <v>77</v>
      </c>
      <c r="K3528" t="s">
        <v>78</v>
      </c>
      <c r="L3528" t="s">
        <v>320</v>
      </c>
      <c r="M3528" t="s">
        <v>321</v>
      </c>
      <c r="N3528" t="s">
        <v>1194</v>
      </c>
      <c r="O3528" t="s">
        <v>82</v>
      </c>
      <c r="P3528" t="str">
        <f>"4170040759                    "</f>
        <v xml:space="preserve">4170040759                    </v>
      </c>
      <c r="Q3528">
        <v>0</v>
      </c>
      <c r="R3528">
        <v>0</v>
      </c>
      <c r="S3528">
        <v>0</v>
      </c>
      <c r="T3528">
        <v>0</v>
      </c>
      <c r="U3528">
        <v>0</v>
      </c>
      <c r="V3528">
        <v>0</v>
      </c>
      <c r="W3528">
        <v>0</v>
      </c>
      <c r="X3528">
        <v>0</v>
      </c>
      <c r="Y3528">
        <v>0</v>
      </c>
      <c r="Z3528">
        <v>0</v>
      </c>
      <c r="AA3528">
        <v>0</v>
      </c>
      <c r="AB3528">
        <v>0</v>
      </c>
      <c r="AC3528">
        <v>0</v>
      </c>
      <c r="AD3528">
        <v>0</v>
      </c>
      <c r="AE3528">
        <v>0</v>
      </c>
      <c r="AF3528">
        <v>0</v>
      </c>
      <c r="AG3528">
        <v>0</v>
      </c>
      <c r="AH3528">
        <v>0</v>
      </c>
      <c r="AI3528">
        <v>0</v>
      </c>
      <c r="AJ3528">
        <v>0</v>
      </c>
      <c r="AK3528">
        <v>0</v>
      </c>
      <c r="AL3528">
        <v>0</v>
      </c>
      <c r="AM3528">
        <v>0</v>
      </c>
      <c r="AN3528">
        <v>0</v>
      </c>
      <c r="AO3528">
        <v>0</v>
      </c>
      <c r="AP3528">
        <v>0</v>
      </c>
      <c r="AQ3528">
        <v>64.12</v>
      </c>
      <c r="AR3528">
        <v>0</v>
      </c>
      <c r="AS3528">
        <v>0</v>
      </c>
      <c r="AT3528">
        <v>0</v>
      </c>
      <c r="AU3528">
        <v>0</v>
      </c>
      <c r="AV3528">
        <v>0</v>
      </c>
      <c r="AW3528">
        <v>0</v>
      </c>
      <c r="AX3528">
        <v>0</v>
      </c>
      <c r="AY3528">
        <v>0</v>
      </c>
      <c r="AZ3528">
        <v>0</v>
      </c>
      <c r="BA3528">
        <v>0</v>
      </c>
      <c r="BB3528">
        <v>0</v>
      </c>
      <c r="BC3528">
        <v>0</v>
      </c>
      <c r="BD3528">
        <v>0</v>
      </c>
      <c r="BE3528">
        <v>0</v>
      </c>
      <c r="BF3528">
        <v>0</v>
      </c>
      <c r="BG3528">
        <v>0</v>
      </c>
      <c r="BH3528">
        <v>1</v>
      </c>
      <c r="BI3528">
        <v>6</v>
      </c>
      <c r="BJ3528">
        <v>3.4</v>
      </c>
      <c r="BK3528">
        <v>6</v>
      </c>
      <c r="BL3528">
        <v>209.84</v>
      </c>
      <c r="BM3528">
        <v>31.48</v>
      </c>
      <c r="BN3528">
        <v>241.32</v>
      </c>
      <c r="BO3528">
        <v>241.32</v>
      </c>
      <c r="BQ3528" t="s">
        <v>1195</v>
      </c>
      <c r="BR3528" t="s">
        <v>84</v>
      </c>
      <c r="BS3528" s="3">
        <v>45805</v>
      </c>
      <c r="BT3528" s="4">
        <v>0.43194444444444446</v>
      </c>
      <c r="BU3528" t="s">
        <v>3293</v>
      </c>
      <c r="BV3528" t="s">
        <v>86</v>
      </c>
      <c r="BY3528">
        <v>16965</v>
      </c>
      <c r="CA3528" t="s">
        <v>3162</v>
      </c>
      <c r="CC3528" t="s">
        <v>321</v>
      </c>
      <c r="CD3528">
        <v>4113</v>
      </c>
      <c r="CE3528" t="s">
        <v>96</v>
      </c>
      <c r="CF3528" s="3">
        <v>45805</v>
      </c>
      <c r="CI3528">
        <v>1</v>
      </c>
      <c r="CJ3528">
        <v>1</v>
      </c>
      <c r="CK3528">
        <v>21</v>
      </c>
      <c r="CL3528" t="s">
        <v>89</v>
      </c>
    </row>
    <row r="3529" spans="1:90" x14ac:dyDescent="0.3">
      <c r="A3529" t="s">
        <v>72</v>
      </c>
      <c r="B3529" t="s">
        <v>73</v>
      </c>
      <c r="C3529" t="s">
        <v>74</v>
      </c>
      <c r="E3529" t="str">
        <f>"080065594792"</f>
        <v>080065594792</v>
      </c>
      <c r="F3529" s="3">
        <v>45804</v>
      </c>
      <c r="G3529">
        <v>202602</v>
      </c>
      <c r="H3529" t="s">
        <v>75</v>
      </c>
      <c r="I3529" t="s">
        <v>76</v>
      </c>
      <c r="J3529" t="s">
        <v>77</v>
      </c>
      <c r="K3529" t="s">
        <v>78</v>
      </c>
      <c r="L3529" t="s">
        <v>117</v>
      </c>
      <c r="M3529" t="s">
        <v>118</v>
      </c>
      <c r="N3529" t="s">
        <v>3294</v>
      </c>
      <c r="O3529" t="s">
        <v>82</v>
      </c>
      <c r="P3529" t="str">
        <f>"4170040763                    "</f>
        <v xml:space="preserve">4170040763                    </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0</v>
      </c>
      <c r="AJ3529">
        <v>0</v>
      </c>
      <c r="AK3529">
        <v>0</v>
      </c>
      <c r="AL3529">
        <v>0</v>
      </c>
      <c r="AM3529">
        <v>0</v>
      </c>
      <c r="AN3529">
        <v>0</v>
      </c>
      <c r="AO3529">
        <v>0</v>
      </c>
      <c r="AP3529">
        <v>0</v>
      </c>
      <c r="AQ3529">
        <v>16.7</v>
      </c>
      <c r="AR3529">
        <v>0</v>
      </c>
      <c r="AS3529">
        <v>0</v>
      </c>
      <c r="AT3529">
        <v>0</v>
      </c>
      <c r="AU3529">
        <v>0</v>
      </c>
      <c r="AV3529">
        <v>0</v>
      </c>
      <c r="AW3529">
        <v>0</v>
      </c>
      <c r="AX3529">
        <v>0</v>
      </c>
      <c r="AY3529">
        <v>0</v>
      </c>
      <c r="AZ3529">
        <v>0</v>
      </c>
      <c r="BA3529">
        <v>0</v>
      </c>
      <c r="BB3529">
        <v>0</v>
      </c>
      <c r="BC3529">
        <v>0</v>
      </c>
      <c r="BD3529">
        <v>0</v>
      </c>
      <c r="BE3529">
        <v>0</v>
      </c>
      <c r="BF3529">
        <v>0</v>
      </c>
      <c r="BG3529">
        <v>0</v>
      </c>
      <c r="BH3529">
        <v>1</v>
      </c>
      <c r="BI3529">
        <v>1</v>
      </c>
      <c r="BJ3529">
        <v>1.8</v>
      </c>
      <c r="BK3529">
        <v>2</v>
      </c>
      <c r="BL3529">
        <v>54.66</v>
      </c>
      <c r="BM3529">
        <v>8.1999999999999993</v>
      </c>
      <c r="BN3529">
        <v>62.86</v>
      </c>
      <c r="BO3529">
        <v>62.86</v>
      </c>
      <c r="BQ3529" t="s">
        <v>3295</v>
      </c>
      <c r="BR3529" t="s">
        <v>84</v>
      </c>
      <c r="BS3529" s="3">
        <v>45805</v>
      </c>
      <c r="BT3529" s="4">
        <v>0.41041666666666665</v>
      </c>
      <c r="BU3529" t="s">
        <v>3296</v>
      </c>
      <c r="BV3529" t="s">
        <v>86</v>
      </c>
      <c r="BY3529">
        <v>9000</v>
      </c>
      <c r="CA3529" t="s">
        <v>2320</v>
      </c>
      <c r="CC3529" t="s">
        <v>118</v>
      </c>
      <c r="CD3529">
        <v>2007</v>
      </c>
      <c r="CE3529" t="s">
        <v>116</v>
      </c>
      <c r="CF3529" s="3">
        <v>45805</v>
      </c>
      <c r="CI3529">
        <v>1</v>
      </c>
      <c r="CJ3529">
        <v>1</v>
      </c>
      <c r="CK3529">
        <v>22</v>
      </c>
      <c r="CL3529" t="s">
        <v>89</v>
      </c>
    </row>
    <row r="3530" spans="1:90" x14ac:dyDescent="0.3">
      <c r="A3530" t="s">
        <v>72</v>
      </c>
      <c r="B3530" t="s">
        <v>73</v>
      </c>
      <c r="C3530" t="s">
        <v>74</v>
      </c>
      <c r="E3530" t="str">
        <f>"080065594827"</f>
        <v>080065594827</v>
      </c>
      <c r="F3530" s="3">
        <v>45804</v>
      </c>
      <c r="G3530">
        <v>202602</v>
      </c>
      <c r="H3530" t="s">
        <v>75</v>
      </c>
      <c r="I3530" t="s">
        <v>76</v>
      </c>
      <c r="J3530" t="s">
        <v>77</v>
      </c>
      <c r="K3530" t="s">
        <v>78</v>
      </c>
      <c r="L3530" t="s">
        <v>90</v>
      </c>
      <c r="M3530" t="s">
        <v>91</v>
      </c>
      <c r="N3530" t="s">
        <v>865</v>
      </c>
      <c r="O3530" t="s">
        <v>82</v>
      </c>
      <c r="P3530" t="str">
        <f>"4170040769                    "</f>
        <v xml:space="preserve">4170040769                    </v>
      </c>
      <c r="Q3530">
        <v>0</v>
      </c>
      <c r="R3530">
        <v>0</v>
      </c>
      <c r="S3530">
        <v>0</v>
      </c>
      <c r="T3530">
        <v>0</v>
      </c>
      <c r="U3530">
        <v>0</v>
      </c>
      <c r="V3530">
        <v>0</v>
      </c>
      <c r="W3530">
        <v>0</v>
      </c>
      <c r="X3530">
        <v>0</v>
      </c>
      <c r="Y3530">
        <v>0</v>
      </c>
      <c r="Z3530">
        <v>0</v>
      </c>
      <c r="AA3530">
        <v>0</v>
      </c>
      <c r="AB3530">
        <v>0</v>
      </c>
      <c r="AC3530">
        <v>0</v>
      </c>
      <c r="AD3530">
        <v>0</v>
      </c>
      <c r="AE3530">
        <v>0</v>
      </c>
      <c r="AF3530">
        <v>0</v>
      </c>
      <c r="AG3530">
        <v>0</v>
      </c>
      <c r="AH3530">
        <v>0</v>
      </c>
      <c r="AI3530">
        <v>0</v>
      </c>
      <c r="AJ3530">
        <v>0</v>
      </c>
      <c r="AK3530">
        <v>0</v>
      </c>
      <c r="AL3530">
        <v>0</v>
      </c>
      <c r="AM3530">
        <v>0</v>
      </c>
      <c r="AN3530">
        <v>0</v>
      </c>
      <c r="AO3530">
        <v>0</v>
      </c>
      <c r="AP3530">
        <v>0</v>
      </c>
      <c r="AQ3530">
        <v>21.38</v>
      </c>
      <c r="AR3530">
        <v>0</v>
      </c>
      <c r="AS3530">
        <v>0</v>
      </c>
      <c r="AT3530">
        <v>0</v>
      </c>
      <c r="AU3530">
        <v>0</v>
      </c>
      <c r="AV3530">
        <v>0</v>
      </c>
      <c r="AW3530">
        <v>0</v>
      </c>
      <c r="AX3530">
        <v>0</v>
      </c>
      <c r="AY3530">
        <v>0</v>
      </c>
      <c r="AZ3530">
        <v>0</v>
      </c>
      <c r="BA3530">
        <v>0</v>
      </c>
      <c r="BB3530">
        <v>0</v>
      </c>
      <c r="BC3530">
        <v>0</v>
      </c>
      <c r="BD3530">
        <v>0</v>
      </c>
      <c r="BE3530">
        <v>0</v>
      </c>
      <c r="BF3530">
        <v>0</v>
      </c>
      <c r="BG3530">
        <v>0</v>
      </c>
      <c r="BH3530">
        <v>1</v>
      </c>
      <c r="BI3530">
        <v>1</v>
      </c>
      <c r="BJ3530">
        <v>0.2</v>
      </c>
      <c r="BK3530">
        <v>1</v>
      </c>
      <c r="BL3530">
        <v>69.98</v>
      </c>
      <c r="BM3530">
        <v>10.5</v>
      </c>
      <c r="BN3530">
        <v>80.48</v>
      </c>
      <c r="BO3530">
        <v>80.48</v>
      </c>
      <c r="BQ3530" t="s">
        <v>866</v>
      </c>
      <c r="BR3530" t="s">
        <v>84</v>
      </c>
      <c r="BS3530" s="3">
        <v>45805</v>
      </c>
      <c r="BT3530" s="4">
        <v>0.43194444444444446</v>
      </c>
      <c r="BU3530" t="s">
        <v>2236</v>
      </c>
      <c r="BV3530" t="s">
        <v>86</v>
      </c>
      <c r="BY3530">
        <v>1200</v>
      </c>
      <c r="CA3530" t="s">
        <v>298</v>
      </c>
      <c r="CC3530" t="s">
        <v>91</v>
      </c>
      <c r="CD3530">
        <v>6001</v>
      </c>
      <c r="CE3530" t="s">
        <v>88</v>
      </c>
      <c r="CF3530" s="3">
        <v>45805</v>
      </c>
      <c r="CI3530">
        <v>1</v>
      </c>
      <c r="CJ3530">
        <v>1</v>
      </c>
      <c r="CK3530">
        <v>21</v>
      </c>
      <c r="CL3530" t="s">
        <v>89</v>
      </c>
    </row>
    <row r="3531" spans="1:90" x14ac:dyDescent="0.3">
      <c r="A3531" t="s">
        <v>72</v>
      </c>
      <c r="B3531" t="s">
        <v>73</v>
      </c>
      <c r="C3531" t="s">
        <v>74</v>
      </c>
      <c r="E3531" t="str">
        <f>"080065594850"</f>
        <v>080065594850</v>
      </c>
      <c r="F3531" s="3">
        <v>45804</v>
      </c>
      <c r="G3531">
        <v>202602</v>
      </c>
      <c r="H3531" t="s">
        <v>75</v>
      </c>
      <c r="I3531" t="s">
        <v>76</v>
      </c>
      <c r="J3531" t="s">
        <v>77</v>
      </c>
      <c r="K3531" t="s">
        <v>78</v>
      </c>
      <c r="L3531" t="s">
        <v>409</v>
      </c>
      <c r="M3531" t="s">
        <v>410</v>
      </c>
      <c r="N3531" t="s">
        <v>411</v>
      </c>
      <c r="O3531" t="s">
        <v>82</v>
      </c>
      <c r="P3531" t="str">
        <f>"4170040791                    "</f>
        <v xml:space="preserve">4170040791                    </v>
      </c>
      <c r="Q3531">
        <v>0</v>
      </c>
      <c r="R3531">
        <v>0</v>
      </c>
      <c r="S3531">
        <v>0</v>
      </c>
      <c r="T3531">
        <v>0</v>
      </c>
      <c r="U3531">
        <v>0</v>
      </c>
      <c r="V3531">
        <v>0</v>
      </c>
      <c r="W3531">
        <v>0</v>
      </c>
      <c r="X3531">
        <v>0</v>
      </c>
      <c r="Y3531">
        <v>0</v>
      </c>
      <c r="Z3531">
        <v>0</v>
      </c>
      <c r="AA3531">
        <v>0</v>
      </c>
      <c r="AB3531">
        <v>0</v>
      </c>
      <c r="AC3531">
        <v>0</v>
      </c>
      <c r="AD3531">
        <v>0</v>
      </c>
      <c r="AE3531">
        <v>0</v>
      </c>
      <c r="AF3531">
        <v>0</v>
      </c>
      <c r="AG3531">
        <v>0</v>
      </c>
      <c r="AH3531">
        <v>0</v>
      </c>
      <c r="AI3531">
        <v>0</v>
      </c>
      <c r="AJ3531">
        <v>0</v>
      </c>
      <c r="AK3531">
        <v>0</v>
      </c>
      <c r="AL3531">
        <v>0</v>
      </c>
      <c r="AM3531">
        <v>0</v>
      </c>
      <c r="AN3531">
        <v>0</v>
      </c>
      <c r="AO3531">
        <v>0</v>
      </c>
      <c r="AP3531">
        <v>0</v>
      </c>
      <c r="AQ3531">
        <v>41.43</v>
      </c>
      <c r="AR3531">
        <v>0</v>
      </c>
      <c r="AS3531">
        <v>0</v>
      </c>
      <c r="AT3531">
        <v>0</v>
      </c>
      <c r="AU3531">
        <v>0</v>
      </c>
      <c r="AV3531">
        <v>0</v>
      </c>
      <c r="AW3531">
        <v>0</v>
      </c>
      <c r="AX3531">
        <v>0</v>
      </c>
      <c r="AY3531">
        <v>0</v>
      </c>
      <c r="AZ3531">
        <v>0</v>
      </c>
      <c r="BA3531">
        <v>0</v>
      </c>
      <c r="BB3531">
        <v>0</v>
      </c>
      <c r="BC3531">
        <v>0</v>
      </c>
      <c r="BD3531">
        <v>0</v>
      </c>
      <c r="BE3531">
        <v>0</v>
      </c>
      <c r="BF3531">
        <v>0</v>
      </c>
      <c r="BG3531">
        <v>0</v>
      </c>
      <c r="BH3531">
        <v>1</v>
      </c>
      <c r="BI3531">
        <v>1</v>
      </c>
      <c r="BJ3531">
        <v>0.2</v>
      </c>
      <c r="BK3531">
        <v>1</v>
      </c>
      <c r="BL3531">
        <v>135.59</v>
      </c>
      <c r="BM3531">
        <v>20.34</v>
      </c>
      <c r="BN3531">
        <v>155.93</v>
      </c>
      <c r="BO3531">
        <v>155.93</v>
      </c>
      <c r="BQ3531" t="s">
        <v>412</v>
      </c>
      <c r="BR3531" t="s">
        <v>84</v>
      </c>
      <c r="BS3531" s="3">
        <v>45805</v>
      </c>
      <c r="BT3531" s="4">
        <v>0.48402777777777778</v>
      </c>
      <c r="BU3531" t="s">
        <v>413</v>
      </c>
      <c r="BV3531" t="s">
        <v>86</v>
      </c>
      <c r="BY3531">
        <v>1200</v>
      </c>
      <c r="CA3531" t="s">
        <v>414</v>
      </c>
      <c r="CC3531" t="s">
        <v>410</v>
      </c>
      <c r="CD3531">
        <v>6850</v>
      </c>
      <c r="CE3531" t="s">
        <v>88</v>
      </c>
      <c r="CF3531" s="3">
        <v>45806</v>
      </c>
      <c r="CI3531">
        <v>2</v>
      </c>
      <c r="CJ3531">
        <v>1</v>
      </c>
      <c r="CK3531">
        <v>23</v>
      </c>
      <c r="CL3531" t="s">
        <v>89</v>
      </c>
    </row>
    <row r="3532" spans="1:90" x14ac:dyDescent="0.3">
      <c r="A3532" t="s">
        <v>72</v>
      </c>
      <c r="B3532" t="s">
        <v>73</v>
      </c>
      <c r="C3532" t="s">
        <v>74</v>
      </c>
      <c r="E3532" t="str">
        <f>"080065595056"</f>
        <v>080065595056</v>
      </c>
      <c r="F3532" s="3">
        <v>45804</v>
      </c>
      <c r="G3532">
        <v>202602</v>
      </c>
      <c r="H3532" t="s">
        <v>75</v>
      </c>
      <c r="I3532" t="s">
        <v>76</v>
      </c>
      <c r="J3532" t="s">
        <v>77</v>
      </c>
      <c r="K3532" t="s">
        <v>78</v>
      </c>
      <c r="L3532" t="s">
        <v>97</v>
      </c>
      <c r="M3532" t="s">
        <v>98</v>
      </c>
      <c r="N3532" t="s">
        <v>2242</v>
      </c>
      <c r="O3532" t="s">
        <v>82</v>
      </c>
      <c r="P3532" t="str">
        <f>"4170040988                    "</f>
        <v xml:space="preserve">4170040988                    </v>
      </c>
      <c r="Q3532">
        <v>0</v>
      </c>
      <c r="R3532">
        <v>0</v>
      </c>
      <c r="S3532">
        <v>0</v>
      </c>
      <c r="T3532">
        <v>0</v>
      </c>
      <c r="U3532">
        <v>0</v>
      </c>
      <c r="V3532">
        <v>0</v>
      </c>
      <c r="W3532">
        <v>0</v>
      </c>
      <c r="X3532">
        <v>0</v>
      </c>
      <c r="Y3532">
        <v>0</v>
      </c>
      <c r="Z3532">
        <v>0</v>
      </c>
      <c r="AA3532">
        <v>0</v>
      </c>
      <c r="AB3532">
        <v>0</v>
      </c>
      <c r="AC3532">
        <v>0</v>
      </c>
      <c r="AD3532">
        <v>0</v>
      </c>
      <c r="AE3532">
        <v>0</v>
      </c>
      <c r="AF3532">
        <v>0</v>
      </c>
      <c r="AG3532">
        <v>0</v>
      </c>
      <c r="AH3532">
        <v>0</v>
      </c>
      <c r="AI3532">
        <v>0</v>
      </c>
      <c r="AJ3532">
        <v>0</v>
      </c>
      <c r="AK3532">
        <v>0</v>
      </c>
      <c r="AL3532">
        <v>0</v>
      </c>
      <c r="AM3532">
        <v>0</v>
      </c>
      <c r="AN3532">
        <v>0</v>
      </c>
      <c r="AO3532">
        <v>0</v>
      </c>
      <c r="AP3532">
        <v>0</v>
      </c>
      <c r="AQ3532">
        <v>16.7</v>
      </c>
      <c r="AR3532">
        <v>0</v>
      </c>
      <c r="AS3532">
        <v>0</v>
      </c>
      <c r="AT3532">
        <v>0</v>
      </c>
      <c r="AU3532">
        <v>0</v>
      </c>
      <c r="AV3532">
        <v>0</v>
      </c>
      <c r="AW3532">
        <v>0</v>
      </c>
      <c r="AX3532">
        <v>0</v>
      </c>
      <c r="AY3532">
        <v>0</v>
      </c>
      <c r="AZ3532">
        <v>0</v>
      </c>
      <c r="BA3532">
        <v>0</v>
      </c>
      <c r="BB3532">
        <v>0</v>
      </c>
      <c r="BC3532">
        <v>0</v>
      </c>
      <c r="BD3532">
        <v>0</v>
      </c>
      <c r="BE3532">
        <v>0</v>
      </c>
      <c r="BF3532">
        <v>0</v>
      </c>
      <c r="BG3532">
        <v>0</v>
      </c>
      <c r="BH3532">
        <v>1</v>
      </c>
      <c r="BI3532">
        <v>2</v>
      </c>
      <c r="BJ3532">
        <v>1.4</v>
      </c>
      <c r="BK3532">
        <v>2</v>
      </c>
      <c r="BL3532">
        <v>54.66</v>
      </c>
      <c r="BM3532">
        <v>8.1999999999999993</v>
      </c>
      <c r="BN3532">
        <v>62.86</v>
      </c>
      <c r="BO3532">
        <v>62.86</v>
      </c>
      <c r="BQ3532" t="s">
        <v>2243</v>
      </c>
      <c r="BR3532" t="s">
        <v>84</v>
      </c>
      <c r="BS3532" s="3">
        <v>45805</v>
      </c>
      <c r="BT3532" s="4">
        <v>0.31874999999999998</v>
      </c>
      <c r="BU3532" t="s">
        <v>2244</v>
      </c>
      <c r="BV3532" t="s">
        <v>86</v>
      </c>
      <c r="BY3532">
        <v>7000</v>
      </c>
      <c r="CA3532" t="s">
        <v>279</v>
      </c>
      <c r="CC3532" t="s">
        <v>98</v>
      </c>
      <c r="CD3532">
        <v>1459</v>
      </c>
      <c r="CE3532" t="s">
        <v>176</v>
      </c>
      <c r="CF3532" s="3">
        <v>45806</v>
      </c>
      <c r="CI3532">
        <v>1</v>
      </c>
      <c r="CJ3532">
        <v>1</v>
      </c>
      <c r="CK3532">
        <v>22</v>
      </c>
      <c r="CL3532" t="s">
        <v>89</v>
      </c>
    </row>
    <row r="3533" spans="1:90" x14ac:dyDescent="0.3">
      <c r="A3533" t="s">
        <v>72</v>
      </c>
      <c r="B3533" t="s">
        <v>73</v>
      </c>
      <c r="C3533" t="s">
        <v>74</v>
      </c>
      <c r="E3533" t="str">
        <f>"080065595116"</f>
        <v>080065595116</v>
      </c>
      <c r="F3533" s="3">
        <v>45804</v>
      </c>
      <c r="G3533">
        <v>202602</v>
      </c>
      <c r="H3533" t="s">
        <v>75</v>
      </c>
      <c r="I3533" t="s">
        <v>76</v>
      </c>
      <c r="J3533" t="s">
        <v>77</v>
      </c>
      <c r="K3533" t="s">
        <v>78</v>
      </c>
      <c r="L3533" t="s">
        <v>75</v>
      </c>
      <c r="M3533" t="s">
        <v>76</v>
      </c>
      <c r="N3533" t="s">
        <v>390</v>
      </c>
      <c r="O3533" t="s">
        <v>300</v>
      </c>
      <c r="P3533" t="str">
        <f>"4170040932                    "</f>
        <v xml:space="preserve">4170040932                    </v>
      </c>
      <c r="Q3533">
        <v>0</v>
      </c>
      <c r="R3533">
        <v>0</v>
      </c>
      <c r="S3533">
        <v>0</v>
      </c>
      <c r="T3533">
        <v>0</v>
      </c>
      <c r="U3533">
        <v>0</v>
      </c>
      <c r="V3533">
        <v>0</v>
      </c>
      <c r="W3533">
        <v>0</v>
      </c>
      <c r="X3533">
        <v>0</v>
      </c>
      <c r="Y3533">
        <v>0</v>
      </c>
      <c r="Z3533">
        <v>0</v>
      </c>
      <c r="AA3533">
        <v>0</v>
      </c>
      <c r="AB3533">
        <v>0</v>
      </c>
      <c r="AC3533">
        <v>0</v>
      </c>
      <c r="AD3533">
        <v>0</v>
      </c>
      <c r="AE3533">
        <v>0</v>
      </c>
      <c r="AF3533">
        <v>0</v>
      </c>
      <c r="AG3533">
        <v>0</v>
      </c>
      <c r="AH3533">
        <v>0</v>
      </c>
      <c r="AI3533">
        <v>0</v>
      </c>
      <c r="AJ3533">
        <v>0</v>
      </c>
      <c r="AK3533">
        <v>0</v>
      </c>
      <c r="AL3533">
        <v>0</v>
      </c>
      <c r="AM3533">
        <v>0</v>
      </c>
      <c r="AN3533">
        <v>0</v>
      </c>
      <c r="AO3533">
        <v>0</v>
      </c>
      <c r="AP3533">
        <v>0</v>
      </c>
      <c r="AQ3533">
        <v>31.91</v>
      </c>
      <c r="AR3533">
        <v>0</v>
      </c>
      <c r="AS3533">
        <v>0</v>
      </c>
      <c r="AT3533">
        <v>0</v>
      </c>
      <c r="AU3533">
        <v>0</v>
      </c>
      <c r="AV3533">
        <v>0</v>
      </c>
      <c r="AW3533">
        <v>0</v>
      </c>
      <c r="AX3533">
        <v>0</v>
      </c>
      <c r="AY3533">
        <v>0</v>
      </c>
      <c r="AZ3533">
        <v>0</v>
      </c>
      <c r="BA3533">
        <v>0</v>
      </c>
      <c r="BB3533">
        <v>0</v>
      </c>
      <c r="BC3533">
        <v>0</v>
      </c>
      <c r="BD3533">
        <v>0</v>
      </c>
      <c r="BE3533">
        <v>0</v>
      </c>
      <c r="BF3533">
        <v>0</v>
      </c>
      <c r="BG3533">
        <v>0</v>
      </c>
      <c r="BH3533">
        <v>1</v>
      </c>
      <c r="BI3533">
        <v>11</v>
      </c>
      <c r="BJ3533">
        <v>14.6</v>
      </c>
      <c r="BK3533">
        <v>15</v>
      </c>
      <c r="BL3533">
        <v>110</v>
      </c>
      <c r="BM3533">
        <v>16.5</v>
      </c>
      <c r="BN3533">
        <v>126.5</v>
      </c>
      <c r="BO3533">
        <v>126.5</v>
      </c>
      <c r="BQ3533" t="s">
        <v>391</v>
      </c>
      <c r="BR3533" t="s">
        <v>84</v>
      </c>
      <c r="BS3533" s="3">
        <v>45805</v>
      </c>
      <c r="BT3533" s="4">
        <v>0.34027777777777779</v>
      </c>
      <c r="BU3533" t="s">
        <v>1060</v>
      </c>
      <c r="BV3533" t="s">
        <v>86</v>
      </c>
      <c r="BY3533">
        <v>72800</v>
      </c>
      <c r="CA3533" t="s">
        <v>115</v>
      </c>
      <c r="CC3533" t="s">
        <v>76</v>
      </c>
      <c r="CD3533">
        <v>1600</v>
      </c>
      <c r="CE3533" t="s">
        <v>176</v>
      </c>
      <c r="CF3533" s="3">
        <v>45805</v>
      </c>
      <c r="CI3533">
        <v>1</v>
      </c>
      <c r="CJ3533">
        <v>1</v>
      </c>
      <c r="CK3533">
        <v>42</v>
      </c>
      <c r="CL3533" t="s">
        <v>89</v>
      </c>
    </row>
    <row r="3534" spans="1:90" x14ac:dyDescent="0.3">
      <c r="A3534" t="s">
        <v>72</v>
      </c>
      <c r="B3534" t="s">
        <v>73</v>
      </c>
      <c r="C3534" t="s">
        <v>74</v>
      </c>
      <c r="E3534" t="str">
        <f>"080065595280"</f>
        <v>080065595280</v>
      </c>
      <c r="F3534" s="3">
        <v>45804</v>
      </c>
      <c r="G3534">
        <v>202602</v>
      </c>
      <c r="H3534" t="s">
        <v>75</v>
      </c>
      <c r="I3534" t="s">
        <v>76</v>
      </c>
      <c r="J3534" t="s">
        <v>77</v>
      </c>
      <c r="K3534" t="s">
        <v>78</v>
      </c>
      <c r="L3534" t="s">
        <v>222</v>
      </c>
      <c r="M3534" t="s">
        <v>223</v>
      </c>
      <c r="N3534" t="s">
        <v>224</v>
      </c>
      <c r="O3534" t="s">
        <v>82</v>
      </c>
      <c r="P3534" t="str">
        <f>"4170040881                    "</f>
        <v xml:space="preserve">4170040881                    </v>
      </c>
      <c r="Q3534">
        <v>0</v>
      </c>
      <c r="R3534">
        <v>0</v>
      </c>
      <c r="S3534">
        <v>0</v>
      </c>
      <c r="T3534">
        <v>0</v>
      </c>
      <c r="U3534">
        <v>0</v>
      </c>
      <c r="V3534">
        <v>0</v>
      </c>
      <c r="W3534">
        <v>0</v>
      </c>
      <c r="X3534">
        <v>0</v>
      </c>
      <c r="Y3534">
        <v>0</v>
      </c>
      <c r="Z3534">
        <v>0</v>
      </c>
      <c r="AA3534">
        <v>0</v>
      </c>
      <c r="AB3534">
        <v>0</v>
      </c>
      <c r="AC3534">
        <v>0</v>
      </c>
      <c r="AD3534">
        <v>0</v>
      </c>
      <c r="AE3534">
        <v>0</v>
      </c>
      <c r="AF3534">
        <v>0</v>
      </c>
      <c r="AG3534">
        <v>0</v>
      </c>
      <c r="AH3534">
        <v>0</v>
      </c>
      <c r="AI3534">
        <v>0</v>
      </c>
      <c r="AJ3534">
        <v>0</v>
      </c>
      <c r="AK3534">
        <v>0</v>
      </c>
      <c r="AL3534">
        <v>0</v>
      </c>
      <c r="AM3534">
        <v>0</v>
      </c>
      <c r="AN3534">
        <v>0</v>
      </c>
      <c r="AO3534">
        <v>0</v>
      </c>
      <c r="AP3534">
        <v>0</v>
      </c>
      <c r="AQ3534">
        <v>30.07</v>
      </c>
      <c r="AR3534">
        <v>0</v>
      </c>
      <c r="AS3534">
        <v>0</v>
      </c>
      <c r="AT3534">
        <v>0</v>
      </c>
      <c r="AU3534">
        <v>0</v>
      </c>
      <c r="AV3534">
        <v>0</v>
      </c>
      <c r="AW3534">
        <v>0</v>
      </c>
      <c r="AX3534">
        <v>0</v>
      </c>
      <c r="AY3534">
        <v>0</v>
      </c>
      <c r="AZ3534">
        <v>0</v>
      </c>
      <c r="BA3534">
        <v>0</v>
      </c>
      <c r="BB3534">
        <v>0</v>
      </c>
      <c r="BC3534">
        <v>0</v>
      </c>
      <c r="BD3534">
        <v>0</v>
      </c>
      <c r="BE3534">
        <v>0</v>
      </c>
      <c r="BF3534">
        <v>0</v>
      </c>
      <c r="BG3534">
        <v>0</v>
      </c>
      <c r="BH3534">
        <v>1</v>
      </c>
      <c r="BI3534">
        <v>1</v>
      </c>
      <c r="BJ3534">
        <v>0.2</v>
      </c>
      <c r="BK3534">
        <v>1</v>
      </c>
      <c r="BL3534">
        <v>98.42</v>
      </c>
      <c r="BM3534">
        <v>14.76</v>
      </c>
      <c r="BN3534">
        <v>113.18</v>
      </c>
      <c r="BO3534">
        <v>113.18</v>
      </c>
      <c r="BQ3534" t="s">
        <v>225</v>
      </c>
      <c r="BR3534" t="s">
        <v>84</v>
      </c>
      <c r="BS3534" s="3">
        <v>45805</v>
      </c>
      <c r="BT3534" s="4">
        <v>0.45763888888888887</v>
      </c>
      <c r="BU3534" t="s">
        <v>3297</v>
      </c>
      <c r="BV3534" t="s">
        <v>86</v>
      </c>
      <c r="BY3534">
        <v>1200</v>
      </c>
      <c r="CA3534" t="s">
        <v>3298</v>
      </c>
      <c r="CC3534" t="s">
        <v>223</v>
      </c>
      <c r="CD3534">
        <v>1754</v>
      </c>
      <c r="CE3534" t="s">
        <v>88</v>
      </c>
      <c r="CF3534" s="3">
        <v>45806</v>
      </c>
      <c r="CI3534">
        <v>1</v>
      </c>
      <c r="CJ3534">
        <v>1</v>
      </c>
      <c r="CK3534">
        <v>24</v>
      </c>
      <c r="CL3534" t="s">
        <v>89</v>
      </c>
    </row>
    <row r="3535" spans="1:90" x14ac:dyDescent="0.3">
      <c r="A3535" t="s">
        <v>72</v>
      </c>
      <c r="B3535" t="s">
        <v>73</v>
      </c>
      <c r="C3535" t="s">
        <v>74</v>
      </c>
      <c r="E3535" t="str">
        <f>"080065595281"</f>
        <v>080065595281</v>
      </c>
      <c r="F3535" s="3">
        <v>45804</v>
      </c>
      <c r="G3535">
        <v>202602</v>
      </c>
      <c r="H3535" t="s">
        <v>75</v>
      </c>
      <c r="I3535" t="s">
        <v>76</v>
      </c>
      <c r="J3535" t="s">
        <v>77</v>
      </c>
      <c r="K3535" t="s">
        <v>78</v>
      </c>
      <c r="L3535" t="s">
        <v>259</v>
      </c>
      <c r="M3535" t="s">
        <v>260</v>
      </c>
      <c r="N3535" t="s">
        <v>2453</v>
      </c>
      <c r="O3535" t="s">
        <v>300</v>
      </c>
      <c r="P3535" t="str">
        <f>"4170040780                    "</f>
        <v xml:space="preserve">4170040780                    </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0</v>
      </c>
      <c r="AJ3535">
        <v>0</v>
      </c>
      <c r="AK3535">
        <v>0</v>
      </c>
      <c r="AL3535">
        <v>0</v>
      </c>
      <c r="AM3535">
        <v>0</v>
      </c>
      <c r="AN3535">
        <v>0</v>
      </c>
      <c r="AO3535">
        <v>0</v>
      </c>
      <c r="AP3535">
        <v>0</v>
      </c>
      <c r="AQ3535">
        <v>58.32</v>
      </c>
      <c r="AR3535">
        <v>0</v>
      </c>
      <c r="AS3535">
        <v>0</v>
      </c>
      <c r="AT3535">
        <v>0</v>
      </c>
      <c r="AU3535">
        <v>0</v>
      </c>
      <c r="AV3535">
        <v>0</v>
      </c>
      <c r="AW3535">
        <v>16.739999999999998</v>
      </c>
      <c r="AX3535">
        <v>0</v>
      </c>
      <c r="AY3535">
        <v>0</v>
      </c>
      <c r="AZ3535">
        <v>0</v>
      </c>
      <c r="BA3535">
        <v>0</v>
      </c>
      <c r="BB3535">
        <v>0</v>
      </c>
      <c r="BC3535">
        <v>0</v>
      </c>
      <c r="BD3535">
        <v>0</v>
      </c>
      <c r="BE3535">
        <v>0</v>
      </c>
      <c r="BF3535">
        <v>0</v>
      </c>
      <c r="BG3535">
        <v>0</v>
      </c>
      <c r="BH3535">
        <v>1</v>
      </c>
      <c r="BI3535">
        <v>10</v>
      </c>
      <c r="BJ3535">
        <v>6.7</v>
      </c>
      <c r="BK3535">
        <v>10</v>
      </c>
      <c r="BL3535">
        <v>213.18</v>
      </c>
      <c r="BM3535">
        <v>31.98</v>
      </c>
      <c r="BN3535">
        <v>245.16</v>
      </c>
      <c r="BO3535">
        <v>245.16</v>
      </c>
      <c r="BQ3535" t="s">
        <v>2454</v>
      </c>
      <c r="BR3535" t="s">
        <v>84</v>
      </c>
      <c r="BS3535" s="3">
        <v>45805</v>
      </c>
      <c r="BT3535" s="4">
        <v>0.76111111111111107</v>
      </c>
      <c r="BU3535" t="s">
        <v>3299</v>
      </c>
      <c r="BV3535" t="s">
        <v>86</v>
      </c>
      <c r="BY3535">
        <v>33345</v>
      </c>
      <c r="BZ3535" t="s">
        <v>30</v>
      </c>
      <c r="CA3535" t="s">
        <v>3300</v>
      </c>
      <c r="CC3535" t="s">
        <v>260</v>
      </c>
      <c r="CD3535" s="5" t="s">
        <v>2456</v>
      </c>
      <c r="CE3535" t="s">
        <v>96</v>
      </c>
      <c r="CF3535" s="3">
        <v>45805</v>
      </c>
      <c r="CI3535">
        <v>1</v>
      </c>
      <c r="CJ3535">
        <v>1</v>
      </c>
      <c r="CK3535">
        <v>43</v>
      </c>
      <c r="CL3535" t="s">
        <v>89</v>
      </c>
    </row>
    <row r="3536" spans="1:90" x14ac:dyDescent="0.3">
      <c r="A3536" t="s">
        <v>72</v>
      </c>
      <c r="B3536" t="s">
        <v>73</v>
      </c>
      <c r="C3536" t="s">
        <v>74</v>
      </c>
      <c r="E3536" t="str">
        <f>"080065595328"</f>
        <v>080065595328</v>
      </c>
      <c r="F3536" s="3">
        <v>45804</v>
      </c>
      <c r="G3536">
        <v>202602</v>
      </c>
      <c r="H3536" t="s">
        <v>75</v>
      </c>
      <c r="I3536" t="s">
        <v>76</v>
      </c>
      <c r="J3536" t="s">
        <v>77</v>
      </c>
      <c r="K3536" t="s">
        <v>78</v>
      </c>
      <c r="L3536" t="s">
        <v>136</v>
      </c>
      <c r="M3536" t="s">
        <v>137</v>
      </c>
      <c r="N3536" t="s">
        <v>2919</v>
      </c>
      <c r="O3536" t="s">
        <v>82</v>
      </c>
      <c r="P3536" t="str">
        <f>"4170040990                    "</f>
        <v xml:space="preserve">4170040990                    </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0</v>
      </c>
      <c r="AJ3536">
        <v>0</v>
      </c>
      <c r="AK3536">
        <v>0</v>
      </c>
      <c r="AL3536">
        <v>0</v>
      </c>
      <c r="AM3536">
        <v>0</v>
      </c>
      <c r="AN3536">
        <v>0</v>
      </c>
      <c r="AO3536">
        <v>0</v>
      </c>
      <c r="AP3536">
        <v>0</v>
      </c>
      <c r="AQ3536">
        <v>21.38</v>
      </c>
      <c r="AR3536">
        <v>0</v>
      </c>
      <c r="AS3536">
        <v>0</v>
      </c>
      <c r="AT3536">
        <v>0</v>
      </c>
      <c r="AU3536">
        <v>0</v>
      </c>
      <c r="AV3536">
        <v>0</v>
      </c>
      <c r="AW3536">
        <v>0</v>
      </c>
      <c r="AX3536">
        <v>0</v>
      </c>
      <c r="AY3536">
        <v>0</v>
      </c>
      <c r="AZ3536">
        <v>0</v>
      </c>
      <c r="BA3536">
        <v>0</v>
      </c>
      <c r="BB3536">
        <v>0</v>
      </c>
      <c r="BC3536">
        <v>0</v>
      </c>
      <c r="BD3536">
        <v>0</v>
      </c>
      <c r="BE3536">
        <v>0</v>
      </c>
      <c r="BF3536">
        <v>0</v>
      </c>
      <c r="BG3536">
        <v>0</v>
      </c>
      <c r="BH3536">
        <v>1</v>
      </c>
      <c r="BI3536">
        <v>1</v>
      </c>
      <c r="BJ3536">
        <v>0.2</v>
      </c>
      <c r="BK3536">
        <v>1</v>
      </c>
      <c r="BL3536">
        <v>69.98</v>
      </c>
      <c r="BM3536">
        <v>10.5</v>
      </c>
      <c r="BN3536">
        <v>80.48</v>
      </c>
      <c r="BO3536">
        <v>80.48</v>
      </c>
      <c r="BQ3536" t="s">
        <v>2920</v>
      </c>
      <c r="BR3536" t="s">
        <v>84</v>
      </c>
      <c r="BS3536" s="3">
        <v>45805</v>
      </c>
      <c r="BT3536" s="4">
        <v>0.39930555555555558</v>
      </c>
      <c r="BU3536" t="s">
        <v>2881</v>
      </c>
      <c r="BV3536" t="s">
        <v>86</v>
      </c>
      <c r="BY3536">
        <v>1200</v>
      </c>
      <c r="CA3536" t="s">
        <v>141</v>
      </c>
      <c r="CC3536" t="s">
        <v>137</v>
      </c>
      <c r="CD3536" s="5" t="s">
        <v>142</v>
      </c>
      <c r="CE3536" t="s">
        <v>88</v>
      </c>
      <c r="CF3536" s="3">
        <v>45805</v>
      </c>
      <c r="CI3536">
        <v>1</v>
      </c>
      <c r="CJ3536">
        <v>1</v>
      </c>
      <c r="CK3536">
        <v>21</v>
      </c>
      <c r="CL3536" t="s">
        <v>89</v>
      </c>
    </row>
    <row r="3537" spans="1:90" x14ac:dyDescent="0.3">
      <c r="A3537" t="s">
        <v>72</v>
      </c>
      <c r="B3537" t="s">
        <v>73</v>
      </c>
      <c r="C3537" t="s">
        <v>74</v>
      </c>
      <c r="E3537" t="str">
        <f>"080065595414"</f>
        <v>080065595414</v>
      </c>
      <c r="F3537" s="3">
        <v>45804</v>
      </c>
      <c r="G3537">
        <v>202602</v>
      </c>
      <c r="H3537" t="s">
        <v>75</v>
      </c>
      <c r="I3537" t="s">
        <v>76</v>
      </c>
      <c r="J3537" t="s">
        <v>77</v>
      </c>
      <c r="K3537" t="s">
        <v>78</v>
      </c>
      <c r="L3537" t="s">
        <v>97</v>
      </c>
      <c r="M3537" t="s">
        <v>98</v>
      </c>
      <c r="N3537" t="s">
        <v>999</v>
      </c>
      <c r="O3537" t="s">
        <v>82</v>
      </c>
      <c r="P3537" t="str">
        <f>"4170040799                    "</f>
        <v xml:space="preserve">4170040799                    </v>
      </c>
      <c r="Q3537">
        <v>0</v>
      </c>
      <c r="R3537">
        <v>0</v>
      </c>
      <c r="S3537">
        <v>0</v>
      </c>
      <c r="T3537">
        <v>0</v>
      </c>
      <c r="U3537">
        <v>0</v>
      </c>
      <c r="V3537">
        <v>0</v>
      </c>
      <c r="W3537">
        <v>0</v>
      </c>
      <c r="X3537">
        <v>0</v>
      </c>
      <c r="Y3537">
        <v>0</v>
      </c>
      <c r="Z3537">
        <v>0</v>
      </c>
      <c r="AA3537">
        <v>0</v>
      </c>
      <c r="AB3537">
        <v>0</v>
      </c>
      <c r="AC3537">
        <v>0</v>
      </c>
      <c r="AD3537">
        <v>0</v>
      </c>
      <c r="AE3537">
        <v>0</v>
      </c>
      <c r="AF3537">
        <v>0</v>
      </c>
      <c r="AG3537">
        <v>0</v>
      </c>
      <c r="AH3537">
        <v>0</v>
      </c>
      <c r="AI3537">
        <v>0</v>
      </c>
      <c r="AJ3537">
        <v>0</v>
      </c>
      <c r="AK3537">
        <v>0</v>
      </c>
      <c r="AL3537">
        <v>0</v>
      </c>
      <c r="AM3537">
        <v>0</v>
      </c>
      <c r="AN3537">
        <v>0</v>
      </c>
      <c r="AO3537">
        <v>0</v>
      </c>
      <c r="AP3537">
        <v>0</v>
      </c>
      <c r="AQ3537">
        <v>16.7</v>
      </c>
      <c r="AR3537">
        <v>0</v>
      </c>
      <c r="AS3537">
        <v>0</v>
      </c>
      <c r="AT3537">
        <v>0</v>
      </c>
      <c r="AU3537">
        <v>0</v>
      </c>
      <c r="AV3537">
        <v>0</v>
      </c>
      <c r="AW3537">
        <v>0</v>
      </c>
      <c r="AX3537">
        <v>0</v>
      </c>
      <c r="AY3537">
        <v>0</v>
      </c>
      <c r="AZ3537">
        <v>0</v>
      </c>
      <c r="BA3537">
        <v>0</v>
      </c>
      <c r="BB3537">
        <v>0</v>
      </c>
      <c r="BC3537">
        <v>0</v>
      </c>
      <c r="BD3537">
        <v>0</v>
      </c>
      <c r="BE3537">
        <v>0</v>
      </c>
      <c r="BF3537">
        <v>0</v>
      </c>
      <c r="BG3537">
        <v>0</v>
      </c>
      <c r="BH3537">
        <v>1</v>
      </c>
      <c r="BI3537">
        <v>1</v>
      </c>
      <c r="BJ3537">
        <v>0.2</v>
      </c>
      <c r="BK3537">
        <v>1</v>
      </c>
      <c r="BL3537">
        <v>54.66</v>
      </c>
      <c r="BM3537">
        <v>8.1999999999999993</v>
      </c>
      <c r="BN3537">
        <v>62.86</v>
      </c>
      <c r="BO3537">
        <v>62.86</v>
      </c>
      <c r="BQ3537" t="s">
        <v>1000</v>
      </c>
      <c r="BR3537" t="s">
        <v>84</v>
      </c>
      <c r="BS3537" s="3">
        <v>45805</v>
      </c>
      <c r="BT3537" s="4">
        <v>0.3611111111111111</v>
      </c>
      <c r="BU3537" t="s">
        <v>1001</v>
      </c>
      <c r="BV3537" t="s">
        <v>86</v>
      </c>
      <c r="BY3537">
        <v>1200</v>
      </c>
      <c r="CA3537" t="s">
        <v>279</v>
      </c>
      <c r="CC3537" t="s">
        <v>98</v>
      </c>
      <c r="CD3537">
        <v>1460</v>
      </c>
      <c r="CE3537" t="s">
        <v>88</v>
      </c>
      <c r="CF3537" s="3">
        <v>45806</v>
      </c>
      <c r="CI3537">
        <v>1</v>
      </c>
      <c r="CJ3537">
        <v>1</v>
      </c>
      <c r="CK3537">
        <v>22</v>
      </c>
      <c r="CL3537" t="s">
        <v>89</v>
      </c>
    </row>
    <row r="3538" spans="1:90" x14ac:dyDescent="0.3">
      <c r="A3538" t="s">
        <v>72</v>
      </c>
      <c r="B3538" t="s">
        <v>73</v>
      </c>
      <c r="C3538" t="s">
        <v>74</v>
      </c>
      <c r="E3538" t="str">
        <f>"080065595682"</f>
        <v>080065595682</v>
      </c>
      <c r="F3538" s="3">
        <v>45804</v>
      </c>
      <c r="G3538">
        <v>202602</v>
      </c>
      <c r="H3538" t="s">
        <v>75</v>
      </c>
      <c r="I3538" t="s">
        <v>76</v>
      </c>
      <c r="J3538" t="s">
        <v>77</v>
      </c>
      <c r="K3538" t="s">
        <v>78</v>
      </c>
      <c r="L3538" t="s">
        <v>479</v>
      </c>
      <c r="M3538" t="s">
        <v>480</v>
      </c>
      <c r="N3538" t="s">
        <v>1953</v>
      </c>
      <c r="O3538" t="s">
        <v>82</v>
      </c>
      <c r="P3538" t="str">
        <f>"4170040860                    "</f>
        <v xml:space="preserve">4170040860                    </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c r="AJ3538">
        <v>0</v>
      </c>
      <c r="AK3538">
        <v>0</v>
      </c>
      <c r="AL3538">
        <v>0</v>
      </c>
      <c r="AM3538">
        <v>0</v>
      </c>
      <c r="AN3538">
        <v>0</v>
      </c>
      <c r="AO3538">
        <v>0</v>
      </c>
      <c r="AP3538">
        <v>0</v>
      </c>
      <c r="AQ3538">
        <v>16.7</v>
      </c>
      <c r="AR3538">
        <v>0</v>
      </c>
      <c r="AS3538">
        <v>0</v>
      </c>
      <c r="AT3538">
        <v>0</v>
      </c>
      <c r="AU3538">
        <v>0</v>
      </c>
      <c r="AV3538">
        <v>0</v>
      </c>
      <c r="AW3538">
        <v>0</v>
      </c>
      <c r="AX3538">
        <v>0</v>
      </c>
      <c r="AY3538">
        <v>0</v>
      </c>
      <c r="AZ3538">
        <v>0</v>
      </c>
      <c r="BA3538">
        <v>0</v>
      </c>
      <c r="BB3538">
        <v>0</v>
      </c>
      <c r="BC3538">
        <v>0</v>
      </c>
      <c r="BD3538">
        <v>0</v>
      </c>
      <c r="BE3538">
        <v>0</v>
      </c>
      <c r="BF3538">
        <v>0</v>
      </c>
      <c r="BG3538">
        <v>0</v>
      </c>
      <c r="BH3538">
        <v>1</v>
      </c>
      <c r="BI3538">
        <v>1</v>
      </c>
      <c r="BJ3538">
        <v>3.4</v>
      </c>
      <c r="BK3538">
        <v>4</v>
      </c>
      <c r="BL3538">
        <v>54.66</v>
      </c>
      <c r="BM3538">
        <v>8.1999999999999993</v>
      </c>
      <c r="BN3538">
        <v>62.86</v>
      </c>
      <c r="BO3538">
        <v>62.86</v>
      </c>
      <c r="BQ3538" t="s">
        <v>1954</v>
      </c>
      <c r="BR3538" t="s">
        <v>84</v>
      </c>
      <c r="BS3538" s="3">
        <v>45805</v>
      </c>
      <c r="BT3538" s="4">
        <v>0.39652777777777776</v>
      </c>
      <c r="BU3538" t="s">
        <v>3301</v>
      </c>
      <c r="BV3538" t="s">
        <v>86</v>
      </c>
      <c r="BY3538">
        <v>16965</v>
      </c>
      <c r="CA3538" t="s">
        <v>796</v>
      </c>
      <c r="CC3538" t="s">
        <v>480</v>
      </c>
      <c r="CD3538">
        <v>2163</v>
      </c>
      <c r="CE3538" t="s">
        <v>96</v>
      </c>
      <c r="CF3538" s="3">
        <v>45805</v>
      </c>
      <c r="CI3538">
        <v>1</v>
      </c>
      <c r="CJ3538">
        <v>1</v>
      </c>
      <c r="CK3538">
        <v>22</v>
      </c>
      <c r="CL3538" t="s">
        <v>89</v>
      </c>
    </row>
    <row r="3539" spans="1:90" x14ac:dyDescent="0.3">
      <c r="A3539" t="s">
        <v>72</v>
      </c>
      <c r="B3539" t="s">
        <v>73</v>
      </c>
      <c r="C3539" t="s">
        <v>74</v>
      </c>
      <c r="E3539" t="str">
        <f>"080065595694"</f>
        <v>080065595694</v>
      </c>
      <c r="F3539" s="3">
        <v>45804</v>
      </c>
      <c r="G3539">
        <v>202602</v>
      </c>
      <c r="H3539" t="s">
        <v>75</v>
      </c>
      <c r="I3539" t="s">
        <v>76</v>
      </c>
      <c r="J3539" t="s">
        <v>77</v>
      </c>
      <c r="K3539" t="s">
        <v>78</v>
      </c>
      <c r="L3539" t="s">
        <v>130</v>
      </c>
      <c r="M3539" t="s">
        <v>131</v>
      </c>
      <c r="N3539" t="s">
        <v>343</v>
      </c>
      <c r="O3539" t="s">
        <v>82</v>
      </c>
      <c r="P3539" t="str">
        <f>"4170040894                    "</f>
        <v xml:space="preserve">4170040894                    </v>
      </c>
      <c r="Q3539">
        <v>0</v>
      </c>
      <c r="R3539">
        <v>0</v>
      </c>
      <c r="S3539">
        <v>0</v>
      </c>
      <c r="T3539">
        <v>0</v>
      </c>
      <c r="U3539">
        <v>0</v>
      </c>
      <c r="V3539">
        <v>0</v>
      </c>
      <c r="W3539">
        <v>0</v>
      </c>
      <c r="X3539">
        <v>0</v>
      </c>
      <c r="Y3539">
        <v>0</v>
      </c>
      <c r="Z3539">
        <v>0</v>
      </c>
      <c r="AA3539">
        <v>0</v>
      </c>
      <c r="AB3539">
        <v>0</v>
      </c>
      <c r="AC3539">
        <v>0</v>
      </c>
      <c r="AD3539">
        <v>0</v>
      </c>
      <c r="AE3539">
        <v>0</v>
      </c>
      <c r="AF3539">
        <v>0</v>
      </c>
      <c r="AG3539">
        <v>0</v>
      </c>
      <c r="AH3539">
        <v>0</v>
      </c>
      <c r="AI3539">
        <v>0</v>
      </c>
      <c r="AJ3539">
        <v>0</v>
      </c>
      <c r="AK3539">
        <v>0</v>
      </c>
      <c r="AL3539">
        <v>0</v>
      </c>
      <c r="AM3539">
        <v>0</v>
      </c>
      <c r="AN3539">
        <v>0</v>
      </c>
      <c r="AO3539">
        <v>0</v>
      </c>
      <c r="AP3539">
        <v>0</v>
      </c>
      <c r="AQ3539">
        <v>21.38</v>
      </c>
      <c r="AR3539">
        <v>0</v>
      </c>
      <c r="AS3539">
        <v>0</v>
      </c>
      <c r="AT3539">
        <v>0</v>
      </c>
      <c r="AU3539">
        <v>0</v>
      </c>
      <c r="AV3539">
        <v>0</v>
      </c>
      <c r="AW3539">
        <v>0</v>
      </c>
      <c r="AX3539">
        <v>0</v>
      </c>
      <c r="AY3539">
        <v>0</v>
      </c>
      <c r="AZ3539">
        <v>0</v>
      </c>
      <c r="BA3539">
        <v>0</v>
      </c>
      <c r="BB3539">
        <v>0</v>
      </c>
      <c r="BC3539">
        <v>0</v>
      </c>
      <c r="BD3539">
        <v>0</v>
      </c>
      <c r="BE3539">
        <v>0</v>
      </c>
      <c r="BF3539">
        <v>0</v>
      </c>
      <c r="BG3539">
        <v>0</v>
      </c>
      <c r="BH3539">
        <v>1</v>
      </c>
      <c r="BI3539">
        <v>1</v>
      </c>
      <c r="BJ3539">
        <v>0.2</v>
      </c>
      <c r="BK3539">
        <v>1</v>
      </c>
      <c r="BL3539">
        <v>69.98</v>
      </c>
      <c r="BM3539">
        <v>10.5</v>
      </c>
      <c r="BN3539">
        <v>80.48</v>
      </c>
      <c r="BO3539">
        <v>80.48</v>
      </c>
      <c r="BQ3539" t="s">
        <v>344</v>
      </c>
      <c r="BR3539" t="s">
        <v>84</v>
      </c>
      <c r="BS3539" s="3">
        <v>45805</v>
      </c>
      <c r="BT3539" s="4">
        <v>0.4152777777777778</v>
      </c>
      <c r="BU3539" t="s">
        <v>3228</v>
      </c>
      <c r="BV3539" t="s">
        <v>86</v>
      </c>
      <c r="BY3539">
        <v>1200</v>
      </c>
      <c r="CA3539" t="s">
        <v>242</v>
      </c>
      <c r="CC3539" t="s">
        <v>131</v>
      </c>
      <c r="CD3539">
        <v>7441</v>
      </c>
      <c r="CE3539" t="s">
        <v>88</v>
      </c>
      <c r="CF3539" s="3">
        <v>45806</v>
      </c>
      <c r="CI3539">
        <v>1</v>
      </c>
      <c r="CJ3539">
        <v>1</v>
      </c>
      <c r="CK3539">
        <v>21</v>
      </c>
      <c r="CL3539" t="s">
        <v>89</v>
      </c>
    </row>
    <row r="3540" spans="1:90" x14ac:dyDescent="0.3">
      <c r="A3540" t="s">
        <v>72</v>
      </c>
      <c r="B3540" t="s">
        <v>73</v>
      </c>
      <c r="C3540" t="s">
        <v>74</v>
      </c>
      <c r="E3540" t="str">
        <f>"080065595714"</f>
        <v>080065595714</v>
      </c>
      <c r="F3540" s="3">
        <v>45804</v>
      </c>
      <c r="G3540">
        <v>202602</v>
      </c>
      <c r="H3540" t="s">
        <v>75</v>
      </c>
      <c r="I3540" t="s">
        <v>76</v>
      </c>
      <c r="J3540" t="s">
        <v>77</v>
      </c>
      <c r="K3540" t="s">
        <v>78</v>
      </c>
      <c r="L3540" t="s">
        <v>177</v>
      </c>
      <c r="M3540" t="s">
        <v>178</v>
      </c>
      <c r="N3540" t="s">
        <v>212</v>
      </c>
      <c r="O3540" t="s">
        <v>82</v>
      </c>
      <c r="P3540" t="str">
        <f>"4170040886                    "</f>
        <v xml:space="preserve">4170040886                    </v>
      </c>
      <c r="Q3540">
        <v>0</v>
      </c>
      <c r="R3540">
        <v>0</v>
      </c>
      <c r="S3540">
        <v>0</v>
      </c>
      <c r="T3540">
        <v>0</v>
      </c>
      <c r="U3540">
        <v>0</v>
      </c>
      <c r="V3540">
        <v>0</v>
      </c>
      <c r="W3540">
        <v>0</v>
      </c>
      <c r="X3540">
        <v>0</v>
      </c>
      <c r="Y3540">
        <v>0</v>
      </c>
      <c r="Z3540">
        <v>0</v>
      </c>
      <c r="AA3540">
        <v>0</v>
      </c>
      <c r="AB3540">
        <v>0</v>
      </c>
      <c r="AC3540">
        <v>0</v>
      </c>
      <c r="AD3540">
        <v>0</v>
      </c>
      <c r="AE3540">
        <v>0</v>
      </c>
      <c r="AF3540">
        <v>0</v>
      </c>
      <c r="AG3540">
        <v>0</v>
      </c>
      <c r="AH3540">
        <v>0</v>
      </c>
      <c r="AI3540">
        <v>0</v>
      </c>
      <c r="AJ3540">
        <v>0</v>
      </c>
      <c r="AK3540">
        <v>0</v>
      </c>
      <c r="AL3540">
        <v>0</v>
      </c>
      <c r="AM3540">
        <v>0</v>
      </c>
      <c r="AN3540">
        <v>0</v>
      </c>
      <c r="AO3540">
        <v>0</v>
      </c>
      <c r="AP3540">
        <v>0</v>
      </c>
      <c r="AQ3540">
        <v>21.38</v>
      </c>
      <c r="AR3540">
        <v>0</v>
      </c>
      <c r="AS3540">
        <v>0</v>
      </c>
      <c r="AT3540">
        <v>0</v>
      </c>
      <c r="AU3540">
        <v>0</v>
      </c>
      <c r="AV3540">
        <v>0</v>
      </c>
      <c r="AW3540">
        <v>0</v>
      </c>
      <c r="AX3540">
        <v>0</v>
      </c>
      <c r="AY3540">
        <v>0</v>
      </c>
      <c r="AZ3540">
        <v>0</v>
      </c>
      <c r="BA3540">
        <v>0</v>
      </c>
      <c r="BB3540">
        <v>0</v>
      </c>
      <c r="BC3540">
        <v>0</v>
      </c>
      <c r="BD3540">
        <v>0</v>
      </c>
      <c r="BE3540">
        <v>0</v>
      </c>
      <c r="BF3540">
        <v>0</v>
      </c>
      <c r="BG3540">
        <v>0</v>
      </c>
      <c r="BH3540">
        <v>1</v>
      </c>
      <c r="BI3540">
        <v>1</v>
      </c>
      <c r="BJ3540">
        <v>0.2</v>
      </c>
      <c r="BK3540">
        <v>1</v>
      </c>
      <c r="BL3540">
        <v>69.98</v>
      </c>
      <c r="BM3540">
        <v>10.5</v>
      </c>
      <c r="BN3540">
        <v>80.48</v>
      </c>
      <c r="BO3540">
        <v>80.48</v>
      </c>
      <c r="BQ3540" t="s">
        <v>213</v>
      </c>
      <c r="BR3540" t="s">
        <v>84</v>
      </c>
      <c r="BS3540" s="3">
        <v>45805</v>
      </c>
      <c r="BT3540" s="4">
        <v>0.35</v>
      </c>
      <c r="BU3540" t="s">
        <v>1568</v>
      </c>
      <c r="BV3540" t="s">
        <v>86</v>
      </c>
      <c r="BY3540">
        <v>1200</v>
      </c>
      <c r="CA3540" t="s">
        <v>182</v>
      </c>
      <c r="CC3540" t="s">
        <v>178</v>
      </c>
      <c r="CD3540">
        <v>6021</v>
      </c>
      <c r="CE3540" t="s">
        <v>88</v>
      </c>
      <c r="CF3540" s="3">
        <v>45805</v>
      </c>
      <c r="CI3540">
        <v>1</v>
      </c>
      <c r="CJ3540">
        <v>1</v>
      </c>
      <c r="CK3540">
        <v>21</v>
      </c>
      <c r="CL3540" t="s">
        <v>89</v>
      </c>
    </row>
    <row r="3541" spans="1:90" x14ac:dyDescent="0.3">
      <c r="A3541" t="s">
        <v>72</v>
      </c>
      <c r="B3541" t="s">
        <v>73</v>
      </c>
      <c r="C3541" t="s">
        <v>74</v>
      </c>
      <c r="E3541" t="str">
        <f>"080065595724"</f>
        <v>080065595724</v>
      </c>
      <c r="F3541" s="3">
        <v>45804</v>
      </c>
      <c r="G3541">
        <v>202602</v>
      </c>
      <c r="H3541" t="s">
        <v>75</v>
      </c>
      <c r="I3541" t="s">
        <v>76</v>
      </c>
      <c r="J3541" t="s">
        <v>77</v>
      </c>
      <c r="K3541" t="s">
        <v>78</v>
      </c>
      <c r="L3541" t="s">
        <v>463</v>
      </c>
      <c r="M3541" t="s">
        <v>464</v>
      </c>
      <c r="N3541" t="s">
        <v>465</v>
      </c>
      <c r="O3541" t="s">
        <v>82</v>
      </c>
      <c r="P3541" t="str">
        <f>"4170040811                    "</f>
        <v xml:space="preserve">4170040811                    </v>
      </c>
      <c r="Q3541">
        <v>0</v>
      </c>
      <c r="R3541">
        <v>0</v>
      </c>
      <c r="S3541">
        <v>0</v>
      </c>
      <c r="T3541">
        <v>0</v>
      </c>
      <c r="U3541">
        <v>0</v>
      </c>
      <c r="V3541">
        <v>0</v>
      </c>
      <c r="W3541">
        <v>0</v>
      </c>
      <c r="X3541">
        <v>0</v>
      </c>
      <c r="Y3541">
        <v>0</v>
      </c>
      <c r="Z3541">
        <v>0</v>
      </c>
      <c r="AA3541">
        <v>0</v>
      </c>
      <c r="AB3541">
        <v>0</v>
      </c>
      <c r="AC3541">
        <v>0</v>
      </c>
      <c r="AD3541">
        <v>0</v>
      </c>
      <c r="AE3541">
        <v>0</v>
      </c>
      <c r="AF3541">
        <v>0</v>
      </c>
      <c r="AG3541">
        <v>0</v>
      </c>
      <c r="AH3541">
        <v>0</v>
      </c>
      <c r="AI3541">
        <v>0</v>
      </c>
      <c r="AJ3541">
        <v>0</v>
      </c>
      <c r="AK3541">
        <v>0</v>
      </c>
      <c r="AL3541">
        <v>0</v>
      </c>
      <c r="AM3541">
        <v>0</v>
      </c>
      <c r="AN3541">
        <v>0</v>
      </c>
      <c r="AO3541">
        <v>0</v>
      </c>
      <c r="AP3541">
        <v>0</v>
      </c>
      <c r="AQ3541">
        <v>85.48</v>
      </c>
      <c r="AR3541">
        <v>0</v>
      </c>
      <c r="AS3541">
        <v>0</v>
      </c>
      <c r="AT3541">
        <v>0</v>
      </c>
      <c r="AU3541">
        <v>0</v>
      </c>
      <c r="AV3541">
        <v>0</v>
      </c>
      <c r="AW3541">
        <v>0</v>
      </c>
      <c r="AX3541">
        <v>0</v>
      </c>
      <c r="AY3541">
        <v>0</v>
      </c>
      <c r="AZ3541">
        <v>0</v>
      </c>
      <c r="BA3541">
        <v>0</v>
      </c>
      <c r="BB3541">
        <v>0</v>
      </c>
      <c r="BC3541">
        <v>0</v>
      </c>
      <c r="BD3541">
        <v>0</v>
      </c>
      <c r="BE3541">
        <v>0</v>
      </c>
      <c r="BF3541">
        <v>0</v>
      </c>
      <c r="BG3541">
        <v>0</v>
      </c>
      <c r="BH3541">
        <v>2</v>
      </c>
      <c r="BI3541">
        <v>8</v>
      </c>
      <c r="BJ3541">
        <v>4</v>
      </c>
      <c r="BK3541">
        <v>8</v>
      </c>
      <c r="BL3541">
        <v>279.76</v>
      </c>
      <c r="BM3541">
        <v>41.96</v>
      </c>
      <c r="BN3541">
        <v>321.72000000000003</v>
      </c>
      <c r="BO3541">
        <v>321.72000000000003</v>
      </c>
      <c r="BQ3541" t="s">
        <v>466</v>
      </c>
      <c r="BR3541" t="s">
        <v>84</v>
      </c>
      <c r="BS3541" s="3">
        <v>45805</v>
      </c>
      <c r="BT3541" s="4">
        <v>0.4861111111111111</v>
      </c>
      <c r="BU3541" t="s">
        <v>1918</v>
      </c>
      <c r="BV3541" t="s">
        <v>89</v>
      </c>
      <c r="BY3541">
        <v>20147</v>
      </c>
      <c r="CA3541" t="s">
        <v>468</v>
      </c>
      <c r="CC3541" t="s">
        <v>464</v>
      </c>
      <c r="CD3541">
        <v>5200</v>
      </c>
      <c r="CE3541" t="s">
        <v>116</v>
      </c>
      <c r="CF3541" s="3">
        <v>45806</v>
      </c>
      <c r="CI3541">
        <v>1</v>
      </c>
      <c r="CJ3541">
        <v>1</v>
      </c>
      <c r="CK3541">
        <v>21</v>
      </c>
      <c r="CL3541" t="s">
        <v>89</v>
      </c>
    </row>
    <row r="3542" spans="1:90" x14ac:dyDescent="0.3">
      <c r="A3542" t="s">
        <v>72</v>
      </c>
      <c r="B3542" t="s">
        <v>73</v>
      </c>
      <c r="C3542" t="s">
        <v>74</v>
      </c>
      <c r="E3542" t="str">
        <f>"080065595739"</f>
        <v>080065595739</v>
      </c>
      <c r="F3542" s="3">
        <v>45804</v>
      </c>
      <c r="G3542">
        <v>202602</v>
      </c>
      <c r="H3542" t="s">
        <v>75</v>
      </c>
      <c r="I3542" t="s">
        <v>76</v>
      </c>
      <c r="J3542" t="s">
        <v>77</v>
      </c>
      <c r="K3542" t="s">
        <v>78</v>
      </c>
      <c r="L3542" t="s">
        <v>79</v>
      </c>
      <c r="M3542" t="s">
        <v>80</v>
      </c>
      <c r="N3542" t="s">
        <v>1111</v>
      </c>
      <c r="O3542" t="s">
        <v>82</v>
      </c>
      <c r="P3542" t="str">
        <f>"4170040895                    "</f>
        <v xml:space="preserve">4170040895                    </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c r="AI3542">
        <v>0</v>
      </c>
      <c r="AJ3542">
        <v>0</v>
      </c>
      <c r="AK3542">
        <v>0</v>
      </c>
      <c r="AL3542">
        <v>0</v>
      </c>
      <c r="AM3542">
        <v>0</v>
      </c>
      <c r="AN3542">
        <v>0</v>
      </c>
      <c r="AO3542">
        <v>0</v>
      </c>
      <c r="AP3542">
        <v>0</v>
      </c>
      <c r="AQ3542">
        <v>21.38</v>
      </c>
      <c r="AR3542">
        <v>0</v>
      </c>
      <c r="AS3542">
        <v>0</v>
      </c>
      <c r="AT3542">
        <v>0</v>
      </c>
      <c r="AU3542">
        <v>0</v>
      </c>
      <c r="AV3542">
        <v>0</v>
      </c>
      <c r="AW3542">
        <v>0</v>
      </c>
      <c r="AX3542">
        <v>0</v>
      </c>
      <c r="AY3542">
        <v>0</v>
      </c>
      <c r="AZ3542">
        <v>0</v>
      </c>
      <c r="BA3542">
        <v>0</v>
      </c>
      <c r="BB3542">
        <v>0</v>
      </c>
      <c r="BC3542">
        <v>0</v>
      </c>
      <c r="BD3542">
        <v>0</v>
      </c>
      <c r="BE3542">
        <v>0</v>
      </c>
      <c r="BF3542">
        <v>0</v>
      </c>
      <c r="BG3542">
        <v>0</v>
      </c>
      <c r="BH3542">
        <v>1</v>
      </c>
      <c r="BI3542">
        <v>1</v>
      </c>
      <c r="BJ3542">
        <v>0.2</v>
      </c>
      <c r="BK3542">
        <v>1</v>
      </c>
      <c r="BL3542">
        <v>69.98</v>
      </c>
      <c r="BM3542">
        <v>10.5</v>
      </c>
      <c r="BN3542">
        <v>80.48</v>
      </c>
      <c r="BO3542">
        <v>80.48</v>
      </c>
      <c r="BQ3542" t="s">
        <v>1112</v>
      </c>
      <c r="BR3542" t="s">
        <v>84</v>
      </c>
      <c r="BS3542" s="3">
        <v>45805</v>
      </c>
      <c r="BT3542" s="4">
        <v>0.57708333333333328</v>
      </c>
      <c r="BU3542" t="s">
        <v>3186</v>
      </c>
      <c r="BV3542" t="s">
        <v>89</v>
      </c>
      <c r="BW3542" t="s">
        <v>296</v>
      </c>
      <c r="BX3542" t="s">
        <v>450</v>
      </c>
      <c r="BY3542">
        <v>1200</v>
      </c>
      <c r="CA3542" t="s">
        <v>160</v>
      </c>
      <c r="CC3542" t="s">
        <v>80</v>
      </c>
      <c r="CD3542">
        <v>3610</v>
      </c>
      <c r="CE3542" t="s">
        <v>88</v>
      </c>
      <c r="CF3542" s="3">
        <v>45806</v>
      </c>
      <c r="CI3542">
        <v>1</v>
      </c>
      <c r="CJ3542">
        <v>1</v>
      </c>
      <c r="CK3542">
        <v>21</v>
      </c>
      <c r="CL3542" t="s">
        <v>89</v>
      </c>
    </row>
    <row r="3543" spans="1:90" x14ac:dyDescent="0.3">
      <c r="A3543" t="s">
        <v>72</v>
      </c>
      <c r="B3543" t="s">
        <v>73</v>
      </c>
      <c r="C3543" t="s">
        <v>74</v>
      </c>
      <c r="E3543" t="str">
        <f>"080065595887"</f>
        <v>080065595887</v>
      </c>
      <c r="F3543" s="3">
        <v>45804</v>
      </c>
      <c r="G3543">
        <v>202602</v>
      </c>
      <c r="H3543" t="s">
        <v>75</v>
      </c>
      <c r="I3543" t="s">
        <v>76</v>
      </c>
      <c r="J3543" t="s">
        <v>77</v>
      </c>
      <c r="K3543" t="s">
        <v>78</v>
      </c>
      <c r="L3543" t="s">
        <v>136</v>
      </c>
      <c r="M3543" t="s">
        <v>137</v>
      </c>
      <c r="N3543" t="s">
        <v>735</v>
      </c>
      <c r="O3543" t="s">
        <v>82</v>
      </c>
      <c r="P3543" t="str">
        <f>"4170040861                    "</f>
        <v xml:space="preserve">4170040861                    </v>
      </c>
      <c r="Q3543">
        <v>0</v>
      </c>
      <c r="R3543">
        <v>0</v>
      </c>
      <c r="S3543">
        <v>0</v>
      </c>
      <c r="T3543">
        <v>0</v>
      </c>
      <c r="U3543">
        <v>0</v>
      </c>
      <c r="V3543">
        <v>0</v>
      </c>
      <c r="W3543">
        <v>0</v>
      </c>
      <c r="X3543">
        <v>0</v>
      </c>
      <c r="Y3543">
        <v>0</v>
      </c>
      <c r="Z3543">
        <v>0</v>
      </c>
      <c r="AA3543">
        <v>0</v>
      </c>
      <c r="AB3543">
        <v>0</v>
      </c>
      <c r="AC3543">
        <v>0</v>
      </c>
      <c r="AD3543">
        <v>0</v>
      </c>
      <c r="AE3543">
        <v>0</v>
      </c>
      <c r="AF3543">
        <v>0</v>
      </c>
      <c r="AG3543">
        <v>0</v>
      </c>
      <c r="AH3543">
        <v>0</v>
      </c>
      <c r="AI3543">
        <v>0</v>
      </c>
      <c r="AJ3543">
        <v>0</v>
      </c>
      <c r="AK3543">
        <v>0</v>
      </c>
      <c r="AL3543">
        <v>0</v>
      </c>
      <c r="AM3543">
        <v>0</v>
      </c>
      <c r="AN3543">
        <v>0</v>
      </c>
      <c r="AO3543">
        <v>0</v>
      </c>
      <c r="AP3543">
        <v>0</v>
      </c>
      <c r="AQ3543">
        <v>21.38</v>
      </c>
      <c r="AR3543">
        <v>0</v>
      </c>
      <c r="AS3543">
        <v>0</v>
      </c>
      <c r="AT3543">
        <v>0</v>
      </c>
      <c r="AU3543">
        <v>0</v>
      </c>
      <c r="AV3543">
        <v>0</v>
      </c>
      <c r="AW3543">
        <v>0</v>
      </c>
      <c r="AX3543">
        <v>0</v>
      </c>
      <c r="AY3543">
        <v>0</v>
      </c>
      <c r="AZ3543">
        <v>0</v>
      </c>
      <c r="BA3543">
        <v>0</v>
      </c>
      <c r="BB3543">
        <v>0</v>
      </c>
      <c r="BC3543">
        <v>0</v>
      </c>
      <c r="BD3543">
        <v>0</v>
      </c>
      <c r="BE3543">
        <v>0</v>
      </c>
      <c r="BF3543">
        <v>0</v>
      </c>
      <c r="BG3543">
        <v>0</v>
      </c>
      <c r="BH3543">
        <v>1</v>
      </c>
      <c r="BI3543">
        <v>1</v>
      </c>
      <c r="BJ3543">
        <v>0.2</v>
      </c>
      <c r="BK3543">
        <v>1</v>
      </c>
      <c r="BL3543">
        <v>69.98</v>
      </c>
      <c r="BM3543">
        <v>10.5</v>
      </c>
      <c r="BN3543">
        <v>80.48</v>
      </c>
      <c r="BO3543">
        <v>80.48</v>
      </c>
      <c r="BQ3543" t="s">
        <v>736</v>
      </c>
      <c r="BR3543" t="s">
        <v>84</v>
      </c>
      <c r="BS3543" s="3">
        <v>45805</v>
      </c>
      <c r="BT3543" s="4">
        <v>0.37291666666666667</v>
      </c>
      <c r="BU3543" t="s">
        <v>2475</v>
      </c>
      <c r="BV3543" t="s">
        <v>86</v>
      </c>
      <c r="BY3543">
        <v>1200</v>
      </c>
      <c r="BZ3543" t="s">
        <v>127</v>
      </c>
      <c r="CA3543" t="s">
        <v>2440</v>
      </c>
      <c r="CC3543" t="s">
        <v>137</v>
      </c>
      <c r="CD3543" s="5" t="s">
        <v>738</v>
      </c>
      <c r="CE3543" t="s">
        <v>129</v>
      </c>
      <c r="CF3543" s="3">
        <v>45805</v>
      </c>
      <c r="CI3543">
        <v>1</v>
      </c>
      <c r="CJ3543">
        <v>1</v>
      </c>
      <c r="CK3543">
        <v>21</v>
      </c>
      <c r="CL3543" t="s">
        <v>89</v>
      </c>
    </row>
    <row r="3544" spans="1:90" x14ac:dyDescent="0.3">
      <c r="A3544" t="s">
        <v>72</v>
      </c>
      <c r="B3544" t="s">
        <v>73</v>
      </c>
      <c r="C3544" t="s">
        <v>74</v>
      </c>
      <c r="E3544" t="str">
        <f>"080065596472"</f>
        <v>080065596472</v>
      </c>
      <c r="F3544" s="3">
        <v>45804</v>
      </c>
      <c r="G3544">
        <v>202602</v>
      </c>
      <c r="H3544" t="s">
        <v>75</v>
      </c>
      <c r="I3544" t="s">
        <v>76</v>
      </c>
      <c r="J3544" t="s">
        <v>77</v>
      </c>
      <c r="K3544" t="s">
        <v>78</v>
      </c>
      <c r="L3544" t="s">
        <v>360</v>
      </c>
      <c r="M3544" t="s">
        <v>361</v>
      </c>
      <c r="N3544" t="s">
        <v>362</v>
      </c>
      <c r="O3544" t="s">
        <v>82</v>
      </c>
      <c r="P3544" t="str">
        <f>"4170040970                    "</f>
        <v xml:space="preserve">4170040970                    </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c r="AI3544">
        <v>0</v>
      </c>
      <c r="AJ3544">
        <v>0</v>
      </c>
      <c r="AK3544">
        <v>0</v>
      </c>
      <c r="AL3544">
        <v>0</v>
      </c>
      <c r="AM3544">
        <v>0</v>
      </c>
      <c r="AN3544">
        <v>0</v>
      </c>
      <c r="AO3544">
        <v>0</v>
      </c>
      <c r="AP3544">
        <v>0</v>
      </c>
      <c r="AQ3544">
        <v>78.849999999999994</v>
      </c>
      <c r="AR3544">
        <v>0</v>
      </c>
      <c r="AS3544">
        <v>0</v>
      </c>
      <c r="AT3544">
        <v>0</v>
      </c>
      <c r="AU3544">
        <v>0</v>
      </c>
      <c r="AV3544">
        <v>0</v>
      </c>
      <c r="AW3544">
        <v>0</v>
      </c>
      <c r="AX3544">
        <v>0</v>
      </c>
      <c r="AY3544">
        <v>0</v>
      </c>
      <c r="AZ3544">
        <v>0</v>
      </c>
      <c r="BA3544">
        <v>0</v>
      </c>
      <c r="BB3544">
        <v>0</v>
      </c>
      <c r="BC3544">
        <v>0</v>
      </c>
      <c r="BD3544">
        <v>0</v>
      </c>
      <c r="BE3544">
        <v>0</v>
      </c>
      <c r="BF3544">
        <v>0</v>
      </c>
      <c r="BG3544">
        <v>0</v>
      </c>
      <c r="BH3544">
        <v>1</v>
      </c>
      <c r="BI3544">
        <v>4</v>
      </c>
      <c r="BJ3544">
        <v>1.9</v>
      </c>
      <c r="BK3544">
        <v>4</v>
      </c>
      <c r="BL3544">
        <v>258.05</v>
      </c>
      <c r="BM3544">
        <v>38.71</v>
      </c>
      <c r="BN3544">
        <v>296.76</v>
      </c>
      <c r="BO3544">
        <v>296.76</v>
      </c>
      <c r="BQ3544" t="s">
        <v>363</v>
      </c>
      <c r="BR3544" t="s">
        <v>84</v>
      </c>
      <c r="BS3544" s="3">
        <v>45805</v>
      </c>
      <c r="BT3544" s="4">
        <v>0.61458333333333337</v>
      </c>
      <c r="BU3544" t="s">
        <v>3302</v>
      </c>
      <c r="BV3544" t="s">
        <v>86</v>
      </c>
      <c r="BY3544">
        <v>9600</v>
      </c>
      <c r="CA3544" t="s">
        <v>231</v>
      </c>
      <c r="CC3544" t="s">
        <v>361</v>
      </c>
      <c r="CD3544">
        <v>7300</v>
      </c>
      <c r="CE3544" t="s">
        <v>96</v>
      </c>
      <c r="CF3544" s="3">
        <v>45806</v>
      </c>
      <c r="CI3544">
        <v>1</v>
      </c>
      <c r="CJ3544">
        <v>1</v>
      </c>
      <c r="CK3544">
        <v>23</v>
      </c>
      <c r="CL3544" t="s">
        <v>89</v>
      </c>
    </row>
    <row r="3545" spans="1:90" x14ac:dyDescent="0.3">
      <c r="A3545" t="s">
        <v>72</v>
      </c>
      <c r="B3545" t="s">
        <v>73</v>
      </c>
      <c r="C3545" t="s">
        <v>74</v>
      </c>
      <c r="E3545" t="str">
        <f>"080065596516"</f>
        <v>080065596516</v>
      </c>
      <c r="F3545" s="3">
        <v>45804</v>
      </c>
      <c r="G3545">
        <v>202602</v>
      </c>
      <c r="H3545" t="s">
        <v>75</v>
      </c>
      <c r="I3545" t="s">
        <v>76</v>
      </c>
      <c r="J3545" t="s">
        <v>77</v>
      </c>
      <c r="K3545" t="s">
        <v>78</v>
      </c>
      <c r="L3545" t="s">
        <v>79</v>
      </c>
      <c r="M3545" t="s">
        <v>80</v>
      </c>
      <c r="N3545" t="s">
        <v>415</v>
      </c>
      <c r="O3545" t="s">
        <v>82</v>
      </c>
      <c r="P3545" t="str">
        <f>"4170040914                    "</f>
        <v xml:space="preserve">4170040914                    </v>
      </c>
      <c r="Q3545">
        <v>0</v>
      </c>
      <c r="R3545">
        <v>0</v>
      </c>
      <c r="S3545">
        <v>0</v>
      </c>
      <c r="T3545">
        <v>0</v>
      </c>
      <c r="U3545">
        <v>0</v>
      </c>
      <c r="V3545">
        <v>0</v>
      </c>
      <c r="W3545">
        <v>0</v>
      </c>
      <c r="X3545">
        <v>0</v>
      </c>
      <c r="Y3545">
        <v>0</v>
      </c>
      <c r="Z3545">
        <v>0</v>
      </c>
      <c r="AA3545">
        <v>0</v>
      </c>
      <c r="AB3545">
        <v>0</v>
      </c>
      <c r="AC3545">
        <v>0</v>
      </c>
      <c r="AD3545">
        <v>0</v>
      </c>
      <c r="AE3545">
        <v>0</v>
      </c>
      <c r="AF3545">
        <v>0</v>
      </c>
      <c r="AG3545">
        <v>0</v>
      </c>
      <c r="AH3545">
        <v>0</v>
      </c>
      <c r="AI3545">
        <v>0</v>
      </c>
      <c r="AJ3545">
        <v>0</v>
      </c>
      <c r="AK3545">
        <v>0</v>
      </c>
      <c r="AL3545">
        <v>0</v>
      </c>
      <c r="AM3545">
        <v>0</v>
      </c>
      <c r="AN3545">
        <v>0</v>
      </c>
      <c r="AO3545">
        <v>0</v>
      </c>
      <c r="AP3545">
        <v>0</v>
      </c>
      <c r="AQ3545">
        <v>21.38</v>
      </c>
      <c r="AR3545">
        <v>0</v>
      </c>
      <c r="AS3545">
        <v>0</v>
      </c>
      <c r="AT3545">
        <v>0</v>
      </c>
      <c r="AU3545">
        <v>0</v>
      </c>
      <c r="AV3545">
        <v>0</v>
      </c>
      <c r="AW3545">
        <v>0</v>
      </c>
      <c r="AX3545">
        <v>0</v>
      </c>
      <c r="AY3545">
        <v>0</v>
      </c>
      <c r="AZ3545">
        <v>0</v>
      </c>
      <c r="BA3545">
        <v>0</v>
      </c>
      <c r="BB3545">
        <v>0</v>
      </c>
      <c r="BC3545">
        <v>0</v>
      </c>
      <c r="BD3545">
        <v>0</v>
      </c>
      <c r="BE3545">
        <v>0</v>
      </c>
      <c r="BF3545">
        <v>0</v>
      </c>
      <c r="BG3545">
        <v>0</v>
      </c>
      <c r="BH3545">
        <v>1</v>
      </c>
      <c r="BI3545">
        <v>1</v>
      </c>
      <c r="BJ3545">
        <v>1.1000000000000001</v>
      </c>
      <c r="BK3545">
        <v>1.5</v>
      </c>
      <c r="BL3545">
        <v>69.98</v>
      </c>
      <c r="BM3545">
        <v>10.5</v>
      </c>
      <c r="BN3545">
        <v>80.48</v>
      </c>
      <c r="BO3545">
        <v>80.48</v>
      </c>
      <c r="BQ3545" t="s">
        <v>416</v>
      </c>
      <c r="BR3545" t="s">
        <v>84</v>
      </c>
      <c r="BS3545" s="3">
        <v>45805</v>
      </c>
      <c r="BT3545" s="4">
        <v>0.46597222222222223</v>
      </c>
      <c r="BU3545" t="s">
        <v>417</v>
      </c>
      <c r="BV3545" t="s">
        <v>86</v>
      </c>
      <c r="BY3545">
        <v>5320</v>
      </c>
      <c r="CA3545" t="s">
        <v>418</v>
      </c>
      <c r="CC3545" t="s">
        <v>80</v>
      </c>
      <c r="CD3545">
        <v>3610</v>
      </c>
      <c r="CE3545" t="s">
        <v>116</v>
      </c>
      <c r="CF3545" s="3">
        <v>45806</v>
      </c>
      <c r="CI3545">
        <v>1</v>
      </c>
      <c r="CJ3545">
        <v>1</v>
      </c>
      <c r="CK3545">
        <v>21</v>
      </c>
      <c r="CL3545" t="s">
        <v>89</v>
      </c>
    </row>
    <row r="3546" spans="1:90" x14ac:dyDescent="0.3">
      <c r="A3546" t="s">
        <v>72</v>
      </c>
      <c r="B3546" t="s">
        <v>73</v>
      </c>
      <c r="C3546" t="s">
        <v>74</v>
      </c>
      <c r="E3546" t="str">
        <f>"080065596557"</f>
        <v>080065596557</v>
      </c>
      <c r="F3546" s="3">
        <v>45804</v>
      </c>
      <c r="G3546">
        <v>202602</v>
      </c>
      <c r="H3546" t="s">
        <v>75</v>
      </c>
      <c r="I3546" t="s">
        <v>76</v>
      </c>
      <c r="J3546" t="s">
        <v>77</v>
      </c>
      <c r="K3546" t="s">
        <v>78</v>
      </c>
      <c r="L3546" t="s">
        <v>136</v>
      </c>
      <c r="M3546" t="s">
        <v>137</v>
      </c>
      <c r="N3546" t="s">
        <v>3303</v>
      </c>
      <c r="O3546" t="s">
        <v>82</v>
      </c>
      <c r="P3546" t="str">
        <f>"4170040958                    "</f>
        <v xml:space="preserve">4170040958                    </v>
      </c>
      <c r="Q3546">
        <v>0</v>
      </c>
      <c r="R3546">
        <v>0</v>
      </c>
      <c r="S3546">
        <v>0</v>
      </c>
      <c r="T3546">
        <v>0</v>
      </c>
      <c r="U3546">
        <v>0</v>
      </c>
      <c r="V3546">
        <v>0</v>
      </c>
      <c r="W3546">
        <v>0</v>
      </c>
      <c r="X3546">
        <v>0</v>
      </c>
      <c r="Y3546">
        <v>0</v>
      </c>
      <c r="Z3546">
        <v>0</v>
      </c>
      <c r="AA3546">
        <v>0</v>
      </c>
      <c r="AB3546">
        <v>0</v>
      </c>
      <c r="AC3546">
        <v>0</v>
      </c>
      <c r="AD3546">
        <v>0</v>
      </c>
      <c r="AE3546">
        <v>0</v>
      </c>
      <c r="AF3546">
        <v>0</v>
      </c>
      <c r="AG3546">
        <v>0</v>
      </c>
      <c r="AH3546">
        <v>0</v>
      </c>
      <c r="AI3546">
        <v>0</v>
      </c>
      <c r="AJ3546">
        <v>0</v>
      </c>
      <c r="AK3546">
        <v>0</v>
      </c>
      <c r="AL3546">
        <v>0</v>
      </c>
      <c r="AM3546">
        <v>0</v>
      </c>
      <c r="AN3546">
        <v>0</v>
      </c>
      <c r="AO3546">
        <v>0</v>
      </c>
      <c r="AP3546">
        <v>0</v>
      </c>
      <c r="AQ3546">
        <v>21.38</v>
      </c>
      <c r="AR3546">
        <v>0</v>
      </c>
      <c r="AS3546">
        <v>0</v>
      </c>
      <c r="AT3546">
        <v>0</v>
      </c>
      <c r="AU3546">
        <v>0</v>
      </c>
      <c r="AV3546">
        <v>0</v>
      </c>
      <c r="AW3546">
        <v>0</v>
      </c>
      <c r="AX3546">
        <v>0</v>
      </c>
      <c r="AY3546">
        <v>0</v>
      </c>
      <c r="AZ3546">
        <v>0</v>
      </c>
      <c r="BA3546">
        <v>0</v>
      </c>
      <c r="BB3546">
        <v>0</v>
      </c>
      <c r="BC3546">
        <v>0</v>
      </c>
      <c r="BD3546">
        <v>0</v>
      </c>
      <c r="BE3546">
        <v>0</v>
      </c>
      <c r="BF3546">
        <v>0</v>
      </c>
      <c r="BG3546">
        <v>0</v>
      </c>
      <c r="BH3546">
        <v>1</v>
      </c>
      <c r="BI3546">
        <v>1</v>
      </c>
      <c r="BJ3546">
        <v>0.2</v>
      </c>
      <c r="BK3546">
        <v>1</v>
      </c>
      <c r="BL3546">
        <v>69.98</v>
      </c>
      <c r="BM3546">
        <v>10.5</v>
      </c>
      <c r="BN3546">
        <v>80.48</v>
      </c>
      <c r="BO3546">
        <v>80.48</v>
      </c>
      <c r="BQ3546" t="s">
        <v>3304</v>
      </c>
      <c r="BR3546" t="s">
        <v>84</v>
      </c>
      <c r="BS3546" s="3">
        <v>45805</v>
      </c>
      <c r="BT3546" s="4">
        <v>0.39097222222222222</v>
      </c>
      <c r="BU3546" t="s">
        <v>3305</v>
      </c>
      <c r="BV3546" t="s">
        <v>86</v>
      </c>
      <c r="BY3546">
        <v>1200</v>
      </c>
      <c r="CA3546" t="s">
        <v>3306</v>
      </c>
      <c r="CC3546" t="s">
        <v>137</v>
      </c>
      <c r="CD3546" s="5" t="s">
        <v>165</v>
      </c>
      <c r="CE3546" t="s">
        <v>88</v>
      </c>
      <c r="CF3546" s="3">
        <v>45805</v>
      </c>
      <c r="CI3546">
        <v>1</v>
      </c>
      <c r="CJ3546">
        <v>1</v>
      </c>
      <c r="CK3546">
        <v>21</v>
      </c>
      <c r="CL3546" t="s">
        <v>89</v>
      </c>
    </row>
    <row r="3547" spans="1:90" x14ac:dyDescent="0.3">
      <c r="A3547" t="s">
        <v>72</v>
      </c>
      <c r="B3547" t="s">
        <v>73</v>
      </c>
      <c r="C3547" t="s">
        <v>74</v>
      </c>
      <c r="E3547" t="str">
        <f>"080065596582"</f>
        <v>080065596582</v>
      </c>
      <c r="F3547" s="3">
        <v>45804</v>
      </c>
      <c r="G3547">
        <v>202602</v>
      </c>
      <c r="H3547" t="s">
        <v>75</v>
      </c>
      <c r="I3547" t="s">
        <v>76</v>
      </c>
      <c r="J3547" t="s">
        <v>77</v>
      </c>
      <c r="K3547" t="s">
        <v>78</v>
      </c>
      <c r="L3547" t="s">
        <v>79</v>
      </c>
      <c r="M3547" t="s">
        <v>80</v>
      </c>
      <c r="N3547" t="s">
        <v>415</v>
      </c>
      <c r="O3547" t="s">
        <v>82</v>
      </c>
      <c r="P3547" t="str">
        <f>"4170040823                    "</f>
        <v xml:space="preserve">4170040823                    </v>
      </c>
      <c r="Q3547">
        <v>0</v>
      </c>
      <c r="R3547">
        <v>0</v>
      </c>
      <c r="S3547">
        <v>0</v>
      </c>
      <c r="T3547">
        <v>0</v>
      </c>
      <c r="U3547">
        <v>0</v>
      </c>
      <c r="V3547">
        <v>0</v>
      </c>
      <c r="W3547">
        <v>0</v>
      </c>
      <c r="X3547">
        <v>0</v>
      </c>
      <c r="Y3547">
        <v>0</v>
      </c>
      <c r="Z3547">
        <v>0</v>
      </c>
      <c r="AA3547">
        <v>0</v>
      </c>
      <c r="AB3547">
        <v>0</v>
      </c>
      <c r="AC3547">
        <v>0</v>
      </c>
      <c r="AD3547">
        <v>0</v>
      </c>
      <c r="AE3547">
        <v>0</v>
      </c>
      <c r="AF3547">
        <v>0</v>
      </c>
      <c r="AG3547">
        <v>0</v>
      </c>
      <c r="AH3547">
        <v>0</v>
      </c>
      <c r="AI3547">
        <v>0</v>
      </c>
      <c r="AJ3547">
        <v>0</v>
      </c>
      <c r="AK3547">
        <v>0</v>
      </c>
      <c r="AL3547">
        <v>0</v>
      </c>
      <c r="AM3547">
        <v>0</v>
      </c>
      <c r="AN3547">
        <v>0</v>
      </c>
      <c r="AO3547">
        <v>0</v>
      </c>
      <c r="AP3547">
        <v>0</v>
      </c>
      <c r="AQ3547">
        <v>21.38</v>
      </c>
      <c r="AR3547">
        <v>0</v>
      </c>
      <c r="AS3547">
        <v>0</v>
      </c>
      <c r="AT3547">
        <v>0</v>
      </c>
      <c r="AU3547">
        <v>0</v>
      </c>
      <c r="AV3547">
        <v>0</v>
      </c>
      <c r="AW3547">
        <v>0</v>
      </c>
      <c r="AX3547">
        <v>0</v>
      </c>
      <c r="AY3547">
        <v>0</v>
      </c>
      <c r="AZ3547">
        <v>0</v>
      </c>
      <c r="BA3547">
        <v>0</v>
      </c>
      <c r="BB3547">
        <v>0</v>
      </c>
      <c r="BC3547">
        <v>0</v>
      </c>
      <c r="BD3547">
        <v>0</v>
      </c>
      <c r="BE3547">
        <v>0</v>
      </c>
      <c r="BF3547">
        <v>0</v>
      </c>
      <c r="BG3547">
        <v>0</v>
      </c>
      <c r="BH3547">
        <v>1</v>
      </c>
      <c r="BI3547">
        <v>1</v>
      </c>
      <c r="BJ3547">
        <v>0.2</v>
      </c>
      <c r="BK3547">
        <v>1</v>
      </c>
      <c r="BL3547">
        <v>69.98</v>
      </c>
      <c r="BM3547">
        <v>10.5</v>
      </c>
      <c r="BN3547">
        <v>80.48</v>
      </c>
      <c r="BO3547">
        <v>80.48</v>
      </c>
      <c r="BQ3547" t="s">
        <v>416</v>
      </c>
      <c r="BR3547" t="s">
        <v>84</v>
      </c>
      <c r="BS3547" s="3">
        <v>45805</v>
      </c>
      <c r="BT3547" s="4">
        <v>0.46666666666666667</v>
      </c>
      <c r="BU3547" t="s">
        <v>417</v>
      </c>
      <c r="BV3547" t="s">
        <v>86</v>
      </c>
      <c r="BY3547">
        <v>1200</v>
      </c>
      <c r="CA3547" t="s">
        <v>418</v>
      </c>
      <c r="CC3547" t="s">
        <v>80</v>
      </c>
      <c r="CD3547">
        <v>3610</v>
      </c>
      <c r="CE3547" t="s">
        <v>88</v>
      </c>
      <c r="CF3547" s="3">
        <v>45806</v>
      </c>
      <c r="CI3547">
        <v>1</v>
      </c>
      <c r="CJ3547">
        <v>1</v>
      </c>
      <c r="CK3547">
        <v>21</v>
      </c>
      <c r="CL3547" t="s">
        <v>89</v>
      </c>
    </row>
    <row r="3548" spans="1:90" x14ac:dyDescent="0.3">
      <c r="A3548" t="s">
        <v>72</v>
      </c>
      <c r="B3548" t="s">
        <v>73</v>
      </c>
      <c r="C3548" t="s">
        <v>74</v>
      </c>
      <c r="E3548" t="str">
        <f>"080065597742"</f>
        <v>080065597742</v>
      </c>
      <c r="F3548" s="3">
        <v>45804</v>
      </c>
      <c r="G3548">
        <v>202602</v>
      </c>
      <c r="H3548" t="s">
        <v>75</v>
      </c>
      <c r="I3548" t="s">
        <v>76</v>
      </c>
      <c r="J3548" t="s">
        <v>77</v>
      </c>
      <c r="K3548" t="s">
        <v>78</v>
      </c>
      <c r="L3548" t="s">
        <v>75</v>
      </c>
      <c r="M3548" t="s">
        <v>76</v>
      </c>
      <c r="N3548" t="s">
        <v>3024</v>
      </c>
      <c r="O3548" t="s">
        <v>82</v>
      </c>
      <c r="P3548" t="str">
        <f>"4170040888                    "</f>
        <v xml:space="preserve">4170040888                    </v>
      </c>
      <c r="Q3548">
        <v>0</v>
      </c>
      <c r="R3548">
        <v>0</v>
      </c>
      <c r="S3548">
        <v>0</v>
      </c>
      <c r="T3548">
        <v>0</v>
      </c>
      <c r="U3548">
        <v>0</v>
      </c>
      <c r="V3548">
        <v>0</v>
      </c>
      <c r="W3548">
        <v>0</v>
      </c>
      <c r="X3548">
        <v>0</v>
      </c>
      <c r="Y3548">
        <v>0</v>
      </c>
      <c r="Z3548">
        <v>0</v>
      </c>
      <c r="AA3548">
        <v>0</v>
      </c>
      <c r="AB3548">
        <v>0</v>
      </c>
      <c r="AC3548">
        <v>0</v>
      </c>
      <c r="AD3548">
        <v>0</v>
      </c>
      <c r="AE3548">
        <v>0</v>
      </c>
      <c r="AF3548">
        <v>0</v>
      </c>
      <c r="AG3548">
        <v>0</v>
      </c>
      <c r="AH3548">
        <v>0</v>
      </c>
      <c r="AI3548">
        <v>0</v>
      </c>
      <c r="AJ3548">
        <v>0</v>
      </c>
      <c r="AK3548">
        <v>0</v>
      </c>
      <c r="AL3548">
        <v>0</v>
      </c>
      <c r="AM3548">
        <v>0</v>
      </c>
      <c r="AN3548">
        <v>0</v>
      </c>
      <c r="AO3548">
        <v>0</v>
      </c>
      <c r="AP3548">
        <v>0</v>
      </c>
      <c r="AQ3548">
        <v>16.7</v>
      </c>
      <c r="AR3548">
        <v>0</v>
      </c>
      <c r="AS3548">
        <v>0</v>
      </c>
      <c r="AT3548">
        <v>0</v>
      </c>
      <c r="AU3548">
        <v>0</v>
      </c>
      <c r="AV3548">
        <v>0</v>
      </c>
      <c r="AW3548">
        <v>0</v>
      </c>
      <c r="AX3548">
        <v>0</v>
      </c>
      <c r="AY3548">
        <v>0</v>
      </c>
      <c r="AZ3548">
        <v>0</v>
      </c>
      <c r="BA3548">
        <v>0</v>
      </c>
      <c r="BB3548">
        <v>0</v>
      </c>
      <c r="BC3548">
        <v>0</v>
      </c>
      <c r="BD3548">
        <v>0</v>
      </c>
      <c r="BE3548">
        <v>0</v>
      </c>
      <c r="BF3548">
        <v>0</v>
      </c>
      <c r="BG3548">
        <v>0</v>
      </c>
      <c r="BH3548">
        <v>1</v>
      </c>
      <c r="BI3548">
        <v>2</v>
      </c>
      <c r="BJ3548">
        <v>1.4</v>
      </c>
      <c r="BK3548">
        <v>2</v>
      </c>
      <c r="BL3548">
        <v>54.66</v>
      </c>
      <c r="BM3548">
        <v>8.1999999999999993</v>
      </c>
      <c r="BN3548">
        <v>62.86</v>
      </c>
      <c r="BO3548">
        <v>62.86</v>
      </c>
      <c r="BQ3548" t="s">
        <v>3025</v>
      </c>
      <c r="BR3548" t="s">
        <v>84</v>
      </c>
      <c r="BS3548" s="3">
        <v>45805</v>
      </c>
      <c r="BT3548" s="4">
        <v>0.36458333333333331</v>
      </c>
      <c r="BU3548" t="s">
        <v>3307</v>
      </c>
      <c r="BV3548" t="s">
        <v>86</v>
      </c>
      <c r="BY3548">
        <v>7000</v>
      </c>
      <c r="CA3548" t="s">
        <v>3246</v>
      </c>
      <c r="CC3548" t="s">
        <v>76</v>
      </c>
      <c r="CD3548">
        <v>1668</v>
      </c>
      <c r="CE3548" t="s">
        <v>116</v>
      </c>
      <c r="CF3548" s="3">
        <v>45806</v>
      </c>
      <c r="CI3548">
        <v>1</v>
      </c>
      <c r="CJ3548">
        <v>1</v>
      </c>
      <c r="CK3548">
        <v>22</v>
      </c>
      <c r="CL3548" t="s">
        <v>89</v>
      </c>
    </row>
    <row r="3549" spans="1:90" x14ac:dyDescent="0.3">
      <c r="A3549" t="s">
        <v>72</v>
      </c>
      <c r="B3549" t="s">
        <v>73</v>
      </c>
      <c r="C3549" t="s">
        <v>74</v>
      </c>
      <c r="E3549" t="str">
        <f>"080065597832"</f>
        <v>080065597832</v>
      </c>
      <c r="F3549" s="3">
        <v>45804</v>
      </c>
      <c r="G3549">
        <v>202602</v>
      </c>
      <c r="H3549" t="s">
        <v>75</v>
      </c>
      <c r="I3549" t="s">
        <v>76</v>
      </c>
      <c r="J3549" t="s">
        <v>77</v>
      </c>
      <c r="K3549" t="s">
        <v>78</v>
      </c>
      <c r="L3549" t="s">
        <v>97</v>
      </c>
      <c r="M3549" t="s">
        <v>98</v>
      </c>
      <c r="N3549" t="s">
        <v>2521</v>
      </c>
      <c r="O3549" t="s">
        <v>82</v>
      </c>
      <c r="P3549" t="str">
        <f>"4170040758                    "</f>
        <v xml:space="preserve">4170040758                    </v>
      </c>
      <c r="Q3549">
        <v>0</v>
      </c>
      <c r="R3549">
        <v>0</v>
      </c>
      <c r="S3549">
        <v>0</v>
      </c>
      <c r="T3549">
        <v>0</v>
      </c>
      <c r="U3549">
        <v>0</v>
      </c>
      <c r="V3549">
        <v>0</v>
      </c>
      <c r="W3549">
        <v>0</v>
      </c>
      <c r="X3549">
        <v>0</v>
      </c>
      <c r="Y3549">
        <v>0</v>
      </c>
      <c r="Z3549">
        <v>0</v>
      </c>
      <c r="AA3549">
        <v>0</v>
      </c>
      <c r="AB3549">
        <v>0</v>
      </c>
      <c r="AC3549">
        <v>0</v>
      </c>
      <c r="AD3549">
        <v>0</v>
      </c>
      <c r="AE3549">
        <v>0</v>
      </c>
      <c r="AF3549">
        <v>0</v>
      </c>
      <c r="AG3549">
        <v>0</v>
      </c>
      <c r="AH3549">
        <v>0</v>
      </c>
      <c r="AI3549">
        <v>0</v>
      </c>
      <c r="AJ3549">
        <v>0</v>
      </c>
      <c r="AK3549">
        <v>0</v>
      </c>
      <c r="AL3549">
        <v>0</v>
      </c>
      <c r="AM3549">
        <v>0</v>
      </c>
      <c r="AN3549">
        <v>0</v>
      </c>
      <c r="AO3549">
        <v>0</v>
      </c>
      <c r="AP3549">
        <v>0</v>
      </c>
      <c r="AQ3549">
        <v>16.7</v>
      </c>
      <c r="AR3549">
        <v>0</v>
      </c>
      <c r="AS3549">
        <v>0</v>
      </c>
      <c r="AT3549">
        <v>0</v>
      </c>
      <c r="AU3549">
        <v>0</v>
      </c>
      <c r="AV3549">
        <v>0</v>
      </c>
      <c r="AW3549">
        <v>0</v>
      </c>
      <c r="AX3549">
        <v>0</v>
      </c>
      <c r="AY3549">
        <v>0</v>
      </c>
      <c r="AZ3549">
        <v>0</v>
      </c>
      <c r="BA3549">
        <v>0</v>
      </c>
      <c r="BB3549">
        <v>0</v>
      </c>
      <c r="BC3549">
        <v>0</v>
      </c>
      <c r="BD3549">
        <v>0</v>
      </c>
      <c r="BE3549">
        <v>0</v>
      </c>
      <c r="BF3549">
        <v>0</v>
      </c>
      <c r="BG3549">
        <v>0</v>
      </c>
      <c r="BH3549">
        <v>1</v>
      </c>
      <c r="BI3549">
        <v>1</v>
      </c>
      <c r="BJ3549">
        <v>0.6</v>
      </c>
      <c r="BK3549">
        <v>1</v>
      </c>
      <c r="BL3549">
        <v>54.66</v>
      </c>
      <c r="BM3549">
        <v>8.1999999999999993</v>
      </c>
      <c r="BN3549">
        <v>62.86</v>
      </c>
      <c r="BO3549">
        <v>62.86</v>
      </c>
      <c r="BQ3549" t="s">
        <v>3308</v>
      </c>
      <c r="BR3549" t="s">
        <v>84</v>
      </c>
      <c r="BS3549" s="3">
        <v>45805</v>
      </c>
      <c r="BT3549" s="4">
        <v>0.38124999999999998</v>
      </c>
      <c r="BU3549" t="s">
        <v>3309</v>
      </c>
      <c r="BV3549" t="s">
        <v>86</v>
      </c>
      <c r="BY3549">
        <v>3192</v>
      </c>
      <c r="CA3549" t="s">
        <v>279</v>
      </c>
      <c r="CC3549" t="s">
        <v>98</v>
      </c>
      <c r="CD3549">
        <v>1459</v>
      </c>
      <c r="CE3549" t="s">
        <v>116</v>
      </c>
      <c r="CF3549" s="3">
        <v>45806</v>
      </c>
      <c r="CI3549">
        <v>1</v>
      </c>
      <c r="CJ3549">
        <v>1</v>
      </c>
      <c r="CK3549">
        <v>22</v>
      </c>
      <c r="CL3549" t="s">
        <v>89</v>
      </c>
    </row>
    <row r="3550" spans="1:90" x14ac:dyDescent="0.3">
      <c r="A3550" t="s">
        <v>72</v>
      </c>
      <c r="B3550" t="s">
        <v>73</v>
      </c>
      <c r="C3550" t="s">
        <v>74</v>
      </c>
      <c r="E3550" t="str">
        <f>"080065597859"</f>
        <v>080065597859</v>
      </c>
      <c r="F3550" s="3">
        <v>45804</v>
      </c>
      <c r="G3550">
        <v>202602</v>
      </c>
      <c r="H3550" t="s">
        <v>75</v>
      </c>
      <c r="I3550" t="s">
        <v>76</v>
      </c>
      <c r="J3550" t="s">
        <v>77</v>
      </c>
      <c r="K3550" t="s">
        <v>78</v>
      </c>
      <c r="L3550" t="s">
        <v>350</v>
      </c>
      <c r="M3550" t="s">
        <v>351</v>
      </c>
      <c r="N3550" t="s">
        <v>876</v>
      </c>
      <c r="O3550" t="s">
        <v>82</v>
      </c>
      <c r="P3550" t="str">
        <f>"4170040905                    "</f>
        <v xml:space="preserve">4170040905                    </v>
      </c>
      <c r="Q3550">
        <v>0</v>
      </c>
      <c r="R3550">
        <v>0</v>
      </c>
      <c r="S3550">
        <v>0</v>
      </c>
      <c r="T3550">
        <v>0</v>
      </c>
      <c r="U3550">
        <v>0</v>
      </c>
      <c r="V3550">
        <v>0</v>
      </c>
      <c r="W3550">
        <v>0</v>
      </c>
      <c r="X3550">
        <v>0</v>
      </c>
      <c r="Y3550">
        <v>0</v>
      </c>
      <c r="Z3550">
        <v>0</v>
      </c>
      <c r="AA3550">
        <v>0</v>
      </c>
      <c r="AB3550">
        <v>0</v>
      </c>
      <c r="AC3550">
        <v>0</v>
      </c>
      <c r="AD3550">
        <v>0</v>
      </c>
      <c r="AE3550">
        <v>0</v>
      </c>
      <c r="AF3550">
        <v>0</v>
      </c>
      <c r="AG3550">
        <v>0</v>
      </c>
      <c r="AH3550">
        <v>0</v>
      </c>
      <c r="AI3550">
        <v>0</v>
      </c>
      <c r="AJ3550">
        <v>0</v>
      </c>
      <c r="AK3550">
        <v>0</v>
      </c>
      <c r="AL3550">
        <v>0</v>
      </c>
      <c r="AM3550">
        <v>0</v>
      </c>
      <c r="AN3550">
        <v>0</v>
      </c>
      <c r="AO3550">
        <v>0</v>
      </c>
      <c r="AP3550">
        <v>0</v>
      </c>
      <c r="AQ3550">
        <v>53.43</v>
      </c>
      <c r="AR3550">
        <v>0</v>
      </c>
      <c r="AS3550">
        <v>0</v>
      </c>
      <c r="AT3550">
        <v>0</v>
      </c>
      <c r="AU3550">
        <v>0</v>
      </c>
      <c r="AV3550">
        <v>0</v>
      </c>
      <c r="AW3550">
        <v>0</v>
      </c>
      <c r="AX3550">
        <v>0</v>
      </c>
      <c r="AY3550">
        <v>0</v>
      </c>
      <c r="AZ3550">
        <v>0</v>
      </c>
      <c r="BA3550">
        <v>0</v>
      </c>
      <c r="BB3550">
        <v>0</v>
      </c>
      <c r="BC3550">
        <v>0</v>
      </c>
      <c r="BD3550">
        <v>0</v>
      </c>
      <c r="BE3550">
        <v>0</v>
      </c>
      <c r="BF3550">
        <v>0</v>
      </c>
      <c r="BG3550">
        <v>0</v>
      </c>
      <c r="BH3550">
        <v>1</v>
      </c>
      <c r="BI3550">
        <v>5</v>
      </c>
      <c r="BJ3550">
        <v>1.7</v>
      </c>
      <c r="BK3550">
        <v>5</v>
      </c>
      <c r="BL3550">
        <v>174.87</v>
      </c>
      <c r="BM3550">
        <v>26.23</v>
      </c>
      <c r="BN3550">
        <v>201.1</v>
      </c>
      <c r="BO3550">
        <v>201.1</v>
      </c>
      <c r="BQ3550" t="s">
        <v>1409</v>
      </c>
      <c r="BR3550" t="s">
        <v>84</v>
      </c>
      <c r="BS3550" s="3">
        <v>45805</v>
      </c>
      <c r="BT3550" s="4">
        <v>0.38958333333333334</v>
      </c>
      <c r="BU3550" t="s">
        <v>1155</v>
      </c>
      <c r="BV3550" t="s">
        <v>86</v>
      </c>
      <c r="BY3550">
        <v>8512</v>
      </c>
      <c r="CA3550" t="s">
        <v>1410</v>
      </c>
      <c r="CC3550" t="s">
        <v>351</v>
      </c>
      <c r="CD3550">
        <v>4001</v>
      </c>
      <c r="CE3550" t="s">
        <v>116</v>
      </c>
      <c r="CF3550" s="3">
        <v>45805</v>
      </c>
      <c r="CI3550">
        <v>1</v>
      </c>
      <c r="CJ3550">
        <v>1</v>
      </c>
      <c r="CK3550">
        <v>21</v>
      </c>
      <c r="CL3550" t="s">
        <v>89</v>
      </c>
    </row>
    <row r="3551" spans="1:90" x14ac:dyDescent="0.3">
      <c r="A3551" t="s">
        <v>72</v>
      </c>
      <c r="B3551" t="s">
        <v>73</v>
      </c>
      <c r="C3551" t="s">
        <v>74</v>
      </c>
      <c r="E3551" t="str">
        <f>"080065597899"</f>
        <v>080065597899</v>
      </c>
      <c r="F3551" s="3">
        <v>45804</v>
      </c>
      <c r="G3551">
        <v>202602</v>
      </c>
      <c r="H3551" t="s">
        <v>75</v>
      </c>
      <c r="I3551" t="s">
        <v>76</v>
      </c>
      <c r="J3551" t="s">
        <v>77</v>
      </c>
      <c r="K3551" t="s">
        <v>78</v>
      </c>
      <c r="L3551" t="s">
        <v>130</v>
      </c>
      <c r="M3551" t="s">
        <v>131</v>
      </c>
      <c r="N3551" t="s">
        <v>1481</v>
      </c>
      <c r="O3551" t="s">
        <v>82</v>
      </c>
      <c r="P3551" t="str">
        <f>"4170040984                    "</f>
        <v xml:space="preserve">4170040984                    </v>
      </c>
      <c r="Q3551">
        <v>0</v>
      </c>
      <c r="R3551">
        <v>0</v>
      </c>
      <c r="S3551">
        <v>0</v>
      </c>
      <c r="T3551">
        <v>0</v>
      </c>
      <c r="U3551">
        <v>0</v>
      </c>
      <c r="V3551">
        <v>0</v>
      </c>
      <c r="W3551">
        <v>0</v>
      </c>
      <c r="X3551">
        <v>0</v>
      </c>
      <c r="Y3551">
        <v>0</v>
      </c>
      <c r="Z3551">
        <v>0</v>
      </c>
      <c r="AA3551">
        <v>0</v>
      </c>
      <c r="AB3551">
        <v>0</v>
      </c>
      <c r="AC3551">
        <v>0</v>
      </c>
      <c r="AD3551">
        <v>0</v>
      </c>
      <c r="AE3551">
        <v>0</v>
      </c>
      <c r="AF3551">
        <v>0</v>
      </c>
      <c r="AG3551">
        <v>0</v>
      </c>
      <c r="AH3551">
        <v>0</v>
      </c>
      <c r="AI3551">
        <v>0</v>
      </c>
      <c r="AJ3551">
        <v>0</v>
      </c>
      <c r="AK3551">
        <v>0</v>
      </c>
      <c r="AL3551">
        <v>0</v>
      </c>
      <c r="AM3551">
        <v>0</v>
      </c>
      <c r="AN3551">
        <v>0</v>
      </c>
      <c r="AO3551">
        <v>0</v>
      </c>
      <c r="AP3551">
        <v>0</v>
      </c>
      <c r="AQ3551">
        <v>21.38</v>
      </c>
      <c r="AR3551">
        <v>0</v>
      </c>
      <c r="AS3551">
        <v>0</v>
      </c>
      <c r="AT3551">
        <v>0</v>
      </c>
      <c r="AU3551">
        <v>0</v>
      </c>
      <c r="AV3551">
        <v>0</v>
      </c>
      <c r="AW3551">
        <v>0</v>
      </c>
      <c r="AX3551">
        <v>0</v>
      </c>
      <c r="AY3551">
        <v>0</v>
      </c>
      <c r="AZ3551">
        <v>0</v>
      </c>
      <c r="BA3551">
        <v>0</v>
      </c>
      <c r="BB3551">
        <v>0</v>
      </c>
      <c r="BC3551">
        <v>0</v>
      </c>
      <c r="BD3551">
        <v>0</v>
      </c>
      <c r="BE3551">
        <v>0</v>
      </c>
      <c r="BF3551">
        <v>0</v>
      </c>
      <c r="BG3551">
        <v>0</v>
      </c>
      <c r="BH3551">
        <v>1</v>
      </c>
      <c r="BI3551">
        <v>2</v>
      </c>
      <c r="BJ3551">
        <v>1.4</v>
      </c>
      <c r="BK3551">
        <v>2</v>
      </c>
      <c r="BL3551">
        <v>69.98</v>
      </c>
      <c r="BM3551">
        <v>10.5</v>
      </c>
      <c r="BN3551">
        <v>80.48</v>
      </c>
      <c r="BO3551">
        <v>80.48</v>
      </c>
      <c r="BQ3551" t="s">
        <v>1482</v>
      </c>
      <c r="BR3551" t="s">
        <v>84</v>
      </c>
      <c r="BS3551" s="3">
        <v>45805</v>
      </c>
      <c r="BT3551" s="4">
        <v>0.54027777777777775</v>
      </c>
      <c r="BU3551" t="s">
        <v>3310</v>
      </c>
      <c r="BV3551" t="s">
        <v>86</v>
      </c>
      <c r="BY3551">
        <v>7000</v>
      </c>
      <c r="CA3551" t="s">
        <v>3311</v>
      </c>
      <c r="CC3551" t="s">
        <v>131</v>
      </c>
      <c r="CD3551">
        <v>7975</v>
      </c>
      <c r="CE3551" t="s">
        <v>116</v>
      </c>
      <c r="CF3551" s="3">
        <v>45806</v>
      </c>
      <c r="CI3551">
        <v>1</v>
      </c>
      <c r="CJ3551">
        <v>1</v>
      </c>
      <c r="CK3551">
        <v>21</v>
      </c>
      <c r="CL3551" t="s">
        <v>89</v>
      </c>
    </row>
    <row r="3552" spans="1:90" x14ac:dyDescent="0.3">
      <c r="A3552" t="s">
        <v>72</v>
      </c>
      <c r="B3552" t="s">
        <v>73</v>
      </c>
      <c r="C3552" t="s">
        <v>74</v>
      </c>
      <c r="E3552" t="str">
        <f>"080065597923"</f>
        <v>080065597923</v>
      </c>
      <c r="F3552" s="3">
        <v>45804</v>
      </c>
      <c r="G3552">
        <v>202602</v>
      </c>
      <c r="H3552" t="s">
        <v>75</v>
      </c>
      <c r="I3552" t="s">
        <v>76</v>
      </c>
      <c r="J3552" t="s">
        <v>77</v>
      </c>
      <c r="K3552" t="s">
        <v>78</v>
      </c>
      <c r="L3552" t="s">
        <v>409</v>
      </c>
      <c r="M3552" t="s">
        <v>410</v>
      </c>
      <c r="N3552" t="s">
        <v>411</v>
      </c>
      <c r="O3552" t="s">
        <v>82</v>
      </c>
      <c r="P3552" t="str">
        <f>"4170040781                    "</f>
        <v xml:space="preserve">4170040781                    </v>
      </c>
      <c r="Q3552">
        <v>0</v>
      </c>
      <c r="R3552">
        <v>0</v>
      </c>
      <c r="S3552">
        <v>0</v>
      </c>
      <c r="T3552">
        <v>0</v>
      </c>
      <c r="U3552">
        <v>0</v>
      </c>
      <c r="V3552">
        <v>0</v>
      </c>
      <c r="W3552">
        <v>0</v>
      </c>
      <c r="X3552">
        <v>0</v>
      </c>
      <c r="Y3552">
        <v>0</v>
      </c>
      <c r="Z3552">
        <v>0</v>
      </c>
      <c r="AA3552">
        <v>0</v>
      </c>
      <c r="AB3552">
        <v>0</v>
      </c>
      <c r="AC3552">
        <v>0</v>
      </c>
      <c r="AD3552">
        <v>0</v>
      </c>
      <c r="AE3552">
        <v>0</v>
      </c>
      <c r="AF3552">
        <v>0</v>
      </c>
      <c r="AG3552">
        <v>0</v>
      </c>
      <c r="AH3552">
        <v>0</v>
      </c>
      <c r="AI3552">
        <v>0</v>
      </c>
      <c r="AJ3552">
        <v>0</v>
      </c>
      <c r="AK3552">
        <v>0</v>
      </c>
      <c r="AL3552">
        <v>0</v>
      </c>
      <c r="AM3552">
        <v>0</v>
      </c>
      <c r="AN3552">
        <v>0</v>
      </c>
      <c r="AO3552">
        <v>0</v>
      </c>
      <c r="AP3552">
        <v>0</v>
      </c>
      <c r="AQ3552">
        <v>172.39</v>
      </c>
      <c r="AR3552">
        <v>0</v>
      </c>
      <c r="AS3552">
        <v>0</v>
      </c>
      <c r="AT3552">
        <v>0</v>
      </c>
      <c r="AU3552">
        <v>0</v>
      </c>
      <c r="AV3552">
        <v>0</v>
      </c>
      <c r="AW3552">
        <v>0</v>
      </c>
      <c r="AX3552">
        <v>0</v>
      </c>
      <c r="AY3552">
        <v>0</v>
      </c>
      <c r="AZ3552">
        <v>0</v>
      </c>
      <c r="BA3552">
        <v>0</v>
      </c>
      <c r="BB3552">
        <v>0</v>
      </c>
      <c r="BC3552">
        <v>0</v>
      </c>
      <c r="BD3552">
        <v>0</v>
      </c>
      <c r="BE3552">
        <v>0</v>
      </c>
      <c r="BF3552">
        <v>0</v>
      </c>
      <c r="BG3552">
        <v>0</v>
      </c>
      <c r="BH3552">
        <v>1</v>
      </c>
      <c r="BI3552">
        <v>8</v>
      </c>
      <c r="BJ3552">
        <v>8.9</v>
      </c>
      <c r="BK3552">
        <v>9</v>
      </c>
      <c r="BL3552">
        <v>564.19000000000005</v>
      </c>
      <c r="BM3552">
        <v>84.63</v>
      </c>
      <c r="BN3552">
        <v>648.82000000000005</v>
      </c>
      <c r="BO3552">
        <v>648.82000000000005</v>
      </c>
      <c r="BQ3552" t="s">
        <v>412</v>
      </c>
      <c r="BR3552" t="s">
        <v>84</v>
      </c>
      <c r="BS3552" s="3">
        <v>45805</v>
      </c>
      <c r="BT3552" s="4">
        <v>0.48472222222222222</v>
      </c>
      <c r="BU3552" t="s">
        <v>413</v>
      </c>
      <c r="BV3552" t="s">
        <v>86</v>
      </c>
      <c r="BY3552">
        <v>44640</v>
      </c>
      <c r="CA3552" t="s">
        <v>414</v>
      </c>
      <c r="CC3552" t="s">
        <v>410</v>
      </c>
      <c r="CD3552">
        <v>6850</v>
      </c>
      <c r="CE3552" t="s">
        <v>96</v>
      </c>
      <c r="CF3552" s="3">
        <v>45806</v>
      </c>
      <c r="CI3552">
        <v>2</v>
      </c>
      <c r="CJ3552">
        <v>1</v>
      </c>
      <c r="CK3552">
        <v>23</v>
      </c>
      <c r="CL3552" t="s">
        <v>89</v>
      </c>
    </row>
    <row r="3553" spans="1:90" x14ac:dyDescent="0.3">
      <c r="A3553" t="s">
        <v>72</v>
      </c>
      <c r="B3553" t="s">
        <v>73</v>
      </c>
      <c r="C3553" t="s">
        <v>74</v>
      </c>
      <c r="E3553" t="str">
        <f>"080065597957"</f>
        <v>080065597957</v>
      </c>
      <c r="F3553" s="3">
        <v>45804</v>
      </c>
      <c r="G3553">
        <v>202602</v>
      </c>
      <c r="H3553" t="s">
        <v>75</v>
      </c>
      <c r="I3553" t="s">
        <v>76</v>
      </c>
      <c r="J3553" t="s">
        <v>77</v>
      </c>
      <c r="K3553" t="s">
        <v>78</v>
      </c>
      <c r="L3553" t="s">
        <v>136</v>
      </c>
      <c r="M3553" t="s">
        <v>137</v>
      </c>
      <c r="N3553" t="s">
        <v>3312</v>
      </c>
      <c r="O3553" t="s">
        <v>300</v>
      </c>
      <c r="P3553" t="str">
        <f>"4170040899                    "</f>
        <v xml:space="preserve">4170040899                    </v>
      </c>
      <c r="Q3553">
        <v>0</v>
      </c>
      <c r="R3553">
        <v>0</v>
      </c>
      <c r="S3553">
        <v>0</v>
      </c>
      <c r="T3553">
        <v>0</v>
      </c>
      <c r="U3553">
        <v>0</v>
      </c>
      <c r="V3553">
        <v>0</v>
      </c>
      <c r="W3553">
        <v>0</v>
      </c>
      <c r="X3553">
        <v>0</v>
      </c>
      <c r="Y3553">
        <v>0</v>
      </c>
      <c r="Z3553">
        <v>0</v>
      </c>
      <c r="AA3553">
        <v>0</v>
      </c>
      <c r="AB3553">
        <v>0</v>
      </c>
      <c r="AC3553">
        <v>0</v>
      </c>
      <c r="AD3553">
        <v>0</v>
      </c>
      <c r="AE3553">
        <v>0</v>
      </c>
      <c r="AF3553">
        <v>0</v>
      </c>
      <c r="AG3553">
        <v>0</v>
      </c>
      <c r="AH3553">
        <v>0</v>
      </c>
      <c r="AI3553">
        <v>0</v>
      </c>
      <c r="AJ3553">
        <v>0</v>
      </c>
      <c r="AK3553">
        <v>0</v>
      </c>
      <c r="AL3553">
        <v>0</v>
      </c>
      <c r="AM3553">
        <v>0</v>
      </c>
      <c r="AN3553">
        <v>0</v>
      </c>
      <c r="AO3553">
        <v>0</v>
      </c>
      <c r="AP3553">
        <v>0</v>
      </c>
      <c r="AQ3553">
        <v>46.47</v>
      </c>
      <c r="AR3553">
        <v>0</v>
      </c>
      <c r="AS3553">
        <v>0</v>
      </c>
      <c r="AT3553">
        <v>0</v>
      </c>
      <c r="AU3553">
        <v>0</v>
      </c>
      <c r="AV3553">
        <v>0</v>
      </c>
      <c r="AW3553">
        <v>0</v>
      </c>
      <c r="AX3553">
        <v>0</v>
      </c>
      <c r="AY3553">
        <v>0</v>
      </c>
      <c r="AZ3553">
        <v>0</v>
      </c>
      <c r="BA3553">
        <v>0</v>
      </c>
      <c r="BB3553">
        <v>0</v>
      </c>
      <c r="BC3553">
        <v>0</v>
      </c>
      <c r="BD3553">
        <v>0</v>
      </c>
      <c r="BE3553">
        <v>0</v>
      </c>
      <c r="BF3553">
        <v>0</v>
      </c>
      <c r="BG3553">
        <v>0</v>
      </c>
      <c r="BH3553">
        <v>2</v>
      </c>
      <c r="BI3553">
        <v>18</v>
      </c>
      <c r="BJ3553">
        <v>7.5</v>
      </c>
      <c r="BK3553">
        <v>18</v>
      </c>
      <c r="BL3553">
        <v>157.66</v>
      </c>
      <c r="BM3553">
        <v>23.65</v>
      </c>
      <c r="BN3553">
        <v>181.31</v>
      </c>
      <c r="BO3553">
        <v>181.31</v>
      </c>
      <c r="BQ3553" t="s">
        <v>3313</v>
      </c>
      <c r="BR3553" t="s">
        <v>84</v>
      </c>
      <c r="BS3553" s="3">
        <v>45805</v>
      </c>
      <c r="BT3553" s="4">
        <v>0.4597222222222222</v>
      </c>
      <c r="BU3553" t="s">
        <v>1785</v>
      </c>
      <c r="BV3553" t="s">
        <v>86</v>
      </c>
      <c r="BY3553">
        <v>18792</v>
      </c>
      <c r="CA3553" t="s">
        <v>141</v>
      </c>
      <c r="CC3553" t="s">
        <v>137</v>
      </c>
      <c r="CD3553" s="5" t="s">
        <v>738</v>
      </c>
      <c r="CE3553" t="s">
        <v>550</v>
      </c>
      <c r="CF3553" s="3">
        <v>45805</v>
      </c>
      <c r="CI3553">
        <v>1</v>
      </c>
      <c r="CJ3553">
        <v>1</v>
      </c>
      <c r="CK3553">
        <v>41</v>
      </c>
      <c r="CL3553" t="s">
        <v>89</v>
      </c>
    </row>
    <row r="3554" spans="1:90" x14ac:dyDescent="0.3">
      <c r="A3554" t="s">
        <v>72</v>
      </c>
      <c r="B3554" t="s">
        <v>73</v>
      </c>
      <c r="C3554" t="s">
        <v>74</v>
      </c>
      <c r="E3554" t="str">
        <f>"080065597991"</f>
        <v>080065597991</v>
      </c>
      <c r="F3554" s="3">
        <v>45804</v>
      </c>
      <c r="G3554">
        <v>202602</v>
      </c>
      <c r="H3554" t="s">
        <v>75</v>
      </c>
      <c r="I3554" t="s">
        <v>76</v>
      </c>
      <c r="J3554" t="s">
        <v>77</v>
      </c>
      <c r="K3554" t="s">
        <v>78</v>
      </c>
      <c r="L3554" t="s">
        <v>75</v>
      </c>
      <c r="M3554" t="s">
        <v>76</v>
      </c>
      <c r="N3554" t="s">
        <v>183</v>
      </c>
      <c r="O3554" t="s">
        <v>82</v>
      </c>
      <c r="P3554" t="str">
        <f>"4170040778                    "</f>
        <v xml:space="preserve">4170040778                    </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c r="AI3554">
        <v>0</v>
      </c>
      <c r="AJ3554">
        <v>0</v>
      </c>
      <c r="AK3554">
        <v>0</v>
      </c>
      <c r="AL3554">
        <v>0</v>
      </c>
      <c r="AM3554">
        <v>0</v>
      </c>
      <c r="AN3554">
        <v>0</v>
      </c>
      <c r="AO3554">
        <v>0</v>
      </c>
      <c r="AP3554">
        <v>0</v>
      </c>
      <c r="AQ3554">
        <v>16.7</v>
      </c>
      <c r="AR3554">
        <v>0</v>
      </c>
      <c r="AS3554">
        <v>0</v>
      </c>
      <c r="AT3554">
        <v>0</v>
      </c>
      <c r="AU3554">
        <v>0</v>
      </c>
      <c r="AV3554">
        <v>0</v>
      </c>
      <c r="AW3554">
        <v>0</v>
      </c>
      <c r="AX3554">
        <v>0</v>
      </c>
      <c r="AY3554">
        <v>0</v>
      </c>
      <c r="AZ3554">
        <v>0</v>
      </c>
      <c r="BA3554">
        <v>0</v>
      </c>
      <c r="BB3554">
        <v>0</v>
      </c>
      <c r="BC3554">
        <v>0</v>
      </c>
      <c r="BD3554">
        <v>0</v>
      </c>
      <c r="BE3554">
        <v>0</v>
      </c>
      <c r="BF3554">
        <v>0</v>
      </c>
      <c r="BG3554">
        <v>0</v>
      </c>
      <c r="BH3554">
        <v>1</v>
      </c>
      <c r="BI3554">
        <v>1</v>
      </c>
      <c r="BJ3554">
        <v>0.2</v>
      </c>
      <c r="BK3554">
        <v>1</v>
      </c>
      <c r="BL3554">
        <v>54.66</v>
      </c>
      <c r="BM3554">
        <v>8.1999999999999993</v>
      </c>
      <c r="BN3554">
        <v>62.86</v>
      </c>
      <c r="BO3554">
        <v>62.86</v>
      </c>
      <c r="BQ3554" t="s">
        <v>184</v>
      </c>
      <c r="BR3554" t="s">
        <v>84</v>
      </c>
      <c r="BS3554" s="3">
        <v>45805</v>
      </c>
      <c r="BT3554" s="4">
        <v>0.29166666666666669</v>
      </c>
      <c r="BU3554" t="s">
        <v>185</v>
      </c>
      <c r="BV3554" t="s">
        <v>86</v>
      </c>
      <c r="BY3554">
        <v>1200</v>
      </c>
      <c r="CA3554" t="s">
        <v>115</v>
      </c>
      <c r="CC3554" t="s">
        <v>76</v>
      </c>
      <c r="CD3554">
        <v>1600</v>
      </c>
      <c r="CE3554" t="s">
        <v>1193</v>
      </c>
      <c r="CF3554" s="3">
        <v>45805</v>
      </c>
      <c r="CI3554">
        <v>1</v>
      </c>
      <c r="CJ3554">
        <v>1</v>
      </c>
      <c r="CK3554">
        <v>22</v>
      </c>
      <c r="CL3554" t="s">
        <v>89</v>
      </c>
    </row>
    <row r="3555" spans="1:90" x14ac:dyDescent="0.3">
      <c r="A3555" t="s">
        <v>72</v>
      </c>
      <c r="B3555" t="s">
        <v>73</v>
      </c>
      <c r="C3555" t="s">
        <v>74</v>
      </c>
      <c r="E3555" t="str">
        <f>"080065598024"</f>
        <v>080065598024</v>
      </c>
      <c r="F3555" s="3">
        <v>45804</v>
      </c>
      <c r="G3555">
        <v>202602</v>
      </c>
      <c r="H3555" t="s">
        <v>75</v>
      </c>
      <c r="I3555" t="s">
        <v>76</v>
      </c>
      <c r="J3555" t="s">
        <v>77</v>
      </c>
      <c r="K3555" t="s">
        <v>78</v>
      </c>
      <c r="L3555" t="s">
        <v>136</v>
      </c>
      <c r="M3555" t="s">
        <v>137</v>
      </c>
      <c r="N3555" t="s">
        <v>499</v>
      </c>
      <c r="O3555" t="s">
        <v>300</v>
      </c>
      <c r="P3555" t="str">
        <f>"4170040918                    "</f>
        <v xml:space="preserve">4170040918                    </v>
      </c>
      <c r="Q3555">
        <v>0</v>
      </c>
      <c r="R3555">
        <v>0</v>
      </c>
      <c r="S3555">
        <v>0</v>
      </c>
      <c r="T3555">
        <v>0</v>
      </c>
      <c r="U3555">
        <v>0</v>
      </c>
      <c r="V3555">
        <v>0</v>
      </c>
      <c r="W3555">
        <v>0</v>
      </c>
      <c r="X3555">
        <v>0</v>
      </c>
      <c r="Y3555">
        <v>0</v>
      </c>
      <c r="Z3555">
        <v>0</v>
      </c>
      <c r="AA3555">
        <v>0</v>
      </c>
      <c r="AB3555">
        <v>0</v>
      </c>
      <c r="AC3555">
        <v>0</v>
      </c>
      <c r="AD3555">
        <v>0</v>
      </c>
      <c r="AE3555">
        <v>0</v>
      </c>
      <c r="AF3555">
        <v>0</v>
      </c>
      <c r="AG3555">
        <v>0</v>
      </c>
      <c r="AH3555">
        <v>0</v>
      </c>
      <c r="AI3555">
        <v>0</v>
      </c>
      <c r="AJ3555">
        <v>0</v>
      </c>
      <c r="AK3555">
        <v>0</v>
      </c>
      <c r="AL3555">
        <v>0</v>
      </c>
      <c r="AM3555">
        <v>0</v>
      </c>
      <c r="AN3555">
        <v>0</v>
      </c>
      <c r="AO3555">
        <v>0</v>
      </c>
      <c r="AP3555">
        <v>0</v>
      </c>
      <c r="AQ3555">
        <v>41.35</v>
      </c>
      <c r="AR3555">
        <v>0</v>
      </c>
      <c r="AS3555">
        <v>0</v>
      </c>
      <c r="AT3555">
        <v>0</v>
      </c>
      <c r="AU3555">
        <v>0</v>
      </c>
      <c r="AV3555">
        <v>0</v>
      </c>
      <c r="AW3555">
        <v>0</v>
      </c>
      <c r="AX3555">
        <v>0</v>
      </c>
      <c r="AY3555">
        <v>0</v>
      </c>
      <c r="AZ3555">
        <v>0</v>
      </c>
      <c r="BA3555">
        <v>0</v>
      </c>
      <c r="BB3555">
        <v>0</v>
      </c>
      <c r="BC3555">
        <v>0</v>
      </c>
      <c r="BD3555">
        <v>0</v>
      </c>
      <c r="BE3555">
        <v>0</v>
      </c>
      <c r="BF3555">
        <v>0</v>
      </c>
      <c r="BG3555">
        <v>0</v>
      </c>
      <c r="BH3555">
        <v>1</v>
      </c>
      <c r="BI3555">
        <v>6</v>
      </c>
      <c r="BJ3555">
        <v>11.6</v>
      </c>
      <c r="BK3555">
        <v>12</v>
      </c>
      <c r="BL3555">
        <v>140.9</v>
      </c>
      <c r="BM3555">
        <v>21.14</v>
      </c>
      <c r="BN3555">
        <v>162.04</v>
      </c>
      <c r="BO3555">
        <v>162.04</v>
      </c>
      <c r="BQ3555" t="s">
        <v>500</v>
      </c>
      <c r="BR3555" t="s">
        <v>84</v>
      </c>
      <c r="BS3555" s="3">
        <v>45805</v>
      </c>
      <c r="BT3555" s="4">
        <v>0.42152777777777778</v>
      </c>
      <c r="BU3555" t="s">
        <v>3314</v>
      </c>
      <c r="BV3555" t="s">
        <v>86</v>
      </c>
      <c r="BY3555">
        <v>57760</v>
      </c>
      <c r="CA3555" t="s">
        <v>141</v>
      </c>
      <c r="CC3555" t="s">
        <v>137</v>
      </c>
      <c r="CD3555" s="5" t="s">
        <v>142</v>
      </c>
      <c r="CE3555" t="s">
        <v>221</v>
      </c>
      <c r="CF3555" s="3">
        <v>45805</v>
      </c>
      <c r="CI3555">
        <v>1</v>
      </c>
      <c r="CJ3555">
        <v>1</v>
      </c>
      <c r="CK3555">
        <v>41</v>
      </c>
      <c r="CL3555" t="s">
        <v>89</v>
      </c>
    </row>
    <row r="3556" spans="1:90" x14ac:dyDescent="0.3">
      <c r="A3556" t="s">
        <v>72</v>
      </c>
      <c r="B3556" t="s">
        <v>73</v>
      </c>
      <c r="C3556" t="s">
        <v>74</v>
      </c>
      <c r="E3556" t="str">
        <f>"080065598541"</f>
        <v>080065598541</v>
      </c>
      <c r="F3556" s="3">
        <v>45804</v>
      </c>
      <c r="G3556">
        <v>202602</v>
      </c>
      <c r="H3556" t="s">
        <v>75</v>
      </c>
      <c r="I3556" t="s">
        <v>76</v>
      </c>
      <c r="J3556" t="s">
        <v>77</v>
      </c>
      <c r="K3556" t="s">
        <v>78</v>
      </c>
      <c r="L3556" t="s">
        <v>79</v>
      </c>
      <c r="M3556" t="s">
        <v>80</v>
      </c>
      <c r="N3556" t="s">
        <v>415</v>
      </c>
      <c r="O3556" t="s">
        <v>300</v>
      </c>
      <c r="P3556" t="str">
        <f>"4170040795                    "</f>
        <v xml:space="preserve">4170040795                    </v>
      </c>
      <c r="Q3556">
        <v>0</v>
      </c>
      <c r="R3556">
        <v>0</v>
      </c>
      <c r="S3556">
        <v>0</v>
      </c>
      <c r="T3556">
        <v>0</v>
      </c>
      <c r="U3556">
        <v>0</v>
      </c>
      <c r="V3556">
        <v>0</v>
      </c>
      <c r="W3556">
        <v>0</v>
      </c>
      <c r="X3556">
        <v>0</v>
      </c>
      <c r="Y3556">
        <v>0</v>
      </c>
      <c r="Z3556">
        <v>0</v>
      </c>
      <c r="AA3556">
        <v>0</v>
      </c>
      <c r="AB3556">
        <v>0</v>
      </c>
      <c r="AC3556">
        <v>0</v>
      </c>
      <c r="AD3556">
        <v>0</v>
      </c>
      <c r="AE3556">
        <v>0</v>
      </c>
      <c r="AF3556">
        <v>0</v>
      </c>
      <c r="AG3556">
        <v>0</v>
      </c>
      <c r="AH3556">
        <v>0</v>
      </c>
      <c r="AI3556">
        <v>0</v>
      </c>
      <c r="AJ3556">
        <v>0</v>
      </c>
      <c r="AK3556">
        <v>0</v>
      </c>
      <c r="AL3556">
        <v>0</v>
      </c>
      <c r="AM3556">
        <v>0</v>
      </c>
      <c r="AN3556">
        <v>0</v>
      </c>
      <c r="AO3556">
        <v>0</v>
      </c>
      <c r="AP3556">
        <v>0</v>
      </c>
      <c r="AQ3556">
        <v>68.67</v>
      </c>
      <c r="AR3556">
        <v>0</v>
      </c>
      <c r="AS3556">
        <v>0</v>
      </c>
      <c r="AT3556">
        <v>0</v>
      </c>
      <c r="AU3556">
        <v>0</v>
      </c>
      <c r="AV3556">
        <v>0</v>
      </c>
      <c r="AW3556">
        <v>0</v>
      </c>
      <c r="AX3556">
        <v>0</v>
      </c>
      <c r="AY3556">
        <v>0</v>
      </c>
      <c r="AZ3556">
        <v>0</v>
      </c>
      <c r="BA3556">
        <v>0</v>
      </c>
      <c r="BB3556">
        <v>0</v>
      </c>
      <c r="BC3556">
        <v>0</v>
      </c>
      <c r="BD3556">
        <v>0</v>
      </c>
      <c r="BE3556">
        <v>0</v>
      </c>
      <c r="BF3556">
        <v>0</v>
      </c>
      <c r="BG3556">
        <v>0</v>
      </c>
      <c r="BH3556">
        <v>1</v>
      </c>
      <c r="BI3556">
        <v>19</v>
      </c>
      <c r="BJ3556">
        <v>30.9</v>
      </c>
      <c r="BK3556">
        <v>31</v>
      </c>
      <c r="BL3556">
        <v>230.3</v>
      </c>
      <c r="BM3556">
        <v>34.549999999999997</v>
      </c>
      <c r="BN3556">
        <v>264.85000000000002</v>
      </c>
      <c r="BO3556">
        <v>264.85000000000002</v>
      </c>
      <c r="BQ3556" t="s">
        <v>416</v>
      </c>
      <c r="BR3556" t="s">
        <v>84</v>
      </c>
      <c r="BS3556" s="3">
        <v>45805</v>
      </c>
      <c r="BT3556" s="4">
        <v>0.78402777777777777</v>
      </c>
      <c r="BU3556" t="s">
        <v>3315</v>
      </c>
      <c r="BV3556" t="s">
        <v>86</v>
      </c>
      <c r="BY3556">
        <v>154560</v>
      </c>
      <c r="CA3556" t="s">
        <v>3316</v>
      </c>
      <c r="CC3556" t="s">
        <v>80</v>
      </c>
      <c r="CD3556">
        <v>3610</v>
      </c>
      <c r="CE3556" t="s">
        <v>96</v>
      </c>
      <c r="CF3556" s="3">
        <v>45805</v>
      </c>
      <c r="CI3556">
        <v>1</v>
      </c>
      <c r="CJ3556">
        <v>1</v>
      </c>
      <c r="CK3556">
        <v>41</v>
      </c>
      <c r="CL3556" t="s">
        <v>89</v>
      </c>
    </row>
    <row r="3557" spans="1:90" x14ac:dyDescent="0.3">
      <c r="A3557" t="s">
        <v>72</v>
      </c>
      <c r="B3557" t="s">
        <v>73</v>
      </c>
      <c r="C3557" t="s">
        <v>74</v>
      </c>
      <c r="E3557" t="str">
        <f>"080065598744"</f>
        <v>080065598744</v>
      </c>
      <c r="F3557" s="3">
        <v>45804</v>
      </c>
      <c r="G3557">
        <v>202602</v>
      </c>
      <c r="H3557" t="s">
        <v>75</v>
      </c>
      <c r="I3557" t="s">
        <v>76</v>
      </c>
      <c r="J3557" t="s">
        <v>77</v>
      </c>
      <c r="K3557" t="s">
        <v>78</v>
      </c>
      <c r="L3557" t="s">
        <v>143</v>
      </c>
      <c r="M3557" t="s">
        <v>144</v>
      </c>
      <c r="N3557" t="s">
        <v>1312</v>
      </c>
      <c r="O3557" t="s">
        <v>300</v>
      </c>
      <c r="P3557" t="str">
        <f>"4170040951                    "</f>
        <v xml:space="preserve">4170040951                    </v>
      </c>
      <c r="Q3557">
        <v>0</v>
      </c>
      <c r="R3557">
        <v>0</v>
      </c>
      <c r="S3557">
        <v>0</v>
      </c>
      <c r="T3557">
        <v>0</v>
      </c>
      <c r="U3557">
        <v>0</v>
      </c>
      <c r="V3557">
        <v>0</v>
      </c>
      <c r="W3557">
        <v>0</v>
      </c>
      <c r="X3557">
        <v>0</v>
      </c>
      <c r="Y3557">
        <v>0</v>
      </c>
      <c r="Z3557">
        <v>0</v>
      </c>
      <c r="AA3557">
        <v>0</v>
      </c>
      <c r="AB3557">
        <v>0</v>
      </c>
      <c r="AC3557">
        <v>0</v>
      </c>
      <c r="AD3557">
        <v>0</v>
      </c>
      <c r="AE3557">
        <v>0</v>
      </c>
      <c r="AF3557">
        <v>0</v>
      </c>
      <c r="AG3557">
        <v>0</v>
      </c>
      <c r="AH3557">
        <v>0</v>
      </c>
      <c r="AI3557">
        <v>0</v>
      </c>
      <c r="AJ3557">
        <v>0</v>
      </c>
      <c r="AK3557">
        <v>0</v>
      </c>
      <c r="AL3557">
        <v>0</v>
      </c>
      <c r="AM3557">
        <v>0</v>
      </c>
      <c r="AN3557">
        <v>0</v>
      </c>
      <c r="AO3557">
        <v>0</v>
      </c>
      <c r="AP3557">
        <v>0</v>
      </c>
      <c r="AQ3557">
        <v>36.57</v>
      </c>
      <c r="AR3557">
        <v>0</v>
      </c>
      <c r="AS3557">
        <v>0</v>
      </c>
      <c r="AT3557">
        <v>0</v>
      </c>
      <c r="AU3557">
        <v>0</v>
      </c>
      <c r="AV3557">
        <v>0</v>
      </c>
      <c r="AW3557">
        <v>0</v>
      </c>
      <c r="AX3557">
        <v>0</v>
      </c>
      <c r="AY3557">
        <v>0</v>
      </c>
      <c r="AZ3557">
        <v>0</v>
      </c>
      <c r="BA3557">
        <v>0</v>
      </c>
      <c r="BB3557">
        <v>0</v>
      </c>
      <c r="BC3557">
        <v>0</v>
      </c>
      <c r="BD3557">
        <v>0</v>
      </c>
      <c r="BE3557">
        <v>0</v>
      </c>
      <c r="BF3557">
        <v>0</v>
      </c>
      <c r="BG3557">
        <v>0</v>
      </c>
      <c r="BH3557">
        <v>1</v>
      </c>
      <c r="BI3557">
        <v>17</v>
      </c>
      <c r="BJ3557">
        <v>19.399999999999999</v>
      </c>
      <c r="BK3557">
        <v>20</v>
      </c>
      <c r="BL3557">
        <v>125.26</v>
      </c>
      <c r="BM3557">
        <v>18.79</v>
      </c>
      <c r="BN3557">
        <v>144.05000000000001</v>
      </c>
      <c r="BO3557">
        <v>144.05000000000001</v>
      </c>
      <c r="BQ3557" t="s">
        <v>1313</v>
      </c>
      <c r="BR3557" t="s">
        <v>84</v>
      </c>
      <c r="BS3557" s="3">
        <v>45805</v>
      </c>
      <c r="BT3557" s="4">
        <v>0.43680555555555556</v>
      </c>
      <c r="BU3557" t="s">
        <v>2501</v>
      </c>
      <c r="BV3557" t="s">
        <v>86</v>
      </c>
      <c r="BY3557">
        <v>97200</v>
      </c>
      <c r="CA3557" t="s">
        <v>150</v>
      </c>
      <c r="CC3557" t="s">
        <v>144</v>
      </c>
      <c r="CD3557">
        <v>1429</v>
      </c>
      <c r="CE3557" t="s">
        <v>511</v>
      </c>
      <c r="CF3557" s="3">
        <v>45805</v>
      </c>
      <c r="CI3557">
        <v>1</v>
      </c>
      <c r="CJ3557">
        <v>1</v>
      </c>
      <c r="CK3557">
        <v>42</v>
      </c>
      <c r="CL3557" t="s">
        <v>89</v>
      </c>
    </row>
    <row r="3558" spans="1:90" x14ac:dyDescent="0.3">
      <c r="A3558" t="s">
        <v>72</v>
      </c>
      <c r="B3558" t="s">
        <v>73</v>
      </c>
      <c r="C3558" t="s">
        <v>74</v>
      </c>
      <c r="E3558" t="str">
        <f>"080065598756"</f>
        <v>080065598756</v>
      </c>
      <c r="F3558" s="3">
        <v>45804</v>
      </c>
      <c r="G3558">
        <v>202602</v>
      </c>
      <c r="H3558" t="s">
        <v>75</v>
      </c>
      <c r="I3558" t="s">
        <v>76</v>
      </c>
      <c r="J3558" t="s">
        <v>77</v>
      </c>
      <c r="K3558" t="s">
        <v>78</v>
      </c>
      <c r="L3558" t="s">
        <v>350</v>
      </c>
      <c r="M3558" t="s">
        <v>351</v>
      </c>
      <c r="N3558" t="s">
        <v>678</v>
      </c>
      <c r="O3558" t="s">
        <v>82</v>
      </c>
      <c r="P3558" t="str">
        <f>"4170040948                    "</f>
        <v xml:space="preserve">4170040948                    </v>
      </c>
      <c r="Q3558">
        <v>0</v>
      </c>
      <c r="R3558">
        <v>0</v>
      </c>
      <c r="S3558">
        <v>0</v>
      </c>
      <c r="T3558">
        <v>0</v>
      </c>
      <c r="U3558">
        <v>0</v>
      </c>
      <c r="V3558">
        <v>0</v>
      </c>
      <c r="W3558">
        <v>0</v>
      </c>
      <c r="X3558">
        <v>0</v>
      </c>
      <c r="Y3558">
        <v>0</v>
      </c>
      <c r="Z3558">
        <v>0</v>
      </c>
      <c r="AA3558">
        <v>0</v>
      </c>
      <c r="AB3558">
        <v>0</v>
      </c>
      <c r="AC3558">
        <v>0</v>
      </c>
      <c r="AD3558">
        <v>0</v>
      </c>
      <c r="AE3558">
        <v>0</v>
      </c>
      <c r="AF3558">
        <v>0</v>
      </c>
      <c r="AG3558">
        <v>0</v>
      </c>
      <c r="AH3558">
        <v>0</v>
      </c>
      <c r="AI3558">
        <v>0</v>
      </c>
      <c r="AJ3558">
        <v>0</v>
      </c>
      <c r="AK3558">
        <v>0</v>
      </c>
      <c r="AL3558">
        <v>0</v>
      </c>
      <c r="AM3558">
        <v>0</v>
      </c>
      <c r="AN3558">
        <v>0</v>
      </c>
      <c r="AO3558">
        <v>0</v>
      </c>
      <c r="AP3558">
        <v>0</v>
      </c>
      <c r="AQ3558">
        <v>21.38</v>
      </c>
      <c r="AR3558">
        <v>0</v>
      </c>
      <c r="AS3558">
        <v>0</v>
      </c>
      <c r="AT3558">
        <v>0</v>
      </c>
      <c r="AU3558">
        <v>0</v>
      </c>
      <c r="AV3558">
        <v>0</v>
      </c>
      <c r="AW3558">
        <v>0</v>
      </c>
      <c r="AX3558">
        <v>0</v>
      </c>
      <c r="AY3558">
        <v>0</v>
      </c>
      <c r="AZ3558">
        <v>0</v>
      </c>
      <c r="BA3558">
        <v>0</v>
      </c>
      <c r="BB3558">
        <v>0</v>
      </c>
      <c r="BC3558">
        <v>0</v>
      </c>
      <c r="BD3558">
        <v>0</v>
      </c>
      <c r="BE3558">
        <v>0</v>
      </c>
      <c r="BF3558">
        <v>0</v>
      </c>
      <c r="BG3558">
        <v>0</v>
      </c>
      <c r="BH3558">
        <v>1</v>
      </c>
      <c r="BI3558">
        <v>1</v>
      </c>
      <c r="BJ3558">
        <v>0.2</v>
      </c>
      <c r="BK3558">
        <v>1</v>
      </c>
      <c r="BL3558">
        <v>69.98</v>
      </c>
      <c r="BM3558">
        <v>10.5</v>
      </c>
      <c r="BN3558">
        <v>80.48</v>
      </c>
      <c r="BO3558">
        <v>80.48</v>
      </c>
      <c r="BQ3558" t="s">
        <v>679</v>
      </c>
      <c r="BR3558" t="s">
        <v>84</v>
      </c>
      <c r="BS3558" s="3">
        <v>45805</v>
      </c>
      <c r="BT3558" s="4">
        <v>0.42222222222222222</v>
      </c>
      <c r="BU3558" t="s">
        <v>680</v>
      </c>
      <c r="BV3558" t="s">
        <v>86</v>
      </c>
      <c r="BY3558">
        <v>1200</v>
      </c>
      <c r="CA3558" t="s">
        <v>3162</v>
      </c>
      <c r="CC3558" t="s">
        <v>351</v>
      </c>
      <c r="CD3558">
        <v>4052</v>
      </c>
      <c r="CE3558" t="s">
        <v>88</v>
      </c>
      <c r="CF3558" s="3">
        <v>45805</v>
      </c>
      <c r="CI3558">
        <v>1</v>
      </c>
      <c r="CJ3558">
        <v>1</v>
      </c>
      <c r="CK3558">
        <v>21</v>
      </c>
      <c r="CL3558" t="s">
        <v>89</v>
      </c>
    </row>
    <row r="3559" spans="1:90" x14ac:dyDescent="0.3">
      <c r="A3559" t="s">
        <v>72</v>
      </c>
      <c r="B3559" t="s">
        <v>73</v>
      </c>
      <c r="C3559" t="s">
        <v>74</v>
      </c>
      <c r="E3559" t="str">
        <f>"080065598767"</f>
        <v>080065598767</v>
      </c>
      <c r="F3559" s="3">
        <v>45804</v>
      </c>
      <c r="G3559">
        <v>202602</v>
      </c>
      <c r="H3559" t="s">
        <v>75</v>
      </c>
      <c r="I3559" t="s">
        <v>76</v>
      </c>
      <c r="J3559" t="s">
        <v>77</v>
      </c>
      <c r="K3559" t="s">
        <v>78</v>
      </c>
      <c r="L3559" t="s">
        <v>136</v>
      </c>
      <c r="M3559" t="s">
        <v>137</v>
      </c>
      <c r="N3559" t="s">
        <v>735</v>
      </c>
      <c r="O3559" t="s">
        <v>300</v>
      </c>
      <c r="P3559" t="str">
        <f>"4170040976                    "</f>
        <v xml:space="preserve">4170040976                    </v>
      </c>
      <c r="Q3559">
        <v>0</v>
      </c>
      <c r="R3559">
        <v>0</v>
      </c>
      <c r="S3559">
        <v>0</v>
      </c>
      <c r="T3559">
        <v>0</v>
      </c>
      <c r="U3559">
        <v>0</v>
      </c>
      <c r="V3559">
        <v>0</v>
      </c>
      <c r="W3559">
        <v>0</v>
      </c>
      <c r="X3559">
        <v>0</v>
      </c>
      <c r="Y3559">
        <v>0</v>
      </c>
      <c r="Z3559">
        <v>0</v>
      </c>
      <c r="AA3559">
        <v>0</v>
      </c>
      <c r="AB3559">
        <v>0</v>
      </c>
      <c r="AC3559">
        <v>0</v>
      </c>
      <c r="AD3559">
        <v>0</v>
      </c>
      <c r="AE3559">
        <v>0</v>
      </c>
      <c r="AF3559">
        <v>0</v>
      </c>
      <c r="AG3559">
        <v>0</v>
      </c>
      <c r="AH3559">
        <v>0</v>
      </c>
      <c r="AI3559">
        <v>0</v>
      </c>
      <c r="AJ3559">
        <v>0</v>
      </c>
      <c r="AK3559">
        <v>0</v>
      </c>
      <c r="AL3559">
        <v>0</v>
      </c>
      <c r="AM3559">
        <v>0</v>
      </c>
      <c r="AN3559">
        <v>0</v>
      </c>
      <c r="AO3559">
        <v>0</v>
      </c>
      <c r="AP3559">
        <v>0</v>
      </c>
      <c r="AQ3559">
        <v>41.35</v>
      </c>
      <c r="AR3559">
        <v>0</v>
      </c>
      <c r="AS3559">
        <v>0</v>
      </c>
      <c r="AT3559">
        <v>0</v>
      </c>
      <c r="AU3559">
        <v>0</v>
      </c>
      <c r="AV3559">
        <v>0</v>
      </c>
      <c r="AW3559">
        <v>0</v>
      </c>
      <c r="AX3559">
        <v>0</v>
      </c>
      <c r="AY3559">
        <v>0</v>
      </c>
      <c r="AZ3559">
        <v>0</v>
      </c>
      <c r="BA3559">
        <v>0</v>
      </c>
      <c r="BB3559">
        <v>0</v>
      </c>
      <c r="BC3559">
        <v>0</v>
      </c>
      <c r="BD3559">
        <v>0</v>
      </c>
      <c r="BE3559">
        <v>0</v>
      </c>
      <c r="BF3559">
        <v>0</v>
      </c>
      <c r="BG3559">
        <v>0</v>
      </c>
      <c r="BH3559">
        <v>1</v>
      </c>
      <c r="BI3559">
        <v>5</v>
      </c>
      <c r="BJ3559">
        <v>1.4</v>
      </c>
      <c r="BK3559">
        <v>5</v>
      </c>
      <c r="BL3559">
        <v>140.9</v>
      </c>
      <c r="BM3559">
        <v>21.14</v>
      </c>
      <c r="BN3559">
        <v>162.04</v>
      </c>
      <c r="BO3559">
        <v>162.04</v>
      </c>
      <c r="BQ3559" t="s">
        <v>736</v>
      </c>
      <c r="BR3559" t="s">
        <v>84</v>
      </c>
      <c r="BS3559" s="3">
        <v>45805</v>
      </c>
      <c r="BT3559" s="4">
        <v>0.37291666666666667</v>
      </c>
      <c r="BU3559" t="s">
        <v>2475</v>
      </c>
      <c r="BV3559" t="s">
        <v>86</v>
      </c>
      <c r="BY3559">
        <v>7000</v>
      </c>
      <c r="CA3559" t="s">
        <v>2440</v>
      </c>
      <c r="CC3559" t="s">
        <v>137</v>
      </c>
      <c r="CD3559" s="5" t="s">
        <v>738</v>
      </c>
      <c r="CE3559" t="s">
        <v>96</v>
      </c>
      <c r="CF3559" s="3">
        <v>45805</v>
      </c>
      <c r="CI3559">
        <v>1</v>
      </c>
      <c r="CJ3559">
        <v>1</v>
      </c>
      <c r="CK3559">
        <v>41</v>
      </c>
      <c r="CL3559" t="s">
        <v>89</v>
      </c>
    </row>
    <row r="3560" spans="1:90" x14ac:dyDescent="0.3">
      <c r="A3560" t="s">
        <v>72</v>
      </c>
      <c r="B3560" t="s">
        <v>73</v>
      </c>
      <c r="C3560" t="s">
        <v>74</v>
      </c>
      <c r="E3560" t="str">
        <f>"080065598778"</f>
        <v>080065598778</v>
      </c>
      <c r="F3560" s="3">
        <v>45804</v>
      </c>
      <c r="G3560">
        <v>202602</v>
      </c>
      <c r="H3560" t="s">
        <v>75</v>
      </c>
      <c r="I3560" t="s">
        <v>76</v>
      </c>
      <c r="J3560" t="s">
        <v>77</v>
      </c>
      <c r="K3560" t="s">
        <v>78</v>
      </c>
      <c r="L3560" t="s">
        <v>350</v>
      </c>
      <c r="M3560" t="s">
        <v>351</v>
      </c>
      <c r="N3560" t="s">
        <v>459</v>
      </c>
      <c r="O3560" t="s">
        <v>82</v>
      </c>
      <c r="P3560" t="str">
        <f>"4170040884                    "</f>
        <v xml:space="preserve">4170040884                    </v>
      </c>
      <c r="Q3560">
        <v>0</v>
      </c>
      <c r="R3560">
        <v>0</v>
      </c>
      <c r="S3560">
        <v>0</v>
      </c>
      <c r="T3560">
        <v>0</v>
      </c>
      <c r="U3560">
        <v>0</v>
      </c>
      <c r="V3560">
        <v>0</v>
      </c>
      <c r="W3560">
        <v>0</v>
      </c>
      <c r="X3560">
        <v>0</v>
      </c>
      <c r="Y3560">
        <v>0</v>
      </c>
      <c r="Z3560">
        <v>0</v>
      </c>
      <c r="AA3560">
        <v>0</v>
      </c>
      <c r="AB3560">
        <v>0</v>
      </c>
      <c r="AC3560">
        <v>0</v>
      </c>
      <c r="AD3560">
        <v>0</v>
      </c>
      <c r="AE3560">
        <v>0</v>
      </c>
      <c r="AF3560">
        <v>0</v>
      </c>
      <c r="AG3560">
        <v>0</v>
      </c>
      <c r="AH3560">
        <v>0</v>
      </c>
      <c r="AI3560">
        <v>0</v>
      </c>
      <c r="AJ3560">
        <v>0</v>
      </c>
      <c r="AK3560">
        <v>0</v>
      </c>
      <c r="AL3560">
        <v>0</v>
      </c>
      <c r="AM3560">
        <v>0</v>
      </c>
      <c r="AN3560">
        <v>0</v>
      </c>
      <c r="AO3560">
        <v>0</v>
      </c>
      <c r="AP3560">
        <v>0</v>
      </c>
      <c r="AQ3560">
        <v>21.38</v>
      </c>
      <c r="AR3560">
        <v>0</v>
      </c>
      <c r="AS3560">
        <v>0</v>
      </c>
      <c r="AT3560">
        <v>0</v>
      </c>
      <c r="AU3560">
        <v>0</v>
      </c>
      <c r="AV3560">
        <v>0</v>
      </c>
      <c r="AW3560">
        <v>0</v>
      </c>
      <c r="AX3560">
        <v>0</v>
      </c>
      <c r="AY3560">
        <v>0</v>
      </c>
      <c r="AZ3560">
        <v>0</v>
      </c>
      <c r="BA3560">
        <v>0</v>
      </c>
      <c r="BB3560">
        <v>0</v>
      </c>
      <c r="BC3560">
        <v>0</v>
      </c>
      <c r="BD3560">
        <v>0</v>
      </c>
      <c r="BE3560">
        <v>0</v>
      </c>
      <c r="BF3560">
        <v>0</v>
      </c>
      <c r="BG3560">
        <v>0</v>
      </c>
      <c r="BH3560">
        <v>1</v>
      </c>
      <c r="BI3560">
        <v>1</v>
      </c>
      <c r="BJ3560">
        <v>0.2</v>
      </c>
      <c r="BK3560">
        <v>1</v>
      </c>
      <c r="BL3560">
        <v>69.98</v>
      </c>
      <c r="BM3560">
        <v>10.5</v>
      </c>
      <c r="BN3560">
        <v>80.48</v>
      </c>
      <c r="BO3560">
        <v>80.48</v>
      </c>
      <c r="BQ3560" t="s">
        <v>460</v>
      </c>
      <c r="BR3560" t="s">
        <v>84</v>
      </c>
      <c r="BS3560" s="3">
        <v>45805</v>
      </c>
      <c r="BT3560" s="4">
        <v>0.33402777777777776</v>
      </c>
      <c r="BU3560" t="s">
        <v>461</v>
      </c>
      <c r="BV3560" t="s">
        <v>86</v>
      </c>
      <c r="BY3560">
        <v>1200</v>
      </c>
      <c r="CA3560" t="s">
        <v>462</v>
      </c>
      <c r="CC3560" t="s">
        <v>351</v>
      </c>
      <c r="CD3560">
        <v>4000</v>
      </c>
      <c r="CE3560" t="s">
        <v>88</v>
      </c>
      <c r="CF3560" s="3">
        <v>45805</v>
      </c>
      <c r="CI3560">
        <v>1</v>
      </c>
      <c r="CJ3560">
        <v>1</v>
      </c>
      <c r="CK3560">
        <v>21</v>
      </c>
      <c r="CL3560" t="s">
        <v>89</v>
      </c>
    </row>
    <row r="3561" spans="1:90" x14ac:dyDescent="0.3">
      <c r="A3561" t="s">
        <v>72</v>
      </c>
      <c r="B3561" t="s">
        <v>73</v>
      </c>
      <c r="C3561" t="s">
        <v>74</v>
      </c>
      <c r="E3561" t="str">
        <f>"080065598785"</f>
        <v>080065598785</v>
      </c>
      <c r="F3561" s="3">
        <v>45804</v>
      </c>
      <c r="G3561">
        <v>202602</v>
      </c>
      <c r="H3561" t="s">
        <v>75</v>
      </c>
      <c r="I3561" t="s">
        <v>76</v>
      </c>
      <c r="J3561" t="s">
        <v>77</v>
      </c>
      <c r="K3561" t="s">
        <v>78</v>
      </c>
      <c r="L3561" t="s">
        <v>350</v>
      </c>
      <c r="M3561" t="s">
        <v>351</v>
      </c>
      <c r="N3561" t="s">
        <v>459</v>
      </c>
      <c r="O3561" t="s">
        <v>82</v>
      </c>
      <c r="P3561" t="str">
        <f>"4170040855                    "</f>
        <v xml:space="preserve">4170040855                    </v>
      </c>
      <c r="Q3561">
        <v>0</v>
      </c>
      <c r="R3561">
        <v>0</v>
      </c>
      <c r="S3561">
        <v>0</v>
      </c>
      <c r="T3561">
        <v>0</v>
      </c>
      <c r="U3561">
        <v>0</v>
      </c>
      <c r="V3561">
        <v>0</v>
      </c>
      <c r="W3561">
        <v>0</v>
      </c>
      <c r="X3561">
        <v>0</v>
      </c>
      <c r="Y3561">
        <v>0</v>
      </c>
      <c r="Z3561">
        <v>0</v>
      </c>
      <c r="AA3561">
        <v>0</v>
      </c>
      <c r="AB3561">
        <v>0</v>
      </c>
      <c r="AC3561">
        <v>0</v>
      </c>
      <c r="AD3561">
        <v>0</v>
      </c>
      <c r="AE3561">
        <v>0</v>
      </c>
      <c r="AF3561">
        <v>0</v>
      </c>
      <c r="AG3561">
        <v>0</v>
      </c>
      <c r="AH3561">
        <v>0</v>
      </c>
      <c r="AI3561">
        <v>0</v>
      </c>
      <c r="AJ3561">
        <v>0</v>
      </c>
      <c r="AK3561">
        <v>0</v>
      </c>
      <c r="AL3561">
        <v>0</v>
      </c>
      <c r="AM3561">
        <v>0</v>
      </c>
      <c r="AN3561">
        <v>0</v>
      </c>
      <c r="AO3561">
        <v>0</v>
      </c>
      <c r="AP3561">
        <v>0</v>
      </c>
      <c r="AQ3561">
        <v>85.48</v>
      </c>
      <c r="AR3561">
        <v>0</v>
      </c>
      <c r="AS3561">
        <v>0</v>
      </c>
      <c r="AT3561">
        <v>0</v>
      </c>
      <c r="AU3561">
        <v>0</v>
      </c>
      <c r="AV3561">
        <v>0</v>
      </c>
      <c r="AW3561">
        <v>0</v>
      </c>
      <c r="AX3561">
        <v>0</v>
      </c>
      <c r="AY3561">
        <v>0</v>
      </c>
      <c r="AZ3561">
        <v>0</v>
      </c>
      <c r="BA3561">
        <v>0</v>
      </c>
      <c r="BB3561">
        <v>0</v>
      </c>
      <c r="BC3561">
        <v>0</v>
      </c>
      <c r="BD3561">
        <v>0</v>
      </c>
      <c r="BE3561">
        <v>0</v>
      </c>
      <c r="BF3561">
        <v>0</v>
      </c>
      <c r="BG3561">
        <v>0</v>
      </c>
      <c r="BH3561">
        <v>1</v>
      </c>
      <c r="BI3561">
        <v>3</v>
      </c>
      <c r="BJ3561">
        <v>8</v>
      </c>
      <c r="BK3561">
        <v>8</v>
      </c>
      <c r="BL3561">
        <v>279.76</v>
      </c>
      <c r="BM3561">
        <v>41.96</v>
      </c>
      <c r="BN3561">
        <v>321.72000000000003</v>
      </c>
      <c r="BO3561">
        <v>321.72000000000003</v>
      </c>
      <c r="BQ3561" t="s">
        <v>460</v>
      </c>
      <c r="BR3561" t="s">
        <v>84</v>
      </c>
      <c r="BS3561" s="3">
        <v>45805</v>
      </c>
      <c r="BT3561" s="4">
        <v>0.33402777777777776</v>
      </c>
      <c r="BU3561" t="s">
        <v>461</v>
      </c>
      <c r="BV3561" t="s">
        <v>86</v>
      </c>
      <c r="BY3561">
        <v>40014</v>
      </c>
      <c r="CA3561" t="s">
        <v>462</v>
      </c>
      <c r="CC3561" t="s">
        <v>351</v>
      </c>
      <c r="CD3561">
        <v>4051</v>
      </c>
      <c r="CE3561" t="s">
        <v>221</v>
      </c>
      <c r="CF3561" s="3">
        <v>45805</v>
      </c>
      <c r="CI3561">
        <v>1</v>
      </c>
      <c r="CJ3561">
        <v>1</v>
      </c>
      <c r="CK3561">
        <v>21</v>
      </c>
      <c r="CL3561" t="s">
        <v>89</v>
      </c>
    </row>
    <row r="3562" spans="1:90" x14ac:dyDescent="0.3">
      <c r="A3562" t="s">
        <v>72</v>
      </c>
      <c r="B3562" t="s">
        <v>73</v>
      </c>
      <c r="C3562" t="s">
        <v>74</v>
      </c>
      <c r="E3562" t="str">
        <f>"080065598786"</f>
        <v>080065598786</v>
      </c>
      <c r="F3562" s="3">
        <v>45804</v>
      </c>
      <c r="G3562">
        <v>202602</v>
      </c>
      <c r="H3562" t="s">
        <v>75</v>
      </c>
      <c r="I3562" t="s">
        <v>76</v>
      </c>
      <c r="J3562" t="s">
        <v>77</v>
      </c>
      <c r="K3562" t="s">
        <v>78</v>
      </c>
      <c r="L3562" t="s">
        <v>117</v>
      </c>
      <c r="M3562" t="s">
        <v>118</v>
      </c>
      <c r="N3562" t="s">
        <v>1818</v>
      </c>
      <c r="O3562" t="s">
        <v>82</v>
      </c>
      <c r="P3562" t="str">
        <f>"4170040962                    "</f>
        <v xml:space="preserve">4170040962                    </v>
      </c>
      <c r="Q3562">
        <v>0</v>
      </c>
      <c r="R3562">
        <v>0</v>
      </c>
      <c r="S3562">
        <v>0</v>
      </c>
      <c r="T3562">
        <v>0</v>
      </c>
      <c r="U3562">
        <v>0</v>
      </c>
      <c r="V3562">
        <v>0</v>
      </c>
      <c r="W3562">
        <v>0</v>
      </c>
      <c r="X3562">
        <v>0</v>
      </c>
      <c r="Y3562">
        <v>0</v>
      </c>
      <c r="Z3562">
        <v>0</v>
      </c>
      <c r="AA3562">
        <v>0</v>
      </c>
      <c r="AB3562">
        <v>0</v>
      </c>
      <c r="AC3562">
        <v>0</v>
      </c>
      <c r="AD3562">
        <v>0</v>
      </c>
      <c r="AE3562">
        <v>0</v>
      </c>
      <c r="AF3562">
        <v>0</v>
      </c>
      <c r="AG3562">
        <v>0</v>
      </c>
      <c r="AH3562">
        <v>0</v>
      </c>
      <c r="AI3562">
        <v>0</v>
      </c>
      <c r="AJ3562">
        <v>0</v>
      </c>
      <c r="AK3562">
        <v>0</v>
      </c>
      <c r="AL3562">
        <v>0</v>
      </c>
      <c r="AM3562">
        <v>0</v>
      </c>
      <c r="AN3562">
        <v>0</v>
      </c>
      <c r="AO3562">
        <v>0</v>
      </c>
      <c r="AP3562">
        <v>0</v>
      </c>
      <c r="AQ3562">
        <v>16.7</v>
      </c>
      <c r="AR3562">
        <v>0</v>
      </c>
      <c r="AS3562">
        <v>0</v>
      </c>
      <c r="AT3562">
        <v>0</v>
      </c>
      <c r="AU3562">
        <v>0</v>
      </c>
      <c r="AV3562">
        <v>0</v>
      </c>
      <c r="AW3562">
        <v>0</v>
      </c>
      <c r="AX3562">
        <v>0</v>
      </c>
      <c r="AY3562">
        <v>0</v>
      </c>
      <c r="AZ3562">
        <v>0</v>
      </c>
      <c r="BA3562">
        <v>0</v>
      </c>
      <c r="BB3562">
        <v>0</v>
      </c>
      <c r="BC3562">
        <v>0</v>
      </c>
      <c r="BD3562">
        <v>0</v>
      </c>
      <c r="BE3562">
        <v>0</v>
      </c>
      <c r="BF3562">
        <v>0</v>
      </c>
      <c r="BG3562">
        <v>0</v>
      </c>
      <c r="BH3562">
        <v>1</v>
      </c>
      <c r="BI3562">
        <v>1</v>
      </c>
      <c r="BJ3562">
        <v>0.2</v>
      </c>
      <c r="BK3562">
        <v>1</v>
      </c>
      <c r="BL3562">
        <v>54.66</v>
      </c>
      <c r="BM3562">
        <v>8.1999999999999993</v>
      </c>
      <c r="BN3562">
        <v>62.86</v>
      </c>
      <c r="BO3562">
        <v>62.86</v>
      </c>
      <c r="BQ3562" t="s">
        <v>1819</v>
      </c>
      <c r="BR3562" t="s">
        <v>84</v>
      </c>
      <c r="BS3562" s="3">
        <v>45805</v>
      </c>
      <c r="BT3562" s="4">
        <v>0.33819444444444446</v>
      </c>
      <c r="BU3562" t="s">
        <v>3317</v>
      </c>
      <c r="BV3562" t="s">
        <v>86</v>
      </c>
      <c r="BY3562">
        <v>1200</v>
      </c>
      <c r="CA3562" t="s">
        <v>535</v>
      </c>
      <c r="CC3562" t="s">
        <v>118</v>
      </c>
      <c r="CD3562">
        <v>2022</v>
      </c>
      <c r="CE3562" t="s">
        <v>88</v>
      </c>
      <c r="CF3562" s="3">
        <v>45806</v>
      </c>
      <c r="CI3562">
        <v>1</v>
      </c>
      <c r="CJ3562">
        <v>1</v>
      </c>
      <c r="CK3562">
        <v>22</v>
      </c>
      <c r="CL3562" t="s">
        <v>89</v>
      </c>
    </row>
    <row r="3563" spans="1:90" x14ac:dyDescent="0.3">
      <c r="A3563" t="s">
        <v>72</v>
      </c>
      <c r="B3563" t="s">
        <v>73</v>
      </c>
      <c r="C3563" t="s">
        <v>74</v>
      </c>
      <c r="E3563" t="str">
        <f>"080065598796"</f>
        <v>080065598796</v>
      </c>
      <c r="F3563" s="3">
        <v>45804</v>
      </c>
      <c r="G3563">
        <v>202602</v>
      </c>
      <c r="H3563" t="s">
        <v>75</v>
      </c>
      <c r="I3563" t="s">
        <v>76</v>
      </c>
      <c r="J3563" t="s">
        <v>77</v>
      </c>
      <c r="K3563" t="s">
        <v>78</v>
      </c>
      <c r="L3563" t="s">
        <v>75</v>
      </c>
      <c r="M3563" t="s">
        <v>76</v>
      </c>
      <c r="N3563" t="s">
        <v>183</v>
      </c>
      <c r="O3563" t="s">
        <v>82</v>
      </c>
      <c r="P3563" t="str">
        <f>"4170040896                    "</f>
        <v xml:space="preserve">4170040896                    </v>
      </c>
      <c r="Q3563">
        <v>0</v>
      </c>
      <c r="R3563">
        <v>0</v>
      </c>
      <c r="S3563">
        <v>0</v>
      </c>
      <c r="T3563">
        <v>0</v>
      </c>
      <c r="U3563">
        <v>0</v>
      </c>
      <c r="V3563">
        <v>0</v>
      </c>
      <c r="W3563">
        <v>0</v>
      </c>
      <c r="X3563">
        <v>0</v>
      </c>
      <c r="Y3563">
        <v>0</v>
      </c>
      <c r="Z3563">
        <v>0</v>
      </c>
      <c r="AA3563">
        <v>0</v>
      </c>
      <c r="AB3563">
        <v>0</v>
      </c>
      <c r="AC3563">
        <v>0</v>
      </c>
      <c r="AD3563">
        <v>0</v>
      </c>
      <c r="AE3563">
        <v>0</v>
      </c>
      <c r="AF3563">
        <v>0</v>
      </c>
      <c r="AG3563">
        <v>0</v>
      </c>
      <c r="AH3563">
        <v>0</v>
      </c>
      <c r="AI3563">
        <v>0</v>
      </c>
      <c r="AJ3563">
        <v>0</v>
      </c>
      <c r="AK3563">
        <v>0</v>
      </c>
      <c r="AL3563">
        <v>0</v>
      </c>
      <c r="AM3563">
        <v>0</v>
      </c>
      <c r="AN3563">
        <v>0</v>
      </c>
      <c r="AO3563">
        <v>0</v>
      </c>
      <c r="AP3563">
        <v>0</v>
      </c>
      <c r="AQ3563">
        <v>16.7</v>
      </c>
      <c r="AR3563">
        <v>0</v>
      </c>
      <c r="AS3563">
        <v>0</v>
      </c>
      <c r="AT3563">
        <v>0</v>
      </c>
      <c r="AU3563">
        <v>0</v>
      </c>
      <c r="AV3563">
        <v>0</v>
      </c>
      <c r="AW3563">
        <v>0</v>
      </c>
      <c r="AX3563">
        <v>0</v>
      </c>
      <c r="AY3563">
        <v>0</v>
      </c>
      <c r="AZ3563">
        <v>0</v>
      </c>
      <c r="BA3563">
        <v>0</v>
      </c>
      <c r="BB3563">
        <v>0</v>
      </c>
      <c r="BC3563">
        <v>0</v>
      </c>
      <c r="BD3563">
        <v>0</v>
      </c>
      <c r="BE3563">
        <v>0</v>
      </c>
      <c r="BF3563">
        <v>0</v>
      </c>
      <c r="BG3563">
        <v>0</v>
      </c>
      <c r="BH3563">
        <v>1</v>
      </c>
      <c r="BI3563">
        <v>2</v>
      </c>
      <c r="BJ3563">
        <v>3.4</v>
      </c>
      <c r="BK3563">
        <v>4</v>
      </c>
      <c r="BL3563">
        <v>54.66</v>
      </c>
      <c r="BM3563">
        <v>8.1999999999999993</v>
      </c>
      <c r="BN3563">
        <v>62.86</v>
      </c>
      <c r="BO3563">
        <v>62.86</v>
      </c>
      <c r="BQ3563" t="s">
        <v>184</v>
      </c>
      <c r="BR3563" t="s">
        <v>84</v>
      </c>
      <c r="BS3563" s="3">
        <v>45805</v>
      </c>
      <c r="BT3563" s="4">
        <v>0.29166666666666669</v>
      </c>
      <c r="BU3563" t="s">
        <v>185</v>
      </c>
      <c r="BV3563" t="s">
        <v>86</v>
      </c>
      <c r="BY3563">
        <v>16965</v>
      </c>
      <c r="CA3563" t="s">
        <v>115</v>
      </c>
      <c r="CC3563" t="s">
        <v>76</v>
      </c>
      <c r="CD3563">
        <v>1600</v>
      </c>
      <c r="CE3563" t="s">
        <v>96</v>
      </c>
      <c r="CF3563" s="3">
        <v>45805</v>
      </c>
      <c r="CI3563">
        <v>1</v>
      </c>
      <c r="CJ3563">
        <v>1</v>
      </c>
      <c r="CK3563">
        <v>22</v>
      </c>
      <c r="CL3563" t="s">
        <v>89</v>
      </c>
    </row>
    <row r="3564" spans="1:90" x14ac:dyDescent="0.3">
      <c r="A3564" t="s">
        <v>72</v>
      </c>
      <c r="B3564" t="s">
        <v>73</v>
      </c>
      <c r="C3564" t="s">
        <v>74</v>
      </c>
      <c r="E3564" t="str">
        <f>"080065598807"</f>
        <v>080065598807</v>
      </c>
      <c r="F3564" s="3">
        <v>45804</v>
      </c>
      <c r="G3564">
        <v>202602</v>
      </c>
      <c r="H3564" t="s">
        <v>75</v>
      </c>
      <c r="I3564" t="s">
        <v>76</v>
      </c>
      <c r="J3564" t="s">
        <v>77</v>
      </c>
      <c r="K3564" t="s">
        <v>78</v>
      </c>
      <c r="L3564" t="s">
        <v>117</v>
      </c>
      <c r="M3564" t="s">
        <v>118</v>
      </c>
      <c r="N3564" t="s">
        <v>3318</v>
      </c>
      <c r="O3564" t="s">
        <v>82</v>
      </c>
      <c r="P3564" t="str">
        <f>"4170040968                    "</f>
        <v xml:space="preserve">4170040968                    </v>
      </c>
      <c r="Q3564">
        <v>0</v>
      </c>
      <c r="R3564">
        <v>0</v>
      </c>
      <c r="S3564">
        <v>0</v>
      </c>
      <c r="T3564">
        <v>0</v>
      </c>
      <c r="U3564">
        <v>0</v>
      </c>
      <c r="V3564">
        <v>0</v>
      </c>
      <c r="W3564">
        <v>0</v>
      </c>
      <c r="X3564">
        <v>0</v>
      </c>
      <c r="Y3564">
        <v>0</v>
      </c>
      <c r="Z3564">
        <v>0</v>
      </c>
      <c r="AA3564">
        <v>0</v>
      </c>
      <c r="AB3564">
        <v>0</v>
      </c>
      <c r="AC3564">
        <v>0</v>
      </c>
      <c r="AD3564">
        <v>0</v>
      </c>
      <c r="AE3564">
        <v>0</v>
      </c>
      <c r="AF3564">
        <v>0</v>
      </c>
      <c r="AG3564">
        <v>0</v>
      </c>
      <c r="AH3564">
        <v>0</v>
      </c>
      <c r="AI3564">
        <v>0</v>
      </c>
      <c r="AJ3564">
        <v>0</v>
      </c>
      <c r="AK3564">
        <v>0</v>
      </c>
      <c r="AL3564">
        <v>0</v>
      </c>
      <c r="AM3564">
        <v>0</v>
      </c>
      <c r="AN3564">
        <v>0</v>
      </c>
      <c r="AO3564">
        <v>0</v>
      </c>
      <c r="AP3564">
        <v>0</v>
      </c>
      <c r="AQ3564">
        <v>16.7</v>
      </c>
      <c r="AR3564">
        <v>0</v>
      </c>
      <c r="AS3564">
        <v>0</v>
      </c>
      <c r="AT3564">
        <v>0</v>
      </c>
      <c r="AU3564">
        <v>0</v>
      </c>
      <c r="AV3564">
        <v>0</v>
      </c>
      <c r="AW3564">
        <v>0</v>
      </c>
      <c r="AX3564">
        <v>0</v>
      </c>
      <c r="AY3564">
        <v>0</v>
      </c>
      <c r="AZ3564">
        <v>0</v>
      </c>
      <c r="BA3564">
        <v>0</v>
      </c>
      <c r="BB3564">
        <v>0</v>
      </c>
      <c r="BC3564">
        <v>0</v>
      </c>
      <c r="BD3564">
        <v>0</v>
      </c>
      <c r="BE3564">
        <v>0</v>
      </c>
      <c r="BF3564">
        <v>0</v>
      </c>
      <c r="BG3564">
        <v>0</v>
      </c>
      <c r="BH3564">
        <v>1</v>
      </c>
      <c r="BI3564">
        <v>1</v>
      </c>
      <c r="BJ3564">
        <v>0.2</v>
      </c>
      <c r="BK3564">
        <v>1</v>
      </c>
      <c r="BL3564">
        <v>54.66</v>
      </c>
      <c r="BM3564">
        <v>8.1999999999999993</v>
      </c>
      <c r="BN3564">
        <v>62.86</v>
      </c>
      <c r="BO3564">
        <v>62.86</v>
      </c>
      <c r="BQ3564" t="s">
        <v>3319</v>
      </c>
      <c r="BR3564" t="s">
        <v>84</v>
      </c>
      <c r="BS3564" s="3">
        <v>45805</v>
      </c>
      <c r="BT3564" s="4">
        <v>0.41666666666666669</v>
      </c>
      <c r="BU3564" t="s">
        <v>3320</v>
      </c>
      <c r="BV3564" t="s">
        <v>86</v>
      </c>
      <c r="BY3564">
        <v>1200</v>
      </c>
      <c r="CA3564" t="s">
        <v>535</v>
      </c>
      <c r="CC3564" t="s">
        <v>118</v>
      </c>
      <c r="CD3564">
        <v>2049</v>
      </c>
      <c r="CE3564" t="s">
        <v>88</v>
      </c>
      <c r="CF3564" s="3">
        <v>45806</v>
      </c>
      <c r="CI3564">
        <v>1</v>
      </c>
      <c r="CJ3564">
        <v>1</v>
      </c>
      <c r="CK3564">
        <v>22</v>
      </c>
      <c r="CL3564" t="s">
        <v>89</v>
      </c>
    </row>
    <row r="3565" spans="1:90" x14ac:dyDescent="0.3">
      <c r="A3565" t="s">
        <v>72</v>
      </c>
      <c r="B3565" t="s">
        <v>73</v>
      </c>
      <c r="C3565" t="s">
        <v>74</v>
      </c>
      <c r="E3565" t="str">
        <f>"080065598820"</f>
        <v>080065598820</v>
      </c>
      <c r="F3565" s="3">
        <v>45804</v>
      </c>
      <c r="G3565">
        <v>202602</v>
      </c>
      <c r="H3565" t="s">
        <v>75</v>
      </c>
      <c r="I3565" t="s">
        <v>76</v>
      </c>
      <c r="J3565" t="s">
        <v>77</v>
      </c>
      <c r="K3565" t="s">
        <v>78</v>
      </c>
      <c r="L3565" t="s">
        <v>123</v>
      </c>
      <c r="M3565" t="s">
        <v>123</v>
      </c>
      <c r="N3565" t="s">
        <v>2378</v>
      </c>
      <c r="O3565" t="s">
        <v>82</v>
      </c>
      <c r="P3565" t="str">
        <f>"4170040775                    "</f>
        <v xml:space="preserve">4170040775                    </v>
      </c>
      <c r="Q3565">
        <v>0</v>
      </c>
      <c r="R3565">
        <v>0</v>
      </c>
      <c r="S3565">
        <v>0</v>
      </c>
      <c r="T3565">
        <v>0</v>
      </c>
      <c r="U3565">
        <v>0</v>
      </c>
      <c r="V3565">
        <v>0</v>
      </c>
      <c r="W3565">
        <v>0</v>
      </c>
      <c r="X3565">
        <v>0</v>
      </c>
      <c r="Y3565">
        <v>0</v>
      </c>
      <c r="Z3565">
        <v>0</v>
      </c>
      <c r="AA3565">
        <v>0</v>
      </c>
      <c r="AB3565">
        <v>0</v>
      </c>
      <c r="AC3565">
        <v>0</v>
      </c>
      <c r="AD3565">
        <v>0</v>
      </c>
      <c r="AE3565">
        <v>0</v>
      </c>
      <c r="AF3565">
        <v>0</v>
      </c>
      <c r="AG3565">
        <v>0</v>
      </c>
      <c r="AH3565">
        <v>0</v>
      </c>
      <c r="AI3565">
        <v>0</v>
      </c>
      <c r="AJ3565">
        <v>0</v>
      </c>
      <c r="AK3565">
        <v>0</v>
      </c>
      <c r="AL3565">
        <v>0</v>
      </c>
      <c r="AM3565">
        <v>0</v>
      </c>
      <c r="AN3565">
        <v>0</v>
      </c>
      <c r="AO3565">
        <v>0</v>
      </c>
      <c r="AP3565">
        <v>0</v>
      </c>
      <c r="AQ3565">
        <v>41.43</v>
      </c>
      <c r="AR3565">
        <v>0</v>
      </c>
      <c r="AS3565">
        <v>0</v>
      </c>
      <c r="AT3565">
        <v>0</v>
      </c>
      <c r="AU3565">
        <v>0</v>
      </c>
      <c r="AV3565">
        <v>0</v>
      </c>
      <c r="AW3565">
        <v>0</v>
      </c>
      <c r="AX3565">
        <v>0</v>
      </c>
      <c r="AY3565">
        <v>0</v>
      </c>
      <c r="AZ3565">
        <v>0</v>
      </c>
      <c r="BA3565">
        <v>0</v>
      </c>
      <c r="BB3565">
        <v>0</v>
      </c>
      <c r="BC3565">
        <v>0</v>
      </c>
      <c r="BD3565">
        <v>0</v>
      </c>
      <c r="BE3565">
        <v>0</v>
      </c>
      <c r="BF3565">
        <v>0</v>
      </c>
      <c r="BG3565">
        <v>0</v>
      </c>
      <c r="BH3565">
        <v>1</v>
      </c>
      <c r="BI3565">
        <v>2</v>
      </c>
      <c r="BJ3565">
        <v>1.1000000000000001</v>
      </c>
      <c r="BK3565">
        <v>2</v>
      </c>
      <c r="BL3565">
        <v>135.59</v>
      </c>
      <c r="BM3565">
        <v>20.34</v>
      </c>
      <c r="BN3565">
        <v>155.93</v>
      </c>
      <c r="BO3565">
        <v>155.93</v>
      </c>
      <c r="BQ3565" t="s">
        <v>2379</v>
      </c>
      <c r="BR3565" t="s">
        <v>84</v>
      </c>
      <c r="BS3565" s="3">
        <v>45805</v>
      </c>
      <c r="BT3565" s="4">
        <v>0.53194444444444444</v>
      </c>
      <c r="BU3565" t="s">
        <v>2667</v>
      </c>
      <c r="BV3565" t="s">
        <v>86</v>
      </c>
      <c r="BY3565">
        <v>5600</v>
      </c>
      <c r="CA3565" t="s">
        <v>128</v>
      </c>
      <c r="CC3565" t="s">
        <v>123</v>
      </c>
      <c r="CD3565">
        <v>7654</v>
      </c>
      <c r="CE3565" t="s">
        <v>221</v>
      </c>
      <c r="CF3565" s="3">
        <v>45806</v>
      </c>
      <c r="CI3565">
        <v>1</v>
      </c>
      <c r="CJ3565">
        <v>1</v>
      </c>
      <c r="CK3565">
        <v>23</v>
      </c>
      <c r="CL3565" t="s">
        <v>89</v>
      </c>
    </row>
    <row r="3566" spans="1:90" x14ac:dyDescent="0.3">
      <c r="A3566" t="s">
        <v>72</v>
      </c>
      <c r="B3566" t="s">
        <v>73</v>
      </c>
      <c r="C3566" t="s">
        <v>74</v>
      </c>
      <c r="E3566" t="str">
        <f>"080065598832"</f>
        <v>080065598832</v>
      </c>
      <c r="F3566" s="3">
        <v>45804</v>
      </c>
      <c r="G3566">
        <v>202602</v>
      </c>
      <c r="H3566" t="s">
        <v>75</v>
      </c>
      <c r="I3566" t="s">
        <v>76</v>
      </c>
      <c r="J3566" t="s">
        <v>77</v>
      </c>
      <c r="K3566" t="s">
        <v>78</v>
      </c>
      <c r="L3566" t="s">
        <v>90</v>
      </c>
      <c r="M3566" t="s">
        <v>91</v>
      </c>
      <c r="N3566" t="s">
        <v>476</v>
      </c>
      <c r="O3566" t="s">
        <v>82</v>
      </c>
      <c r="P3566" t="str">
        <f>"4170040830                    "</f>
        <v xml:space="preserve">4170040830                    </v>
      </c>
      <c r="Q3566">
        <v>0</v>
      </c>
      <c r="R3566">
        <v>0</v>
      </c>
      <c r="S3566">
        <v>0</v>
      </c>
      <c r="T3566">
        <v>0</v>
      </c>
      <c r="U3566">
        <v>0</v>
      </c>
      <c r="V3566">
        <v>0</v>
      </c>
      <c r="W3566">
        <v>0</v>
      </c>
      <c r="X3566">
        <v>0</v>
      </c>
      <c r="Y3566">
        <v>0</v>
      </c>
      <c r="Z3566">
        <v>0</v>
      </c>
      <c r="AA3566">
        <v>0</v>
      </c>
      <c r="AB3566">
        <v>0</v>
      </c>
      <c r="AC3566">
        <v>0</v>
      </c>
      <c r="AD3566">
        <v>0</v>
      </c>
      <c r="AE3566">
        <v>0</v>
      </c>
      <c r="AF3566">
        <v>0</v>
      </c>
      <c r="AG3566">
        <v>0</v>
      </c>
      <c r="AH3566">
        <v>0</v>
      </c>
      <c r="AI3566">
        <v>0</v>
      </c>
      <c r="AJ3566">
        <v>0</v>
      </c>
      <c r="AK3566">
        <v>0</v>
      </c>
      <c r="AL3566">
        <v>0</v>
      </c>
      <c r="AM3566">
        <v>0</v>
      </c>
      <c r="AN3566">
        <v>0</v>
      </c>
      <c r="AO3566">
        <v>0</v>
      </c>
      <c r="AP3566">
        <v>0</v>
      </c>
      <c r="AQ3566">
        <v>21.38</v>
      </c>
      <c r="AR3566">
        <v>0</v>
      </c>
      <c r="AS3566">
        <v>0</v>
      </c>
      <c r="AT3566">
        <v>0</v>
      </c>
      <c r="AU3566">
        <v>0</v>
      </c>
      <c r="AV3566">
        <v>0</v>
      </c>
      <c r="AW3566">
        <v>0</v>
      </c>
      <c r="AX3566">
        <v>0</v>
      </c>
      <c r="AY3566">
        <v>0</v>
      </c>
      <c r="AZ3566">
        <v>0</v>
      </c>
      <c r="BA3566">
        <v>0</v>
      </c>
      <c r="BB3566">
        <v>0</v>
      </c>
      <c r="BC3566">
        <v>0</v>
      </c>
      <c r="BD3566">
        <v>0</v>
      </c>
      <c r="BE3566">
        <v>0</v>
      </c>
      <c r="BF3566">
        <v>0</v>
      </c>
      <c r="BG3566">
        <v>0</v>
      </c>
      <c r="BH3566">
        <v>1</v>
      </c>
      <c r="BI3566">
        <v>1</v>
      </c>
      <c r="BJ3566">
        <v>0.2</v>
      </c>
      <c r="BK3566">
        <v>1</v>
      </c>
      <c r="BL3566">
        <v>69.98</v>
      </c>
      <c r="BM3566">
        <v>10.5</v>
      </c>
      <c r="BN3566">
        <v>80.48</v>
      </c>
      <c r="BO3566">
        <v>80.48</v>
      </c>
      <c r="BQ3566" t="s">
        <v>477</v>
      </c>
      <c r="BR3566" t="s">
        <v>84</v>
      </c>
      <c r="BS3566" s="3">
        <v>45805</v>
      </c>
      <c r="BT3566" s="4">
        <v>0.41249999999999998</v>
      </c>
      <c r="BU3566" t="s">
        <v>478</v>
      </c>
      <c r="BV3566" t="s">
        <v>86</v>
      </c>
      <c r="BY3566">
        <v>1200</v>
      </c>
      <c r="CA3566" t="s">
        <v>2344</v>
      </c>
      <c r="CC3566" t="s">
        <v>91</v>
      </c>
      <c r="CD3566">
        <v>6001</v>
      </c>
      <c r="CE3566" t="s">
        <v>88</v>
      </c>
      <c r="CF3566" s="3">
        <v>45805</v>
      </c>
      <c r="CI3566">
        <v>1</v>
      </c>
      <c r="CJ3566">
        <v>1</v>
      </c>
      <c r="CK3566">
        <v>21</v>
      </c>
      <c r="CL3566" t="s">
        <v>89</v>
      </c>
    </row>
    <row r="3567" spans="1:90" x14ac:dyDescent="0.3">
      <c r="A3567" t="s">
        <v>72</v>
      </c>
      <c r="B3567" t="s">
        <v>73</v>
      </c>
      <c r="C3567" t="s">
        <v>74</v>
      </c>
      <c r="E3567" t="str">
        <f>"080065598848"</f>
        <v>080065598848</v>
      </c>
      <c r="F3567" s="3">
        <v>45804</v>
      </c>
      <c r="G3567">
        <v>202602</v>
      </c>
      <c r="H3567" t="s">
        <v>75</v>
      </c>
      <c r="I3567" t="s">
        <v>76</v>
      </c>
      <c r="J3567" t="s">
        <v>77</v>
      </c>
      <c r="K3567" t="s">
        <v>78</v>
      </c>
      <c r="L3567" t="s">
        <v>409</v>
      </c>
      <c r="M3567" t="s">
        <v>410</v>
      </c>
      <c r="N3567" t="s">
        <v>411</v>
      </c>
      <c r="O3567" t="s">
        <v>82</v>
      </c>
      <c r="P3567" t="str">
        <f>"4170040942                    "</f>
        <v xml:space="preserve">4170040942                    </v>
      </c>
      <c r="Q3567">
        <v>0</v>
      </c>
      <c r="R3567">
        <v>0</v>
      </c>
      <c r="S3567">
        <v>0</v>
      </c>
      <c r="T3567">
        <v>0</v>
      </c>
      <c r="U3567">
        <v>0</v>
      </c>
      <c r="V3567">
        <v>0</v>
      </c>
      <c r="W3567">
        <v>0</v>
      </c>
      <c r="X3567">
        <v>0</v>
      </c>
      <c r="Y3567">
        <v>0</v>
      </c>
      <c r="Z3567">
        <v>0</v>
      </c>
      <c r="AA3567">
        <v>0</v>
      </c>
      <c r="AB3567">
        <v>0</v>
      </c>
      <c r="AC3567">
        <v>0</v>
      </c>
      <c r="AD3567">
        <v>0</v>
      </c>
      <c r="AE3567">
        <v>0</v>
      </c>
      <c r="AF3567">
        <v>0</v>
      </c>
      <c r="AG3567">
        <v>0</v>
      </c>
      <c r="AH3567">
        <v>0</v>
      </c>
      <c r="AI3567">
        <v>0</v>
      </c>
      <c r="AJ3567">
        <v>0</v>
      </c>
      <c r="AK3567">
        <v>0</v>
      </c>
      <c r="AL3567">
        <v>0</v>
      </c>
      <c r="AM3567">
        <v>0</v>
      </c>
      <c r="AN3567">
        <v>0</v>
      </c>
      <c r="AO3567">
        <v>0</v>
      </c>
      <c r="AP3567">
        <v>0</v>
      </c>
      <c r="AQ3567">
        <v>41.43</v>
      </c>
      <c r="AR3567">
        <v>0</v>
      </c>
      <c r="AS3567">
        <v>0</v>
      </c>
      <c r="AT3567">
        <v>0</v>
      </c>
      <c r="AU3567">
        <v>0</v>
      </c>
      <c r="AV3567">
        <v>0</v>
      </c>
      <c r="AW3567">
        <v>0</v>
      </c>
      <c r="AX3567">
        <v>0</v>
      </c>
      <c r="AY3567">
        <v>0</v>
      </c>
      <c r="AZ3567">
        <v>0</v>
      </c>
      <c r="BA3567">
        <v>0</v>
      </c>
      <c r="BB3567">
        <v>0</v>
      </c>
      <c r="BC3567">
        <v>0</v>
      </c>
      <c r="BD3567">
        <v>0</v>
      </c>
      <c r="BE3567">
        <v>0</v>
      </c>
      <c r="BF3567">
        <v>0</v>
      </c>
      <c r="BG3567">
        <v>0</v>
      </c>
      <c r="BH3567">
        <v>1</v>
      </c>
      <c r="BI3567">
        <v>1</v>
      </c>
      <c r="BJ3567">
        <v>0.2</v>
      </c>
      <c r="BK3567">
        <v>1</v>
      </c>
      <c r="BL3567">
        <v>135.59</v>
      </c>
      <c r="BM3567">
        <v>20.34</v>
      </c>
      <c r="BN3567">
        <v>155.93</v>
      </c>
      <c r="BO3567">
        <v>155.93</v>
      </c>
      <c r="BQ3567" t="s">
        <v>412</v>
      </c>
      <c r="BR3567" t="s">
        <v>84</v>
      </c>
      <c r="BS3567" s="3">
        <v>45805</v>
      </c>
      <c r="BT3567" s="4">
        <v>0.48333333333333334</v>
      </c>
      <c r="BU3567" t="s">
        <v>413</v>
      </c>
      <c r="BV3567" t="s">
        <v>86</v>
      </c>
      <c r="BY3567">
        <v>1200</v>
      </c>
      <c r="CA3567" t="s">
        <v>414</v>
      </c>
      <c r="CC3567" t="s">
        <v>410</v>
      </c>
      <c r="CD3567">
        <v>6850</v>
      </c>
      <c r="CE3567" t="s">
        <v>88</v>
      </c>
      <c r="CF3567" s="3">
        <v>45806</v>
      </c>
      <c r="CI3567">
        <v>2</v>
      </c>
      <c r="CJ3567">
        <v>1</v>
      </c>
      <c r="CK3567">
        <v>23</v>
      </c>
      <c r="CL3567" t="s">
        <v>89</v>
      </c>
    </row>
    <row r="3568" spans="1:90" x14ac:dyDescent="0.3">
      <c r="A3568" t="s">
        <v>72</v>
      </c>
      <c r="B3568" t="s">
        <v>73</v>
      </c>
      <c r="C3568" t="s">
        <v>74</v>
      </c>
      <c r="E3568" t="str">
        <f>"080065598854"</f>
        <v>080065598854</v>
      </c>
      <c r="F3568" s="3">
        <v>45804</v>
      </c>
      <c r="G3568">
        <v>202602</v>
      </c>
      <c r="H3568" t="s">
        <v>75</v>
      </c>
      <c r="I3568" t="s">
        <v>76</v>
      </c>
      <c r="J3568" t="s">
        <v>77</v>
      </c>
      <c r="K3568" t="s">
        <v>78</v>
      </c>
      <c r="L3568" t="s">
        <v>90</v>
      </c>
      <c r="M3568" t="s">
        <v>91</v>
      </c>
      <c r="N3568" t="s">
        <v>639</v>
      </c>
      <c r="O3568" t="s">
        <v>82</v>
      </c>
      <c r="P3568" t="str">
        <f>"4170040853                    "</f>
        <v xml:space="preserve">4170040853                    </v>
      </c>
      <c r="Q3568">
        <v>0</v>
      </c>
      <c r="R3568">
        <v>0</v>
      </c>
      <c r="S3568">
        <v>0</v>
      </c>
      <c r="T3568">
        <v>0</v>
      </c>
      <c r="U3568">
        <v>0</v>
      </c>
      <c r="V3568">
        <v>0</v>
      </c>
      <c r="W3568">
        <v>0</v>
      </c>
      <c r="X3568">
        <v>0</v>
      </c>
      <c r="Y3568">
        <v>0</v>
      </c>
      <c r="Z3568">
        <v>0</v>
      </c>
      <c r="AA3568">
        <v>0</v>
      </c>
      <c r="AB3568">
        <v>0</v>
      </c>
      <c r="AC3568">
        <v>0</v>
      </c>
      <c r="AD3568">
        <v>0</v>
      </c>
      <c r="AE3568">
        <v>0</v>
      </c>
      <c r="AF3568">
        <v>0</v>
      </c>
      <c r="AG3568">
        <v>0</v>
      </c>
      <c r="AH3568">
        <v>0</v>
      </c>
      <c r="AI3568">
        <v>0</v>
      </c>
      <c r="AJ3568">
        <v>0</v>
      </c>
      <c r="AK3568">
        <v>0</v>
      </c>
      <c r="AL3568">
        <v>0</v>
      </c>
      <c r="AM3568">
        <v>0</v>
      </c>
      <c r="AN3568">
        <v>0</v>
      </c>
      <c r="AO3568">
        <v>0</v>
      </c>
      <c r="AP3568">
        <v>0</v>
      </c>
      <c r="AQ3568">
        <v>58.78</v>
      </c>
      <c r="AR3568">
        <v>0</v>
      </c>
      <c r="AS3568">
        <v>0</v>
      </c>
      <c r="AT3568">
        <v>0</v>
      </c>
      <c r="AU3568">
        <v>0</v>
      </c>
      <c r="AV3568">
        <v>0</v>
      </c>
      <c r="AW3568">
        <v>0</v>
      </c>
      <c r="AX3568">
        <v>0</v>
      </c>
      <c r="AY3568">
        <v>0</v>
      </c>
      <c r="AZ3568">
        <v>0</v>
      </c>
      <c r="BA3568">
        <v>0</v>
      </c>
      <c r="BB3568">
        <v>0</v>
      </c>
      <c r="BC3568">
        <v>0</v>
      </c>
      <c r="BD3568">
        <v>0</v>
      </c>
      <c r="BE3568">
        <v>0</v>
      </c>
      <c r="BF3568">
        <v>0</v>
      </c>
      <c r="BG3568">
        <v>0</v>
      </c>
      <c r="BH3568">
        <v>1</v>
      </c>
      <c r="BI3568">
        <v>3</v>
      </c>
      <c r="BJ3568">
        <v>5.4</v>
      </c>
      <c r="BK3568">
        <v>5.5</v>
      </c>
      <c r="BL3568">
        <v>192.36</v>
      </c>
      <c r="BM3568">
        <v>28.85</v>
      </c>
      <c r="BN3568">
        <v>221.21</v>
      </c>
      <c r="BO3568">
        <v>221.21</v>
      </c>
      <c r="BQ3568" t="s">
        <v>640</v>
      </c>
      <c r="BR3568" t="s">
        <v>84</v>
      </c>
      <c r="BS3568" s="3">
        <v>45805</v>
      </c>
      <c r="BT3568" s="4">
        <v>0.37777777777777777</v>
      </c>
      <c r="BU3568" t="s">
        <v>1435</v>
      </c>
      <c r="BV3568" t="s">
        <v>86</v>
      </c>
      <c r="BY3568">
        <v>27216</v>
      </c>
      <c r="CA3568" t="s">
        <v>271</v>
      </c>
      <c r="CC3568" t="s">
        <v>91</v>
      </c>
      <c r="CD3568">
        <v>6001</v>
      </c>
      <c r="CE3568" t="s">
        <v>221</v>
      </c>
      <c r="CF3568" s="3">
        <v>45805</v>
      </c>
      <c r="CI3568">
        <v>1</v>
      </c>
      <c r="CJ3568">
        <v>1</v>
      </c>
      <c r="CK3568">
        <v>21</v>
      </c>
      <c r="CL3568" t="s">
        <v>89</v>
      </c>
    </row>
    <row r="3569" spans="1:90" x14ac:dyDescent="0.3">
      <c r="A3569" t="s">
        <v>72</v>
      </c>
      <c r="B3569" t="s">
        <v>73</v>
      </c>
      <c r="C3569" t="s">
        <v>74</v>
      </c>
      <c r="E3569" t="str">
        <f>"080065598869"</f>
        <v>080065598869</v>
      </c>
      <c r="F3569" s="3">
        <v>45804</v>
      </c>
      <c r="G3569">
        <v>202602</v>
      </c>
      <c r="H3569" t="s">
        <v>75</v>
      </c>
      <c r="I3569" t="s">
        <v>76</v>
      </c>
      <c r="J3569" t="s">
        <v>77</v>
      </c>
      <c r="K3569" t="s">
        <v>78</v>
      </c>
      <c r="L3569" t="s">
        <v>648</v>
      </c>
      <c r="M3569" t="s">
        <v>649</v>
      </c>
      <c r="N3569" t="s">
        <v>650</v>
      </c>
      <c r="O3569" t="s">
        <v>82</v>
      </c>
      <c r="P3569" t="str">
        <f>"4170040955                    "</f>
        <v xml:space="preserve">4170040955                    </v>
      </c>
      <c r="Q3569">
        <v>0</v>
      </c>
      <c r="R3569">
        <v>0</v>
      </c>
      <c r="S3569">
        <v>0</v>
      </c>
      <c r="T3569">
        <v>0</v>
      </c>
      <c r="U3569">
        <v>0</v>
      </c>
      <c r="V3569">
        <v>0</v>
      </c>
      <c r="W3569">
        <v>0</v>
      </c>
      <c r="X3569">
        <v>0</v>
      </c>
      <c r="Y3569">
        <v>0</v>
      </c>
      <c r="Z3569">
        <v>0</v>
      </c>
      <c r="AA3569">
        <v>0</v>
      </c>
      <c r="AB3569">
        <v>0</v>
      </c>
      <c r="AC3569">
        <v>0</v>
      </c>
      <c r="AD3569">
        <v>0</v>
      </c>
      <c r="AE3569">
        <v>0</v>
      </c>
      <c r="AF3569">
        <v>0</v>
      </c>
      <c r="AG3569">
        <v>0</v>
      </c>
      <c r="AH3569">
        <v>0</v>
      </c>
      <c r="AI3569">
        <v>0</v>
      </c>
      <c r="AJ3569">
        <v>0</v>
      </c>
      <c r="AK3569">
        <v>0</v>
      </c>
      <c r="AL3569">
        <v>0</v>
      </c>
      <c r="AM3569">
        <v>0</v>
      </c>
      <c r="AN3569">
        <v>0</v>
      </c>
      <c r="AO3569">
        <v>0</v>
      </c>
      <c r="AP3569">
        <v>0</v>
      </c>
      <c r="AQ3569">
        <v>16.7</v>
      </c>
      <c r="AR3569">
        <v>0</v>
      </c>
      <c r="AS3569">
        <v>0</v>
      </c>
      <c r="AT3569">
        <v>0</v>
      </c>
      <c r="AU3569">
        <v>0</v>
      </c>
      <c r="AV3569">
        <v>0</v>
      </c>
      <c r="AW3569">
        <v>0</v>
      </c>
      <c r="AX3569">
        <v>0</v>
      </c>
      <c r="AY3569">
        <v>0</v>
      </c>
      <c r="AZ3569">
        <v>0</v>
      </c>
      <c r="BA3569">
        <v>0</v>
      </c>
      <c r="BB3569">
        <v>0</v>
      </c>
      <c r="BC3569">
        <v>0</v>
      </c>
      <c r="BD3569">
        <v>0</v>
      </c>
      <c r="BE3569">
        <v>0</v>
      </c>
      <c r="BF3569">
        <v>0</v>
      </c>
      <c r="BG3569">
        <v>0</v>
      </c>
      <c r="BH3569">
        <v>1</v>
      </c>
      <c r="BI3569">
        <v>1</v>
      </c>
      <c r="BJ3569">
        <v>0.2</v>
      </c>
      <c r="BK3569">
        <v>1</v>
      </c>
      <c r="BL3569">
        <v>54.66</v>
      </c>
      <c r="BM3569">
        <v>8.1999999999999993</v>
      </c>
      <c r="BN3569">
        <v>62.86</v>
      </c>
      <c r="BO3569">
        <v>62.86</v>
      </c>
      <c r="BQ3569" t="s">
        <v>651</v>
      </c>
      <c r="BR3569" t="s">
        <v>84</v>
      </c>
      <c r="BS3569" s="3">
        <v>45805</v>
      </c>
      <c r="BT3569" s="4">
        <v>0.35625000000000001</v>
      </c>
      <c r="BU3569" t="s">
        <v>3321</v>
      </c>
      <c r="BV3569" t="s">
        <v>86</v>
      </c>
      <c r="BY3569">
        <v>1200</v>
      </c>
      <c r="CA3569" t="s">
        <v>698</v>
      </c>
      <c r="CC3569" t="s">
        <v>649</v>
      </c>
      <c r="CD3569">
        <v>1559</v>
      </c>
      <c r="CE3569" t="s">
        <v>88</v>
      </c>
      <c r="CF3569" s="3">
        <v>45805</v>
      </c>
      <c r="CI3569">
        <v>1</v>
      </c>
      <c r="CJ3569">
        <v>1</v>
      </c>
      <c r="CK3569">
        <v>22</v>
      </c>
      <c r="CL3569" t="s">
        <v>89</v>
      </c>
    </row>
    <row r="3570" spans="1:90" x14ac:dyDescent="0.3">
      <c r="A3570" t="s">
        <v>72</v>
      </c>
      <c r="B3570" t="s">
        <v>73</v>
      </c>
      <c r="C3570" t="s">
        <v>74</v>
      </c>
      <c r="E3570" t="str">
        <f>"080065598871"</f>
        <v>080065598871</v>
      </c>
      <c r="F3570" s="3">
        <v>45804</v>
      </c>
      <c r="G3570">
        <v>202602</v>
      </c>
      <c r="H3570" t="s">
        <v>75</v>
      </c>
      <c r="I3570" t="s">
        <v>76</v>
      </c>
      <c r="J3570" t="s">
        <v>77</v>
      </c>
      <c r="K3570" t="s">
        <v>78</v>
      </c>
      <c r="L3570" t="s">
        <v>350</v>
      </c>
      <c r="M3570" t="s">
        <v>351</v>
      </c>
      <c r="N3570" t="s">
        <v>459</v>
      </c>
      <c r="O3570" t="s">
        <v>82</v>
      </c>
      <c r="P3570" t="str">
        <f>"4170040876                    "</f>
        <v xml:space="preserve">4170040876                    </v>
      </c>
      <c r="Q3570">
        <v>0</v>
      </c>
      <c r="R3570">
        <v>0</v>
      </c>
      <c r="S3570">
        <v>0</v>
      </c>
      <c r="T3570">
        <v>0</v>
      </c>
      <c r="U3570">
        <v>0</v>
      </c>
      <c r="V3570">
        <v>0</v>
      </c>
      <c r="W3570">
        <v>0</v>
      </c>
      <c r="X3570">
        <v>0</v>
      </c>
      <c r="Y3570">
        <v>0</v>
      </c>
      <c r="Z3570">
        <v>0</v>
      </c>
      <c r="AA3570">
        <v>0</v>
      </c>
      <c r="AB3570">
        <v>0</v>
      </c>
      <c r="AC3570">
        <v>0</v>
      </c>
      <c r="AD3570">
        <v>0</v>
      </c>
      <c r="AE3570">
        <v>0</v>
      </c>
      <c r="AF3570">
        <v>0</v>
      </c>
      <c r="AG3570">
        <v>0</v>
      </c>
      <c r="AH3570">
        <v>0</v>
      </c>
      <c r="AI3570">
        <v>0</v>
      </c>
      <c r="AJ3570">
        <v>0</v>
      </c>
      <c r="AK3570">
        <v>0</v>
      </c>
      <c r="AL3570">
        <v>0</v>
      </c>
      <c r="AM3570">
        <v>0</v>
      </c>
      <c r="AN3570">
        <v>0</v>
      </c>
      <c r="AO3570">
        <v>0</v>
      </c>
      <c r="AP3570">
        <v>0</v>
      </c>
      <c r="AQ3570">
        <v>21.38</v>
      </c>
      <c r="AR3570">
        <v>0</v>
      </c>
      <c r="AS3570">
        <v>0</v>
      </c>
      <c r="AT3570">
        <v>0</v>
      </c>
      <c r="AU3570">
        <v>0</v>
      </c>
      <c r="AV3570">
        <v>0</v>
      </c>
      <c r="AW3570">
        <v>0</v>
      </c>
      <c r="AX3570">
        <v>0</v>
      </c>
      <c r="AY3570">
        <v>0</v>
      </c>
      <c r="AZ3570">
        <v>0</v>
      </c>
      <c r="BA3570">
        <v>0</v>
      </c>
      <c r="BB3570">
        <v>0</v>
      </c>
      <c r="BC3570">
        <v>0</v>
      </c>
      <c r="BD3570">
        <v>0</v>
      </c>
      <c r="BE3570">
        <v>0</v>
      </c>
      <c r="BF3570">
        <v>0</v>
      </c>
      <c r="BG3570">
        <v>0</v>
      </c>
      <c r="BH3570">
        <v>1</v>
      </c>
      <c r="BI3570">
        <v>2</v>
      </c>
      <c r="BJ3570">
        <v>1.4</v>
      </c>
      <c r="BK3570">
        <v>2</v>
      </c>
      <c r="BL3570">
        <v>69.98</v>
      </c>
      <c r="BM3570">
        <v>10.5</v>
      </c>
      <c r="BN3570">
        <v>80.48</v>
      </c>
      <c r="BO3570">
        <v>80.48</v>
      </c>
      <c r="BQ3570" t="s">
        <v>460</v>
      </c>
      <c r="BR3570" t="s">
        <v>84</v>
      </c>
      <c r="BS3570" s="3">
        <v>45805</v>
      </c>
      <c r="BT3570" s="4">
        <v>0.33402777777777776</v>
      </c>
      <c r="BU3570" t="s">
        <v>461</v>
      </c>
      <c r="BV3570" t="s">
        <v>86</v>
      </c>
      <c r="BY3570">
        <v>7000</v>
      </c>
      <c r="CA3570" t="s">
        <v>462</v>
      </c>
      <c r="CC3570" t="s">
        <v>351</v>
      </c>
      <c r="CD3570">
        <v>4051</v>
      </c>
      <c r="CE3570" t="s">
        <v>116</v>
      </c>
      <c r="CF3570" s="3">
        <v>45805</v>
      </c>
      <c r="CI3570">
        <v>1</v>
      </c>
      <c r="CJ3570">
        <v>1</v>
      </c>
      <c r="CK3570">
        <v>21</v>
      </c>
      <c r="CL3570" t="s">
        <v>89</v>
      </c>
    </row>
    <row r="3571" spans="1:90" x14ac:dyDescent="0.3">
      <c r="A3571" t="s">
        <v>72</v>
      </c>
      <c r="B3571" t="s">
        <v>73</v>
      </c>
      <c r="C3571" t="s">
        <v>74</v>
      </c>
      <c r="E3571" t="str">
        <f>"080065598885"</f>
        <v>080065598885</v>
      </c>
      <c r="F3571" s="3">
        <v>45804</v>
      </c>
      <c r="G3571">
        <v>202602</v>
      </c>
      <c r="H3571" t="s">
        <v>75</v>
      </c>
      <c r="I3571" t="s">
        <v>76</v>
      </c>
      <c r="J3571" t="s">
        <v>77</v>
      </c>
      <c r="K3571" t="s">
        <v>78</v>
      </c>
      <c r="L3571" t="s">
        <v>97</v>
      </c>
      <c r="M3571" t="s">
        <v>98</v>
      </c>
      <c r="N3571" t="s">
        <v>2242</v>
      </c>
      <c r="O3571" t="s">
        <v>82</v>
      </c>
      <c r="P3571" t="str">
        <f>"4170040982                    "</f>
        <v xml:space="preserve">4170040982                    </v>
      </c>
      <c r="Q3571">
        <v>0</v>
      </c>
      <c r="R3571">
        <v>0</v>
      </c>
      <c r="S3571">
        <v>0</v>
      </c>
      <c r="T3571">
        <v>0</v>
      </c>
      <c r="U3571">
        <v>0</v>
      </c>
      <c r="V3571">
        <v>0</v>
      </c>
      <c r="W3571">
        <v>0</v>
      </c>
      <c r="X3571">
        <v>0</v>
      </c>
      <c r="Y3571">
        <v>0</v>
      </c>
      <c r="Z3571">
        <v>0</v>
      </c>
      <c r="AA3571">
        <v>0</v>
      </c>
      <c r="AB3571">
        <v>0</v>
      </c>
      <c r="AC3571">
        <v>0</v>
      </c>
      <c r="AD3571">
        <v>0</v>
      </c>
      <c r="AE3571">
        <v>0</v>
      </c>
      <c r="AF3571">
        <v>0</v>
      </c>
      <c r="AG3571">
        <v>0</v>
      </c>
      <c r="AH3571">
        <v>0</v>
      </c>
      <c r="AI3571">
        <v>0</v>
      </c>
      <c r="AJ3571">
        <v>0</v>
      </c>
      <c r="AK3571">
        <v>0</v>
      </c>
      <c r="AL3571">
        <v>0</v>
      </c>
      <c r="AM3571">
        <v>0</v>
      </c>
      <c r="AN3571">
        <v>0</v>
      </c>
      <c r="AO3571">
        <v>0</v>
      </c>
      <c r="AP3571">
        <v>0</v>
      </c>
      <c r="AQ3571">
        <v>16.7</v>
      </c>
      <c r="AR3571">
        <v>0</v>
      </c>
      <c r="AS3571">
        <v>0</v>
      </c>
      <c r="AT3571">
        <v>0</v>
      </c>
      <c r="AU3571">
        <v>0</v>
      </c>
      <c r="AV3571">
        <v>0</v>
      </c>
      <c r="AW3571">
        <v>0</v>
      </c>
      <c r="AX3571">
        <v>0</v>
      </c>
      <c r="AY3571">
        <v>0</v>
      </c>
      <c r="AZ3571">
        <v>0</v>
      </c>
      <c r="BA3571">
        <v>0</v>
      </c>
      <c r="BB3571">
        <v>0</v>
      </c>
      <c r="BC3571">
        <v>0</v>
      </c>
      <c r="BD3571">
        <v>0</v>
      </c>
      <c r="BE3571">
        <v>0</v>
      </c>
      <c r="BF3571">
        <v>0</v>
      </c>
      <c r="BG3571">
        <v>0</v>
      </c>
      <c r="BH3571">
        <v>1</v>
      </c>
      <c r="BI3571">
        <v>1</v>
      </c>
      <c r="BJ3571">
        <v>0.2</v>
      </c>
      <c r="BK3571">
        <v>1</v>
      </c>
      <c r="BL3571">
        <v>54.66</v>
      </c>
      <c r="BM3571">
        <v>8.1999999999999993</v>
      </c>
      <c r="BN3571">
        <v>62.86</v>
      </c>
      <c r="BO3571">
        <v>62.86</v>
      </c>
      <c r="BQ3571" t="s">
        <v>2243</v>
      </c>
      <c r="BR3571" t="s">
        <v>84</v>
      </c>
      <c r="BS3571" s="3">
        <v>45805</v>
      </c>
      <c r="BT3571" s="4">
        <v>0.31805555555555554</v>
      </c>
      <c r="BU3571" t="s">
        <v>2244</v>
      </c>
      <c r="BV3571" t="s">
        <v>86</v>
      </c>
      <c r="BY3571">
        <v>1200</v>
      </c>
      <c r="CA3571" t="s">
        <v>279</v>
      </c>
      <c r="CC3571" t="s">
        <v>98</v>
      </c>
      <c r="CD3571">
        <v>1459</v>
      </c>
      <c r="CE3571" t="s">
        <v>88</v>
      </c>
      <c r="CF3571" s="3">
        <v>45806</v>
      </c>
      <c r="CI3571">
        <v>1</v>
      </c>
      <c r="CJ3571">
        <v>1</v>
      </c>
      <c r="CK3571">
        <v>22</v>
      </c>
      <c r="CL3571" t="s">
        <v>89</v>
      </c>
    </row>
    <row r="3572" spans="1:90" x14ac:dyDescent="0.3">
      <c r="A3572" t="s">
        <v>72</v>
      </c>
      <c r="B3572" t="s">
        <v>73</v>
      </c>
      <c r="C3572" t="s">
        <v>74</v>
      </c>
      <c r="E3572" t="str">
        <f>"080065598903"</f>
        <v>080065598903</v>
      </c>
      <c r="F3572" s="3">
        <v>45804</v>
      </c>
      <c r="G3572">
        <v>202602</v>
      </c>
      <c r="H3572" t="s">
        <v>75</v>
      </c>
      <c r="I3572" t="s">
        <v>76</v>
      </c>
      <c r="J3572" t="s">
        <v>77</v>
      </c>
      <c r="K3572" t="s">
        <v>78</v>
      </c>
      <c r="L3572" t="s">
        <v>409</v>
      </c>
      <c r="M3572" t="s">
        <v>410</v>
      </c>
      <c r="N3572" t="s">
        <v>411</v>
      </c>
      <c r="O3572" t="s">
        <v>82</v>
      </c>
      <c r="P3572" t="str">
        <f>"4170040941                    "</f>
        <v xml:space="preserve">4170040941                    </v>
      </c>
      <c r="Q3572">
        <v>0</v>
      </c>
      <c r="R3572">
        <v>0</v>
      </c>
      <c r="S3572">
        <v>0</v>
      </c>
      <c r="T3572">
        <v>0</v>
      </c>
      <c r="U3572">
        <v>0</v>
      </c>
      <c r="V3572">
        <v>0</v>
      </c>
      <c r="W3572">
        <v>0</v>
      </c>
      <c r="X3572">
        <v>0</v>
      </c>
      <c r="Y3572">
        <v>0</v>
      </c>
      <c r="Z3572">
        <v>0</v>
      </c>
      <c r="AA3572">
        <v>0</v>
      </c>
      <c r="AB3572">
        <v>0</v>
      </c>
      <c r="AC3572">
        <v>0</v>
      </c>
      <c r="AD3572">
        <v>0</v>
      </c>
      <c r="AE3572">
        <v>0</v>
      </c>
      <c r="AF3572">
        <v>0</v>
      </c>
      <c r="AG3572">
        <v>0</v>
      </c>
      <c r="AH3572">
        <v>0</v>
      </c>
      <c r="AI3572">
        <v>0</v>
      </c>
      <c r="AJ3572">
        <v>0</v>
      </c>
      <c r="AK3572">
        <v>0</v>
      </c>
      <c r="AL3572">
        <v>0</v>
      </c>
      <c r="AM3572">
        <v>0</v>
      </c>
      <c r="AN3572">
        <v>0</v>
      </c>
      <c r="AO3572">
        <v>0</v>
      </c>
      <c r="AP3572">
        <v>0</v>
      </c>
      <c r="AQ3572">
        <v>134.97</v>
      </c>
      <c r="AR3572">
        <v>0</v>
      </c>
      <c r="AS3572">
        <v>0</v>
      </c>
      <c r="AT3572">
        <v>0</v>
      </c>
      <c r="AU3572">
        <v>0</v>
      </c>
      <c r="AV3572">
        <v>0</v>
      </c>
      <c r="AW3572">
        <v>0</v>
      </c>
      <c r="AX3572">
        <v>0</v>
      </c>
      <c r="AY3572">
        <v>0</v>
      </c>
      <c r="AZ3572">
        <v>0</v>
      </c>
      <c r="BA3572">
        <v>0</v>
      </c>
      <c r="BB3572">
        <v>0</v>
      </c>
      <c r="BC3572">
        <v>0</v>
      </c>
      <c r="BD3572">
        <v>0</v>
      </c>
      <c r="BE3572">
        <v>0</v>
      </c>
      <c r="BF3572">
        <v>0</v>
      </c>
      <c r="BG3572">
        <v>0</v>
      </c>
      <c r="BH3572">
        <v>2</v>
      </c>
      <c r="BI3572">
        <v>7</v>
      </c>
      <c r="BJ3572">
        <v>5</v>
      </c>
      <c r="BK3572">
        <v>7</v>
      </c>
      <c r="BL3572">
        <v>441.73</v>
      </c>
      <c r="BM3572">
        <v>66.260000000000005</v>
      </c>
      <c r="BN3572">
        <v>507.99</v>
      </c>
      <c r="BO3572">
        <v>507.99</v>
      </c>
      <c r="BQ3572" t="s">
        <v>412</v>
      </c>
      <c r="BR3572" t="s">
        <v>84</v>
      </c>
      <c r="BS3572" s="3">
        <v>45805</v>
      </c>
      <c r="BT3572" s="4">
        <v>0.48055555555555557</v>
      </c>
      <c r="BU3572" t="s">
        <v>413</v>
      </c>
      <c r="BV3572" t="s">
        <v>86</v>
      </c>
      <c r="BY3572">
        <v>24960</v>
      </c>
      <c r="CA3572" t="s">
        <v>414</v>
      </c>
      <c r="CC3572" t="s">
        <v>410</v>
      </c>
      <c r="CD3572">
        <v>6850</v>
      </c>
      <c r="CE3572" t="s">
        <v>96</v>
      </c>
      <c r="CF3572" s="3">
        <v>45806</v>
      </c>
      <c r="CI3572">
        <v>2</v>
      </c>
      <c r="CJ3572">
        <v>1</v>
      </c>
      <c r="CK3572">
        <v>23</v>
      </c>
      <c r="CL3572" t="s">
        <v>89</v>
      </c>
    </row>
    <row r="3573" spans="1:90" x14ac:dyDescent="0.3">
      <c r="A3573" t="s">
        <v>72</v>
      </c>
      <c r="B3573" t="s">
        <v>73</v>
      </c>
      <c r="C3573" t="s">
        <v>74</v>
      </c>
      <c r="E3573" t="str">
        <f>"080065598908"</f>
        <v>080065598908</v>
      </c>
      <c r="F3573" s="3">
        <v>45804</v>
      </c>
      <c r="G3573">
        <v>202602</v>
      </c>
      <c r="H3573" t="s">
        <v>75</v>
      </c>
      <c r="I3573" t="s">
        <v>76</v>
      </c>
      <c r="J3573" t="s">
        <v>77</v>
      </c>
      <c r="K3573" t="s">
        <v>78</v>
      </c>
      <c r="L3573" t="s">
        <v>350</v>
      </c>
      <c r="M3573" t="s">
        <v>351</v>
      </c>
      <c r="N3573" t="s">
        <v>459</v>
      </c>
      <c r="O3573" t="s">
        <v>82</v>
      </c>
      <c r="P3573" t="str">
        <f>"4170040873                    "</f>
        <v xml:space="preserve">4170040873                    </v>
      </c>
      <c r="Q3573">
        <v>0</v>
      </c>
      <c r="R3573">
        <v>0</v>
      </c>
      <c r="S3573">
        <v>0</v>
      </c>
      <c r="T3573">
        <v>0</v>
      </c>
      <c r="U3573">
        <v>0</v>
      </c>
      <c r="V3573">
        <v>0</v>
      </c>
      <c r="W3573">
        <v>0</v>
      </c>
      <c r="X3573">
        <v>0</v>
      </c>
      <c r="Y3573">
        <v>0</v>
      </c>
      <c r="Z3573">
        <v>0</v>
      </c>
      <c r="AA3573">
        <v>0</v>
      </c>
      <c r="AB3573">
        <v>0</v>
      </c>
      <c r="AC3573">
        <v>0</v>
      </c>
      <c r="AD3573">
        <v>0</v>
      </c>
      <c r="AE3573">
        <v>0</v>
      </c>
      <c r="AF3573">
        <v>0</v>
      </c>
      <c r="AG3573">
        <v>0</v>
      </c>
      <c r="AH3573">
        <v>0</v>
      </c>
      <c r="AI3573">
        <v>0</v>
      </c>
      <c r="AJ3573">
        <v>0</v>
      </c>
      <c r="AK3573">
        <v>0</v>
      </c>
      <c r="AL3573">
        <v>0</v>
      </c>
      <c r="AM3573">
        <v>0</v>
      </c>
      <c r="AN3573">
        <v>0</v>
      </c>
      <c r="AO3573">
        <v>0</v>
      </c>
      <c r="AP3573">
        <v>0</v>
      </c>
      <c r="AQ3573">
        <v>21.38</v>
      </c>
      <c r="AR3573">
        <v>0</v>
      </c>
      <c r="AS3573">
        <v>0</v>
      </c>
      <c r="AT3573">
        <v>0</v>
      </c>
      <c r="AU3573">
        <v>0</v>
      </c>
      <c r="AV3573">
        <v>0</v>
      </c>
      <c r="AW3573">
        <v>0</v>
      </c>
      <c r="AX3573">
        <v>0</v>
      </c>
      <c r="AY3573">
        <v>0</v>
      </c>
      <c r="AZ3573">
        <v>0</v>
      </c>
      <c r="BA3573">
        <v>0</v>
      </c>
      <c r="BB3573">
        <v>0</v>
      </c>
      <c r="BC3573">
        <v>0</v>
      </c>
      <c r="BD3573">
        <v>0</v>
      </c>
      <c r="BE3573">
        <v>0</v>
      </c>
      <c r="BF3573">
        <v>0</v>
      </c>
      <c r="BG3573">
        <v>0</v>
      </c>
      <c r="BH3573">
        <v>1</v>
      </c>
      <c r="BI3573">
        <v>1</v>
      </c>
      <c r="BJ3573">
        <v>0.2</v>
      </c>
      <c r="BK3573">
        <v>1</v>
      </c>
      <c r="BL3573">
        <v>69.98</v>
      </c>
      <c r="BM3573">
        <v>10.5</v>
      </c>
      <c r="BN3573">
        <v>80.48</v>
      </c>
      <c r="BO3573">
        <v>80.48</v>
      </c>
      <c r="BQ3573" t="s">
        <v>460</v>
      </c>
      <c r="BR3573" t="s">
        <v>84</v>
      </c>
      <c r="BS3573" s="3">
        <v>45805</v>
      </c>
      <c r="BT3573" s="4">
        <v>0.33402777777777776</v>
      </c>
      <c r="BU3573" t="s">
        <v>461</v>
      </c>
      <c r="BV3573" t="s">
        <v>86</v>
      </c>
      <c r="BY3573">
        <v>1200</v>
      </c>
      <c r="CA3573" t="s">
        <v>462</v>
      </c>
      <c r="CC3573" t="s">
        <v>351</v>
      </c>
      <c r="CD3573">
        <v>4000</v>
      </c>
      <c r="CE3573" t="s">
        <v>88</v>
      </c>
      <c r="CF3573" s="3">
        <v>45805</v>
      </c>
      <c r="CI3573">
        <v>1</v>
      </c>
      <c r="CJ3573">
        <v>1</v>
      </c>
      <c r="CK3573">
        <v>21</v>
      </c>
      <c r="CL3573" t="s">
        <v>89</v>
      </c>
    </row>
    <row r="3574" spans="1:90" x14ac:dyDescent="0.3">
      <c r="A3574" t="s">
        <v>72</v>
      </c>
      <c r="B3574" t="s">
        <v>73</v>
      </c>
      <c r="C3574" t="s">
        <v>74</v>
      </c>
      <c r="E3574" t="str">
        <f>"080065598921"</f>
        <v>080065598921</v>
      </c>
      <c r="F3574" s="3">
        <v>45804</v>
      </c>
      <c r="G3574">
        <v>202602</v>
      </c>
      <c r="H3574" t="s">
        <v>75</v>
      </c>
      <c r="I3574" t="s">
        <v>76</v>
      </c>
      <c r="J3574" t="s">
        <v>77</v>
      </c>
      <c r="K3574" t="s">
        <v>78</v>
      </c>
      <c r="L3574" t="s">
        <v>123</v>
      </c>
      <c r="M3574" t="s">
        <v>123</v>
      </c>
      <c r="N3574" t="s">
        <v>1877</v>
      </c>
      <c r="O3574" t="s">
        <v>82</v>
      </c>
      <c r="P3574" t="str">
        <f>"4170040939                    "</f>
        <v xml:space="preserve">4170040939                    </v>
      </c>
      <c r="Q3574">
        <v>0</v>
      </c>
      <c r="R3574">
        <v>0</v>
      </c>
      <c r="S3574">
        <v>0</v>
      </c>
      <c r="T3574">
        <v>0</v>
      </c>
      <c r="U3574">
        <v>0</v>
      </c>
      <c r="V3574">
        <v>0</v>
      </c>
      <c r="W3574">
        <v>0</v>
      </c>
      <c r="X3574">
        <v>0</v>
      </c>
      <c r="Y3574">
        <v>0</v>
      </c>
      <c r="Z3574">
        <v>0</v>
      </c>
      <c r="AA3574">
        <v>0</v>
      </c>
      <c r="AB3574">
        <v>0</v>
      </c>
      <c r="AC3574">
        <v>0</v>
      </c>
      <c r="AD3574">
        <v>0</v>
      </c>
      <c r="AE3574">
        <v>0</v>
      </c>
      <c r="AF3574">
        <v>0</v>
      </c>
      <c r="AG3574">
        <v>0</v>
      </c>
      <c r="AH3574">
        <v>0</v>
      </c>
      <c r="AI3574">
        <v>0</v>
      </c>
      <c r="AJ3574">
        <v>0</v>
      </c>
      <c r="AK3574">
        <v>0</v>
      </c>
      <c r="AL3574">
        <v>0</v>
      </c>
      <c r="AM3574">
        <v>0</v>
      </c>
      <c r="AN3574">
        <v>0</v>
      </c>
      <c r="AO3574">
        <v>0</v>
      </c>
      <c r="AP3574">
        <v>0</v>
      </c>
      <c r="AQ3574">
        <v>41.43</v>
      </c>
      <c r="AR3574">
        <v>0</v>
      </c>
      <c r="AS3574">
        <v>0</v>
      </c>
      <c r="AT3574">
        <v>0</v>
      </c>
      <c r="AU3574">
        <v>0</v>
      </c>
      <c r="AV3574">
        <v>0</v>
      </c>
      <c r="AW3574">
        <v>0</v>
      </c>
      <c r="AX3574">
        <v>0</v>
      </c>
      <c r="AY3574">
        <v>0</v>
      </c>
      <c r="AZ3574">
        <v>0</v>
      </c>
      <c r="BA3574">
        <v>0</v>
      </c>
      <c r="BB3574">
        <v>0</v>
      </c>
      <c r="BC3574">
        <v>0</v>
      </c>
      <c r="BD3574">
        <v>0</v>
      </c>
      <c r="BE3574">
        <v>0</v>
      </c>
      <c r="BF3574">
        <v>0</v>
      </c>
      <c r="BG3574">
        <v>0</v>
      </c>
      <c r="BH3574">
        <v>1</v>
      </c>
      <c r="BI3574">
        <v>1</v>
      </c>
      <c r="BJ3574">
        <v>0.2</v>
      </c>
      <c r="BK3574">
        <v>1</v>
      </c>
      <c r="BL3574">
        <v>135.59</v>
      </c>
      <c r="BM3574">
        <v>20.34</v>
      </c>
      <c r="BN3574">
        <v>155.93</v>
      </c>
      <c r="BO3574">
        <v>155.93</v>
      </c>
      <c r="BQ3574" t="s">
        <v>1878</v>
      </c>
      <c r="BR3574" t="s">
        <v>84</v>
      </c>
      <c r="BS3574" s="3">
        <v>45805</v>
      </c>
      <c r="BT3574" s="4">
        <v>0.5229166666666667</v>
      </c>
      <c r="BU3574" t="s">
        <v>1879</v>
      </c>
      <c r="BV3574" t="s">
        <v>86</v>
      </c>
      <c r="BY3574">
        <v>1200</v>
      </c>
      <c r="CA3574" t="s">
        <v>128</v>
      </c>
      <c r="CC3574" t="s">
        <v>123</v>
      </c>
      <c r="CD3574">
        <v>7646</v>
      </c>
      <c r="CE3574" t="s">
        <v>88</v>
      </c>
      <c r="CF3574" s="3">
        <v>45806</v>
      </c>
      <c r="CI3574">
        <v>1</v>
      </c>
      <c r="CJ3574">
        <v>1</v>
      </c>
      <c r="CK3574">
        <v>23</v>
      </c>
      <c r="CL3574" t="s">
        <v>89</v>
      </c>
    </row>
    <row r="3575" spans="1:90" x14ac:dyDescent="0.3">
      <c r="A3575" t="s">
        <v>72</v>
      </c>
      <c r="B3575" t="s">
        <v>73</v>
      </c>
      <c r="C3575" t="s">
        <v>74</v>
      </c>
      <c r="E3575" t="str">
        <f>"080065598923"</f>
        <v>080065598923</v>
      </c>
      <c r="F3575" s="3">
        <v>45804</v>
      </c>
      <c r="G3575">
        <v>202602</v>
      </c>
      <c r="H3575" t="s">
        <v>75</v>
      </c>
      <c r="I3575" t="s">
        <v>76</v>
      </c>
      <c r="J3575" t="s">
        <v>77</v>
      </c>
      <c r="K3575" t="s">
        <v>78</v>
      </c>
      <c r="L3575" t="s">
        <v>1241</v>
      </c>
      <c r="M3575" t="s">
        <v>1242</v>
      </c>
      <c r="N3575" t="s">
        <v>1243</v>
      </c>
      <c r="O3575" t="s">
        <v>82</v>
      </c>
      <c r="P3575" t="str">
        <f>"4170040863                    "</f>
        <v xml:space="preserve">4170040863                    </v>
      </c>
      <c r="Q3575">
        <v>0</v>
      </c>
      <c r="R3575">
        <v>0</v>
      </c>
      <c r="S3575">
        <v>0</v>
      </c>
      <c r="T3575">
        <v>0</v>
      </c>
      <c r="U3575">
        <v>0</v>
      </c>
      <c r="V3575">
        <v>0</v>
      </c>
      <c r="W3575">
        <v>0</v>
      </c>
      <c r="X3575">
        <v>0</v>
      </c>
      <c r="Y3575">
        <v>0</v>
      </c>
      <c r="Z3575">
        <v>0</v>
      </c>
      <c r="AA3575">
        <v>0</v>
      </c>
      <c r="AB3575">
        <v>0</v>
      </c>
      <c r="AC3575">
        <v>0</v>
      </c>
      <c r="AD3575">
        <v>0</v>
      </c>
      <c r="AE3575">
        <v>0</v>
      </c>
      <c r="AF3575">
        <v>0</v>
      </c>
      <c r="AG3575">
        <v>0</v>
      </c>
      <c r="AH3575">
        <v>0</v>
      </c>
      <c r="AI3575">
        <v>0</v>
      </c>
      <c r="AJ3575">
        <v>0</v>
      </c>
      <c r="AK3575">
        <v>0</v>
      </c>
      <c r="AL3575">
        <v>0</v>
      </c>
      <c r="AM3575">
        <v>0</v>
      </c>
      <c r="AN3575">
        <v>0</v>
      </c>
      <c r="AO3575">
        <v>0</v>
      </c>
      <c r="AP3575">
        <v>0</v>
      </c>
      <c r="AQ3575">
        <v>41.43</v>
      </c>
      <c r="AR3575">
        <v>0</v>
      </c>
      <c r="AS3575">
        <v>0</v>
      </c>
      <c r="AT3575">
        <v>0</v>
      </c>
      <c r="AU3575">
        <v>0</v>
      </c>
      <c r="AV3575">
        <v>0</v>
      </c>
      <c r="AW3575">
        <v>0</v>
      </c>
      <c r="AX3575">
        <v>0</v>
      </c>
      <c r="AY3575">
        <v>0</v>
      </c>
      <c r="AZ3575">
        <v>0</v>
      </c>
      <c r="BA3575">
        <v>0</v>
      </c>
      <c r="BB3575">
        <v>0</v>
      </c>
      <c r="BC3575">
        <v>0</v>
      </c>
      <c r="BD3575">
        <v>0</v>
      </c>
      <c r="BE3575">
        <v>0</v>
      </c>
      <c r="BF3575">
        <v>0</v>
      </c>
      <c r="BG3575">
        <v>0</v>
      </c>
      <c r="BH3575">
        <v>1</v>
      </c>
      <c r="BI3575">
        <v>1</v>
      </c>
      <c r="BJ3575">
        <v>1.9</v>
      </c>
      <c r="BK3575">
        <v>2</v>
      </c>
      <c r="BL3575">
        <v>135.59</v>
      </c>
      <c r="BM3575">
        <v>20.34</v>
      </c>
      <c r="BN3575">
        <v>155.93</v>
      </c>
      <c r="BO3575">
        <v>155.93</v>
      </c>
      <c r="BQ3575" t="s">
        <v>1244</v>
      </c>
      <c r="BR3575" t="s">
        <v>84</v>
      </c>
      <c r="BS3575" s="3">
        <v>45805</v>
      </c>
      <c r="BT3575" s="4">
        <v>0.4375</v>
      </c>
      <c r="BU3575" t="s">
        <v>3207</v>
      </c>
      <c r="BV3575" t="s">
        <v>86</v>
      </c>
      <c r="BY3575">
        <v>9600</v>
      </c>
      <c r="CC3575" t="s">
        <v>1242</v>
      </c>
      <c r="CD3575">
        <v>1871</v>
      </c>
      <c r="CE3575" t="s">
        <v>96</v>
      </c>
      <c r="CF3575" s="3">
        <v>45806</v>
      </c>
      <c r="CI3575">
        <v>1</v>
      </c>
      <c r="CJ3575">
        <v>1</v>
      </c>
      <c r="CK3575">
        <v>23</v>
      </c>
      <c r="CL3575" t="s">
        <v>89</v>
      </c>
    </row>
    <row r="3576" spans="1:90" x14ac:dyDescent="0.3">
      <c r="A3576" t="s">
        <v>72</v>
      </c>
      <c r="B3576" t="s">
        <v>73</v>
      </c>
      <c r="C3576" t="s">
        <v>74</v>
      </c>
      <c r="E3576" t="str">
        <f>"080065598946"</f>
        <v>080065598946</v>
      </c>
      <c r="F3576" s="3">
        <v>45804</v>
      </c>
      <c r="G3576">
        <v>202602</v>
      </c>
      <c r="H3576" t="s">
        <v>75</v>
      </c>
      <c r="I3576" t="s">
        <v>76</v>
      </c>
      <c r="J3576" t="s">
        <v>77</v>
      </c>
      <c r="K3576" t="s">
        <v>78</v>
      </c>
      <c r="L3576" t="s">
        <v>1241</v>
      </c>
      <c r="M3576" t="s">
        <v>1242</v>
      </c>
      <c r="N3576" t="s">
        <v>1243</v>
      </c>
      <c r="O3576" t="s">
        <v>82</v>
      </c>
      <c r="P3576" t="str">
        <f>"4170040862                    "</f>
        <v xml:space="preserve">4170040862                    </v>
      </c>
      <c r="Q3576">
        <v>0</v>
      </c>
      <c r="R3576">
        <v>0</v>
      </c>
      <c r="S3576">
        <v>0</v>
      </c>
      <c r="T3576">
        <v>0</v>
      </c>
      <c r="U3576">
        <v>0</v>
      </c>
      <c r="V3576">
        <v>0</v>
      </c>
      <c r="W3576">
        <v>0</v>
      </c>
      <c r="X3576">
        <v>0</v>
      </c>
      <c r="Y3576">
        <v>0</v>
      </c>
      <c r="Z3576">
        <v>0</v>
      </c>
      <c r="AA3576">
        <v>0</v>
      </c>
      <c r="AB3576">
        <v>0</v>
      </c>
      <c r="AC3576">
        <v>0</v>
      </c>
      <c r="AD3576">
        <v>0</v>
      </c>
      <c r="AE3576">
        <v>0</v>
      </c>
      <c r="AF3576">
        <v>0</v>
      </c>
      <c r="AG3576">
        <v>0</v>
      </c>
      <c r="AH3576">
        <v>0</v>
      </c>
      <c r="AI3576">
        <v>0</v>
      </c>
      <c r="AJ3576">
        <v>0</v>
      </c>
      <c r="AK3576">
        <v>0</v>
      </c>
      <c r="AL3576">
        <v>0</v>
      </c>
      <c r="AM3576">
        <v>0</v>
      </c>
      <c r="AN3576">
        <v>0</v>
      </c>
      <c r="AO3576">
        <v>0</v>
      </c>
      <c r="AP3576">
        <v>0</v>
      </c>
      <c r="AQ3576">
        <v>60.14</v>
      </c>
      <c r="AR3576">
        <v>0</v>
      </c>
      <c r="AS3576">
        <v>0</v>
      </c>
      <c r="AT3576">
        <v>0</v>
      </c>
      <c r="AU3576">
        <v>0</v>
      </c>
      <c r="AV3576">
        <v>0</v>
      </c>
      <c r="AW3576">
        <v>0</v>
      </c>
      <c r="AX3576">
        <v>0</v>
      </c>
      <c r="AY3576">
        <v>0</v>
      </c>
      <c r="AZ3576">
        <v>0</v>
      </c>
      <c r="BA3576">
        <v>0</v>
      </c>
      <c r="BB3576">
        <v>0</v>
      </c>
      <c r="BC3576">
        <v>0</v>
      </c>
      <c r="BD3576">
        <v>0</v>
      </c>
      <c r="BE3576">
        <v>0</v>
      </c>
      <c r="BF3576">
        <v>0</v>
      </c>
      <c r="BG3576">
        <v>0</v>
      </c>
      <c r="BH3576">
        <v>1</v>
      </c>
      <c r="BI3576">
        <v>3</v>
      </c>
      <c r="BJ3576">
        <v>1.9</v>
      </c>
      <c r="BK3576">
        <v>3</v>
      </c>
      <c r="BL3576">
        <v>196.82</v>
      </c>
      <c r="BM3576">
        <v>29.52</v>
      </c>
      <c r="BN3576">
        <v>226.34</v>
      </c>
      <c r="BO3576">
        <v>226.34</v>
      </c>
      <c r="BQ3576" t="s">
        <v>1244</v>
      </c>
      <c r="BR3576" t="s">
        <v>84</v>
      </c>
      <c r="BS3576" s="3">
        <v>45805</v>
      </c>
      <c r="BT3576" s="4">
        <v>0.4375</v>
      </c>
      <c r="BU3576" t="s">
        <v>3207</v>
      </c>
      <c r="BV3576" t="s">
        <v>86</v>
      </c>
      <c r="BY3576">
        <v>9600</v>
      </c>
      <c r="CC3576" t="s">
        <v>1242</v>
      </c>
      <c r="CD3576">
        <v>1871</v>
      </c>
      <c r="CE3576" t="s">
        <v>96</v>
      </c>
      <c r="CF3576" s="3">
        <v>45806</v>
      </c>
      <c r="CI3576">
        <v>1</v>
      </c>
      <c r="CJ3576">
        <v>1</v>
      </c>
      <c r="CK3576">
        <v>23</v>
      </c>
      <c r="CL3576" t="s">
        <v>89</v>
      </c>
    </row>
    <row r="3577" spans="1:90" x14ac:dyDescent="0.3">
      <c r="A3577" t="s">
        <v>72</v>
      </c>
      <c r="B3577" t="s">
        <v>73</v>
      </c>
      <c r="C3577" t="s">
        <v>74</v>
      </c>
      <c r="E3577" t="str">
        <f>"080065598950"</f>
        <v>080065598950</v>
      </c>
      <c r="F3577" s="3">
        <v>45804</v>
      </c>
      <c r="G3577">
        <v>202602</v>
      </c>
      <c r="H3577" t="s">
        <v>75</v>
      </c>
      <c r="I3577" t="s">
        <v>76</v>
      </c>
      <c r="J3577" t="s">
        <v>77</v>
      </c>
      <c r="K3577" t="s">
        <v>78</v>
      </c>
      <c r="L3577" t="s">
        <v>151</v>
      </c>
      <c r="M3577" t="s">
        <v>152</v>
      </c>
      <c r="N3577" t="s">
        <v>3322</v>
      </c>
      <c r="O3577" t="s">
        <v>82</v>
      </c>
      <c r="P3577" t="str">
        <f>"4170040744                    "</f>
        <v xml:space="preserve">4170040744                    </v>
      </c>
      <c r="Q3577">
        <v>0</v>
      </c>
      <c r="R3577">
        <v>0</v>
      </c>
      <c r="S3577">
        <v>0</v>
      </c>
      <c r="T3577">
        <v>0</v>
      </c>
      <c r="U3577">
        <v>0</v>
      </c>
      <c r="V3577">
        <v>0</v>
      </c>
      <c r="W3577">
        <v>0</v>
      </c>
      <c r="X3577">
        <v>0</v>
      </c>
      <c r="Y3577">
        <v>0</v>
      </c>
      <c r="Z3577">
        <v>0</v>
      </c>
      <c r="AA3577">
        <v>0</v>
      </c>
      <c r="AB3577">
        <v>0</v>
      </c>
      <c r="AC3577">
        <v>0</v>
      </c>
      <c r="AD3577">
        <v>0</v>
      </c>
      <c r="AE3577">
        <v>0</v>
      </c>
      <c r="AF3577">
        <v>0</v>
      </c>
      <c r="AG3577">
        <v>0</v>
      </c>
      <c r="AH3577">
        <v>0</v>
      </c>
      <c r="AI3577">
        <v>0</v>
      </c>
      <c r="AJ3577">
        <v>0</v>
      </c>
      <c r="AK3577">
        <v>0</v>
      </c>
      <c r="AL3577">
        <v>0</v>
      </c>
      <c r="AM3577">
        <v>0</v>
      </c>
      <c r="AN3577">
        <v>0</v>
      </c>
      <c r="AO3577">
        <v>0</v>
      </c>
      <c r="AP3577">
        <v>0</v>
      </c>
      <c r="AQ3577">
        <v>41.43</v>
      </c>
      <c r="AR3577">
        <v>0</v>
      </c>
      <c r="AS3577">
        <v>0</v>
      </c>
      <c r="AT3577">
        <v>0</v>
      </c>
      <c r="AU3577">
        <v>0</v>
      </c>
      <c r="AV3577">
        <v>0</v>
      </c>
      <c r="AW3577">
        <v>0</v>
      </c>
      <c r="AX3577">
        <v>0</v>
      </c>
      <c r="AY3577">
        <v>0</v>
      </c>
      <c r="AZ3577">
        <v>0</v>
      </c>
      <c r="BA3577">
        <v>0</v>
      </c>
      <c r="BB3577">
        <v>0</v>
      </c>
      <c r="BC3577">
        <v>0</v>
      </c>
      <c r="BD3577">
        <v>0</v>
      </c>
      <c r="BE3577">
        <v>0</v>
      </c>
      <c r="BF3577">
        <v>0</v>
      </c>
      <c r="BG3577">
        <v>0</v>
      </c>
      <c r="BH3577">
        <v>1</v>
      </c>
      <c r="BI3577">
        <v>1</v>
      </c>
      <c r="BJ3577">
        <v>0.2</v>
      </c>
      <c r="BK3577">
        <v>1</v>
      </c>
      <c r="BL3577">
        <v>135.59</v>
      </c>
      <c r="BM3577">
        <v>20.34</v>
      </c>
      <c r="BN3577">
        <v>155.93</v>
      </c>
      <c r="BO3577">
        <v>155.93</v>
      </c>
      <c r="BQ3577" t="s">
        <v>3323</v>
      </c>
      <c r="BR3577" t="s">
        <v>84</v>
      </c>
      <c r="BS3577" s="3">
        <v>45805</v>
      </c>
      <c r="BT3577" s="4">
        <v>0.41666666666666669</v>
      </c>
      <c r="BU3577" t="s">
        <v>274</v>
      </c>
      <c r="BV3577" t="s">
        <v>86</v>
      </c>
      <c r="BY3577">
        <v>1200</v>
      </c>
      <c r="CA3577" t="s">
        <v>156</v>
      </c>
      <c r="CC3577" t="s">
        <v>152</v>
      </c>
      <c r="CD3577">
        <v>1900</v>
      </c>
      <c r="CE3577" t="s">
        <v>88</v>
      </c>
      <c r="CF3577" s="3">
        <v>45806</v>
      </c>
      <c r="CI3577">
        <v>1</v>
      </c>
      <c r="CJ3577">
        <v>1</v>
      </c>
      <c r="CK3577">
        <v>23</v>
      </c>
      <c r="CL3577" t="s">
        <v>89</v>
      </c>
    </row>
    <row r="3578" spans="1:90" x14ac:dyDescent="0.3">
      <c r="A3578" t="s">
        <v>72</v>
      </c>
      <c r="B3578" t="s">
        <v>73</v>
      </c>
      <c r="C3578" t="s">
        <v>74</v>
      </c>
      <c r="E3578" t="str">
        <f>"080065598965"</f>
        <v>080065598965</v>
      </c>
      <c r="F3578" s="3">
        <v>45804</v>
      </c>
      <c r="G3578">
        <v>202602</v>
      </c>
      <c r="H3578" t="s">
        <v>75</v>
      </c>
      <c r="I3578" t="s">
        <v>76</v>
      </c>
      <c r="J3578" t="s">
        <v>77</v>
      </c>
      <c r="K3578" t="s">
        <v>78</v>
      </c>
      <c r="L3578" t="s">
        <v>79</v>
      </c>
      <c r="M3578" t="s">
        <v>80</v>
      </c>
      <c r="N3578" t="s">
        <v>797</v>
      </c>
      <c r="O3578" t="s">
        <v>82</v>
      </c>
      <c r="P3578" t="str">
        <f>"4170040938                    "</f>
        <v xml:space="preserve">4170040938                    </v>
      </c>
      <c r="Q3578">
        <v>0</v>
      </c>
      <c r="R3578">
        <v>0</v>
      </c>
      <c r="S3578">
        <v>0</v>
      </c>
      <c r="T3578">
        <v>0</v>
      </c>
      <c r="U3578">
        <v>0</v>
      </c>
      <c r="V3578">
        <v>0</v>
      </c>
      <c r="W3578">
        <v>0</v>
      </c>
      <c r="X3578">
        <v>0</v>
      </c>
      <c r="Y3578">
        <v>0</v>
      </c>
      <c r="Z3578">
        <v>0</v>
      </c>
      <c r="AA3578">
        <v>0</v>
      </c>
      <c r="AB3578">
        <v>0</v>
      </c>
      <c r="AC3578">
        <v>0</v>
      </c>
      <c r="AD3578">
        <v>0</v>
      </c>
      <c r="AE3578">
        <v>0</v>
      </c>
      <c r="AF3578">
        <v>0</v>
      </c>
      <c r="AG3578">
        <v>0</v>
      </c>
      <c r="AH3578">
        <v>0</v>
      </c>
      <c r="AI3578">
        <v>0</v>
      </c>
      <c r="AJ3578">
        <v>0</v>
      </c>
      <c r="AK3578">
        <v>0</v>
      </c>
      <c r="AL3578">
        <v>0</v>
      </c>
      <c r="AM3578">
        <v>0</v>
      </c>
      <c r="AN3578">
        <v>0</v>
      </c>
      <c r="AO3578">
        <v>0</v>
      </c>
      <c r="AP3578">
        <v>0</v>
      </c>
      <c r="AQ3578">
        <v>21.38</v>
      </c>
      <c r="AR3578">
        <v>0</v>
      </c>
      <c r="AS3578">
        <v>0</v>
      </c>
      <c r="AT3578">
        <v>0</v>
      </c>
      <c r="AU3578">
        <v>0</v>
      </c>
      <c r="AV3578">
        <v>0</v>
      </c>
      <c r="AW3578">
        <v>0</v>
      </c>
      <c r="AX3578">
        <v>0</v>
      </c>
      <c r="AY3578">
        <v>0</v>
      </c>
      <c r="AZ3578">
        <v>0</v>
      </c>
      <c r="BA3578">
        <v>0</v>
      </c>
      <c r="BB3578">
        <v>0</v>
      </c>
      <c r="BC3578">
        <v>0</v>
      </c>
      <c r="BD3578">
        <v>0</v>
      </c>
      <c r="BE3578">
        <v>0</v>
      </c>
      <c r="BF3578">
        <v>0</v>
      </c>
      <c r="BG3578">
        <v>0</v>
      </c>
      <c r="BH3578">
        <v>1</v>
      </c>
      <c r="BI3578">
        <v>1</v>
      </c>
      <c r="BJ3578">
        <v>0.2</v>
      </c>
      <c r="BK3578">
        <v>1</v>
      </c>
      <c r="BL3578">
        <v>69.98</v>
      </c>
      <c r="BM3578">
        <v>10.5</v>
      </c>
      <c r="BN3578">
        <v>80.48</v>
      </c>
      <c r="BO3578">
        <v>80.48</v>
      </c>
      <c r="BQ3578" t="s">
        <v>798</v>
      </c>
      <c r="BR3578" t="s">
        <v>84</v>
      </c>
      <c r="BS3578" s="3">
        <v>45805</v>
      </c>
      <c r="BT3578" s="4">
        <v>0.39652777777777776</v>
      </c>
      <c r="BU3578" t="s">
        <v>3324</v>
      </c>
      <c r="BV3578" t="s">
        <v>86</v>
      </c>
      <c r="BY3578">
        <v>1200</v>
      </c>
      <c r="CA3578" t="s">
        <v>418</v>
      </c>
      <c r="CC3578" t="s">
        <v>80</v>
      </c>
      <c r="CD3578">
        <v>3610</v>
      </c>
      <c r="CE3578" t="s">
        <v>88</v>
      </c>
      <c r="CF3578" s="3">
        <v>45806</v>
      </c>
      <c r="CI3578">
        <v>1</v>
      </c>
      <c r="CJ3578">
        <v>1</v>
      </c>
      <c r="CK3578">
        <v>21</v>
      </c>
      <c r="CL3578" t="s">
        <v>89</v>
      </c>
    </row>
    <row r="3579" spans="1:90" x14ac:dyDescent="0.3">
      <c r="A3579" t="s">
        <v>72</v>
      </c>
      <c r="B3579" t="s">
        <v>73</v>
      </c>
      <c r="C3579" t="s">
        <v>74</v>
      </c>
      <c r="E3579" t="str">
        <f>"080065598977"</f>
        <v>080065598977</v>
      </c>
      <c r="F3579" s="3">
        <v>45804</v>
      </c>
      <c r="G3579">
        <v>202602</v>
      </c>
      <c r="H3579" t="s">
        <v>75</v>
      </c>
      <c r="I3579" t="s">
        <v>76</v>
      </c>
      <c r="J3579" t="s">
        <v>77</v>
      </c>
      <c r="K3579" t="s">
        <v>78</v>
      </c>
      <c r="L3579" t="s">
        <v>311</v>
      </c>
      <c r="M3579" t="s">
        <v>312</v>
      </c>
      <c r="N3579" t="s">
        <v>2036</v>
      </c>
      <c r="O3579" t="s">
        <v>300</v>
      </c>
      <c r="P3579" t="str">
        <f>"4170040969                    "</f>
        <v xml:space="preserve">4170040969                    </v>
      </c>
      <c r="Q3579">
        <v>0</v>
      </c>
      <c r="R3579">
        <v>0</v>
      </c>
      <c r="S3579">
        <v>0</v>
      </c>
      <c r="T3579">
        <v>0</v>
      </c>
      <c r="U3579">
        <v>0</v>
      </c>
      <c r="V3579">
        <v>0</v>
      </c>
      <c r="W3579">
        <v>0</v>
      </c>
      <c r="X3579">
        <v>0</v>
      </c>
      <c r="Y3579">
        <v>0</v>
      </c>
      <c r="Z3579">
        <v>0</v>
      </c>
      <c r="AA3579">
        <v>0</v>
      </c>
      <c r="AB3579">
        <v>0</v>
      </c>
      <c r="AC3579">
        <v>0</v>
      </c>
      <c r="AD3579">
        <v>0</v>
      </c>
      <c r="AE3579">
        <v>0</v>
      </c>
      <c r="AF3579">
        <v>0</v>
      </c>
      <c r="AG3579">
        <v>0</v>
      </c>
      <c r="AH3579">
        <v>0</v>
      </c>
      <c r="AI3579">
        <v>0</v>
      </c>
      <c r="AJ3579">
        <v>0</v>
      </c>
      <c r="AK3579">
        <v>0</v>
      </c>
      <c r="AL3579">
        <v>0</v>
      </c>
      <c r="AM3579">
        <v>0</v>
      </c>
      <c r="AN3579">
        <v>0</v>
      </c>
      <c r="AO3579">
        <v>0</v>
      </c>
      <c r="AP3579">
        <v>0</v>
      </c>
      <c r="AQ3579">
        <v>48.7</v>
      </c>
      <c r="AR3579">
        <v>0</v>
      </c>
      <c r="AS3579">
        <v>0</v>
      </c>
      <c r="AT3579">
        <v>0</v>
      </c>
      <c r="AU3579">
        <v>0</v>
      </c>
      <c r="AV3579">
        <v>0</v>
      </c>
      <c r="AW3579">
        <v>0</v>
      </c>
      <c r="AX3579">
        <v>0</v>
      </c>
      <c r="AY3579">
        <v>0</v>
      </c>
      <c r="AZ3579">
        <v>0</v>
      </c>
      <c r="BA3579">
        <v>0</v>
      </c>
      <c r="BB3579">
        <v>0</v>
      </c>
      <c r="BC3579">
        <v>0</v>
      </c>
      <c r="BD3579">
        <v>0</v>
      </c>
      <c r="BE3579">
        <v>0</v>
      </c>
      <c r="BF3579">
        <v>0</v>
      </c>
      <c r="BG3579">
        <v>0</v>
      </c>
      <c r="BH3579">
        <v>1</v>
      </c>
      <c r="BI3579">
        <v>11</v>
      </c>
      <c r="BJ3579">
        <v>32.6</v>
      </c>
      <c r="BK3579">
        <v>33</v>
      </c>
      <c r="BL3579">
        <v>164.95</v>
      </c>
      <c r="BM3579">
        <v>24.74</v>
      </c>
      <c r="BN3579">
        <v>189.69</v>
      </c>
      <c r="BO3579">
        <v>189.69</v>
      </c>
      <c r="BQ3579" t="s">
        <v>2037</v>
      </c>
      <c r="BR3579" t="s">
        <v>84</v>
      </c>
      <c r="BS3579" s="3">
        <v>45805</v>
      </c>
      <c r="BT3579" s="4">
        <v>0.5541666666666667</v>
      </c>
      <c r="BU3579" t="s">
        <v>3325</v>
      </c>
      <c r="BV3579" t="s">
        <v>86</v>
      </c>
      <c r="BY3579">
        <v>162840</v>
      </c>
      <c r="CA3579" t="s">
        <v>3326</v>
      </c>
      <c r="CC3579" t="s">
        <v>312</v>
      </c>
      <c r="CD3579">
        <v>1501</v>
      </c>
      <c r="CE3579" t="s">
        <v>96</v>
      </c>
      <c r="CF3579" s="3">
        <v>45805</v>
      </c>
      <c r="CI3579">
        <v>1</v>
      </c>
      <c r="CJ3579">
        <v>1</v>
      </c>
      <c r="CK3579">
        <v>42</v>
      </c>
      <c r="CL3579" t="s">
        <v>89</v>
      </c>
    </row>
    <row r="3580" spans="1:90" x14ac:dyDescent="0.3">
      <c r="A3580" t="s">
        <v>72</v>
      </c>
      <c r="B3580" t="s">
        <v>73</v>
      </c>
      <c r="C3580" t="s">
        <v>74</v>
      </c>
      <c r="E3580" t="str">
        <f>"080065598993"</f>
        <v>080065598993</v>
      </c>
      <c r="F3580" s="3">
        <v>45804</v>
      </c>
      <c r="G3580">
        <v>202602</v>
      </c>
      <c r="H3580" t="s">
        <v>75</v>
      </c>
      <c r="I3580" t="s">
        <v>76</v>
      </c>
      <c r="J3580" t="s">
        <v>77</v>
      </c>
      <c r="K3580" t="s">
        <v>78</v>
      </c>
      <c r="L3580" t="s">
        <v>130</v>
      </c>
      <c r="M3580" t="s">
        <v>131</v>
      </c>
      <c r="N3580" t="s">
        <v>665</v>
      </c>
      <c r="O3580" t="s">
        <v>82</v>
      </c>
      <c r="P3580" t="str">
        <f>"4170040981                    "</f>
        <v xml:space="preserve">4170040981                    </v>
      </c>
      <c r="Q3580">
        <v>0</v>
      </c>
      <c r="R3580">
        <v>0</v>
      </c>
      <c r="S3580">
        <v>0</v>
      </c>
      <c r="T3580">
        <v>0</v>
      </c>
      <c r="U3580">
        <v>0</v>
      </c>
      <c r="V3580">
        <v>0</v>
      </c>
      <c r="W3580">
        <v>0</v>
      </c>
      <c r="X3580">
        <v>0</v>
      </c>
      <c r="Y3580">
        <v>0</v>
      </c>
      <c r="Z3580">
        <v>0</v>
      </c>
      <c r="AA3580">
        <v>0</v>
      </c>
      <c r="AB3580">
        <v>0</v>
      </c>
      <c r="AC3580">
        <v>0</v>
      </c>
      <c r="AD3580">
        <v>0</v>
      </c>
      <c r="AE3580">
        <v>0</v>
      </c>
      <c r="AF3580">
        <v>0</v>
      </c>
      <c r="AG3580">
        <v>0</v>
      </c>
      <c r="AH3580">
        <v>0</v>
      </c>
      <c r="AI3580">
        <v>0</v>
      </c>
      <c r="AJ3580">
        <v>0</v>
      </c>
      <c r="AK3580">
        <v>0</v>
      </c>
      <c r="AL3580">
        <v>0</v>
      </c>
      <c r="AM3580">
        <v>0</v>
      </c>
      <c r="AN3580">
        <v>0</v>
      </c>
      <c r="AO3580">
        <v>0</v>
      </c>
      <c r="AP3580">
        <v>0</v>
      </c>
      <c r="AQ3580">
        <v>21.38</v>
      </c>
      <c r="AR3580">
        <v>0</v>
      </c>
      <c r="AS3580">
        <v>0</v>
      </c>
      <c r="AT3580">
        <v>0</v>
      </c>
      <c r="AU3580">
        <v>0</v>
      </c>
      <c r="AV3580">
        <v>0</v>
      </c>
      <c r="AW3580">
        <v>0</v>
      </c>
      <c r="AX3580">
        <v>0</v>
      </c>
      <c r="AY3580">
        <v>0</v>
      </c>
      <c r="AZ3580">
        <v>0</v>
      </c>
      <c r="BA3580">
        <v>0</v>
      </c>
      <c r="BB3580">
        <v>0</v>
      </c>
      <c r="BC3580">
        <v>0</v>
      </c>
      <c r="BD3580">
        <v>0</v>
      </c>
      <c r="BE3580">
        <v>0</v>
      </c>
      <c r="BF3580">
        <v>0</v>
      </c>
      <c r="BG3580">
        <v>0</v>
      </c>
      <c r="BH3580">
        <v>1</v>
      </c>
      <c r="BI3580">
        <v>1</v>
      </c>
      <c r="BJ3580">
        <v>0.2</v>
      </c>
      <c r="BK3580">
        <v>1</v>
      </c>
      <c r="BL3580">
        <v>69.98</v>
      </c>
      <c r="BM3580">
        <v>10.5</v>
      </c>
      <c r="BN3580">
        <v>80.48</v>
      </c>
      <c r="BO3580">
        <v>80.48</v>
      </c>
      <c r="BQ3580" t="s">
        <v>666</v>
      </c>
      <c r="BR3580" t="s">
        <v>84</v>
      </c>
      <c r="BS3580" s="3">
        <v>45805</v>
      </c>
      <c r="BT3580" s="4">
        <v>0.38194444444444442</v>
      </c>
      <c r="BU3580" t="s">
        <v>3327</v>
      </c>
      <c r="BV3580" t="s">
        <v>86</v>
      </c>
      <c r="BY3580">
        <v>1200</v>
      </c>
      <c r="CA3580" t="s">
        <v>389</v>
      </c>
      <c r="CC3580" t="s">
        <v>131</v>
      </c>
      <c r="CD3580">
        <v>7535</v>
      </c>
      <c r="CE3580" t="s">
        <v>88</v>
      </c>
      <c r="CF3580" s="3">
        <v>45806</v>
      </c>
      <c r="CI3580">
        <v>1</v>
      </c>
      <c r="CJ3580">
        <v>1</v>
      </c>
      <c r="CK3580">
        <v>21</v>
      </c>
      <c r="CL3580" t="s">
        <v>89</v>
      </c>
    </row>
    <row r="3581" spans="1:90" x14ac:dyDescent="0.3">
      <c r="A3581" t="s">
        <v>72</v>
      </c>
      <c r="B3581" t="s">
        <v>73</v>
      </c>
      <c r="C3581" t="s">
        <v>74</v>
      </c>
      <c r="E3581" t="str">
        <f>"080065599005"</f>
        <v>080065599005</v>
      </c>
      <c r="F3581" s="3">
        <v>45804</v>
      </c>
      <c r="G3581">
        <v>202602</v>
      </c>
      <c r="H3581" t="s">
        <v>75</v>
      </c>
      <c r="I3581" t="s">
        <v>76</v>
      </c>
      <c r="J3581" t="s">
        <v>77</v>
      </c>
      <c r="K3581" t="s">
        <v>78</v>
      </c>
      <c r="L3581" t="s">
        <v>90</v>
      </c>
      <c r="M3581" t="s">
        <v>91</v>
      </c>
      <c r="N3581" t="s">
        <v>598</v>
      </c>
      <c r="O3581" t="s">
        <v>82</v>
      </c>
      <c r="P3581" t="str">
        <f>"4170040974                    "</f>
        <v xml:space="preserve">4170040974                    </v>
      </c>
      <c r="Q3581">
        <v>0</v>
      </c>
      <c r="R3581">
        <v>0</v>
      </c>
      <c r="S3581">
        <v>0</v>
      </c>
      <c r="T3581">
        <v>0</v>
      </c>
      <c r="U3581">
        <v>0</v>
      </c>
      <c r="V3581">
        <v>0</v>
      </c>
      <c r="W3581">
        <v>0</v>
      </c>
      <c r="X3581">
        <v>0</v>
      </c>
      <c r="Y3581">
        <v>0</v>
      </c>
      <c r="Z3581">
        <v>0</v>
      </c>
      <c r="AA3581">
        <v>0</v>
      </c>
      <c r="AB3581">
        <v>0</v>
      </c>
      <c r="AC3581">
        <v>0</v>
      </c>
      <c r="AD3581">
        <v>0</v>
      </c>
      <c r="AE3581">
        <v>0</v>
      </c>
      <c r="AF3581">
        <v>0</v>
      </c>
      <c r="AG3581">
        <v>0</v>
      </c>
      <c r="AH3581">
        <v>0</v>
      </c>
      <c r="AI3581">
        <v>0</v>
      </c>
      <c r="AJ3581">
        <v>0</v>
      </c>
      <c r="AK3581">
        <v>0</v>
      </c>
      <c r="AL3581">
        <v>0</v>
      </c>
      <c r="AM3581">
        <v>0</v>
      </c>
      <c r="AN3581">
        <v>0</v>
      </c>
      <c r="AO3581">
        <v>0</v>
      </c>
      <c r="AP3581">
        <v>0</v>
      </c>
      <c r="AQ3581">
        <v>21.38</v>
      </c>
      <c r="AR3581">
        <v>0</v>
      </c>
      <c r="AS3581">
        <v>0</v>
      </c>
      <c r="AT3581">
        <v>0</v>
      </c>
      <c r="AU3581">
        <v>0</v>
      </c>
      <c r="AV3581">
        <v>0</v>
      </c>
      <c r="AW3581">
        <v>0</v>
      </c>
      <c r="AX3581">
        <v>0</v>
      </c>
      <c r="AY3581">
        <v>0</v>
      </c>
      <c r="AZ3581">
        <v>0</v>
      </c>
      <c r="BA3581">
        <v>0</v>
      </c>
      <c r="BB3581">
        <v>0</v>
      </c>
      <c r="BC3581">
        <v>0</v>
      </c>
      <c r="BD3581">
        <v>0</v>
      </c>
      <c r="BE3581">
        <v>0</v>
      </c>
      <c r="BF3581">
        <v>0</v>
      </c>
      <c r="BG3581">
        <v>0</v>
      </c>
      <c r="BH3581">
        <v>1</v>
      </c>
      <c r="BI3581">
        <v>1</v>
      </c>
      <c r="BJ3581">
        <v>1.7</v>
      </c>
      <c r="BK3581">
        <v>2</v>
      </c>
      <c r="BL3581">
        <v>69.98</v>
      </c>
      <c r="BM3581">
        <v>10.5</v>
      </c>
      <c r="BN3581">
        <v>80.48</v>
      </c>
      <c r="BO3581">
        <v>80.48</v>
      </c>
      <c r="BQ3581" t="s">
        <v>599</v>
      </c>
      <c r="BR3581" t="s">
        <v>84</v>
      </c>
      <c r="BS3581" s="3">
        <v>45805</v>
      </c>
      <c r="BT3581" s="4">
        <v>0.42499999999999999</v>
      </c>
      <c r="BU3581" t="s">
        <v>734</v>
      </c>
      <c r="BV3581" t="s">
        <v>86</v>
      </c>
      <c r="BY3581">
        <v>8512</v>
      </c>
      <c r="CA3581" t="s">
        <v>943</v>
      </c>
      <c r="CC3581" t="s">
        <v>91</v>
      </c>
      <c r="CD3581">
        <v>6012</v>
      </c>
      <c r="CE3581" t="s">
        <v>96</v>
      </c>
      <c r="CF3581" s="3">
        <v>45805</v>
      </c>
      <c r="CI3581">
        <v>1</v>
      </c>
      <c r="CJ3581">
        <v>1</v>
      </c>
      <c r="CK3581">
        <v>21</v>
      </c>
      <c r="CL3581" t="s">
        <v>89</v>
      </c>
    </row>
    <row r="3582" spans="1:90" x14ac:dyDescent="0.3">
      <c r="A3582" t="s">
        <v>72</v>
      </c>
      <c r="B3582" t="s">
        <v>73</v>
      </c>
      <c r="C3582" t="s">
        <v>74</v>
      </c>
      <c r="E3582" t="str">
        <f>"080065599010"</f>
        <v>080065599010</v>
      </c>
      <c r="F3582" s="3">
        <v>45804</v>
      </c>
      <c r="G3582">
        <v>202602</v>
      </c>
      <c r="H3582" t="s">
        <v>75</v>
      </c>
      <c r="I3582" t="s">
        <v>76</v>
      </c>
      <c r="J3582" t="s">
        <v>77</v>
      </c>
      <c r="K3582" t="s">
        <v>78</v>
      </c>
      <c r="L3582" t="s">
        <v>136</v>
      </c>
      <c r="M3582" t="s">
        <v>137</v>
      </c>
      <c r="N3582" t="s">
        <v>499</v>
      </c>
      <c r="O3582" t="s">
        <v>82</v>
      </c>
      <c r="P3582" t="str">
        <f>"4170040986                    "</f>
        <v xml:space="preserve">4170040986                    </v>
      </c>
      <c r="Q3582">
        <v>0</v>
      </c>
      <c r="R3582">
        <v>0</v>
      </c>
      <c r="S3582">
        <v>0</v>
      </c>
      <c r="T3582">
        <v>0</v>
      </c>
      <c r="U3582">
        <v>0</v>
      </c>
      <c r="V3582">
        <v>0</v>
      </c>
      <c r="W3582">
        <v>0</v>
      </c>
      <c r="X3582">
        <v>0</v>
      </c>
      <c r="Y3582">
        <v>0</v>
      </c>
      <c r="Z3582">
        <v>0</v>
      </c>
      <c r="AA3582">
        <v>0</v>
      </c>
      <c r="AB3582">
        <v>0</v>
      </c>
      <c r="AC3582">
        <v>0</v>
      </c>
      <c r="AD3582">
        <v>0</v>
      </c>
      <c r="AE3582">
        <v>0</v>
      </c>
      <c r="AF3582">
        <v>0</v>
      </c>
      <c r="AG3582">
        <v>0</v>
      </c>
      <c r="AH3582">
        <v>0</v>
      </c>
      <c r="AI3582">
        <v>0</v>
      </c>
      <c r="AJ3582">
        <v>0</v>
      </c>
      <c r="AK3582">
        <v>0</v>
      </c>
      <c r="AL3582">
        <v>0</v>
      </c>
      <c r="AM3582">
        <v>0</v>
      </c>
      <c r="AN3582">
        <v>0</v>
      </c>
      <c r="AO3582">
        <v>0</v>
      </c>
      <c r="AP3582">
        <v>0</v>
      </c>
      <c r="AQ3582">
        <v>21.38</v>
      </c>
      <c r="AR3582">
        <v>0</v>
      </c>
      <c r="AS3582">
        <v>0</v>
      </c>
      <c r="AT3582">
        <v>0</v>
      </c>
      <c r="AU3582">
        <v>0</v>
      </c>
      <c r="AV3582">
        <v>0</v>
      </c>
      <c r="AW3582">
        <v>0</v>
      </c>
      <c r="AX3582">
        <v>0</v>
      </c>
      <c r="AY3582">
        <v>0</v>
      </c>
      <c r="AZ3582">
        <v>0</v>
      </c>
      <c r="BA3582">
        <v>0</v>
      </c>
      <c r="BB3582">
        <v>0</v>
      </c>
      <c r="BC3582">
        <v>0</v>
      </c>
      <c r="BD3582">
        <v>0</v>
      </c>
      <c r="BE3582">
        <v>0</v>
      </c>
      <c r="BF3582">
        <v>0</v>
      </c>
      <c r="BG3582">
        <v>0</v>
      </c>
      <c r="BH3582">
        <v>1</v>
      </c>
      <c r="BI3582">
        <v>1</v>
      </c>
      <c r="BJ3582">
        <v>0.2</v>
      </c>
      <c r="BK3582">
        <v>1</v>
      </c>
      <c r="BL3582">
        <v>69.98</v>
      </c>
      <c r="BM3582">
        <v>10.5</v>
      </c>
      <c r="BN3582">
        <v>80.48</v>
      </c>
      <c r="BO3582">
        <v>80.48</v>
      </c>
      <c r="BQ3582" t="s">
        <v>500</v>
      </c>
      <c r="BR3582" t="s">
        <v>84</v>
      </c>
      <c r="BS3582" s="3">
        <v>45805</v>
      </c>
      <c r="BT3582" s="4">
        <v>0.42083333333333334</v>
      </c>
      <c r="BU3582" t="s">
        <v>3314</v>
      </c>
      <c r="BV3582" t="s">
        <v>86</v>
      </c>
      <c r="BY3582">
        <v>1200</v>
      </c>
      <c r="CA3582" t="s">
        <v>141</v>
      </c>
      <c r="CC3582" t="s">
        <v>137</v>
      </c>
      <c r="CD3582" s="5" t="s">
        <v>142</v>
      </c>
      <c r="CE3582" t="s">
        <v>88</v>
      </c>
      <c r="CF3582" s="3">
        <v>45805</v>
      </c>
      <c r="CI3582">
        <v>1</v>
      </c>
      <c r="CJ3582">
        <v>1</v>
      </c>
      <c r="CK3582">
        <v>21</v>
      </c>
      <c r="CL3582" t="s">
        <v>89</v>
      </c>
    </row>
    <row r="3583" spans="1:90" x14ac:dyDescent="0.3">
      <c r="A3583" t="s">
        <v>72</v>
      </c>
      <c r="B3583" t="s">
        <v>73</v>
      </c>
      <c r="C3583" t="s">
        <v>74</v>
      </c>
      <c r="E3583" t="str">
        <f>"080065599028"</f>
        <v>080065599028</v>
      </c>
      <c r="F3583" s="3">
        <v>45804</v>
      </c>
      <c r="G3583">
        <v>202602</v>
      </c>
      <c r="H3583" t="s">
        <v>75</v>
      </c>
      <c r="I3583" t="s">
        <v>76</v>
      </c>
      <c r="J3583" t="s">
        <v>77</v>
      </c>
      <c r="K3583" t="s">
        <v>78</v>
      </c>
      <c r="L3583" t="s">
        <v>90</v>
      </c>
      <c r="M3583" t="s">
        <v>91</v>
      </c>
      <c r="N3583" t="s">
        <v>563</v>
      </c>
      <c r="O3583" t="s">
        <v>82</v>
      </c>
      <c r="P3583" t="str">
        <f>"4170040985                    "</f>
        <v xml:space="preserve">4170040985                    </v>
      </c>
      <c r="Q3583">
        <v>0</v>
      </c>
      <c r="R3583">
        <v>0</v>
      </c>
      <c r="S3583">
        <v>0</v>
      </c>
      <c r="T3583">
        <v>0</v>
      </c>
      <c r="U3583">
        <v>0</v>
      </c>
      <c r="V3583">
        <v>0</v>
      </c>
      <c r="W3583">
        <v>0</v>
      </c>
      <c r="X3583">
        <v>0</v>
      </c>
      <c r="Y3583">
        <v>0</v>
      </c>
      <c r="Z3583">
        <v>0</v>
      </c>
      <c r="AA3583">
        <v>0</v>
      </c>
      <c r="AB3583">
        <v>0</v>
      </c>
      <c r="AC3583">
        <v>0</v>
      </c>
      <c r="AD3583">
        <v>0</v>
      </c>
      <c r="AE3583">
        <v>0</v>
      </c>
      <c r="AF3583">
        <v>0</v>
      </c>
      <c r="AG3583">
        <v>0</v>
      </c>
      <c r="AH3583">
        <v>0</v>
      </c>
      <c r="AI3583">
        <v>0</v>
      </c>
      <c r="AJ3583">
        <v>0</v>
      </c>
      <c r="AK3583">
        <v>0</v>
      </c>
      <c r="AL3583">
        <v>0</v>
      </c>
      <c r="AM3583">
        <v>0</v>
      </c>
      <c r="AN3583">
        <v>0</v>
      </c>
      <c r="AO3583">
        <v>0</v>
      </c>
      <c r="AP3583">
        <v>0</v>
      </c>
      <c r="AQ3583">
        <v>53.43</v>
      </c>
      <c r="AR3583">
        <v>0</v>
      </c>
      <c r="AS3583">
        <v>0</v>
      </c>
      <c r="AT3583">
        <v>0</v>
      </c>
      <c r="AU3583">
        <v>0</v>
      </c>
      <c r="AV3583">
        <v>0</v>
      </c>
      <c r="AW3583">
        <v>0</v>
      </c>
      <c r="AX3583">
        <v>0</v>
      </c>
      <c r="AY3583">
        <v>0</v>
      </c>
      <c r="AZ3583">
        <v>0</v>
      </c>
      <c r="BA3583">
        <v>0</v>
      </c>
      <c r="BB3583">
        <v>0</v>
      </c>
      <c r="BC3583">
        <v>0</v>
      </c>
      <c r="BD3583">
        <v>0</v>
      </c>
      <c r="BE3583">
        <v>0</v>
      </c>
      <c r="BF3583">
        <v>0</v>
      </c>
      <c r="BG3583">
        <v>0</v>
      </c>
      <c r="BH3583">
        <v>1</v>
      </c>
      <c r="BI3583">
        <v>5</v>
      </c>
      <c r="BJ3583">
        <v>3.4</v>
      </c>
      <c r="BK3583">
        <v>5</v>
      </c>
      <c r="BL3583">
        <v>174.87</v>
      </c>
      <c r="BM3583">
        <v>26.23</v>
      </c>
      <c r="BN3583">
        <v>201.1</v>
      </c>
      <c r="BO3583">
        <v>201.1</v>
      </c>
      <c r="BQ3583" t="s">
        <v>564</v>
      </c>
      <c r="BR3583" t="s">
        <v>84</v>
      </c>
      <c r="BS3583" s="3">
        <v>45805</v>
      </c>
      <c r="BT3583" s="4">
        <v>0.34444444444444444</v>
      </c>
      <c r="BU3583" t="s">
        <v>2082</v>
      </c>
      <c r="BV3583" t="s">
        <v>86</v>
      </c>
      <c r="BY3583">
        <v>16965</v>
      </c>
      <c r="CA3583" t="s">
        <v>566</v>
      </c>
      <c r="CC3583" t="s">
        <v>91</v>
      </c>
      <c r="CD3583">
        <v>6001</v>
      </c>
      <c r="CE3583" t="s">
        <v>96</v>
      </c>
      <c r="CF3583" s="3">
        <v>45805</v>
      </c>
      <c r="CI3583">
        <v>1</v>
      </c>
      <c r="CJ3583">
        <v>1</v>
      </c>
      <c r="CK3583">
        <v>21</v>
      </c>
      <c r="CL3583" t="s">
        <v>89</v>
      </c>
    </row>
    <row r="3584" spans="1:90" x14ac:dyDescent="0.3">
      <c r="A3584" t="s">
        <v>72</v>
      </c>
      <c r="B3584" t="s">
        <v>73</v>
      </c>
      <c r="C3584" t="s">
        <v>74</v>
      </c>
      <c r="E3584" t="str">
        <f>"080065599033"</f>
        <v>080065599033</v>
      </c>
      <c r="F3584" s="3">
        <v>45804</v>
      </c>
      <c r="G3584">
        <v>202602</v>
      </c>
      <c r="H3584" t="s">
        <v>75</v>
      </c>
      <c r="I3584" t="s">
        <v>76</v>
      </c>
      <c r="J3584" t="s">
        <v>77</v>
      </c>
      <c r="K3584" t="s">
        <v>78</v>
      </c>
      <c r="L3584" t="s">
        <v>374</v>
      </c>
      <c r="M3584" t="s">
        <v>375</v>
      </c>
      <c r="N3584" t="s">
        <v>376</v>
      </c>
      <c r="O3584" t="s">
        <v>82</v>
      </c>
      <c r="P3584" t="str">
        <f>"4170040978                    "</f>
        <v xml:space="preserve">4170040978                    </v>
      </c>
      <c r="Q3584">
        <v>0</v>
      </c>
      <c r="R3584">
        <v>0</v>
      </c>
      <c r="S3584">
        <v>0</v>
      </c>
      <c r="T3584">
        <v>0</v>
      </c>
      <c r="U3584">
        <v>0</v>
      </c>
      <c r="V3584">
        <v>0</v>
      </c>
      <c r="W3584">
        <v>0</v>
      </c>
      <c r="X3584">
        <v>0</v>
      </c>
      <c r="Y3584">
        <v>0</v>
      </c>
      <c r="Z3584">
        <v>0</v>
      </c>
      <c r="AA3584">
        <v>0</v>
      </c>
      <c r="AB3584">
        <v>0</v>
      </c>
      <c r="AC3584">
        <v>0</v>
      </c>
      <c r="AD3584">
        <v>0</v>
      </c>
      <c r="AE3584">
        <v>0</v>
      </c>
      <c r="AF3584">
        <v>0</v>
      </c>
      <c r="AG3584">
        <v>0</v>
      </c>
      <c r="AH3584">
        <v>0</v>
      </c>
      <c r="AI3584">
        <v>0</v>
      </c>
      <c r="AJ3584">
        <v>0</v>
      </c>
      <c r="AK3584">
        <v>0</v>
      </c>
      <c r="AL3584">
        <v>0</v>
      </c>
      <c r="AM3584">
        <v>0</v>
      </c>
      <c r="AN3584">
        <v>0</v>
      </c>
      <c r="AO3584">
        <v>0</v>
      </c>
      <c r="AP3584">
        <v>0</v>
      </c>
      <c r="AQ3584">
        <v>41.43</v>
      </c>
      <c r="AR3584">
        <v>0</v>
      </c>
      <c r="AS3584">
        <v>0</v>
      </c>
      <c r="AT3584">
        <v>0</v>
      </c>
      <c r="AU3584">
        <v>0</v>
      </c>
      <c r="AV3584">
        <v>0</v>
      </c>
      <c r="AW3584">
        <v>0</v>
      </c>
      <c r="AX3584">
        <v>0</v>
      </c>
      <c r="AY3584">
        <v>0</v>
      </c>
      <c r="AZ3584">
        <v>0</v>
      </c>
      <c r="BA3584">
        <v>0</v>
      </c>
      <c r="BB3584">
        <v>0</v>
      </c>
      <c r="BC3584">
        <v>0</v>
      </c>
      <c r="BD3584">
        <v>0</v>
      </c>
      <c r="BE3584">
        <v>0</v>
      </c>
      <c r="BF3584">
        <v>0</v>
      </c>
      <c r="BG3584">
        <v>0</v>
      </c>
      <c r="BH3584">
        <v>1</v>
      </c>
      <c r="BI3584">
        <v>1</v>
      </c>
      <c r="BJ3584">
        <v>0.2</v>
      </c>
      <c r="BK3584">
        <v>1</v>
      </c>
      <c r="BL3584">
        <v>135.59</v>
      </c>
      <c r="BM3584">
        <v>20.34</v>
      </c>
      <c r="BN3584">
        <v>155.93</v>
      </c>
      <c r="BO3584">
        <v>155.93</v>
      </c>
      <c r="BQ3584" t="s">
        <v>377</v>
      </c>
      <c r="BR3584" t="s">
        <v>84</v>
      </c>
      <c r="BS3584" s="3">
        <v>45805</v>
      </c>
      <c r="BT3584" s="4">
        <v>0.41041666666666665</v>
      </c>
      <c r="BU3584" t="s">
        <v>378</v>
      </c>
      <c r="BV3584" t="s">
        <v>86</v>
      </c>
      <c r="BY3584">
        <v>1200</v>
      </c>
      <c r="CA3584" t="s">
        <v>379</v>
      </c>
      <c r="CC3584" t="s">
        <v>375</v>
      </c>
      <c r="CD3584">
        <v>7130</v>
      </c>
      <c r="CE3584" t="s">
        <v>88</v>
      </c>
      <c r="CF3584" s="3">
        <v>45806</v>
      </c>
      <c r="CI3584">
        <v>1</v>
      </c>
      <c r="CJ3584">
        <v>1</v>
      </c>
      <c r="CK3584">
        <v>23</v>
      </c>
      <c r="CL3584" t="s">
        <v>89</v>
      </c>
    </row>
    <row r="3585" spans="1:90" x14ac:dyDescent="0.3">
      <c r="A3585" t="s">
        <v>72</v>
      </c>
      <c r="B3585" t="s">
        <v>73</v>
      </c>
      <c r="C3585" t="s">
        <v>74</v>
      </c>
      <c r="E3585" t="str">
        <f>"080065599052"</f>
        <v>080065599052</v>
      </c>
      <c r="F3585" s="3">
        <v>45804</v>
      </c>
      <c r="G3585">
        <v>202602</v>
      </c>
      <c r="H3585" t="s">
        <v>75</v>
      </c>
      <c r="I3585" t="s">
        <v>76</v>
      </c>
      <c r="J3585" t="s">
        <v>77</v>
      </c>
      <c r="K3585" t="s">
        <v>78</v>
      </c>
      <c r="L3585" t="s">
        <v>90</v>
      </c>
      <c r="M3585" t="s">
        <v>91</v>
      </c>
      <c r="N3585" t="s">
        <v>92</v>
      </c>
      <c r="O3585" t="s">
        <v>82</v>
      </c>
      <c r="P3585" t="str">
        <f>"4170040836                    "</f>
        <v xml:space="preserve">4170040836                    </v>
      </c>
      <c r="Q3585">
        <v>0</v>
      </c>
      <c r="R3585">
        <v>0</v>
      </c>
      <c r="S3585">
        <v>0</v>
      </c>
      <c r="T3585">
        <v>0</v>
      </c>
      <c r="U3585">
        <v>0</v>
      </c>
      <c r="V3585">
        <v>0</v>
      </c>
      <c r="W3585">
        <v>0</v>
      </c>
      <c r="X3585">
        <v>0</v>
      </c>
      <c r="Y3585">
        <v>0</v>
      </c>
      <c r="Z3585">
        <v>0</v>
      </c>
      <c r="AA3585">
        <v>0</v>
      </c>
      <c r="AB3585">
        <v>0</v>
      </c>
      <c r="AC3585">
        <v>0</v>
      </c>
      <c r="AD3585">
        <v>0</v>
      </c>
      <c r="AE3585">
        <v>0</v>
      </c>
      <c r="AF3585">
        <v>0</v>
      </c>
      <c r="AG3585">
        <v>0</v>
      </c>
      <c r="AH3585">
        <v>0</v>
      </c>
      <c r="AI3585">
        <v>0</v>
      </c>
      <c r="AJ3585">
        <v>0</v>
      </c>
      <c r="AK3585">
        <v>0</v>
      </c>
      <c r="AL3585">
        <v>0</v>
      </c>
      <c r="AM3585">
        <v>0</v>
      </c>
      <c r="AN3585">
        <v>0</v>
      </c>
      <c r="AO3585">
        <v>0</v>
      </c>
      <c r="AP3585">
        <v>0</v>
      </c>
      <c r="AQ3585">
        <v>21.38</v>
      </c>
      <c r="AR3585">
        <v>0</v>
      </c>
      <c r="AS3585">
        <v>0</v>
      </c>
      <c r="AT3585">
        <v>0</v>
      </c>
      <c r="AU3585">
        <v>0</v>
      </c>
      <c r="AV3585">
        <v>0</v>
      </c>
      <c r="AW3585">
        <v>0</v>
      </c>
      <c r="AX3585">
        <v>0</v>
      </c>
      <c r="AY3585">
        <v>0</v>
      </c>
      <c r="AZ3585">
        <v>0</v>
      </c>
      <c r="BA3585">
        <v>0</v>
      </c>
      <c r="BB3585">
        <v>0</v>
      </c>
      <c r="BC3585">
        <v>0</v>
      </c>
      <c r="BD3585">
        <v>0</v>
      </c>
      <c r="BE3585">
        <v>0</v>
      </c>
      <c r="BF3585">
        <v>0</v>
      </c>
      <c r="BG3585">
        <v>0</v>
      </c>
      <c r="BH3585">
        <v>1</v>
      </c>
      <c r="BI3585">
        <v>1</v>
      </c>
      <c r="BJ3585">
        <v>1.9</v>
      </c>
      <c r="BK3585">
        <v>2</v>
      </c>
      <c r="BL3585">
        <v>69.98</v>
      </c>
      <c r="BM3585">
        <v>10.5</v>
      </c>
      <c r="BN3585">
        <v>80.48</v>
      </c>
      <c r="BO3585">
        <v>80.48</v>
      </c>
      <c r="BQ3585" t="s">
        <v>93</v>
      </c>
      <c r="BR3585" t="s">
        <v>84</v>
      </c>
      <c r="BS3585" s="3">
        <v>45805</v>
      </c>
      <c r="BT3585" s="4">
        <v>0.36319444444444443</v>
      </c>
      <c r="BU3585" t="s">
        <v>94</v>
      </c>
      <c r="BV3585" t="s">
        <v>86</v>
      </c>
      <c r="BY3585">
        <v>9600</v>
      </c>
      <c r="CA3585" t="s">
        <v>95</v>
      </c>
      <c r="CC3585" t="s">
        <v>91</v>
      </c>
      <c r="CD3585">
        <v>6001</v>
      </c>
      <c r="CE3585" t="s">
        <v>96</v>
      </c>
      <c r="CF3585" s="3">
        <v>45805</v>
      </c>
      <c r="CI3585">
        <v>1</v>
      </c>
      <c r="CJ3585">
        <v>1</v>
      </c>
      <c r="CK3585">
        <v>21</v>
      </c>
      <c r="CL3585" t="s">
        <v>89</v>
      </c>
    </row>
    <row r="3586" spans="1:90" x14ac:dyDescent="0.3">
      <c r="A3586" t="s">
        <v>72</v>
      </c>
      <c r="B3586" t="s">
        <v>73</v>
      </c>
      <c r="C3586" t="s">
        <v>74</v>
      </c>
      <c r="E3586" t="str">
        <f>"080065599074"</f>
        <v>080065599074</v>
      </c>
      <c r="F3586" s="3">
        <v>45804</v>
      </c>
      <c r="G3586">
        <v>202602</v>
      </c>
      <c r="H3586" t="s">
        <v>75</v>
      </c>
      <c r="I3586" t="s">
        <v>76</v>
      </c>
      <c r="J3586" t="s">
        <v>77</v>
      </c>
      <c r="K3586" t="s">
        <v>78</v>
      </c>
      <c r="L3586" t="s">
        <v>117</v>
      </c>
      <c r="M3586" t="s">
        <v>118</v>
      </c>
      <c r="N3586" t="s">
        <v>2226</v>
      </c>
      <c r="O3586" t="s">
        <v>300</v>
      </c>
      <c r="P3586" t="str">
        <f>"4170040964                    "</f>
        <v xml:space="preserve">4170040964                    </v>
      </c>
      <c r="Q3586">
        <v>0</v>
      </c>
      <c r="R3586">
        <v>0</v>
      </c>
      <c r="S3586">
        <v>0</v>
      </c>
      <c r="T3586">
        <v>0</v>
      </c>
      <c r="U3586">
        <v>0</v>
      </c>
      <c r="V3586">
        <v>0</v>
      </c>
      <c r="W3586">
        <v>0</v>
      </c>
      <c r="X3586">
        <v>0</v>
      </c>
      <c r="Y3586">
        <v>0</v>
      </c>
      <c r="Z3586">
        <v>0</v>
      </c>
      <c r="AA3586">
        <v>0</v>
      </c>
      <c r="AB3586">
        <v>0</v>
      </c>
      <c r="AC3586">
        <v>0</v>
      </c>
      <c r="AD3586">
        <v>0</v>
      </c>
      <c r="AE3586">
        <v>0</v>
      </c>
      <c r="AF3586">
        <v>0</v>
      </c>
      <c r="AG3586">
        <v>0</v>
      </c>
      <c r="AH3586">
        <v>0</v>
      </c>
      <c r="AI3586">
        <v>0</v>
      </c>
      <c r="AJ3586">
        <v>0</v>
      </c>
      <c r="AK3586">
        <v>0</v>
      </c>
      <c r="AL3586">
        <v>0</v>
      </c>
      <c r="AM3586">
        <v>0</v>
      </c>
      <c r="AN3586">
        <v>0</v>
      </c>
      <c r="AO3586">
        <v>0</v>
      </c>
      <c r="AP3586">
        <v>0</v>
      </c>
      <c r="AQ3586">
        <v>31.91</v>
      </c>
      <c r="AR3586">
        <v>0</v>
      </c>
      <c r="AS3586">
        <v>0</v>
      </c>
      <c r="AT3586">
        <v>0</v>
      </c>
      <c r="AU3586">
        <v>0</v>
      </c>
      <c r="AV3586">
        <v>0</v>
      </c>
      <c r="AW3586">
        <v>0</v>
      </c>
      <c r="AX3586">
        <v>0</v>
      </c>
      <c r="AY3586">
        <v>0</v>
      </c>
      <c r="AZ3586">
        <v>0</v>
      </c>
      <c r="BA3586">
        <v>0</v>
      </c>
      <c r="BB3586">
        <v>0</v>
      </c>
      <c r="BC3586">
        <v>0</v>
      </c>
      <c r="BD3586">
        <v>0</v>
      </c>
      <c r="BE3586">
        <v>0</v>
      </c>
      <c r="BF3586">
        <v>0</v>
      </c>
      <c r="BG3586">
        <v>0</v>
      </c>
      <c r="BH3586">
        <v>1</v>
      </c>
      <c r="BI3586">
        <v>2</v>
      </c>
      <c r="BJ3586">
        <v>1.4</v>
      </c>
      <c r="BK3586">
        <v>2</v>
      </c>
      <c r="BL3586">
        <v>110</v>
      </c>
      <c r="BM3586">
        <v>16.5</v>
      </c>
      <c r="BN3586">
        <v>126.5</v>
      </c>
      <c r="BO3586">
        <v>126.5</v>
      </c>
      <c r="BQ3586" t="s">
        <v>2227</v>
      </c>
      <c r="BR3586" t="s">
        <v>84</v>
      </c>
      <c r="BS3586" s="3">
        <v>45805</v>
      </c>
      <c r="BT3586" s="4">
        <v>0.43472222222222223</v>
      </c>
      <c r="BU3586" t="s">
        <v>2228</v>
      </c>
      <c r="BV3586" t="s">
        <v>86</v>
      </c>
      <c r="BY3586">
        <v>6840</v>
      </c>
      <c r="CA3586" t="s">
        <v>535</v>
      </c>
      <c r="CC3586" t="s">
        <v>118</v>
      </c>
      <c r="CD3586">
        <v>2197</v>
      </c>
      <c r="CE3586" t="s">
        <v>1047</v>
      </c>
      <c r="CF3586" s="3">
        <v>45806</v>
      </c>
      <c r="CI3586">
        <v>1</v>
      </c>
      <c r="CJ3586">
        <v>1</v>
      </c>
      <c r="CK3586">
        <v>42</v>
      </c>
      <c r="CL3586" t="s">
        <v>89</v>
      </c>
    </row>
    <row r="3587" spans="1:90" x14ac:dyDescent="0.3">
      <c r="A3587" t="s">
        <v>72</v>
      </c>
      <c r="B3587" t="s">
        <v>73</v>
      </c>
      <c r="C3587" t="s">
        <v>74</v>
      </c>
      <c r="E3587" t="str">
        <f>"080065599085"</f>
        <v>080065599085</v>
      </c>
      <c r="F3587" s="3">
        <v>45804</v>
      </c>
      <c r="G3587">
        <v>202602</v>
      </c>
      <c r="H3587" t="s">
        <v>75</v>
      </c>
      <c r="I3587" t="s">
        <v>76</v>
      </c>
      <c r="J3587" t="s">
        <v>77</v>
      </c>
      <c r="K3587" t="s">
        <v>78</v>
      </c>
      <c r="L3587" t="s">
        <v>130</v>
      </c>
      <c r="M3587" t="s">
        <v>131</v>
      </c>
      <c r="N3587" t="s">
        <v>709</v>
      </c>
      <c r="O3587" t="s">
        <v>82</v>
      </c>
      <c r="P3587" t="str">
        <f>"4170040869                    "</f>
        <v xml:space="preserve">4170040869                    </v>
      </c>
      <c r="Q3587">
        <v>0</v>
      </c>
      <c r="R3587">
        <v>0</v>
      </c>
      <c r="S3587">
        <v>0</v>
      </c>
      <c r="T3587">
        <v>0</v>
      </c>
      <c r="U3587">
        <v>0</v>
      </c>
      <c r="V3587">
        <v>0</v>
      </c>
      <c r="W3587">
        <v>0</v>
      </c>
      <c r="X3587">
        <v>0</v>
      </c>
      <c r="Y3587">
        <v>0</v>
      </c>
      <c r="Z3587">
        <v>0</v>
      </c>
      <c r="AA3587">
        <v>0</v>
      </c>
      <c r="AB3587">
        <v>0</v>
      </c>
      <c r="AC3587">
        <v>0</v>
      </c>
      <c r="AD3587">
        <v>0</v>
      </c>
      <c r="AE3587">
        <v>0</v>
      </c>
      <c r="AF3587">
        <v>0</v>
      </c>
      <c r="AG3587">
        <v>0</v>
      </c>
      <c r="AH3587">
        <v>0</v>
      </c>
      <c r="AI3587">
        <v>0</v>
      </c>
      <c r="AJ3587">
        <v>0</v>
      </c>
      <c r="AK3587">
        <v>0</v>
      </c>
      <c r="AL3587">
        <v>0</v>
      </c>
      <c r="AM3587">
        <v>0</v>
      </c>
      <c r="AN3587">
        <v>0</v>
      </c>
      <c r="AO3587">
        <v>0</v>
      </c>
      <c r="AP3587">
        <v>0</v>
      </c>
      <c r="AQ3587">
        <v>21.38</v>
      </c>
      <c r="AR3587">
        <v>0</v>
      </c>
      <c r="AS3587">
        <v>0</v>
      </c>
      <c r="AT3587">
        <v>0</v>
      </c>
      <c r="AU3587">
        <v>0</v>
      </c>
      <c r="AV3587">
        <v>0</v>
      </c>
      <c r="AW3587">
        <v>0</v>
      </c>
      <c r="AX3587">
        <v>0</v>
      </c>
      <c r="AY3587">
        <v>0</v>
      </c>
      <c r="AZ3587">
        <v>0</v>
      </c>
      <c r="BA3587">
        <v>0</v>
      </c>
      <c r="BB3587">
        <v>0</v>
      </c>
      <c r="BC3587">
        <v>0</v>
      </c>
      <c r="BD3587">
        <v>0</v>
      </c>
      <c r="BE3587">
        <v>0</v>
      </c>
      <c r="BF3587">
        <v>0</v>
      </c>
      <c r="BG3587">
        <v>0</v>
      </c>
      <c r="BH3587">
        <v>1</v>
      </c>
      <c r="BI3587">
        <v>1</v>
      </c>
      <c r="BJ3587">
        <v>0.2</v>
      </c>
      <c r="BK3587">
        <v>1</v>
      </c>
      <c r="BL3587">
        <v>69.98</v>
      </c>
      <c r="BM3587">
        <v>10.5</v>
      </c>
      <c r="BN3587">
        <v>80.48</v>
      </c>
      <c r="BO3587">
        <v>80.48</v>
      </c>
      <c r="BQ3587" t="s">
        <v>710</v>
      </c>
      <c r="BR3587" t="s">
        <v>84</v>
      </c>
      <c r="BS3587" s="3">
        <v>45805</v>
      </c>
      <c r="BT3587" s="4">
        <v>0.33333333333333331</v>
      </c>
      <c r="BU3587" t="s">
        <v>1272</v>
      </c>
      <c r="BV3587" t="s">
        <v>86</v>
      </c>
      <c r="BY3587">
        <v>1200</v>
      </c>
      <c r="CA3587" t="s">
        <v>712</v>
      </c>
      <c r="CC3587" t="s">
        <v>131</v>
      </c>
      <c r="CD3587">
        <v>7530</v>
      </c>
      <c r="CE3587" t="s">
        <v>88</v>
      </c>
      <c r="CF3587" s="3">
        <v>45806</v>
      </c>
      <c r="CI3587">
        <v>1</v>
      </c>
      <c r="CJ3587">
        <v>1</v>
      </c>
      <c r="CK3587">
        <v>21</v>
      </c>
      <c r="CL3587" t="s">
        <v>89</v>
      </c>
    </row>
    <row r="3588" spans="1:90" x14ac:dyDescent="0.3">
      <c r="A3588" t="s">
        <v>72</v>
      </c>
      <c r="B3588" t="s">
        <v>73</v>
      </c>
      <c r="C3588" t="s">
        <v>74</v>
      </c>
      <c r="E3588" t="str">
        <f>"080065599103"</f>
        <v>080065599103</v>
      </c>
      <c r="F3588" s="3">
        <v>45804</v>
      </c>
      <c r="G3588">
        <v>202602</v>
      </c>
      <c r="H3588" t="s">
        <v>75</v>
      </c>
      <c r="I3588" t="s">
        <v>76</v>
      </c>
      <c r="J3588" t="s">
        <v>77</v>
      </c>
      <c r="K3588" t="s">
        <v>78</v>
      </c>
      <c r="L3588" t="s">
        <v>90</v>
      </c>
      <c r="M3588" t="s">
        <v>91</v>
      </c>
      <c r="N3588" t="s">
        <v>92</v>
      </c>
      <c r="O3588" t="s">
        <v>82</v>
      </c>
      <c r="P3588" t="str">
        <f>"4170040966                    "</f>
        <v xml:space="preserve">4170040966                    </v>
      </c>
      <c r="Q3588">
        <v>0</v>
      </c>
      <c r="R3588">
        <v>0</v>
      </c>
      <c r="S3588">
        <v>0</v>
      </c>
      <c r="T3588">
        <v>0</v>
      </c>
      <c r="U3588">
        <v>0</v>
      </c>
      <c r="V3588">
        <v>0</v>
      </c>
      <c r="W3588">
        <v>0</v>
      </c>
      <c r="X3588">
        <v>0</v>
      </c>
      <c r="Y3588">
        <v>0</v>
      </c>
      <c r="Z3588">
        <v>0</v>
      </c>
      <c r="AA3588">
        <v>0</v>
      </c>
      <c r="AB3588">
        <v>0</v>
      </c>
      <c r="AC3588">
        <v>0</v>
      </c>
      <c r="AD3588">
        <v>0</v>
      </c>
      <c r="AE3588">
        <v>0</v>
      </c>
      <c r="AF3588">
        <v>0</v>
      </c>
      <c r="AG3588">
        <v>0</v>
      </c>
      <c r="AH3588">
        <v>0</v>
      </c>
      <c r="AI3588">
        <v>0</v>
      </c>
      <c r="AJ3588">
        <v>0</v>
      </c>
      <c r="AK3588">
        <v>0</v>
      </c>
      <c r="AL3588">
        <v>0</v>
      </c>
      <c r="AM3588">
        <v>0</v>
      </c>
      <c r="AN3588">
        <v>0</v>
      </c>
      <c r="AO3588">
        <v>0</v>
      </c>
      <c r="AP3588">
        <v>0</v>
      </c>
      <c r="AQ3588">
        <v>21.38</v>
      </c>
      <c r="AR3588">
        <v>0</v>
      </c>
      <c r="AS3588">
        <v>0</v>
      </c>
      <c r="AT3588">
        <v>0</v>
      </c>
      <c r="AU3588">
        <v>0</v>
      </c>
      <c r="AV3588">
        <v>0</v>
      </c>
      <c r="AW3588">
        <v>0</v>
      </c>
      <c r="AX3588">
        <v>0</v>
      </c>
      <c r="AY3588">
        <v>0</v>
      </c>
      <c r="AZ3588">
        <v>0</v>
      </c>
      <c r="BA3588">
        <v>0</v>
      </c>
      <c r="BB3588">
        <v>0</v>
      </c>
      <c r="BC3588">
        <v>0</v>
      </c>
      <c r="BD3588">
        <v>0</v>
      </c>
      <c r="BE3588">
        <v>0</v>
      </c>
      <c r="BF3588">
        <v>0</v>
      </c>
      <c r="BG3588">
        <v>0</v>
      </c>
      <c r="BH3588">
        <v>1</v>
      </c>
      <c r="BI3588">
        <v>1</v>
      </c>
      <c r="BJ3588">
        <v>0.2</v>
      </c>
      <c r="BK3588">
        <v>1</v>
      </c>
      <c r="BL3588">
        <v>69.98</v>
      </c>
      <c r="BM3588">
        <v>10.5</v>
      </c>
      <c r="BN3588">
        <v>80.48</v>
      </c>
      <c r="BO3588">
        <v>80.48</v>
      </c>
      <c r="BQ3588" t="s">
        <v>93</v>
      </c>
      <c r="BR3588" t="s">
        <v>84</v>
      </c>
      <c r="BS3588" s="3">
        <v>45805</v>
      </c>
      <c r="BT3588" s="4">
        <v>0.36319444444444443</v>
      </c>
      <c r="BU3588" t="s">
        <v>94</v>
      </c>
      <c r="BV3588" t="s">
        <v>86</v>
      </c>
      <c r="BY3588">
        <v>1200</v>
      </c>
      <c r="CA3588" t="s">
        <v>95</v>
      </c>
      <c r="CC3588" t="s">
        <v>91</v>
      </c>
      <c r="CD3588">
        <v>6001</v>
      </c>
      <c r="CE3588" t="s">
        <v>88</v>
      </c>
      <c r="CF3588" s="3">
        <v>45805</v>
      </c>
      <c r="CI3588">
        <v>1</v>
      </c>
      <c r="CJ3588">
        <v>1</v>
      </c>
      <c r="CK3588">
        <v>21</v>
      </c>
      <c r="CL3588" t="s">
        <v>89</v>
      </c>
    </row>
    <row r="3589" spans="1:90" x14ac:dyDescent="0.3">
      <c r="A3589" t="s">
        <v>72</v>
      </c>
      <c r="B3589" t="s">
        <v>73</v>
      </c>
      <c r="C3589" t="s">
        <v>74</v>
      </c>
      <c r="E3589" t="str">
        <f>"080065599123"</f>
        <v>080065599123</v>
      </c>
      <c r="F3589" s="3">
        <v>45804</v>
      </c>
      <c r="G3589">
        <v>202602</v>
      </c>
      <c r="H3589" t="s">
        <v>75</v>
      </c>
      <c r="I3589" t="s">
        <v>76</v>
      </c>
      <c r="J3589" t="s">
        <v>77</v>
      </c>
      <c r="K3589" t="s">
        <v>78</v>
      </c>
      <c r="L3589" t="s">
        <v>75</v>
      </c>
      <c r="M3589" t="s">
        <v>76</v>
      </c>
      <c r="N3589" t="s">
        <v>803</v>
      </c>
      <c r="O3589" t="s">
        <v>82</v>
      </c>
      <c r="P3589" t="str">
        <f>"4170040909                    "</f>
        <v xml:space="preserve">4170040909                    </v>
      </c>
      <c r="Q3589">
        <v>0</v>
      </c>
      <c r="R3589">
        <v>0</v>
      </c>
      <c r="S3589">
        <v>0</v>
      </c>
      <c r="T3589">
        <v>0</v>
      </c>
      <c r="U3589">
        <v>0</v>
      </c>
      <c r="V3589">
        <v>0</v>
      </c>
      <c r="W3589">
        <v>0</v>
      </c>
      <c r="X3589">
        <v>0</v>
      </c>
      <c r="Y3589">
        <v>0</v>
      </c>
      <c r="Z3589">
        <v>0</v>
      </c>
      <c r="AA3589">
        <v>0</v>
      </c>
      <c r="AB3589">
        <v>0</v>
      </c>
      <c r="AC3589">
        <v>0</v>
      </c>
      <c r="AD3589">
        <v>0</v>
      </c>
      <c r="AE3589">
        <v>0</v>
      </c>
      <c r="AF3589">
        <v>0</v>
      </c>
      <c r="AG3589">
        <v>0</v>
      </c>
      <c r="AH3589">
        <v>0</v>
      </c>
      <c r="AI3589">
        <v>0</v>
      </c>
      <c r="AJ3589">
        <v>0</v>
      </c>
      <c r="AK3589">
        <v>0</v>
      </c>
      <c r="AL3589">
        <v>0</v>
      </c>
      <c r="AM3589">
        <v>0</v>
      </c>
      <c r="AN3589">
        <v>0</v>
      </c>
      <c r="AO3589">
        <v>0</v>
      </c>
      <c r="AP3589">
        <v>0</v>
      </c>
      <c r="AQ3589">
        <v>16.7</v>
      </c>
      <c r="AR3589">
        <v>0</v>
      </c>
      <c r="AS3589">
        <v>0</v>
      </c>
      <c r="AT3589">
        <v>0</v>
      </c>
      <c r="AU3589">
        <v>0</v>
      </c>
      <c r="AV3589">
        <v>0</v>
      </c>
      <c r="AW3589">
        <v>0</v>
      </c>
      <c r="AX3589">
        <v>0</v>
      </c>
      <c r="AY3589">
        <v>0</v>
      </c>
      <c r="AZ3589">
        <v>0</v>
      </c>
      <c r="BA3589">
        <v>0</v>
      </c>
      <c r="BB3589">
        <v>0</v>
      </c>
      <c r="BC3589">
        <v>0</v>
      </c>
      <c r="BD3589">
        <v>0</v>
      </c>
      <c r="BE3589">
        <v>0</v>
      </c>
      <c r="BF3589">
        <v>0</v>
      </c>
      <c r="BG3589">
        <v>0</v>
      </c>
      <c r="BH3589">
        <v>1</v>
      </c>
      <c r="BI3589">
        <v>1</v>
      </c>
      <c r="BJ3589">
        <v>0.2</v>
      </c>
      <c r="BK3589">
        <v>1</v>
      </c>
      <c r="BL3589">
        <v>54.66</v>
      </c>
      <c r="BM3589">
        <v>8.1999999999999993</v>
      </c>
      <c r="BN3589">
        <v>62.86</v>
      </c>
      <c r="BO3589">
        <v>62.86</v>
      </c>
      <c r="BQ3589" t="s">
        <v>804</v>
      </c>
      <c r="BR3589" t="s">
        <v>84</v>
      </c>
      <c r="BS3589" s="3">
        <v>45805</v>
      </c>
      <c r="BT3589" s="4">
        <v>0.4</v>
      </c>
      <c r="BU3589" t="s">
        <v>3328</v>
      </c>
      <c r="BV3589" t="s">
        <v>86</v>
      </c>
      <c r="BY3589">
        <v>1200</v>
      </c>
      <c r="CA3589" t="s">
        <v>806</v>
      </c>
      <c r="CC3589" t="s">
        <v>76</v>
      </c>
      <c r="CD3589">
        <v>1619</v>
      </c>
      <c r="CE3589" t="s">
        <v>88</v>
      </c>
      <c r="CF3589" s="3">
        <v>45805</v>
      </c>
      <c r="CI3589">
        <v>1</v>
      </c>
      <c r="CJ3589">
        <v>1</v>
      </c>
      <c r="CK3589">
        <v>22</v>
      </c>
      <c r="CL3589" t="s">
        <v>89</v>
      </c>
    </row>
    <row r="3590" spans="1:90" x14ac:dyDescent="0.3">
      <c r="A3590" t="s">
        <v>72</v>
      </c>
      <c r="B3590" t="s">
        <v>73</v>
      </c>
      <c r="C3590" t="s">
        <v>74</v>
      </c>
      <c r="E3590" t="str">
        <f>"080065599128"</f>
        <v>080065599128</v>
      </c>
      <c r="F3590" s="3">
        <v>45804</v>
      </c>
      <c r="G3590">
        <v>202602</v>
      </c>
      <c r="H3590" t="s">
        <v>75</v>
      </c>
      <c r="I3590" t="s">
        <v>76</v>
      </c>
      <c r="J3590" t="s">
        <v>77</v>
      </c>
      <c r="K3590" t="s">
        <v>78</v>
      </c>
      <c r="L3590" t="s">
        <v>502</v>
      </c>
      <c r="M3590" t="s">
        <v>503</v>
      </c>
      <c r="N3590" t="s">
        <v>504</v>
      </c>
      <c r="O3590" t="s">
        <v>82</v>
      </c>
      <c r="P3590" t="str">
        <f>"4170040959                    "</f>
        <v xml:space="preserve">4170040959                    </v>
      </c>
      <c r="Q3590">
        <v>0</v>
      </c>
      <c r="R3590">
        <v>0</v>
      </c>
      <c r="S3590">
        <v>0</v>
      </c>
      <c r="T3590">
        <v>0</v>
      </c>
      <c r="U3590">
        <v>0</v>
      </c>
      <c r="V3590">
        <v>0</v>
      </c>
      <c r="W3590">
        <v>0</v>
      </c>
      <c r="X3590">
        <v>0</v>
      </c>
      <c r="Y3590">
        <v>0</v>
      </c>
      <c r="Z3590">
        <v>0</v>
      </c>
      <c r="AA3590">
        <v>0</v>
      </c>
      <c r="AB3590">
        <v>0</v>
      </c>
      <c r="AC3590">
        <v>0</v>
      </c>
      <c r="AD3590">
        <v>0</v>
      </c>
      <c r="AE3590">
        <v>0</v>
      </c>
      <c r="AF3590">
        <v>0</v>
      </c>
      <c r="AG3590">
        <v>0</v>
      </c>
      <c r="AH3590">
        <v>0</v>
      </c>
      <c r="AI3590">
        <v>0</v>
      </c>
      <c r="AJ3590">
        <v>0</v>
      </c>
      <c r="AK3590">
        <v>0</v>
      </c>
      <c r="AL3590">
        <v>0</v>
      </c>
      <c r="AM3590">
        <v>0</v>
      </c>
      <c r="AN3590">
        <v>0</v>
      </c>
      <c r="AO3590">
        <v>0</v>
      </c>
      <c r="AP3590">
        <v>0</v>
      </c>
      <c r="AQ3590">
        <v>41.43</v>
      </c>
      <c r="AR3590">
        <v>0</v>
      </c>
      <c r="AS3590">
        <v>0</v>
      </c>
      <c r="AT3590">
        <v>0</v>
      </c>
      <c r="AU3590">
        <v>0</v>
      </c>
      <c r="AV3590">
        <v>0</v>
      </c>
      <c r="AW3590">
        <v>0</v>
      </c>
      <c r="AX3590">
        <v>0</v>
      </c>
      <c r="AY3590">
        <v>0</v>
      </c>
      <c r="AZ3590">
        <v>0</v>
      </c>
      <c r="BA3590">
        <v>0</v>
      </c>
      <c r="BB3590">
        <v>0</v>
      </c>
      <c r="BC3590">
        <v>0</v>
      </c>
      <c r="BD3590">
        <v>0</v>
      </c>
      <c r="BE3590">
        <v>0</v>
      </c>
      <c r="BF3590">
        <v>0</v>
      </c>
      <c r="BG3590">
        <v>0</v>
      </c>
      <c r="BH3590">
        <v>1</v>
      </c>
      <c r="BI3590">
        <v>1</v>
      </c>
      <c r="BJ3590">
        <v>0.6</v>
      </c>
      <c r="BK3590">
        <v>1</v>
      </c>
      <c r="BL3590">
        <v>135.59</v>
      </c>
      <c r="BM3590">
        <v>20.34</v>
      </c>
      <c r="BN3590">
        <v>155.93</v>
      </c>
      <c r="BO3590">
        <v>155.93</v>
      </c>
      <c r="BQ3590" t="s">
        <v>505</v>
      </c>
      <c r="BR3590" t="s">
        <v>84</v>
      </c>
      <c r="BS3590" s="3">
        <v>45805</v>
      </c>
      <c r="BT3590" s="4">
        <v>0.54583333333333328</v>
      </c>
      <c r="BU3590" t="s">
        <v>3329</v>
      </c>
      <c r="BV3590" t="s">
        <v>86</v>
      </c>
      <c r="BY3590">
        <v>3192</v>
      </c>
      <c r="CA3590" t="s">
        <v>3330</v>
      </c>
      <c r="CC3590" t="s">
        <v>503</v>
      </c>
      <c r="CD3590">
        <v>3370</v>
      </c>
      <c r="CE3590" t="s">
        <v>116</v>
      </c>
      <c r="CF3590" s="3">
        <v>45806</v>
      </c>
      <c r="CI3590">
        <v>2</v>
      </c>
      <c r="CJ3590">
        <v>1</v>
      </c>
      <c r="CK3590">
        <v>23</v>
      </c>
      <c r="CL3590" t="s">
        <v>89</v>
      </c>
    </row>
    <row r="3591" spans="1:90" x14ac:dyDescent="0.3">
      <c r="A3591" t="s">
        <v>72</v>
      </c>
      <c r="B3591" t="s">
        <v>73</v>
      </c>
      <c r="C3591" t="s">
        <v>74</v>
      </c>
      <c r="E3591" t="str">
        <f>"080065599134"</f>
        <v>080065599134</v>
      </c>
      <c r="F3591" s="3">
        <v>45804</v>
      </c>
      <c r="G3591">
        <v>202602</v>
      </c>
      <c r="H3591" t="s">
        <v>75</v>
      </c>
      <c r="I3591" t="s">
        <v>76</v>
      </c>
      <c r="J3591" t="s">
        <v>77</v>
      </c>
      <c r="K3591" t="s">
        <v>78</v>
      </c>
      <c r="L3591" t="s">
        <v>123</v>
      </c>
      <c r="M3591" t="s">
        <v>123</v>
      </c>
      <c r="N3591" t="s">
        <v>1700</v>
      </c>
      <c r="O3591" t="s">
        <v>82</v>
      </c>
      <c r="P3591" t="str">
        <f>"4170040872                    "</f>
        <v xml:space="preserve">4170040872                    </v>
      </c>
      <c r="Q3591">
        <v>0</v>
      </c>
      <c r="R3591">
        <v>0</v>
      </c>
      <c r="S3591">
        <v>0</v>
      </c>
      <c r="T3591">
        <v>0</v>
      </c>
      <c r="U3591">
        <v>0</v>
      </c>
      <c r="V3591">
        <v>0</v>
      </c>
      <c r="W3591">
        <v>0</v>
      </c>
      <c r="X3591">
        <v>0</v>
      </c>
      <c r="Y3591">
        <v>0</v>
      </c>
      <c r="Z3591">
        <v>0</v>
      </c>
      <c r="AA3591">
        <v>0</v>
      </c>
      <c r="AB3591">
        <v>0</v>
      </c>
      <c r="AC3591">
        <v>0</v>
      </c>
      <c r="AD3591">
        <v>0</v>
      </c>
      <c r="AE3591">
        <v>0</v>
      </c>
      <c r="AF3591">
        <v>0</v>
      </c>
      <c r="AG3591">
        <v>0</v>
      </c>
      <c r="AH3591">
        <v>0</v>
      </c>
      <c r="AI3591">
        <v>0</v>
      </c>
      <c r="AJ3591">
        <v>0</v>
      </c>
      <c r="AK3591">
        <v>0</v>
      </c>
      <c r="AL3591">
        <v>0</v>
      </c>
      <c r="AM3591">
        <v>0</v>
      </c>
      <c r="AN3591">
        <v>0</v>
      </c>
      <c r="AO3591">
        <v>0</v>
      </c>
      <c r="AP3591">
        <v>0</v>
      </c>
      <c r="AQ3591">
        <v>41.43</v>
      </c>
      <c r="AR3591">
        <v>0</v>
      </c>
      <c r="AS3591">
        <v>0</v>
      </c>
      <c r="AT3591">
        <v>0</v>
      </c>
      <c r="AU3591">
        <v>0</v>
      </c>
      <c r="AV3591">
        <v>0</v>
      </c>
      <c r="AW3591">
        <v>0</v>
      </c>
      <c r="AX3591">
        <v>0</v>
      </c>
      <c r="AY3591">
        <v>0</v>
      </c>
      <c r="AZ3591">
        <v>0</v>
      </c>
      <c r="BA3591">
        <v>0</v>
      </c>
      <c r="BB3591">
        <v>0</v>
      </c>
      <c r="BC3591">
        <v>0</v>
      </c>
      <c r="BD3591">
        <v>0</v>
      </c>
      <c r="BE3591">
        <v>0</v>
      </c>
      <c r="BF3591">
        <v>0</v>
      </c>
      <c r="BG3591">
        <v>0</v>
      </c>
      <c r="BH3591">
        <v>1</v>
      </c>
      <c r="BI3591">
        <v>1</v>
      </c>
      <c r="BJ3591">
        <v>0.2</v>
      </c>
      <c r="BK3591">
        <v>1</v>
      </c>
      <c r="BL3591">
        <v>135.59</v>
      </c>
      <c r="BM3591">
        <v>20.34</v>
      </c>
      <c r="BN3591">
        <v>155.93</v>
      </c>
      <c r="BO3591">
        <v>155.93</v>
      </c>
      <c r="BQ3591" t="s">
        <v>1701</v>
      </c>
      <c r="BR3591" t="s">
        <v>84</v>
      </c>
      <c r="BS3591" s="3">
        <v>45805</v>
      </c>
      <c r="BT3591" s="4">
        <v>0.52083333333333337</v>
      </c>
      <c r="BU3591" t="s">
        <v>319</v>
      </c>
      <c r="BV3591" t="s">
        <v>86</v>
      </c>
      <c r="BY3591">
        <v>1200</v>
      </c>
      <c r="CA3591" t="s">
        <v>128</v>
      </c>
      <c r="CC3591" t="s">
        <v>123</v>
      </c>
      <c r="CD3591">
        <v>7646</v>
      </c>
      <c r="CE3591" t="s">
        <v>88</v>
      </c>
      <c r="CF3591" s="3">
        <v>45806</v>
      </c>
      <c r="CI3591">
        <v>1</v>
      </c>
      <c r="CJ3591">
        <v>1</v>
      </c>
      <c r="CK3591">
        <v>23</v>
      </c>
      <c r="CL3591" t="s">
        <v>89</v>
      </c>
    </row>
    <row r="3592" spans="1:90" x14ac:dyDescent="0.3">
      <c r="A3592" t="s">
        <v>72</v>
      </c>
      <c r="B3592" t="s">
        <v>73</v>
      </c>
      <c r="C3592" t="s">
        <v>74</v>
      </c>
      <c r="E3592" t="str">
        <f>"080065599139"</f>
        <v>080065599139</v>
      </c>
      <c r="F3592" s="3">
        <v>45804</v>
      </c>
      <c r="G3592">
        <v>202602</v>
      </c>
      <c r="H3592" t="s">
        <v>75</v>
      </c>
      <c r="I3592" t="s">
        <v>76</v>
      </c>
      <c r="J3592" t="s">
        <v>77</v>
      </c>
      <c r="K3592" t="s">
        <v>78</v>
      </c>
      <c r="L3592" t="s">
        <v>103</v>
      </c>
      <c r="M3592" t="s">
        <v>104</v>
      </c>
      <c r="N3592" t="s">
        <v>105</v>
      </c>
      <c r="O3592" t="s">
        <v>82</v>
      </c>
      <c r="P3592" t="str">
        <f>"4170040954                    "</f>
        <v xml:space="preserve">4170040954                    </v>
      </c>
      <c r="Q3592">
        <v>0</v>
      </c>
      <c r="R3592">
        <v>0</v>
      </c>
      <c r="S3592">
        <v>0</v>
      </c>
      <c r="T3592">
        <v>0</v>
      </c>
      <c r="U3592">
        <v>0</v>
      </c>
      <c r="V3592">
        <v>0</v>
      </c>
      <c r="W3592">
        <v>0</v>
      </c>
      <c r="X3592">
        <v>0</v>
      </c>
      <c r="Y3592">
        <v>0</v>
      </c>
      <c r="Z3592">
        <v>0</v>
      </c>
      <c r="AA3592">
        <v>0</v>
      </c>
      <c r="AB3592">
        <v>0</v>
      </c>
      <c r="AC3592">
        <v>0</v>
      </c>
      <c r="AD3592">
        <v>0</v>
      </c>
      <c r="AE3592">
        <v>0</v>
      </c>
      <c r="AF3592">
        <v>0</v>
      </c>
      <c r="AG3592">
        <v>0</v>
      </c>
      <c r="AH3592">
        <v>0</v>
      </c>
      <c r="AI3592">
        <v>0</v>
      </c>
      <c r="AJ3592">
        <v>0</v>
      </c>
      <c r="AK3592">
        <v>0</v>
      </c>
      <c r="AL3592">
        <v>0</v>
      </c>
      <c r="AM3592">
        <v>0</v>
      </c>
      <c r="AN3592">
        <v>0</v>
      </c>
      <c r="AO3592">
        <v>0</v>
      </c>
      <c r="AP3592">
        <v>0</v>
      </c>
      <c r="AQ3592">
        <v>21.38</v>
      </c>
      <c r="AR3592">
        <v>0</v>
      </c>
      <c r="AS3592">
        <v>0</v>
      </c>
      <c r="AT3592">
        <v>0</v>
      </c>
      <c r="AU3592">
        <v>0</v>
      </c>
      <c r="AV3592">
        <v>0</v>
      </c>
      <c r="AW3592">
        <v>0</v>
      </c>
      <c r="AX3592">
        <v>0</v>
      </c>
      <c r="AY3592">
        <v>0</v>
      </c>
      <c r="AZ3592">
        <v>0</v>
      </c>
      <c r="BA3592">
        <v>0</v>
      </c>
      <c r="BB3592">
        <v>0</v>
      </c>
      <c r="BC3592">
        <v>0</v>
      </c>
      <c r="BD3592">
        <v>0</v>
      </c>
      <c r="BE3592">
        <v>0</v>
      </c>
      <c r="BF3592">
        <v>0</v>
      </c>
      <c r="BG3592">
        <v>0</v>
      </c>
      <c r="BH3592">
        <v>1</v>
      </c>
      <c r="BI3592">
        <v>1</v>
      </c>
      <c r="BJ3592">
        <v>0.2</v>
      </c>
      <c r="BK3592">
        <v>1</v>
      </c>
      <c r="BL3592">
        <v>69.98</v>
      </c>
      <c r="BM3592">
        <v>10.5</v>
      </c>
      <c r="BN3592">
        <v>80.48</v>
      </c>
      <c r="BO3592">
        <v>80.48</v>
      </c>
      <c r="BQ3592" t="s">
        <v>106</v>
      </c>
      <c r="BR3592" t="s">
        <v>84</v>
      </c>
      <c r="BS3592" s="3">
        <v>45806</v>
      </c>
      <c r="BT3592" s="4">
        <v>0.41666666666666669</v>
      </c>
      <c r="BU3592" t="s">
        <v>430</v>
      </c>
      <c r="BV3592" t="s">
        <v>89</v>
      </c>
      <c r="BY3592">
        <v>1200</v>
      </c>
      <c r="CA3592" t="s">
        <v>108</v>
      </c>
      <c r="CC3592" t="s">
        <v>104</v>
      </c>
      <c r="CD3592">
        <v>3201</v>
      </c>
      <c r="CE3592" t="s">
        <v>88</v>
      </c>
      <c r="CI3592">
        <v>1</v>
      </c>
      <c r="CJ3592">
        <v>2</v>
      </c>
      <c r="CK3592">
        <v>21</v>
      </c>
      <c r="CL3592" t="s">
        <v>89</v>
      </c>
    </row>
    <row r="3593" spans="1:90" x14ac:dyDescent="0.3">
      <c r="A3593" t="s">
        <v>72</v>
      </c>
      <c r="B3593" t="s">
        <v>73</v>
      </c>
      <c r="C3593" t="s">
        <v>74</v>
      </c>
      <c r="E3593" t="str">
        <f>"080065599145"</f>
        <v>080065599145</v>
      </c>
      <c r="F3593" s="3">
        <v>45804</v>
      </c>
      <c r="G3593">
        <v>202602</v>
      </c>
      <c r="H3593" t="s">
        <v>75</v>
      </c>
      <c r="I3593" t="s">
        <v>76</v>
      </c>
      <c r="J3593" t="s">
        <v>77</v>
      </c>
      <c r="K3593" t="s">
        <v>78</v>
      </c>
      <c r="L3593" t="s">
        <v>90</v>
      </c>
      <c r="M3593" t="s">
        <v>91</v>
      </c>
      <c r="N3593" t="s">
        <v>563</v>
      </c>
      <c r="O3593" t="s">
        <v>300</v>
      </c>
      <c r="P3593" t="str">
        <f>"4170040993                    "</f>
        <v xml:space="preserve">4170040993                    </v>
      </c>
      <c r="Q3593">
        <v>0</v>
      </c>
      <c r="R3593">
        <v>0</v>
      </c>
      <c r="S3593">
        <v>0</v>
      </c>
      <c r="T3593">
        <v>0</v>
      </c>
      <c r="U3593">
        <v>0</v>
      </c>
      <c r="V3593">
        <v>0</v>
      </c>
      <c r="W3593">
        <v>0</v>
      </c>
      <c r="X3593">
        <v>0</v>
      </c>
      <c r="Y3593">
        <v>0</v>
      </c>
      <c r="Z3593">
        <v>0</v>
      </c>
      <c r="AA3593">
        <v>0</v>
      </c>
      <c r="AB3593">
        <v>0</v>
      </c>
      <c r="AC3593">
        <v>0</v>
      </c>
      <c r="AD3593">
        <v>0</v>
      </c>
      <c r="AE3593">
        <v>0</v>
      </c>
      <c r="AF3593">
        <v>0</v>
      </c>
      <c r="AG3593">
        <v>0</v>
      </c>
      <c r="AH3593">
        <v>0</v>
      </c>
      <c r="AI3593">
        <v>0</v>
      </c>
      <c r="AJ3593">
        <v>0</v>
      </c>
      <c r="AK3593">
        <v>0</v>
      </c>
      <c r="AL3593">
        <v>0</v>
      </c>
      <c r="AM3593">
        <v>0</v>
      </c>
      <c r="AN3593">
        <v>0</v>
      </c>
      <c r="AO3593">
        <v>0</v>
      </c>
      <c r="AP3593">
        <v>0</v>
      </c>
      <c r="AQ3593">
        <v>65.25</v>
      </c>
      <c r="AR3593">
        <v>0</v>
      </c>
      <c r="AS3593">
        <v>0</v>
      </c>
      <c r="AT3593">
        <v>0</v>
      </c>
      <c r="AU3593">
        <v>0</v>
      </c>
      <c r="AV3593">
        <v>0</v>
      </c>
      <c r="AW3593">
        <v>0</v>
      </c>
      <c r="AX3593">
        <v>0</v>
      </c>
      <c r="AY3593">
        <v>0</v>
      </c>
      <c r="AZ3593">
        <v>0</v>
      </c>
      <c r="BA3593">
        <v>0</v>
      </c>
      <c r="BB3593">
        <v>0</v>
      </c>
      <c r="BC3593">
        <v>0</v>
      </c>
      <c r="BD3593">
        <v>0</v>
      </c>
      <c r="BE3593">
        <v>0</v>
      </c>
      <c r="BF3593">
        <v>0</v>
      </c>
      <c r="BG3593">
        <v>0</v>
      </c>
      <c r="BH3593">
        <v>1</v>
      </c>
      <c r="BI3593">
        <v>29</v>
      </c>
      <c r="BJ3593">
        <v>21.2</v>
      </c>
      <c r="BK3593">
        <v>29</v>
      </c>
      <c r="BL3593">
        <v>219.12</v>
      </c>
      <c r="BM3593">
        <v>32.869999999999997</v>
      </c>
      <c r="BN3593">
        <v>251.99</v>
      </c>
      <c r="BO3593">
        <v>251.99</v>
      </c>
      <c r="BQ3593" t="s">
        <v>564</v>
      </c>
      <c r="BR3593" t="s">
        <v>84</v>
      </c>
      <c r="BS3593" s="3">
        <v>45806</v>
      </c>
      <c r="BT3593" s="4">
        <v>0.58819444444444446</v>
      </c>
      <c r="BU3593" t="s">
        <v>3331</v>
      </c>
      <c r="BV3593" t="s">
        <v>86</v>
      </c>
      <c r="BY3593">
        <v>106080</v>
      </c>
      <c r="CA3593" t="s">
        <v>1714</v>
      </c>
      <c r="CC3593" t="s">
        <v>91</v>
      </c>
      <c r="CD3593">
        <v>6001</v>
      </c>
      <c r="CE3593" t="s">
        <v>550</v>
      </c>
      <c r="CF3593" s="3">
        <v>45806</v>
      </c>
      <c r="CI3593">
        <v>3</v>
      </c>
      <c r="CJ3593">
        <v>2</v>
      </c>
      <c r="CK3593">
        <v>41</v>
      </c>
      <c r="CL3593" t="s">
        <v>89</v>
      </c>
    </row>
    <row r="3594" spans="1:90" x14ac:dyDescent="0.3">
      <c r="A3594" t="s">
        <v>72</v>
      </c>
      <c r="B3594" t="s">
        <v>73</v>
      </c>
      <c r="C3594" t="s">
        <v>74</v>
      </c>
      <c r="E3594" t="str">
        <f>"080065599163"</f>
        <v>080065599163</v>
      </c>
      <c r="F3594" s="3">
        <v>45804</v>
      </c>
      <c r="G3594">
        <v>202602</v>
      </c>
      <c r="H3594" t="s">
        <v>75</v>
      </c>
      <c r="I3594" t="s">
        <v>76</v>
      </c>
      <c r="J3594" t="s">
        <v>77</v>
      </c>
      <c r="K3594" t="s">
        <v>78</v>
      </c>
      <c r="L3594" t="s">
        <v>103</v>
      </c>
      <c r="M3594" t="s">
        <v>104</v>
      </c>
      <c r="N3594" t="s">
        <v>633</v>
      </c>
      <c r="O3594" t="s">
        <v>82</v>
      </c>
      <c r="P3594" t="str">
        <f>"4170040871                    "</f>
        <v xml:space="preserve">4170040871                    </v>
      </c>
      <c r="Q3594">
        <v>0</v>
      </c>
      <c r="R3594">
        <v>0</v>
      </c>
      <c r="S3594">
        <v>0</v>
      </c>
      <c r="T3594">
        <v>0</v>
      </c>
      <c r="U3594">
        <v>0</v>
      </c>
      <c r="V3594">
        <v>0</v>
      </c>
      <c r="W3594">
        <v>0</v>
      </c>
      <c r="X3594">
        <v>0</v>
      </c>
      <c r="Y3594">
        <v>0</v>
      </c>
      <c r="Z3594">
        <v>0</v>
      </c>
      <c r="AA3594">
        <v>0</v>
      </c>
      <c r="AB3594">
        <v>0</v>
      </c>
      <c r="AC3594">
        <v>0</v>
      </c>
      <c r="AD3594">
        <v>0</v>
      </c>
      <c r="AE3594">
        <v>0</v>
      </c>
      <c r="AF3594">
        <v>0</v>
      </c>
      <c r="AG3594">
        <v>0</v>
      </c>
      <c r="AH3594">
        <v>0</v>
      </c>
      <c r="AI3594">
        <v>0</v>
      </c>
      <c r="AJ3594">
        <v>0</v>
      </c>
      <c r="AK3594">
        <v>0</v>
      </c>
      <c r="AL3594">
        <v>0</v>
      </c>
      <c r="AM3594">
        <v>0</v>
      </c>
      <c r="AN3594">
        <v>0</v>
      </c>
      <c r="AO3594">
        <v>0</v>
      </c>
      <c r="AP3594">
        <v>0</v>
      </c>
      <c r="AQ3594">
        <v>21.38</v>
      </c>
      <c r="AR3594">
        <v>0</v>
      </c>
      <c r="AS3594">
        <v>0</v>
      </c>
      <c r="AT3594">
        <v>0</v>
      </c>
      <c r="AU3594">
        <v>0</v>
      </c>
      <c r="AV3594">
        <v>0</v>
      </c>
      <c r="AW3594">
        <v>0</v>
      </c>
      <c r="AX3594">
        <v>0</v>
      </c>
      <c r="AY3594">
        <v>0</v>
      </c>
      <c r="AZ3594">
        <v>0</v>
      </c>
      <c r="BA3594">
        <v>0</v>
      </c>
      <c r="BB3594">
        <v>0</v>
      </c>
      <c r="BC3594">
        <v>0</v>
      </c>
      <c r="BD3594">
        <v>0</v>
      </c>
      <c r="BE3594">
        <v>0</v>
      </c>
      <c r="BF3594">
        <v>0</v>
      </c>
      <c r="BG3594">
        <v>0</v>
      </c>
      <c r="BH3594">
        <v>1</v>
      </c>
      <c r="BI3594">
        <v>1</v>
      </c>
      <c r="BJ3594">
        <v>0.2</v>
      </c>
      <c r="BK3594">
        <v>1</v>
      </c>
      <c r="BL3594">
        <v>69.98</v>
      </c>
      <c r="BM3594">
        <v>10.5</v>
      </c>
      <c r="BN3594">
        <v>80.48</v>
      </c>
      <c r="BO3594">
        <v>80.48</v>
      </c>
      <c r="BQ3594" t="s">
        <v>634</v>
      </c>
      <c r="BR3594" t="s">
        <v>84</v>
      </c>
      <c r="BS3594" s="3">
        <v>45805</v>
      </c>
      <c r="BT3594" s="4">
        <v>0.59583333333333333</v>
      </c>
      <c r="BU3594" t="s">
        <v>3263</v>
      </c>
      <c r="BV3594" t="s">
        <v>86</v>
      </c>
      <c r="BY3594">
        <v>1200</v>
      </c>
      <c r="CA3594" t="s">
        <v>2367</v>
      </c>
      <c r="CC3594" t="s">
        <v>104</v>
      </c>
      <c r="CD3594">
        <v>3212</v>
      </c>
      <c r="CE3594" t="s">
        <v>88</v>
      </c>
      <c r="CF3594" s="3">
        <v>45806</v>
      </c>
      <c r="CI3594">
        <v>2</v>
      </c>
      <c r="CJ3594">
        <v>1</v>
      </c>
      <c r="CK3594">
        <v>21</v>
      </c>
      <c r="CL3594" t="s">
        <v>89</v>
      </c>
    </row>
    <row r="3595" spans="1:90" x14ac:dyDescent="0.3">
      <c r="A3595" t="s">
        <v>72</v>
      </c>
      <c r="B3595" t="s">
        <v>73</v>
      </c>
      <c r="C3595" t="s">
        <v>74</v>
      </c>
      <c r="E3595" t="str">
        <f>"080065599181"</f>
        <v>080065599181</v>
      </c>
      <c r="F3595" s="3">
        <v>45804</v>
      </c>
      <c r="G3595">
        <v>202602</v>
      </c>
      <c r="H3595" t="s">
        <v>75</v>
      </c>
      <c r="I3595" t="s">
        <v>76</v>
      </c>
      <c r="J3595" t="s">
        <v>77</v>
      </c>
      <c r="K3595" t="s">
        <v>78</v>
      </c>
      <c r="L3595" t="s">
        <v>117</v>
      </c>
      <c r="M3595" t="s">
        <v>118</v>
      </c>
      <c r="N3595" t="s">
        <v>532</v>
      </c>
      <c r="O3595" t="s">
        <v>82</v>
      </c>
      <c r="P3595" t="str">
        <f>"4170040870                    "</f>
        <v xml:space="preserve">4170040870                    </v>
      </c>
      <c r="Q3595">
        <v>0</v>
      </c>
      <c r="R3595">
        <v>0</v>
      </c>
      <c r="S3595">
        <v>0</v>
      </c>
      <c r="T3595">
        <v>0</v>
      </c>
      <c r="U3595">
        <v>0</v>
      </c>
      <c r="V3595">
        <v>0</v>
      </c>
      <c r="W3595">
        <v>0</v>
      </c>
      <c r="X3595">
        <v>0</v>
      </c>
      <c r="Y3595">
        <v>0</v>
      </c>
      <c r="Z3595">
        <v>0</v>
      </c>
      <c r="AA3595">
        <v>0</v>
      </c>
      <c r="AB3595">
        <v>0</v>
      </c>
      <c r="AC3595">
        <v>0</v>
      </c>
      <c r="AD3595">
        <v>0</v>
      </c>
      <c r="AE3595">
        <v>0</v>
      </c>
      <c r="AF3595">
        <v>0</v>
      </c>
      <c r="AG3595">
        <v>0</v>
      </c>
      <c r="AH3595">
        <v>0</v>
      </c>
      <c r="AI3595">
        <v>0</v>
      </c>
      <c r="AJ3595">
        <v>0</v>
      </c>
      <c r="AK3595">
        <v>0</v>
      </c>
      <c r="AL3595">
        <v>0</v>
      </c>
      <c r="AM3595">
        <v>0</v>
      </c>
      <c r="AN3595">
        <v>0</v>
      </c>
      <c r="AO3595">
        <v>0</v>
      </c>
      <c r="AP3595">
        <v>0</v>
      </c>
      <c r="AQ3595">
        <v>16.7</v>
      </c>
      <c r="AR3595">
        <v>0</v>
      </c>
      <c r="AS3595">
        <v>0</v>
      </c>
      <c r="AT3595">
        <v>0</v>
      </c>
      <c r="AU3595">
        <v>0</v>
      </c>
      <c r="AV3595">
        <v>0</v>
      </c>
      <c r="AW3595">
        <v>0</v>
      </c>
      <c r="AX3595">
        <v>0</v>
      </c>
      <c r="AY3595">
        <v>0</v>
      </c>
      <c r="AZ3595">
        <v>0</v>
      </c>
      <c r="BA3595">
        <v>0</v>
      </c>
      <c r="BB3595">
        <v>0</v>
      </c>
      <c r="BC3595">
        <v>0</v>
      </c>
      <c r="BD3595">
        <v>0</v>
      </c>
      <c r="BE3595">
        <v>0</v>
      </c>
      <c r="BF3595">
        <v>0</v>
      </c>
      <c r="BG3595">
        <v>0</v>
      </c>
      <c r="BH3595">
        <v>1</v>
      </c>
      <c r="BI3595">
        <v>2</v>
      </c>
      <c r="BJ3595">
        <v>3.4</v>
      </c>
      <c r="BK3595">
        <v>4</v>
      </c>
      <c r="BL3595">
        <v>54.66</v>
      </c>
      <c r="BM3595">
        <v>8.1999999999999993</v>
      </c>
      <c r="BN3595">
        <v>62.86</v>
      </c>
      <c r="BO3595">
        <v>62.86</v>
      </c>
      <c r="BQ3595" t="s">
        <v>533</v>
      </c>
      <c r="BR3595" t="s">
        <v>84</v>
      </c>
      <c r="BS3595" s="3">
        <v>45805</v>
      </c>
      <c r="BT3595" s="4">
        <v>0.40277777777777779</v>
      </c>
      <c r="BU3595" t="s">
        <v>348</v>
      </c>
      <c r="BV3595" t="s">
        <v>86</v>
      </c>
      <c r="BY3595">
        <v>16965</v>
      </c>
      <c r="CA3595" t="s">
        <v>535</v>
      </c>
      <c r="CC3595" t="s">
        <v>118</v>
      </c>
      <c r="CD3595">
        <v>2094</v>
      </c>
      <c r="CE3595" t="s">
        <v>96</v>
      </c>
      <c r="CF3595" s="3">
        <v>45806</v>
      </c>
      <c r="CI3595">
        <v>1</v>
      </c>
      <c r="CJ3595">
        <v>1</v>
      </c>
      <c r="CK3595">
        <v>22</v>
      </c>
      <c r="CL3595" t="s">
        <v>89</v>
      </c>
    </row>
    <row r="3596" spans="1:90" x14ac:dyDescent="0.3">
      <c r="A3596" t="s">
        <v>72</v>
      </c>
      <c r="B3596" t="s">
        <v>73</v>
      </c>
      <c r="C3596" t="s">
        <v>74</v>
      </c>
      <c r="E3596" t="str">
        <f>"080065599191"</f>
        <v>080065599191</v>
      </c>
      <c r="F3596" s="3">
        <v>45804</v>
      </c>
      <c r="G3596">
        <v>202602</v>
      </c>
      <c r="H3596" t="s">
        <v>75</v>
      </c>
      <c r="I3596" t="s">
        <v>76</v>
      </c>
      <c r="J3596" t="s">
        <v>77</v>
      </c>
      <c r="K3596" t="s">
        <v>78</v>
      </c>
      <c r="L3596" t="s">
        <v>350</v>
      </c>
      <c r="M3596" t="s">
        <v>351</v>
      </c>
      <c r="N3596" t="s">
        <v>431</v>
      </c>
      <c r="O3596" t="s">
        <v>82</v>
      </c>
      <c r="P3596" t="str">
        <f>"4170040952                    "</f>
        <v xml:space="preserve">4170040952                    </v>
      </c>
      <c r="Q3596">
        <v>0</v>
      </c>
      <c r="R3596">
        <v>0</v>
      </c>
      <c r="S3596">
        <v>0</v>
      </c>
      <c r="T3596">
        <v>0</v>
      </c>
      <c r="U3596">
        <v>0</v>
      </c>
      <c r="V3596">
        <v>0</v>
      </c>
      <c r="W3596">
        <v>0</v>
      </c>
      <c r="X3596">
        <v>0</v>
      </c>
      <c r="Y3596">
        <v>0</v>
      </c>
      <c r="Z3596">
        <v>0</v>
      </c>
      <c r="AA3596">
        <v>0</v>
      </c>
      <c r="AB3596">
        <v>0</v>
      </c>
      <c r="AC3596">
        <v>0</v>
      </c>
      <c r="AD3596">
        <v>0</v>
      </c>
      <c r="AE3596">
        <v>0</v>
      </c>
      <c r="AF3596">
        <v>0</v>
      </c>
      <c r="AG3596">
        <v>0</v>
      </c>
      <c r="AH3596">
        <v>0</v>
      </c>
      <c r="AI3596">
        <v>0</v>
      </c>
      <c r="AJ3596">
        <v>0</v>
      </c>
      <c r="AK3596">
        <v>0</v>
      </c>
      <c r="AL3596">
        <v>0</v>
      </c>
      <c r="AM3596">
        <v>0</v>
      </c>
      <c r="AN3596">
        <v>0</v>
      </c>
      <c r="AO3596">
        <v>0</v>
      </c>
      <c r="AP3596">
        <v>0</v>
      </c>
      <c r="AQ3596">
        <v>21.38</v>
      </c>
      <c r="AR3596">
        <v>0</v>
      </c>
      <c r="AS3596">
        <v>0</v>
      </c>
      <c r="AT3596">
        <v>0</v>
      </c>
      <c r="AU3596">
        <v>0</v>
      </c>
      <c r="AV3596">
        <v>0</v>
      </c>
      <c r="AW3596">
        <v>0</v>
      </c>
      <c r="AX3596">
        <v>0</v>
      </c>
      <c r="AY3596">
        <v>0</v>
      </c>
      <c r="AZ3596">
        <v>0</v>
      </c>
      <c r="BA3596">
        <v>0</v>
      </c>
      <c r="BB3596">
        <v>0</v>
      </c>
      <c r="BC3596">
        <v>0</v>
      </c>
      <c r="BD3596">
        <v>0</v>
      </c>
      <c r="BE3596">
        <v>0</v>
      </c>
      <c r="BF3596">
        <v>0</v>
      </c>
      <c r="BG3596">
        <v>0</v>
      </c>
      <c r="BH3596">
        <v>1</v>
      </c>
      <c r="BI3596">
        <v>1</v>
      </c>
      <c r="BJ3596">
        <v>0.2</v>
      </c>
      <c r="BK3596">
        <v>1</v>
      </c>
      <c r="BL3596">
        <v>69.98</v>
      </c>
      <c r="BM3596">
        <v>10.5</v>
      </c>
      <c r="BN3596">
        <v>80.48</v>
      </c>
      <c r="BO3596">
        <v>80.48</v>
      </c>
      <c r="BQ3596" t="s">
        <v>432</v>
      </c>
      <c r="BR3596" t="s">
        <v>84</v>
      </c>
      <c r="BS3596" s="3">
        <v>45805</v>
      </c>
      <c r="BT3596" s="4">
        <v>0.67500000000000004</v>
      </c>
      <c r="BU3596" t="s">
        <v>3332</v>
      </c>
      <c r="BV3596" t="s">
        <v>89</v>
      </c>
      <c r="BY3596">
        <v>1200</v>
      </c>
      <c r="CA3596" t="s">
        <v>436</v>
      </c>
      <c r="CC3596" t="s">
        <v>351</v>
      </c>
      <c r="CD3596">
        <v>4052</v>
      </c>
      <c r="CE3596" t="s">
        <v>88</v>
      </c>
      <c r="CF3596" s="3">
        <v>45805</v>
      </c>
      <c r="CI3596">
        <v>1</v>
      </c>
      <c r="CJ3596">
        <v>1</v>
      </c>
      <c r="CK3596">
        <v>21</v>
      </c>
      <c r="CL3596" t="s">
        <v>89</v>
      </c>
    </row>
    <row r="3597" spans="1:90" x14ac:dyDescent="0.3">
      <c r="A3597" t="s">
        <v>72</v>
      </c>
      <c r="B3597" t="s">
        <v>73</v>
      </c>
      <c r="C3597" t="s">
        <v>74</v>
      </c>
      <c r="E3597" t="str">
        <f>"080065599205"</f>
        <v>080065599205</v>
      </c>
      <c r="F3597" s="3">
        <v>45804</v>
      </c>
      <c r="G3597">
        <v>202602</v>
      </c>
      <c r="H3597" t="s">
        <v>75</v>
      </c>
      <c r="I3597" t="s">
        <v>76</v>
      </c>
      <c r="J3597" t="s">
        <v>77</v>
      </c>
      <c r="K3597" t="s">
        <v>78</v>
      </c>
      <c r="L3597" t="s">
        <v>79</v>
      </c>
      <c r="M3597" t="s">
        <v>80</v>
      </c>
      <c r="N3597" t="s">
        <v>415</v>
      </c>
      <c r="O3597" t="s">
        <v>82</v>
      </c>
      <c r="P3597" t="str">
        <f>"4170040912                    "</f>
        <v xml:space="preserve">4170040912                    </v>
      </c>
      <c r="Q3597">
        <v>0</v>
      </c>
      <c r="R3597">
        <v>0</v>
      </c>
      <c r="S3597">
        <v>0</v>
      </c>
      <c r="T3597">
        <v>0</v>
      </c>
      <c r="U3597">
        <v>0</v>
      </c>
      <c r="V3597">
        <v>0</v>
      </c>
      <c r="W3597">
        <v>0</v>
      </c>
      <c r="X3597">
        <v>0</v>
      </c>
      <c r="Y3597">
        <v>0</v>
      </c>
      <c r="Z3597">
        <v>0</v>
      </c>
      <c r="AA3597">
        <v>0</v>
      </c>
      <c r="AB3597">
        <v>0</v>
      </c>
      <c r="AC3597">
        <v>0</v>
      </c>
      <c r="AD3597">
        <v>0</v>
      </c>
      <c r="AE3597">
        <v>0</v>
      </c>
      <c r="AF3597">
        <v>0</v>
      </c>
      <c r="AG3597">
        <v>0</v>
      </c>
      <c r="AH3597">
        <v>0</v>
      </c>
      <c r="AI3597">
        <v>0</v>
      </c>
      <c r="AJ3597">
        <v>0</v>
      </c>
      <c r="AK3597">
        <v>0</v>
      </c>
      <c r="AL3597">
        <v>0</v>
      </c>
      <c r="AM3597">
        <v>0</v>
      </c>
      <c r="AN3597">
        <v>0</v>
      </c>
      <c r="AO3597">
        <v>0</v>
      </c>
      <c r="AP3597">
        <v>0</v>
      </c>
      <c r="AQ3597">
        <v>37.409999999999997</v>
      </c>
      <c r="AR3597">
        <v>0</v>
      </c>
      <c r="AS3597">
        <v>0</v>
      </c>
      <c r="AT3597">
        <v>0</v>
      </c>
      <c r="AU3597">
        <v>0</v>
      </c>
      <c r="AV3597">
        <v>0</v>
      </c>
      <c r="AW3597">
        <v>0</v>
      </c>
      <c r="AX3597">
        <v>0</v>
      </c>
      <c r="AY3597">
        <v>0</v>
      </c>
      <c r="AZ3597">
        <v>0</v>
      </c>
      <c r="BA3597">
        <v>0</v>
      </c>
      <c r="BB3597">
        <v>0</v>
      </c>
      <c r="BC3597">
        <v>0</v>
      </c>
      <c r="BD3597">
        <v>0</v>
      </c>
      <c r="BE3597">
        <v>0</v>
      </c>
      <c r="BF3597">
        <v>0</v>
      </c>
      <c r="BG3597">
        <v>0</v>
      </c>
      <c r="BH3597">
        <v>1</v>
      </c>
      <c r="BI3597">
        <v>2</v>
      </c>
      <c r="BJ3597">
        <v>3.4</v>
      </c>
      <c r="BK3597">
        <v>3.5</v>
      </c>
      <c r="BL3597">
        <v>122.43</v>
      </c>
      <c r="BM3597">
        <v>18.36</v>
      </c>
      <c r="BN3597">
        <v>140.79</v>
      </c>
      <c r="BO3597">
        <v>140.79</v>
      </c>
      <c r="BQ3597" t="s">
        <v>416</v>
      </c>
      <c r="BR3597" t="s">
        <v>84</v>
      </c>
      <c r="BS3597" s="3">
        <v>45805</v>
      </c>
      <c r="BT3597" s="4">
        <v>0.46666666666666667</v>
      </c>
      <c r="BU3597" t="s">
        <v>417</v>
      </c>
      <c r="BV3597" t="s">
        <v>86</v>
      </c>
      <c r="BY3597">
        <v>16965</v>
      </c>
      <c r="CA3597" t="s">
        <v>418</v>
      </c>
      <c r="CC3597" t="s">
        <v>80</v>
      </c>
      <c r="CD3597">
        <v>3610</v>
      </c>
      <c r="CE3597" t="s">
        <v>96</v>
      </c>
      <c r="CF3597" s="3">
        <v>45806</v>
      </c>
      <c r="CI3597">
        <v>1</v>
      </c>
      <c r="CJ3597">
        <v>1</v>
      </c>
      <c r="CK3597">
        <v>21</v>
      </c>
      <c r="CL3597" t="s">
        <v>89</v>
      </c>
    </row>
    <row r="3598" spans="1:90" x14ac:dyDescent="0.3">
      <c r="A3598" t="s">
        <v>72</v>
      </c>
      <c r="B3598" t="s">
        <v>73</v>
      </c>
      <c r="C3598" t="s">
        <v>74</v>
      </c>
      <c r="E3598" t="str">
        <f>"080065599206"</f>
        <v>080065599206</v>
      </c>
      <c r="F3598" s="3">
        <v>45804</v>
      </c>
      <c r="G3598">
        <v>202602</v>
      </c>
      <c r="H3598" t="s">
        <v>75</v>
      </c>
      <c r="I3598" t="s">
        <v>76</v>
      </c>
      <c r="J3598" t="s">
        <v>77</v>
      </c>
      <c r="K3598" t="s">
        <v>78</v>
      </c>
      <c r="L3598" t="s">
        <v>130</v>
      </c>
      <c r="M3598" t="s">
        <v>131</v>
      </c>
      <c r="N3598" t="s">
        <v>343</v>
      </c>
      <c r="O3598" t="s">
        <v>82</v>
      </c>
      <c r="P3598" t="str">
        <f>"4170040967                    "</f>
        <v xml:space="preserve">4170040967                    </v>
      </c>
      <c r="Q3598">
        <v>0</v>
      </c>
      <c r="R3598">
        <v>0</v>
      </c>
      <c r="S3598">
        <v>0</v>
      </c>
      <c r="T3598">
        <v>0</v>
      </c>
      <c r="U3598">
        <v>0</v>
      </c>
      <c r="V3598">
        <v>0</v>
      </c>
      <c r="W3598">
        <v>0</v>
      </c>
      <c r="X3598">
        <v>0</v>
      </c>
      <c r="Y3598">
        <v>0</v>
      </c>
      <c r="Z3598">
        <v>0</v>
      </c>
      <c r="AA3598">
        <v>0</v>
      </c>
      <c r="AB3598">
        <v>0</v>
      </c>
      <c r="AC3598">
        <v>0</v>
      </c>
      <c r="AD3598">
        <v>0</v>
      </c>
      <c r="AE3598">
        <v>0</v>
      </c>
      <c r="AF3598">
        <v>0</v>
      </c>
      <c r="AG3598">
        <v>0</v>
      </c>
      <c r="AH3598">
        <v>0</v>
      </c>
      <c r="AI3598">
        <v>0</v>
      </c>
      <c r="AJ3598">
        <v>0</v>
      </c>
      <c r="AK3598">
        <v>0</v>
      </c>
      <c r="AL3598">
        <v>0</v>
      </c>
      <c r="AM3598">
        <v>0</v>
      </c>
      <c r="AN3598">
        <v>0</v>
      </c>
      <c r="AO3598">
        <v>0</v>
      </c>
      <c r="AP3598">
        <v>0</v>
      </c>
      <c r="AQ3598">
        <v>21.38</v>
      </c>
      <c r="AR3598">
        <v>0</v>
      </c>
      <c r="AS3598">
        <v>0</v>
      </c>
      <c r="AT3598">
        <v>0</v>
      </c>
      <c r="AU3598">
        <v>0</v>
      </c>
      <c r="AV3598">
        <v>0</v>
      </c>
      <c r="AW3598">
        <v>0</v>
      </c>
      <c r="AX3598">
        <v>0</v>
      </c>
      <c r="AY3598">
        <v>0</v>
      </c>
      <c r="AZ3598">
        <v>0</v>
      </c>
      <c r="BA3598">
        <v>0</v>
      </c>
      <c r="BB3598">
        <v>0</v>
      </c>
      <c r="BC3598">
        <v>0</v>
      </c>
      <c r="BD3598">
        <v>0</v>
      </c>
      <c r="BE3598">
        <v>0</v>
      </c>
      <c r="BF3598">
        <v>0</v>
      </c>
      <c r="BG3598">
        <v>0</v>
      </c>
      <c r="BH3598">
        <v>1</v>
      </c>
      <c r="BI3598">
        <v>1</v>
      </c>
      <c r="BJ3598">
        <v>0.2</v>
      </c>
      <c r="BK3598">
        <v>1</v>
      </c>
      <c r="BL3598">
        <v>69.98</v>
      </c>
      <c r="BM3598">
        <v>10.5</v>
      </c>
      <c r="BN3598">
        <v>80.48</v>
      </c>
      <c r="BO3598">
        <v>80.48</v>
      </c>
      <c r="BQ3598" t="s">
        <v>344</v>
      </c>
      <c r="BR3598" t="s">
        <v>84</v>
      </c>
      <c r="BS3598" s="3">
        <v>45805</v>
      </c>
      <c r="BT3598" s="4">
        <v>0.4152777777777778</v>
      </c>
      <c r="BU3598" t="s">
        <v>3228</v>
      </c>
      <c r="BV3598" t="s">
        <v>86</v>
      </c>
      <c r="BY3598">
        <v>1200</v>
      </c>
      <c r="CA3598" t="s">
        <v>242</v>
      </c>
      <c r="CC3598" t="s">
        <v>131</v>
      </c>
      <c r="CD3598">
        <v>7441</v>
      </c>
      <c r="CE3598" t="s">
        <v>88</v>
      </c>
      <c r="CF3598" s="3">
        <v>45806</v>
      </c>
      <c r="CI3598">
        <v>1</v>
      </c>
      <c r="CJ3598">
        <v>1</v>
      </c>
      <c r="CK3598">
        <v>21</v>
      </c>
      <c r="CL3598" t="s">
        <v>89</v>
      </c>
    </row>
    <row r="3599" spans="1:90" x14ac:dyDescent="0.3">
      <c r="A3599" t="s">
        <v>72</v>
      </c>
      <c r="B3599" t="s">
        <v>73</v>
      </c>
      <c r="C3599" t="s">
        <v>74</v>
      </c>
      <c r="E3599" t="str">
        <f>"080065599230"</f>
        <v>080065599230</v>
      </c>
      <c r="F3599" s="3">
        <v>45804</v>
      </c>
      <c r="G3599">
        <v>202602</v>
      </c>
      <c r="H3599" t="s">
        <v>75</v>
      </c>
      <c r="I3599" t="s">
        <v>76</v>
      </c>
      <c r="J3599" t="s">
        <v>77</v>
      </c>
      <c r="K3599" t="s">
        <v>78</v>
      </c>
      <c r="L3599" t="s">
        <v>117</v>
      </c>
      <c r="M3599" t="s">
        <v>118</v>
      </c>
      <c r="N3599" t="s">
        <v>3294</v>
      </c>
      <c r="O3599" t="s">
        <v>82</v>
      </c>
      <c r="P3599" t="str">
        <f>"4170040963                    "</f>
        <v xml:space="preserve">4170040963                    </v>
      </c>
      <c r="Q3599">
        <v>0</v>
      </c>
      <c r="R3599">
        <v>0</v>
      </c>
      <c r="S3599">
        <v>0</v>
      </c>
      <c r="T3599">
        <v>0</v>
      </c>
      <c r="U3599">
        <v>0</v>
      </c>
      <c r="V3599">
        <v>0</v>
      </c>
      <c r="W3599">
        <v>0</v>
      </c>
      <c r="X3599">
        <v>0</v>
      </c>
      <c r="Y3599">
        <v>0</v>
      </c>
      <c r="Z3599">
        <v>0</v>
      </c>
      <c r="AA3599">
        <v>0</v>
      </c>
      <c r="AB3599">
        <v>0</v>
      </c>
      <c r="AC3599">
        <v>0</v>
      </c>
      <c r="AD3599">
        <v>0</v>
      </c>
      <c r="AE3599">
        <v>0</v>
      </c>
      <c r="AF3599">
        <v>0</v>
      </c>
      <c r="AG3599">
        <v>0</v>
      </c>
      <c r="AH3599">
        <v>0</v>
      </c>
      <c r="AI3599">
        <v>0</v>
      </c>
      <c r="AJ3599">
        <v>0</v>
      </c>
      <c r="AK3599">
        <v>0</v>
      </c>
      <c r="AL3599">
        <v>0</v>
      </c>
      <c r="AM3599">
        <v>0</v>
      </c>
      <c r="AN3599">
        <v>0</v>
      </c>
      <c r="AO3599">
        <v>0</v>
      </c>
      <c r="AP3599">
        <v>0</v>
      </c>
      <c r="AQ3599">
        <v>16.7</v>
      </c>
      <c r="AR3599">
        <v>0</v>
      </c>
      <c r="AS3599">
        <v>0</v>
      </c>
      <c r="AT3599">
        <v>0</v>
      </c>
      <c r="AU3599">
        <v>0</v>
      </c>
      <c r="AV3599">
        <v>0</v>
      </c>
      <c r="AW3599">
        <v>0</v>
      </c>
      <c r="AX3599">
        <v>0</v>
      </c>
      <c r="AY3599">
        <v>0</v>
      </c>
      <c r="AZ3599">
        <v>0</v>
      </c>
      <c r="BA3599">
        <v>0</v>
      </c>
      <c r="BB3599">
        <v>0</v>
      </c>
      <c r="BC3599">
        <v>0</v>
      </c>
      <c r="BD3599">
        <v>0</v>
      </c>
      <c r="BE3599">
        <v>0</v>
      </c>
      <c r="BF3599">
        <v>0</v>
      </c>
      <c r="BG3599">
        <v>0</v>
      </c>
      <c r="BH3599">
        <v>1</v>
      </c>
      <c r="BI3599">
        <v>1</v>
      </c>
      <c r="BJ3599">
        <v>1.7</v>
      </c>
      <c r="BK3599">
        <v>2</v>
      </c>
      <c r="BL3599">
        <v>54.66</v>
      </c>
      <c r="BM3599">
        <v>8.1999999999999993</v>
      </c>
      <c r="BN3599">
        <v>62.86</v>
      </c>
      <c r="BO3599">
        <v>62.86</v>
      </c>
      <c r="BQ3599" t="s">
        <v>3295</v>
      </c>
      <c r="BR3599" t="s">
        <v>84</v>
      </c>
      <c r="BS3599" s="3">
        <v>45805</v>
      </c>
      <c r="BT3599" s="4">
        <v>0.41041666666666665</v>
      </c>
      <c r="BU3599" t="s">
        <v>3296</v>
      </c>
      <c r="BV3599" t="s">
        <v>86</v>
      </c>
      <c r="BY3599">
        <v>8512</v>
      </c>
      <c r="CA3599" t="s">
        <v>2320</v>
      </c>
      <c r="CC3599" t="s">
        <v>118</v>
      </c>
      <c r="CD3599">
        <v>2007</v>
      </c>
      <c r="CE3599" t="s">
        <v>96</v>
      </c>
      <c r="CF3599" s="3">
        <v>45805</v>
      </c>
      <c r="CI3599">
        <v>1</v>
      </c>
      <c r="CJ3599">
        <v>1</v>
      </c>
      <c r="CK3599">
        <v>22</v>
      </c>
      <c r="CL3599" t="s">
        <v>89</v>
      </c>
    </row>
    <row r="3600" spans="1:90" x14ac:dyDescent="0.3">
      <c r="A3600" t="s">
        <v>72</v>
      </c>
      <c r="B3600" t="s">
        <v>73</v>
      </c>
      <c r="C3600" t="s">
        <v>74</v>
      </c>
      <c r="E3600" t="str">
        <f>"080065599239"</f>
        <v>080065599239</v>
      </c>
      <c r="F3600" s="3">
        <v>45804</v>
      </c>
      <c r="G3600">
        <v>202602</v>
      </c>
      <c r="H3600" t="s">
        <v>75</v>
      </c>
      <c r="I3600" t="s">
        <v>76</v>
      </c>
      <c r="J3600" t="s">
        <v>77</v>
      </c>
      <c r="K3600" t="s">
        <v>78</v>
      </c>
      <c r="L3600" t="s">
        <v>97</v>
      </c>
      <c r="M3600" t="s">
        <v>98</v>
      </c>
      <c r="N3600" t="s">
        <v>2242</v>
      </c>
      <c r="O3600" t="s">
        <v>82</v>
      </c>
      <c r="P3600" t="str">
        <f>"4170040983                    "</f>
        <v xml:space="preserve">4170040983                    </v>
      </c>
      <c r="Q3600">
        <v>0</v>
      </c>
      <c r="R3600">
        <v>0</v>
      </c>
      <c r="S3600">
        <v>0</v>
      </c>
      <c r="T3600">
        <v>0</v>
      </c>
      <c r="U3600">
        <v>0</v>
      </c>
      <c r="V3600">
        <v>0</v>
      </c>
      <c r="W3600">
        <v>0</v>
      </c>
      <c r="X3600">
        <v>0</v>
      </c>
      <c r="Y3600">
        <v>0</v>
      </c>
      <c r="Z3600">
        <v>0</v>
      </c>
      <c r="AA3600">
        <v>0</v>
      </c>
      <c r="AB3600">
        <v>0</v>
      </c>
      <c r="AC3600">
        <v>0</v>
      </c>
      <c r="AD3600">
        <v>0</v>
      </c>
      <c r="AE3600">
        <v>0</v>
      </c>
      <c r="AF3600">
        <v>0</v>
      </c>
      <c r="AG3600">
        <v>0</v>
      </c>
      <c r="AH3600">
        <v>0</v>
      </c>
      <c r="AI3600">
        <v>0</v>
      </c>
      <c r="AJ3600">
        <v>0</v>
      </c>
      <c r="AK3600">
        <v>0</v>
      </c>
      <c r="AL3600">
        <v>0</v>
      </c>
      <c r="AM3600">
        <v>0</v>
      </c>
      <c r="AN3600">
        <v>0</v>
      </c>
      <c r="AO3600">
        <v>0</v>
      </c>
      <c r="AP3600">
        <v>0</v>
      </c>
      <c r="AQ3600">
        <v>16.7</v>
      </c>
      <c r="AR3600">
        <v>0</v>
      </c>
      <c r="AS3600">
        <v>0</v>
      </c>
      <c r="AT3600">
        <v>0</v>
      </c>
      <c r="AU3600">
        <v>0</v>
      </c>
      <c r="AV3600">
        <v>0</v>
      </c>
      <c r="AW3600">
        <v>0</v>
      </c>
      <c r="AX3600">
        <v>0</v>
      </c>
      <c r="AY3600">
        <v>0</v>
      </c>
      <c r="AZ3600">
        <v>0</v>
      </c>
      <c r="BA3600">
        <v>0</v>
      </c>
      <c r="BB3600">
        <v>0</v>
      </c>
      <c r="BC3600">
        <v>0</v>
      </c>
      <c r="BD3600">
        <v>0</v>
      </c>
      <c r="BE3600">
        <v>0</v>
      </c>
      <c r="BF3600">
        <v>0</v>
      </c>
      <c r="BG3600">
        <v>0</v>
      </c>
      <c r="BH3600">
        <v>1</v>
      </c>
      <c r="BI3600">
        <v>3</v>
      </c>
      <c r="BJ3600">
        <v>1.9</v>
      </c>
      <c r="BK3600">
        <v>3</v>
      </c>
      <c r="BL3600">
        <v>54.66</v>
      </c>
      <c r="BM3600">
        <v>8.1999999999999993</v>
      </c>
      <c r="BN3600">
        <v>62.86</v>
      </c>
      <c r="BO3600">
        <v>62.86</v>
      </c>
      <c r="BQ3600" t="s">
        <v>2243</v>
      </c>
      <c r="BR3600" t="s">
        <v>84</v>
      </c>
      <c r="BS3600" s="3">
        <v>45805</v>
      </c>
      <c r="BT3600" s="4">
        <v>0.31874999999999998</v>
      </c>
      <c r="BU3600" t="s">
        <v>2244</v>
      </c>
      <c r="BV3600" t="s">
        <v>86</v>
      </c>
      <c r="BY3600">
        <v>9600</v>
      </c>
      <c r="CA3600" t="s">
        <v>279</v>
      </c>
      <c r="CC3600" t="s">
        <v>98</v>
      </c>
      <c r="CD3600">
        <v>1459</v>
      </c>
      <c r="CE3600" t="s">
        <v>96</v>
      </c>
      <c r="CF3600" s="3">
        <v>45806</v>
      </c>
      <c r="CI3600">
        <v>1</v>
      </c>
      <c r="CJ3600">
        <v>1</v>
      </c>
      <c r="CK3600">
        <v>22</v>
      </c>
      <c r="CL3600" t="s">
        <v>89</v>
      </c>
    </row>
    <row r="3601" spans="1:90" x14ac:dyDescent="0.3">
      <c r="A3601" t="s">
        <v>72</v>
      </c>
      <c r="B3601" t="s">
        <v>73</v>
      </c>
      <c r="C3601" t="s">
        <v>74</v>
      </c>
      <c r="E3601" t="str">
        <f>"080065599251"</f>
        <v>080065599251</v>
      </c>
      <c r="F3601" s="3">
        <v>45804</v>
      </c>
      <c r="G3601">
        <v>202602</v>
      </c>
      <c r="H3601" t="s">
        <v>75</v>
      </c>
      <c r="I3601" t="s">
        <v>76</v>
      </c>
      <c r="J3601" t="s">
        <v>77</v>
      </c>
      <c r="K3601" t="s">
        <v>78</v>
      </c>
      <c r="L3601" t="s">
        <v>143</v>
      </c>
      <c r="M3601" t="s">
        <v>144</v>
      </c>
      <c r="N3601" t="s">
        <v>1118</v>
      </c>
      <c r="O3601" t="s">
        <v>82</v>
      </c>
      <c r="P3601" t="str">
        <f>"4170040973                    "</f>
        <v xml:space="preserve">4170040973                    </v>
      </c>
      <c r="Q3601">
        <v>0</v>
      </c>
      <c r="R3601">
        <v>0</v>
      </c>
      <c r="S3601">
        <v>0</v>
      </c>
      <c r="T3601">
        <v>0</v>
      </c>
      <c r="U3601">
        <v>0</v>
      </c>
      <c r="V3601">
        <v>0</v>
      </c>
      <c r="W3601">
        <v>0</v>
      </c>
      <c r="X3601">
        <v>0</v>
      </c>
      <c r="Y3601">
        <v>0</v>
      </c>
      <c r="Z3601">
        <v>0</v>
      </c>
      <c r="AA3601">
        <v>0</v>
      </c>
      <c r="AB3601">
        <v>0</v>
      </c>
      <c r="AC3601">
        <v>0</v>
      </c>
      <c r="AD3601">
        <v>0</v>
      </c>
      <c r="AE3601">
        <v>0</v>
      </c>
      <c r="AF3601">
        <v>0</v>
      </c>
      <c r="AG3601">
        <v>0</v>
      </c>
      <c r="AH3601">
        <v>0</v>
      </c>
      <c r="AI3601">
        <v>0</v>
      </c>
      <c r="AJ3601">
        <v>0</v>
      </c>
      <c r="AK3601">
        <v>0</v>
      </c>
      <c r="AL3601">
        <v>0</v>
      </c>
      <c r="AM3601">
        <v>0</v>
      </c>
      <c r="AN3601">
        <v>0</v>
      </c>
      <c r="AO3601">
        <v>0</v>
      </c>
      <c r="AP3601">
        <v>0</v>
      </c>
      <c r="AQ3601">
        <v>16.7</v>
      </c>
      <c r="AR3601">
        <v>0</v>
      </c>
      <c r="AS3601">
        <v>0</v>
      </c>
      <c r="AT3601">
        <v>0</v>
      </c>
      <c r="AU3601">
        <v>0</v>
      </c>
      <c r="AV3601">
        <v>0</v>
      </c>
      <c r="AW3601">
        <v>0</v>
      </c>
      <c r="AX3601">
        <v>0</v>
      </c>
      <c r="AY3601">
        <v>0</v>
      </c>
      <c r="AZ3601">
        <v>0</v>
      </c>
      <c r="BA3601">
        <v>0</v>
      </c>
      <c r="BB3601">
        <v>0</v>
      </c>
      <c r="BC3601">
        <v>0</v>
      </c>
      <c r="BD3601">
        <v>0</v>
      </c>
      <c r="BE3601">
        <v>0</v>
      </c>
      <c r="BF3601">
        <v>0</v>
      </c>
      <c r="BG3601">
        <v>0</v>
      </c>
      <c r="BH3601">
        <v>1</v>
      </c>
      <c r="BI3601">
        <v>6</v>
      </c>
      <c r="BJ3601">
        <v>3.4</v>
      </c>
      <c r="BK3601">
        <v>6</v>
      </c>
      <c r="BL3601">
        <v>54.66</v>
      </c>
      <c r="BM3601">
        <v>8.1999999999999993</v>
      </c>
      <c r="BN3601">
        <v>62.86</v>
      </c>
      <c r="BO3601">
        <v>62.86</v>
      </c>
      <c r="BQ3601" t="s">
        <v>1119</v>
      </c>
      <c r="BR3601" t="s">
        <v>84</v>
      </c>
      <c r="BS3601" s="3">
        <v>45805</v>
      </c>
      <c r="BT3601" s="4">
        <v>0.43055555555555558</v>
      </c>
      <c r="BU3601" t="s">
        <v>3333</v>
      </c>
      <c r="BV3601" t="s">
        <v>86</v>
      </c>
      <c r="BY3601">
        <v>16965</v>
      </c>
      <c r="CA3601" t="s">
        <v>3222</v>
      </c>
      <c r="CC3601" t="s">
        <v>144</v>
      </c>
      <c r="CD3601">
        <v>1422</v>
      </c>
      <c r="CE3601" t="s">
        <v>96</v>
      </c>
      <c r="CF3601" s="3">
        <v>45805</v>
      </c>
      <c r="CI3601">
        <v>1</v>
      </c>
      <c r="CJ3601">
        <v>1</v>
      </c>
      <c r="CK3601">
        <v>22</v>
      </c>
      <c r="CL3601" t="s">
        <v>89</v>
      </c>
    </row>
    <row r="3602" spans="1:90" x14ac:dyDescent="0.3">
      <c r="A3602" t="s">
        <v>72</v>
      </c>
      <c r="B3602" t="s">
        <v>73</v>
      </c>
      <c r="C3602" t="s">
        <v>74</v>
      </c>
      <c r="E3602" t="str">
        <f>"080065599272"</f>
        <v>080065599272</v>
      </c>
      <c r="F3602" s="3">
        <v>45804</v>
      </c>
      <c r="G3602">
        <v>202602</v>
      </c>
      <c r="H3602" t="s">
        <v>75</v>
      </c>
      <c r="I3602" t="s">
        <v>76</v>
      </c>
      <c r="J3602" t="s">
        <v>77</v>
      </c>
      <c r="K3602" t="s">
        <v>78</v>
      </c>
      <c r="L3602" t="s">
        <v>463</v>
      </c>
      <c r="M3602" t="s">
        <v>464</v>
      </c>
      <c r="N3602" t="s">
        <v>585</v>
      </c>
      <c r="O3602" t="s">
        <v>82</v>
      </c>
      <c r="P3602" t="str">
        <f>"4170040977                    "</f>
        <v xml:space="preserve">4170040977                    </v>
      </c>
      <c r="Q3602">
        <v>0</v>
      </c>
      <c r="R3602">
        <v>0</v>
      </c>
      <c r="S3602">
        <v>0</v>
      </c>
      <c r="T3602">
        <v>0</v>
      </c>
      <c r="U3602">
        <v>0</v>
      </c>
      <c r="V3602">
        <v>0</v>
      </c>
      <c r="W3602">
        <v>0</v>
      </c>
      <c r="X3602">
        <v>0</v>
      </c>
      <c r="Y3602">
        <v>0</v>
      </c>
      <c r="Z3602">
        <v>0</v>
      </c>
      <c r="AA3602">
        <v>0</v>
      </c>
      <c r="AB3602">
        <v>0</v>
      </c>
      <c r="AC3602">
        <v>0</v>
      </c>
      <c r="AD3602">
        <v>0</v>
      </c>
      <c r="AE3602">
        <v>0</v>
      </c>
      <c r="AF3602">
        <v>0</v>
      </c>
      <c r="AG3602">
        <v>0</v>
      </c>
      <c r="AH3602">
        <v>0</v>
      </c>
      <c r="AI3602">
        <v>0</v>
      </c>
      <c r="AJ3602">
        <v>0</v>
      </c>
      <c r="AK3602">
        <v>0</v>
      </c>
      <c r="AL3602">
        <v>0</v>
      </c>
      <c r="AM3602">
        <v>0</v>
      </c>
      <c r="AN3602">
        <v>0</v>
      </c>
      <c r="AO3602">
        <v>0</v>
      </c>
      <c r="AP3602">
        <v>0</v>
      </c>
      <c r="AQ3602">
        <v>21.38</v>
      </c>
      <c r="AR3602">
        <v>0</v>
      </c>
      <c r="AS3602">
        <v>0</v>
      </c>
      <c r="AT3602">
        <v>0</v>
      </c>
      <c r="AU3602">
        <v>0</v>
      </c>
      <c r="AV3602">
        <v>0</v>
      </c>
      <c r="AW3602">
        <v>0</v>
      </c>
      <c r="AX3602">
        <v>0</v>
      </c>
      <c r="AY3602">
        <v>0</v>
      </c>
      <c r="AZ3602">
        <v>0</v>
      </c>
      <c r="BA3602">
        <v>0</v>
      </c>
      <c r="BB3602">
        <v>0</v>
      </c>
      <c r="BC3602">
        <v>0</v>
      </c>
      <c r="BD3602">
        <v>0</v>
      </c>
      <c r="BE3602">
        <v>0</v>
      </c>
      <c r="BF3602">
        <v>0</v>
      </c>
      <c r="BG3602">
        <v>0</v>
      </c>
      <c r="BH3602">
        <v>1</v>
      </c>
      <c r="BI3602">
        <v>1</v>
      </c>
      <c r="BJ3602">
        <v>1.1000000000000001</v>
      </c>
      <c r="BK3602">
        <v>1.5</v>
      </c>
      <c r="BL3602">
        <v>69.98</v>
      </c>
      <c r="BM3602">
        <v>10.5</v>
      </c>
      <c r="BN3602">
        <v>80.48</v>
      </c>
      <c r="BO3602">
        <v>80.48</v>
      </c>
      <c r="BQ3602" t="s">
        <v>586</v>
      </c>
      <c r="BR3602" t="s">
        <v>84</v>
      </c>
      <c r="BS3602" s="3">
        <v>45805</v>
      </c>
      <c r="BT3602" s="4">
        <v>0.46597222222222223</v>
      </c>
      <c r="BU3602" t="s">
        <v>3334</v>
      </c>
      <c r="BV3602" t="s">
        <v>89</v>
      </c>
      <c r="BY3602">
        <v>5320</v>
      </c>
      <c r="CA3602" t="s">
        <v>588</v>
      </c>
      <c r="CC3602" t="s">
        <v>464</v>
      </c>
      <c r="CD3602">
        <v>5201</v>
      </c>
      <c r="CE3602" t="s">
        <v>176</v>
      </c>
      <c r="CF3602" s="3">
        <v>45806</v>
      </c>
      <c r="CI3602">
        <v>1</v>
      </c>
      <c r="CJ3602">
        <v>1</v>
      </c>
      <c r="CK3602">
        <v>21</v>
      </c>
      <c r="CL3602" t="s">
        <v>89</v>
      </c>
    </row>
    <row r="3603" spans="1:90" x14ac:dyDescent="0.3">
      <c r="A3603" t="s">
        <v>72</v>
      </c>
      <c r="B3603" t="s">
        <v>73</v>
      </c>
      <c r="C3603" t="s">
        <v>74</v>
      </c>
      <c r="E3603" t="str">
        <f>"080065558049"</f>
        <v>080065558049</v>
      </c>
      <c r="F3603" s="3">
        <v>45803</v>
      </c>
      <c r="G3603">
        <v>202602</v>
      </c>
      <c r="H3603" t="s">
        <v>75</v>
      </c>
      <c r="I3603" t="s">
        <v>76</v>
      </c>
      <c r="J3603" t="s">
        <v>77</v>
      </c>
      <c r="K3603" t="s">
        <v>78</v>
      </c>
      <c r="L3603" t="s">
        <v>143</v>
      </c>
      <c r="M3603" t="s">
        <v>144</v>
      </c>
      <c r="N3603" t="s">
        <v>3045</v>
      </c>
      <c r="O3603" t="s">
        <v>82</v>
      </c>
      <c r="P3603" t="str">
        <f>"4170040612                    "</f>
        <v xml:space="preserve">4170040612                    </v>
      </c>
      <c r="Q3603">
        <v>0</v>
      </c>
      <c r="R3603">
        <v>0</v>
      </c>
      <c r="S3603">
        <v>0</v>
      </c>
      <c r="T3603">
        <v>0</v>
      </c>
      <c r="U3603">
        <v>0</v>
      </c>
      <c r="V3603">
        <v>0</v>
      </c>
      <c r="W3603">
        <v>0</v>
      </c>
      <c r="X3603">
        <v>0</v>
      </c>
      <c r="Y3603">
        <v>0</v>
      </c>
      <c r="Z3603">
        <v>0</v>
      </c>
      <c r="AA3603">
        <v>0</v>
      </c>
      <c r="AB3603">
        <v>0</v>
      </c>
      <c r="AC3603">
        <v>0</v>
      </c>
      <c r="AD3603">
        <v>0</v>
      </c>
      <c r="AE3603">
        <v>0</v>
      </c>
      <c r="AF3603">
        <v>0</v>
      </c>
      <c r="AG3603">
        <v>0</v>
      </c>
      <c r="AH3603">
        <v>0</v>
      </c>
      <c r="AI3603">
        <v>0</v>
      </c>
      <c r="AJ3603">
        <v>0</v>
      </c>
      <c r="AK3603">
        <v>0</v>
      </c>
      <c r="AL3603">
        <v>0</v>
      </c>
      <c r="AM3603">
        <v>0</v>
      </c>
      <c r="AN3603">
        <v>0</v>
      </c>
      <c r="AO3603">
        <v>0</v>
      </c>
      <c r="AP3603">
        <v>0</v>
      </c>
      <c r="AQ3603">
        <v>0</v>
      </c>
      <c r="AR3603">
        <v>0</v>
      </c>
      <c r="AS3603">
        <v>0</v>
      </c>
      <c r="AT3603">
        <v>0</v>
      </c>
      <c r="AU3603">
        <v>0</v>
      </c>
      <c r="AV3603">
        <v>0</v>
      </c>
      <c r="AW3603">
        <v>0</v>
      </c>
      <c r="AX3603">
        <v>0</v>
      </c>
      <c r="AY3603">
        <v>0</v>
      </c>
      <c r="AZ3603">
        <v>0</v>
      </c>
      <c r="BA3603">
        <v>0</v>
      </c>
      <c r="BB3603">
        <v>0</v>
      </c>
      <c r="BC3603">
        <v>0</v>
      </c>
      <c r="BD3603">
        <v>0</v>
      </c>
      <c r="BE3603">
        <v>0</v>
      </c>
      <c r="BF3603">
        <v>0</v>
      </c>
      <c r="BG3603">
        <v>0</v>
      </c>
      <c r="BH3603">
        <v>1</v>
      </c>
      <c r="BI3603">
        <v>1</v>
      </c>
      <c r="BJ3603">
        <v>0.2</v>
      </c>
      <c r="BK3603">
        <v>1</v>
      </c>
      <c r="BL3603">
        <v>0</v>
      </c>
      <c r="BM3603">
        <v>0</v>
      </c>
      <c r="BN3603">
        <v>0</v>
      </c>
      <c r="BO3603">
        <v>0</v>
      </c>
      <c r="BQ3603" t="s">
        <v>3046</v>
      </c>
      <c r="BR3603" t="s">
        <v>84</v>
      </c>
      <c r="BS3603" s="3">
        <v>45803</v>
      </c>
      <c r="BT3603" s="4">
        <v>0.46250000000000002</v>
      </c>
      <c r="BU3603" t="s">
        <v>3335</v>
      </c>
      <c r="BV3603" t="s">
        <v>86</v>
      </c>
      <c r="BY3603">
        <v>1200</v>
      </c>
      <c r="BZ3603" t="s">
        <v>3336</v>
      </c>
      <c r="CA3603" t="s">
        <v>3337</v>
      </c>
      <c r="CC3603" t="s">
        <v>144</v>
      </c>
      <c r="CD3603">
        <v>1419</v>
      </c>
      <c r="CE3603" t="s">
        <v>129</v>
      </c>
      <c r="CF3603" s="3">
        <v>45805</v>
      </c>
      <c r="CI3603">
        <v>1</v>
      </c>
      <c r="CJ3603">
        <v>0</v>
      </c>
      <c r="CK3603">
        <v>-1</v>
      </c>
      <c r="CL3603" t="s">
        <v>89</v>
      </c>
    </row>
    <row r="3604" spans="1:90" x14ac:dyDescent="0.3">
      <c r="A3604" t="s">
        <v>72</v>
      </c>
      <c r="B3604" t="s">
        <v>73</v>
      </c>
      <c r="C3604" t="s">
        <v>74</v>
      </c>
      <c r="E3604" t="str">
        <f>"R080065373660"</f>
        <v>R080065373660</v>
      </c>
      <c r="F3604" s="3">
        <v>45805</v>
      </c>
      <c r="G3604">
        <v>202602</v>
      </c>
      <c r="H3604" t="s">
        <v>75</v>
      </c>
      <c r="I3604" t="s">
        <v>76</v>
      </c>
      <c r="J3604" t="s">
        <v>1123</v>
      </c>
      <c r="K3604" t="s">
        <v>78</v>
      </c>
      <c r="L3604" t="s">
        <v>130</v>
      </c>
      <c r="M3604" t="s">
        <v>131</v>
      </c>
      <c r="N3604" t="s">
        <v>2616</v>
      </c>
      <c r="O3604" t="s">
        <v>82</v>
      </c>
      <c r="P3604" t="str">
        <f>"4170038561                    "</f>
        <v xml:space="preserve">4170038561                    </v>
      </c>
      <c r="Q3604">
        <v>0</v>
      </c>
      <c r="R3604">
        <v>0</v>
      </c>
      <c r="S3604">
        <v>0</v>
      </c>
      <c r="T3604">
        <v>0</v>
      </c>
      <c r="U3604">
        <v>0</v>
      </c>
      <c r="V3604">
        <v>0</v>
      </c>
      <c r="W3604">
        <v>0</v>
      </c>
      <c r="X3604">
        <v>0</v>
      </c>
      <c r="Y3604">
        <v>0</v>
      </c>
      <c r="Z3604">
        <v>0</v>
      </c>
      <c r="AA3604">
        <v>0</v>
      </c>
      <c r="AB3604">
        <v>0</v>
      </c>
      <c r="AC3604">
        <v>0</v>
      </c>
      <c r="AD3604">
        <v>0</v>
      </c>
      <c r="AE3604">
        <v>0</v>
      </c>
      <c r="AF3604">
        <v>0</v>
      </c>
      <c r="AG3604">
        <v>0</v>
      </c>
      <c r="AH3604">
        <v>0</v>
      </c>
      <c r="AI3604">
        <v>0</v>
      </c>
      <c r="AJ3604">
        <v>0</v>
      </c>
      <c r="AK3604">
        <v>0</v>
      </c>
      <c r="AL3604">
        <v>0</v>
      </c>
      <c r="AM3604">
        <v>0</v>
      </c>
      <c r="AN3604">
        <v>0</v>
      </c>
      <c r="AO3604">
        <v>0</v>
      </c>
      <c r="AP3604">
        <v>0</v>
      </c>
      <c r="AQ3604">
        <v>21.38</v>
      </c>
      <c r="AR3604">
        <v>0</v>
      </c>
      <c r="AS3604">
        <v>0</v>
      </c>
      <c r="AT3604">
        <v>0</v>
      </c>
      <c r="AU3604">
        <v>0</v>
      </c>
      <c r="AV3604">
        <v>0</v>
      </c>
      <c r="AW3604">
        <v>0</v>
      </c>
      <c r="AX3604">
        <v>0</v>
      </c>
      <c r="AY3604">
        <v>0</v>
      </c>
      <c r="AZ3604">
        <v>0</v>
      </c>
      <c r="BA3604">
        <v>0</v>
      </c>
      <c r="BB3604">
        <v>0</v>
      </c>
      <c r="BC3604">
        <v>0</v>
      </c>
      <c r="BD3604">
        <v>0</v>
      </c>
      <c r="BE3604">
        <v>0</v>
      </c>
      <c r="BF3604">
        <v>0</v>
      </c>
      <c r="BG3604">
        <v>0</v>
      </c>
      <c r="BH3604">
        <v>1</v>
      </c>
      <c r="BI3604">
        <v>1</v>
      </c>
      <c r="BJ3604">
        <v>0.2</v>
      </c>
      <c r="BK3604">
        <v>1</v>
      </c>
      <c r="BL3604">
        <v>69.98</v>
      </c>
      <c r="BM3604">
        <v>10.5</v>
      </c>
      <c r="BN3604">
        <v>80.48</v>
      </c>
      <c r="BO3604">
        <v>80.48</v>
      </c>
      <c r="BQ3604" t="s">
        <v>3338</v>
      </c>
      <c r="BR3604" t="s">
        <v>84</v>
      </c>
      <c r="BS3604" s="3">
        <v>45806</v>
      </c>
      <c r="BT3604" s="4">
        <v>0.37430555555555556</v>
      </c>
      <c r="BU3604" t="s">
        <v>3339</v>
      </c>
      <c r="BV3604" t="s">
        <v>86</v>
      </c>
      <c r="BY3604">
        <v>1200</v>
      </c>
      <c r="BZ3604" t="s">
        <v>127</v>
      </c>
      <c r="CA3604" t="s">
        <v>488</v>
      </c>
      <c r="CC3604" t="s">
        <v>131</v>
      </c>
      <c r="CD3604">
        <v>7500</v>
      </c>
      <c r="CE3604" t="s">
        <v>176</v>
      </c>
      <c r="CI3604">
        <v>1</v>
      </c>
      <c r="CJ3604">
        <v>1</v>
      </c>
      <c r="CK3604">
        <v>21</v>
      </c>
      <c r="CL3604" t="s">
        <v>89</v>
      </c>
    </row>
    <row r="3605" spans="1:90" x14ac:dyDescent="0.3">
      <c r="A3605" t="s">
        <v>72</v>
      </c>
      <c r="B3605" t="s">
        <v>73</v>
      </c>
      <c r="C3605" t="s">
        <v>74</v>
      </c>
      <c r="E3605" t="str">
        <f>"080065612547"</f>
        <v>080065612547</v>
      </c>
      <c r="F3605" s="3">
        <v>45805</v>
      </c>
      <c r="G3605">
        <v>202602</v>
      </c>
      <c r="H3605" t="s">
        <v>75</v>
      </c>
      <c r="I3605" t="s">
        <v>76</v>
      </c>
      <c r="J3605" t="s">
        <v>77</v>
      </c>
      <c r="K3605" t="s">
        <v>78</v>
      </c>
      <c r="L3605" t="s">
        <v>117</v>
      </c>
      <c r="M3605" t="s">
        <v>118</v>
      </c>
      <c r="N3605" t="s">
        <v>1019</v>
      </c>
      <c r="O3605" t="s">
        <v>602</v>
      </c>
      <c r="P3605" t="str">
        <f>"4170040979                    "</f>
        <v xml:space="preserve">4170040979                    </v>
      </c>
      <c r="Q3605">
        <v>0</v>
      </c>
      <c r="R3605">
        <v>0</v>
      </c>
      <c r="S3605">
        <v>0</v>
      </c>
      <c r="T3605">
        <v>0</v>
      </c>
      <c r="U3605">
        <v>0</v>
      </c>
      <c r="V3605">
        <v>0</v>
      </c>
      <c r="W3605">
        <v>0</v>
      </c>
      <c r="X3605">
        <v>0</v>
      </c>
      <c r="Y3605">
        <v>0</v>
      </c>
      <c r="Z3605">
        <v>0</v>
      </c>
      <c r="AA3605">
        <v>0</v>
      </c>
      <c r="AB3605">
        <v>0</v>
      </c>
      <c r="AC3605">
        <v>0</v>
      </c>
      <c r="AD3605">
        <v>0</v>
      </c>
      <c r="AE3605">
        <v>0</v>
      </c>
      <c r="AF3605">
        <v>0</v>
      </c>
      <c r="AG3605">
        <v>0</v>
      </c>
      <c r="AH3605">
        <v>0</v>
      </c>
      <c r="AI3605">
        <v>0</v>
      </c>
      <c r="AJ3605">
        <v>0</v>
      </c>
      <c r="AK3605">
        <v>0</v>
      </c>
      <c r="AL3605">
        <v>0</v>
      </c>
      <c r="AM3605">
        <v>0</v>
      </c>
      <c r="AN3605">
        <v>0</v>
      </c>
      <c r="AO3605">
        <v>0</v>
      </c>
      <c r="AP3605">
        <v>0</v>
      </c>
      <c r="AQ3605">
        <v>16.71</v>
      </c>
      <c r="AR3605">
        <v>0</v>
      </c>
      <c r="AS3605">
        <v>0</v>
      </c>
      <c r="AT3605">
        <v>0</v>
      </c>
      <c r="AU3605">
        <v>0</v>
      </c>
      <c r="AV3605">
        <v>0</v>
      </c>
      <c r="AW3605">
        <v>0</v>
      </c>
      <c r="AX3605">
        <v>0</v>
      </c>
      <c r="AY3605">
        <v>0</v>
      </c>
      <c r="AZ3605">
        <v>0</v>
      </c>
      <c r="BA3605">
        <v>0</v>
      </c>
      <c r="BB3605">
        <v>0</v>
      </c>
      <c r="BC3605">
        <v>0</v>
      </c>
      <c r="BD3605">
        <v>0</v>
      </c>
      <c r="BE3605">
        <v>0</v>
      </c>
      <c r="BF3605">
        <v>0</v>
      </c>
      <c r="BG3605">
        <v>0</v>
      </c>
      <c r="BH3605">
        <v>1</v>
      </c>
      <c r="BI3605">
        <v>5</v>
      </c>
      <c r="BJ3605">
        <v>6.8</v>
      </c>
      <c r="BK3605">
        <v>7</v>
      </c>
      <c r="BL3605">
        <v>54.68</v>
      </c>
      <c r="BM3605">
        <v>8.1999999999999993</v>
      </c>
      <c r="BN3605">
        <v>62.88</v>
      </c>
      <c r="BO3605">
        <v>62.88</v>
      </c>
      <c r="BQ3605" t="s">
        <v>1020</v>
      </c>
      <c r="BR3605" t="s">
        <v>84</v>
      </c>
      <c r="BS3605" s="3">
        <v>45806</v>
      </c>
      <c r="BT3605" s="4">
        <v>0.39583333333333331</v>
      </c>
      <c r="BU3605" t="s">
        <v>1021</v>
      </c>
      <c r="BV3605" t="s">
        <v>86</v>
      </c>
      <c r="BY3605">
        <v>34200</v>
      </c>
      <c r="CA3605" t="s">
        <v>275</v>
      </c>
      <c r="CC3605" t="s">
        <v>118</v>
      </c>
      <c r="CD3605">
        <v>2013</v>
      </c>
      <c r="CE3605" t="s">
        <v>221</v>
      </c>
      <c r="CF3605" s="3">
        <v>45807</v>
      </c>
      <c r="CI3605">
        <v>1</v>
      </c>
      <c r="CJ3605">
        <v>1</v>
      </c>
      <c r="CK3605">
        <v>32</v>
      </c>
      <c r="CL3605" t="s">
        <v>89</v>
      </c>
    </row>
    <row r="3606" spans="1:90" x14ac:dyDescent="0.3">
      <c r="A3606" t="s">
        <v>72</v>
      </c>
      <c r="B3606" t="s">
        <v>73</v>
      </c>
      <c r="C3606" t="s">
        <v>74</v>
      </c>
      <c r="E3606" t="str">
        <f>"080065612711"</f>
        <v>080065612711</v>
      </c>
      <c r="F3606" s="3">
        <v>45805</v>
      </c>
      <c r="G3606">
        <v>202602</v>
      </c>
      <c r="H3606" t="s">
        <v>75</v>
      </c>
      <c r="I3606" t="s">
        <v>76</v>
      </c>
      <c r="J3606" t="s">
        <v>77</v>
      </c>
      <c r="K3606" t="s">
        <v>78</v>
      </c>
      <c r="L3606" t="s">
        <v>117</v>
      </c>
      <c r="M3606" t="s">
        <v>118</v>
      </c>
      <c r="N3606" t="s">
        <v>1256</v>
      </c>
      <c r="O3606" t="s">
        <v>82</v>
      </c>
      <c r="P3606" t="str">
        <f>"4170041021                    "</f>
        <v xml:space="preserve">4170041021                    </v>
      </c>
      <c r="Q3606">
        <v>0</v>
      </c>
      <c r="R3606">
        <v>0</v>
      </c>
      <c r="S3606">
        <v>0</v>
      </c>
      <c r="T3606">
        <v>0</v>
      </c>
      <c r="U3606">
        <v>0</v>
      </c>
      <c r="V3606">
        <v>0</v>
      </c>
      <c r="W3606">
        <v>0</v>
      </c>
      <c r="X3606">
        <v>0</v>
      </c>
      <c r="Y3606">
        <v>0</v>
      </c>
      <c r="Z3606">
        <v>0</v>
      </c>
      <c r="AA3606">
        <v>0</v>
      </c>
      <c r="AB3606">
        <v>0</v>
      </c>
      <c r="AC3606">
        <v>0</v>
      </c>
      <c r="AD3606">
        <v>0</v>
      </c>
      <c r="AE3606">
        <v>0</v>
      </c>
      <c r="AF3606">
        <v>0</v>
      </c>
      <c r="AG3606">
        <v>0</v>
      </c>
      <c r="AH3606">
        <v>0</v>
      </c>
      <c r="AI3606">
        <v>0</v>
      </c>
      <c r="AJ3606">
        <v>0</v>
      </c>
      <c r="AK3606">
        <v>0</v>
      </c>
      <c r="AL3606">
        <v>0</v>
      </c>
      <c r="AM3606">
        <v>0</v>
      </c>
      <c r="AN3606">
        <v>0</v>
      </c>
      <c r="AO3606">
        <v>0</v>
      </c>
      <c r="AP3606">
        <v>0</v>
      </c>
      <c r="AQ3606">
        <v>16.7</v>
      </c>
      <c r="AR3606">
        <v>0</v>
      </c>
      <c r="AS3606">
        <v>0</v>
      </c>
      <c r="AT3606">
        <v>0</v>
      </c>
      <c r="AU3606">
        <v>0</v>
      </c>
      <c r="AV3606">
        <v>0</v>
      </c>
      <c r="AW3606">
        <v>0</v>
      </c>
      <c r="AX3606">
        <v>0</v>
      </c>
      <c r="AY3606">
        <v>0</v>
      </c>
      <c r="AZ3606">
        <v>0</v>
      </c>
      <c r="BA3606">
        <v>0</v>
      </c>
      <c r="BB3606">
        <v>0</v>
      </c>
      <c r="BC3606">
        <v>0</v>
      </c>
      <c r="BD3606">
        <v>0</v>
      </c>
      <c r="BE3606">
        <v>0</v>
      </c>
      <c r="BF3606">
        <v>0</v>
      </c>
      <c r="BG3606">
        <v>0</v>
      </c>
      <c r="BH3606">
        <v>1</v>
      </c>
      <c r="BI3606">
        <v>1</v>
      </c>
      <c r="BJ3606">
        <v>0.2</v>
      </c>
      <c r="BK3606">
        <v>1</v>
      </c>
      <c r="BL3606">
        <v>54.66</v>
      </c>
      <c r="BM3606">
        <v>8.1999999999999993</v>
      </c>
      <c r="BN3606">
        <v>62.86</v>
      </c>
      <c r="BO3606">
        <v>62.86</v>
      </c>
      <c r="BQ3606" t="s">
        <v>1257</v>
      </c>
      <c r="BR3606" t="s">
        <v>84</v>
      </c>
      <c r="BS3606" s="3">
        <v>45806</v>
      </c>
      <c r="BT3606" s="4">
        <v>0.38611111111111113</v>
      </c>
      <c r="BU3606" t="s">
        <v>3340</v>
      </c>
      <c r="BV3606" t="s">
        <v>86</v>
      </c>
      <c r="BY3606">
        <v>1200</v>
      </c>
      <c r="CA3606" t="s">
        <v>1259</v>
      </c>
      <c r="CC3606" t="s">
        <v>118</v>
      </c>
      <c r="CD3606">
        <v>2192</v>
      </c>
      <c r="CE3606" t="s">
        <v>88</v>
      </c>
      <c r="CF3606" s="3">
        <v>45806</v>
      </c>
      <c r="CI3606">
        <v>1</v>
      </c>
      <c r="CJ3606">
        <v>1</v>
      </c>
      <c r="CK3606">
        <v>22</v>
      </c>
      <c r="CL3606" t="s">
        <v>89</v>
      </c>
    </row>
    <row r="3607" spans="1:90" x14ac:dyDescent="0.3">
      <c r="A3607" t="s">
        <v>72</v>
      </c>
      <c r="B3607" t="s">
        <v>73</v>
      </c>
      <c r="C3607" t="s">
        <v>74</v>
      </c>
      <c r="E3607" t="str">
        <f>"080065612960"</f>
        <v>080065612960</v>
      </c>
      <c r="F3607" s="3">
        <v>45805</v>
      </c>
      <c r="G3607">
        <v>202602</v>
      </c>
      <c r="H3607" t="s">
        <v>75</v>
      </c>
      <c r="I3607" t="s">
        <v>76</v>
      </c>
      <c r="J3607" t="s">
        <v>77</v>
      </c>
      <c r="K3607" t="s">
        <v>78</v>
      </c>
      <c r="L3607" t="s">
        <v>130</v>
      </c>
      <c r="M3607" t="s">
        <v>131</v>
      </c>
      <c r="N3607" t="s">
        <v>455</v>
      </c>
      <c r="O3607" t="s">
        <v>82</v>
      </c>
      <c r="P3607" t="str">
        <f>"4170041212                    "</f>
        <v xml:space="preserve">4170041212                    </v>
      </c>
      <c r="Q3607">
        <v>0</v>
      </c>
      <c r="R3607">
        <v>0</v>
      </c>
      <c r="S3607">
        <v>0</v>
      </c>
      <c r="T3607">
        <v>0</v>
      </c>
      <c r="U3607">
        <v>0</v>
      </c>
      <c r="V3607">
        <v>0</v>
      </c>
      <c r="W3607">
        <v>0</v>
      </c>
      <c r="X3607">
        <v>0</v>
      </c>
      <c r="Y3607">
        <v>0</v>
      </c>
      <c r="Z3607">
        <v>0</v>
      </c>
      <c r="AA3607">
        <v>0</v>
      </c>
      <c r="AB3607">
        <v>0</v>
      </c>
      <c r="AC3607">
        <v>0</v>
      </c>
      <c r="AD3607">
        <v>0</v>
      </c>
      <c r="AE3607">
        <v>0</v>
      </c>
      <c r="AF3607">
        <v>0</v>
      </c>
      <c r="AG3607">
        <v>0</v>
      </c>
      <c r="AH3607">
        <v>0</v>
      </c>
      <c r="AI3607">
        <v>0</v>
      </c>
      <c r="AJ3607">
        <v>0</v>
      </c>
      <c r="AK3607">
        <v>0</v>
      </c>
      <c r="AL3607">
        <v>0</v>
      </c>
      <c r="AM3607">
        <v>0</v>
      </c>
      <c r="AN3607">
        <v>0</v>
      </c>
      <c r="AO3607">
        <v>0</v>
      </c>
      <c r="AP3607">
        <v>0</v>
      </c>
      <c r="AQ3607">
        <v>21.38</v>
      </c>
      <c r="AR3607">
        <v>0</v>
      </c>
      <c r="AS3607">
        <v>0</v>
      </c>
      <c r="AT3607">
        <v>0</v>
      </c>
      <c r="AU3607">
        <v>0</v>
      </c>
      <c r="AV3607">
        <v>0</v>
      </c>
      <c r="AW3607">
        <v>16.739999999999998</v>
      </c>
      <c r="AX3607">
        <v>0</v>
      </c>
      <c r="AY3607">
        <v>0</v>
      </c>
      <c r="AZ3607">
        <v>0</v>
      </c>
      <c r="BA3607">
        <v>0</v>
      </c>
      <c r="BB3607">
        <v>0</v>
      </c>
      <c r="BC3607">
        <v>0</v>
      </c>
      <c r="BD3607">
        <v>0</v>
      </c>
      <c r="BE3607">
        <v>0</v>
      </c>
      <c r="BF3607">
        <v>0</v>
      </c>
      <c r="BG3607">
        <v>0</v>
      </c>
      <c r="BH3607">
        <v>1</v>
      </c>
      <c r="BI3607">
        <v>1</v>
      </c>
      <c r="BJ3607">
        <v>0.2</v>
      </c>
      <c r="BK3607">
        <v>1</v>
      </c>
      <c r="BL3607">
        <v>86.72</v>
      </c>
      <c r="BM3607">
        <v>13.01</v>
      </c>
      <c r="BN3607">
        <v>99.73</v>
      </c>
      <c r="BO3607">
        <v>99.73</v>
      </c>
      <c r="BQ3607" t="s">
        <v>456</v>
      </c>
      <c r="BR3607" t="s">
        <v>84</v>
      </c>
      <c r="BS3607" s="3">
        <v>45806</v>
      </c>
      <c r="BT3607" s="4">
        <v>0.44097222222222221</v>
      </c>
      <c r="BU3607" t="s">
        <v>3341</v>
      </c>
      <c r="BV3607" t="s">
        <v>86</v>
      </c>
      <c r="BY3607">
        <v>1200</v>
      </c>
      <c r="BZ3607" t="s">
        <v>30</v>
      </c>
      <c r="CA3607" t="s">
        <v>3291</v>
      </c>
      <c r="CC3607" t="s">
        <v>131</v>
      </c>
      <c r="CD3607">
        <v>7781</v>
      </c>
      <c r="CE3607" t="s">
        <v>88</v>
      </c>
      <c r="CI3607">
        <v>1</v>
      </c>
      <c r="CJ3607">
        <v>1</v>
      </c>
      <c r="CK3607">
        <v>21</v>
      </c>
      <c r="CL3607" t="s">
        <v>89</v>
      </c>
    </row>
    <row r="3608" spans="1:90" x14ac:dyDescent="0.3">
      <c r="A3608" t="s">
        <v>72</v>
      </c>
      <c r="B3608" t="s">
        <v>73</v>
      </c>
      <c r="C3608" t="s">
        <v>74</v>
      </c>
      <c r="E3608" t="str">
        <f>"080065613016"</f>
        <v>080065613016</v>
      </c>
      <c r="F3608" s="3">
        <v>45805</v>
      </c>
      <c r="G3608">
        <v>202602</v>
      </c>
      <c r="H3608" t="s">
        <v>75</v>
      </c>
      <c r="I3608" t="s">
        <v>76</v>
      </c>
      <c r="J3608" t="s">
        <v>77</v>
      </c>
      <c r="K3608" t="s">
        <v>78</v>
      </c>
      <c r="L3608" t="s">
        <v>123</v>
      </c>
      <c r="M3608" t="s">
        <v>123</v>
      </c>
      <c r="N3608" t="s">
        <v>766</v>
      </c>
      <c r="O3608" t="s">
        <v>82</v>
      </c>
      <c r="P3608" t="str">
        <f>"4170041089                    "</f>
        <v xml:space="preserve">4170041089                    </v>
      </c>
      <c r="Q3608">
        <v>0</v>
      </c>
      <c r="R3608">
        <v>0</v>
      </c>
      <c r="S3608">
        <v>0</v>
      </c>
      <c r="T3608">
        <v>0</v>
      </c>
      <c r="U3608">
        <v>0</v>
      </c>
      <c r="V3608">
        <v>0</v>
      </c>
      <c r="W3608">
        <v>0</v>
      </c>
      <c r="X3608">
        <v>0</v>
      </c>
      <c r="Y3608">
        <v>0</v>
      </c>
      <c r="Z3608">
        <v>0</v>
      </c>
      <c r="AA3608">
        <v>0</v>
      </c>
      <c r="AB3608">
        <v>0</v>
      </c>
      <c r="AC3608">
        <v>0</v>
      </c>
      <c r="AD3608">
        <v>0</v>
      </c>
      <c r="AE3608">
        <v>0</v>
      </c>
      <c r="AF3608">
        <v>0</v>
      </c>
      <c r="AG3608">
        <v>0</v>
      </c>
      <c r="AH3608">
        <v>0</v>
      </c>
      <c r="AI3608">
        <v>0</v>
      </c>
      <c r="AJ3608">
        <v>0</v>
      </c>
      <c r="AK3608">
        <v>0</v>
      </c>
      <c r="AL3608">
        <v>0</v>
      </c>
      <c r="AM3608">
        <v>0</v>
      </c>
      <c r="AN3608">
        <v>0</v>
      </c>
      <c r="AO3608">
        <v>0</v>
      </c>
      <c r="AP3608">
        <v>0</v>
      </c>
      <c r="AQ3608">
        <v>153.68</v>
      </c>
      <c r="AR3608">
        <v>0</v>
      </c>
      <c r="AS3608">
        <v>0</v>
      </c>
      <c r="AT3608">
        <v>0</v>
      </c>
      <c r="AU3608">
        <v>0</v>
      </c>
      <c r="AV3608">
        <v>0</v>
      </c>
      <c r="AW3608">
        <v>0</v>
      </c>
      <c r="AX3608">
        <v>0</v>
      </c>
      <c r="AY3608">
        <v>0</v>
      </c>
      <c r="AZ3608">
        <v>0</v>
      </c>
      <c r="BA3608">
        <v>0</v>
      </c>
      <c r="BB3608">
        <v>0</v>
      </c>
      <c r="BC3608">
        <v>0</v>
      </c>
      <c r="BD3608">
        <v>0</v>
      </c>
      <c r="BE3608">
        <v>0</v>
      </c>
      <c r="BF3608">
        <v>0</v>
      </c>
      <c r="BG3608">
        <v>0</v>
      </c>
      <c r="BH3608">
        <v>2</v>
      </c>
      <c r="BI3608">
        <v>5</v>
      </c>
      <c r="BJ3608">
        <v>8</v>
      </c>
      <c r="BK3608">
        <v>8</v>
      </c>
      <c r="BL3608">
        <v>502.96</v>
      </c>
      <c r="BM3608">
        <v>75.44</v>
      </c>
      <c r="BN3608">
        <v>578.4</v>
      </c>
      <c r="BO3608">
        <v>578.4</v>
      </c>
      <c r="BQ3608" t="s">
        <v>767</v>
      </c>
      <c r="BR3608" t="s">
        <v>84</v>
      </c>
      <c r="BS3608" s="3">
        <v>45806</v>
      </c>
      <c r="BT3608" s="4">
        <v>0.4861111111111111</v>
      </c>
      <c r="BU3608" t="s">
        <v>768</v>
      </c>
      <c r="BV3608" t="s">
        <v>86</v>
      </c>
      <c r="BY3608">
        <v>40065</v>
      </c>
      <c r="CA3608" t="s">
        <v>128</v>
      </c>
      <c r="CC3608" t="s">
        <v>123</v>
      </c>
      <c r="CD3608">
        <v>7646</v>
      </c>
      <c r="CE3608" t="s">
        <v>221</v>
      </c>
      <c r="CI3608">
        <v>1</v>
      </c>
      <c r="CJ3608">
        <v>1</v>
      </c>
      <c r="CK3608">
        <v>23</v>
      </c>
      <c r="CL3608" t="s">
        <v>89</v>
      </c>
    </row>
    <row r="3609" spans="1:90" x14ac:dyDescent="0.3">
      <c r="A3609" t="s">
        <v>72</v>
      </c>
      <c r="B3609" t="s">
        <v>73</v>
      </c>
      <c r="C3609" t="s">
        <v>74</v>
      </c>
      <c r="E3609" t="str">
        <f>"080065613127"</f>
        <v>080065613127</v>
      </c>
      <c r="F3609" s="3">
        <v>45805</v>
      </c>
      <c r="G3609">
        <v>202602</v>
      </c>
      <c r="H3609" t="s">
        <v>75</v>
      </c>
      <c r="I3609" t="s">
        <v>76</v>
      </c>
      <c r="J3609" t="s">
        <v>77</v>
      </c>
      <c r="K3609" t="s">
        <v>78</v>
      </c>
      <c r="L3609" t="s">
        <v>151</v>
      </c>
      <c r="M3609" t="s">
        <v>152</v>
      </c>
      <c r="N3609" t="s">
        <v>2482</v>
      </c>
      <c r="O3609" t="s">
        <v>82</v>
      </c>
      <c r="P3609" t="str">
        <f>"4170041069                    "</f>
        <v xml:space="preserve">4170041069                    </v>
      </c>
      <c r="Q3609">
        <v>0</v>
      </c>
      <c r="R3609">
        <v>0</v>
      </c>
      <c r="S3609">
        <v>0</v>
      </c>
      <c r="T3609">
        <v>0</v>
      </c>
      <c r="U3609">
        <v>0</v>
      </c>
      <c r="V3609">
        <v>0</v>
      </c>
      <c r="W3609">
        <v>0</v>
      </c>
      <c r="X3609">
        <v>0</v>
      </c>
      <c r="Y3609">
        <v>0</v>
      </c>
      <c r="Z3609">
        <v>0</v>
      </c>
      <c r="AA3609">
        <v>0</v>
      </c>
      <c r="AB3609">
        <v>0</v>
      </c>
      <c r="AC3609">
        <v>0</v>
      </c>
      <c r="AD3609">
        <v>0</v>
      </c>
      <c r="AE3609">
        <v>0</v>
      </c>
      <c r="AF3609">
        <v>0</v>
      </c>
      <c r="AG3609">
        <v>0</v>
      </c>
      <c r="AH3609">
        <v>0</v>
      </c>
      <c r="AI3609">
        <v>0</v>
      </c>
      <c r="AJ3609">
        <v>0</v>
      </c>
      <c r="AK3609">
        <v>0</v>
      </c>
      <c r="AL3609">
        <v>0</v>
      </c>
      <c r="AM3609">
        <v>0</v>
      </c>
      <c r="AN3609">
        <v>0</v>
      </c>
      <c r="AO3609">
        <v>0</v>
      </c>
      <c r="AP3609">
        <v>0</v>
      </c>
      <c r="AQ3609">
        <v>41.43</v>
      </c>
      <c r="AR3609">
        <v>0</v>
      </c>
      <c r="AS3609">
        <v>0</v>
      </c>
      <c r="AT3609">
        <v>0</v>
      </c>
      <c r="AU3609">
        <v>0</v>
      </c>
      <c r="AV3609">
        <v>0</v>
      </c>
      <c r="AW3609">
        <v>0</v>
      </c>
      <c r="AX3609">
        <v>0</v>
      </c>
      <c r="AY3609">
        <v>0</v>
      </c>
      <c r="AZ3609">
        <v>0</v>
      </c>
      <c r="BA3609">
        <v>0</v>
      </c>
      <c r="BB3609">
        <v>0</v>
      </c>
      <c r="BC3609">
        <v>0</v>
      </c>
      <c r="BD3609">
        <v>0</v>
      </c>
      <c r="BE3609">
        <v>0</v>
      </c>
      <c r="BF3609">
        <v>0</v>
      </c>
      <c r="BG3609">
        <v>0</v>
      </c>
      <c r="BH3609">
        <v>1</v>
      </c>
      <c r="BI3609">
        <v>1</v>
      </c>
      <c r="BJ3609">
        <v>0.2</v>
      </c>
      <c r="BK3609">
        <v>1</v>
      </c>
      <c r="BL3609">
        <v>135.59</v>
      </c>
      <c r="BM3609">
        <v>20.34</v>
      </c>
      <c r="BN3609">
        <v>155.93</v>
      </c>
      <c r="BO3609">
        <v>155.93</v>
      </c>
      <c r="BQ3609" t="s">
        <v>2483</v>
      </c>
      <c r="BR3609" t="s">
        <v>84</v>
      </c>
      <c r="BS3609" t="s">
        <v>1540</v>
      </c>
      <c r="BY3609">
        <v>1200</v>
      </c>
      <c r="CC3609" t="s">
        <v>152</v>
      </c>
      <c r="CD3609">
        <v>1911</v>
      </c>
      <c r="CE3609" t="s">
        <v>176</v>
      </c>
      <c r="CI3609">
        <v>1</v>
      </c>
      <c r="CJ3609" t="s">
        <v>1540</v>
      </c>
      <c r="CK3609">
        <v>23</v>
      </c>
      <c r="CL3609" t="s">
        <v>89</v>
      </c>
    </row>
    <row r="3610" spans="1:90" x14ac:dyDescent="0.3">
      <c r="A3610" t="s">
        <v>72</v>
      </c>
      <c r="B3610" t="s">
        <v>73</v>
      </c>
      <c r="C3610" t="s">
        <v>74</v>
      </c>
      <c r="E3610" t="str">
        <f>"080065613386"</f>
        <v>080065613386</v>
      </c>
      <c r="F3610" s="3">
        <v>45805</v>
      </c>
      <c r="G3610">
        <v>202602</v>
      </c>
      <c r="H3610" t="s">
        <v>75</v>
      </c>
      <c r="I3610" t="s">
        <v>76</v>
      </c>
      <c r="J3610" t="s">
        <v>77</v>
      </c>
      <c r="K3610" t="s">
        <v>78</v>
      </c>
      <c r="L3610" t="s">
        <v>123</v>
      </c>
      <c r="M3610" t="s">
        <v>123</v>
      </c>
      <c r="N3610" t="s">
        <v>766</v>
      </c>
      <c r="O3610" t="s">
        <v>82</v>
      </c>
      <c r="P3610" t="str">
        <f>"4170041100                    "</f>
        <v xml:space="preserve">4170041100                    </v>
      </c>
      <c r="Q3610">
        <v>0</v>
      </c>
      <c r="R3610">
        <v>0</v>
      </c>
      <c r="S3610">
        <v>0</v>
      </c>
      <c r="T3610">
        <v>0</v>
      </c>
      <c r="U3610">
        <v>0</v>
      </c>
      <c r="V3610">
        <v>0</v>
      </c>
      <c r="W3610">
        <v>0</v>
      </c>
      <c r="X3610">
        <v>0</v>
      </c>
      <c r="Y3610">
        <v>0</v>
      </c>
      <c r="Z3610">
        <v>0</v>
      </c>
      <c r="AA3610">
        <v>0</v>
      </c>
      <c r="AB3610">
        <v>0</v>
      </c>
      <c r="AC3610">
        <v>0</v>
      </c>
      <c r="AD3610">
        <v>0</v>
      </c>
      <c r="AE3610">
        <v>0</v>
      </c>
      <c r="AF3610">
        <v>0</v>
      </c>
      <c r="AG3610">
        <v>0</v>
      </c>
      <c r="AH3610">
        <v>0</v>
      </c>
      <c r="AI3610">
        <v>0</v>
      </c>
      <c r="AJ3610">
        <v>0</v>
      </c>
      <c r="AK3610">
        <v>0</v>
      </c>
      <c r="AL3610">
        <v>0</v>
      </c>
      <c r="AM3610">
        <v>0</v>
      </c>
      <c r="AN3610">
        <v>0</v>
      </c>
      <c r="AO3610">
        <v>0</v>
      </c>
      <c r="AP3610">
        <v>0</v>
      </c>
      <c r="AQ3610">
        <v>153.68</v>
      </c>
      <c r="AR3610">
        <v>0</v>
      </c>
      <c r="AS3610">
        <v>0</v>
      </c>
      <c r="AT3610">
        <v>0</v>
      </c>
      <c r="AU3610">
        <v>0</v>
      </c>
      <c r="AV3610">
        <v>0</v>
      </c>
      <c r="AW3610">
        <v>0</v>
      </c>
      <c r="AX3610">
        <v>0</v>
      </c>
      <c r="AY3610">
        <v>0</v>
      </c>
      <c r="AZ3610">
        <v>0</v>
      </c>
      <c r="BA3610">
        <v>0</v>
      </c>
      <c r="BB3610">
        <v>0</v>
      </c>
      <c r="BC3610">
        <v>0</v>
      </c>
      <c r="BD3610">
        <v>0</v>
      </c>
      <c r="BE3610">
        <v>0</v>
      </c>
      <c r="BF3610">
        <v>0</v>
      </c>
      <c r="BG3610">
        <v>0</v>
      </c>
      <c r="BH3610">
        <v>2</v>
      </c>
      <c r="BI3610">
        <v>5</v>
      </c>
      <c r="BJ3610">
        <v>8</v>
      </c>
      <c r="BK3610">
        <v>8</v>
      </c>
      <c r="BL3610">
        <v>502.96</v>
      </c>
      <c r="BM3610">
        <v>75.44</v>
      </c>
      <c r="BN3610">
        <v>578.4</v>
      </c>
      <c r="BO3610">
        <v>578.4</v>
      </c>
      <c r="BQ3610" t="s">
        <v>767</v>
      </c>
      <c r="BR3610" t="s">
        <v>84</v>
      </c>
      <c r="BS3610" s="3">
        <v>45806</v>
      </c>
      <c r="BT3610" s="4">
        <v>0.4861111111111111</v>
      </c>
      <c r="BU3610" t="s">
        <v>768</v>
      </c>
      <c r="BV3610" t="s">
        <v>86</v>
      </c>
      <c r="BY3610">
        <v>40065</v>
      </c>
      <c r="CA3610" t="s">
        <v>128</v>
      </c>
      <c r="CC3610" t="s">
        <v>123</v>
      </c>
      <c r="CD3610">
        <v>7646</v>
      </c>
      <c r="CE3610" t="s">
        <v>221</v>
      </c>
      <c r="CI3610">
        <v>1</v>
      </c>
      <c r="CJ3610">
        <v>1</v>
      </c>
      <c r="CK3610">
        <v>23</v>
      </c>
      <c r="CL3610" t="s">
        <v>89</v>
      </c>
    </row>
    <row r="3611" spans="1:90" x14ac:dyDescent="0.3">
      <c r="A3611" t="s">
        <v>72</v>
      </c>
      <c r="B3611" t="s">
        <v>73</v>
      </c>
      <c r="C3611" t="s">
        <v>74</v>
      </c>
      <c r="E3611" t="str">
        <f>"080065613511"</f>
        <v>080065613511</v>
      </c>
      <c r="F3611" s="3">
        <v>45805</v>
      </c>
      <c r="G3611">
        <v>202602</v>
      </c>
      <c r="H3611" t="s">
        <v>75</v>
      </c>
      <c r="I3611" t="s">
        <v>76</v>
      </c>
      <c r="J3611" t="s">
        <v>77</v>
      </c>
      <c r="K3611" t="s">
        <v>78</v>
      </c>
      <c r="L3611" t="s">
        <v>232</v>
      </c>
      <c r="M3611" t="s">
        <v>233</v>
      </c>
      <c r="N3611" t="s">
        <v>834</v>
      </c>
      <c r="O3611" t="s">
        <v>82</v>
      </c>
      <c r="P3611" t="str">
        <f>"4170041134                    "</f>
        <v xml:space="preserve">4170041134                    </v>
      </c>
      <c r="Q3611">
        <v>0</v>
      </c>
      <c r="R3611">
        <v>0</v>
      </c>
      <c r="S3611">
        <v>0</v>
      </c>
      <c r="T3611">
        <v>0</v>
      </c>
      <c r="U3611">
        <v>0</v>
      </c>
      <c r="V3611">
        <v>0</v>
      </c>
      <c r="W3611">
        <v>0</v>
      </c>
      <c r="X3611">
        <v>0</v>
      </c>
      <c r="Y3611">
        <v>0</v>
      </c>
      <c r="Z3611">
        <v>0</v>
      </c>
      <c r="AA3611">
        <v>0</v>
      </c>
      <c r="AB3611">
        <v>0</v>
      </c>
      <c r="AC3611">
        <v>0</v>
      </c>
      <c r="AD3611">
        <v>0</v>
      </c>
      <c r="AE3611">
        <v>0</v>
      </c>
      <c r="AF3611">
        <v>0</v>
      </c>
      <c r="AG3611">
        <v>0</v>
      </c>
      <c r="AH3611">
        <v>0</v>
      </c>
      <c r="AI3611">
        <v>0</v>
      </c>
      <c r="AJ3611">
        <v>0</v>
      </c>
      <c r="AK3611">
        <v>0</v>
      </c>
      <c r="AL3611">
        <v>0</v>
      </c>
      <c r="AM3611">
        <v>0</v>
      </c>
      <c r="AN3611">
        <v>0</v>
      </c>
      <c r="AO3611">
        <v>0</v>
      </c>
      <c r="AP3611">
        <v>0</v>
      </c>
      <c r="AQ3611">
        <v>21.38</v>
      </c>
      <c r="AR3611">
        <v>0</v>
      </c>
      <c r="AS3611">
        <v>0</v>
      </c>
      <c r="AT3611">
        <v>0</v>
      </c>
      <c r="AU3611">
        <v>0</v>
      </c>
      <c r="AV3611">
        <v>0</v>
      </c>
      <c r="AW3611">
        <v>0</v>
      </c>
      <c r="AX3611">
        <v>0</v>
      </c>
      <c r="AY3611">
        <v>0</v>
      </c>
      <c r="AZ3611">
        <v>0</v>
      </c>
      <c r="BA3611">
        <v>0</v>
      </c>
      <c r="BB3611">
        <v>0</v>
      </c>
      <c r="BC3611">
        <v>0</v>
      </c>
      <c r="BD3611">
        <v>0</v>
      </c>
      <c r="BE3611">
        <v>0</v>
      </c>
      <c r="BF3611">
        <v>0</v>
      </c>
      <c r="BG3611">
        <v>0</v>
      </c>
      <c r="BH3611">
        <v>1</v>
      </c>
      <c r="BI3611">
        <v>1</v>
      </c>
      <c r="BJ3611">
        <v>1.9</v>
      </c>
      <c r="BK3611">
        <v>2</v>
      </c>
      <c r="BL3611">
        <v>69.98</v>
      </c>
      <c r="BM3611">
        <v>10.5</v>
      </c>
      <c r="BN3611">
        <v>80.48</v>
      </c>
      <c r="BO3611">
        <v>80.48</v>
      </c>
      <c r="BQ3611" t="s">
        <v>835</v>
      </c>
      <c r="BR3611" t="s">
        <v>84</v>
      </c>
      <c r="BS3611" s="3">
        <v>45806</v>
      </c>
      <c r="BT3611" s="4">
        <v>0.29930555555555555</v>
      </c>
      <c r="BU3611" t="s">
        <v>836</v>
      </c>
      <c r="BV3611" t="s">
        <v>86</v>
      </c>
      <c r="BY3611">
        <v>9600</v>
      </c>
      <c r="CA3611" t="s">
        <v>258</v>
      </c>
      <c r="CC3611" t="s">
        <v>233</v>
      </c>
      <c r="CD3611" s="5" t="s">
        <v>238</v>
      </c>
      <c r="CE3611" t="s">
        <v>96</v>
      </c>
      <c r="CF3611" s="3">
        <v>45806</v>
      </c>
      <c r="CI3611">
        <v>1</v>
      </c>
      <c r="CJ3611">
        <v>1</v>
      </c>
      <c r="CK3611">
        <v>21</v>
      </c>
      <c r="CL3611" t="s">
        <v>89</v>
      </c>
    </row>
    <row r="3612" spans="1:90" x14ac:dyDescent="0.3">
      <c r="A3612" t="s">
        <v>72</v>
      </c>
      <c r="B3612" t="s">
        <v>73</v>
      </c>
      <c r="C3612" t="s">
        <v>74</v>
      </c>
      <c r="E3612" t="str">
        <f>"080065613546"</f>
        <v>080065613546</v>
      </c>
      <c r="F3612" s="3">
        <v>45805</v>
      </c>
      <c r="G3612">
        <v>202602</v>
      </c>
      <c r="H3612" t="s">
        <v>75</v>
      </c>
      <c r="I3612" t="s">
        <v>76</v>
      </c>
      <c r="J3612" t="s">
        <v>77</v>
      </c>
      <c r="K3612" t="s">
        <v>78</v>
      </c>
      <c r="L3612" t="s">
        <v>1002</v>
      </c>
      <c r="M3612" t="s">
        <v>1003</v>
      </c>
      <c r="N3612" t="s">
        <v>1004</v>
      </c>
      <c r="O3612" t="s">
        <v>82</v>
      </c>
      <c r="P3612" t="str">
        <f>"4170041091                    "</f>
        <v xml:space="preserve">4170041091                    </v>
      </c>
      <c r="Q3612">
        <v>0</v>
      </c>
      <c r="R3612">
        <v>0</v>
      </c>
      <c r="S3612">
        <v>0</v>
      </c>
      <c r="T3612">
        <v>0</v>
      </c>
      <c r="U3612">
        <v>0</v>
      </c>
      <c r="V3612">
        <v>0</v>
      </c>
      <c r="W3612">
        <v>0</v>
      </c>
      <c r="X3612">
        <v>0</v>
      </c>
      <c r="Y3612">
        <v>0</v>
      </c>
      <c r="Z3612">
        <v>0</v>
      </c>
      <c r="AA3612">
        <v>0</v>
      </c>
      <c r="AB3612">
        <v>0</v>
      </c>
      <c r="AC3612">
        <v>0</v>
      </c>
      <c r="AD3612">
        <v>0</v>
      </c>
      <c r="AE3612">
        <v>0</v>
      </c>
      <c r="AF3612">
        <v>0</v>
      </c>
      <c r="AG3612">
        <v>0</v>
      </c>
      <c r="AH3612">
        <v>0</v>
      </c>
      <c r="AI3612">
        <v>0</v>
      </c>
      <c r="AJ3612">
        <v>0</v>
      </c>
      <c r="AK3612">
        <v>0</v>
      </c>
      <c r="AL3612">
        <v>0</v>
      </c>
      <c r="AM3612">
        <v>0</v>
      </c>
      <c r="AN3612">
        <v>0</v>
      </c>
      <c r="AO3612">
        <v>0</v>
      </c>
      <c r="AP3612">
        <v>0</v>
      </c>
      <c r="AQ3612">
        <v>41.43</v>
      </c>
      <c r="AR3612">
        <v>0</v>
      </c>
      <c r="AS3612">
        <v>0</v>
      </c>
      <c r="AT3612">
        <v>0</v>
      </c>
      <c r="AU3612">
        <v>0</v>
      </c>
      <c r="AV3612">
        <v>0</v>
      </c>
      <c r="AW3612">
        <v>0</v>
      </c>
      <c r="AX3612">
        <v>0</v>
      </c>
      <c r="AY3612">
        <v>0</v>
      </c>
      <c r="AZ3612">
        <v>0</v>
      </c>
      <c r="BA3612">
        <v>0</v>
      </c>
      <c r="BB3612">
        <v>0</v>
      </c>
      <c r="BC3612">
        <v>0</v>
      </c>
      <c r="BD3612">
        <v>0</v>
      </c>
      <c r="BE3612">
        <v>0</v>
      </c>
      <c r="BF3612">
        <v>0</v>
      </c>
      <c r="BG3612">
        <v>0</v>
      </c>
      <c r="BH3612">
        <v>1</v>
      </c>
      <c r="BI3612">
        <v>1</v>
      </c>
      <c r="BJ3612">
        <v>0.2</v>
      </c>
      <c r="BK3612">
        <v>1</v>
      </c>
      <c r="BL3612">
        <v>135.59</v>
      </c>
      <c r="BM3612">
        <v>20.34</v>
      </c>
      <c r="BN3612">
        <v>155.93</v>
      </c>
      <c r="BO3612">
        <v>155.93</v>
      </c>
      <c r="BQ3612" t="s">
        <v>1005</v>
      </c>
      <c r="BR3612" t="s">
        <v>84</v>
      </c>
      <c r="BS3612" s="3">
        <v>45806</v>
      </c>
      <c r="BT3612" s="4">
        <v>0.43541666666666667</v>
      </c>
      <c r="BU3612" t="s">
        <v>3342</v>
      </c>
      <c r="BV3612" t="s">
        <v>86</v>
      </c>
      <c r="BY3612">
        <v>1200</v>
      </c>
      <c r="CA3612" t="s">
        <v>2187</v>
      </c>
      <c r="CC3612" t="s">
        <v>1003</v>
      </c>
      <c r="CD3612">
        <v>5257</v>
      </c>
      <c r="CE3612" t="s">
        <v>88</v>
      </c>
      <c r="CI3612">
        <v>1</v>
      </c>
      <c r="CJ3612">
        <v>1</v>
      </c>
      <c r="CK3612">
        <v>23</v>
      </c>
      <c r="CL3612" t="s">
        <v>89</v>
      </c>
    </row>
    <row r="3613" spans="1:90" x14ac:dyDescent="0.3">
      <c r="A3613" t="s">
        <v>72</v>
      </c>
      <c r="B3613" t="s">
        <v>73</v>
      </c>
      <c r="C3613" t="s">
        <v>74</v>
      </c>
      <c r="E3613" t="str">
        <f>"080065613574"</f>
        <v>080065613574</v>
      </c>
      <c r="F3613" s="3">
        <v>45805</v>
      </c>
      <c r="G3613">
        <v>202602</v>
      </c>
      <c r="H3613" t="s">
        <v>75</v>
      </c>
      <c r="I3613" t="s">
        <v>76</v>
      </c>
      <c r="J3613" t="s">
        <v>77</v>
      </c>
      <c r="K3613" t="s">
        <v>78</v>
      </c>
      <c r="L3613" t="s">
        <v>266</v>
      </c>
      <c r="M3613" t="s">
        <v>267</v>
      </c>
      <c r="N3613" t="s">
        <v>268</v>
      </c>
      <c r="O3613" t="s">
        <v>82</v>
      </c>
      <c r="P3613" t="str">
        <f>"4170041064                    "</f>
        <v xml:space="preserve">4170041064                    </v>
      </c>
      <c r="Q3613">
        <v>0</v>
      </c>
      <c r="R3613">
        <v>0</v>
      </c>
      <c r="S3613">
        <v>0</v>
      </c>
      <c r="T3613">
        <v>0</v>
      </c>
      <c r="U3613">
        <v>0</v>
      </c>
      <c r="V3613">
        <v>0</v>
      </c>
      <c r="W3613">
        <v>0</v>
      </c>
      <c r="X3613">
        <v>0</v>
      </c>
      <c r="Y3613">
        <v>0</v>
      </c>
      <c r="Z3613">
        <v>0</v>
      </c>
      <c r="AA3613">
        <v>0</v>
      </c>
      <c r="AB3613">
        <v>0</v>
      </c>
      <c r="AC3613">
        <v>0</v>
      </c>
      <c r="AD3613">
        <v>0</v>
      </c>
      <c r="AE3613">
        <v>0</v>
      </c>
      <c r="AF3613">
        <v>0</v>
      </c>
      <c r="AG3613">
        <v>0</v>
      </c>
      <c r="AH3613">
        <v>0</v>
      </c>
      <c r="AI3613">
        <v>0</v>
      </c>
      <c r="AJ3613">
        <v>0</v>
      </c>
      <c r="AK3613">
        <v>0</v>
      </c>
      <c r="AL3613">
        <v>0</v>
      </c>
      <c r="AM3613">
        <v>0</v>
      </c>
      <c r="AN3613">
        <v>0</v>
      </c>
      <c r="AO3613">
        <v>0</v>
      </c>
      <c r="AP3613">
        <v>0</v>
      </c>
      <c r="AQ3613">
        <v>21.38</v>
      </c>
      <c r="AR3613">
        <v>0</v>
      </c>
      <c r="AS3613">
        <v>0</v>
      </c>
      <c r="AT3613">
        <v>0</v>
      </c>
      <c r="AU3613">
        <v>0</v>
      </c>
      <c r="AV3613">
        <v>0</v>
      </c>
      <c r="AW3613">
        <v>0</v>
      </c>
      <c r="AX3613">
        <v>0</v>
      </c>
      <c r="AY3613">
        <v>0</v>
      </c>
      <c r="AZ3613">
        <v>0</v>
      </c>
      <c r="BA3613">
        <v>0</v>
      </c>
      <c r="BB3613">
        <v>0</v>
      </c>
      <c r="BC3613">
        <v>0</v>
      </c>
      <c r="BD3613">
        <v>0</v>
      </c>
      <c r="BE3613">
        <v>0</v>
      </c>
      <c r="BF3613">
        <v>0</v>
      </c>
      <c r="BG3613">
        <v>0</v>
      </c>
      <c r="BH3613">
        <v>1</v>
      </c>
      <c r="BI3613">
        <v>1</v>
      </c>
      <c r="BJ3613">
        <v>0.2</v>
      </c>
      <c r="BK3613">
        <v>1</v>
      </c>
      <c r="BL3613">
        <v>69.98</v>
      </c>
      <c r="BM3613">
        <v>10.5</v>
      </c>
      <c r="BN3613">
        <v>80.48</v>
      </c>
      <c r="BO3613">
        <v>80.48</v>
      </c>
      <c r="BQ3613" t="s">
        <v>269</v>
      </c>
      <c r="BR3613" t="s">
        <v>84</v>
      </c>
      <c r="BS3613" s="3">
        <v>45806</v>
      </c>
      <c r="BT3613" s="4">
        <v>0.42222222222222222</v>
      </c>
      <c r="BU3613" t="s">
        <v>3343</v>
      </c>
      <c r="BV3613" t="s">
        <v>86</v>
      </c>
      <c r="BY3613">
        <v>1200</v>
      </c>
      <c r="CA3613" t="s">
        <v>271</v>
      </c>
      <c r="CC3613" t="s">
        <v>267</v>
      </c>
      <c r="CD3613">
        <v>6220</v>
      </c>
      <c r="CE3613" t="s">
        <v>88</v>
      </c>
      <c r="CF3613" s="3">
        <v>45806</v>
      </c>
      <c r="CI3613">
        <v>1</v>
      </c>
      <c r="CJ3613">
        <v>1</v>
      </c>
      <c r="CK3613">
        <v>21</v>
      </c>
      <c r="CL3613" t="s">
        <v>89</v>
      </c>
    </row>
    <row r="3614" spans="1:90" x14ac:dyDescent="0.3">
      <c r="A3614" t="s">
        <v>72</v>
      </c>
      <c r="B3614" t="s">
        <v>73</v>
      </c>
      <c r="C3614" t="s">
        <v>74</v>
      </c>
      <c r="E3614" t="str">
        <f>"080065613701"</f>
        <v>080065613701</v>
      </c>
      <c r="F3614" s="3">
        <v>45805</v>
      </c>
      <c r="G3614">
        <v>202602</v>
      </c>
      <c r="H3614" t="s">
        <v>75</v>
      </c>
      <c r="I3614" t="s">
        <v>76</v>
      </c>
      <c r="J3614" t="s">
        <v>77</v>
      </c>
      <c r="K3614" t="s">
        <v>78</v>
      </c>
      <c r="L3614" t="s">
        <v>90</v>
      </c>
      <c r="M3614" t="s">
        <v>91</v>
      </c>
      <c r="N3614" t="s">
        <v>371</v>
      </c>
      <c r="O3614" t="s">
        <v>82</v>
      </c>
      <c r="P3614" t="str">
        <f>"4170040928                    "</f>
        <v xml:space="preserve">4170040928                    </v>
      </c>
      <c r="Q3614">
        <v>0</v>
      </c>
      <c r="R3614">
        <v>0</v>
      </c>
      <c r="S3614">
        <v>0</v>
      </c>
      <c r="T3614">
        <v>0</v>
      </c>
      <c r="U3614">
        <v>0</v>
      </c>
      <c r="V3614">
        <v>0</v>
      </c>
      <c r="W3614">
        <v>0</v>
      </c>
      <c r="X3614">
        <v>0</v>
      </c>
      <c r="Y3614">
        <v>0</v>
      </c>
      <c r="Z3614">
        <v>0</v>
      </c>
      <c r="AA3614">
        <v>0</v>
      </c>
      <c r="AB3614">
        <v>0</v>
      </c>
      <c r="AC3614">
        <v>0</v>
      </c>
      <c r="AD3614">
        <v>0</v>
      </c>
      <c r="AE3614">
        <v>0</v>
      </c>
      <c r="AF3614">
        <v>0</v>
      </c>
      <c r="AG3614">
        <v>0</v>
      </c>
      <c r="AH3614">
        <v>0</v>
      </c>
      <c r="AI3614">
        <v>0</v>
      </c>
      <c r="AJ3614">
        <v>0</v>
      </c>
      <c r="AK3614">
        <v>0</v>
      </c>
      <c r="AL3614">
        <v>0</v>
      </c>
      <c r="AM3614">
        <v>0</v>
      </c>
      <c r="AN3614">
        <v>0</v>
      </c>
      <c r="AO3614">
        <v>0</v>
      </c>
      <c r="AP3614">
        <v>0</v>
      </c>
      <c r="AQ3614">
        <v>117.53</v>
      </c>
      <c r="AR3614">
        <v>0</v>
      </c>
      <c r="AS3614">
        <v>0</v>
      </c>
      <c r="AT3614">
        <v>0</v>
      </c>
      <c r="AU3614">
        <v>0</v>
      </c>
      <c r="AV3614">
        <v>0</v>
      </c>
      <c r="AW3614">
        <v>0</v>
      </c>
      <c r="AX3614">
        <v>0</v>
      </c>
      <c r="AY3614">
        <v>0</v>
      </c>
      <c r="AZ3614">
        <v>0</v>
      </c>
      <c r="BA3614">
        <v>0</v>
      </c>
      <c r="BB3614">
        <v>0</v>
      </c>
      <c r="BC3614">
        <v>0</v>
      </c>
      <c r="BD3614">
        <v>0</v>
      </c>
      <c r="BE3614">
        <v>0</v>
      </c>
      <c r="BF3614">
        <v>0</v>
      </c>
      <c r="BG3614">
        <v>0</v>
      </c>
      <c r="BH3614">
        <v>1</v>
      </c>
      <c r="BI3614">
        <v>11</v>
      </c>
      <c r="BJ3614">
        <v>3.4</v>
      </c>
      <c r="BK3614">
        <v>11</v>
      </c>
      <c r="BL3614">
        <v>384.65</v>
      </c>
      <c r="BM3614">
        <v>57.7</v>
      </c>
      <c r="BN3614">
        <v>442.35</v>
      </c>
      <c r="BO3614">
        <v>442.35</v>
      </c>
      <c r="BQ3614" t="s">
        <v>372</v>
      </c>
      <c r="BR3614" t="s">
        <v>84</v>
      </c>
      <c r="BS3614" s="3">
        <v>45806</v>
      </c>
      <c r="BT3614" s="4">
        <v>0.42569444444444443</v>
      </c>
      <c r="BU3614" t="s">
        <v>373</v>
      </c>
      <c r="BV3614" t="s">
        <v>86</v>
      </c>
      <c r="BY3614">
        <v>16965</v>
      </c>
      <c r="CA3614" t="s">
        <v>298</v>
      </c>
      <c r="CC3614" t="s">
        <v>91</v>
      </c>
      <c r="CD3614">
        <v>6001</v>
      </c>
      <c r="CE3614" t="s">
        <v>96</v>
      </c>
      <c r="CF3614" s="3">
        <v>45806</v>
      </c>
      <c r="CI3614">
        <v>1</v>
      </c>
      <c r="CJ3614">
        <v>1</v>
      </c>
      <c r="CK3614">
        <v>21</v>
      </c>
      <c r="CL3614" t="s">
        <v>89</v>
      </c>
    </row>
    <row r="3615" spans="1:90" x14ac:dyDescent="0.3">
      <c r="A3615" t="s">
        <v>72</v>
      </c>
      <c r="B3615" t="s">
        <v>73</v>
      </c>
      <c r="C3615" t="s">
        <v>74</v>
      </c>
      <c r="E3615" t="str">
        <f>"080065613767"</f>
        <v>080065613767</v>
      </c>
      <c r="F3615" s="3">
        <v>45805</v>
      </c>
      <c r="G3615">
        <v>202602</v>
      </c>
      <c r="H3615" t="s">
        <v>75</v>
      </c>
      <c r="I3615" t="s">
        <v>76</v>
      </c>
      <c r="J3615" t="s">
        <v>77</v>
      </c>
      <c r="K3615" t="s">
        <v>78</v>
      </c>
      <c r="L3615" t="s">
        <v>222</v>
      </c>
      <c r="M3615" t="s">
        <v>223</v>
      </c>
      <c r="N3615" t="s">
        <v>589</v>
      </c>
      <c r="O3615" t="s">
        <v>82</v>
      </c>
      <c r="P3615" t="str">
        <f>"4170041084                    "</f>
        <v xml:space="preserve">4170041084                    </v>
      </c>
      <c r="Q3615">
        <v>0</v>
      </c>
      <c r="R3615">
        <v>0</v>
      </c>
      <c r="S3615">
        <v>0</v>
      </c>
      <c r="T3615">
        <v>0</v>
      </c>
      <c r="U3615">
        <v>0</v>
      </c>
      <c r="V3615">
        <v>0</v>
      </c>
      <c r="W3615">
        <v>0</v>
      </c>
      <c r="X3615">
        <v>0</v>
      </c>
      <c r="Y3615">
        <v>0</v>
      </c>
      <c r="Z3615">
        <v>0</v>
      </c>
      <c r="AA3615">
        <v>0</v>
      </c>
      <c r="AB3615">
        <v>0</v>
      </c>
      <c r="AC3615">
        <v>0</v>
      </c>
      <c r="AD3615">
        <v>0</v>
      </c>
      <c r="AE3615">
        <v>0</v>
      </c>
      <c r="AF3615">
        <v>0</v>
      </c>
      <c r="AG3615">
        <v>0</v>
      </c>
      <c r="AH3615">
        <v>0</v>
      </c>
      <c r="AI3615">
        <v>0</v>
      </c>
      <c r="AJ3615">
        <v>0</v>
      </c>
      <c r="AK3615">
        <v>0</v>
      </c>
      <c r="AL3615">
        <v>0</v>
      </c>
      <c r="AM3615">
        <v>0</v>
      </c>
      <c r="AN3615">
        <v>0</v>
      </c>
      <c r="AO3615">
        <v>0</v>
      </c>
      <c r="AP3615">
        <v>0</v>
      </c>
      <c r="AQ3615">
        <v>30.07</v>
      </c>
      <c r="AR3615">
        <v>0</v>
      </c>
      <c r="AS3615">
        <v>0</v>
      </c>
      <c r="AT3615">
        <v>0</v>
      </c>
      <c r="AU3615">
        <v>0</v>
      </c>
      <c r="AV3615">
        <v>0</v>
      </c>
      <c r="AW3615">
        <v>0</v>
      </c>
      <c r="AX3615">
        <v>0</v>
      </c>
      <c r="AY3615">
        <v>0</v>
      </c>
      <c r="AZ3615">
        <v>0</v>
      </c>
      <c r="BA3615">
        <v>0</v>
      </c>
      <c r="BB3615">
        <v>0</v>
      </c>
      <c r="BC3615">
        <v>0</v>
      </c>
      <c r="BD3615">
        <v>0</v>
      </c>
      <c r="BE3615">
        <v>0</v>
      </c>
      <c r="BF3615">
        <v>0</v>
      </c>
      <c r="BG3615">
        <v>0</v>
      </c>
      <c r="BH3615">
        <v>1</v>
      </c>
      <c r="BI3615">
        <v>1</v>
      </c>
      <c r="BJ3615">
        <v>0.2</v>
      </c>
      <c r="BK3615">
        <v>1</v>
      </c>
      <c r="BL3615">
        <v>98.42</v>
      </c>
      <c r="BM3615">
        <v>14.76</v>
      </c>
      <c r="BN3615">
        <v>113.18</v>
      </c>
      <c r="BO3615">
        <v>113.18</v>
      </c>
      <c r="BQ3615" t="s">
        <v>590</v>
      </c>
      <c r="BR3615" t="s">
        <v>84</v>
      </c>
      <c r="BS3615" t="s">
        <v>1540</v>
      </c>
      <c r="BY3615">
        <v>1200</v>
      </c>
      <c r="CC3615" t="s">
        <v>223</v>
      </c>
      <c r="CD3615">
        <v>1748</v>
      </c>
      <c r="CE3615" t="s">
        <v>88</v>
      </c>
      <c r="CI3615">
        <v>1</v>
      </c>
      <c r="CJ3615" t="s">
        <v>1540</v>
      </c>
      <c r="CK3615">
        <v>24</v>
      </c>
      <c r="CL3615" t="s">
        <v>89</v>
      </c>
    </row>
    <row r="3616" spans="1:90" x14ac:dyDescent="0.3">
      <c r="A3616" t="s">
        <v>72</v>
      </c>
      <c r="B3616" t="s">
        <v>73</v>
      </c>
      <c r="C3616" t="s">
        <v>74</v>
      </c>
      <c r="E3616" t="str">
        <f>"080065613806"</f>
        <v>080065613806</v>
      </c>
      <c r="F3616" s="3">
        <v>45805</v>
      </c>
      <c r="G3616">
        <v>202602</v>
      </c>
      <c r="H3616" t="s">
        <v>75</v>
      </c>
      <c r="I3616" t="s">
        <v>76</v>
      </c>
      <c r="J3616" t="s">
        <v>77</v>
      </c>
      <c r="K3616" t="s">
        <v>78</v>
      </c>
      <c r="L3616" t="s">
        <v>445</v>
      </c>
      <c r="M3616" t="s">
        <v>446</v>
      </c>
      <c r="N3616" t="s">
        <v>2782</v>
      </c>
      <c r="O3616" t="s">
        <v>82</v>
      </c>
      <c r="P3616" t="str">
        <f>"4170041066                    "</f>
        <v xml:space="preserve">4170041066                    </v>
      </c>
      <c r="Q3616">
        <v>0</v>
      </c>
      <c r="R3616">
        <v>0</v>
      </c>
      <c r="S3616">
        <v>0</v>
      </c>
      <c r="T3616">
        <v>0</v>
      </c>
      <c r="U3616">
        <v>0</v>
      </c>
      <c r="V3616">
        <v>0</v>
      </c>
      <c r="W3616">
        <v>0</v>
      </c>
      <c r="X3616">
        <v>0</v>
      </c>
      <c r="Y3616">
        <v>0</v>
      </c>
      <c r="Z3616">
        <v>0</v>
      </c>
      <c r="AA3616">
        <v>0</v>
      </c>
      <c r="AB3616">
        <v>0</v>
      </c>
      <c r="AC3616">
        <v>0</v>
      </c>
      <c r="AD3616">
        <v>0</v>
      </c>
      <c r="AE3616">
        <v>0</v>
      </c>
      <c r="AF3616">
        <v>0</v>
      </c>
      <c r="AG3616">
        <v>0</v>
      </c>
      <c r="AH3616">
        <v>0</v>
      </c>
      <c r="AI3616">
        <v>0</v>
      </c>
      <c r="AJ3616">
        <v>0</v>
      </c>
      <c r="AK3616">
        <v>0</v>
      </c>
      <c r="AL3616">
        <v>0</v>
      </c>
      <c r="AM3616">
        <v>0</v>
      </c>
      <c r="AN3616">
        <v>0</v>
      </c>
      <c r="AO3616">
        <v>0</v>
      </c>
      <c r="AP3616">
        <v>0</v>
      </c>
      <c r="AQ3616">
        <v>41.43</v>
      </c>
      <c r="AR3616">
        <v>0</v>
      </c>
      <c r="AS3616">
        <v>0</v>
      </c>
      <c r="AT3616">
        <v>0</v>
      </c>
      <c r="AU3616">
        <v>0</v>
      </c>
      <c r="AV3616">
        <v>0</v>
      </c>
      <c r="AW3616">
        <v>0</v>
      </c>
      <c r="AX3616">
        <v>0</v>
      </c>
      <c r="AY3616">
        <v>0</v>
      </c>
      <c r="AZ3616">
        <v>0</v>
      </c>
      <c r="BA3616">
        <v>0</v>
      </c>
      <c r="BB3616">
        <v>0</v>
      </c>
      <c r="BC3616">
        <v>0</v>
      </c>
      <c r="BD3616">
        <v>0</v>
      </c>
      <c r="BE3616">
        <v>0</v>
      </c>
      <c r="BF3616">
        <v>0</v>
      </c>
      <c r="BG3616">
        <v>0</v>
      </c>
      <c r="BH3616">
        <v>1</v>
      </c>
      <c r="BI3616">
        <v>1</v>
      </c>
      <c r="BJ3616">
        <v>0.2</v>
      </c>
      <c r="BK3616">
        <v>1</v>
      </c>
      <c r="BL3616">
        <v>135.59</v>
      </c>
      <c r="BM3616">
        <v>20.34</v>
      </c>
      <c r="BN3616">
        <v>155.93</v>
      </c>
      <c r="BO3616">
        <v>155.93</v>
      </c>
      <c r="BQ3616" t="s">
        <v>2783</v>
      </c>
      <c r="BR3616" t="s">
        <v>84</v>
      </c>
      <c r="BS3616" s="3">
        <v>45806</v>
      </c>
      <c r="BT3616" s="4">
        <v>0.39583333333333331</v>
      </c>
      <c r="BU3616" t="s">
        <v>3344</v>
      </c>
      <c r="BV3616" t="s">
        <v>86</v>
      </c>
      <c r="BY3616">
        <v>1200</v>
      </c>
      <c r="CA3616" t="s">
        <v>2538</v>
      </c>
      <c r="CC3616" t="s">
        <v>446</v>
      </c>
      <c r="CD3616">
        <v>4399</v>
      </c>
      <c r="CE3616" t="s">
        <v>88</v>
      </c>
      <c r="CF3616" s="3">
        <v>45807</v>
      </c>
      <c r="CI3616">
        <v>1</v>
      </c>
      <c r="CJ3616">
        <v>1</v>
      </c>
      <c r="CK3616">
        <v>23</v>
      </c>
      <c r="CL3616" t="s">
        <v>89</v>
      </c>
    </row>
    <row r="3617" spans="1:90" x14ac:dyDescent="0.3">
      <c r="A3617" t="s">
        <v>72</v>
      </c>
      <c r="B3617" t="s">
        <v>73</v>
      </c>
      <c r="C3617" t="s">
        <v>74</v>
      </c>
      <c r="E3617" t="str">
        <f>"080065613975"</f>
        <v>080065613975</v>
      </c>
      <c r="F3617" s="3">
        <v>45805</v>
      </c>
      <c r="G3617">
        <v>202602</v>
      </c>
      <c r="H3617" t="s">
        <v>75</v>
      </c>
      <c r="I3617" t="s">
        <v>76</v>
      </c>
      <c r="J3617" t="s">
        <v>77</v>
      </c>
      <c r="K3617" t="s">
        <v>78</v>
      </c>
      <c r="L3617" t="s">
        <v>123</v>
      </c>
      <c r="M3617" t="s">
        <v>123</v>
      </c>
      <c r="N3617" t="s">
        <v>317</v>
      </c>
      <c r="O3617" t="s">
        <v>82</v>
      </c>
      <c r="P3617" t="str">
        <f>"4170041045                    "</f>
        <v xml:space="preserve">4170041045                    </v>
      </c>
      <c r="Q3617">
        <v>0</v>
      </c>
      <c r="R3617">
        <v>0</v>
      </c>
      <c r="S3617">
        <v>0</v>
      </c>
      <c r="T3617">
        <v>0</v>
      </c>
      <c r="U3617">
        <v>0</v>
      </c>
      <c r="V3617">
        <v>0</v>
      </c>
      <c r="W3617">
        <v>0</v>
      </c>
      <c r="X3617">
        <v>0</v>
      </c>
      <c r="Y3617">
        <v>0</v>
      </c>
      <c r="Z3617">
        <v>0</v>
      </c>
      <c r="AA3617">
        <v>0</v>
      </c>
      <c r="AB3617">
        <v>0</v>
      </c>
      <c r="AC3617">
        <v>0</v>
      </c>
      <c r="AD3617">
        <v>0</v>
      </c>
      <c r="AE3617">
        <v>0</v>
      </c>
      <c r="AF3617">
        <v>0</v>
      </c>
      <c r="AG3617">
        <v>0</v>
      </c>
      <c r="AH3617">
        <v>0</v>
      </c>
      <c r="AI3617">
        <v>0</v>
      </c>
      <c r="AJ3617">
        <v>0</v>
      </c>
      <c r="AK3617">
        <v>0</v>
      </c>
      <c r="AL3617">
        <v>0</v>
      </c>
      <c r="AM3617">
        <v>0</v>
      </c>
      <c r="AN3617">
        <v>0</v>
      </c>
      <c r="AO3617">
        <v>0</v>
      </c>
      <c r="AP3617">
        <v>0</v>
      </c>
      <c r="AQ3617">
        <v>116.27</v>
      </c>
      <c r="AR3617">
        <v>0</v>
      </c>
      <c r="AS3617">
        <v>0</v>
      </c>
      <c r="AT3617">
        <v>0</v>
      </c>
      <c r="AU3617">
        <v>0</v>
      </c>
      <c r="AV3617">
        <v>0</v>
      </c>
      <c r="AW3617">
        <v>0</v>
      </c>
      <c r="AX3617">
        <v>0</v>
      </c>
      <c r="AY3617">
        <v>0</v>
      </c>
      <c r="AZ3617">
        <v>0</v>
      </c>
      <c r="BA3617">
        <v>0</v>
      </c>
      <c r="BB3617">
        <v>0</v>
      </c>
      <c r="BC3617">
        <v>0</v>
      </c>
      <c r="BD3617">
        <v>0</v>
      </c>
      <c r="BE3617">
        <v>0</v>
      </c>
      <c r="BF3617">
        <v>0</v>
      </c>
      <c r="BG3617">
        <v>0</v>
      </c>
      <c r="BH3617">
        <v>1</v>
      </c>
      <c r="BI3617">
        <v>6</v>
      </c>
      <c r="BJ3617">
        <v>3.4</v>
      </c>
      <c r="BK3617">
        <v>6</v>
      </c>
      <c r="BL3617">
        <v>380.51</v>
      </c>
      <c r="BM3617">
        <v>57.08</v>
      </c>
      <c r="BN3617">
        <v>437.59</v>
      </c>
      <c r="BO3617">
        <v>437.59</v>
      </c>
      <c r="BQ3617" t="s">
        <v>318</v>
      </c>
      <c r="BR3617" t="s">
        <v>84</v>
      </c>
      <c r="BS3617" s="3">
        <v>45806</v>
      </c>
      <c r="BT3617" s="4">
        <v>0.51249999999999996</v>
      </c>
      <c r="BU3617" t="s">
        <v>319</v>
      </c>
      <c r="BV3617" t="s">
        <v>86</v>
      </c>
      <c r="BY3617">
        <v>16965</v>
      </c>
      <c r="CA3617" t="s">
        <v>128</v>
      </c>
      <c r="CC3617" t="s">
        <v>123</v>
      </c>
      <c r="CD3617">
        <v>7646</v>
      </c>
      <c r="CE3617" t="s">
        <v>96</v>
      </c>
      <c r="CI3617">
        <v>1</v>
      </c>
      <c r="CJ3617">
        <v>1</v>
      </c>
      <c r="CK3617">
        <v>23</v>
      </c>
      <c r="CL3617" t="s">
        <v>89</v>
      </c>
    </row>
    <row r="3618" spans="1:90" x14ac:dyDescent="0.3">
      <c r="A3618" t="s">
        <v>72</v>
      </c>
      <c r="B3618" t="s">
        <v>73</v>
      </c>
      <c r="C3618" t="s">
        <v>74</v>
      </c>
      <c r="E3618" t="str">
        <f>"080065614020"</f>
        <v>080065614020</v>
      </c>
      <c r="F3618" s="3">
        <v>45805</v>
      </c>
      <c r="G3618">
        <v>202602</v>
      </c>
      <c r="H3618" t="s">
        <v>75</v>
      </c>
      <c r="I3618" t="s">
        <v>76</v>
      </c>
      <c r="J3618" t="s">
        <v>77</v>
      </c>
      <c r="K3618" t="s">
        <v>78</v>
      </c>
      <c r="L3618" t="s">
        <v>136</v>
      </c>
      <c r="M3618" t="s">
        <v>137</v>
      </c>
      <c r="N3618" t="s">
        <v>735</v>
      </c>
      <c r="O3618" t="s">
        <v>82</v>
      </c>
      <c r="P3618" t="str">
        <f>"4170041025                    "</f>
        <v xml:space="preserve">4170041025                    </v>
      </c>
      <c r="Q3618">
        <v>0</v>
      </c>
      <c r="R3618">
        <v>0</v>
      </c>
      <c r="S3618">
        <v>0</v>
      </c>
      <c r="T3618">
        <v>0</v>
      </c>
      <c r="U3618">
        <v>0</v>
      </c>
      <c r="V3618">
        <v>0</v>
      </c>
      <c r="W3618">
        <v>0</v>
      </c>
      <c r="X3618">
        <v>0</v>
      </c>
      <c r="Y3618">
        <v>0</v>
      </c>
      <c r="Z3618">
        <v>0</v>
      </c>
      <c r="AA3618">
        <v>0</v>
      </c>
      <c r="AB3618">
        <v>0</v>
      </c>
      <c r="AC3618">
        <v>0</v>
      </c>
      <c r="AD3618">
        <v>0</v>
      </c>
      <c r="AE3618">
        <v>0</v>
      </c>
      <c r="AF3618">
        <v>0</v>
      </c>
      <c r="AG3618">
        <v>0</v>
      </c>
      <c r="AH3618">
        <v>0</v>
      </c>
      <c r="AI3618">
        <v>0</v>
      </c>
      <c r="AJ3618">
        <v>0</v>
      </c>
      <c r="AK3618">
        <v>0</v>
      </c>
      <c r="AL3618">
        <v>0</v>
      </c>
      <c r="AM3618">
        <v>0</v>
      </c>
      <c r="AN3618">
        <v>0</v>
      </c>
      <c r="AO3618">
        <v>0</v>
      </c>
      <c r="AP3618">
        <v>0</v>
      </c>
      <c r="AQ3618">
        <v>21.38</v>
      </c>
      <c r="AR3618">
        <v>0</v>
      </c>
      <c r="AS3618">
        <v>0</v>
      </c>
      <c r="AT3618">
        <v>0</v>
      </c>
      <c r="AU3618">
        <v>0</v>
      </c>
      <c r="AV3618">
        <v>0</v>
      </c>
      <c r="AW3618">
        <v>0</v>
      </c>
      <c r="AX3618">
        <v>0</v>
      </c>
      <c r="AY3618">
        <v>0</v>
      </c>
      <c r="AZ3618">
        <v>0</v>
      </c>
      <c r="BA3618">
        <v>0</v>
      </c>
      <c r="BB3618">
        <v>0</v>
      </c>
      <c r="BC3618">
        <v>0</v>
      </c>
      <c r="BD3618">
        <v>0</v>
      </c>
      <c r="BE3618">
        <v>0</v>
      </c>
      <c r="BF3618">
        <v>0</v>
      </c>
      <c r="BG3618">
        <v>0</v>
      </c>
      <c r="BH3618">
        <v>1</v>
      </c>
      <c r="BI3618">
        <v>1</v>
      </c>
      <c r="BJ3618">
        <v>0.2</v>
      </c>
      <c r="BK3618">
        <v>1</v>
      </c>
      <c r="BL3618">
        <v>69.98</v>
      </c>
      <c r="BM3618">
        <v>10.5</v>
      </c>
      <c r="BN3618">
        <v>80.48</v>
      </c>
      <c r="BO3618">
        <v>80.48</v>
      </c>
      <c r="BQ3618" t="s">
        <v>736</v>
      </c>
      <c r="BR3618" t="s">
        <v>84</v>
      </c>
      <c r="BS3618" s="3">
        <v>45806</v>
      </c>
      <c r="BT3618" s="4">
        <v>0.3</v>
      </c>
      <c r="BU3618" t="s">
        <v>1699</v>
      </c>
      <c r="BV3618" t="s">
        <v>86</v>
      </c>
      <c r="BY3618">
        <v>1200</v>
      </c>
      <c r="CA3618" t="s">
        <v>258</v>
      </c>
      <c r="CC3618" t="s">
        <v>137</v>
      </c>
      <c r="CD3618" s="5" t="s">
        <v>738</v>
      </c>
      <c r="CE3618" t="s">
        <v>88</v>
      </c>
      <c r="CF3618" s="3">
        <v>45806</v>
      </c>
      <c r="CI3618">
        <v>1</v>
      </c>
      <c r="CJ3618">
        <v>1</v>
      </c>
      <c r="CK3618">
        <v>21</v>
      </c>
      <c r="CL3618" t="s">
        <v>89</v>
      </c>
    </row>
    <row r="3619" spans="1:90" x14ac:dyDescent="0.3">
      <c r="A3619" t="s">
        <v>72</v>
      </c>
      <c r="B3619" t="s">
        <v>73</v>
      </c>
      <c r="C3619" t="s">
        <v>74</v>
      </c>
      <c r="E3619" t="str">
        <f>"080065614063"</f>
        <v>080065614063</v>
      </c>
      <c r="F3619" s="3">
        <v>45805</v>
      </c>
      <c r="G3619">
        <v>202602</v>
      </c>
      <c r="H3619" t="s">
        <v>75</v>
      </c>
      <c r="I3619" t="s">
        <v>76</v>
      </c>
      <c r="J3619" t="s">
        <v>77</v>
      </c>
      <c r="K3619" t="s">
        <v>78</v>
      </c>
      <c r="L3619" t="s">
        <v>350</v>
      </c>
      <c r="M3619" t="s">
        <v>351</v>
      </c>
      <c r="N3619" t="s">
        <v>352</v>
      </c>
      <c r="O3619" t="s">
        <v>82</v>
      </c>
      <c r="P3619" t="str">
        <f>"4170041014                    "</f>
        <v xml:space="preserve">4170041014                    </v>
      </c>
      <c r="Q3619">
        <v>0</v>
      </c>
      <c r="R3619">
        <v>0</v>
      </c>
      <c r="S3619">
        <v>0</v>
      </c>
      <c r="T3619">
        <v>0</v>
      </c>
      <c r="U3619">
        <v>0</v>
      </c>
      <c r="V3619">
        <v>0</v>
      </c>
      <c r="W3619">
        <v>0</v>
      </c>
      <c r="X3619">
        <v>0</v>
      </c>
      <c r="Y3619">
        <v>0</v>
      </c>
      <c r="Z3619">
        <v>0</v>
      </c>
      <c r="AA3619">
        <v>0</v>
      </c>
      <c r="AB3619">
        <v>0</v>
      </c>
      <c r="AC3619">
        <v>0</v>
      </c>
      <c r="AD3619">
        <v>0</v>
      </c>
      <c r="AE3619">
        <v>0</v>
      </c>
      <c r="AF3619">
        <v>0</v>
      </c>
      <c r="AG3619">
        <v>0</v>
      </c>
      <c r="AH3619">
        <v>0</v>
      </c>
      <c r="AI3619">
        <v>0</v>
      </c>
      <c r="AJ3619">
        <v>0</v>
      </c>
      <c r="AK3619">
        <v>0</v>
      </c>
      <c r="AL3619">
        <v>0</v>
      </c>
      <c r="AM3619">
        <v>0</v>
      </c>
      <c r="AN3619">
        <v>0</v>
      </c>
      <c r="AO3619">
        <v>0</v>
      </c>
      <c r="AP3619">
        <v>0</v>
      </c>
      <c r="AQ3619">
        <v>21.38</v>
      </c>
      <c r="AR3619">
        <v>0</v>
      </c>
      <c r="AS3619">
        <v>0</v>
      </c>
      <c r="AT3619">
        <v>0</v>
      </c>
      <c r="AU3619">
        <v>0</v>
      </c>
      <c r="AV3619">
        <v>0</v>
      </c>
      <c r="AW3619">
        <v>0</v>
      </c>
      <c r="AX3619">
        <v>0</v>
      </c>
      <c r="AY3619">
        <v>0</v>
      </c>
      <c r="AZ3619">
        <v>0</v>
      </c>
      <c r="BA3619">
        <v>0</v>
      </c>
      <c r="BB3619">
        <v>0</v>
      </c>
      <c r="BC3619">
        <v>0</v>
      </c>
      <c r="BD3619">
        <v>0</v>
      </c>
      <c r="BE3619">
        <v>0</v>
      </c>
      <c r="BF3619">
        <v>0</v>
      </c>
      <c r="BG3619">
        <v>0</v>
      </c>
      <c r="BH3619">
        <v>1</v>
      </c>
      <c r="BI3619">
        <v>1</v>
      </c>
      <c r="BJ3619">
        <v>0.2</v>
      </c>
      <c r="BK3619">
        <v>1</v>
      </c>
      <c r="BL3619">
        <v>69.98</v>
      </c>
      <c r="BM3619">
        <v>10.5</v>
      </c>
      <c r="BN3619">
        <v>80.48</v>
      </c>
      <c r="BO3619">
        <v>80.48</v>
      </c>
      <c r="BQ3619" t="s">
        <v>353</v>
      </c>
      <c r="BR3619" t="s">
        <v>84</v>
      </c>
      <c r="BS3619" s="3">
        <v>45806</v>
      </c>
      <c r="BT3619" s="4">
        <v>0.37152777777777779</v>
      </c>
      <c r="BU3619" t="s">
        <v>354</v>
      </c>
      <c r="BV3619" t="s">
        <v>86</v>
      </c>
      <c r="BY3619">
        <v>1200</v>
      </c>
      <c r="CA3619" t="s">
        <v>160</v>
      </c>
      <c r="CC3619" t="s">
        <v>351</v>
      </c>
      <c r="CD3619">
        <v>4000</v>
      </c>
      <c r="CE3619" t="s">
        <v>88</v>
      </c>
      <c r="CF3619" s="3">
        <v>45807</v>
      </c>
      <c r="CI3619">
        <v>1</v>
      </c>
      <c r="CJ3619">
        <v>1</v>
      </c>
      <c r="CK3619">
        <v>21</v>
      </c>
      <c r="CL3619" t="s">
        <v>89</v>
      </c>
    </row>
    <row r="3620" spans="1:90" x14ac:dyDescent="0.3">
      <c r="A3620" t="s">
        <v>72</v>
      </c>
      <c r="B3620" t="s">
        <v>73</v>
      </c>
      <c r="C3620" t="s">
        <v>74</v>
      </c>
      <c r="E3620" t="str">
        <f>"080065614096"</f>
        <v>080065614096</v>
      </c>
      <c r="F3620" s="3">
        <v>45805</v>
      </c>
      <c r="G3620">
        <v>202602</v>
      </c>
      <c r="H3620" t="s">
        <v>75</v>
      </c>
      <c r="I3620" t="s">
        <v>76</v>
      </c>
      <c r="J3620" t="s">
        <v>77</v>
      </c>
      <c r="K3620" t="s">
        <v>78</v>
      </c>
      <c r="L3620" t="s">
        <v>143</v>
      </c>
      <c r="M3620" t="s">
        <v>144</v>
      </c>
      <c r="N3620" t="s">
        <v>762</v>
      </c>
      <c r="O3620" t="s">
        <v>82</v>
      </c>
      <c r="P3620" t="str">
        <f>"4170041077                    "</f>
        <v xml:space="preserve">4170041077                    </v>
      </c>
      <c r="Q3620">
        <v>0</v>
      </c>
      <c r="R3620">
        <v>0</v>
      </c>
      <c r="S3620">
        <v>0</v>
      </c>
      <c r="T3620">
        <v>0</v>
      </c>
      <c r="U3620">
        <v>0</v>
      </c>
      <c r="V3620">
        <v>0</v>
      </c>
      <c r="W3620">
        <v>0</v>
      </c>
      <c r="X3620">
        <v>0</v>
      </c>
      <c r="Y3620">
        <v>0</v>
      </c>
      <c r="Z3620">
        <v>0</v>
      </c>
      <c r="AA3620">
        <v>0</v>
      </c>
      <c r="AB3620">
        <v>0</v>
      </c>
      <c r="AC3620">
        <v>0</v>
      </c>
      <c r="AD3620">
        <v>0</v>
      </c>
      <c r="AE3620">
        <v>0</v>
      </c>
      <c r="AF3620">
        <v>0</v>
      </c>
      <c r="AG3620">
        <v>0</v>
      </c>
      <c r="AH3620">
        <v>0</v>
      </c>
      <c r="AI3620">
        <v>0</v>
      </c>
      <c r="AJ3620">
        <v>0</v>
      </c>
      <c r="AK3620">
        <v>0</v>
      </c>
      <c r="AL3620">
        <v>0</v>
      </c>
      <c r="AM3620">
        <v>0</v>
      </c>
      <c r="AN3620">
        <v>0</v>
      </c>
      <c r="AO3620">
        <v>0</v>
      </c>
      <c r="AP3620">
        <v>0</v>
      </c>
      <c r="AQ3620">
        <v>16.7</v>
      </c>
      <c r="AR3620">
        <v>0</v>
      </c>
      <c r="AS3620">
        <v>0</v>
      </c>
      <c r="AT3620">
        <v>0</v>
      </c>
      <c r="AU3620">
        <v>0</v>
      </c>
      <c r="AV3620">
        <v>0</v>
      </c>
      <c r="AW3620">
        <v>0</v>
      </c>
      <c r="AX3620">
        <v>0</v>
      </c>
      <c r="AY3620">
        <v>0</v>
      </c>
      <c r="AZ3620">
        <v>0</v>
      </c>
      <c r="BA3620">
        <v>0</v>
      </c>
      <c r="BB3620">
        <v>0</v>
      </c>
      <c r="BC3620">
        <v>0</v>
      </c>
      <c r="BD3620">
        <v>0</v>
      </c>
      <c r="BE3620">
        <v>0</v>
      </c>
      <c r="BF3620">
        <v>0</v>
      </c>
      <c r="BG3620">
        <v>0</v>
      </c>
      <c r="BH3620">
        <v>1</v>
      </c>
      <c r="BI3620">
        <v>1</v>
      </c>
      <c r="BJ3620">
        <v>0.2</v>
      </c>
      <c r="BK3620">
        <v>1</v>
      </c>
      <c r="BL3620">
        <v>54.66</v>
      </c>
      <c r="BM3620">
        <v>8.1999999999999993</v>
      </c>
      <c r="BN3620">
        <v>62.86</v>
      </c>
      <c r="BO3620">
        <v>62.86</v>
      </c>
      <c r="BQ3620" t="s">
        <v>763</v>
      </c>
      <c r="BR3620" t="s">
        <v>84</v>
      </c>
      <c r="BS3620" s="3">
        <v>45806</v>
      </c>
      <c r="BT3620" s="4">
        <v>0.41319444444444442</v>
      </c>
      <c r="BU3620" t="s">
        <v>359</v>
      </c>
      <c r="BV3620" t="s">
        <v>86</v>
      </c>
      <c r="BY3620">
        <v>1200</v>
      </c>
      <c r="CA3620" t="s">
        <v>765</v>
      </c>
      <c r="CC3620" t="s">
        <v>144</v>
      </c>
      <c r="CD3620">
        <v>1428</v>
      </c>
      <c r="CE3620" t="s">
        <v>88</v>
      </c>
      <c r="CF3620" s="3">
        <v>45806</v>
      </c>
      <c r="CI3620">
        <v>1</v>
      </c>
      <c r="CJ3620">
        <v>1</v>
      </c>
      <c r="CK3620">
        <v>22</v>
      </c>
      <c r="CL3620" t="s">
        <v>89</v>
      </c>
    </row>
    <row r="3621" spans="1:90" x14ac:dyDescent="0.3">
      <c r="A3621" t="s">
        <v>72</v>
      </c>
      <c r="B3621" t="s">
        <v>73</v>
      </c>
      <c r="C3621" t="s">
        <v>74</v>
      </c>
      <c r="E3621" t="str">
        <f>"080065614286"</f>
        <v>080065614286</v>
      </c>
      <c r="F3621" s="3">
        <v>45805</v>
      </c>
      <c r="G3621">
        <v>202602</v>
      </c>
      <c r="H3621" t="s">
        <v>75</v>
      </c>
      <c r="I3621" t="s">
        <v>76</v>
      </c>
      <c r="J3621" t="s">
        <v>77</v>
      </c>
      <c r="K3621" t="s">
        <v>78</v>
      </c>
      <c r="L3621" t="s">
        <v>350</v>
      </c>
      <c r="M3621" t="s">
        <v>351</v>
      </c>
      <c r="N3621" t="s">
        <v>876</v>
      </c>
      <c r="O3621" t="s">
        <v>82</v>
      </c>
      <c r="P3621" t="str">
        <f>"4170041086                    "</f>
        <v xml:space="preserve">4170041086                    </v>
      </c>
      <c r="Q3621">
        <v>0</v>
      </c>
      <c r="R3621">
        <v>0</v>
      </c>
      <c r="S3621">
        <v>0</v>
      </c>
      <c r="T3621">
        <v>0</v>
      </c>
      <c r="U3621">
        <v>0</v>
      </c>
      <c r="V3621">
        <v>0</v>
      </c>
      <c r="W3621">
        <v>0</v>
      </c>
      <c r="X3621">
        <v>0</v>
      </c>
      <c r="Y3621">
        <v>0</v>
      </c>
      <c r="Z3621">
        <v>0</v>
      </c>
      <c r="AA3621">
        <v>0</v>
      </c>
      <c r="AB3621">
        <v>0</v>
      </c>
      <c r="AC3621">
        <v>0</v>
      </c>
      <c r="AD3621">
        <v>0</v>
      </c>
      <c r="AE3621">
        <v>0</v>
      </c>
      <c r="AF3621">
        <v>0</v>
      </c>
      <c r="AG3621">
        <v>0</v>
      </c>
      <c r="AH3621">
        <v>0</v>
      </c>
      <c r="AI3621">
        <v>0</v>
      </c>
      <c r="AJ3621">
        <v>0</v>
      </c>
      <c r="AK3621">
        <v>0</v>
      </c>
      <c r="AL3621">
        <v>0</v>
      </c>
      <c r="AM3621">
        <v>0</v>
      </c>
      <c r="AN3621">
        <v>0</v>
      </c>
      <c r="AO3621">
        <v>0</v>
      </c>
      <c r="AP3621">
        <v>0</v>
      </c>
      <c r="AQ3621">
        <v>21.38</v>
      </c>
      <c r="AR3621">
        <v>0</v>
      </c>
      <c r="AS3621">
        <v>0</v>
      </c>
      <c r="AT3621">
        <v>0</v>
      </c>
      <c r="AU3621">
        <v>0</v>
      </c>
      <c r="AV3621">
        <v>0</v>
      </c>
      <c r="AW3621">
        <v>0</v>
      </c>
      <c r="AX3621">
        <v>0</v>
      </c>
      <c r="AY3621">
        <v>0</v>
      </c>
      <c r="AZ3621">
        <v>0</v>
      </c>
      <c r="BA3621">
        <v>0</v>
      </c>
      <c r="BB3621">
        <v>0</v>
      </c>
      <c r="BC3621">
        <v>0</v>
      </c>
      <c r="BD3621">
        <v>0</v>
      </c>
      <c r="BE3621">
        <v>0</v>
      </c>
      <c r="BF3621">
        <v>0</v>
      </c>
      <c r="BG3621">
        <v>0</v>
      </c>
      <c r="BH3621">
        <v>1</v>
      </c>
      <c r="BI3621">
        <v>1</v>
      </c>
      <c r="BJ3621">
        <v>0.2</v>
      </c>
      <c r="BK3621">
        <v>1</v>
      </c>
      <c r="BL3621">
        <v>69.98</v>
      </c>
      <c r="BM3621">
        <v>10.5</v>
      </c>
      <c r="BN3621">
        <v>80.48</v>
      </c>
      <c r="BO3621">
        <v>80.48</v>
      </c>
      <c r="BQ3621" t="s">
        <v>877</v>
      </c>
      <c r="BR3621" t="s">
        <v>84</v>
      </c>
      <c r="BS3621" s="3">
        <v>45806</v>
      </c>
      <c r="BT3621" s="4">
        <v>0.41180555555555554</v>
      </c>
      <c r="BU3621" t="s">
        <v>3345</v>
      </c>
      <c r="BV3621" t="s">
        <v>86</v>
      </c>
      <c r="BY3621">
        <v>1200</v>
      </c>
      <c r="CA3621" t="s">
        <v>879</v>
      </c>
      <c r="CC3621" t="s">
        <v>351</v>
      </c>
      <c r="CD3621">
        <v>4001</v>
      </c>
      <c r="CE3621" t="s">
        <v>88</v>
      </c>
      <c r="CF3621" s="3">
        <v>45806</v>
      </c>
      <c r="CI3621">
        <v>1</v>
      </c>
      <c r="CJ3621">
        <v>1</v>
      </c>
      <c r="CK3621">
        <v>21</v>
      </c>
      <c r="CL3621" t="s">
        <v>89</v>
      </c>
    </row>
    <row r="3622" spans="1:90" x14ac:dyDescent="0.3">
      <c r="A3622" t="s">
        <v>72</v>
      </c>
      <c r="B3622" t="s">
        <v>73</v>
      </c>
      <c r="C3622" t="s">
        <v>74</v>
      </c>
      <c r="E3622" t="str">
        <f>"080065614307"</f>
        <v>080065614307</v>
      </c>
      <c r="F3622" s="3">
        <v>45805</v>
      </c>
      <c r="G3622">
        <v>202602</v>
      </c>
      <c r="H3622" t="s">
        <v>75</v>
      </c>
      <c r="I3622" t="s">
        <v>76</v>
      </c>
      <c r="J3622" t="s">
        <v>77</v>
      </c>
      <c r="K3622" t="s">
        <v>78</v>
      </c>
      <c r="L3622" t="s">
        <v>75</v>
      </c>
      <c r="M3622" t="s">
        <v>76</v>
      </c>
      <c r="N3622" t="s">
        <v>346</v>
      </c>
      <c r="O3622" t="s">
        <v>82</v>
      </c>
      <c r="P3622" t="str">
        <f>"4170041130                    "</f>
        <v xml:space="preserve">4170041130                    </v>
      </c>
      <c r="Q3622">
        <v>0</v>
      </c>
      <c r="R3622">
        <v>0</v>
      </c>
      <c r="S3622">
        <v>0</v>
      </c>
      <c r="T3622">
        <v>0</v>
      </c>
      <c r="U3622">
        <v>0</v>
      </c>
      <c r="V3622">
        <v>0</v>
      </c>
      <c r="W3622">
        <v>0</v>
      </c>
      <c r="X3622">
        <v>0</v>
      </c>
      <c r="Y3622">
        <v>0</v>
      </c>
      <c r="Z3622">
        <v>0</v>
      </c>
      <c r="AA3622">
        <v>0</v>
      </c>
      <c r="AB3622">
        <v>0</v>
      </c>
      <c r="AC3622">
        <v>0</v>
      </c>
      <c r="AD3622">
        <v>0</v>
      </c>
      <c r="AE3622">
        <v>0</v>
      </c>
      <c r="AF3622">
        <v>0</v>
      </c>
      <c r="AG3622">
        <v>0</v>
      </c>
      <c r="AH3622">
        <v>0</v>
      </c>
      <c r="AI3622">
        <v>0</v>
      </c>
      <c r="AJ3622">
        <v>0</v>
      </c>
      <c r="AK3622">
        <v>0</v>
      </c>
      <c r="AL3622">
        <v>0</v>
      </c>
      <c r="AM3622">
        <v>0</v>
      </c>
      <c r="AN3622">
        <v>0</v>
      </c>
      <c r="AO3622">
        <v>0</v>
      </c>
      <c r="AP3622">
        <v>0</v>
      </c>
      <c r="AQ3622">
        <v>16.7</v>
      </c>
      <c r="AR3622">
        <v>0</v>
      </c>
      <c r="AS3622">
        <v>0</v>
      </c>
      <c r="AT3622">
        <v>0</v>
      </c>
      <c r="AU3622">
        <v>0</v>
      </c>
      <c r="AV3622">
        <v>0</v>
      </c>
      <c r="AW3622">
        <v>0</v>
      </c>
      <c r="AX3622">
        <v>0</v>
      </c>
      <c r="AY3622">
        <v>0</v>
      </c>
      <c r="AZ3622">
        <v>0</v>
      </c>
      <c r="BA3622">
        <v>0</v>
      </c>
      <c r="BB3622">
        <v>0</v>
      </c>
      <c r="BC3622">
        <v>0</v>
      </c>
      <c r="BD3622">
        <v>0</v>
      </c>
      <c r="BE3622">
        <v>0</v>
      </c>
      <c r="BF3622">
        <v>0</v>
      </c>
      <c r="BG3622">
        <v>0</v>
      </c>
      <c r="BH3622">
        <v>1</v>
      </c>
      <c r="BI3622">
        <v>1</v>
      </c>
      <c r="BJ3622">
        <v>0.2</v>
      </c>
      <c r="BK3622">
        <v>1</v>
      </c>
      <c r="BL3622">
        <v>54.66</v>
      </c>
      <c r="BM3622">
        <v>8.1999999999999993</v>
      </c>
      <c r="BN3622">
        <v>62.86</v>
      </c>
      <c r="BO3622">
        <v>62.86</v>
      </c>
      <c r="BQ3622" t="s">
        <v>347</v>
      </c>
      <c r="BR3622" t="s">
        <v>84</v>
      </c>
      <c r="BS3622" s="3">
        <v>45806</v>
      </c>
      <c r="BT3622" s="4">
        <v>0.3888888888888889</v>
      </c>
      <c r="BU3622" t="s">
        <v>407</v>
      </c>
      <c r="BV3622" t="s">
        <v>86</v>
      </c>
      <c r="BY3622">
        <v>1200</v>
      </c>
      <c r="CA3622" t="s">
        <v>349</v>
      </c>
      <c r="CC3622" t="s">
        <v>76</v>
      </c>
      <c r="CD3622">
        <v>1619</v>
      </c>
      <c r="CE3622" t="s">
        <v>88</v>
      </c>
      <c r="CF3622" s="3">
        <v>45807</v>
      </c>
      <c r="CI3622">
        <v>1</v>
      </c>
      <c r="CJ3622">
        <v>1</v>
      </c>
      <c r="CK3622">
        <v>22</v>
      </c>
      <c r="CL3622" t="s">
        <v>89</v>
      </c>
    </row>
    <row r="3623" spans="1:90" x14ac:dyDescent="0.3">
      <c r="A3623" t="s">
        <v>72</v>
      </c>
      <c r="B3623" t="s">
        <v>73</v>
      </c>
      <c r="C3623" t="s">
        <v>74</v>
      </c>
      <c r="E3623" t="str">
        <f>"080065614337"</f>
        <v>080065614337</v>
      </c>
      <c r="F3623" s="3">
        <v>45805</v>
      </c>
      <c r="G3623">
        <v>202602</v>
      </c>
      <c r="H3623" t="s">
        <v>75</v>
      </c>
      <c r="I3623" t="s">
        <v>76</v>
      </c>
      <c r="J3623" t="s">
        <v>77</v>
      </c>
      <c r="K3623" t="s">
        <v>78</v>
      </c>
      <c r="L3623" t="s">
        <v>90</v>
      </c>
      <c r="M3623" t="s">
        <v>91</v>
      </c>
      <c r="N3623" t="s">
        <v>543</v>
      </c>
      <c r="O3623" t="s">
        <v>82</v>
      </c>
      <c r="P3623" t="str">
        <f>"4170041109                    "</f>
        <v xml:space="preserve">4170041109                    </v>
      </c>
      <c r="Q3623">
        <v>0</v>
      </c>
      <c r="R3623">
        <v>0</v>
      </c>
      <c r="S3623">
        <v>0</v>
      </c>
      <c r="T3623">
        <v>0</v>
      </c>
      <c r="U3623">
        <v>0</v>
      </c>
      <c r="V3623">
        <v>0</v>
      </c>
      <c r="W3623">
        <v>0</v>
      </c>
      <c r="X3623">
        <v>0</v>
      </c>
      <c r="Y3623">
        <v>0</v>
      </c>
      <c r="Z3623">
        <v>0</v>
      </c>
      <c r="AA3623">
        <v>0</v>
      </c>
      <c r="AB3623">
        <v>0</v>
      </c>
      <c r="AC3623">
        <v>0</v>
      </c>
      <c r="AD3623">
        <v>0</v>
      </c>
      <c r="AE3623">
        <v>0</v>
      </c>
      <c r="AF3623">
        <v>0</v>
      </c>
      <c r="AG3623">
        <v>0</v>
      </c>
      <c r="AH3623">
        <v>0</v>
      </c>
      <c r="AI3623">
        <v>0</v>
      </c>
      <c r="AJ3623">
        <v>0</v>
      </c>
      <c r="AK3623">
        <v>0</v>
      </c>
      <c r="AL3623">
        <v>0</v>
      </c>
      <c r="AM3623">
        <v>0</v>
      </c>
      <c r="AN3623">
        <v>0</v>
      </c>
      <c r="AO3623">
        <v>0</v>
      </c>
      <c r="AP3623">
        <v>0</v>
      </c>
      <c r="AQ3623">
        <v>21.38</v>
      </c>
      <c r="AR3623">
        <v>0</v>
      </c>
      <c r="AS3623">
        <v>0</v>
      </c>
      <c r="AT3623">
        <v>0</v>
      </c>
      <c r="AU3623">
        <v>0</v>
      </c>
      <c r="AV3623">
        <v>0</v>
      </c>
      <c r="AW3623">
        <v>0</v>
      </c>
      <c r="AX3623">
        <v>0</v>
      </c>
      <c r="AY3623">
        <v>0</v>
      </c>
      <c r="AZ3623">
        <v>0</v>
      </c>
      <c r="BA3623">
        <v>0</v>
      </c>
      <c r="BB3623">
        <v>0</v>
      </c>
      <c r="BC3623">
        <v>0</v>
      </c>
      <c r="BD3623">
        <v>0</v>
      </c>
      <c r="BE3623">
        <v>0</v>
      </c>
      <c r="BF3623">
        <v>0</v>
      </c>
      <c r="BG3623">
        <v>0</v>
      </c>
      <c r="BH3623">
        <v>1</v>
      </c>
      <c r="BI3623">
        <v>1</v>
      </c>
      <c r="BJ3623">
        <v>0.2</v>
      </c>
      <c r="BK3623">
        <v>1</v>
      </c>
      <c r="BL3623">
        <v>69.98</v>
      </c>
      <c r="BM3623">
        <v>10.5</v>
      </c>
      <c r="BN3623">
        <v>80.48</v>
      </c>
      <c r="BO3623">
        <v>80.48</v>
      </c>
      <c r="BQ3623" t="s">
        <v>544</v>
      </c>
      <c r="BR3623" t="s">
        <v>84</v>
      </c>
      <c r="BS3623" s="3">
        <v>45806</v>
      </c>
      <c r="BT3623" s="4">
        <v>0.35208333333333336</v>
      </c>
      <c r="BU3623" t="s">
        <v>3346</v>
      </c>
      <c r="BV3623" t="s">
        <v>86</v>
      </c>
      <c r="BY3623">
        <v>1200</v>
      </c>
      <c r="CA3623" t="s">
        <v>283</v>
      </c>
      <c r="CC3623" t="s">
        <v>91</v>
      </c>
      <c r="CD3623">
        <v>6001</v>
      </c>
      <c r="CE3623" t="s">
        <v>88</v>
      </c>
      <c r="CF3623" s="3">
        <v>45806</v>
      </c>
      <c r="CI3623">
        <v>1</v>
      </c>
      <c r="CJ3623">
        <v>1</v>
      </c>
      <c r="CK3623">
        <v>21</v>
      </c>
      <c r="CL3623" t="s">
        <v>89</v>
      </c>
    </row>
    <row r="3624" spans="1:90" x14ac:dyDescent="0.3">
      <c r="A3624" t="s">
        <v>72</v>
      </c>
      <c r="B3624" t="s">
        <v>73</v>
      </c>
      <c r="C3624" t="s">
        <v>74</v>
      </c>
      <c r="E3624" t="str">
        <f>"080065614361"</f>
        <v>080065614361</v>
      </c>
      <c r="F3624" s="3">
        <v>45805</v>
      </c>
      <c r="G3624">
        <v>202602</v>
      </c>
      <c r="H3624" t="s">
        <v>75</v>
      </c>
      <c r="I3624" t="s">
        <v>76</v>
      </c>
      <c r="J3624" t="s">
        <v>77</v>
      </c>
      <c r="K3624" t="s">
        <v>78</v>
      </c>
      <c r="L3624" t="s">
        <v>103</v>
      </c>
      <c r="M3624" t="s">
        <v>104</v>
      </c>
      <c r="N3624" t="s">
        <v>105</v>
      </c>
      <c r="O3624" t="s">
        <v>82</v>
      </c>
      <c r="P3624" t="str">
        <f>"4170041049                    "</f>
        <v xml:space="preserve">4170041049                    </v>
      </c>
      <c r="Q3624">
        <v>0</v>
      </c>
      <c r="R3624">
        <v>0</v>
      </c>
      <c r="S3624">
        <v>0</v>
      </c>
      <c r="T3624">
        <v>0</v>
      </c>
      <c r="U3624">
        <v>0</v>
      </c>
      <c r="V3624">
        <v>0</v>
      </c>
      <c r="W3624">
        <v>0</v>
      </c>
      <c r="X3624">
        <v>0</v>
      </c>
      <c r="Y3624">
        <v>0</v>
      </c>
      <c r="Z3624">
        <v>0</v>
      </c>
      <c r="AA3624">
        <v>0</v>
      </c>
      <c r="AB3624">
        <v>0</v>
      </c>
      <c r="AC3624">
        <v>0</v>
      </c>
      <c r="AD3624">
        <v>0</v>
      </c>
      <c r="AE3624">
        <v>0</v>
      </c>
      <c r="AF3624">
        <v>0</v>
      </c>
      <c r="AG3624">
        <v>0</v>
      </c>
      <c r="AH3624">
        <v>0</v>
      </c>
      <c r="AI3624">
        <v>0</v>
      </c>
      <c r="AJ3624">
        <v>0</v>
      </c>
      <c r="AK3624">
        <v>0</v>
      </c>
      <c r="AL3624">
        <v>0</v>
      </c>
      <c r="AM3624">
        <v>0</v>
      </c>
      <c r="AN3624">
        <v>0</v>
      </c>
      <c r="AO3624">
        <v>0</v>
      </c>
      <c r="AP3624">
        <v>0</v>
      </c>
      <c r="AQ3624">
        <v>21.38</v>
      </c>
      <c r="AR3624">
        <v>0</v>
      </c>
      <c r="AS3624">
        <v>0</v>
      </c>
      <c r="AT3624">
        <v>0</v>
      </c>
      <c r="AU3624">
        <v>0</v>
      </c>
      <c r="AV3624">
        <v>0</v>
      </c>
      <c r="AW3624">
        <v>0</v>
      </c>
      <c r="AX3624">
        <v>0</v>
      </c>
      <c r="AY3624">
        <v>0</v>
      </c>
      <c r="AZ3624">
        <v>0</v>
      </c>
      <c r="BA3624">
        <v>0</v>
      </c>
      <c r="BB3624">
        <v>0</v>
      </c>
      <c r="BC3624">
        <v>0</v>
      </c>
      <c r="BD3624">
        <v>0</v>
      </c>
      <c r="BE3624">
        <v>0</v>
      </c>
      <c r="BF3624">
        <v>0</v>
      </c>
      <c r="BG3624">
        <v>0</v>
      </c>
      <c r="BH3624">
        <v>1</v>
      </c>
      <c r="BI3624">
        <v>1</v>
      </c>
      <c r="BJ3624">
        <v>0.2</v>
      </c>
      <c r="BK3624">
        <v>1</v>
      </c>
      <c r="BL3624">
        <v>69.98</v>
      </c>
      <c r="BM3624">
        <v>10.5</v>
      </c>
      <c r="BN3624">
        <v>80.48</v>
      </c>
      <c r="BO3624">
        <v>80.48</v>
      </c>
      <c r="BQ3624" t="s">
        <v>106</v>
      </c>
      <c r="BR3624" t="s">
        <v>84</v>
      </c>
      <c r="BS3624" s="3">
        <v>45806</v>
      </c>
      <c r="BT3624" s="4">
        <v>0.41666666666666669</v>
      </c>
      <c r="BU3624" t="s">
        <v>430</v>
      </c>
      <c r="BV3624" t="s">
        <v>86</v>
      </c>
      <c r="BY3624">
        <v>1200</v>
      </c>
      <c r="CA3624" t="s">
        <v>108</v>
      </c>
      <c r="CC3624" t="s">
        <v>104</v>
      </c>
      <c r="CD3624">
        <v>3201</v>
      </c>
      <c r="CE3624" t="s">
        <v>88</v>
      </c>
      <c r="CI3624">
        <v>1</v>
      </c>
      <c r="CJ3624">
        <v>1</v>
      </c>
      <c r="CK3624">
        <v>21</v>
      </c>
      <c r="CL3624" t="s">
        <v>89</v>
      </c>
    </row>
    <row r="3625" spans="1:90" x14ac:dyDescent="0.3">
      <c r="A3625" t="s">
        <v>72</v>
      </c>
      <c r="B3625" t="s">
        <v>73</v>
      </c>
      <c r="C3625" t="s">
        <v>74</v>
      </c>
      <c r="E3625" t="str">
        <f>"080065614392"</f>
        <v>080065614392</v>
      </c>
      <c r="F3625" s="3">
        <v>45805</v>
      </c>
      <c r="G3625">
        <v>202602</v>
      </c>
      <c r="H3625" t="s">
        <v>75</v>
      </c>
      <c r="I3625" t="s">
        <v>76</v>
      </c>
      <c r="J3625" t="s">
        <v>77</v>
      </c>
      <c r="K3625" t="s">
        <v>78</v>
      </c>
      <c r="L3625" t="s">
        <v>489</v>
      </c>
      <c r="M3625" t="s">
        <v>490</v>
      </c>
      <c r="N3625" t="s">
        <v>491</v>
      </c>
      <c r="O3625" t="s">
        <v>82</v>
      </c>
      <c r="P3625" t="str">
        <f>"4170041113                    "</f>
        <v xml:space="preserve">4170041113                    </v>
      </c>
      <c r="Q3625">
        <v>0</v>
      </c>
      <c r="R3625">
        <v>0</v>
      </c>
      <c r="S3625">
        <v>0</v>
      </c>
      <c r="T3625">
        <v>0</v>
      </c>
      <c r="U3625">
        <v>0</v>
      </c>
      <c r="V3625">
        <v>0</v>
      </c>
      <c r="W3625">
        <v>0</v>
      </c>
      <c r="X3625">
        <v>0</v>
      </c>
      <c r="Y3625">
        <v>0</v>
      </c>
      <c r="Z3625">
        <v>0</v>
      </c>
      <c r="AA3625">
        <v>0</v>
      </c>
      <c r="AB3625">
        <v>0</v>
      </c>
      <c r="AC3625">
        <v>0</v>
      </c>
      <c r="AD3625">
        <v>0</v>
      </c>
      <c r="AE3625">
        <v>0</v>
      </c>
      <c r="AF3625">
        <v>0</v>
      </c>
      <c r="AG3625">
        <v>0</v>
      </c>
      <c r="AH3625">
        <v>0</v>
      </c>
      <c r="AI3625">
        <v>0</v>
      </c>
      <c r="AJ3625">
        <v>0</v>
      </c>
      <c r="AK3625">
        <v>0</v>
      </c>
      <c r="AL3625">
        <v>0</v>
      </c>
      <c r="AM3625">
        <v>0</v>
      </c>
      <c r="AN3625">
        <v>0</v>
      </c>
      <c r="AO3625">
        <v>0</v>
      </c>
      <c r="AP3625">
        <v>0</v>
      </c>
      <c r="AQ3625">
        <v>41.43</v>
      </c>
      <c r="AR3625">
        <v>0</v>
      </c>
      <c r="AS3625">
        <v>0</v>
      </c>
      <c r="AT3625">
        <v>0</v>
      </c>
      <c r="AU3625">
        <v>0</v>
      </c>
      <c r="AV3625">
        <v>0</v>
      </c>
      <c r="AW3625">
        <v>0</v>
      </c>
      <c r="AX3625">
        <v>0</v>
      </c>
      <c r="AY3625">
        <v>0</v>
      </c>
      <c r="AZ3625">
        <v>0</v>
      </c>
      <c r="BA3625">
        <v>0</v>
      </c>
      <c r="BB3625">
        <v>0</v>
      </c>
      <c r="BC3625">
        <v>0</v>
      </c>
      <c r="BD3625">
        <v>0</v>
      </c>
      <c r="BE3625">
        <v>0</v>
      </c>
      <c r="BF3625">
        <v>0</v>
      </c>
      <c r="BG3625">
        <v>0</v>
      </c>
      <c r="BH3625">
        <v>1</v>
      </c>
      <c r="BI3625">
        <v>1</v>
      </c>
      <c r="BJ3625">
        <v>0.2</v>
      </c>
      <c r="BK3625">
        <v>1</v>
      </c>
      <c r="BL3625">
        <v>135.59</v>
      </c>
      <c r="BM3625">
        <v>20.34</v>
      </c>
      <c r="BN3625">
        <v>155.93</v>
      </c>
      <c r="BO3625">
        <v>155.93</v>
      </c>
      <c r="BQ3625" t="s">
        <v>492</v>
      </c>
      <c r="BR3625" t="s">
        <v>84</v>
      </c>
      <c r="BS3625" s="3">
        <v>45806</v>
      </c>
      <c r="BT3625" s="4">
        <v>0.32013888888888886</v>
      </c>
      <c r="BU3625" t="s">
        <v>2530</v>
      </c>
      <c r="BV3625" t="s">
        <v>86</v>
      </c>
      <c r="BY3625">
        <v>1200</v>
      </c>
      <c r="CA3625" t="s">
        <v>913</v>
      </c>
      <c r="CC3625" t="s">
        <v>490</v>
      </c>
      <c r="CD3625">
        <v>2740</v>
      </c>
      <c r="CE3625" t="s">
        <v>88</v>
      </c>
      <c r="CI3625">
        <v>1</v>
      </c>
      <c r="CJ3625">
        <v>1</v>
      </c>
      <c r="CK3625">
        <v>23</v>
      </c>
      <c r="CL3625" t="s">
        <v>89</v>
      </c>
    </row>
    <row r="3626" spans="1:90" x14ac:dyDescent="0.3">
      <c r="A3626" t="s">
        <v>72</v>
      </c>
      <c r="B3626" t="s">
        <v>73</v>
      </c>
      <c r="C3626" t="s">
        <v>74</v>
      </c>
      <c r="E3626" t="str">
        <f>"080065614424"</f>
        <v>080065614424</v>
      </c>
      <c r="F3626" s="3">
        <v>45805</v>
      </c>
      <c r="G3626">
        <v>202602</v>
      </c>
      <c r="H3626" t="s">
        <v>75</v>
      </c>
      <c r="I3626" t="s">
        <v>76</v>
      </c>
      <c r="J3626" t="s">
        <v>77</v>
      </c>
      <c r="K3626" t="s">
        <v>78</v>
      </c>
      <c r="L3626" t="s">
        <v>130</v>
      </c>
      <c r="M3626" t="s">
        <v>131</v>
      </c>
      <c r="N3626" t="s">
        <v>897</v>
      </c>
      <c r="O3626" t="s">
        <v>82</v>
      </c>
      <c r="P3626" t="str">
        <f>"4170041060                    "</f>
        <v xml:space="preserve">4170041060                    </v>
      </c>
      <c r="Q3626">
        <v>0</v>
      </c>
      <c r="R3626">
        <v>0</v>
      </c>
      <c r="S3626">
        <v>0</v>
      </c>
      <c r="T3626">
        <v>0</v>
      </c>
      <c r="U3626">
        <v>0</v>
      </c>
      <c r="V3626">
        <v>0</v>
      </c>
      <c r="W3626">
        <v>0</v>
      </c>
      <c r="X3626">
        <v>0</v>
      </c>
      <c r="Y3626">
        <v>0</v>
      </c>
      <c r="Z3626">
        <v>0</v>
      </c>
      <c r="AA3626">
        <v>0</v>
      </c>
      <c r="AB3626">
        <v>0</v>
      </c>
      <c r="AC3626">
        <v>0</v>
      </c>
      <c r="AD3626">
        <v>0</v>
      </c>
      <c r="AE3626">
        <v>0</v>
      </c>
      <c r="AF3626">
        <v>0</v>
      </c>
      <c r="AG3626">
        <v>0</v>
      </c>
      <c r="AH3626">
        <v>0</v>
      </c>
      <c r="AI3626">
        <v>0</v>
      </c>
      <c r="AJ3626">
        <v>0</v>
      </c>
      <c r="AK3626">
        <v>0</v>
      </c>
      <c r="AL3626">
        <v>0</v>
      </c>
      <c r="AM3626">
        <v>0</v>
      </c>
      <c r="AN3626">
        <v>0</v>
      </c>
      <c r="AO3626">
        <v>0</v>
      </c>
      <c r="AP3626">
        <v>0</v>
      </c>
      <c r="AQ3626">
        <v>21.38</v>
      </c>
      <c r="AR3626">
        <v>0</v>
      </c>
      <c r="AS3626">
        <v>0</v>
      </c>
      <c r="AT3626">
        <v>0</v>
      </c>
      <c r="AU3626">
        <v>0</v>
      </c>
      <c r="AV3626">
        <v>0</v>
      </c>
      <c r="AW3626">
        <v>0</v>
      </c>
      <c r="AX3626">
        <v>0</v>
      </c>
      <c r="AY3626">
        <v>0</v>
      </c>
      <c r="AZ3626">
        <v>0</v>
      </c>
      <c r="BA3626">
        <v>0</v>
      </c>
      <c r="BB3626">
        <v>0</v>
      </c>
      <c r="BC3626">
        <v>0</v>
      </c>
      <c r="BD3626">
        <v>0</v>
      </c>
      <c r="BE3626">
        <v>0</v>
      </c>
      <c r="BF3626">
        <v>0</v>
      </c>
      <c r="BG3626">
        <v>0</v>
      </c>
      <c r="BH3626">
        <v>1</v>
      </c>
      <c r="BI3626">
        <v>1</v>
      </c>
      <c r="BJ3626">
        <v>0.2</v>
      </c>
      <c r="BK3626">
        <v>1</v>
      </c>
      <c r="BL3626">
        <v>69.98</v>
      </c>
      <c r="BM3626">
        <v>10.5</v>
      </c>
      <c r="BN3626">
        <v>80.48</v>
      </c>
      <c r="BO3626">
        <v>80.48</v>
      </c>
      <c r="BQ3626" t="s">
        <v>898</v>
      </c>
      <c r="BR3626" t="s">
        <v>84</v>
      </c>
      <c r="BS3626" s="3">
        <v>45806</v>
      </c>
      <c r="BT3626" s="4">
        <v>0.60555555555555551</v>
      </c>
      <c r="BU3626" t="s">
        <v>899</v>
      </c>
      <c r="BV3626" t="s">
        <v>89</v>
      </c>
      <c r="BW3626" t="s">
        <v>340</v>
      </c>
      <c r="BX3626" t="s">
        <v>596</v>
      </c>
      <c r="BY3626">
        <v>1200</v>
      </c>
      <c r="CA3626" t="s">
        <v>901</v>
      </c>
      <c r="CC3626" t="s">
        <v>131</v>
      </c>
      <c r="CD3626">
        <v>7550</v>
      </c>
      <c r="CE3626" t="s">
        <v>88</v>
      </c>
      <c r="CI3626">
        <v>1</v>
      </c>
      <c r="CJ3626">
        <v>1</v>
      </c>
      <c r="CK3626">
        <v>21</v>
      </c>
      <c r="CL3626" t="s">
        <v>89</v>
      </c>
    </row>
    <row r="3627" spans="1:90" x14ac:dyDescent="0.3">
      <c r="A3627" t="s">
        <v>72</v>
      </c>
      <c r="B3627" t="s">
        <v>73</v>
      </c>
      <c r="C3627" t="s">
        <v>74</v>
      </c>
      <c r="E3627" t="str">
        <f>"080065614455"</f>
        <v>080065614455</v>
      </c>
      <c r="F3627" s="3">
        <v>45805</v>
      </c>
      <c r="G3627">
        <v>202602</v>
      </c>
      <c r="H3627" t="s">
        <v>75</v>
      </c>
      <c r="I3627" t="s">
        <v>76</v>
      </c>
      <c r="J3627" t="s">
        <v>77</v>
      </c>
      <c r="K3627" t="s">
        <v>78</v>
      </c>
      <c r="L3627" t="s">
        <v>130</v>
      </c>
      <c r="M3627" t="s">
        <v>131</v>
      </c>
      <c r="N3627" t="s">
        <v>239</v>
      </c>
      <c r="O3627" t="s">
        <v>82</v>
      </c>
      <c r="P3627" t="str">
        <f>"4170041079                    "</f>
        <v xml:space="preserve">4170041079                    </v>
      </c>
      <c r="Q3627">
        <v>0</v>
      </c>
      <c r="R3627">
        <v>0</v>
      </c>
      <c r="S3627">
        <v>0</v>
      </c>
      <c r="T3627">
        <v>0</v>
      </c>
      <c r="U3627">
        <v>0</v>
      </c>
      <c r="V3627">
        <v>0</v>
      </c>
      <c r="W3627">
        <v>0</v>
      </c>
      <c r="X3627">
        <v>0</v>
      </c>
      <c r="Y3627">
        <v>0</v>
      </c>
      <c r="Z3627">
        <v>0</v>
      </c>
      <c r="AA3627">
        <v>0</v>
      </c>
      <c r="AB3627">
        <v>0</v>
      </c>
      <c r="AC3627">
        <v>0</v>
      </c>
      <c r="AD3627">
        <v>0</v>
      </c>
      <c r="AE3627">
        <v>0</v>
      </c>
      <c r="AF3627">
        <v>0</v>
      </c>
      <c r="AG3627">
        <v>0</v>
      </c>
      <c r="AH3627">
        <v>0</v>
      </c>
      <c r="AI3627">
        <v>0</v>
      </c>
      <c r="AJ3627">
        <v>0</v>
      </c>
      <c r="AK3627">
        <v>0</v>
      </c>
      <c r="AL3627">
        <v>0</v>
      </c>
      <c r="AM3627">
        <v>0</v>
      </c>
      <c r="AN3627">
        <v>0</v>
      </c>
      <c r="AO3627">
        <v>0</v>
      </c>
      <c r="AP3627">
        <v>0</v>
      </c>
      <c r="AQ3627">
        <v>21.38</v>
      </c>
      <c r="AR3627">
        <v>0</v>
      </c>
      <c r="AS3627">
        <v>0</v>
      </c>
      <c r="AT3627">
        <v>0</v>
      </c>
      <c r="AU3627">
        <v>0</v>
      </c>
      <c r="AV3627">
        <v>0</v>
      </c>
      <c r="AW3627">
        <v>0</v>
      </c>
      <c r="AX3627">
        <v>0</v>
      </c>
      <c r="AY3627">
        <v>0</v>
      </c>
      <c r="AZ3627">
        <v>0</v>
      </c>
      <c r="BA3627">
        <v>0</v>
      </c>
      <c r="BB3627">
        <v>0</v>
      </c>
      <c r="BC3627">
        <v>0</v>
      </c>
      <c r="BD3627">
        <v>0</v>
      </c>
      <c r="BE3627">
        <v>0</v>
      </c>
      <c r="BF3627">
        <v>0</v>
      </c>
      <c r="BG3627">
        <v>0</v>
      </c>
      <c r="BH3627">
        <v>1</v>
      </c>
      <c r="BI3627">
        <v>1</v>
      </c>
      <c r="BJ3627">
        <v>0.2</v>
      </c>
      <c r="BK3627">
        <v>1</v>
      </c>
      <c r="BL3627">
        <v>69.98</v>
      </c>
      <c r="BM3627">
        <v>10.5</v>
      </c>
      <c r="BN3627">
        <v>80.48</v>
      </c>
      <c r="BO3627">
        <v>80.48</v>
      </c>
      <c r="BQ3627" t="s">
        <v>240</v>
      </c>
      <c r="BR3627" t="s">
        <v>84</v>
      </c>
      <c r="BS3627" s="3">
        <v>45806</v>
      </c>
      <c r="BT3627" s="4">
        <v>0.36805555555555558</v>
      </c>
      <c r="BU3627" t="s">
        <v>2832</v>
      </c>
      <c r="BV3627" t="s">
        <v>86</v>
      </c>
      <c r="BY3627">
        <v>1200</v>
      </c>
      <c r="CA3627" t="s">
        <v>242</v>
      </c>
      <c r="CC3627" t="s">
        <v>131</v>
      </c>
      <c r="CD3627">
        <v>7441</v>
      </c>
      <c r="CE3627" t="s">
        <v>88</v>
      </c>
      <c r="CI3627">
        <v>1</v>
      </c>
      <c r="CJ3627">
        <v>1</v>
      </c>
      <c r="CK3627">
        <v>21</v>
      </c>
      <c r="CL3627" t="s">
        <v>89</v>
      </c>
    </row>
    <row r="3628" spans="1:90" x14ac:dyDescent="0.3">
      <c r="A3628" t="s">
        <v>72</v>
      </c>
      <c r="B3628" t="s">
        <v>73</v>
      </c>
      <c r="C3628" t="s">
        <v>74</v>
      </c>
      <c r="E3628" t="str">
        <f>"080065614481"</f>
        <v>080065614481</v>
      </c>
      <c r="F3628" s="3">
        <v>45805</v>
      </c>
      <c r="G3628">
        <v>202602</v>
      </c>
      <c r="H3628" t="s">
        <v>75</v>
      </c>
      <c r="I3628" t="s">
        <v>76</v>
      </c>
      <c r="J3628" t="s">
        <v>77</v>
      </c>
      <c r="K3628" t="s">
        <v>78</v>
      </c>
      <c r="L3628" t="s">
        <v>360</v>
      </c>
      <c r="M3628" t="s">
        <v>361</v>
      </c>
      <c r="N3628" t="s">
        <v>362</v>
      </c>
      <c r="O3628" t="s">
        <v>82</v>
      </c>
      <c r="P3628" t="str">
        <f>"4170041041                    "</f>
        <v xml:space="preserve">4170041041                    </v>
      </c>
      <c r="Q3628">
        <v>0</v>
      </c>
      <c r="R3628">
        <v>0</v>
      </c>
      <c r="S3628">
        <v>0</v>
      </c>
      <c r="T3628">
        <v>0</v>
      </c>
      <c r="U3628">
        <v>0</v>
      </c>
      <c r="V3628">
        <v>0</v>
      </c>
      <c r="W3628">
        <v>0</v>
      </c>
      <c r="X3628">
        <v>0</v>
      </c>
      <c r="Y3628">
        <v>0</v>
      </c>
      <c r="Z3628">
        <v>0</v>
      </c>
      <c r="AA3628">
        <v>0</v>
      </c>
      <c r="AB3628">
        <v>0</v>
      </c>
      <c r="AC3628">
        <v>0</v>
      </c>
      <c r="AD3628">
        <v>0</v>
      </c>
      <c r="AE3628">
        <v>0</v>
      </c>
      <c r="AF3628">
        <v>0</v>
      </c>
      <c r="AG3628">
        <v>0</v>
      </c>
      <c r="AH3628">
        <v>0</v>
      </c>
      <c r="AI3628">
        <v>0</v>
      </c>
      <c r="AJ3628">
        <v>0</v>
      </c>
      <c r="AK3628">
        <v>0</v>
      </c>
      <c r="AL3628">
        <v>0</v>
      </c>
      <c r="AM3628">
        <v>0</v>
      </c>
      <c r="AN3628">
        <v>0</v>
      </c>
      <c r="AO3628">
        <v>0</v>
      </c>
      <c r="AP3628">
        <v>0</v>
      </c>
      <c r="AQ3628">
        <v>41.43</v>
      </c>
      <c r="AR3628">
        <v>0</v>
      </c>
      <c r="AS3628">
        <v>0</v>
      </c>
      <c r="AT3628">
        <v>0</v>
      </c>
      <c r="AU3628">
        <v>0</v>
      </c>
      <c r="AV3628">
        <v>0</v>
      </c>
      <c r="AW3628">
        <v>0</v>
      </c>
      <c r="AX3628">
        <v>0</v>
      </c>
      <c r="AY3628">
        <v>0</v>
      </c>
      <c r="AZ3628">
        <v>0</v>
      </c>
      <c r="BA3628">
        <v>0</v>
      </c>
      <c r="BB3628">
        <v>0</v>
      </c>
      <c r="BC3628">
        <v>0</v>
      </c>
      <c r="BD3628">
        <v>0</v>
      </c>
      <c r="BE3628">
        <v>0</v>
      </c>
      <c r="BF3628">
        <v>0</v>
      </c>
      <c r="BG3628">
        <v>0</v>
      </c>
      <c r="BH3628">
        <v>1</v>
      </c>
      <c r="BI3628">
        <v>1</v>
      </c>
      <c r="BJ3628">
        <v>0.2</v>
      </c>
      <c r="BK3628">
        <v>1</v>
      </c>
      <c r="BL3628">
        <v>135.59</v>
      </c>
      <c r="BM3628">
        <v>20.34</v>
      </c>
      <c r="BN3628">
        <v>155.93</v>
      </c>
      <c r="BO3628">
        <v>155.93</v>
      </c>
      <c r="BQ3628" t="s">
        <v>363</v>
      </c>
      <c r="BR3628" t="s">
        <v>84</v>
      </c>
      <c r="BS3628" s="3">
        <v>45806</v>
      </c>
      <c r="BT3628" s="4">
        <v>0.6875</v>
      </c>
      <c r="BU3628" t="s">
        <v>3347</v>
      </c>
      <c r="BV3628" t="s">
        <v>86</v>
      </c>
      <c r="BY3628">
        <v>1200</v>
      </c>
      <c r="CA3628" t="s">
        <v>365</v>
      </c>
      <c r="CC3628" t="s">
        <v>361</v>
      </c>
      <c r="CD3628">
        <v>7300</v>
      </c>
      <c r="CE3628" t="s">
        <v>88</v>
      </c>
      <c r="CI3628">
        <v>1</v>
      </c>
      <c r="CJ3628">
        <v>1</v>
      </c>
      <c r="CK3628">
        <v>23</v>
      </c>
      <c r="CL3628" t="s">
        <v>89</v>
      </c>
    </row>
    <row r="3629" spans="1:90" x14ac:dyDescent="0.3">
      <c r="A3629" t="s">
        <v>72</v>
      </c>
      <c r="B3629" t="s">
        <v>73</v>
      </c>
      <c r="C3629" t="s">
        <v>74</v>
      </c>
      <c r="E3629" t="str">
        <f>"080065614508"</f>
        <v>080065614508</v>
      </c>
      <c r="F3629" s="3">
        <v>45805</v>
      </c>
      <c r="G3629">
        <v>202602</v>
      </c>
      <c r="H3629" t="s">
        <v>75</v>
      </c>
      <c r="I3629" t="s">
        <v>76</v>
      </c>
      <c r="J3629" t="s">
        <v>77</v>
      </c>
      <c r="K3629" t="s">
        <v>78</v>
      </c>
      <c r="L3629" t="s">
        <v>177</v>
      </c>
      <c r="M3629" t="s">
        <v>178</v>
      </c>
      <c r="N3629" t="s">
        <v>393</v>
      </c>
      <c r="O3629" t="s">
        <v>82</v>
      </c>
      <c r="P3629" t="str">
        <f>"4170041074                    "</f>
        <v xml:space="preserve">4170041074                    </v>
      </c>
      <c r="Q3629">
        <v>0</v>
      </c>
      <c r="R3629">
        <v>0</v>
      </c>
      <c r="S3629">
        <v>0</v>
      </c>
      <c r="T3629">
        <v>0</v>
      </c>
      <c r="U3629">
        <v>0</v>
      </c>
      <c r="V3629">
        <v>0</v>
      </c>
      <c r="W3629">
        <v>0</v>
      </c>
      <c r="X3629">
        <v>0</v>
      </c>
      <c r="Y3629">
        <v>0</v>
      </c>
      <c r="Z3629">
        <v>0</v>
      </c>
      <c r="AA3629">
        <v>0</v>
      </c>
      <c r="AB3629">
        <v>0</v>
      </c>
      <c r="AC3629">
        <v>0</v>
      </c>
      <c r="AD3629">
        <v>0</v>
      </c>
      <c r="AE3629">
        <v>0</v>
      </c>
      <c r="AF3629">
        <v>0</v>
      </c>
      <c r="AG3629">
        <v>0</v>
      </c>
      <c r="AH3629">
        <v>0</v>
      </c>
      <c r="AI3629">
        <v>0</v>
      </c>
      <c r="AJ3629">
        <v>0</v>
      </c>
      <c r="AK3629">
        <v>0</v>
      </c>
      <c r="AL3629">
        <v>0</v>
      </c>
      <c r="AM3629">
        <v>0</v>
      </c>
      <c r="AN3629">
        <v>0</v>
      </c>
      <c r="AO3629">
        <v>0</v>
      </c>
      <c r="AP3629">
        <v>0</v>
      </c>
      <c r="AQ3629">
        <v>21.38</v>
      </c>
      <c r="AR3629">
        <v>0</v>
      </c>
      <c r="AS3629">
        <v>0</v>
      </c>
      <c r="AT3629">
        <v>0</v>
      </c>
      <c r="AU3629">
        <v>0</v>
      </c>
      <c r="AV3629">
        <v>0</v>
      </c>
      <c r="AW3629">
        <v>0</v>
      </c>
      <c r="AX3629">
        <v>0</v>
      </c>
      <c r="AY3629">
        <v>0</v>
      </c>
      <c r="AZ3629">
        <v>0</v>
      </c>
      <c r="BA3629">
        <v>0</v>
      </c>
      <c r="BB3629">
        <v>0</v>
      </c>
      <c r="BC3629">
        <v>0</v>
      </c>
      <c r="BD3629">
        <v>0</v>
      </c>
      <c r="BE3629">
        <v>0</v>
      </c>
      <c r="BF3629">
        <v>0</v>
      </c>
      <c r="BG3629">
        <v>0</v>
      </c>
      <c r="BH3629">
        <v>1</v>
      </c>
      <c r="BI3629">
        <v>1</v>
      </c>
      <c r="BJ3629">
        <v>0.2</v>
      </c>
      <c r="BK3629">
        <v>1</v>
      </c>
      <c r="BL3629">
        <v>69.98</v>
      </c>
      <c r="BM3629">
        <v>10.5</v>
      </c>
      <c r="BN3629">
        <v>80.48</v>
      </c>
      <c r="BO3629">
        <v>80.48</v>
      </c>
      <c r="BQ3629" t="s">
        <v>394</v>
      </c>
      <c r="BR3629" t="s">
        <v>84</v>
      </c>
      <c r="BS3629" s="3">
        <v>45806</v>
      </c>
      <c r="BT3629" s="4">
        <v>0.33402777777777776</v>
      </c>
      <c r="BU3629" t="s">
        <v>1728</v>
      </c>
      <c r="BV3629" t="s">
        <v>86</v>
      </c>
      <c r="BY3629">
        <v>1200</v>
      </c>
      <c r="CA3629" t="s">
        <v>182</v>
      </c>
      <c r="CC3629" t="s">
        <v>178</v>
      </c>
      <c r="CD3629">
        <v>6230</v>
      </c>
      <c r="CE3629" t="s">
        <v>88</v>
      </c>
      <c r="CF3629" s="3">
        <v>45806</v>
      </c>
      <c r="CI3629">
        <v>1</v>
      </c>
      <c r="CJ3629">
        <v>1</v>
      </c>
      <c r="CK3629">
        <v>21</v>
      </c>
      <c r="CL3629" t="s">
        <v>89</v>
      </c>
    </row>
    <row r="3630" spans="1:90" x14ac:dyDescent="0.3">
      <c r="A3630" t="s">
        <v>72</v>
      </c>
      <c r="B3630" t="s">
        <v>73</v>
      </c>
      <c r="C3630" t="s">
        <v>74</v>
      </c>
      <c r="E3630" t="str">
        <f>"080065614530"</f>
        <v>080065614530</v>
      </c>
      <c r="F3630" s="3">
        <v>45805</v>
      </c>
      <c r="G3630">
        <v>202602</v>
      </c>
      <c r="H3630" t="s">
        <v>75</v>
      </c>
      <c r="I3630" t="s">
        <v>76</v>
      </c>
      <c r="J3630" t="s">
        <v>77</v>
      </c>
      <c r="K3630" t="s">
        <v>78</v>
      </c>
      <c r="L3630" t="s">
        <v>103</v>
      </c>
      <c r="M3630" t="s">
        <v>104</v>
      </c>
      <c r="N3630" t="s">
        <v>3129</v>
      </c>
      <c r="O3630" t="s">
        <v>82</v>
      </c>
      <c r="P3630" t="str">
        <f>"4170041078                    "</f>
        <v xml:space="preserve">4170041078                    </v>
      </c>
      <c r="Q3630">
        <v>0</v>
      </c>
      <c r="R3630">
        <v>0</v>
      </c>
      <c r="S3630">
        <v>0</v>
      </c>
      <c r="T3630">
        <v>0</v>
      </c>
      <c r="U3630">
        <v>0</v>
      </c>
      <c r="V3630">
        <v>0</v>
      </c>
      <c r="W3630">
        <v>0</v>
      </c>
      <c r="X3630">
        <v>0</v>
      </c>
      <c r="Y3630">
        <v>0</v>
      </c>
      <c r="Z3630">
        <v>0</v>
      </c>
      <c r="AA3630">
        <v>0</v>
      </c>
      <c r="AB3630">
        <v>0</v>
      </c>
      <c r="AC3630">
        <v>0</v>
      </c>
      <c r="AD3630">
        <v>0</v>
      </c>
      <c r="AE3630">
        <v>0</v>
      </c>
      <c r="AF3630">
        <v>0</v>
      </c>
      <c r="AG3630">
        <v>0</v>
      </c>
      <c r="AH3630">
        <v>0</v>
      </c>
      <c r="AI3630">
        <v>0</v>
      </c>
      <c r="AJ3630">
        <v>0</v>
      </c>
      <c r="AK3630">
        <v>0</v>
      </c>
      <c r="AL3630">
        <v>0</v>
      </c>
      <c r="AM3630">
        <v>0</v>
      </c>
      <c r="AN3630">
        <v>0</v>
      </c>
      <c r="AO3630">
        <v>0</v>
      </c>
      <c r="AP3630">
        <v>0</v>
      </c>
      <c r="AQ3630">
        <v>21.38</v>
      </c>
      <c r="AR3630">
        <v>0</v>
      </c>
      <c r="AS3630">
        <v>0</v>
      </c>
      <c r="AT3630">
        <v>0</v>
      </c>
      <c r="AU3630">
        <v>0</v>
      </c>
      <c r="AV3630">
        <v>0</v>
      </c>
      <c r="AW3630">
        <v>0</v>
      </c>
      <c r="AX3630">
        <v>0</v>
      </c>
      <c r="AY3630">
        <v>0</v>
      </c>
      <c r="AZ3630">
        <v>0</v>
      </c>
      <c r="BA3630">
        <v>0</v>
      </c>
      <c r="BB3630">
        <v>0</v>
      </c>
      <c r="BC3630">
        <v>0</v>
      </c>
      <c r="BD3630">
        <v>0</v>
      </c>
      <c r="BE3630">
        <v>0</v>
      </c>
      <c r="BF3630">
        <v>0</v>
      </c>
      <c r="BG3630">
        <v>0</v>
      </c>
      <c r="BH3630">
        <v>1</v>
      </c>
      <c r="BI3630">
        <v>1</v>
      </c>
      <c r="BJ3630">
        <v>0.2</v>
      </c>
      <c r="BK3630">
        <v>1</v>
      </c>
      <c r="BL3630">
        <v>69.98</v>
      </c>
      <c r="BM3630">
        <v>10.5</v>
      </c>
      <c r="BN3630">
        <v>80.48</v>
      </c>
      <c r="BO3630">
        <v>80.48</v>
      </c>
      <c r="BQ3630" t="s">
        <v>3130</v>
      </c>
      <c r="BR3630" t="s">
        <v>84</v>
      </c>
      <c r="BS3630" s="3">
        <v>45806</v>
      </c>
      <c r="BT3630" s="4">
        <v>0.41666666666666669</v>
      </c>
      <c r="BU3630" t="s">
        <v>3348</v>
      </c>
      <c r="BV3630" t="s">
        <v>86</v>
      </c>
      <c r="BY3630">
        <v>1200</v>
      </c>
      <c r="CC3630" t="s">
        <v>104</v>
      </c>
      <c r="CD3630">
        <v>3201</v>
      </c>
      <c r="CE3630" t="s">
        <v>88</v>
      </c>
      <c r="CI3630">
        <v>5</v>
      </c>
      <c r="CJ3630">
        <v>1</v>
      </c>
      <c r="CK3630">
        <v>21</v>
      </c>
      <c r="CL3630" t="s">
        <v>89</v>
      </c>
    </row>
    <row r="3631" spans="1:90" x14ac:dyDescent="0.3">
      <c r="A3631" t="s">
        <v>72</v>
      </c>
      <c r="B3631" t="s">
        <v>73</v>
      </c>
      <c r="C3631" t="s">
        <v>74</v>
      </c>
      <c r="E3631" t="str">
        <f>"080065614555"</f>
        <v>080065614555</v>
      </c>
      <c r="F3631" s="3">
        <v>45805</v>
      </c>
      <c r="G3631">
        <v>202602</v>
      </c>
      <c r="H3631" t="s">
        <v>75</v>
      </c>
      <c r="I3631" t="s">
        <v>76</v>
      </c>
      <c r="J3631" t="s">
        <v>77</v>
      </c>
      <c r="K3631" t="s">
        <v>78</v>
      </c>
      <c r="L3631" t="s">
        <v>579</v>
      </c>
      <c r="M3631" t="s">
        <v>580</v>
      </c>
      <c r="N3631" t="s">
        <v>988</v>
      </c>
      <c r="O3631" t="s">
        <v>82</v>
      </c>
      <c r="P3631" t="str">
        <f>"4170041061                    "</f>
        <v xml:space="preserve">4170041061                    </v>
      </c>
      <c r="Q3631">
        <v>0</v>
      </c>
      <c r="R3631">
        <v>0</v>
      </c>
      <c r="S3631">
        <v>0</v>
      </c>
      <c r="T3631">
        <v>0</v>
      </c>
      <c r="U3631">
        <v>0</v>
      </c>
      <c r="V3631">
        <v>0</v>
      </c>
      <c r="W3631">
        <v>0</v>
      </c>
      <c r="X3631">
        <v>0</v>
      </c>
      <c r="Y3631">
        <v>0</v>
      </c>
      <c r="Z3631">
        <v>0</v>
      </c>
      <c r="AA3631">
        <v>0</v>
      </c>
      <c r="AB3631">
        <v>0</v>
      </c>
      <c r="AC3631">
        <v>0</v>
      </c>
      <c r="AD3631">
        <v>0</v>
      </c>
      <c r="AE3631">
        <v>0</v>
      </c>
      <c r="AF3631">
        <v>0</v>
      </c>
      <c r="AG3631">
        <v>0</v>
      </c>
      <c r="AH3631">
        <v>0</v>
      </c>
      <c r="AI3631">
        <v>0</v>
      </c>
      <c r="AJ3631">
        <v>0</v>
      </c>
      <c r="AK3631">
        <v>0</v>
      </c>
      <c r="AL3631">
        <v>0</v>
      </c>
      <c r="AM3631">
        <v>0</v>
      </c>
      <c r="AN3631">
        <v>0</v>
      </c>
      <c r="AO3631">
        <v>0</v>
      </c>
      <c r="AP3631">
        <v>0</v>
      </c>
      <c r="AQ3631">
        <v>41.43</v>
      </c>
      <c r="AR3631">
        <v>0</v>
      </c>
      <c r="AS3631">
        <v>0</v>
      </c>
      <c r="AT3631">
        <v>0</v>
      </c>
      <c r="AU3631">
        <v>0</v>
      </c>
      <c r="AV3631">
        <v>0</v>
      </c>
      <c r="AW3631">
        <v>0</v>
      </c>
      <c r="AX3631">
        <v>0</v>
      </c>
      <c r="AY3631">
        <v>0</v>
      </c>
      <c r="AZ3631">
        <v>0</v>
      </c>
      <c r="BA3631">
        <v>0</v>
      </c>
      <c r="BB3631">
        <v>0</v>
      </c>
      <c r="BC3631">
        <v>0</v>
      </c>
      <c r="BD3631">
        <v>0</v>
      </c>
      <c r="BE3631">
        <v>0</v>
      </c>
      <c r="BF3631">
        <v>0</v>
      </c>
      <c r="BG3631">
        <v>0</v>
      </c>
      <c r="BH3631">
        <v>1</v>
      </c>
      <c r="BI3631">
        <v>1</v>
      </c>
      <c r="BJ3631">
        <v>0.2</v>
      </c>
      <c r="BK3631">
        <v>1</v>
      </c>
      <c r="BL3631">
        <v>135.59</v>
      </c>
      <c r="BM3631">
        <v>20.34</v>
      </c>
      <c r="BN3631">
        <v>155.93</v>
      </c>
      <c r="BO3631">
        <v>155.93</v>
      </c>
      <c r="BQ3631" t="s">
        <v>989</v>
      </c>
      <c r="BR3631" t="s">
        <v>84</v>
      </c>
      <c r="BS3631" s="3">
        <v>45806</v>
      </c>
      <c r="BT3631" s="4">
        <v>0.32500000000000001</v>
      </c>
      <c r="BU3631" t="s">
        <v>3349</v>
      </c>
      <c r="BV3631" t="s">
        <v>86</v>
      </c>
      <c r="BY3631">
        <v>1200</v>
      </c>
      <c r="CA3631" t="s">
        <v>991</v>
      </c>
      <c r="CC3631" t="s">
        <v>580</v>
      </c>
      <c r="CD3631">
        <v>1035</v>
      </c>
      <c r="CE3631" t="s">
        <v>88</v>
      </c>
      <c r="CF3631" s="3">
        <v>45806</v>
      </c>
      <c r="CI3631">
        <v>1</v>
      </c>
      <c r="CJ3631">
        <v>1</v>
      </c>
      <c r="CK3631">
        <v>23</v>
      </c>
      <c r="CL3631" t="s">
        <v>89</v>
      </c>
    </row>
    <row r="3632" spans="1:90" x14ac:dyDescent="0.3">
      <c r="A3632" t="s">
        <v>72</v>
      </c>
      <c r="B3632" t="s">
        <v>73</v>
      </c>
      <c r="C3632" t="s">
        <v>74</v>
      </c>
      <c r="E3632" t="str">
        <f>"080065614579"</f>
        <v>080065614579</v>
      </c>
      <c r="F3632" s="3">
        <v>45805</v>
      </c>
      <c r="G3632">
        <v>202602</v>
      </c>
      <c r="H3632" t="s">
        <v>75</v>
      </c>
      <c r="I3632" t="s">
        <v>76</v>
      </c>
      <c r="J3632" t="s">
        <v>77</v>
      </c>
      <c r="K3632" t="s">
        <v>78</v>
      </c>
      <c r="L3632" t="s">
        <v>130</v>
      </c>
      <c r="M3632" t="s">
        <v>131</v>
      </c>
      <c r="N3632" t="s">
        <v>239</v>
      </c>
      <c r="O3632" t="s">
        <v>82</v>
      </c>
      <c r="P3632" t="str">
        <f>"4170041055                    "</f>
        <v xml:space="preserve">4170041055                    </v>
      </c>
      <c r="Q3632">
        <v>0</v>
      </c>
      <c r="R3632">
        <v>0</v>
      </c>
      <c r="S3632">
        <v>0</v>
      </c>
      <c r="T3632">
        <v>0</v>
      </c>
      <c r="U3632">
        <v>0</v>
      </c>
      <c r="V3632">
        <v>0</v>
      </c>
      <c r="W3632">
        <v>0</v>
      </c>
      <c r="X3632">
        <v>0</v>
      </c>
      <c r="Y3632">
        <v>0</v>
      </c>
      <c r="Z3632">
        <v>0</v>
      </c>
      <c r="AA3632">
        <v>0</v>
      </c>
      <c r="AB3632">
        <v>0</v>
      </c>
      <c r="AC3632">
        <v>0</v>
      </c>
      <c r="AD3632">
        <v>0</v>
      </c>
      <c r="AE3632">
        <v>0</v>
      </c>
      <c r="AF3632">
        <v>0</v>
      </c>
      <c r="AG3632">
        <v>0</v>
      </c>
      <c r="AH3632">
        <v>0</v>
      </c>
      <c r="AI3632">
        <v>0</v>
      </c>
      <c r="AJ3632">
        <v>0</v>
      </c>
      <c r="AK3632">
        <v>0</v>
      </c>
      <c r="AL3632">
        <v>0</v>
      </c>
      <c r="AM3632">
        <v>0</v>
      </c>
      <c r="AN3632">
        <v>0</v>
      </c>
      <c r="AO3632">
        <v>0</v>
      </c>
      <c r="AP3632">
        <v>0</v>
      </c>
      <c r="AQ3632">
        <v>21.38</v>
      </c>
      <c r="AR3632">
        <v>0</v>
      </c>
      <c r="AS3632">
        <v>0</v>
      </c>
      <c r="AT3632">
        <v>0</v>
      </c>
      <c r="AU3632">
        <v>0</v>
      </c>
      <c r="AV3632">
        <v>0</v>
      </c>
      <c r="AW3632">
        <v>0</v>
      </c>
      <c r="AX3632">
        <v>0</v>
      </c>
      <c r="AY3632">
        <v>0</v>
      </c>
      <c r="AZ3632">
        <v>0</v>
      </c>
      <c r="BA3632">
        <v>0</v>
      </c>
      <c r="BB3632">
        <v>0</v>
      </c>
      <c r="BC3632">
        <v>0</v>
      </c>
      <c r="BD3632">
        <v>0</v>
      </c>
      <c r="BE3632">
        <v>0</v>
      </c>
      <c r="BF3632">
        <v>0</v>
      </c>
      <c r="BG3632">
        <v>0</v>
      </c>
      <c r="BH3632">
        <v>1</v>
      </c>
      <c r="BI3632">
        <v>1</v>
      </c>
      <c r="BJ3632">
        <v>0.2</v>
      </c>
      <c r="BK3632">
        <v>1</v>
      </c>
      <c r="BL3632">
        <v>69.98</v>
      </c>
      <c r="BM3632">
        <v>10.5</v>
      </c>
      <c r="BN3632">
        <v>80.48</v>
      </c>
      <c r="BO3632">
        <v>80.48</v>
      </c>
      <c r="BQ3632" t="s">
        <v>240</v>
      </c>
      <c r="BR3632" t="s">
        <v>84</v>
      </c>
      <c r="BS3632" s="3">
        <v>45806</v>
      </c>
      <c r="BT3632" s="4">
        <v>0.36805555555555558</v>
      </c>
      <c r="BU3632" t="s">
        <v>2832</v>
      </c>
      <c r="BV3632" t="s">
        <v>86</v>
      </c>
      <c r="BY3632">
        <v>1200</v>
      </c>
      <c r="CA3632" t="s">
        <v>242</v>
      </c>
      <c r="CC3632" t="s">
        <v>131</v>
      </c>
      <c r="CD3632">
        <v>7441</v>
      </c>
      <c r="CE3632" t="s">
        <v>88</v>
      </c>
      <c r="CI3632">
        <v>1</v>
      </c>
      <c r="CJ3632">
        <v>1</v>
      </c>
      <c r="CK3632">
        <v>21</v>
      </c>
      <c r="CL3632" t="s">
        <v>89</v>
      </c>
    </row>
    <row r="3633" spans="1:90" x14ac:dyDescent="0.3">
      <c r="A3633" t="s">
        <v>72</v>
      </c>
      <c r="B3633" t="s">
        <v>73</v>
      </c>
      <c r="C3633" t="s">
        <v>74</v>
      </c>
      <c r="E3633" t="str">
        <f>"080065614592"</f>
        <v>080065614592</v>
      </c>
      <c r="F3633" s="3">
        <v>45805</v>
      </c>
      <c r="G3633">
        <v>202602</v>
      </c>
      <c r="H3633" t="s">
        <v>75</v>
      </c>
      <c r="I3633" t="s">
        <v>76</v>
      </c>
      <c r="J3633" t="s">
        <v>77</v>
      </c>
      <c r="K3633" t="s">
        <v>78</v>
      </c>
      <c r="L3633" t="s">
        <v>90</v>
      </c>
      <c r="M3633" t="s">
        <v>91</v>
      </c>
      <c r="N3633" t="s">
        <v>92</v>
      </c>
      <c r="O3633" t="s">
        <v>82</v>
      </c>
      <c r="P3633" t="str">
        <f>"4170041054                    "</f>
        <v xml:space="preserve">4170041054                    </v>
      </c>
      <c r="Q3633">
        <v>0</v>
      </c>
      <c r="R3633">
        <v>0</v>
      </c>
      <c r="S3633">
        <v>0</v>
      </c>
      <c r="T3633">
        <v>0</v>
      </c>
      <c r="U3633">
        <v>0</v>
      </c>
      <c r="V3633">
        <v>0</v>
      </c>
      <c r="W3633">
        <v>0</v>
      </c>
      <c r="X3633">
        <v>0</v>
      </c>
      <c r="Y3633">
        <v>0</v>
      </c>
      <c r="Z3633">
        <v>0</v>
      </c>
      <c r="AA3633">
        <v>0</v>
      </c>
      <c r="AB3633">
        <v>0</v>
      </c>
      <c r="AC3633">
        <v>0</v>
      </c>
      <c r="AD3633">
        <v>0</v>
      </c>
      <c r="AE3633">
        <v>0</v>
      </c>
      <c r="AF3633">
        <v>0</v>
      </c>
      <c r="AG3633">
        <v>0</v>
      </c>
      <c r="AH3633">
        <v>0</v>
      </c>
      <c r="AI3633">
        <v>0</v>
      </c>
      <c r="AJ3633">
        <v>0</v>
      </c>
      <c r="AK3633">
        <v>0</v>
      </c>
      <c r="AL3633">
        <v>0</v>
      </c>
      <c r="AM3633">
        <v>0</v>
      </c>
      <c r="AN3633">
        <v>0</v>
      </c>
      <c r="AO3633">
        <v>0</v>
      </c>
      <c r="AP3633">
        <v>0</v>
      </c>
      <c r="AQ3633">
        <v>37.409999999999997</v>
      </c>
      <c r="AR3633">
        <v>0</v>
      </c>
      <c r="AS3633">
        <v>0</v>
      </c>
      <c r="AT3633">
        <v>0</v>
      </c>
      <c r="AU3633">
        <v>0</v>
      </c>
      <c r="AV3633">
        <v>0</v>
      </c>
      <c r="AW3633">
        <v>0</v>
      </c>
      <c r="AX3633">
        <v>0</v>
      </c>
      <c r="AY3633">
        <v>0</v>
      </c>
      <c r="AZ3633">
        <v>0</v>
      </c>
      <c r="BA3633">
        <v>0</v>
      </c>
      <c r="BB3633">
        <v>0</v>
      </c>
      <c r="BC3633">
        <v>0</v>
      </c>
      <c r="BD3633">
        <v>0</v>
      </c>
      <c r="BE3633">
        <v>0</v>
      </c>
      <c r="BF3633">
        <v>0</v>
      </c>
      <c r="BG3633">
        <v>0</v>
      </c>
      <c r="BH3633">
        <v>1</v>
      </c>
      <c r="BI3633">
        <v>2</v>
      </c>
      <c r="BJ3633">
        <v>3.4</v>
      </c>
      <c r="BK3633">
        <v>3.5</v>
      </c>
      <c r="BL3633">
        <v>122.43</v>
      </c>
      <c r="BM3633">
        <v>18.36</v>
      </c>
      <c r="BN3633">
        <v>140.79</v>
      </c>
      <c r="BO3633">
        <v>140.79</v>
      </c>
      <c r="BQ3633" t="s">
        <v>93</v>
      </c>
      <c r="BR3633" t="s">
        <v>84</v>
      </c>
      <c r="BS3633" s="3">
        <v>45806</v>
      </c>
      <c r="BT3633" s="4">
        <v>0.40486111111111112</v>
      </c>
      <c r="BU3633" t="s">
        <v>205</v>
      </c>
      <c r="BV3633" t="s">
        <v>86</v>
      </c>
      <c r="BY3633">
        <v>16965</v>
      </c>
      <c r="CA3633" t="s">
        <v>95</v>
      </c>
      <c r="CC3633" t="s">
        <v>91</v>
      </c>
      <c r="CD3633">
        <v>6001</v>
      </c>
      <c r="CE3633" t="s">
        <v>96</v>
      </c>
      <c r="CF3633" s="3">
        <v>45806</v>
      </c>
      <c r="CI3633">
        <v>1</v>
      </c>
      <c r="CJ3633">
        <v>1</v>
      </c>
      <c r="CK3633">
        <v>21</v>
      </c>
      <c r="CL3633" t="s">
        <v>89</v>
      </c>
    </row>
    <row r="3634" spans="1:90" x14ac:dyDescent="0.3">
      <c r="A3634" t="s">
        <v>72</v>
      </c>
      <c r="B3634" t="s">
        <v>73</v>
      </c>
      <c r="C3634" t="s">
        <v>74</v>
      </c>
      <c r="E3634" t="str">
        <f>"080065614617"</f>
        <v>080065614617</v>
      </c>
      <c r="F3634" s="3">
        <v>45805</v>
      </c>
      <c r="G3634">
        <v>202602</v>
      </c>
      <c r="H3634" t="s">
        <v>75</v>
      </c>
      <c r="I3634" t="s">
        <v>76</v>
      </c>
      <c r="J3634" t="s">
        <v>77</v>
      </c>
      <c r="K3634" t="s">
        <v>78</v>
      </c>
      <c r="L3634" t="s">
        <v>648</v>
      </c>
      <c r="M3634" t="s">
        <v>649</v>
      </c>
      <c r="N3634" t="s">
        <v>3350</v>
      </c>
      <c r="O3634" t="s">
        <v>82</v>
      </c>
      <c r="P3634" t="str">
        <f>"4170041020                    "</f>
        <v xml:space="preserve">4170041020                    </v>
      </c>
      <c r="Q3634">
        <v>0</v>
      </c>
      <c r="R3634">
        <v>0</v>
      </c>
      <c r="S3634">
        <v>0</v>
      </c>
      <c r="T3634">
        <v>0</v>
      </c>
      <c r="U3634">
        <v>0</v>
      </c>
      <c r="V3634">
        <v>0</v>
      </c>
      <c r="W3634">
        <v>0</v>
      </c>
      <c r="X3634">
        <v>0</v>
      </c>
      <c r="Y3634">
        <v>0</v>
      </c>
      <c r="Z3634">
        <v>0</v>
      </c>
      <c r="AA3634">
        <v>0</v>
      </c>
      <c r="AB3634">
        <v>0</v>
      </c>
      <c r="AC3634">
        <v>0</v>
      </c>
      <c r="AD3634">
        <v>0</v>
      </c>
      <c r="AE3634">
        <v>0</v>
      </c>
      <c r="AF3634">
        <v>0</v>
      </c>
      <c r="AG3634">
        <v>0</v>
      </c>
      <c r="AH3634">
        <v>0</v>
      </c>
      <c r="AI3634">
        <v>0</v>
      </c>
      <c r="AJ3634">
        <v>0</v>
      </c>
      <c r="AK3634">
        <v>0</v>
      </c>
      <c r="AL3634">
        <v>0</v>
      </c>
      <c r="AM3634">
        <v>0</v>
      </c>
      <c r="AN3634">
        <v>0</v>
      </c>
      <c r="AO3634">
        <v>0</v>
      </c>
      <c r="AP3634">
        <v>0</v>
      </c>
      <c r="AQ3634">
        <v>16.7</v>
      </c>
      <c r="AR3634">
        <v>0</v>
      </c>
      <c r="AS3634">
        <v>0</v>
      </c>
      <c r="AT3634">
        <v>0</v>
      </c>
      <c r="AU3634">
        <v>0</v>
      </c>
      <c r="AV3634">
        <v>0</v>
      </c>
      <c r="AW3634">
        <v>0</v>
      </c>
      <c r="AX3634">
        <v>0</v>
      </c>
      <c r="AY3634">
        <v>0</v>
      </c>
      <c r="AZ3634">
        <v>0</v>
      </c>
      <c r="BA3634">
        <v>0</v>
      </c>
      <c r="BB3634">
        <v>0</v>
      </c>
      <c r="BC3634">
        <v>0</v>
      </c>
      <c r="BD3634">
        <v>0</v>
      </c>
      <c r="BE3634">
        <v>0</v>
      </c>
      <c r="BF3634">
        <v>0</v>
      </c>
      <c r="BG3634">
        <v>0</v>
      </c>
      <c r="BH3634">
        <v>1</v>
      </c>
      <c r="BI3634">
        <v>1</v>
      </c>
      <c r="BJ3634">
        <v>1.1000000000000001</v>
      </c>
      <c r="BK3634">
        <v>2</v>
      </c>
      <c r="BL3634">
        <v>54.66</v>
      </c>
      <c r="BM3634">
        <v>8.1999999999999993</v>
      </c>
      <c r="BN3634">
        <v>62.86</v>
      </c>
      <c r="BO3634">
        <v>62.86</v>
      </c>
      <c r="BQ3634" t="s">
        <v>3351</v>
      </c>
      <c r="BR3634" t="s">
        <v>84</v>
      </c>
      <c r="BS3634" s="3">
        <v>45806</v>
      </c>
      <c r="BT3634" s="4">
        <v>0.375</v>
      </c>
      <c r="BU3634" t="s">
        <v>3352</v>
      </c>
      <c r="BV3634" t="s">
        <v>86</v>
      </c>
      <c r="BY3634">
        <v>5320</v>
      </c>
      <c r="CA3634" t="s">
        <v>698</v>
      </c>
      <c r="CC3634" t="s">
        <v>649</v>
      </c>
      <c r="CD3634">
        <v>1559</v>
      </c>
      <c r="CE3634" t="s">
        <v>116</v>
      </c>
      <c r="CF3634" s="3">
        <v>45806</v>
      </c>
      <c r="CI3634">
        <v>1</v>
      </c>
      <c r="CJ3634">
        <v>1</v>
      </c>
      <c r="CK3634">
        <v>22</v>
      </c>
      <c r="CL3634" t="s">
        <v>89</v>
      </c>
    </row>
    <row r="3635" spans="1:90" x14ac:dyDescent="0.3">
      <c r="A3635" t="s">
        <v>72</v>
      </c>
      <c r="B3635" t="s">
        <v>73</v>
      </c>
      <c r="C3635" t="s">
        <v>74</v>
      </c>
      <c r="E3635" t="str">
        <f>"080065614638"</f>
        <v>080065614638</v>
      </c>
      <c r="F3635" s="3">
        <v>45805</v>
      </c>
      <c r="G3635">
        <v>202602</v>
      </c>
      <c r="H3635" t="s">
        <v>75</v>
      </c>
      <c r="I3635" t="s">
        <v>76</v>
      </c>
      <c r="J3635" t="s">
        <v>77</v>
      </c>
      <c r="K3635" t="s">
        <v>78</v>
      </c>
      <c r="L3635" t="s">
        <v>143</v>
      </c>
      <c r="M3635" t="s">
        <v>144</v>
      </c>
      <c r="N3635" t="s">
        <v>1312</v>
      </c>
      <c r="O3635" t="s">
        <v>82</v>
      </c>
      <c r="P3635" t="str">
        <f>"4170041104                    "</f>
        <v xml:space="preserve">4170041104                    </v>
      </c>
      <c r="Q3635">
        <v>0</v>
      </c>
      <c r="R3635">
        <v>0</v>
      </c>
      <c r="S3635">
        <v>0</v>
      </c>
      <c r="T3635">
        <v>0</v>
      </c>
      <c r="U3635">
        <v>0</v>
      </c>
      <c r="V3635">
        <v>0</v>
      </c>
      <c r="W3635">
        <v>0</v>
      </c>
      <c r="X3635">
        <v>0</v>
      </c>
      <c r="Y3635">
        <v>0</v>
      </c>
      <c r="Z3635">
        <v>0</v>
      </c>
      <c r="AA3635">
        <v>0</v>
      </c>
      <c r="AB3635">
        <v>0</v>
      </c>
      <c r="AC3635">
        <v>0</v>
      </c>
      <c r="AD3635">
        <v>0</v>
      </c>
      <c r="AE3635">
        <v>0</v>
      </c>
      <c r="AF3635">
        <v>0</v>
      </c>
      <c r="AG3635">
        <v>0</v>
      </c>
      <c r="AH3635">
        <v>0</v>
      </c>
      <c r="AI3635">
        <v>0</v>
      </c>
      <c r="AJ3635">
        <v>0</v>
      </c>
      <c r="AK3635">
        <v>0</v>
      </c>
      <c r="AL3635">
        <v>0</v>
      </c>
      <c r="AM3635">
        <v>0</v>
      </c>
      <c r="AN3635">
        <v>0</v>
      </c>
      <c r="AO3635">
        <v>0</v>
      </c>
      <c r="AP3635">
        <v>0</v>
      </c>
      <c r="AQ3635">
        <v>16.7</v>
      </c>
      <c r="AR3635">
        <v>0</v>
      </c>
      <c r="AS3635">
        <v>0</v>
      </c>
      <c r="AT3635">
        <v>0</v>
      </c>
      <c r="AU3635">
        <v>0</v>
      </c>
      <c r="AV3635">
        <v>0</v>
      </c>
      <c r="AW3635">
        <v>0</v>
      </c>
      <c r="AX3635">
        <v>0</v>
      </c>
      <c r="AY3635">
        <v>0</v>
      </c>
      <c r="AZ3635">
        <v>0</v>
      </c>
      <c r="BA3635">
        <v>0</v>
      </c>
      <c r="BB3635">
        <v>0</v>
      </c>
      <c r="BC3635">
        <v>0</v>
      </c>
      <c r="BD3635">
        <v>0</v>
      </c>
      <c r="BE3635">
        <v>0</v>
      </c>
      <c r="BF3635">
        <v>0</v>
      </c>
      <c r="BG3635">
        <v>0</v>
      </c>
      <c r="BH3635">
        <v>1</v>
      </c>
      <c r="BI3635">
        <v>1</v>
      </c>
      <c r="BJ3635">
        <v>0.6</v>
      </c>
      <c r="BK3635">
        <v>1</v>
      </c>
      <c r="BL3635">
        <v>54.66</v>
      </c>
      <c r="BM3635">
        <v>8.1999999999999993</v>
      </c>
      <c r="BN3635">
        <v>62.86</v>
      </c>
      <c r="BO3635">
        <v>62.86</v>
      </c>
      <c r="BQ3635" t="s">
        <v>1313</v>
      </c>
      <c r="BR3635" t="s">
        <v>84</v>
      </c>
      <c r="BS3635" s="3">
        <v>45806</v>
      </c>
      <c r="BT3635" s="4">
        <v>0.40277777777777779</v>
      </c>
      <c r="BU3635" t="s">
        <v>2501</v>
      </c>
      <c r="BV3635" t="s">
        <v>86</v>
      </c>
      <c r="BY3635">
        <v>3192</v>
      </c>
      <c r="CA3635" t="s">
        <v>150</v>
      </c>
      <c r="CC3635" t="s">
        <v>144</v>
      </c>
      <c r="CD3635">
        <v>1429</v>
      </c>
      <c r="CE3635" t="s">
        <v>116</v>
      </c>
      <c r="CF3635" s="3">
        <v>45806</v>
      </c>
      <c r="CI3635">
        <v>1</v>
      </c>
      <c r="CJ3635">
        <v>1</v>
      </c>
      <c r="CK3635">
        <v>22</v>
      </c>
      <c r="CL3635" t="s">
        <v>89</v>
      </c>
    </row>
    <row r="3636" spans="1:90" x14ac:dyDescent="0.3">
      <c r="A3636" t="s">
        <v>72</v>
      </c>
      <c r="B3636" t="s">
        <v>73</v>
      </c>
      <c r="C3636" t="s">
        <v>74</v>
      </c>
      <c r="E3636" t="str">
        <f>"080065614663"</f>
        <v>080065614663</v>
      </c>
      <c r="F3636" s="3">
        <v>45805</v>
      </c>
      <c r="G3636">
        <v>202602</v>
      </c>
      <c r="H3636" t="s">
        <v>75</v>
      </c>
      <c r="I3636" t="s">
        <v>76</v>
      </c>
      <c r="J3636" t="s">
        <v>77</v>
      </c>
      <c r="K3636" t="s">
        <v>78</v>
      </c>
      <c r="L3636" t="s">
        <v>97</v>
      </c>
      <c r="M3636" t="s">
        <v>98</v>
      </c>
      <c r="N3636" t="s">
        <v>1859</v>
      </c>
      <c r="O3636" t="s">
        <v>82</v>
      </c>
      <c r="P3636" t="str">
        <f>"4170040936                    "</f>
        <v xml:space="preserve">4170040936                    </v>
      </c>
      <c r="Q3636">
        <v>0</v>
      </c>
      <c r="R3636">
        <v>0</v>
      </c>
      <c r="S3636">
        <v>0</v>
      </c>
      <c r="T3636">
        <v>0</v>
      </c>
      <c r="U3636">
        <v>0</v>
      </c>
      <c r="V3636">
        <v>0</v>
      </c>
      <c r="W3636">
        <v>0</v>
      </c>
      <c r="X3636">
        <v>0</v>
      </c>
      <c r="Y3636">
        <v>0</v>
      </c>
      <c r="Z3636">
        <v>0</v>
      </c>
      <c r="AA3636">
        <v>0</v>
      </c>
      <c r="AB3636">
        <v>0</v>
      </c>
      <c r="AC3636">
        <v>0</v>
      </c>
      <c r="AD3636">
        <v>0</v>
      </c>
      <c r="AE3636">
        <v>0</v>
      </c>
      <c r="AF3636">
        <v>0</v>
      </c>
      <c r="AG3636">
        <v>0</v>
      </c>
      <c r="AH3636">
        <v>0</v>
      </c>
      <c r="AI3636">
        <v>0</v>
      </c>
      <c r="AJ3636">
        <v>0</v>
      </c>
      <c r="AK3636">
        <v>0</v>
      </c>
      <c r="AL3636">
        <v>0</v>
      </c>
      <c r="AM3636">
        <v>0</v>
      </c>
      <c r="AN3636">
        <v>0</v>
      </c>
      <c r="AO3636">
        <v>0</v>
      </c>
      <c r="AP3636">
        <v>0</v>
      </c>
      <c r="AQ3636">
        <v>16.7</v>
      </c>
      <c r="AR3636">
        <v>0</v>
      </c>
      <c r="AS3636">
        <v>0</v>
      </c>
      <c r="AT3636">
        <v>0</v>
      </c>
      <c r="AU3636">
        <v>0</v>
      </c>
      <c r="AV3636">
        <v>0</v>
      </c>
      <c r="AW3636">
        <v>0</v>
      </c>
      <c r="AX3636">
        <v>0</v>
      </c>
      <c r="AY3636">
        <v>0</v>
      </c>
      <c r="AZ3636">
        <v>0</v>
      </c>
      <c r="BA3636">
        <v>0</v>
      </c>
      <c r="BB3636">
        <v>0</v>
      </c>
      <c r="BC3636">
        <v>0</v>
      </c>
      <c r="BD3636">
        <v>0</v>
      </c>
      <c r="BE3636">
        <v>0</v>
      </c>
      <c r="BF3636">
        <v>0</v>
      </c>
      <c r="BG3636">
        <v>0</v>
      </c>
      <c r="BH3636">
        <v>1</v>
      </c>
      <c r="BI3636">
        <v>3</v>
      </c>
      <c r="BJ3636">
        <v>1.7</v>
      </c>
      <c r="BK3636">
        <v>3</v>
      </c>
      <c r="BL3636">
        <v>54.66</v>
      </c>
      <c r="BM3636">
        <v>8.1999999999999993</v>
      </c>
      <c r="BN3636">
        <v>62.86</v>
      </c>
      <c r="BO3636">
        <v>62.86</v>
      </c>
      <c r="BQ3636" t="s">
        <v>1860</v>
      </c>
      <c r="BR3636" t="s">
        <v>84</v>
      </c>
      <c r="BS3636" s="3">
        <v>45806</v>
      </c>
      <c r="BT3636" s="4">
        <v>0.39027777777777778</v>
      </c>
      <c r="BU3636" t="s">
        <v>2283</v>
      </c>
      <c r="BV3636" t="s">
        <v>86</v>
      </c>
      <c r="BY3636">
        <v>8512</v>
      </c>
      <c r="CA3636" t="s">
        <v>175</v>
      </c>
      <c r="CC3636" t="s">
        <v>98</v>
      </c>
      <c r="CD3636">
        <v>1459</v>
      </c>
      <c r="CE3636" t="s">
        <v>116</v>
      </c>
      <c r="CF3636" s="3">
        <v>45806</v>
      </c>
      <c r="CI3636">
        <v>1</v>
      </c>
      <c r="CJ3636">
        <v>1</v>
      </c>
      <c r="CK3636">
        <v>22</v>
      </c>
      <c r="CL3636" t="s">
        <v>89</v>
      </c>
    </row>
    <row r="3637" spans="1:90" x14ac:dyDescent="0.3">
      <c r="A3637" t="s">
        <v>72</v>
      </c>
      <c r="B3637" t="s">
        <v>73</v>
      </c>
      <c r="C3637" t="s">
        <v>74</v>
      </c>
      <c r="E3637" t="str">
        <f>"080065614999"</f>
        <v>080065614999</v>
      </c>
      <c r="F3637" s="3">
        <v>45805</v>
      </c>
      <c r="G3637">
        <v>202602</v>
      </c>
      <c r="H3637" t="s">
        <v>75</v>
      </c>
      <c r="I3637" t="s">
        <v>76</v>
      </c>
      <c r="J3637" t="s">
        <v>77</v>
      </c>
      <c r="K3637" t="s">
        <v>78</v>
      </c>
      <c r="L3637" t="s">
        <v>177</v>
      </c>
      <c r="M3637" t="s">
        <v>178</v>
      </c>
      <c r="N3637" t="s">
        <v>212</v>
      </c>
      <c r="O3637" t="s">
        <v>82</v>
      </c>
      <c r="P3637" t="str">
        <f>"4170040995                    "</f>
        <v xml:space="preserve">4170040995                    </v>
      </c>
      <c r="Q3637">
        <v>0</v>
      </c>
      <c r="R3637">
        <v>0</v>
      </c>
      <c r="S3637">
        <v>0</v>
      </c>
      <c r="T3637">
        <v>0</v>
      </c>
      <c r="U3637">
        <v>0</v>
      </c>
      <c r="V3637">
        <v>0</v>
      </c>
      <c r="W3637">
        <v>0</v>
      </c>
      <c r="X3637">
        <v>0</v>
      </c>
      <c r="Y3637">
        <v>0</v>
      </c>
      <c r="Z3637">
        <v>0</v>
      </c>
      <c r="AA3637">
        <v>0</v>
      </c>
      <c r="AB3637">
        <v>0</v>
      </c>
      <c r="AC3637">
        <v>0</v>
      </c>
      <c r="AD3637">
        <v>0</v>
      </c>
      <c r="AE3637">
        <v>0</v>
      </c>
      <c r="AF3637">
        <v>0</v>
      </c>
      <c r="AG3637">
        <v>0</v>
      </c>
      <c r="AH3637">
        <v>0</v>
      </c>
      <c r="AI3637">
        <v>0</v>
      </c>
      <c r="AJ3637">
        <v>0</v>
      </c>
      <c r="AK3637">
        <v>0</v>
      </c>
      <c r="AL3637">
        <v>0</v>
      </c>
      <c r="AM3637">
        <v>0</v>
      </c>
      <c r="AN3637">
        <v>0</v>
      </c>
      <c r="AO3637">
        <v>0</v>
      </c>
      <c r="AP3637">
        <v>0</v>
      </c>
      <c r="AQ3637">
        <v>21.38</v>
      </c>
      <c r="AR3637">
        <v>0</v>
      </c>
      <c r="AS3637">
        <v>0</v>
      </c>
      <c r="AT3637">
        <v>0</v>
      </c>
      <c r="AU3637">
        <v>0</v>
      </c>
      <c r="AV3637">
        <v>0</v>
      </c>
      <c r="AW3637">
        <v>0</v>
      </c>
      <c r="AX3637">
        <v>0</v>
      </c>
      <c r="AY3637">
        <v>0</v>
      </c>
      <c r="AZ3637">
        <v>0</v>
      </c>
      <c r="BA3637">
        <v>0</v>
      </c>
      <c r="BB3637">
        <v>0</v>
      </c>
      <c r="BC3637">
        <v>0</v>
      </c>
      <c r="BD3637">
        <v>0</v>
      </c>
      <c r="BE3637">
        <v>0</v>
      </c>
      <c r="BF3637">
        <v>0</v>
      </c>
      <c r="BG3637">
        <v>0</v>
      </c>
      <c r="BH3637">
        <v>1</v>
      </c>
      <c r="BI3637">
        <v>1</v>
      </c>
      <c r="BJ3637">
        <v>0.2</v>
      </c>
      <c r="BK3637">
        <v>1</v>
      </c>
      <c r="BL3637">
        <v>69.98</v>
      </c>
      <c r="BM3637">
        <v>10.5</v>
      </c>
      <c r="BN3637">
        <v>80.48</v>
      </c>
      <c r="BO3637">
        <v>80.48</v>
      </c>
      <c r="BQ3637" t="s">
        <v>213</v>
      </c>
      <c r="BR3637" t="s">
        <v>84</v>
      </c>
      <c r="BS3637" s="3">
        <v>45806</v>
      </c>
      <c r="BT3637" s="4">
        <v>0.34930555555555554</v>
      </c>
      <c r="BU3637" t="s">
        <v>1568</v>
      </c>
      <c r="BV3637" t="s">
        <v>86</v>
      </c>
      <c r="BY3637">
        <v>1200</v>
      </c>
      <c r="CA3637" t="s">
        <v>182</v>
      </c>
      <c r="CC3637" t="s">
        <v>178</v>
      </c>
      <c r="CD3637">
        <v>6229</v>
      </c>
      <c r="CE3637" t="s">
        <v>88</v>
      </c>
      <c r="CF3637" s="3">
        <v>45806</v>
      </c>
      <c r="CI3637">
        <v>1</v>
      </c>
      <c r="CJ3637">
        <v>1</v>
      </c>
      <c r="CK3637">
        <v>21</v>
      </c>
      <c r="CL3637" t="s">
        <v>89</v>
      </c>
    </row>
    <row r="3638" spans="1:90" x14ac:dyDescent="0.3">
      <c r="A3638" t="s">
        <v>72</v>
      </c>
      <c r="B3638" t="s">
        <v>73</v>
      </c>
      <c r="C3638" t="s">
        <v>74</v>
      </c>
      <c r="E3638" t="str">
        <f>"080065615021"</f>
        <v>080065615021</v>
      </c>
      <c r="F3638" s="3">
        <v>45805</v>
      </c>
      <c r="G3638">
        <v>202602</v>
      </c>
      <c r="H3638" t="s">
        <v>75</v>
      </c>
      <c r="I3638" t="s">
        <v>76</v>
      </c>
      <c r="J3638" t="s">
        <v>77</v>
      </c>
      <c r="K3638" t="s">
        <v>78</v>
      </c>
      <c r="L3638" t="s">
        <v>177</v>
      </c>
      <c r="M3638" t="s">
        <v>178</v>
      </c>
      <c r="N3638" t="s">
        <v>212</v>
      </c>
      <c r="O3638" t="s">
        <v>82</v>
      </c>
      <c r="P3638" t="str">
        <f>"4170040994                    "</f>
        <v xml:space="preserve">4170040994                    </v>
      </c>
      <c r="Q3638">
        <v>0</v>
      </c>
      <c r="R3638">
        <v>0</v>
      </c>
      <c r="S3638">
        <v>0</v>
      </c>
      <c r="T3638">
        <v>0</v>
      </c>
      <c r="U3638">
        <v>0</v>
      </c>
      <c r="V3638">
        <v>0</v>
      </c>
      <c r="W3638">
        <v>0</v>
      </c>
      <c r="X3638">
        <v>0</v>
      </c>
      <c r="Y3638">
        <v>0</v>
      </c>
      <c r="Z3638">
        <v>0</v>
      </c>
      <c r="AA3638">
        <v>0</v>
      </c>
      <c r="AB3638">
        <v>0</v>
      </c>
      <c r="AC3638">
        <v>0</v>
      </c>
      <c r="AD3638">
        <v>0</v>
      </c>
      <c r="AE3638">
        <v>0</v>
      </c>
      <c r="AF3638">
        <v>0</v>
      </c>
      <c r="AG3638">
        <v>0</v>
      </c>
      <c r="AH3638">
        <v>0</v>
      </c>
      <c r="AI3638">
        <v>0</v>
      </c>
      <c r="AJ3638">
        <v>0</v>
      </c>
      <c r="AK3638">
        <v>0</v>
      </c>
      <c r="AL3638">
        <v>0</v>
      </c>
      <c r="AM3638">
        <v>0</v>
      </c>
      <c r="AN3638">
        <v>0</v>
      </c>
      <c r="AO3638">
        <v>0</v>
      </c>
      <c r="AP3638">
        <v>0</v>
      </c>
      <c r="AQ3638">
        <v>21.38</v>
      </c>
      <c r="AR3638">
        <v>0</v>
      </c>
      <c r="AS3638">
        <v>0</v>
      </c>
      <c r="AT3638">
        <v>0</v>
      </c>
      <c r="AU3638">
        <v>0</v>
      </c>
      <c r="AV3638">
        <v>0</v>
      </c>
      <c r="AW3638">
        <v>0</v>
      </c>
      <c r="AX3638">
        <v>0</v>
      </c>
      <c r="AY3638">
        <v>0</v>
      </c>
      <c r="AZ3638">
        <v>0</v>
      </c>
      <c r="BA3638">
        <v>0</v>
      </c>
      <c r="BB3638">
        <v>0</v>
      </c>
      <c r="BC3638">
        <v>0</v>
      </c>
      <c r="BD3638">
        <v>0</v>
      </c>
      <c r="BE3638">
        <v>0</v>
      </c>
      <c r="BF3638">
        <v>0</v>
      </c>
      <c r="BG3638">
        <v>0</v>
      </c>
      <c r="BH3638">
        <v>1</v>
      </c>
      <c r="BI3638">
        <v>1</v>
      </c>
      <c r="BJ3638">
        <v>0.2</v>
      </c>
      <c r="BK3638">
        <v>1</v>
      </c>
      <c r="BL3638">
        <v>69.98</v>
      </c>
      <c r="BM3638">
        <v>10.5</v>
      </c>
      <c r="BN3638">
        <v>80.48</v>
      </c>
      <c r="BO3638">
        <v>80.48</v>
      </c>
      <c r="BQ3638" t="s">
        <v>213</v>
      </c>
      <c r="BR3638" t="s">
        <v>84</v>
      </c>
      <c r="BS3638" s="3">
        <v>45806</v>
      </c>
      <c r="BT3638" s="4">
        <v>0.34930555555555554</v>
      </c>
      <c r="BU3638" t="s">
        <v>1568</v>
      </c>
      <c r="BV3638" t="s">
        <v>86</v>
      </c>
      <c r="BY3638">
        <v>1200</v>
      </c>
      <c r="CA3638" t="s">
        <v>182</v>
      </c>
      <c r="CC3638" t="s">
        <v>178</v>
      </c>
      <c r="CD3638">
        <v>6229</v>
      </c>
      <c r="CE3638" t="s">
        <v>88</v>
      </c>
      <c r="CF3638" s="3">
        <v>45806</v>
      </c>
      <c r="CI3638">
        <v>1</v>
      </c>
      <c r="CJ3638">
        <v>1</v>
      </c>
      <c r="CK3638">
        <v>21</v>
      </c>
      <c r="CL3638" t="s">
        <v>89</v>
      </c>
    </row>
    <row r="3639" spans="1:90" x14ac:dyDescent="0.3">
      <c r="A3639" t="s">
        <v>72</v>
      </c>
      <c r="B3639" t="s">
        <v>73</v>
      </c>
      <c r="C3639" t="s">
        <v>74</v>
      </c>
      <c r="E3639" t="str">
        <f>"080065615059"</f>
        <v>080065615059</v>
      </c>
      <c r="F3639" s="3">
        <v>45805</v>
      </c>
      <c r="G3639">
        <v>202602</v>
      </c>
      <c r="H3639" t="s">
        <v>75</v>
      </c>
      <c r="I3639" t="s">
        <v>76</v>
      </c>
      <c r="J3639" t="s">
        <v>77</v>
      </c>
      <c r="K3639" t="s">
        <v>78</v>
      </c>
      <c r="L3639" t="s">
        <v>463</v>
      </c>
      <c r="M3639" t="s">
        <v>464</v>
      </c>
      <c r="N3639" t="s">
        <v>3219</v>
      </c>
      <c r="O3639" t="s">
        <v>82</v>
      </c>
      <c r="P3639" t="str">
        <f>"4170041105                    "</f>
        <v xml:space="preserve">4170041105                    </v>
      </c>
      <c r="Q3639">
        <v>0</v>
      </c>
      <c r="R3639">
        <v>0</v>
      </c>
      <c r="S3639">
        <v>0</v>
      </c>
      <c r="T3639">
        <v>0</v>
      </c>
      <c r="U3639">
        <v>0</v>
      </c>
      <c r="V3639">
        <v>0</v>
      </c>
      <c r="W3639">
        <v>0</v>
      </c>
      <c r="X3639">
        <v>0</v>
      </c>
      <c r="Y3639">
        <v>0</v>
      </c>
      <c r="Z3639">
        <v>0</v>
      </c>
      <c r="AA3639">
        <v>0</v>
      </c>
      <c r="AB3639">
        <v>0</v>
      </c>
      <c r="AC3639">
        <v>0</v>
      </c>
      <c r="AD3639">
        <v>0</v>
      </c>
      <c r="AE3639">
        <v>0</v>
      </c>
      <c r="AF3639">
        <v>0</v>
      </c>
      <c r="AG3639">
        <v>0</v>
      </c>
      <c r="AH3639">
        <v>0</v>
      </c>
      <c r="AI3639">
        <v>0</v>
      </c>
      <c r="AJ3639">
        <v>0</v>
      </c>
      <c r="AK3639">
        <v>0</v>
      </c>
      <c r="AL3639">
        <v>0</v>
      </c>
      <c r="AM3639">
        <v>0</v>
      </c>
      <c r="AN3639">
        <v>0</v>
      </c>
      <c r="AO3639">
        <v>0</v>
      </c>
      <c r="AP3639">
        <v>0</v>
      </c>
      <c r="AQ3639">
        <v>21.38</v>
      </c>
      <c r="AR3639">
        <v>0</v>
      </c>
      <c r="AS3639">
        <v>0</v>
      </c>
      <c r="AT3639">
        <v>0</v>
      </c>
      <c r="AU3639">
        <v>0</v>
      </c>
      <c r="AV3639">
        <v>0</v>
      </c>
      <c r="AW3639">
        <v>0</v>
      </c>
      <c r="AX3639">
        <v>0</v>
      </c>
      <c r="AY3639">
        <v>0</v>
      </c>
      <c r="AZ3639">
        <v>0</v>
      </c>
      <c r="BA3639">
        <v>0</v>
      </c>
      <c r="BB3639">
        <v>0</v>
      </c>
      <c r="BC3639">
        <v>0</v>
      </c>
      <c r="BD3639">
        <v>0</v>
      </c>
      <c r="BE3639">
        <v>0</v>
      </c>
      <c r="BF3639">
        <v>0</v>
      </c>
      <c r="BG3639">
        <v>0</v>
      </c>
      <c r="BH3639">
        <v>1</v>
      </c>
      <c r="BI3639">
        <v>1</v>
      </c>
      <c r="BJ3639">
        <v>0.2</v>
      </c>
      <c r="BK3639">
        <v>1</v>
      </c>
      <c r="BL3639">
        <v>69.98</v>
      </c>
      <c r="BM3639">
        <v>10.5</v>
      </c>
      <c r="BN3639">
        <v>80.48</v>
      </c>
      <c r="BO3639">
        <v>80.48</v>
      </c>
      <c r="BQ3639" t="s">
        <v>3220</v>
      </c>
      <c r="BR3639" t="s">
        <v>84</v>
      </c>
      <c r="BS3639" s="3">
        <v>45806</v>
      </c>
      <c r="BT3639" s="4">
        <v>0.5229166666666667</v>
      </c>
      <c r="BU3639" t="s">
        <v>3353</v>
      </c>
      <c r="BV3639" t="s">
        <v>89</v>
      </c>
      <c r="BY3639">
        <v>1200</v>
      </c>
      <c r="CA3639" t="s">
        <v>468</v>
      </c>
      <c r="CC3639" t="s">
        <v>464</v>
      </c>
      <c r="CD3639">
        <v>5201</v>
      </c>
      <c r="CE3639" t="s">
        <v>88</v>
      </c>
      <c r="CI3639">
        <v>1</v>
      </c>
      <c r="CJ3639">
        <v>1</v>
      </c>
      <c r="CK3639">
        <v>21</v>
      </c>
      <c r="CL3639" t="s">
        <v>89</v>
      </c>
    </row>
    <row r="3640" spans="1:90" x14ac:dyDescent="0.3">
      <c r="A3640" t="s">
        <v>72</v>
      </c>
      <c r="B3640" t="s">
        <v>73</v>
      </c>
      <c r="C3640" t="s">
        <v>74</v>
      </c>
      <c r="E3640" t="str">
        <f>"080065615080"</f>
        <v>080065615080</v>
      </c>
      <c r="F3640" s="3">
        <v>45805</v>
      </c>
      <c r="G3640">
        <v>202602</v>
      </c>
      <c r="H3640" t="s">
        <v>75</v>
      </c>
      <c r="I3640" t="s">
        <v>76</v>
      </c>
      <c r="J3640" t="s">
        <v>77</v>
      </c>
      <c r="K3640" t="s">
        <v>78</v>
      </c>
      <c r="L3640" t="s">
        <v>90</v>
      </c>
      <c r="M3640" t="s">
        <v>91</v>
      </c>
      <c r="N3640" t="s">
        <v>385</v>
      </c>
      <c r="O3640" t="s">
        <v>82</v>
      </c>
      <c r="P3640" t="str">
        <f>"4170040997                    "</f>
        <v xml:space="preserve">4170040997                    </v>
      </c>
      <c r="Q3640">
        <v>0</v>
      </c>
      <c r="R3640">
        <v>0</v>
      </c>
      <c r="S3640">
        <v>0</v>
      </c>
      <c r="T3640">
        <v>0</v>
      </c>
      <c r="U3640">
        <v>0</v>
      </c>
      <c r="V3640">
        <v>0</v>
      </c>
      <c r="W3640">
        <v>0</v>
      </c>
      <c r="X3640">
        <v>0</v>
      </c>
      <c r="Y3640">
        <v>0</v>
      </c>
      <c r="Z3640">
        <v>0</v>
      </c>
      <c r="AA3640">
        <v>0</v>
      </c>
      <c r="AB3640">
        <v>0</v>
      </c>
      <c r="AC3640">
        <v>0</v>
      </c>
      <c r="AD3640">
        <v>0</v>
      </c>
      <c r="AE3640">
        <v>0</v>
      </c>
      <c r="AF3640">
        <v>0</v>
      </c>
      <c r="AG3640">
        <v>0</v>
      </c>
      <c r="AH3640">
        <v>0</v>
      </c>
      <c r="AI3640">
        <v>0</v>
      </c>
      <c r="AJ3640">
        <v>0</v>
      </c>
      <c r="AK3640">
        <v>0</v>
      </c>
      <c r="AL3640">
        <v>0</v>
      </c>
      <c r="AM3640">
        <v>0</v>
      </c>
      <c r="AN3640">
        <v>0</v>
      </c>
      <c r="AO3640">
        <v>0</v>
      </c>
      <c r="AP3640">
        <v>0</v>
      </c>
      <c r="AQ3640">
        <v>21.38</v>
      </c>
      <c r="AR3640">
        <v>0</v>
      </c>
      <c r="AS3640">
        <v>0</v>
      </c>
      <c r="AT3640">
        <v>0</v>
      </c>
      <c r="AU3640">
        <v>0</v>
      </c>
      <c r="AV3640">
        <v>0</v>
      </c>
      <c r="AW3640">
        <v>0</v>
      </c>
      <c r="AX3640">
        <v>0</v>
      </c>
      <c r="AY3640">
        <v>0</v>
      </c>
      <c r="AZ3640">
        <v>0</v>
      </c>
      <c r="BA3640">
        <v>0</v>
      </c>
      <c r="BB3640">
        <v>0</v>
      </c>
      <c r="BC3640">
        <v>0</v>
      </c>
      <c r="BD3640">
        <v>0</v>
      </c>
      <c r="BE3640">
        <v>0</v>
      </c>
      <c r="BF3640">
        <v>0</v>
      </c>
      <c r="BG3640">
        <v>0</v>
      </c>
      <c r="BH3640">
        <v>1</v>
      </c>
      <c r="BI3640">
        <v>1</v>
      </c>
      <c r="BJ3640">
        <v>0.2</v>
      </c>
      <c r="BK3640">
        <v>1</v>
      </c>
      <c r="BL3640">
        <v>69.98</v>
      </c>
      <c r="BM3640">
        <v>10.5</v>
      </c>
      <c r="BN3640">
        <v>80.48</v>
      </c>
      <c r="BO3640">
        <v>80.48</v>
      </c>
      <c r="BQ3640" t="s">
        <v>386</v>
      </c>
      <c r="BR3640" t="s">
        <v>84</v>
      </c>
      <c r="BS3640" s="3">
        <v>45806</v>
      </c>
      <c r="BT3640" s="4">
        <v>0.41736111111111113</v>
      </c>
      <c r="BU3640" t="s">
        <v>2238</v>
      </c>
      <c r="BV3640" t="s">
        <v>86</v>
      </c>
      <c r="BY3640">
        <v>1200</v>
      </c>
      <c r="CA3640" t="s">
        <v>95</v>
      </c>
      <c r="CC3640" t="s">
        <v>91</v>
      </c>
      <c r="CD3640">
        <v>6056</v>
      </c>
      <c r="CE3640" t="s">
        <v>88</v>
      </c>
      <c r="CF3640" s="3">
        <v>45806</v>
      </c>
      <c r="CI3640">
        <v>1</v>
      </c>
      <c r="CJ3640">
        <v>1</v>
      </c>
      <c r="CK3640">
        <v>21</v>
      </c>
      <c r="CL3640" t="s">
        <v>89</v>
      </c>
    </row>
    <row r="3641" spans="1:90" x14ac:dyDescent="0.3">
      <c r="A3641" t="s">
        <v>72</v>
      </c>
      <c r="B3641" t="s">
        <v>73</v>
      </c>
      <c r="C3641" t="s">
        <v>74</v>
      </c>
      <c r="E3641" t="str">
        <f>"080065615119"</f>
        <v>080065615119</v>
      </c>
      <c r="F3641" s="3">
        <v>45805</v>
      </c>
      <c r="G3641">
        <v>202602</v>
      </c>
      <c r="H3641" t="s">
        <v>75</v>
      </c>
      <c r="I3641" t="s">
        <v>76</v>
      </c>
      <c r="J3641" t="s">
        <v>77</v>
      </c>
      <c r="K3641" t="s">
        <v>78</v>
      </c>
      <c r="L3641" t="s">
        <v>360</v>
      </c>
      <c r="M3641" t="s">
        <v>361</v>
      </c>
      <c r="N3641" t="s">
        <v>362</v>
      </c>
      <c r="O3641" t="s">
        <v>82</v>
      </c>
      <c r="P3641" t="str">
        <f>"4170041132                    "</f>
        <v xml:space="preserve">4170041132                    </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c r="AI3641">
        <v>0</v>
      </c>
      <c r="AJ3641">
        <v>0</v>
      </c>
      <c r="AK3641">
        <v>0</v>
      </c>
      <c r="AL3641">
        <v>0</v>
      </c>
      <c r="AM3641">
        <v>0</v>
      </c>
      <c r="AN3641">
        <v>0</v>
      </c>
      <c r="AO3641">
        <v>0</v>
      </c>
      <c r="AP3641">
        <v>0</v>
      </c>
      <c r="AQ3641">
        <v>41.43</v>
      </c>
      <c r="AR3641">
        <v>0</v>
      </c>
      <c r="AS3641">
        <v>0</v>
      </c>
      <c r="AT3641">
        <v>0</v>
      </c>
      <c r="AU3641">
        <v>0</v>
      </c>
      <c r="AV3641">
        <v>0</v>
      </c>
      <c r="AW3641">
        <v>0</v>
      </c>
      <c r="AX3641">
        <v>0</v>
      </c>
      <c r="AY3641">
        <v>0</v>
      </c>
      <c r="AZ3641">
        <v>0</v>
      </c>
      <c r="BA3641">
        <v>0</v>
      </c>
      <c r="BB3641">
        <v>0</v>
      </c>
      <c r="BC3641">
        <v>0</v>
      </c>
      <c r="BD3641">
        <v>0</v>
      </c>
      <c r="BE3641">
        <v>0</v>
      </c>
      <c r="BF3641">
        <v>0</v>
      </c>
      <c r="BG3641">
        <v>0</v>
      </c>
      <c r="BH3641">
        <v>1</v>
      </c>
      <c r="BI3641">
        <v>1</v>
      </c>
      <c r="BJ3641">
        <v>0.2</v>
      </c>
      <c r="BK3641">
        <v>1</v>
      </c>
      <c r="BL3641">
        <v>135.59</v>
      </c>
      <c r="BM3641">
        <v>20.34</v>
      </c>
      <c r="BN3641">
        <v>155.93</v>
      </c>
      <c r="BO3641">
        <v>155.93</v>
      </c>
      <c r="BQ3641" t="s">
        <v>363</v>
      </c>
      <c r="BR3641" t="s">
        <v>84</v>
      </c>
      <c r="BS3641" s="3">
        <v>45806</v>
      </c>
      <c r="BT3641" s="4">
        <v>0.6875</v>
      </c>
      <c r="BU3641" t="s">
        <v>3347</v>
      </c>
      <c r="BV3641" t="s">
        <v>86</v>
      </c>
      <c r="BY3641">
        <v>1200</v>
      </c>
      <c r="CA3641" t="s">
        <v>365</v>
      </c>
      <c r="CC3641" t="s">
        <v>361</v>
      </c>
      <c r="CD3641">
        <v>7300</v>
      </c>
      <c r="CE3641" t="s">
        <v>88</v>
      </c>
      <c r="CI3641">
        <v>1</v>
      </c>
      <c r="CJ3641">
        <v>1</v>
      </c>
      <c r="CK3641">
        <v>23</v>
      </c>
      <c r="CL3641" t="s">
        <v>89</v>
      </c>
    </row>
    <row r="3642" spans="1:90" x14ac:dyDescent="0.3">
      <c r="A3642" t="s">
        <v>72</v>
      </c>
      <c r="B3642" t="s">
        <v>73</v>
      </c>
      <c r="C3642" t="s">
        <v>74</v>
      </c>
      <c r="E3642" t="str">
        <f>"080065615176"</f>
        <v>080065615176</v>
      </c>
      <c r="F3642" s="3">
        <v>45805</v>
      </c>
      <c r="G3642">
        <v>202602</v>
      </c>
      <c r="H3642" t="s">
        <v>75</v>
      </c>
      <c r="I3642" t="s">
        <v>76</v>
      </c>
      <c r="J3642" t="s">
        <v>77</v>
      </c>
      <c r="K3642" t="s">
        <v>78</v>
      </c>
      <c r="L3642" t="s">
        <v>311</v>
      </c>
      <c r="M3642" t="s">
        <v>312</v>
      </c>
      <c r="N3642" t="s">
        <v>2852</v>
      </c>
      <c r="O3642" t="s">
        <v>82</v>
      </c>
      <c r="P3642" t="str">
        <f>"4170041220                    "</f>
        <v xml:space="preserve">4170041220                    </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c r="AI3642">
        <v>0</v>
      </c>
      <c r="AJ3642">
        <v>0</v>
      </c>
      <c r="AK3642">
        <v>0</v>
      </c>
      <c r="AL3642">
        <v>0</v>
      </c>
      <c r="AM3642">
        <v>0</v>
      </c>
      <c r="AN3642">
        <v>0</v>
      </c>
      <c r="AO3642">
        <v>0</v>
      </c>
      <c r="AP3642">
        <v>0</v>
      </c>
      <c r="AQ3642">
        <v>16.7</v>
      </c>
      <c r="AR3642">
        <v>0</v>
      </c>
      <c r="AS3642">
        <v>0</v>
      </c>
      <c r="AT3642">
        <v>0</v>
      </c>
      <c r="AU3642">
        <v>0</v>
      </c>
      <c r="AV3642">
        <v>0</v>
      </c>
      <c r="AW3642">
        <v>0</v>
      </c>
      <c r="AX3642">
        <v>0</v>
      </c>
      <c r="AY3642">
        <v>0</v>
      </c>
      <c r="AZ3642">
        <v>0</v>
      </c>
      <c r="BA3642">
        <v>0</v>
      </c>
      <c r="BB3642">
        <v>0</v>
      </c>
      <c r="BC3642">
        <v>0</v>
      </c>
      <c r="BD3642">
        <v>0</v>
      </c>
      <c r="BE3642">
        <v>0</v>
      </c>
      <c r="BF3642">
        <v>0</v>
      </c>
      <c r="BG3642">
        <v>0</v>
      </c>
      <c r="BH3642">
        <v>1</v>
      </c>
      <c r="BI3642">
        <v>1</v>
      </c>
      <c r="BJ3642">
        <v>0.2</v>
      </c>
      <c r="BK3642">
        <v>1</v>
      </c>
      <c r="BL3642">
        <v>54.66</v>
      </c>
      <c r="BM3642">
        <v>8.1999999999999993</v>
      </c>
      <c r="BN3642">
        <v>62.86</v>
      </c>
      <c r="BO3642">
        <v>62.86</v>
      </c>
      <c r="BQ3642" t="s">
        <v>2853</v>
      </c>
      <c r="BR3642" t="s">
        <v>84</v>
      </c>
      <c r="BS3642" s="3">
        <v>45806</v>
      </c>
      <c r="BT3642" s="4">
        <v>0.43055555555555558</v>
      </c>
      <c r="BU3642" t="s">
        <v>2899</v>
      </c>
      <c r="BV3642" t="s">
        <v>86</v>
      </c>
      <c r="BY3642">
        <v>1200</v>
      </c>
      <c r="CA3642" t="s">
        <v>316</v>
      </c>
      <c r="CC3642" t="s">
        <v>312</v>
      </c>
      <c r="CD3642">
        <v>1500</v>
      </c>
      <c r="CE3642" t="s">
        <v>88</v>
      </c>
      <c r="CF3642" s="3">
        <v>45807</v>
      </c>
      <c r="CI3642">
        <v>1</v>
      </c>
      <c r="CJ3642">
        <v>1</v>
      </c>
      <c r="CK3642">
        <v>22</v>
      </c>
      <c r="CL3642" t="s">
        <v>89</v>
      </c>
    </row>
    <row r="3643" spans="1:90" x14ac:dyDescent="0.3">
      <c r="A3643" t="s">
        <v>72</v>
      </c>
      <c r="B3643" t="s">
        <v>73</v>
      </c>
      <c r="C3643" t="s">
        <v>74</v>
      </c>
      <c r="E3643" t="str">
        <f>"080065615243"</f>
        <v>080065615243</v>
      </c>
      <c r="F3643" s="3">
        <v>45805</v>
      </c>
      <c r="G3643">
        <v>202602</v>
      </c>
      <c r="H3643" t="s">
        <v>75</v>
      </c>
      <c r="I3643" t="s">
        <v>76</v>
      </c>
      <c r="J3643" t="s">
        <v>77</v>
      </c>
      <c r="K3643" t="s">
        <v>78</v>
      </c>
      <c r="L3643" t="s">
        <v>130</v>
      </c>
      <c r="M3643" t="s">
        <v>131</v>
      </c>
      <c r="N3643" t="s">
        <v>343</v>
      </c>
      <c r="O3643" t="s">
        <v>82</v>
      </c>
      <c r="P3643" t="str">
        <f>"4170041114                    "</f>
        <v xml:space="preserve">4170041114                    </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c r="AI3643">
        <v>0</v>
      </c>
      <c r="AJ3643">
        <v>0</v>
      </c>
      <c r="AK3643">
        <v>0</v>
      </c>
      <c r="AL3643">
        <v>0</v>
      </c>
      <c r="AM3643">
        <v>0</v>
      </c>
      <c r="AN3643">
        <v>0</v>
      </c>
      <c r="AO3643">
        <v>0</v>
      </c>
      <c r="AP3643">
        <v>0</v>
      </c>
      <c r="AQ3643">
        <v>21.38</v>
      </c>
      <c r="AR3643">
        <v>0</v>
      </c>
      <c r="AS3643">
        <v>0</v>
      </c>
      <c r="AT3643">
        <v>0</v>
      </c>
      <c r="AU3643">
        <v>0</v>
      </c>
      <c r="AV3643">
        <v>0</v>
      </c>
      <c r="AW3643">
        <v>0</v>
      </c>
      <c r="AX3643">
        <v>0</v>
      </c>
      <c r="AY3643">
        <v>0</v>
      </c>
      <c r="AZ3643">
        <v>0</v>
      </c>
      <c r="BA3643">
        <v>0</v>
      </c>
      <c r="BB3643">
        <v>0</v>
      </c>
      <c r="BC3643">
        <v>0</v>
      </c>
      <c r="BD3643">
        <v>0</v>
      </c>
      <c r="BE3643">
        <v>0</v>
      </c>
      <c r="BF3643">
        <v>0</v>
      </c>
      <c r="BG3643">
        <v>0</v>
      </c>
      <c r="BH3643">
        <v>1</v>
      </c>
      <c r="BI3643">
        <v>1</v>
      </c>
      <c r="BJ3643">
        <v>0.2</v>
      </c>
      <c r="BK3643">
        <v>1</v>
      </c>
      <c r="BL3643">
        <v>69.98</v>
      </c>
      <c r="BM3643">
        <v>10.5</v>
      </c>
      <c r="BN3643">
        <v>80.48</v>
      </c>
      <c r="BO3643">
        <v>80.48</v>
      </c>
      <c r="BQ3643" t="s">
        <v>344</v>
      </c>
      <c r="BR3643" t="s">
        <v>84</v>
      </c>
      <c r="BS3643" s="3">
        <v>45806</v>
      </c>
      <c r="BT3643" s="4">
        <v>0.39791666666666664</v>
      </c>
      <c r="BU3643" t="s">
        <v>345</v>
      </c>
      <c r="BV3643" t="s">
        <v>86</v>
      </c>
      <c r="BY3643">
        <v>1200</v>
      </c>
      <c r="CA3643" t="s">
        <v>242</v>
      </c>
      <c r="CC3643" t="s">
        <v>131</v>
      </c>
      <c r="CD3643">
        <v>7441</v>
      </c>
      <c r="CE3643" t="s">
        <v>88</v>
      </c>
      <c r="CI3643">
        <v>1</v>
      </c>
      <c r="CJ3643">
        <v>1</v>
      </c>
      <c r="CK3643">
        <v>21</v>
      </c>
      <c r="CL3643" t="s">
        <v>89</v>
      </c>
    </row>
    <row r="3644" spans="1:90" x14ac:dyDescent="0.3">
      <c r="A3644" t="s">
        <v>72</v>
      </c>
      <c r="B3644" t="s">
        <v>73</v>
      </c>
      <c r="C3644" t="s">
        <v>74</v>
      </c>
      <c r="E3644" t="str">
        <f>"080065615303"</f>
        <v>080065615303</v>
      </c>
      <c r="F3644" s="3">
        <v>45805</v>
      </c>
      <c r="G3644">
        <v>202602</v>
      </c>
      <c r="H3644" t="s">
        <v>75</v>
      </c>
      <c r="I3644" t="s">
        <v>76</v>
      </c>
      <c r="J3644" t="s">
        <v>77</v>
      </c>
      <c r="K3644" t="s">
        <v>78</v>
      </c>
      <c r="L3644" t="s">
        <v>143</v>
      </c>
      <c r="M3644" t="s">
        <v>144</v>
      </c>
      <c r="N3644" t="s">
        <v>719</v>
      </c>
      <c r="O3644" t="s">
        <v>82</v>
      </c>
      <c r="P3644" t="str">
        <f>"4170041153                    "</f>
        <v xml:space="preserve">4170041153                    </v>
      </c>
      <c r="Q3644">
        <v>0</v>
      </c>
      <c r="R3644">
        <v>0</v>
      </c>
      <c r="S3644">
        <v>0</v>
      </c>
      <c r="T3644">
        <v>0</v>
      </c>
      <c r="U3644">
        <v>0</v>
      </c>
      <c r="V3644">
        <v>0</v>
      </c>
      <c r="W3644">
        <v>0</v>
      </c>
      <c r="X3644">
        <v>0</v>
      </c>
      <c r="Y3644">
        <v>0</v>
      </c>
      <c r="Z3644">
        <v>0</v>
      </c>
      <c r="AA3644">
        <v>0</v>
      </c>
      <c r="AB3644">
        <v>0</v>
      </c>
      <c r="AC3644">
        <v>0</v>
      </c>
      <c r="AD3644">
        <v>0</v>
      </c>
      <c r="AE3644">
        <v>0</v>
      </c>
      <c r="AF3644">
        <v>0</v>
      </c>
      <c r="AG3644">
        <v>0</v>
      </c>
      <c r="AH3644">
        <v>0</v>
      </c>
      <c r="AI3644">
        <v>0</v>
      </c>
      <c r="AJ3644">
        <v>0</v>
      </c>
      <c r="AK3644">
        <v>0</v>
      </c>
      <c r="AL3644">
        <v>0</v>
      </c>
      <c r="AM3644">
        <v>0</v>
      </c>
      <c r="AN3644">
        <v>0</v>
      </c>
      <c r="AO3644">
        <v>0</v>
      </c>
      <c r="AP3644">
        <v>0</v>
      </c>
      <c r="AQ3644">
        <v>16.7</v>
      </c>
      <c r="AR3644">
        <v>0</v>
      </c>
      <c r="AS3644">
        <v>0</v>
      </c>
      <c r="AT3644">
        <v>0</v>
      </c>
      <c r="AU3644">
        <v>0</v>
      </c>
      <c r="AV3644">
        <v>0</v>
      </c>
      <c r="AW3644">
        <v>0</v>
      </c>
      <c r="AX3644">
        <v>0</v>
      </c>
      <c r="AY3644">
        <v>0</v>
      </c>
      <c r="AZ3644">
        <v>0</v>
      </c>
      <c r="BA3644">
        <v>0</v>
      </c>
      <c r="BB3644">
        <v>0</v>
      </c>
      <c r="BC3644">
        <v>0</v>
      </c>
      <c r="BD3644">
        <v>0</v>
      </c>
      <c r="BE3644">
        <v>0</v>
      </c>
      <c r="BF3644">
        <v>0</v>
      </c>
      <c r="BG3644">
        <v>0</v>
      </c>
      <c r="BH3644">
        <v>1</v>
      </c>
      <c r="BI3644">
        <v>1</v>
      </c>
      <c r="BJ3644">
        <v>0.2</v>
      </c>
      <c r="BK3644">
        <v>1</v>
      </c>
      <c r="BL3644">
        <v>54.66</v>
      </c>
      <c r="BM3644">
        <v>8.1999999999999993</v>
      </c>
      <c r="BN3644">
        <v>62.86</v>
      </c>
      <c r="BO3644">
        <v>62.86</v>
      </c>
      <c r="BQ3644" t="s">
        <v>720</v>
      </c>
      <c r="BR3644" t="s">
        <v>84</v>
      </c>
      <c r="BS3644" s="3">
        <v>45806</v>
      </c>
      <c r="BT3644" s="4">
        <v>0.44236111111111109</v>
      </c>
      <c r="BU3644" t="s">
        <v>3354</v>
      </c>
      <c r="BV3644" t="s">
        <v>89</v>
      </c>
      <c r="BW3644" t="s">
        <v>148</v>
      </c>
      <c r="BX3644" t="s">
        <v>149</v>
      </c>
      <c r="BY3644">
        <v>1200</v>
      </c>
      <c r="CA3644" t="s">
        <v>150</v>
      </c>
      <c r="CC3644" t="s">
        <v>144</v>
      </c>
      <c r="CD3644">
        <v>1401</v>
      </c>
      <c r="CE3644" t="s">
        <v>88</v>
      </c>
      <c r="CF3644" s="3">
        <v>45806</v>
      </c>
      <c r="CI3644">
        <v>1</v>
      </c>
      <c r="CJ3644">
        <v>1</v>
      </c>
      <c r="CK3644">
        <v>22</v>
      </c>
      <c r="CL3644" t="s">
        <v>89</v>
      </c>
    </row>
    <row r="3645" spans="1:90" x14ac:dyDescent="0.3">
      <c r="A3645" t="s">
        <v>72</v>
      </c>
      <c r="B3645" t="s">
        <v>73</v>
      </c>
      <c r="C3645" t="s">
        <v>74</v>
      </c>
      <c r="E3645" t="str">
        <f>"080065615373"</f>
        <v>080065615373</v>
      </c>
      <c r="F3645" s="3">
        <v>45805</v>
      </c>
      <c r="G3645">
        <v>202602</v>
      </c>
      <c r="H3645" t="s">
        <v>75</v>
      </c>
      <c r="I3645" t="s">
        <v>76</v>
      </c>
      <c r="J3645" t="s">
        <v>77</v>
      </c>
      <c r="K3645" t="s">
        <v>78</v>
      </c>
      <c r="L3645" t="s">
        <v>90</v>
      </c>
      <c r="M3645" t="s">
        <v>91</v>
      </c>
      <c r="N3645" t="s">
        <v>563</v>
      </c>
      <c r="O3645" t="s">
        <v>82</v>
      </c>
      <c r="P3645" t="str">
        <f>"4170041083                    "</f>
        <v xml:space="preserve">4170041083                    </v>
      </c>
      <c r="Q3645">
        <v>0</v>
      </c>
      <c r="R3645">
        <v>0</v>
      </c>
      <c r="S3645">
        <v>0</v>
      </c>
      <c r="T3645">
        <v>0</v>
      </c>
      <c r="U3645">
        <v>0</v>
      </c>
      <c r="V3645">
        <v>0</v>
      </c>
      <c r="W3645">
        <v>0</v>
      </c>
      <c r="X3645">
        <v>0</v>
      </c>
      <c r="Y3645">
        <v>0</v>
      </c>
      <c r="Z3645">
        <v>0</v>
      </c>
      <c r="AA3645">
        <v>0</v>
      </c>
      <c r="AB3645">
        <v>0</v>
      </c>
      <c r="AC3645">
        <v>0</v>
      </c>
      <c r="AD3645">
        <v>0</v>
      </c>
      <c r="AE3645">
        <v>0</v>
      </c>
      <c r="AF3645">
        <v>0</v>
      </c>
      <c r="AG3645">
        <v>0</v>
      </c>
      <c r="AH3645">
        <v>0</v>
      </c>
      <c r="AI3645">
        <v>0</v>
      </c>
      <c r="AJ3645">
        <v>0</v>
      </c>
      <c r="AK3645">
        <v>0</v>
      </c>
      <c r="AL3645">
        <v>0</v>
      </c>
      <c r="AM3645">
        <v>0</v>
      </c>
      <c r="AN3645">
        <v>0</v>
      </c>
      <c r="AO3645">
        <v>0</v>
      </c>
      <c r="AP3645">
        <v>0</v>
      </c>
      <c r="AQ3645">
        <v>21.38</v>
      </c>
      <c r="AR3645">
        <v>0</v>
      </c>
      <c r="AS3645">
        <v>0</v>
      </c>
      <c r="AT3645">
        <v>0</v>
      </c>
      <c r="AU3645">
        <v>0</v>
      </c>
      <c r="AV3645">
        <v>0</v>
      </c>
      <c r="AW3645">
        <v>0</v>
      </c>
      <c r="AX3645">
        <v>0</v>
      </c>
      <c r="AY3645">
        <v>0</v>
      </c>
      <c r="AZ3645">
        <v>0</v>
      </c>
      <c r="BA3645">
        <v>0</v>
      </c>
      <c r="BB3645">
        <v>0</v>
      </c>
      <c r="BC3645">
        <v>0</v>
      </c>
      <c r="BD3645">
        <v>0</v>
      </c>
      <c r="BE3645">
        <v>0</v>
      </c>
      <c r="BF3645">
        <v>0</v>
      </c>
      <c r="BG3645">
        <v>0</v>
      </c>
      <c r="BH3645">
        <v>1</v>
      </c>
      <c r="BI3645">
        <v>1</v>
      </c>
      <c r="BJ3645">
        <v>0.2</v>
      </c>
      <c r="BK3645">
        <v>1</v>
      </c>
      <c r="BL3645">
        <v>69.98</v>
      </c>
      <c r="BM3645">
        <v>10.5</v>
      </c>
      <c r="BN3645">
        <v>80.48</v>
      </c>
      <c r="BO3645">
        <v>80.48</v>
      </c>
      <c r="BQ3645" t="s">
        <v>564</v>
      </c>
      <c r="BR3645" t="s">
        <v>84</v>
      </c>
      <c r="BS3645" s="3">
        <v>45806</v>
      </c>
      <c r="BT3645" s="4">
        <v>0.34930555555555554</v>
      </c>
      <c r="BU3645" t="s">
        <v>987</v>
      </c>
      <c r="BV3645" t="s">
        <v>86</v>
      </c>
      <c r="BY3645">
        <v>1200</v>
      </c>
      <c r="CA3645" t="s">
        <v>566</v>
      </c>
      <c r="CC3645" t="s">
        <v>91</v>
      </c>
      <c r="CD3645">
        <v>6001</v>
      </c>
      <c r="CE3645" t="s">
        <v>1193</v>
      </c>
      <c r="CF3645" s="3">
        <v>45806</v>
      </c>
      <c r="CI3645">
        <v>1</v>
      </c>
      <c r="CJ3645">
        <v>1</v>
      </c>
      <c r="CK3645">
        <v>21</v>
      </c>
      <c r="CL3645" t="s">
        <v>89</v>
      </c>
    </row>
    <row r="3646" spans="1:90" x14ac:dyDescent="0.3">
      <c r="A3646" t="s">
        <v>72</v>
      </c>
      <c r="B3646" t="s">
        <v>73</v>
      </c>
      <c r="C3646" t="s">
        <v>74</v>
      </c>
      <c r="E3646" t="str">
        <f>"080065615439"</f>
        <v>080065615439</v>
      </c>
      <c r="F3646" s="3">
        <v>45805</v>
      </c>
      <c r="G3646">
        <v>202602</v>
      </c>
      <c r="H3646" t="s">
        <v>75</v>
      </c>
      <c r="I3646" t="s">
        <v>76</v>
      </c>
      <c r="J3646" t="s">
        <v>77</v>
      </c>
      <c r="K3646" t="s">
        <v>78</v>
      </c>
      <c r="L3646" t="s">
        <v>103</v>
      </c>
      <c r="M3646" t="s">
        <v>104</v>
      </c>
      <c r="N3646" t="s">
        <v>633</v>
      </c>
      <c r="O3646" t="s">
        <v>82</v>
      </c>
      <c r="P3646" t="str">
        <f>"4170041035                    "</f>
        <v xml:space="preserve">4170041035                    </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0</v>
      </c>
      <c r="AJ3646">
        <v>0</v>
      </c>
      <c r="AK3646">
        <v>0</v>
      </c>
      <c r="AL3646">
        <v>0</v>
      </c>
      <c r="AM3646">
        <v>0</v>
      </c>
      <c r="AN3646">
        <v>0</v>
      </c>
      <c r="AO3646">
        <v>0</v>
      </c>
      <c r="AP3646">
        <v>0</v>
      </c>
      <c r="AQ3646">
        <v>21.38</v>
      </c>
      <c r="AR3646">
        <v>0</v>
      </c>
      <c r="AS3646">
        <v>0</v>
      </c>
      <c r="AT3646">
        <v>0</v>
      </c>
      <c r="AU3646">
        <v>0</v>
      </c>
      <c r="AV3646">
        <v>0</v>
      </c>
      <c r="AW3646">
        <v>0</v>
      </c>
      <c r="AX3646">
        <v>0</v>
      </c>
      <c r="AY3646">
        <v>0</v>
      </c>
      <c r="AZ3646">
        <v>0</v>
      </c>
      <c r="BA3646">
        <v>0</v>
      </c>
      <c r="BB3646">
        <v>0</v>
      </c>
      <c r="BC3646">
        <v>0</v>
      </c>
      <c r="BD3646">
        <v>0</v>
      </c>
      <c r="BE3646">
        <v>0</v>
      </c>
      <c r="BF3646">
        <v>0</v>
      </c>
      <c r="BG3646">
        <v>0</v>
      </c>
      <c r="BH3646">
        <v>1</v>
      </c>
      <c r="BI3646">
        <v>1</v>
      </c>
      <c r="BJ3646">
        <v>0.2</v>
      </c>
      <c r="BK3646">
        <v>1</v>
      </c>
      <c r="BL3646">
        <v>69.98</v>
      </c>
      <c r="BM3646">
        <v>10.5</v>
      </c>
      <c r="BN3646">
        <v>80.48</v>
      </c>
      <c r="BO3646">
        <v>80.48</v>
      </c>
      <c r="BQ3646" t="s">
        <v>634</v>
      </c>
      <c r="BR3646" t="s">
        <v>84</v>
      </c>
      <c r="BS3646" s="3">
        <v>45806</v>
      </c>
      <c r="BT3646" s="4">
        <v>0.41666666666666669</v>
      </c>
      <c r="BU3646" t="s">
        <v>3355</v>
      </c>
      <c r="BV3646" t="s">
        <v>86</v>
      </c>
      <c r="BY3646">
        <v>1200</v>
      </c>
      <c r="CA3646" t="s">
        <v>440</v>
      </c>
      <c r="CC3646" t="s">
        <v>104</v>
      </c>
      <c r="CD3646">
        <v>3212</v>
      </c>
      <c r="CE3646" t="s">
        <v>88</v>
      </c>
      <c r="CI3646">
        <v>2</v>
      </c>
      <c r="CJ3646">
        <v>1</v>
      </c>
      <c r="CK3646">
        <v>21</v>
      </c>
      <c r="CL3646" t="s">
        <v>89</v>
      </c>
    </row>
    <row r="3647" spans="1:90" x14ac:dyDescent="0.3">
      <c r="A3647" t="s">
        <v>72</v>
      </c>
      <c r="B3647" t="s">
        <v>73</v>
      </c>
      <c r="C3647" t="s">
        <v>74</v>
      </c>
      <c r="E3647" t="str">
        <f>"080065615502"</f>
        <v>080065615502</v>
      </c>
      <c r="F3647" s="3">
        <v>45805</v>
      </c>
      <c r="G3647">
        <v>202602</v>
      </c>
      <c r="H3647" t="s">
        <v>75</v>
      </c>
      <c r="I3647" t="s">
        <v>76</v>
      </c>
      <c r="J3647" t="s">
        <v>77</v>
      </c>
      <c r="K3647" t="s">
        <v>78</v>
      </c>
      <c r="L3647" t="s">
        <v>136</v>
      </c>
      <c r="M3647" t="s">
        <v>137</v>
      </c>
      <c r="N3647" t="s">
        <v>735</v>
      </c>
      <c r="O3647" t="s">
        <v>82</v>
      </c>
      <c r="P3647" t="str">
        <f>"4170041110                    "</f>
        <v xml:space="preserve">4170041110                    </v>
      </c>
      <c r="Q3647">
        <v>0</v>
      </c>
      <c r="R3647">
        <v>0</v>
      </c>
      <c r="S3647">
        <v>0</v>
      </c>
      <c r="T3647">
        <v>0</v>
      </c>
      <c r="U3647">
        <v>0</v>
      </c>
      <c r="V3647">
        <v>0</v>
      </c>
      <c r="W3647">
        <v>0</v>
      </c>
      <c r="X3647">
        <v>0</v>
      </c>
      <c r="Y3647">
        <v>0</v>
      </c>
      <c r="Z3647">
        <v>0</v>
      </c>
      <c r="AA3647">
        <v>0</v>
      </c>
      <c r="AB3647">
        <v>0</v>
      </c>
      <c r="AC3647">
        <v>0</v>
      </c>
      <c r="AD3647">
        <v>0</v>
      </c>
      <c r="AE3647">
        <v>0</v>
      </c>
      <c r="AF3647">
        <v>0</v>
      </c>
      <c r="AG3647">
        <v>0</v>
      </c>
      <c r="AH3647">
        <v>0</v>
      </c>
      <c r="AI3647">
        <v>0</v>
      </c>
      <c r="AJ3647">
        <v>0</v>
      </c>
      <c r="AK3647">
        <v>0</v>
      </c>
      <c r="AL3647">
        <v>0</v>
      </c>
      <c r="AM3647">
        <v>0</v>
      </c>
      <c r="AN3647">
        <v>0</v>
      </c>
      <c r="AO3647">
        <v>0</v>
      </c>
      <c r="AP3647">
        <v>0</v>
      </c>
      <c r="AQ3647">
        <v>21.38</v>
      </c>
      <c r="AR3647">
        <v>0</v>
      </c>
      <c r="AS3647">
        <v>0</v>
      </c>
      <c r="AT3647">
        <v>0</v>
      </c>
      <c r="AU3647">
        <v>0</v>
      </c>
      <c r="AV3647">
        <v>0</v>
      </c>
      <c r="AW3647">
        <v>0</v>
      </c>
      <c r="AX3647">
        <v>0</v>
      </c>
      <c r="AY3647">
        <v>0</v>
      </c>
      <c r="AZ3647">
        <v>0</v>
      </c>
      <c r="BA3647">
        <v>0</v>
      </c>
      <c r="BB3647">
        <v>0</v>
      </c>
      <c r="BC3647">
        <v>0</v>
      </c>
      <c r="BD3647">
        <v>0</v>
      </c>
      <c r="BE3647">
        <v>0</v>
      </c>
      <c r="BF3647">
        <v>0</v>
      </c>
      <c r="BG3647">
        <v>0</v>
      </c>
      <c r="BH3647">
        <v>1</v>
      </c>
      <c r="BI3647">
        <v>1</v>
      </c>
      <c r="BJ3647">
        <v>0.2</v>
      </c>
      <c r="BK3647">
        <v>1</v>
      </c>
      <c r="BL3647">
        <v>69.98</v>
      </c>
      <c r="BM3647">
        <v>10.5</v>
      </c>
      <c r="BN3647">
        <v>80.48</v>
      </c>
      <c r="BO3647">
        <v>80.48</v>
      </c>
      <c r="BQ3647" t="s">
        <v>736</v>
      </c>
      <c r="BR3647" t="s">
        <v>84</v>
      </c>
      <c r="BS3647" s="3">
        <v>45806</v>
      </c>
      <c r="BT3647" s="4">
        <v>0.29166666666666669</v>
      </c>
      <c r="BU3647" t="s">
        <v>1699</v>
      </c>
      <c r="BV3647" t="s">
        <v>86</v>
      </c>
      <c r="BY3647">
        <v>1200</v>
      </c>
      <c r="CA3647" t="s">
        <v>258</v>
      </c>
      <c r="CC3647" t="s">
        <v>137</v>
      </c>
      <c r="CD3647" s="5" t="s">
        <v>738</v>
      </c>
      <c r="CE3647" t="s">
        <v>88</v>
      </c>
      <c r="CF3647" s="3">
        <v>45806</v>
      </c>
      <c r="CI3647">
        <v>1</v>
      </c>
      <c r="CJ3647">
        <v>1</v>
      </c>
      <c r="CK3647">
        <v>21</v>
      </c>
      <c r="CL3647" t="s">
        <v>89</v>
      </c>
    </row>
    <row r="3648" spans="1:90" x14ac:dyDescent="0.3">
      <c r="A3648" t="s">
        <v>72</v>
      </c>
      <c r="B3648" t="s">
        <v>73</v>
      </c>
      <c r="C3648" t="s">
        <v>74</v>
      </c>
      <c r="E3648" t="str">
        <f>"080065615547"</f>
        <v>080065615547</v>
      </c>
      <c r="F3648" s="3">
        <v>45805</v>
      </c>
      <c r="G3648">
        <v>202602</v>
      </c>
      <c r="H3648" t="s">
        <v>75</v>
      </c>
      <c r="I3648" t="s">
        <v>76</v>
      </c>
      <c r="J3648" t="s">
        <v>77</v>
      </c>
      <c r="K3648" t="s">
        <v>78</v>
      </c>
      <c r="L3648" t="s">
        <v>75</v>
      </c>
      <c r="M3648" t="s">
        <v>76</v>
      </c>
      <c r="N3648" t="s">
        <v>3276</v>
      </c>
      <c r="O3648" t="s">
        <v>82</v>
      </c>
      <c r="P3648" t="str">
        <f>"4170041070                    "</f>
        <v xml:space="preserve">4170041070                    </v>
      </c>
      <c r="Q3648">
        <v>0</v>
      </c>
      <c r="R3648">
        <v>0</v>
      </c>
      <c r="S3648">
        <v>0</v>
      </c>
      <c r="T3648">
        <v>0</v>
      </c>
      <c r="U3648">
        <v>0</v>
      </c>
      <c r="V3648">
        <v>0</v>
      </c>
      <c r="W3648">
        <v>0</v>
      </c>
      <c r="X3648">
        <v>0</v>
      </c>
      <c r="Y3648">
        <v>0</v>
      </c>
      <c r="Z3648">
        <v>0</v>
      </c>
      <c r="AA3648">
        <v>0</v>
      </c>
      <c r="AB3648">
        <v>0</v>
      </c>
      <c r="AC3648">
        <v>0</v>
      </c>
      <c r="AD3648">
        <v>0</v>
      </c>
      <c r="AE3648">
        <v>0</v>
      </c>
      <c r="AF3648">
        <v>0</v>
      </c>
      <c r="AG3648">
        <v>0</v>
      </c>
      <c r="AH3648">
        <v>0</v>
      </c>
      <c r="AI3648">
        <v>0</v>
      </c>
      <c r="AJ3648">
        <v>0</v>
      </c>
      <c r="AK3648">
        <v>0</v>
      </c>
      <c r="AL3648">
        <v>0</v>
      </c>
      <c r="AM3648">
        <v>0</v>
      </c>
      <c r="AN3648">
        <v>0</v>
      </c>
      <c r="AO3648">
        <v>0</v>
      </c>
      <c r="AP3648">
        <v>0</v>
      </c>
      <c r="AQ3648">
        <v>16.7</v>
      </c>
      <c r="AR3648">
        <v>0</v>
      </c>
      <c r="AS3648">
        <v>0</v>
      </c>
      <c r="AT3648">
        <v>0</v>
      </c>
      <c r="AU3648">
        <v>0</v>
      </c>
      <c r="AV3648">
        <v>0</v>
      </c>
      <c r="AW3648">
        <v>0</v>
      </c>
      <c r="AX3648">
        <v>0</v>
      </c>
      <c r="AY3648">
        <v>0</v>
      </c>
      <c r="AZ3648">
        <v>0</v>
      </c>
      <c r="BA3648">
        <v>0</v>
      </c>
      <c r="BB3648">
        <v>0</v>
      </c>
      <c r="BC3648">
        <v>0</v>
      </c>
      <c r="BD3648">
        <v>0</v>
      </c>
      <c r="BE3648">
        <v>0</v>
      </c>
      <c r="BF3648">
        <v>0</v>
      </c>
      <c r="BG3648">
        <v>0</v>
      </c>
      <c r="BH3648">
        <v>1</v>
      </c>
      <c r="BI3648">
        <v>1</v>
      </c>
      <c r="BJ3648">
        <v>0.2</v>
      </c>
      <c r="BK3648">
        <v>1</v>
      </c>
      <c r="BL3648">
        <v>54.66</v>
      </c>
      <c r="BM3648">
        <v>8.1999999999999993</v>
      </c>
      <c r="BN3648">
        <v>62.86</v>
      </c>
      <c r="BO3648">
        <v>62.86</v>
      </c>
      <c r="BQ3648" t="s">
        <v>3277</v>
      </c>
      <c r="BR3648" t="s">
        <v>84</v>
      </c>
      <c r="BS3648" s="3">
        <v>45806</v>
      </c>
      <c r="BT3648" s="4">
        <v>0.38819444444444445</v>
      </c>
      <c r="BU3648" t="s">
        <v>3092</v>
      </c>
      <c r="BV3648" t="s">
        <v>86</v>
      </c>
      <c r="BY3648">
        <v>1200</v>
      </c>
      <c r="CC3648" t="s">
        <v>76</v>
      </c>
      <c r="CD3648">
        <v>1600</v>
      </c>
      <c r="CE3648" t="s">
        <v>88</v>
      </c>
      <c r="CF3648" s="3">
        <v>45806</v>
      </c>
      <c r="CI3648">
        <v>1</v>
      </c>
      <c r="CJ3648">
        <v>1</v>
      </c>
      <c r="CK3648">
        <v>22</v>
      </c>
      <c r="CL3648" t="s">
        <v>89</v>
      </c>
    </row>
    <row r="3649" spans="1:90" x14ac:dyDescent="0.3">
      <c r="A3649" t="s">
        <v>72</v>
      </c>
      <c r="B3649" t="s">
        <v>73</v>
      </c>
      <c r="C3649" t="s">
        <v>74</v>
      </c>
      <c r="E3649" t="str">
        <f>"080065615569"</f>
        <v>080065615569</v>
      </c>
      <c r="F3649" s="3">
        <v>45805</v>
      </c>
      <c r="G3649">
        <v>202602</v>
      </c>
      <c r="H3649" t="s">
        <v>75</v>
      </c>
      <c r="I3649" t="s">
        <v>76</v>
      </c>
      <c r="J3649" t="s">
        <v>77</v>
      </c>
      <c r="K3649" t="s">
        <v>78</v>
      </c>
      <c r="L3649" t="s">
        <v>79</v>
      </c>
      <c r="M3649" t="s">
        <v>80</v>
      </c>
      <c r="N3649" t="s">
        <v>415</v>
      </c>
      <c r="O3649" t="s">
        <v>82</v>
      </c>
      <c r="P3649" t="str">
        <f>"4170041141                    "</f>
        <v xml:space="preserve">4170041141                    </v>
      </c>
      <c r="Q3649">
        <v>0</v>
      </c>
      <c r="R3649">
        <v>0</v>
      </c>
      <c r="S3649">
        <v>0</v>
      </c>
      <c r="T3649">
        <v>0</v>
      </c>
      <c r="U3649">
        <v>0</v>
      </c>
      <c r="V3649">
        <v>0</v>
      </c>
      <c r="W3649">
        <v>0</v>
      </c>
      <c r="X3649">
        <v>0</v>
      </c>
      <c r="Y3649">
        <v>0</v>
      </c>
      <c r="Z3649">
        <v>0</v>
      </c>
      <c r="AA3649">
        <v>0</v>
      </c>
      <c r="AB3649">
        <v>0</v>
      </c>
      <c r="AC3649">
        <v>0</v>
      </c>
      <c r="AD3649">
        <v>0</v>
      </c>
      <c r="AE3649">
        <v>0</v>
      </c>
      <c r="AF3649">
        <v>0</v>
      </c>
      <c r="AG3649">
        <v>0</v>
      </c>
      <c r="AH3649">
        <v>0</v>
      </c>
      <c r="AI3649">
        <v>0</v>
      </c>
      <c r="AJ3649">
        <v>0</v>
      </c>
      <c r="AK3649">
        <v>0</v>
      </c>
      <c r="AL3649">
        <v>0</v>
      </c>
      <c r="AM3649">
        <v>0</v>
      </c>
      <c r="AN3649">
        <v>0</v>
      </c>
      <c r="AO3649">
        <v>0</v>
      </c>
      <c r="AP3649">
        <v>0</v>
      </c>
      <c r="AQ3649">
        <v>21.38</v>
      </c>
      <c r="AR3649">
        <v>0</v>
      </c>
      <c r="AS3649">
        <v>0</v>
      </c>
      <c r="AT3649">
        <v>0</v>
      </c>
      <c r="AU3649">
        <v>0</v>
      </c>
      <c r="AV3649">
        <v>0</v>
      </c>
      <c r="AW3649">
        <v>0</v>
      </c>
      <c r="AX3649">
        <v>0</v>
      </c>
      <c r="AY3649">
        <v>0</v>
      </c>
      <c r="AZ3649">
        <v>0</v>
      </c>
      <c r="BA3649">
        <v>0</v>
      </c>
      <c r="BB3649">
        <v>0</v>
      </c>
      <c r="BC3649">
        <v>0</v>
      </c>
      <c r="BD3649">
        <v>0</v>
      </c>
      <c r="BE3649">
        <v>0</v>
      </c>
      <c r="BF3649">
        <v>0</v>
      </c>
      <c r="BG3649">
        <v>0</v>
      </c>
      <c r="BH3649">
        <v>1</v>
      </c>
      <c r="BI3649">
        <v>1</v>
      </c>
      <c r="BJ3649">
        <v>0.2</v>
      </c>
      <c r="BK3649">
        <v>1</v>
      </c>
      <c r="BL3649">
        <v>69.98</v>
      </c>
      <c r="BM3649">
        <v>10.5</v>
      </c>
      <c r="BN3649">
        <v>80.48</v>
      </c>
      <c r="BO3649">
        <v>80.48</v>
      </c>
      <c r="BQ3649" t="s">
        <v>416</v>
      </c>
      <c r="BR3649" t="s">
        <v>84</v>
      </c>
      <c r="BS3649" s="3">
        <v>45806</v>
      </c>
      <c r="BT3649" s="4">
        <v>0.44236111111111109</v>
      </c>
      <c r="BU3649" t="s">
        <v>1152</v>
      </c>
      <c r="BV3649" t="s">
        <v>89</v>
      </c>
      <c r="BY3649">
        <v>1200</v>
      </c>
      <c r="CA3649" t="s">
        <v>87</v>
      </c>
      <c r="CC3649" t="s">
        <v>80</v>
      </c>
      <c r="CD3649">
        <v>3610</v>
      </c>
      <c r="CE3649" t="s">
        <v>88</v>
      </c>
      <c r="CF3649" s="3">
        <v>45806</v>
      </c>
      <c r="CI3649">
        <v>1</v>
      </c>
      <c r="CJ3649">
        <v>1</v>
      </c>
      <c r="CK3649">
        <v>21</v>
      </c>
      <c r="CL3649" t="s">
        <v>89</v>
      </c>
    </row>
    <row r="3650" spans="1:90" x14ac:dyDescent="0.3">
      <c r="A3650" t="s">
        <v>72</v>
      </c>
      <c r="B3650" t="s">
        <v>73</v>
      </c>
      <c r="C3650" t="s">
        <v>74</v>
      </c>
      <c r="E3650" t="str">
        <f>"080065615591"</f>
        <v>080065615591</v>
      </c>
      <c r="F3650" s="3">
        <v>45805</v>
      </c>
      <c r="G3650">
        <v>202602</v>
      </c>
      <c r="H3650" t="s">
        <v>75</v>
      </c>
      <c r="I3650" t="s">
        <v>76</v>
      </c>
      <c r="J3650" t="s">
        <v>77</v>
      </c>
      <c r="K3650" t="s">
        <v>78</v>
      </c>
      <c r="L3650" t="s">
        <v>222</v>
      </c>
      <c r="M3650" t="s">
        <v>223</v>
      </c>
      <c r="N3650" t="s">
        <v>499</v>
      </c>
      <c r="O3650" t="s">
        <v>82</v>
      </c>
      <c r="P3650" t="str">
        <f>"4170040953                    "</f>
        <v xml:space="preserve">4170040953                    </v>
      </c>
      <c r="Q3650">
        <v>0</v>
      </c>
      <c r="R3650">
        <v>0</v>
      </c>
      <c r="S3650">
        <v>0</v>
      </c>
      <c r="T3650">
        <v>0</v>
      </c>
      <c r="U3650">
        <v>0</v>
      </c>
      <c r="V3650">
        <v>0</v>
      </c>
      <c r="W3650">
        <v>0</v>
      </c>
      <c r="X3650">
        <v>0</v>
      </c>
      <c r="Y3650">
        <v>0</v>
      </c>
      <c r="Z3650">
        <v>0</v>
      </c>
      <c r="AA3650">
        <v>0</v>
      </c>
      <c r="AB3650">
        <v>0</v>
      </c>
      <c r="AC3650">
        <v>0</v>
      </c>
      <c r="AD3650">
        <v>0</v>
      </c>
      <c r="AE3650">
        <v>0</v>
      </c>
      <c r="AF3650">
        <v>0</v>
      </c>
      <c r="AG3650">
        <v>0</v>
      </c>
      <c r="AH3650">
        <v>0</v>
      </c>
      <c r="AI3650">
        <v>0</v>
      </c>
      <c r="AJ3650">
        <v>0</v>
      </c>
      <c r="AK3650">
        <v>0</v>
      </c>
      <c r="AL3650">
        <v>0</v>
      </c>
      <c r="AM3650">
        <v>0</v>
      </c>
      <c r="AN3650">
        <v>0</v>
      </c>
      <c r="AO3650">
        <v>0</v>
      </c>
      <c r="AP3650">
        <v>0</v>
      </c>
      <c r="AQ3650">
        <v>59.36</v>
      </c>
      <c r="AR3650">
        <v>0</v>
      </c>
      <c r="AS3650">
        <v>0</v>
      </c>
      <c r="AT3650">
        <v>0</v>
      </c>
      <c r="AU3650">
        <v>0</v>
      </c>
      <c r="AV3650">
        <v>0</v>
      </c>
      <c r="AW3650">
        <v>0</v>
      </c>
      <c r="AX3650">
        <v>0</v>
      </c>
      <c r="AY3650">
        <v>0</v>
      </c>
      <c r="AZ3650">
        <v>0</v>
      </c>
      <c r="BA3650">
        <v>0</v>
      </c>
      <c r="BB3650">
        <v>0</v>
      </c>
      <c r="BC3650">
        <v>0</v>
      </c>
      <c r="BD3650">
        <v>0</v>
      </c>
      <c r="BE3650">
        <v>0</v>
      </c>
      <c r="BF3650">
        <v>0</v>
      </c>
      <c r="BG3650">
        <v>0</v>
      </c>
      <c r="BH3650">
        <v>1</v>
      </c>
      <c r="BI3650">
        <v>4</v>
      </c>
      <c r="BJ3650">
        <v>1.5</v>
      </c>
      <c r="BK3650">
        <v>4</v>
      </c>
      <c r="BL3650">
        <v>194.27</v>
      </c>
      <c r="BM3650">
        <v>29.14</v>
      </c>
      <c r="BN3650">
        <v>223.41</v>
      </c>
      <c r="BO3650">
        <v>223.41</v>
      </c>
      <c r="BQ3650" t="s">
        <v>1017</v>
      </c>
      <c r="BR3650" t="s">
        <v>84</v>
      </c>
      <c r="BS3650" s="3">
        <v>45806</v>
      </c>
      <c r="BT3650" s="4">
        <v>0.4861111111111111</v>
      </c>
      <c r="BU3650" t="s">
        <v>2974</v>
      </c>
      <c r="BV3650" t="s">
        <v>89</v>
      </c>
      <c r="BY3650">
        <v>7616</v>
      </c>
      <c r="CA3650" t="s">
        <v>3356</v>
      </c>
      <c r="CC3650" t="s">
        <v>223</v>
      </c>
      <c r="CD3650">
        <v>1754</v>
      </c>
      <c r="CE3650" t="s">
        <v>221</v>
      </c>
      <c r="CF3650" s="3">
        <v>45807</v>
      </c>
      <c r="CI3650">
        <v>1</v>
      </c>
      <c r="CJ3650">
        <v>1</v>
      </c>
      <c r="CK3650">
        <v>24</v>
      </c>
      <c r="CL3650" t="s">
        <v>89</v>
      </c>
    </row>
    <row r="3651" spans="1:90" x14ac:dyDescent="0.3">
      <c r="A3651" t="s">
        <v>72</v>
      </c>
      <c r="B3651" t="s">
        <v>73</v>
      </c>
      <c r="C3651" t="s">
        <v>74</v>
      </c>
      <c r="E3651" t="str">
        <f>"080065615615"</f>
        <v>080065615615</v>
      </c>
      <c r="F3651" s="3">
        <v>45805</v>
      </c>
      <c r="G3651">
        <v>202602</v>
      </c>
      <c r="H3651" t="s">
        <v>75</v>
      </c>
      <c r="I3651" t="s">
        <v>76</v>
      </c>
      <c r="J3651" t="s">
        <v>77</v>
      </c>
      <c r="K3651" t="s">
        <v>78</v>
      </c>
      <c r="L3651" t="s">
        <v>75</v>
      </c>
      <c r="M3651" t="s">
        <v>76</v>
      </c>
      <c r="N3651" t="s">
        <v>601</v>
      </c>
      <c r="O3651" t="s">
        <v>82</v>
      </c>
      <c r="P3651" t="str">
        <f>"4170041016                    "</f>
        <v xml:space="preserve">4170041016                    </v>
      </c>
      <c r="Q3651">
        <v>0</v>
      </c>
      <c r="R3651">
        <v>0</v>
      </c>
      <c r="S3651">
        <v>0</v>
      </c>
      <c r="T3651">
        <v>0</v>
      </c>
      <c r="U3651">
        <v>0</v>
      </c>
      <c r="V3651">
        <v>0</v>
      </c>
      <c r="W3651">
        <v>0</v>
      </c>
      <c r="X3651">
        <v>0</v>
      </c>
      <c r="Y3651">
        <v>0</v>
      </c>
      <c r="Z3651">
        <v>0</v>
      </c>
      <c r="AA3651">
        <v>0</v>
      </c>
      <c r="AB3651">
        <v>0</v>
      </c>
      <c r="AC3651">
        <v>0</v>
      </c>
      <c r="AD3651">
        <v>0</v>
      </c>
      <c r="AE3651">
        <v>0</v>
      </c>
      <c r="AF3651">
        <v>0</v>
      </c>
      <c r="AG3651">
        <v>0</v>
      </c>
      <c r="AH3651">
        <v>0</v>
      </c>
      <c r="AI3651">
        <v>0</v>
      </c>
      <c r="AJ3651">
        <v>0</v>
      </c>
      <c r="AK3651">
        <v>0</v>
      </c>
      <c r="AL3651">
        <v>0</v>
      </c>
      <c r="AM3651">
        <v>0</v>
      </c>
      <c r="AN3651">
        <v>0</v>
      </c>
      <c r="AO3651">
        <v>0</v>
      </c>
      <c r="AP3651">
        <v>0</v>
      </c>
      <c r="AQ3651">
        <v>16.7</v>
      </c>
      <c r="AR3651">
        <v>0</v>
      </c>
      <c r="AS3651">
        <v>0</v>
      </c>
      <c r="AT3651">
        <v>0</v>
      </c>
      <c r="AU3651">
        <v>0</v>
      </c>
      <c r="AV3651">
        <v>0</v>
      </c>
      <c r="AW3651">
        <v>0</v>
      </c>
      <c r="AX3651">
        <v>0</v>
      </c>
      <c r="AY3651">
        <v>0</v>
      </c>
      <c r="AZ3651">
        <v>0</v>
      </c>
      <c r="BA3651">
        <v>0</v>
      </c>
      <c r="BB3651">
        <v>0</v>
      </c>
      <c r="BC3651">
        <v>0</v>
      </c>
      <c r="BD3651">
        <v>0</v>
      </c>
      <c r="BE3651">
        <v>0</v>
      </c>
      <c r="BF3651">
        <v>0</v>
      </c>
      <c r="BG3651">
        <v>0</v>
      </c>
      <c r="BH3651">
        <v>1</v>
      </c>
      <c r="BI3651">
        <v>2</v>
      </c>
      <c r="BJ3651">
        <v>3.7</v>
      </c>
      <c r="BK3651">
        <v>4</v>
      </c>
      <c r="BL3651">
        <v>54.66</v>
      </c>
      <c r="BM3651">
        <v>8.1999999999999993</v>
      </c>
      <c r="BN3651">
        <v>62.86</v>
      </c>
      <c r="BO3651">
        <v>62.86</v>
      </c>
      <c r="BQ3651" t="s">
        <v>603</v>
      </c>
      <c r="BR3651" t="s">
        <v>84</v>
      </c>
      <c r="BS3651" s="3">
        <v>45806</v>
      </c>
      <c r="BT3651" s="4">
        <v>0.33333333333333331</v>
      </c>
      <c r="BU3651" t="s">
        <v>3003</v>
      </c>
      <c r="BV3651" t="s">
        <v>86</v>
      </c>
      <c r="BY3651">
        <v>18432</v>
      </c>
      <c r="CA3651" t="s">
        <v>2929</v>
      </c>
      <c r="CC3651" t="s">
        <v>76</v>
      </c>
      <c r="CD3651">
        <v>1645</v>
      </c>
      <c r="CE3651" t="s">
        <v>221</v>
      </c>
      <c r="CF3651" s="3">
        <v>45806</v>
      </c>
      <c r="CI3651">
        <v>1</v>
      </c>
      <c r="CJ3651">
        <v>1</v>
      </c>
      <c r="CK3651">
        <v>22</v>
      </c>
      <c r="CL3651" t="s">
        <v>89</v>
      </c>
    </row>
    <row r="3652" spans="1:90" x14ac:dyDescent="0.3">
      <c r="A3652" t="s">
        <v>72</v>
      </c>
      <c r="B3652" t="s">
        <v>73</v>
      </c>
      <c r="C3652" t="s">
        <v>74</v>
      </c>
      <c r="E3652" t="str">
        <f>"080065615641"</f>
        <v>080065615641</v>
      </c>
      <c r="F3652" s="3">
        <v>45805</v>
      </c>
      <c r="G3652">
        <v>202602</v>
      </c>
      <c r="H3652" t="s">
        <v>75</v>
      </c>
      <c r="I3652" t="s">
        <v>76</v>
      </c>
      <c r="J3652" t="s">
        <v>77</v>
      </c>
      <c r="K3652" t="s">
        <v>78</v>
      </c>
      <c r="L3652" t="s">
        <v>90</v>
      </c>
      <c r="M3652" t="s">
        <v>91</v>
      </c>
      <c r="N3652" t="s">
        <v>1211</v>
      </c>
      <c r="O3652" t="s">
        <v>82</v>
      </c>
      <c r="P3652" t="str">
        <f>"4170040992                    "</f>
        <v xml:space="preserve">4170040992                    </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c r="AI3652">
        <v>0</v>
      </c>
      <c r="AJ3652">
        <v>0</v>
      </c>
      <c r="AK3652">
        <v>0</v>
      </c>
      <c r="AL3652">
        <v>0</v>
      </c>
      <c r="AM3652">
        <v>0</v>
      </c>
      <c r="AN3652">
        <v>0</v>
      </c>
      <c r="AO3652">
        <v>0</v>
      </c>
      <c r="AP3652">
        <v>0</v>
      </c>
      <c r="AQ3652">
        <v>32.07</v>
      </c>
      <c r="AR3652">
        <v>0</v>
      </c>
      <c r="AS3652">
        <v>0</v>
      </c>
      <c r="AT3652">
        <v>0</v>
      </c>
      <c r="AU3652">
        <v>0</v>
      </c>
      <c r="AV3652">
        <v>0</v>
      </c>
      <c r="AW3652">
        <v>0</v>
      </c>
      <c r="AX3652">
        <v>0</v>
      </c>
      <c r="AY3652">
        <v>0</v>
      </c>
      <c r="AZ3652">
        <v>0</v>
      </c>
      <c r="BA3652">
        <v>0</v>
      </c>
      <c r="BB3652">
        <v>0</v>
      </c>
      <c r="BC3652">
        <v>0</v>
      </c>
      <c r="BD3652">
        <v>0</v>
      </c>
      <c r="BE3652">
        <v>0</v>
      </c>
      <c r="BF3652">
        <v>0</v>
      </c>
      <c r="BG3652">
        <v>0</v>
      </c>
      <c r="BH3652">
        <v>1</v>
      </c>
      <c r="BI3652">
        <v>3</v>
      </c>
      <c r="BJ3652">
        <v>1.5</v>
      </c>
      <c r="BK3652">
        <v>3</v>
      </c>
      <c r="BL3652">
        <v>104.95</v>
      </c>
      <c r="BM3652">
        <v>15.74</v>
      </c>
      <c r="BN3652">
        <v>120.69</v>
      </c>
      <c r="BO3652">
        <v>120.69</v>
      </c>
      <c r="BQ3652" t="s">
        <v>1212</v>
      </c>
      <c r="BR3652" t="s">
        <v>84</v>
      </c>
      <c r="BS3652" s="3">
        <v>45806</v>
      </c>
      <c r="BT3652" s="4">
        <v>0.40138888888888891</v>
      </c>
      <c r="BU3652" t="s">
        <v>2023</v>
      </c>
      <c r="BV3652" t="s">
        <v>86</v>
      </c>
      <c r="BY3652">
        <v>7700</v>
      </c>
      <c r="CA3652" t="s">
        <v>283</v>
      </c>
      <c r="CC3652" t="s">
        <v>91</v>
      </c>
      <c r="CD3652">
        <v>6012</v>
      </c>
      <c r="CE3652" t="s">
        <v>221</v>
      </c>
      <c r="CF3652" s="3">
        <v>45806</v>
      </c>
      <c r="CI3652">
        <v>1</v>
      </c>
      <c r="CJ3652">
        <v>1</v>
      </c>
      <c r="CK3652">
        <v>21</v>
      </c>
      <c r="CL3652" t="s">
        <v>89</v>
      </c>
    </row>
    <row r="3653" spans="1:90" x14ac:dyDescent="0.3">
      <c r="A3653" t="s">
        <v>72</v>
      </c>
      <c r="B3653" t="s">
        <v>73</v>
      </c>
      <c r="C3653" t="s">
        <v>74</v>
      </c>
      <c r="E3653" t="str">
        <f>"080065615696"</f>
        <v>080065615696</v>
      </c>
      <c r="F3653" s="3">
        <v>45805</v>
      </c>
      <c r="G3653">
        <v>202602</v>
      </c>
      <c r="H3653" t="s">
        <v>75</v>
      </c>
      <c r="I3653" t="s">
        <v>76</v>
      </c>
      <c r="J3653" t="s">
        <v>77</v>
      </c>
      <c r="K3653" t="s">
        <v>78</v>
      </c>
      <c r="L3653" t="s">
        <v>445</v>
      </c>
      <c r="M3653" t="s">
        <v>446</v>
      </c>
      <c r="N3653" t="s">
        <v>1220</v>
      </c>
      <c r="O3653" t="s">
        <v>82</v>
      </c>
      <c r="P3653" t="str">
        <f>"4170041071                    "</f>
        <v xml:space="preserve">4170041071                    </v>
      </c>
      <c r="Q3653">
        <v>0</v>
      </c>
      <c r="R3653">
        <v>0</v>
      </c>
      <c r="S3653">
        <v>0</v>
      </c>
      <c r="T3653">
        <v>0</v>
      </c>
      <c r="U3653">
        <v>0</v>
      </c>
      <c r="V3653">
        <v>0</v>
      </c>
      <c r="W3653">
        <v>0</v>
      </c>
      <c r="X3653">
        <v>0</v>
      </c>
      <c r="Y3653">
        <v>0</v>
      </c>
      <c r="Z3653">
        <v>0</v>
      </c>
      <c r="AA3653">
        <v>0</v>
      </c>
      <c r="AB3653">
        <v>0</v>
      </c>
      <c r="AC3653">
        <v>0</v>
      </c>
      <c r="AD3653">
        <v>0</v>
      </c>
      <c r="AE3653">
        <v>0</v>
      </c>
      <c r="AF3653">
        <v>0</v>
      </c>
      <c r="AG3653">
        <v>0</v>
      </c>
      <c r="AH3653">
        <v>0</v>
      </c>
      <c r="AI3653">
        <v>0</v>
      </c>
      <c r="AJ3653">
        <v>0</v>
      </c>
      <c r="AK3653">
        <v>0</v>
      </c>
      <c r="AL3653">
        <v>0</v>
      </c>
      <c r="AM3653">
        <v>0</v>
      </c>
      <c r="AN3653">
        <v>0</v>
      </c>
      <c r="AO3653">
        <v>0</v>
      </c>
      <c r="AP3653">
        <v>0</v>
      </c>
      <c r="AQ3653">
        <v>41.43</v>
      </c>
      <c r="AR3653">
        <v>0</v>
      </c>
      <c r="AS3653">
        <v>0</v>
      </c>
      <c r="AT3653">
        <v>0</v>
      </c>
      <c r="AU3653">
        <v>0</v>
      </c>
      <c r="AV3653">
        <v>0</v>
      </c>
      <c r="AW3653">
        <v>0</v>
      </c>
      <c r="AX3653">
        <v>0</v>
      </c>
      <c r="AY3653">
        <v>0</v>
      </c>
      <c r="AZ3653">
        <v>0</v>
      </c>
      <c r="BA3653">
        <v>0</v>
      </c>
      <c r="BB3653">
        <v>0</v>
      </c>
      <c r="BC3653">
        <v>0</v>
      </c>
      <c r="BD3653">
        <v>0</v>
      </c>
      <c r="BE3653">
        <v>0</v>
      </c>
      <c r="BF3653">
        <v>0</v>
      </c>
      <c r="BG3653">
        <v>0</v>
      </c>
      <c r="BH3653">
        <v>1</v>
      </c>
      <c r="BI3653">
        <v>1</v>
      </c>
      <c r="BJ3653">
        <v>1.4</v>
      </c>
      <c r="BK3653">
        <v>1.5</v>
      </c>
      <c r="BL3653">
        <v>135.59</v>
      </c>
      <c r="BM3653">
        <v>20.34</v>
      </c>
      <c r="BN3653">
        <v>155.93</v>
      </c>
      <c r="BO3653">
        <v>155.93</v>
      </c>
      <c r="BQ3653" t="s">
        <v>1221</v>
      </c>
      <c r="BR3653" t="s">
        <v>84</v>
      </c>
      <c r="BS3653" t="s">
        <v>1540</v>
      </c>
      <c r="BY3653">
        <v>7000</v>
      </c>
      <c r="CC3653" t="s">
        <v>446</v>
      </c>
      <c r="CD3653">
        <v>4420</v>
      </c>
      <c r="CE3653" t="s">
        <v>96</v>
      </c>
      <c r="CI3653">
        <v>1</v>
      </c>
      <c r="CJ3653" t="s">
        <v>1540</v>
      </c>
      <c r="CK3653">
        <v>23</v>
      </c>
      <c r="CL3653" t="s">
        <v>89</v>
      </c>
    </row>
    <row r="3654" spans="1:90" x14ac:dyDescent="0.3">
      <c r="A3654" t="s">
        <v>72</v>
      </c>
      <c r="B3654" t="s">
        <v>73</v>
      </c>
      <c r="C3654" t="s">
        <v>74</v>
      </c>
      <c r="E3654" t="str">
        <f>"080065615731"</f>
        <v>080065615731</v>
      </c>
      <c r="F3654" s="3">
        <v>45805</v>
      </c>
      <c r="G3654">
        <v>202602</v>
      </c>
      <c r="H3654" t="s">
        <v>75</v>
      </c>
      <c r="I3654" t="s">
        <v>76</v>
      </c>
      <c r="J3654" t="s">
        <v>77</v>
      </c>
      <c r="K3654" t="s">
        <v>78</v>
      </c>
      <c r="L3654" t="s">
        <v>463</v>
      </c>
      <c r="M3654" t="s">
        <v>464</v>
      </c>
      <c r="N3654" t="s">
        <v>1325</v>
      </c>
      <c r="O3654" t="s">
        <v>82</v>
      </c>
      <c r="P3654" t="str">
        <f>"4170041023                    "</f>
        <v xml:space="preserve">4170041023                    </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0</v>
      </c>
      <c r="AJ3654">
        <v>0</v>
      </c>
      <c r="AK3654">
        <v>0</v>
      </c>
      <c r="AL3654">
        <v>0</v>
      </c>
      <c r="AM3654">
        <v>0</v>
      </c>
      <c r="AN3654">
        <v>0</v>
      </c>
      <c r="AO3654">
        <v>0</v>
      </c>
      <c r="AP3654">
        <v>0</v>
      </c>
      <c r="AQ3654">
        <v>37.409999999999997</v>
      </c>
      <c r="AR3654">
        <v>0</v>
      </c>
      <c r="AS3654">
        <v>0</v>
      </c>
      <c r="AT3654">
        <v>0</v>
      </c>
      <c r="AU3654">
        <v>0</v>
      </c>
      <c r="AV3654">
        <v>0</v>
      </c>
      <c r="AW3654">
        <v>0</v>
      </c>
      <c r="AX3654">
        <v>0</v>
      </c>
      <c r="AY3654">
        <v>0</v>
      </c>
      <c r="AZ3654">
        <v>0</v>
      </c>
      <c r="BA3654">
        <v>0</v>
      </c>
      <c r="BB3654">
        <v>0</v>
      </c>
      <c r="BC3654">
        <v>0</v>
      </c>
      <c r="BD3654">
        <v>0</v>
      </c>
      <c r="BE3654">
        <v>0</v>
      </c>
      <c r="BF3654">
        <v>0</v>
      </c>
      <c r="BG3654">
        <v>0</v>
      </c>
      <c r="BH3654">
        <v>1</v>
      </c>
      <c r="BI3654">
        <v>2</v>
      </c>
      <c r="BJ3654">
        <v>3.4</v>
      </c>
      <c r="BK3654">
        <v>3.5</v>
      </c>
      <c r="BL3654">
        <v>122.43</v>
      </c>
      <c r="BM3654">
        <v>18.36</v>
      </c>
      <c r="BN3654">
        <v>140.79</v>
      </c>
      <c r="BO3654">
        <v>140.79</v>
      </c>
      <c r="BQ3654" t="s">
        <v>1326</v>
      </c>
      <c r="BR3654" t="s">
        <v>84</v>
      </c>
      <c r="BS3654" s="3">
        <v>45806</v>
      </c>
      <c r="BT3654" s="4">
        <v>0.53749999999999998</v>
      </c>
      <c r="BU3654" t="s">
        <v>3357</v>
      </c>
      <c r="BV3654" t="s">
        <v>89</v>
      </c>
      <c r="BY3654">
        <v>16965</v>
      </c>
      <c r="CA3654" t="s">
        <v>468</v>
      </c>
      <c r="CC3654" t="s">
        <v>464</v>
      </c>
      <c r="CD3654">
        <v>5201</v>
      </c>
      <c r="CE3654" t="s">
        <v>96</v>
      </c>
      <c r="CI3654">
        <v>5</v>
      </c>
      <c r="CJ3654">
        <v>1</v>
      </c>
      <c r="CK3654">
        <v>21</v>
      </c>
      <c r="CL3654" t="s">
        <v>89</v>
      </c>
    </row>
    <row r="3655" spans="1:90" x14ac:dyDescent="0.3">
      <c r="A3655" t="s">
        <v>72</v>
      </c>
      <c r="B3655" t="s">
        <v>73</v>
      </c>
      <c r="C3655" t="s">
        <v>74</v>
      </c>
      <c r="E3655" t="str">
        <f>"080065615774"</f>
        <v>080065615774</v>
      </c>
      <c r="F3655" s="3">
        <v>45805</v>
      </c>
      <c r="G3655">
        <v>202602</v>
      </c>
      <c r="H3655" t="s">
        <v>75</v>
      </c>
      <c r="I3655" t="s">
        <v>76</v>
      </c>
      <c r="J3655" t="s">
        <v>77</v>
      </c>
      <c r="K3655" t="s">
        <v>78</v>
      </c>
      <c r="L3655" t="s">
        <v>972</v>
      </c>
      <c r="M3655" t="s">
        <v>973</v>
      </c>
      <c r="N3655" t="s">
        <v>974</v>
      </c>
      <c r="O3655" t="s">
        <v>82</v>
      </c>
      <c r="P3655" t="str">
        <f>"4170041001                    "</f>
        <v xml:space="preserve">4170041001                    </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0</v>
      </c>
      <c r="AJ3655">
        <v>0</v>
      </c>
      <c r="AK3655">
        <v>0</v>
      </c>
      <c r="AL3655">
        <v>0</v>
      </c>
      <c r="AM3655">
        <v>0</v>
      </c>
      <c r="AN3655">
        <v>0</v>
      </c>
      <c r="AO3655">
        <v>0</v>
      </c>
      <c r="AP3655">
        <v>0</v>
      </c>
      <c r="AQ3655">
        <v>16.7</v>
      </c>
      <c r="AR3655">
        <v>0</v>
      </c>
      <c r="AS3655">
        <v>0</v>
      </c>
      <c r="AT3655">
        <v>0</v>
      </c>
      <c r="AU3655">
        <v>0</v>
      </c>
      <c r="AV3655">
        <v>0</v>
      </c>
      <c r="AW3655">
        <v>0</v>
      </c>
      <c r="AX3655">
        <v>0</v>
      </c>
      <c r="AY3655">
        <v>0</v>
      </c>
      <c r="AZ3655">
        <v>0</v>
      </c>
      <c r="BA3655">
        <v>0</v>
      </c>
      <c r="BB3655">
        <v>0</v>
      </c>
      <c r="BC3655">
        <v>0</v>
      </c>
      <c r="BD3655">
        <v>0</v>
      </c>
      <c r="BE3655">
        <v>0</v>
      </c>
      <c r="BF3655">
        <v>0</v>
      </c>
      <c r="BG3655">
        <v>0</v>
      </c>
      <c r="BH3655">
        <v>1</v>
      </c>
      <c r="BI3655">
        <v>4</v>
      </c>
      <c r="BJ3655">
        <v>1.2</v>
      </c>
      <c r="BK3655">
        <v>4</v>
      </c>
      <c r="BL3655">
        <v>54.66</v>
      </c>
      <c r="BM3655">
        <v>8.1999999999999993</v>
      </c>
      <c r="BN3655">
        <v>62.86</v>
      </c>
      <c r="BO3655">
        <v>62.86</v>
      </c>
      <c r="BQ3655" t="s">
        <v>975</v>
      </c>
      <c r="BR3655" t="s">
        <v>84</v>
      </c>
      <c r="BS3655" s="3">
        <v>45806</v>
      </c>
      <c r="BT3655" s="4">
        <v>0.50624999999999998</v>
      </c>
      <c r="BU3655" t="s">
        <v>3358</v>
      </c>
      <c r="BV3655" t="s">
        <v>89</v>
      </c>
      <c r="BY3655">
        <v>5808</v>
      </c>
      <c r="CA3655" t="s">
        <v>3359</v>
      </c>
      <c r="CC3655" t="s">
        <v>973</v>
      </c>
      <c r="CD3655">
        <v>1724</v>
      </c>
      <c r="CE3655" t="s">
        <v>221</v>
      </c>
      <c r="CF3655" s="3">
        <v>45806</v>
      </c>
      <c r="CI3655">
        <v>1</v>
      </c>
      <c r="CJ3655">
        <v>1</v>
      </c>
      <c r="CK3655">
        <v>22</v>
      </c>
      <c r="CL3655" t="s">
        <v>89</v>
      </c>
    </row>
    <row r="3656" spans="1:90" x14ac:dyDescent="0.3">
      <c r="A3656" t="s">
        <v>72</v>
      </c>
      <c r="B3656" t="s">
        <v>73</v>
      </c>
      <c r="C3656" t="s">
        <v>74</v>
      </c>
      <c r="E3656" t="str">
        <f>"080065615811"</f>
        <v>080065615811</v>
      </c>
      <c r="F3656" s="3">
        <v>45805</v>
      </c>
      <c r="G3656">
        <v>202602</v>
      </c>
      <c r="H3656" t="s">
        <v>75</v>
      </c>
      <c r="I3656" t="s">
        <v>76</v>
      </c>
      <c r="J3656" t="s">
        <v>77</v>
      </c>
      <c r="K3656" t="s">
        <v>78</v>
      </c>
      <c r="L3656" t="s">
        <v>123</v>
      </c>
      <c r="M3656" t="s">
        <v>123</v>
      </c>
      <c r="N3656" t="s">
        <v>317</v>
      </c>
      <c r="O3656" t="s">
        <v>82</v>
      </c>
      <c r="P3656" t="str">
        <f>"4170041053                    "</f>
        <v xml:space="preserve">4170041053                    </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c r="AI3656">
        <v>0</v>
      </c>
      <c r="AJ3656">
        <v>0</v>
      </c>
      <c r="AK3656">
        <v>0</v>
      </c>
      <c r="AL3656">
        <v>0</v>
      </c>
      <c r="AM3656">
        <v>0</v>
      </c>
      <c r="AN3656">
        <v>0</v>
      </c>
      <c r="AO3656">
        <v>0</v>
      </c>
      <c r="AP3656">
        <v>0</v>
      </c>
      <c r="AQ3656">
        <v>60.14</v>
      </c>
      <c r="AR3656">
        <v>0</v>
      </c>
      <c r="AS3656">
        <v>0</v>
      </c>
      <c r="AT3656">
        <v>0</v>
      </c>
      <c r="AU3656">
        <v>0</v>
      </c>
      <c r="AV3656">
        <v>0</v>
      </c>
      <c r="AW3656">
        <v>0</v>
      </c>
      <c r="AX3656">
        <v>0</v>
      </c>
      <c r="AY3656">
        <v>0</v>
      </c>
      <c r="AZ3656">
        <v>0</v>
      </c>
      <c r="BA3656">
        <v>0</v>
      </c>
      <c r="BB3656">
        <v>0</v>
      </c>
      <c r="BC3656">
        <v>0</v>
      </c>
      <c r="BD3656">
        <v>0</v>
      </c>
      <c r="BE3656">
        <v>0</v>
      </c>
      <c r="BF3656">
        <v>0</v>
      </c>
      <c r="BG3656">
        <v>0</v>
      </c>
      <c r="BH3656">
        <v>1</v>
      </c>
      <c r="BI3656">
        <v>3</v>
      </c>
      <c r="BJ3656">
        <v>1.7</v>
      </c>
      <c r="BK3656">
        <v>3</v>
      </c>
      <c r="BL3656">
        <v>196.82</v>
      </c>
      <c r="BM3656">
        <v>29.52</v>
      </c>
      <c r="BN3656">
        <v>226.34</v>
      </c>
      <c r="BO3656">
        <v>226.34</v>
      </c>
      <c r="BQ3656" t="s">
        <v>318</v>
      </c>
      <c r="BR3656" t="s">
        <v>84</v>
      </c>
      <c r="BS3656" s="3">
        <v>45806</v>
      </c>
      <c r="BT3656" s="4">
        <v>0.51249999999999996</v>
      </c>
      <c r="BU3656" t="s">
        <v>319</v>
      </c>
      <c r="BV3656" t="s">
        <v>86</v>
      </c>
      <c r="BY3656">
        <v>8512</v>
      </c>
      <c r="CA3656" t="s">
        <v>128</v>
      </c>
      <c r="CC3656" t="s">
        <v>123</v>
      </c>
      <c r="CD3656">
        <v>7646</v>
      </c>
      <c r="CE3656" t="s">
        <v>96</v>
      </c>
      <c r="CI3656">
        <v>1</v>
      </c>
      <c r="CJ3656">
        <v>1</v>
      </c>
      <c r="CK3656">
        <v>23</v>
      </c>
      <c r="CL3656" t="s">
        <v>89</v>
      </c>
    </row>
    <row r="3657" spans="1:90" x14ac:dyDescent="0.3">
      <c r="A3657" t="s">
        <v>72</v>
      </c>
      <c r="B3657" t="s">
        <v>73</v>
      </c>
      <c r="C3657" t="s">
        <v>74</v>
      </c>
      <c r="E3657" t="str">
        <f>"080065615880"</f>
        <v>080065615880</v>
      </c>
      <c r="F3657" s="3">
        <v>45805</v>
      </c>
      <c r="G3657">
        <v>202602</v>
      </c>
      <c r="H3657" t="s">
        <v>75</v>
      </c>
      <c r="I3657" t="s">
        <v>76</v>
      </c>
      <c r="J3657" t="s">
        <v>77</v>
      </c>
      <c r="K3657" t="s">
        <v>78</v>
      </c>
      <c r="L3657" t="s">
        <v>90</v>
      </c>
      <c r="M3657" t="s">
        <v>91</v>
      </c>
      <c r="N3657" t="s">
        <v>92</v>
      </c>
      <c r="O3657" t="s">
        <v>300</v>
      </c>
      <c r="P3657" t="str">
        <f>"4170041034                    "</f>
        <v xml:space="preserve">4170041034                    </v>
      </c>
      <c r="Q3657">
        <v>0</v>
      </c>
      <c r="R3657">
        <v>0</v>
      </c>
      <c r="S3657">
        <v>0</v>
      </c>
      <c r="T3657">
        <v>0</v>
      </c>
      <c r="U3657">
        <v>0</v>
      </c>
      <c r="V3657">
        <v>0</v>
      </c>
      <c r="W3657">
        <v>0</v>
      </c>
      <c r="X3657">
        <v>0</v>
      </c>
      <c r="Y3657">
        <v>0</v>
      </c>
      <c r="Z3657">
        <v>0</v>
      </c>
      <c r="AA3657">
        <v>0</v>
      </c>
      <c r="AB3657">
        <v>0</v>
      </c>
      <c r="AC3657">
        <v>0</v>
      </c>
      <c r="AD3657">
        <v>0</v>
      </c>
      <c r="AE3657">
        <v>0</v>
      </c>
      <c r="AF3657">
        <v>0</v>
      </c>
      <c r="AG3657">
        <v>0</v>
      </c>
      <c r="AH3657">
        <v>0</v>
      </c>
      <c r="AI3657">
        <v>0</v>
      </c>
      <c r="AJ3657">
        <v>0</v>
      </c>
      <c r="AK3657">
        <v>0</v>
      </c>
      <c r="AL3657">
        <v>0</v>
      </c>
      <c r="AM3657">
        <v>0</v>
      </c>
      <c r="AN3657">
        <v>0</v>
      </c>
      <c r="AO3657">
        <v>0</v>
      </c>
      <c r="AP3657">
        <v>0</v>
      </c>
      <c r="AQ3657">
        <v>150.61000000000001</v>
      </c>
      <c r="AR3657">
        <v>0</v>
      </c>
      <c r="AS3657">
        <v>0</v>
      </c>
      <c r="AT3657">
        <v>0</v>
      </c>
      <c r="AU3657">
        <v>0</v>
      </c>
      <c r="AV3657">
        <v>0</v>
      </c>
      <c r="AW3657">
        <v>0</v>
      </c>
      <c r="AX3657">
        <v>0</v>
      </c>
      <c r="AY3657">
        <v>0</v>
      </c>
      <c r="AZ3657">
        <v>0</v>
      </c>
      <c r="BA3657">
        <v>0</v>
      </c>
      <c r="BB3657">
        <v>0</v>
      </c>
      <c r="BC3657">
        <v>0</v>
      </c>
      <c r="BD3657">
        <v>0</v>
      </c>
      <c r="BE3657">
        <v>0</v>
      </c>
      <c r="BF3657">
        <v>0</v>
      </c>
      <c r="BG3657">
        <v>0</v>
      </c>
      <c r="BH3657">
        <v>1</v>
      </c>
      <c r="BI3657">
        <v>40</v>
      </c>
      <c r="BJ3657">
        <v>78.400000000000006</v>
      </c>
      <c r="BK3657">
        <v>79</v>
      </c>
      <c r="BL3657">
        <v>498.48</v>
      </c>
      <c r="BM3657">
        <v>74.77</v>
      </c>
      <c r="BN3657">
        <v>573.25</v>
      </c>
      <c r="BO3657">
        <v>573.25</v>
      </c>
      <c r="BQ3657" t="s">
        <v>93</v>
      </c>
      <c r="BR3657" t="s">
        <v>84</v>
      </c>
      <c r="BS3657" t="s">
        <v>1540</v>
      </c>
      <c r="BY3657">
        <v>392040</v>
      </c>
      <c r="CC3657" t="s">
        <v>91</v>
      </c>
      <c r="CD3657">
        <v>6001</v>
      </c>
      <c r="CE3657" t="s">
        <v>546</v>
      </c>
      <c r="CI3657">
        <v>3</v>
      </c>
      <c r="CJ3657" t="s">
        <v>1540</v>
      </c>
      <c r="CK3657">
        <v>41</v>
      </c>
      <c r="CL3657" t="s">
        <v>89</v>
      </c>
    </row>
    <row r="3658" spans="1:90" x14ac:dyDescent="0.3">
      <c r="A3658" t="s">
        <v>72</v>
      </c>
      <c r="B3658" t="s">
        <v>73</v>
      </c>
      <c r="C3658" t="s">
        <v>74</v>
      </c>
      <c r="E3658" t="str">
        <f>"080065616555"</f>
        <v>080065616555</v>
      </c>
      <c r="F3658" s="3">
        <v>45805</v>
      </c>
      <c r="G3658">
        <v>202602</v>
      </c>
      <c r="H3658" t="s">
        <v>75</v>
      </c>
      <c r="I3658" t="s">
        <v>76</v>
      </c>
      <c r="J3658" t="s">
        <v>77</v>
      </c>
      <c r="K3658" t="s">
        <v>78</v>
      </c>
      <c r="L3658" t="s">
        <v>103</v>
      </c>
      <c r="M3658" t="s">
        <v>104</v>
      </c>
      <c r="N3658" t="s">
        <v>1623</v>
      </c>
      <c r="O3658" t="s">
        <v>82</v>
      </c>
      <c r="P3658" t="str">
        <f>"4170041047                    "</f>
        <v xml:space="preserve">4170041047                    </v>
      </c>
      <c r="Q3658">
        <v>0</v>
      </c>
      <c r="R3658">
        <v>0</v>
      </c>
      <c r="S3658">
        <v>0</v>
      </c>
      <c r="T3658">
        <v>0</v>
      </c>
      <c r="U3658">
        <v>0</v>
      </c>
      <c r="V3658">
        <v>0</v>
      </c>
      <c r="W3658">
        <v>0</v>
      </c>
      <c r="X3658">
        <v>0</v>
      </c>
      <c r="Y3658">
        <v>0</v>
      </c>
      <c r="Z3658">
        <v>0</v>
      </c>
      <c r="AA3658">
        <v>0</v>
      </c>
      <c r="AB3658">
        <v>0</v>
      </c>
      <c r="AC3658">
        <v>0</v>
      </c>
      <c r="AD3658">
        <v>0</v>
      </c>
      <c r="AE3658">
        <v>0</v>
      </c>
      <c r="AF3658">
        <v>0</v>
      </c>
      <c r="AG3658">
        <v>0</v>
      </c>
      <c r="AH3658">
        <v>0</v>
      </c>
      <c r="AI3658">
        <v>0</v>
      </c>
      <c r="AJ3658">
        <v>0</v>
      </c>
      <c r="AK3658">
        <v>0</v>
      </c>
      <c r="AL3658">
        <v>0</v>
      </c>
      <c r="AM3658">
        <v>0</v>
      </c>
      <c r="AN3658">
        <v>0</v>
      </c>
      <c r="AO3658">
        <v>0</v>
      </c>
      <c r="AP3658">
        <v>0</v>
      </c>
      <c r="AQ3658">
        <v>21.38</v>
      </c>
      <c r="AR3658">
        <v>0</v>
      </c>
      <c r="AS3658">
        <v>0</v>
      </c>
      <c r="AT3658">
        <v>0</v>
      </c>
      <c r="AU3658">
        <v>0</v>
      </c>
      <c r="AV3658">
        <v>0</v>
      </c>
      <c r="AW3658">
        <v>0</v>
      </c>
      <c r="AX3658">
        <v>0</v>
      </c>
      <c r="AY3658">
        <v>0</v>
      </c>
      <c r="AZ3658">
        <v>0</v>
      </c>
      <c r="BA3658">
        <v>0</v>
      </c>
      <c r="BB3658">
        <v>0</v>
      </c>
      <c r="BC3658">
        <v>0</v>
      </c>
      <c r="BD3658">
        <v>0</v>
      </c>
      <c r="BE3658">
        <v>0</v>
      </c>
      <c r="BF3658">
        <v>0</v>
      </c>
      <c r="BG3658">
        <v>0</v>
      </c>
      <c r="BH3658">
        <v>1</v>
      </c>
      <c r="BI3658">
        <v>1</v>
      </c>
      <c r="BJ3658">
        <v>0.2</v>
      </c>
      <c r="BK3658">
        <v>1</v>
      </c>
      <c r="BL3658">
        <v>69.98</v>
      </c>
      <c r="BM3658">
        <v>10.5</v>
      </c>
      <c r="BN3658">
        <v>80.48</v>
      </c>
      <c r="BO3658">
        <v>80.48</v>
      </c>
      <c r="BQ3658" t="s">
        <v>1624</v>
      </c>
      <c r="BR3658" t="s">
        <v>84</v>
      </c>
      <c r="BS3658" s="3">
        <v>45806</v>
      </c>
      <c r="BT3658" s="4">
        <v>0.41666666666666669</v>
      </c>
      <c r="BU3658" t="s">
        <v>1625</v>
      </c>
      <c r="BV3658" t="s">
        <v>86</v>
      </c>
      <c r="BY3658">
        <v>1200</v>
      </c>
      <c r="CC3658" t="s">
        <v>104</v>
      </c>
      <c r="CD3658">
        <v>3201</v>
      </c>
      <c r="CE3658" t="s">
        <v>88</v>
      </c>
      <c r="CI3658">
        <v>1</v>
      </c>
      <c r="CJ3658">
        <v>1</v>
      </c>
      <c r="CK3658">
        <v>21</v>
      </c>
      <c r="CL3658" t="s">
        <v>89</v>
      </c>
    </row>
    <row r="3659" spans="1:90" x14ac:dyDescent="0.3">
      <c r="A3659" t="s">
        <v>72</v>
      </c>
      <c r="B3659" t="s">
        <v>73</v>
      </c>
      <c r="C3659" t="s">
        <v>74</v>
      </c>
      <c r="E3659" t="str">
        <f>"080065616614"</f>
        <v>080065616614</v>
      </c>
      <c r="F3659" s="3">
        <v>45805</v>
      </c>
      <c r="G3659">
        <v>202602</v>
      </c>
      <c r="H3659" t="s">
        <v>75</v>
      </c>
      <c r="I3659" t="s">
        <v>76</v>
      </c>
      <c r="J3659" t="s">
        <v>77</v>
      </c>
      <c r="K3659" t="s">
        <v>78</v>
      </c>
      <c r="L3659" t="s">
        <v>90</v>
      </c>
      <c r="M3659" t="s">
        <v>91</v>
      </c>
      <c r="N3659" t="s">
        <v>385</v>
      </c>
      <c r="O3659" t="s">
        <v>82</v>
      </c>
      <c r="P3659" t="str">
        <f>"4170040999                    "</f>
        <v xml:space="preserve">4170040999                    </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c r="AI3659">
        <v>0</v>
      </c>
      <c r="AJ3659">
        <v>0</v>
      </c>
      <c r="AK3659">
        <v>0</v>
      </c>
      <c r="AL3659">
        <v>0</v>
      </c>
      <c r="AM3659">
        <v>0</v>
      </c>
      <c r="AN3659">
        <v>0</v>
      </c>
      <c r="AO3659">
        <v>0</v>
      </c>
      <c r="AP3659">
        <v>0</v>
      </c>
      <c r="AQ3659">
        <v>21.38</v>
      </c>
      <c r="AR3659">
        <v>0</v>
      </c>
      <c r="AS3659">
        <v>0</v>
      </c>
      <c r="AT3659">
        <v>0</v>
      </c>
      <c r="AU3659">
        <v>0</v>
      </c>
      <c r="AV3659">
        <v>0</v>
      </c>
      <c r="AW3659">
        <v>0</v>
      </c>
      <c r="AX3659">
        <v>0</v>
      </c>
      <c r="AY3659">
        <v>0</v>
      </c>
      <c r="AZ3659">
        <v>0</v>
      </c>
      <c r="BA3659">
        <v>0</v>
      </c>
      <c r="BB3659">
        <v>0</v>
      </c>
      <c r="BC3659">
        <v>0</v>
      </c>
      <c r="BD3659">
        <v>0</v>
      </c>
      <c r="BE3659">
        <v>0</v>
      </c>
      <c r="BF3659">
        <v>0</v>
      </c>
      <c r="BG3659">
        <v>0</v>
      </c>
      <c r="BH3659">
        <v>1</v>
      </c>
      <c r="BI3659">
        <v>1</v>
      </c>
      <c r="BJ3659">
        <v>0.2</v>
      </c>
      <c r="BK3659">
        <v>1</v>
      </c>
      <c r="BL3659">
        <v>69.98</v>
      </c>
      <c r="BM3659">
        <v>10.5</v>
      </c>
      <c r="BN3659">
        <v>80.48</v>
      </c>
      <c r="BO3659">
        <v>80.48</v>
      </c>
      <c r="BQ3659" t="s">
        <v>386</v>
      </c>
      <c r="BR3659" t="s">
        <v>84</v>
      </c>
      <c r="BS3659" s="3">
        <v>45806</v>
      </c>
      <c r="BT3659" s="4">
        <v>0.41736111111111113</v>
      </c>
      <c r="BU3659" t="s">
        <v>2238</v>
      </c>
      <c r="BV3659" t="s">
        <v>86</v>
      </c>
      <c r="BY3659">
        <v>1200</v>
      </c>
      <c r="CA3659" t="s">
        <v>95</v>
      </c>
      <c r="CC3659" t="s">
        <v>91</v>
      </c>
      <c r="CD3659">
        <v>6056</v>
      </c>
      <c r="CE3659" t="s">
        <v>88</v>
      </c>
      <c r="CF3659" s="3">
        <v>45806</v>
      </c>
      <c r="CI3659">
        <v>1</v>
      </c>
      <c r="CJ3659">
        <v>1</v>
      </c>
      <c r="CK3659">
        <v>21</v>
      </c>
      <c r="CL3659" t="s">
        <v>89</v>
      </c>
    </row>
    <row r="3660" spans="1:90" x14ac:dyDescent="0.3">
      <c r="A3660" t="s">
        <v>72</v>
      </c>
      <c r="B3660" t="s">
        <v>73</v>
      </c>
      <c r="C3660" t="s">
        <v>74</v>
      </c>
      <c r="E3660" t="str">
        <f>"080065616643"</f>
        <v>080065616643</v>
      </c>
      <c r="F3660" s="3">
        <v>45805</v>
      </c>
      <c r="G3660">
        <v>202602</v>
      </c>
      <c r="H3660" t="s">
        <v>75</v>
      </c>
      <c r="I3660" t="s">
        <v>76</v>
      </c>
      <c r="J3660" t="s">
        <v>77</v>
      </c>
      <c r="K3660" t="s">
        <v>78</v>
      </c>
      <c r="L3660" t="s">
        <v>90</v>
      </c>
      <c r="M3660" t="s">
        <v>91</v>
      </c>
      <c r="N3660" t="s">
        <v>563</v>
      </c>
      <c r="O3660" t="s">
        <v>82</v>
      </c>
      <c r="P3660" t="str">
        <f>"4170041000                    "</f>
        <v xml:space="preserve">4170041000                    </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0</v>
      </c>
      <c r="AJ3660">
        <v>0</v>
      </c>
      <c r="AK3660">
        <v>0</v>
      </c>
      <c r="AL3660">
        <v>0</v>
      </c>
      <c r="AM3660">
        <v>0</v>
      </c>
      <c r="AN3660">
        <v>0</v>
      </c>
      <c r="AO3660">
        <v>0</v>
      </c>
      <c r="AP3660">
        <v>0</v>
      </c>
      <c r="AQ3660">
        <v>21.38</v>
      </c>
      <c r="AR3660">
        <v>0</v>
      </c>
      <c r="AS3660">
        <v>0</v>
      </c>
      <c r="AT3660">
        <v>0</v>
      </c>
      <c r="AU3660">
        <v>0</v>
      </c>
      <c r="AV3660">
        <v>0</v>
      </c>
      <c r="AW3660">
        <v>0</v>
      </c>
      <c r="AX3660">
        <v>0</v>
      </c>
      <c r="AY3660">
        <v>0</v>
      </c>
      <c r="AZ3660">
        <v>0</v>
      </c>
      <c r="BA3660">
        <v>0</v>
      </c>
      <c r="BB3660">
        <v>0</v>
      </c>
      <c r="BC3660">
        <v>0</v>
      </c>
      <c r="BD3660">
        <v>0</v>
      </c>
      <c r="BE3660">
        <v>0</v>
      </c>
      <c r="BF3660">
        <v>0</v>
      </c>
      <c r="BG3660">
        <v>0</v>
      </c>
      <c r="BH3660">
        <v>1</v>
      </c>
      <c r="BI3660">
        <v>1</v>
      </c>
      <c r="BJ3660">
        <v>0.2</v>
      </c>
      <c r="BK3660">
        <v>1</v>
      </c>
      <c r="BL3660">
        <v>69.98</v>
      </c>
      <c r="BM3660">
        <v>10.5</v>
      </c>
      <c r="BN3660">
        <v>80.48</v>
      </c>
      <c r="BO3660">
        <v>80.48</v>
      </c>
      <c r="BQ3660" t="s">
        <v>564</v>
      </c>
      <c r="BR3660" t="s">
        <v>84</v>
      </c>
      <c r="BS3660" s="3">
        <v>45806</v>
      </c>
      <c r="BT3660" s="4">
        <v>0.34930555555555554</v>
      </c>
      <c r="BU3660" t="s">
        <v>987</v>
      </c>
      <c r="BV3660" t="s">
        <v>86</v>
      </c>
      <c r="BY3660">
        <v>1200</v>
      </c>
      <c r="CA3660" t="s">
        <v>566</v>
      </c>
      <c r="CC3660" t="s">
        <v>91</v>
      </c>
      <c r="CD3660">
        <v>6001</v>
      </c>
      <c r="CE3660" t="s">
        <v>88</v>
      </c>
      <c r="CF3660" s="3">
        <v>45806</v>
      </c>
      <c r="CI3660">
        <v>1</v>
      </c>
      <c r="CJ3660">
        <v>1</v>
      </c>
      <c r="CK3660">
        <v>21</v>
      </c>
      <c r="CL3660" t="s">
        <v>89</v>
      </c>
    </row>
    <row r="3661" spans="1:90" x14ac:dyDescent="0.3">
      <c r="A3661" t="s">
        <v>72</v>
      </c>
      <c r="B3661" t="s">
        <v>73</v>
      </c>
      <c r="C3661" t="s">
        <v>74</v>
      </c>
      <c r="E3661" t="str">
        <f>"080065616679"</f>
        <v>080065616679</v>
      </c>
      <c r="F3661" s="3">
        <v>45805</v>
      </c>
      <c r="G3661">
        <v>202602</v>
      </c>
      <c r="H3661" t="s">
        <v>75</v>
      </c>
      <c r="I3661" t="s">
        <v>76</v>
      </c>
      <c r="J3661" t="s">
        <v>77</v>
      </c>
      <c r="K3661" t="s">
        <v>78</v>
      </c>
      <c r="L3661" t="s">
        <v>463</v>
      </c>
      <c r="M3661" t="s">
        <v>464</v>
      </c>
      <c r="N3661" t="s">
        <v>3360</v>
      </c>
      <c r="O3661" t="s">
        <v>82</v>
      </c>
      <c r="P3661" t="str">
        <f>"4170040998                    "</f>
        <v xml:space="preserve">4170040998                    </v>
      </c>
      <c r="Q3661">
        <v>0</v>
      </c>
      <c r="R3661">
        <v>0</v>
      </c>
      <c r="S3661">
        <v>0</v>
      </c>
      <c r="T3661">
        <v>0</v>
      </c>
      <c r="U3661">
        <v>0</v>
      </c>
      <c r="V3661">
        <v>0</v>
      </c>
      <c r="W3661">
        <v>0</v>
      </c>
      <c r="X3661">
        <v>0</v>
      </c>
      <c r="Y3661">
        <v>0</v>
      </c>
      <c r="Z3661">
        <v>0</v>
      </c>
      <c r="AA3661">
        <v>0</v>
      </c>
      <c r="AB3661">
        <v>0</v>
      </c>
      <c r="AC3661">
        <v>0</v>
      </c>
      <c r="AD3661">
        <v>0</v>
      </c>
      <c r="AE3661">
        <v>0</v>
      </c>
      <c r="AF3661">
        <v>0</v>
      </c>
      <c r="AG3661">
        <v>0</v>
      </c>
      <c r="AH3661">
        <v>0</v>
      </c>
      <c r="AI3661">
        <v>0</v>
      </c>
      <c r="AJ3661">
        <v>0</v>
      </c>
      <c r="AK3661">
        <v>0</v>
      </c>
      <c r="AL3661">
        <v>0</v>
      </c>
      <c r="AM3661">
        <v>0</v>
      </c>
      <c r="AN3661">
        <v>0</v>
      </c>
      <c r="AO3661">
        <v>0</v>
      </c>
      <c r="AP3661">
        <v>0</v>
      </c>
      <c r="AQ3661">
        <v>21.38</v>
      </c>
      <c r="AR3661">
        <v>0</v>
      </c>
      <c r="AS3661">
        <v>0</v>
      </c>
      <c r="AT3661">
        <v>0</v>
      </c>
      <c r="AU3661">
        <v>0</v>
      </c>
      <c r="AV3661">
        <v>0</v>
      </c>
      <c r="AW3661">
        <v>0</v>
      </c>
      <c r="AX3661">
        <v>0</v>
      </c>
      <c r="AY3661">
        <v>0</v>
      </c>
      <c r="AZ3661">
        <v>0</v>
      </c>
      <c r="BA3661">
        <v>0</v>
      </c>
      <c r="BB3661">
        <v>0</v>
      </c>
      <c r="BC3661">
        <v>0</v>
      </c>
      <c r="BD3661">
        <v>0</v>
      </c>
      <c r="BE3661">
        <v>0</v>
      </c>
      <c r="BF3661">
        <v>0</v>
      </c>
      <c r="BG3661">
        <v>0</v>
      </c>
      <c r="BH3661">
        <v>1</v>
      </c>
      <c r="BI3661">
        <v>1</v>
      </c>
      <c r="BJ3661">
        <v>0.2</v>
      </c>
      <c r="BK3661">
        <v>1</v>
      </c>
      <c r="BL3661">
        <v>69.98</v>
      </c>
      <c r="BM3661">
        <v>10.5</v>
      </c>
      <c r="BN3661">
        <v>80.48</v>
      </c>
      <c r="BO3661">
        <v>80.48</v>
      </c>
      <c r="BQ3661" t="s">
        <v>3361</v>
      </c>
      <c r="BR3661" t="s">
        <v>84</v>
      </c>
      <c r="BS3661" s="3">
        <v>45806</v>
      </c>
      <c r="BT3661" s="4">
        <v>0.52847222222222223</v>
      </c>
      <c r="BU3661" t="s">
        <v>467</v>
      </c>
      <c r="BV3661" t="s">
        <v>89</v>
      </c>
      <c r="BY3661">
        <v>1200</v>
      </c>
      <c r="CA3661" t="s">
        <v>468</v>
      </c>
      <c r="CC3661" t="s">
        <v>464</v>
      </c>
      <c r="CD3661">
        <v>5201</v>
      </c>
      <c r="CE3661" t="s">
        <v>88</v>
      </c>
      <c r="CI3661">
        <v>5</v>
      </c>
      <c r="CJ3661">
        <v>1</v>
      </c>
      <c r="CK3661">
        <v>21</v>
      </c>
      <c r="CL3661" t="s">
        <v>89</v>
      </c>
    </row>
    <row r="3662" spans="1:90" x14ac:dyDescent="0.3">
      <c r="A3662" t="s">
        <v>72</v>
      </c>
      <c r="B3662" t="s">
        <v>73</v>
      </c>
      <c r="C3662" t="s">
        <v>74</v>
      </c>
      <c r="E3662" t="str">
        <f>"080065616712"</f>
        <v>080065616712</v>
      </c>
      <c r="F3662" s="3">
        <v>45805</v>
      </c>
      <c r="G3662">
        <v>202602</v>
      </c>
      <c r="H3662" t="s">
        <v>75</v>
      </c>
      <c r="I3662" t="s">
        <v>76</v>
      </c>
      <c r="J3662" t="s">
        <v>77</v>
      </c>
      <c r="K3662" t="s">
        <v>78</v>
      </c>
      <c r="L3662" t="s">
        <v>117</v>
      </c>
      <c r="M3662" t="s">
        <v>118</v>
      </c>
      <c r="N3662" t="s">
        <v>978</v>
      </c>
      <c r="O3662" t="s">
        <v>82</v>
      </c>
      <c r="P3662" t="str">
        <f>"4170041076                    "</f>
        <v xml:space="preserve">4170041076                    </v>
      </c>
      <c r="Q3662">
        <v>0</v>
      </c>
      <c r="R3662">
        <v>0</v>
      </c>
      <c r="S3662">
        <v>0</v>
      </c>
      <c r="T3662">
        <v>0</v>
      </c>
      <c r="U3662">
        <v>0</v>
      </c>
      <c r="V3662">
        <v>0</v>
      </c>
      <c r="W3662">
        <v>0</v>
      </c>
      <c r="X3662">
        <v>0</v>
      </c>
      <c r="Y3662">
        <v>0</v>
      </c>
      <c r="Z3662">
        <v>0</v>
      </c>
      <c r="AA3662">
        <v>0</v>
      </c>
      <c r="AB3662">
        <v>0</v>
      </c>
      <c r="AC3662">
        <v>0</v>
      </c>
      <c r="AD3662">
        <v>0</v>
      </c>
      <c r="AE3662">
        <v>0</v>
      </c>
      <c r="AF3662">
        <v>0</v>
      </c>
      <c r="AG3662">
        <v>0</v>
      </c>
      <c r="AH3662">
        <v>0</v>
      </c>
      <c r="AI3662">
        <v>0</v>
      </c>
      <c r="AJ3662">
        <v>0</v>
      </c>
      <c r="AK3662">
        <v>0</v>
      </c>
      <c r="AL3662">
        <v>0</v>
      </c>
      <c r="AM3662">
        <v>0</v>
      </c>
      <c r="AN3662">
        <v>0</v>
      </c>
      <c r="AO3662">
        <v>0</v>
      </c>
      <c r="AP3662">
        <v>0</v>
      </c>
      <c r="AQ3662">
        <v>16.7</v>
      </c>
      <c r="AR3662">
        <v>0</v>
      </c>
      <c r="AS3662">
        <v>0</v>
      </c>
      <c r="AT3662">
        <v>0</v>
      </c>
      <c r="AU3662">
        <v>0</v>
      </c>
      <c r="AV3662">
        <v>0</v>
      </c>
      <c r="AW3662">
        <v>0</v>
      </c>
      <c r="AX3662">
        <v>0</v>
      </c>
      <c r="AY3662">
        <v>0</v>
      </c>
      <c r="AZ3662">
        <v>0</v>
      </c>
      <c r="BA3662">
        <v>0</v>
      </c>
      <c r="BB3662">
        <v>0</v>
      </c>
      <c r="BC3662">
        <v>0</v>
      </c>
      <c r="BD3662">
        <v>0</v>
      </c>
      <c r="BE3662">
        <v>0</v>
      </c>
      <c r="BF3662">
        <v>0</v>
      </c>
      <c r="BG3662">
        <v>0</v>
      </c>
      <c r="BH3662">
        <v>1</v>
      </c>
      <c r="BI3662">
        <v>1</v>
      </c>
      <c r="BJ3662">
        <v>0.2</v>
      </c>
      <c r="BK3662">
        <v>1</v>
      </c>
      <c r="BL3662">
        <v>54.66</v>
      </c>
      <c r="BM3662">
        <v>8.1999999999999993</v>
      </c>
      <c r="BN3662">
        <v>62.86</v>
      </c>
      <c r="BO3662">
        <v>62.86</v>
      </c>
      <c r="BQ3662" t="s">
        <v>979</v>
      </c>
      <c r="BR3662" t="s">
        <v>84</v>
      </c>
      <c r="BS3662" s="3">
        <v>45806</v>
      </c>
      <c r="BT3662" s="4">
        <v>0.4</v>
      </c>
      <c r="BU3662" t="s">
        <v>3125</v>
      </c>
      <c r="BV3662" t="s">
        <v>86</v>
      </c>
      <c r="BY3662">
        <v>1200</v>
      </c>
      <c r="CA3662" t="s">
        <v>1662</v>
      </c>
      <c r="CC3662" t="s">
        <v>118</v>
      </c>
      <c r="CD3662">
        <v>2040</v>
      </c>
      <c r="CE3662" t="s">
        <v>88</v>
      </c>
      <c r="CF3662" s="3">
        <v>45807</v>
      </c>
      <c r="CI3662">
        <v>1</v>
      </c>
      <c r="CJ3662">
        <v>1</v>
      </c>
      <c r="CK3662">
        <v>22</v>
      </c>
      <c r="CL3662" t="s">
        <v>89</v>
      </c>
    </row>
    <row r="3663" spans="1:90" x14ac:dyDescent="0.3">
      <c r="A3663" t="s">
        <v>72</v>
      </c>
      <c r="B3663" t="s">
        <v>73</v>
      </c>
      <c r="C3663" t="s">
        <v>74</v>
      </c>
      <c r="E3663" t="str">
        <f>"080065616783"</f>
        <v>080065616783</v>
      </c>
      <c r="F3663" s="3">
        <v>45805</v>
      </c>
      <c r="G3663">
        <v>202602</v>
      </c>
      <c r="H3663" t="s">
        <v>75</v>
      </c>
      <c r="I3663" t="s">
        <v>76</v>
      </c>
      <c r="J3663" t="s">
        <v>77</v>
      </c>
      <c r="K3663" t="s">
        <v>78</v>
      </c>
      <c r="L3663" t="s">
        <v>136</v>
      </c>
      <c r="M3663" t="s">
        <v>137</v>
      </c>
      <c r="N3663" t="s">
        <v>1783</v>
      </c>
      <c r="O3663" t="s">
        <v>82</v>
      </c>
      <c r="P3663" t="str">
        <f>"4170041043                    "</f>
        <v xml:space="preserve">4170041043                    </v>
      </c>
      <c r="Q3663">
        <v>0</v>
      </c>
      <c r="R3663">
        <v>0</v>
      </c>
      <c r="S3663">
        <v>0</v>
      </c>
      <c r="T3663">
        <v>0</v>
      </c>
      <c r="U3663">
        <v>0</v>
      </c>
      <c r="V3663">
        <v>0</v>
      </c>
      <c r="W3663">
        <v>0</v>
      </c>
      <c r="X3663">
        <v>0</v>
      </c>
      <c r="Y3663">
        <v>0</v>
      </c>
      <c r="Z3663">
        <v>0</v>
      </c>
      <c r="AA3663">
        <v>0</v>
      </c>
      <c r="AB3663">
        <v>0</v>
      </c>
      <c r="AC3663">
        <v>0</v>
      </c>
      <c r="AD3663">
        <v>0</v>
      </c>
      <c r="AE3663">
        <v>0</v>
      </c>
      <c r="AF3663">
        <v>0</v>
      </c>
      <c r="AG3663">
        <v>0</v>
      </c>
      <c r="AH3663">
        <v>0</v>
      </c>
      <c r="AI3663">
        <v>0</v>
      </c>
      <c r="AJ3663">
        <v>0</v>
      </c>
      <c r="AK3663">
        <v>0</v>
      </c>
      <c r="AL3663">
        <v>0</v>
      </c>
      <c r="AM3663">
        <v>0</v>
      </c>
      <c r="AN3663">
        <v>0</v>
      </c>
      <c r="AO3663">
        <v>0</v>
      </c>
      <c r="AP3663">
        <v>0</v>
      </c>
      <c r="AQ3663">
        <v>21.38</v>
      </c>
      <c r="AR3663">
        <v>0</v>
      </c>
      <c r="AS3663">
        <v>0</v>
      </c>
      <c r="AT3663">
        <v>0</v>
      </c>
      <c r="AU3663">
        <v>0</v>
      </c>
      <c r="AV3663">
        <v>0</v>
      </c>
      <c r="AW3663">
        <v>0</v>
      </c>
      <c r="AX3663">
        <v>0</v>
      </c>
      <c r="AY3663">
        <v>0</v>
      </c>
      <c r="AZ3663">
        <v>0</v>
      </c>
      <c r="BA3663">
        <v>0</v>
      </c>
      <c r="BB3663">
        <v>0</v>
      </c>
      <c r="BC3663">
        <v>0</v>
      </c>
      <c r="BD3663">
        <v>0</v>
      </c>
      <c r="BE3663">
        <v>0</v>
      </c>
      <c r="BF3663">
        <v>0</v>
      </c>
      <c r="BG3663">
        <v>0</v>
      </c>
      <c r="BH3663">
        <v>1</v>
      </c>
      <c r="BI3663">
        <v>1</v>
      </c>
      <c r="BJ3663">
        <v>0.2</v>
      </c>
      <c r="BK3663">
        <v>1</v>
      </c>
      <c r="BL3663">
        <v>69.98</v>
      </c>
      <c r="BM3663">
        <v>10.5</v>
      </c>
      <c r="BN3663">
        <v>80.48</v>
      </c>
      <c r="BO3663">
        <v>80.48</v>
      </c>
      <c r="BQ3663" t="s">
        <v>1784</v>
      </c>
      <c r="BR3663" t="s">
        <v>84</v>
      </c>
      <c r="BS3663" s="3">
        <v>45806</v>
      </c>
      <c r="BT3663" s="4">
        <v>0.43680555555555556</v>
      </c>
      <c r="BU3663" t="s">
        <v>1785</v>
      </c>
      <c r="BV3663" t="s">
        <v>86</v>
      </c>
      <c r="BY3663">
        <v>1200</v>
      </c>
      <c r="CA3663" t="s">
        <v>141</v>
      </c>
      <c r="CC3663" t="s">
        <v>137</v>
      </c>
      <c r="CD3663" s="5" t="s">
        <v>142</v>
      </c>
      <c r="CE3663" t="s">
        <v>88</v>
      </c>
      <c r="CF3663" s="3">
        <v>45806</v>
      </c>
      <c r="CI3663">
        <v>1</v>
      </c>
      <c r="CJ3663">
        <v>1</v>
      </c>
      <c r="CK3663">
        <v>21</v>
      </c>
      <c r="CL3663" t="s">
        <v>89</v>
      </c>
    </row>
    <row r="3664" spans="1:90" x14ac:dyDescent="0.3">
      <c r="A3664" t="s">
        <v>72</v>
      </c>
      <c r="B3664" t="s">
        <v>73</v>
      </c>
      <c r="C3664" t="s">
        <v>74</v>
      </c>
      <c r="E3664" t="str">
        <f>"080065616805"</f>
        <v>080065616805</v>
      </c>
      <c r="F3664" s="3">
        <v>45805</v>
      </c>
      <c r="G3664">
        <v>202602</v>
      </c>
      <c r="H3664" t="s">
        <v>75</v>
      </c>
      <c r="I3664" t="s">
        <v>76</v>
      </c>
      <c r="J3664" t="s">
        <v>77</v>
      </c>
      <c r="K3664" t="s">
        <v>78</v>
      </c>
      <c r="L3664" t="s">
        <v>117</v>
      </c>
      <c r="M3664" t="s">
        <v>118</v>
      </c>
      <c r="N3664" t="s">
        <v>2461</v>
      </c>
      <c r="O3664" t="s">
        <v>82</v>
      </c>
      <c r="P3664" t="str">
        <f>"4170041161                    "</f>
        <v xml:space="preserve">4170041161                    </v>
      </c>
      <c r="Q3664">
        <v>0</v>
      </c>
      <c r="R3664">
        <v>0</v>
      </c>
      <c r="S3664">
        <v>0</v>
      </c>
      <c r="T3664">
        <v>0</v>
      </c>
      <c r="U3664">
        <v>0</v>
      </c>
      <c r="V3664">
        <v>0</v>
      </c>
      <c r="W3664">
        <v>0</v>
      </c>
      <c r="X3664">
        <v>0</v>
      </c>
      <c r="Y3664">
        <v>0</v>
      </c>
      <c r="Z3664">
        <v>0</v>
      </c>
      <c r="AA3664">
        <v>0</v>
      </c>
      <c r="AB3664">
        <v>0</v>
      </c>
      <c r="AC3664">
        <v>0</v>
      </c>
      <c r="AD3664">
        <v>0</v>
      </c>
      <c r="AE3664">
        <v>0</v>
      </c>
      <c r="AF3664">
        <v>0</v>
      </c>
      <c r="AG3664">
        <v>0</v>
      </c>
      <c r="AH3664">
        <v>0</v>
      </c>
      <c r="AI3664">
        <v>0</v>
      </c>
      <c r="AJ3664">
        <v>0</v>
      </c>
      <c r="AK3664">
        <v>0</v>
      </c>
      <c r="AL3664">
        <v>0</v>
      </c>
      <c r="AM3664">
        <v>0</v>
      </c>
      <c r="AN3664">
        <v>0</v>
      </c>
      <c r="AO3664">
        <v>0</v>
      </c>
      <c r="AP3664">
        <v>0</v>
      </c>
      <c r="AQ3664">
        <v>16.7</v>
      </c>
      <c r="AR3664">
        <v>0</v>
      </c>
      <c r="AS3664">
        <v>0</v>
      </c>
      <c r="AT3664">
        <v>0</v>
      </c>
      <c r="AU3664">
        <v>0</v>
      </c>
      <c r="AV3664">
        <v>0</v>
      </c>
      <c r="AW3664">
        <v>0</v>
      </c>
      <c r="AX3664">
        <v>0</v>
      </c>
      <c r="AY3664">
        <v>0</v>
      </c>
      <c r="AZ3664">
        <v>0</v>
      </c>
      <c r="BA3664">
        <v>0</v>
      </c>
      <c r="BB3664">
        <v>0</v>
      </c>
      <c r="BC3664">
        <v>0</v>
      </c>
      <c r="BD3664">
        <v>0</v>
      </c>
      <c r="BE3664">
        <v>0</v>
      </c>
      <c r="BF3664">
        <v>0</v>
      </c>
      <c r="BG3664">
        <v>0</v>
      </c>
      <c r="BH3664">
        <v>1</v>
      </c>
      <c r="BI3664">
        <v>1</v>
      </c>
      <c r="BJ3664">
        <v>0.2</v>
      </c>
      <c r="BK3664">
        <v>1</v>
      </c>
      <c r="BL3664">
        <v>54.66</v>
      </c>
      <c r="BM3664">
        <v>8.1999999999999993</v>
      </c>
      <c r="BN3664">
        <v>62.86</v>
      </c>
      <c r="BO3664">
        <v>62.86</v>
      </c>
      <c r="BQ3664" t="s">
        <v>2462</v>
      </c>
      <c r="BR3664" t="s">
        <v>84</v>
      </c>
      <c r="BS3664" s="3">
        <v>45806</v>
      </c>
      <c r="BT3664" s="4">
        <v>0.43402777777777779</v>
      </c>
      <c r="BU3664" t="s">
        <v>3362</v>
      </c>
      <c r="BV3664" t="s">
        <v>86</v>
      </c>
      <c r="BY3664">
        <v>1200</v>
      </c>
      <c r="CA3664" t="s">
        <v>535</v>
      </c>
      <c r="CC3664" t="s">
        <v>118</v>
      </c>
      <c r="CD3664">
        <v>2049</v>
      </c>
      <c r="CE3664" t="s">
        <v>1193</v>
      </c>
      <c r="CF3664" s="3">
        <v>45806</v>
      </c>
      <c r="CI3664">
        <v>1</v>
      </c>
      <c r="CJ3664">
        <v>1</v>
      </c>
      <c r="CK3664">
        <v>22</v>
      </c>
      <c r="CL3664" t="s">
        <v>89</v>
      </c>
    </row>
    <row r="3665" spans="1:90" x14ac:dyDescent="0.3">
      <c r="A3665" t="s">
        <v>72</v>
      </c>
      <c r="B3665" t="s">
        <v>73</v>
      </c>
      <c r="C3665" t="s">
        <v>74</v>
      </c>
      <c r="E3665" t="str">
        <f>"080065616833"</f>
        <v>080065616833</v>
      </c>
      <c r="F3665" s="3">
        <v>45805</v>
      </c>
      <c r="G3665">
        <v>202602</v>
      </c>
      <c r="H3665" t="s">
        <v>75</v>
      </c>
      <c r="I3665" t="s">
        <v>76</v>
      </c>
      <c r="J3665" t="s">
        <v>77</v>
      </c>
      <c r="K3665" t="s">
        <v>78</v>
      </c>
      <c r="L3665" t="s">
        <v>103</v>
      </c>
      <c r="M3665" t="s">
        <v>104</v>
      </c>
      <c r="N3665" t="s">
        <v>633</v>
      </c>
      <c r="O3665" t="s">
        <v>82</v>
      </c>
      <c r="P3665" t="str">
        <f>"4170041068                    "</f>
        <v xml:space="preserve">4170041068                    </v>
      </c>
      <c r="Q3665">
        <v>0</v>
      </c>
      <c r="R3665">
        <v>0</v>
      </c>
      <c r="S3665">
        <v>0</v>
      </c>
      <c r="T3665">
        <v>0</v>
      </c>
      <c r="U3665">
        <v>0</v>
      </c>
      <c r="V3665">
        <v>0</v>
      </c>
      <c r="W3665">
        <v>0</v>
      </c>
      <c r="X3665">
        <v>0</v>
      </c>
      <c r="Y3665">
        <v>0</v>
      </c>
      <c r="Z3665">
        <v>0</v>
      </c>
      <c r="AA3665">
        <v>0</v>
      </c>
      <c r="AB3665">
        <v>0</v>
      </c>
      <c r="AC3665">
        <v>0</v>
      </c>
      <c r="AD3665">
        <v>0</v>
      </c>
      <c r="AE3665">
        <v>0</v>
      </c>
      <c r="AF3665">
        <v>0</v>
      </c>
      <c r="AG3665">
        <v>0</v>
      </c>
      <c r="AH3665">
        <v>0</v>
      </c>
      <c r="AI3665">
        <v>0</v>
      </c>
      <c r="AJ3665">
        <v>0</v>
      </c>
      <c r="AK3665">
        <v>0</v>
      </c>
      <c r="AL3665">
        <v>0</v>
      </c>
      <c r="AM3665">
        <v>0</v>
      </c>
      <c r="AN3665">
        <v>0</v>
      </c>
      <c r="AO3665">
        <v>0</v>
      </c>
      <c r="AP3665">
        <v>0</v>
      </c>
      <c r="AQ3665">
        <v>21.38</v>
      </c>
      <c r="AR3665">
        <v>0</v>
      </c>
      <c r="AS3665">
        <v>0</v>
      </c>
      <c r="AT3665">
        <v>0</v>
      </c>
      <c r="AU3665">
        <v>0</v>
      </c>
      <c r="AV3665">
        <v>0</v>
      </c>
      <c r="AW3665">
        <v>0</v>
      </c>
      <c r="AX3665">
        <v>0</v>
      </c>
      <c r="AY3665">
        <v>0</v>
      </c>
      <c r="AZ3665">
        <v>0</v>
      </c>
      <c r="BA3665">
        <v>0</v>
      </c>
      <c r="BB3665">
        <v>0</v>
      </c>
      <c r="BC3665">
        <v>0</v>
      </c>
      <c r="BD3665">
        <v>0</v>
      </c>
      <c r="BE3665">
        <v>0</v>
      </c>
      <c r="BF3665">
        <v>0</v>
      </c>
      <c r="BG3665">
        <v>0</v>
      </c>
      <c r="BH3665">
        <v>1</v>
      </c>
      <c r="BI3665">
        <v>1</v>
      </c>
      <c r="BJ3665">
        <v>0.2</v>
      </c>
      <c r="BK3665">
        <v>1</v>
      </c>
      <c r="BL3665">
        <v>69.98</v>
      </c>
      <c r="BM3665">
        <v>10.5</v>
      </c>
      <c r="BN3665">
        <v>80.48</v>
      </c>
      <c r="BO3665">
        <v>80.48</v>
      </c>
      <c r="BQ3665" t="s">
        <v>634</v>
      </c>
      <c r="BR3665" t="s">
        <v>84</v>
      </c>
      <c r="BS3665" s="3">
        <v>45806</v>
      </c>
      <c r="BT3665" s="4">
        <v>0.41666666666666669</v>
      </c>
      <c r="BU3665" t="s">
        <v>1466</v>
      </c>
      <c r="BV3665" t="s">
        <v>86</v>
      </c>
      <c r="BY3665">
        <v>1200</v>
      </c>
      <c r="CA3665" t="s">
        <v>440</v>
      </c>
      <c r="CC3665" t="s">
        <v>104</v>
      </c>
      <c r="CD3665">
        <v>3212</v>
      </c>
      <c r="CE3665" t="s">
        <v>88</v>
      </c>
      <c r="CI3665">
        <v>2</v>
      </c>
      <c r="CJ3665">
        <v>1</v>
      </c>
      <c r="CK3665">
        <v>21</v>
      </c>
      <c r="CL3665" t="s">
        <v>89</v>
      </c>
    </row>
    <row r="3666" spans="1:90" x14ac:dyDescent="0.3">
      <c r="A3666" t="s">
        <v>72</v>
      </c>
      <c r="B3666" t="s">
        <v>73</v>
      </c>
      <c r="C3666" t="s">
        <v>74</v>
      </c>
      <c r="E3666" t="str">
        <f>"080065616854"</f>
        <v>080065616854</v>
      </c>
      <c r="F3666" s="3">
        <v>45805</v>
      </c>
      <c r="G3666">
        <v>202602</v>
      </c>
      <c r="H3666" t="s">
        <v>75</v>
      </c>
      <c r="I3666" t="s">
        <v>76</v>
      </c>
      <c r="J3666" t="s">
        <v>77</v>
      </c>
      <c r="K3666" t="s">
        <v>78</v>
      </c>
      <c r="L3666" t="s">
        <v>123</v>
      </c>
      <c r="M3666" t="s">
        <v>123</v>
      </c>
      <c r="N3666" t="s">
        <v>317</v>
      </c>
      <c r="O3666" t="s">
        <v>82</v>
      </c>
      <c r="P3666" t="str">
        <f>"4170041081                    "</f>
        <v xml:space="preserve">4170041081                    </v>
      </c>
      <c r="Q3666">
        <v>0</v>
      </c>
      <c r="R3666">
        <v>0</v>
      </c>
      <c r="S3666">
        <v>0</v>
      </c>
      <c r="T3666">
        <v>0</v>
      </c>
      <c r="U3666">
        <v>0</v>
      </c>
      <c r="V3666">
        <v>0</v>
      </c>
      <c r="W3666">
        <v>0</v>
      </c>
      <c r="X3666">
        <v>0</v>
      </c>
      <c r="Y3666">
        <v>0</v>
      </c>
      <c r="Z3666">
        <v>0</v>
      </c>
      <c r="AA3666">
        <v>0</v>
      </c>
      <c r="AB3666">
        <v>0</v>
      </c>
      <c r="AC3666">
        <v>0</v>
      </c>
      <c r="AD3666">
        <v>0</v>
      </c>
      <c r="AE3666">
        <v>0</v>
      </c>
      <c r="AF3666">
        <v>0</v>
      </c>
      <c r="AG3666">
        <v>0</v>
      </c>
      <c r="AH3666">
        <v>0</v>
      </c>
      <c r="AI3666">
        <v>0</v>
      </c>
      <c r="AJ3666">
        <v>0</v>
      </c>
      <c r="AK3666">
        <v>0</v>
      </c>
      <c r="AL3666">
        <v>0</v>
      </c>
      <c r="AM3666">
        <v>0</v>
      </c>
      <c r="AN3666">
        <v>0</v>
      </c>
      <c r="AO3666">
        <v>0</v>
      </c>
      <c r="AP3666">
        <v>0</v>
      </c>
      <c r="AQ3666">
        <v>41.43</v>
      </c>
      <c r="AR3666">
        <v>0</v>
      </c>
      <c r="AS3666">
        <v>0</v>
      </c>
      <c r="AT3666">
        <v>0</v>
      </c>
      <c r="AU3666">
        <v>0</v>
      </c>
      <c r="AV3666">
        <v>0</v>
      </c>
      <c r="AW3666">
        <v>0</v>
      </c>
      <c r="AX3666">
        <v>0</v>
      </c>
      <c r="AY3666">
        <v>0</v>
      </c>
      <c r="AZ3666">
        <v>0</v>
      </c>
      <c r="BA3666">
        <v>0</v>
      </c>
      <c r="BB3666">
        <v>0</v>
      </c>
      <c r="BC3666">
        <v>0</v>
      </c>
      <c r="BD3666">
        <v>0</v>
      </c>
      <c r="BE3666">
        <v>0</v>
      </c>
      <c r="BF3666">
        <v>0</v>
      </c>
      <c r="BG3666">
        <v>0</v>
      </c>
      <c r="BH3666">
        <v>1</v>
      </c>
      <c r="BI3666">
        <v>1</v>
      </c>
      <c r="BJ3666">
        <v>0.2</v>
      </c>
      <c r="BK3666">
        <v>1</v>
      </c>
      <c r="BL3666">
        <v>135.59</v>
      </c>
      <c r="BM3666">
        <v>20.34</v>
      </c>
      <c r="BN3666">
        <v>155.93</v>
      </c>
      <c r="BO3666">
        <v>155.93</v>
      </c>
      <c r="BQ3666" t="s">
        <v>318</v>
      </c>
      <c r="BR3666" t="s">
        <v>84</v>
      </c>
      <c r="BS3666" s="3">
        <v>45806</v>
      </c>
      <c r="BT3666" s="4">
        <v>0.51249999999999996</v>
      </c>
      <c r="BU3666" t="s">
        <v>319</v>
      </c>
      <c r="BV3666" t="s">
        <v>86</v>
      </c>
      <c r="BY3666">
        <v>1200</v>
      </c>
      <c r="CA3666" t="s">
        <v>128</v>
      </c>
      <c r="CC3666" t="s">
        <v>123</v>
      </c>
      <c r="CD3666">
        <v>7646</v>
      </c>
      <c r="CE3666" t="s">
        <v>88</v>
      </c>
      <c r="CI3666">
        <v>1</v>
      </c>
      <c r="CJ3666">
        <v>1</v>
      </c>
      <c r="CK3666">
        <v>23</v>
      </c>
      <c r="CL3666" t="s">
        <v>89</v>
      </c>
    </row>
    <row r="3667" spans="1:90" x14ac:dyDescent="0.3">
      <c r="A3667" t="s">
        <v>72</v>
      </c>
      <c r="B3667" t="s">
        <v>73</v>
      </c>
      <c r="C3667" t="s">
        <v>74</v>
      </c>
      <c r="E3667" t="str">
        <f>"080065616877"</f>
        <v>080065616877</v>
      </c>
      <c r="F3667" s="3">
        <v>45805</v>
      </c>
      <c r="G3667">
        <v>202602</v>
      </c>
      <c r="H3667" t="s">
        <v>75</v>
      </c>
      <c r="I3667" t="s">
        <v>76</v>
      </c>
      <c r="J3667" t="s">
        <v>77</v>
      </c>
      <c r="K3667" t="s">
        <v>78</v>
      </c>
      <c r="L3667" t="s">
        <v>79</v>
      </c>
      <c r="M3667" t="s">
        <v>80</v>
      </c>
      <c r="N3667" t="s">
        <v>2154</v>
      </c>
      <c r="O3667" t="s">
        <v>82</v>
      </c>
      <c r="P3667" t="str">
        <f>"4170041057                    "</f>
        <v xml:space="preserve">4170041057                    </v>
      </c>
      <c r="Q3667">
        <v>0</v>
      </c>
      <c r="R3667">
        <v>0</v>
      </c>
      <c r="S3667">
        <v>0</v>
      </c>
      <c r="T3667">
        <v>0</v>
      </c>
      <c r="U3667">
        <v>0</v>
      </c>
      <c r="V3667">
        <v>0</v>
      </c>
      <c r="W3667">
        <v>0</v>
      </c>
      <c r="X3667">
        <v>0</v>
      </c>
      <c r="Y3667">
        <v>0</v>
      </c>
      <c r="Z3667">
        <v>0</v>
      </c>
      <c r="AA3667">
        <v>0</v>
      </c>
      <c r="AB3667">
        <v>0</v>
      </c>
      <c r="AC3667">
        <v>0</v>
      </c>
      <c r="AD3667">
        <v>0</v>
      </c>
      <c r="AE3667">
        <v>0</v>
      </c>
      <c r="AF3667">
        <v>0</v>
      </c>
      <c r="AG3667">
        <v>0</v>
      </c>
      <c r="AH3667">
        <v>0</v>
      </c>
      <c r="AI3667">
        <v>0</v>
      </c>
      <c r="AJ3667">
        <v>0</v>
      </c>
      <c r="AK3667">
        <v>0</v>
      </c>
      <c r="AL3667">
        <v>0</v>
      </c>
      <c r="AM3667">
        <v>0</v>
      </c>
      <c r="AN3667">
        <v>0</v>
      </c>
      <c r="AO3667">
        <v>0</v>
      </c>
      <c r="AP3667">
        <v>0</v>
      </c>
      <c r="AQ3667">
        <v>21.38</v>
      </c>
      <c r="AR3667">
        <v>0</v>
      </c>
      <c r="AS3667">
        <v>0</v>
      </c>
      <c r="AT3667">
        <v>0</v>
      </c>
      <c r="AU3667">
        <v>0</v>
      </c>
      <c r="AV3667">
        <v>0</v>
      </c>
      <c r="AW3667">
        <v>0</v>
      </c>
      <c r="AX3667">
        <v>0</v>
      </c>
      <c r="AY3667">
        <v>0</v>
      </c>
      <c r="AZ3667">
        <v>0</v>
      </c>
      <c r="BA3667">
        <v>0</v>
      </c>
      <c r="BB3667">
        <v>0</v>
      </c>
      <c r="BC3667">
        <v>0</v>
      </c>
      <c r="BD3667">
        <v>0</v>
      </c>
      <c r="BE3667">
        <v>0</v>
      </c>
      <c r="BF3667">
        <v>0</v>
      </c>
      <c r="BG3667">
        <v>0</v>
      </c>
      <c r="BH3667">
        <v>1</v>
      </c>
      <c r="BI3667">
        <v>1</v>
      </c>
      <c r="BJ3667">
        <v>0.2</v>
      </c>
      <c r="BK3667">
        <v>1</v>
      </c>
      <c r="BL3667">
        <v>69.98</v>
      </c>
      <c r="BM3667">
        <v>10.5</v>
      </c>
      <c r="BN3667">
        <v>80.48</v>
      </c>
      <c r="BO3667">
        <v>80.48</v>
      </c>
      <c r="BQ3667" t="s">
        <v>2155</v>
      </c>
      <c r="BR3667" t="s">
        <v>84</v>
      </c>
      <c r="BS3667" s="3">
        <v>45806</v>
      </c>
      <c r="BT3667" s="4">
        <v>0.42777777777777776</v>
      </c>
      <c r="BU3667" t="s">
        <v>3363</v>
      </c>
      <c r="BV3667" t="s">
        <v>86</v>
      </c>
      <c r="BY3667">
        <v>1200</v>
      </c>
      <c r="CA3667" t="s">
        <v>87</v>
      </c>
      <c r="CC3667" t="s">
        <v>80</v>
      </c>
      <c r="CD3667">
        <v>3600</v>
      </c>
      <c r="CE3667" t="s">
        <v>88</v>
      </c>
      <c r="CF3667" s="3">
        <v>45806</v>
      </c>
      <c r="CI3667">
        <v>1</v>
      </c>
      <c r="CJ3667">
        <v>1</v>
      </c>
      <c r="CK3667">
        <v>21</v>
      </c>
      <c r="CL3667" t="s">
        <v>89</v>
      </c>
    </row>
    <row r="3668" spans="1:90" x14ac:dyDescent="0.3">
      <c r="A3668" t="s">
        <v>72</v>
      </c>
      <c r="B3668" t="s">
        <v>73</v>
      </c>
      <c r="C3668" t="s">
        <v>74</v>
      </c>
      <c r="E3668" t="str">
        <f>"080065616898"</f>
        <v>080065616898</v>
      </c>
      <c r="F3668" s="3">
        <v>45805</v>
      </c>
      <c r="G3668">
        <v>202602</v>
      </c>
      <c r="H3668" t="s">
        <v>75</v>
      </c>
      <c r="I3668" t="s">
        <v>76</v>
      </c>
      <c r="J3668" t="s">
        <v>77</v>
      </c>
      <c r="K3668" t="s">
        <v>78</v>
      </c>
      <c r="L3668" t="s">
        <v>463</v>
      </c>
      <c r="M3668" t="s">
        <v>464</v>
      </c>
      <c r="N3668" t="s">
        <v>585</v>
      </c>
      <c r="O3668" t="s">
        <v>82</v>
      </c>
      <c r="P3668" t="str">
        <f>"4170041058                    "</f>
        <v xml:space="preserve">4170041058                    </v>
      </c>
      <c r="Q3668">
        <v>0</v>
      </c>
      <c r="R3668">
        <v>0</v>
      </c>
      <c r="S3668">
        <v>0</v>
      </c>
      <c r="T3668">
        <v>0</v>
      </c>
      <c r="U3668">
        <v>0</v>
      </c>
      <c r="V3668">
        <v>0</v>
      </c>
      <c r="W3668">
        <v>0</v>
      </c>
      <c r="X3668">
        <v>0</v>
      </c>
      <c r="Y3668">
        <v>0</v>
      </c>
      <c r="Z3668">
        <v>0</v>
      </c>
      <c r="AA3668">
        <v>0</v>
      </c>
      <c r="AB3668">
        <v>0</v>
      </c>
      <c r="AC3668">
        <v>0</v>
      </c>
      <c r="AD3668">
        <v>0</v>
      </c>
      <c r="AE3668">
        <v>0</v>
      </c>
      <c r="AF3668">
        <v>0</v>
      </c>
      <c r="AG3668">
        <v>0</v>
      </c>
      <c r="AH3668">
        <v>0</v>
      </c>
      <c r="AI3668">
        <v>0</v>
      </c>
      <c r="AJ3668">
        <v>0</v>
      </c>
      <c r="AK3668">
        <v>0</v>
      </c>
      <c r="AL3668">
        <v>0</v>
      </c>
      <c r="AM3668">
        <v>0</v>
      </c>
      <c r="AN3668">
        <v>0</v>
      </c>
      <c r="AO3668">
        <v>0</v>
      </c>
      <c r="AP3668">
        <v>0</v>
      </c>
      <c r="AQ3668">
        <v>21.38</v>
      </c>
      <c r="AR3668">
        <v>0</v>
      </c>
      <c r="AS3668">
        <v>0</v>
      </c>
      <c r="AT3668">
        <v>0</v>
      </c>
      <c r="AU3668">
        <v>0</v>
      </c>
      <c r="AV3668">
        <v>0</v>
      </c>
      <c r="AW3668">
        <v>0</v>
      </c>
      <c r="AX3668">
        <v>0</v>
      </c>
      <c r="AY3668">
        <v>0</v>
      </c>
      <c r="AZ3668">
        <v>0</v>
      </c>
      <c r="BA3668">
        <v>0</v>
      </c>
      <c r="BB3668">
        <v>0</v>
      </c>
      <c r="BC3668">
        <v>0</v>
      </c>
      <c r="BD3668">
        <v>0</v>
      </c>
      <c r="BE3668">
        <v>0</v>
      </c>
      <c r="BF3668">
        <v>0</v>
      </c>
      <c r="BG3668">
        <v>0</v>
      </c>
      <c r="BH3668">
        <v>1</v>
      </c>
      <c r="BI3668">
        <v>1</v>
      </c>
      <c r="BJ3668">
        <v>0.2</v>
      </c>
      <c r="BK3668">
        <v>1</v>
      </c>
      <c r="BL3668">
        <v>69.98</v>
      </c>
      <c r="BM3668">
        <v>10.5</v>
      </c>
      <c r="BN3668">
        <v>80.48</v>
      </c>
      <c r="BO3668">
        <v>80.48</v>
      </c>
      <c r="BQ3668" t="s">
        <v>586</v>
      </c>
      <c r="BR3668" t="s">
        <v>84</v>
      </c>
      <c r="BS3668" s="3">
        <v>45806</v>
      </c>
      <c r="BT3668" s="4">
        <v>0.49236111111111114</v>
      </c>
      <c r="BU3668" t="s">
        <v>2787</v>
      </c>
      <c r="BV3668" t="s">
        <v>89</v>
      </c>
      <c r="BY3668">
        <v>1200</v>
      </c>
      <c r="CA3668" t="s">
        <v>588</v>
      </c>
      <c r="CC3668" t="s">
        <v>464</v>
      </c>
      <c r="CD3668">
        <v>5201</v>
      </c>
      <c r="CE3668" t="s">
        <v>88</v>
      </c>
      <c r="CI3668">
        <v>1</v>
      </c>
      <c r="CJ3668">
        <v>1</v>
      </c>
      <c r="CK3668">
        <v>21</v>
      </c>
      <c r="CL3668" t="s">
        <v>89</v>
      </c>
    </row>
    <row r="3669" spans="1:90" x14ac:dyDescent="0.3">
      <c r="A3669" t="s">
        <v>72</v>
      </c>
      <c r="B3669" t="s">
        <v>73</v>
      </c>
      <c r="C3669" t="s">
        <v>74</v>
      </c>
      <c r="E3669" t="str">
        <f>"080065616918"</f>
        <v>080065616918</v>
      </c>
      <c r="F3669" s="3">
        <v>45805</v>
      </c>
      <c r="G3669">
        <v>202602</v>
      </c>
      <c r="H3669" t="s">
        <v>75</v>
      </c>
      <c r="I3669" t="s">
        <v>76</v>
      </c>
      <c r="J3669" t="s">
        <v>77</v>
      </c>
      <c r="K3669" t="s">
        <v>78</v>
      </c>
      <c r="L3669" t="s">
        <v>79</v>
      </c>
      <c r="M3669" t="s">
        <v>80</v>
      </c>
      <c r="N3669" t="s">
        <v>452</v>
      </c>
      <c r="O3669" t="s">
        <v>82</v>
      </c>
      <c r="P3669" t="str">
        <f>"4170041123                    "</f>
        <v xml:space="preserve">4170041123                    </v>
      </c>
      <c r="Q3669">
        <v>0</v>
      </c>
      <c r="R3669">
        <v>0</v>
      </c>
      <c r="S3669">
        <v>0</v>
      </c>
      <c r="T3669">
        <v>0</v>
      </c>
      <c r="U3669">
        <v>0</v>
      </c>
      <c r="V3669">
        <v>0</v>
      </c>
      <c r="W3669">
        <v>0</v>
      </c>
      <c r="X3669">
        <v>0</v>
      </c>
      <c r="Y3669">
        <v>0</v>
      </c>
      <c r="Z3669">
        <v>0</v>
      </c>
      <c r="AA3669">
        <v>0</v>
      </c>
      <c r="AB3669">
        <v>0</v>
      </c>
      <c r="AC3669">
        <v>0</v>
      </c>
      <c r="AD3669">
        <v>0</v>
      </c>
      <c r="AE3669">
        <v>0</v>
      </c>
      <c r="AF3669">
        <v>0</v>
      </c>
      <c r="AG3669">
        <v>0</v>
      </c>
      <c r="AH3669">
        <v>0</v>
      </c>
      <c r="AI3669">
        <v>0</v>
      </c>
      <c r="AJ3669">
        <v>0</v>
      </c>
      <c r="AK3669">
        <v>0</v>
      </c>
      <c r="AL3669">
        <v>0</v>
      </c>
      <c r="AM3669">
        <v>0</v>
      </c>
      <c r="AN3669">
        <v>0</v>
      </c>
      <c r="AO3669">
        <v>0</v>
      </c>
      <c r="AP3669">
        <v>0</v>
      </c>
      <c r="AQ3669">
        <v>53.43</v>
      </c>
      <c r="AR3669">
        <v>0</v>
      </c>
      <c r="AS3669">
        <v>0</v>
      </c>
      <c r="AT3669">
        <v>0</v>
      </c>
      <c r="AU3669">
        <v>0</v>
      </c>
      <c r="AV3669">
        <v>0</v>
      </c>
      <c r="AW3669">
        <v>0</v>
      </c>
      <c r="AX3669">
        <v>0</v>
      </c>
      <c r="AY3669">
        <v>0</v>
      </c>
      <c r="AZ3669">
        <v>0</v>
      </c>
      <c r="BA3669">
        <v>0</v>
      </c>
      <c r="BB3669">
        <v>0</v>
      </c>
      <c r="BC3669">
        <v>0</v>
      </c>
      <c r="BD3669">
        <v>0</v>
      </c>
      <c r="BE3669">
        <v>0</v>
      </c>
      <c r="BF3669">
        <v>0</v>
      </c>
      <c r="BG3669">
        <v>0</v>
      </c>
      <c r="BH3669">
        <v>1</v>
      </c>
      <c r="BI3669">
        <v>4</v>
      </c>
      <c r="BJ3669">
        <v>4.8</v>
      </c>
      <c r="BK3669">
        <v>5</v>
      </c>
      <c r="BL3669">
        <v>174.87</v>
      </c>
      <c r="BM3669">
        <v>26.23</v>
      </c>
      <c r="BN3669">
        <v>201.1</v>
      </c>
      <c r="BO3669">
        <v>201.1</v>
      </c>
      <c r="BQ3669" t="s">
        <v>453</v>
      </c>
      <c r="BR3669" t="s">
        <v>84</v>
      </c>
      <c r="BS3669" s="3">
        <v>45806</v>
      </c>
      <c r="BT3669" s="4">
        <v>0.41319444444444442</v>
      </c>
      <c r="BU3669" t="s">
        <v>1071</v>
      </c>
      <c r="BV3669" t="s">
        <v>86</v>
      </c>
      <c r="BY3669">
        <v>23751</v>
      </c>
      <c r="CA3669" t="s">
        <v>160</v>
      </c>
      <c r="CC3669" t="s">
        <v>80</v>
      </c>
      <c r="CD3669">
        <v>3610</v>
      </c>
      <c r="CE3669" t="s">
        <v>96</v>
      </c>
      <c r="CF3669" s="3">
        <v>45807</v>
      </c>
      <c r="CI3669">
        <v>1</v>
      </c>
      <c r="CJ3669">
        <v>1</v>
      </c>
      <c r="CK3669">
        <v>21</v>
      </c>
      <c r="CL3669" t="s">
        <v>89</v>
      </c>
    </row>
    <row r="3670" spans="1:90" x14ac:dyDescent="0.3">
      <c r="A3670" t="s">
        <v>72</v>
      </c>
      <c r="B3670" t="s">
        <v>73</v>
      </c>
      <c r="C3670" t="s">
        <v>74</v>
      </c>
      <c r="E3670" t="str">
        <f>"080065616971"</f>
        <v>080065616971</v>
      </c>
      <c r="F3670" s="3">
        <v>45805</v>
      </c>
      <c r="G3670">
        <v>202602</v>
      </c>
      <c r="H3670" t="s">
        <v>75</v>
      </c>
      <c r="I3670" t="s">
        <v>76</v>
      </c>
      <c r="J3670" t="s">
        <v>77</v>
      </c>
      <c r="K3670" t="s">
        <v>78</v>
      </c>
      <c r="L3670" t="s">
        <v>479</v>
      </c>
      <c r="M3670" t="s">
        <v>480</v>
      </c>
      <c r="N3670" t="s">
        <v>3364</v>
      </c>
      <c r="O3670" t="s">
        <v>82</v>
      </c>
      <c r="P3670" t="str">
        <f>"4170041006                    "</f>
        <v xml:space="preserve">4170041006                    </v>
      </c>
      <c r="Q3670">
        <v>0</v>
      </c>
      <c r="R3670">
        <v>0</v>
      </c>
      <c r="S3670">
        <v>0</v>
      </c>
      <c r="T3670">
        <v>0</v>
      </c>
      <c r="U3670">
        <v>0</v>
      </c>
      <c r="V3670">
        <v>0</v>
      </c>
      <c r="W3670">
        <v>0</v>
      </c>
      <c r="X3670">
        <v>0</v>
      </c>
      <c r="Y3670">
        <v>0</v>
      </c>
      <c r="Z3670">
        <v>0</v>
      </c>
      <c r="AA3670">
        <v>0</v>
      </c>
      <c r="AB3670">
        <v>0</v>
      </c>
      <c r="AC3670">
        <v>0</v>
      </c>
      <c r="AD3670">
        <v>0</v>
      </c>
      <c r="AE3670">
        <v>0</v>
      </c>
      <c r="AF3670">
        <v>0</v>
      </c>
      <c r="AG3670">
        <v>0</v>
      </c>
      <c r="AH3670">
        <v>0</v>
      </c>
      <c r="AI3670">
        <v>0</v>
      </c>
      <c r="AJ3670">
        <v>0</v>
      </c>
      <c r="AK3670">
        <v>0</v>
      </c>
      <c r="AL3670">
        <v>0</v>
      </c>
      <c r="AM3670">
        <v>0</v>
      </c>
      <c r="AN3670">
        <v>0</v>
      </c>
      <c r="AO3670">
        <v>0</v>
      </c>
      <c r="AP3670">
        <v>0</v>
      </c>
      <c r="AQ3670">
        <v>16.7</v>
      </c>
      <c r="AR3670">
        <v>0</v>
      </c>
      <c r="AS3670">
        <v>0</v>
      </c>
      <c r="AT3670">
        <v>0</v>
      </c>
      <c r="AU3670">
        <v>0</v>
      </c>
      <c r="AV3670">
        <v>0</v>
      </c>
      <c r="AW3670">
        <v>0</v>
      </c>
      <c r="AX3670">
        <v>0</v>
      </c>
      <c r="AY3670">
        <v>0</v>
      </c>
      <c r="AZ3670">
        <v>0</v>
      </c>
      <c r="BA3670">
        <v>0</v>
      </c>
      <c r="BB3670">
        <v>0</v>
      </c>
      <c r="BC3670">
        <v>0</v>
      </c>
      <c r="BD3670">
        <v>0</v>
      </c>
      <c r="BE3670">
        <v>0</v>
      </c>
      <c r="BF3670">
        <v>0</v>
      </c>
      <c r="BG3670">
        <v>0</v>
      </c>
      <c r="BH3670">
        <v>1</v>
      </c>
      <c r="BI3670">
        <v>1</v>
      </c>
      <c r="BJ3670">
        <v>3.2</v>
      </c>
      <c r="BK3670">
        <v>4</v>
      </c>
      <c r="BL3670">
        <v>54.66</v>
      </c>
      <c r="BM3670">
        <v>8.1999999999999993</v>
      </c>
      <c r="BN3670">
        <v>62.86</v>
      </c>
      <c r="BO3670">
        <v>62.86</v>
      </c>
      <c r="BQ3670" t="s">
        <v>3365</v>
      </c>
      <c r="BR3670" t="s">
        <v>84</v>
      </c>
      <c r="BS3670" s="3">
        <v>45806</v>
      </c>
      <c r="BT3670" s="4">
        <v>0.38819444444444445</v>
      </c>
      <c r="BU3670" t="s">
        <v>3366</v>
      </c>
      <c r="BV3670" t="s">
        <v>86</v>
      </c>
      <c r="BY3670">
        <v>15834</v>
      </c>
      <c r="CA3670" t="s">
        <v>1443</v>
      </c>
      <c r="CC3670" t="s">
        <v>480</v>
      </c>
      <c r="CD3670">
        <v>2158</v>
      </c>
      <c r="CE3670" t="s">
        <v>96</v>
      </c>
      <c r="CF3670" s="3">
        <v>45807</v>
      </c>
      <c r="CI3670">
        <v>1</v>
      </c>
      <c r="CJ3670">
        <v>1</v>
      </c>
      <c r="CK3670">
        <v>22</v>
      </c>
      <c r="CL3670" t="s">
        <v>89</v>
      </c>
    </row>
    <row r="3671" spans="1:90" x14ac:dyDescent="0.3">
      <c r="A3671" t="s">
        <v>72</v>
      </c>
      <c r="B3671" t="s">
        <v>73</v>
      </c>
      <c r="C3671" t="s">
        <v>74</v>
      </c>
      <c r="E3671" t="str">
        <f>"080065617017"</f>
        <v>080065617017</v>
      </c>
      <c r="F3671" s="3">
        <v>45805</v>
      </c>
      <c r="G3671">
        <v>202602</v>
      </c>
      <c r="H3671" t="s">
        <v>75</v>
      </c>
      <c r="I3671" t="s">
        <v>76</v>
      </c>
      <c r="J3671" t="s">
        <v>77</v>
      </c>
      <c r="K3671" t="s">
        <v>78</v>
      </c>
      <c r="L3671" t="s">
        <v>222</v>
      </c>
      <c r="M3671" t="s">
        <v>223</v>
      </c>
      <c r="N3671" t="s">
        <v>1369</v>
      </c>
      <c r="O3671" t="s">
        <v>82</v>
      </c>
      <c r="P3671" t="str">
        <f>"4170041126                    "</f>
        <v xml:space="preserve">4170041126                    </v>
      </c>
      <c r="Q3671">
        <v>0</v>
      </c>
      <c r="R3671">
        <v>0</v>
      </c>
      <c r="S3671">
        <v>0</v>
      </c>
      <c r="T3671">
        <v>0</v>
      </c>
      <c r="U3671">
        <v>0</v>
      </c>
      <c r="V3671">
        <v>0</v>
      </c>
      <c r="W3671">
        <v>0</v>
      </c>
      <c r="X3671">
        <v>0</v>
      </c>
      <c r="Y3671">
        <v>0</v>
      </c>
      <c r="Z3671">
        <v>0</v>
      </c>
      <c r="AA3671">
        <v>0</v>
      </c>
      <c r="AB3671">
        <v>0</v>
      </c>
      <c r="AC3671">
        <v>0</v>
      </c>
      <c r="AD3671">
        <v>0</v>
      </c>
      <c r="AE3671">
        <v>0</v>
      </c>
      <c r="AF3671">
        <v>0</v>
      </c>
      <c r="AG3671">
        <v>0</v>
      </c>
      <c r="AH3671">
        <v>0</v>
      </c>
      <c r="AI3671">
        <v>0</v>
      </c>
      <c r="AJ3671">
        <v>0</v>
      </c>
      <c r="AK3671">
        <v>0</v>
      </c>
      <c r="AL3671">
        <v>0</v>
      </c>
      <c r="AM3671">
        <v>0</v>
      </c>
      <c r="AN3671">
        <v>0</v>
      </c>
      <c r="AO3671">
        <v>0</v>
      </c>
      <c r="AP3671">
        <v>0</v>
      </c>
      <c r="AQ3671">
        <v>30.07</v>
      </c>
      <c r="AR3671">
        <v>0</v>
      </c>
      <c r="AS3671">
        <v>0</v>
      </c>
      <c r="AT3671">
        <v>0</v>
      </c>
      <c r="AU3671">
        <v>0</v>
      </c>
      <c r="AV3671">
        <v>0</v>
      </c>
      <c r="AW3671">
        <v>0</v>
      </c>
      <c r="AX3671">
        <v>0</v>
      </c>
      <c r="AY3671">
        <v>0</v>
      </c>
      <c r="AZ3671">
        <v>0</v>
      </c>
      <c r="BA3671">
        <v>0</v>
      </c>
      <c r="BB3671">
        <v>0</v>
      </c>
      <c r="BC3671">
        <v>0</v>
      </c>
      <c r="BD3671">
        <v>0</v>
      </c>
      <c r="BE3671">
        <v>0</v>
      </c>
      <c r="BF3671">
        <v>0</v>
      </c>
      <c r="BG3671">
        <v>0</v>
      </c>
      <c r="BH3671">
        <v>1</v>
      </c>
      <c r="BI3671">
        <v>1</v>
      </c>
      <c r="BJ3671">
        <v>1.7</v>
      </c>
      <c r="BK3671">
        <v>2</v>
      </c>
      <c r="BL3671">
        <v>98.42</v>
      </c>
      <c r="BM3671">
        <v>14.76</v>
      </c>
      <c r="BN3671">
        <v>113.18</v>
      </c>
      <c r="BO3671">
        <v>113.18</v>
      </c>
      <c r="BQ3671" t="s">
        <v>1370</v>
      </c>
      <c r="BR3671" t="s">
        <v>84</v>
      </c>
      <c r="BS3671" t="s">
        <v>1540</v>
      </c>
      <c r="BY3671">
        <v>8512</v>
      </c>
      <c r="CC3671" t="s">
        <v>223</v>
      </c>
      <c r="CD3671">
        <v>1748</v>
      </c>
      <c r="CE3671" t="s">
        <v>96</v>
      </c>
      <c r="CI3671">
        <v>1</v>
      </c>
      <c r="CJ3671" t="s">
        <v>1540</v>
      </c>
      <c r="CK3671">
        <v>24</v>
      </c>
      <c r="CL3671" t="s">
        <v>89</v>
      </c>
    </row>
    <row r="3672" spans="1:90" x14ac:dyDescent="0.3">
      <c r="A3672" t="s">
        <v>72</v>
      </c>
      <c r="B3672" t="s">
        <v>73</v>
      </c>
      <c r="C3672" t="s">
        <v>74</v>
      </c>
      <c r="E3672" t="str">
        <f>"080065617087"</f>
        <v>080065617087</v>
      </c>
      <c r="F3672" s="3">
        <v>45805</v>
      </c>
      <c r="G3672">
        <v>202602</v>
      </c>
      <c r="H3672" t="s">
        <v>75</v>
      </c>
      <c r="I3672" t="s">
        <v>76</v>
      </c>
      <c r="J3672" t="s">
        <v>77</v>
      </c>
      <c r="K3672" t="s">
        <v>78</v>
      </c>
      <c r="L3672" t="s">
        <v>103</v>
      </c>
      <c r="M3672" t="s">
        <v>104</v>
      </c>
      <c r="N3672" t="s">
        <v>633</v>
      </c>
      <c r="O3672" t="s">
        <v>82</v>
      </c>
      <c r="P3672" t="str">
        <f>"4170041027                    "</f>
        <v xml:space="preserve">4170041027                    </v>
      </c>
      <c r="Q3672">
        <v>0</v>
      </c>
      <c r="R3672">
        <v>0</v>
      </c>
      <c r="S3672">
        <v>0</v>
      </c>
      <c r="T3672">
        <v>0</v>
      </c>
      <c r="U3672">
        <v>0</v>
      </c>
      <c r="V3672">
        <v>0</v>
      </c>
      <c r="W3672">
        <v>0</v>
      </c>
      <c r="X3672">
        <v>0</v>
      </c>
      <c r="Y3672">
        <v>0</v>
      </c>
      <c r="Z3672">
        <v>0</v>
      </c>
      <c r="AA3672">
        <v>0</v>
      </c>
      <c r="AB3672">
        <v>0</v>
      </c>
      <c r="AC3672">
        <v>0</v>
      </c>
      <c r="AD3672">
        <v>0</v>
      </c>
      <c r="AE3672">
        <v>0</v>
      </c>
      <c r="AF3672">
        <v>0</v>
      </c>
      <c r="AG3672">
        <v>0</v>
      </c>
      <c r="AH3672">
        <v>0</v>
      </c>
      <c r="AI3672">
        <v>0</v>
      </c>
      <c r="AJ3672">
        <v>0</v>
      </c>
      <c r="AK3672">
        <v>0</v>
      </c>
      <c r="AL3672">
        <v>0</v>
      </c>
      <c r="AM3672">
        <v>0</v>
      </c>
      <c r="AN3672">
        <v>0</v>
      </c>
      <c r="AO3672">
        <v>0</v>
      </c>
      <c r="AP3672">
        <v>0</v>
      </c>
      <c r="AQ3672">
        <v>21.38</v>
      </c>
      <c r="AR3672">
        <v>0</v>
      </c>
      <c r="AS3672">
        <v>0</v>
      </c>
      <c r="AT3672">
        <v>0</v>
      </c>
      <c r="AU3672">
        <v>0</v>
      </c>
      <c r="AV3672">
        <v>0</v>
      </c>
      <c r="AW3672">
        <v>0</v>
      </c>
      <c r="AX3672">
        <v>0</v>
      </c>
      <c r="AY3672">
        <v>0</v>
      </c>
      <c r="AZ3672">
        <v>0</v>
      </c>
      <c r="BA3672">
        <v>0</v>
      </c>
      <c r="BB3672">
        <v>0</v>
      </c>
      <c r="BC3672">
        <v>0</v>
      </c>
      <c r="BD3672">
        <v>0</v>
      </c>
      <c r="BE3672">
        <v>0</v>
      </c>
      <c r="BF3672">
        <v>0</v>
      </c>
      <c r="BG3672">
        <v>0</v>
      </c>
      <c r="BH3672">
        <v>1</v>
      </c>
      <c r="BI3672">
        <v>1</v>
      </c>
      <c r="BJ3672">
        <v>1.4</v>
      </c>
      <c r="BK3672">
        <v>1.5</v>
      </c>
      <c r="BL3672">
        <v>69.98</v>
      </c>
      <c r="BM3672">
        <v>10.5</v>
      </c>
      <c r="BN3672">
        <v>80.48</v>
      </c>
      <c r="BO3672">
        <v>80.48</v>
      </c>
      <c r="BQ3672" t="s">
        <v>634</v>
      </c>
      <c r="BR3672" t="s">
        <v>84</v>
      </c>
      <c r="BS3672" s="3">
        <v>45806</v>
      </c>
      <c r="BT3672" s="4">
        <v>0.41666666666666669</v>
      </c>
      <c r="BU3672" t="s">
        <v>1466</v>
      </c>
      <c r="BV3672" t="s">
        <v>86</v>
      </c>
      <c r="BY3672">
        <v>7000</v>
      </c>
      <c r="CA3672" t="s">
        <v>440</v>
      </c>
      <c r="CC3672" t="s">
        <v>104</v>
      </c>
      <c r="CD3672">
        <v>3212</v>
      </c>
      <c r="CE3672" t="s">
        <v>96</v>
      </c>
      <c r="CI3672">
        <v>2</v>
      </c>
      <c r="CJ3672">
        <v>1</v>
      </c>
      <c r="CK3672">
        <v>21</v>
      </c>
      <c r="CL3672" t="s">
        <v>89</v>
      </c>
    </row>
    <row r="3673" spans="1:90" x14ac:dyDescent="0.3">
      <c r="A3673" t="s">
        <v>72</v>
      </c>
      <c r="B3673" t="s">
        <v>73</v>
      </c>
      <c r="C3673" t="s">
        <v>74</v>
      </c>
      <c r="E3673" t="str">
        <f>"080065617138"</f>
        <v>080065617138</v>
      </c>
      <c r="F3673" s="3">
        <v>45805</v>
      </c>
      <c r="G3673">
        <v>202602</v>
      </c>
      <c r="H3673" t="s">
        <v>75</v>
      </c>
      <c r="I3673" t="s">
        <v>76</v>
      </c>
      <c r="J3673" t="s">
        <v>77</v>
      </c>
      <c r="K3673" t="s">
        <v>78</v>
      </c>
      <c r="L3673" t="s">
        <v>90</v>
      </c>
      <c r="M3673" t="s">
        <v>91</v>
      </c>
      <c r="N3673" t="s">
        <v>92</v>
      </c>
      <c r="O3673" t="s">
        <v>300</v>
      </c>
      <c r="P3673" t="str">
        <f>"4170041015                    "</f>
        <v xml:space="preserve">4170041015                    </v>
      </c>
      <c r="Q3673">
        <v>0</v>
      </c>
      <c r="R3673">
        <v>0</v>
      </c>
      <c r="S3673">
        <v>0</v>
      </c>
      <c r="T3673">
        <v>0</v>
      </c>
      <c r="U3673">
        <v>0</v>
      </c>
      <c r="V3673">
        <v>0</v>
      </c>
      <c r="W3673">
        <v>0</v>
      </c>
      <c r="X3673">
        <v>0</v>
      </c>
      <c r="Y3673">
        <v>0</v>
      </c>
      <c r="Z3673">
        <v>0</v>
      </c>
      <c r="AA3673">
        <v>0</v>
      </c>
      <c r="AB3673">
        <v>0</v>
      </c>
      <c r="AC3673">
        <v>0</v>
      </c>
      <c r="AD3673">
        <v>0</v>
      </c>
      <c r="AE3673">
        <v>0</v>
      </c>
      <c r="AF3673">
        <v>0</v>
      </c>
      <c r="AG3673">
        <v>0</v>
      </c>
      <c r="AH3673">
        <v>0</v>
      </c>
      <c r="AI3673">
        <v>0</v>
      </c>
      <c r="AJ3673">
        <v>0</v>
      </c>
      <c r="AK3673">
        <v>0</v>
      </c>
      <c r="AL3673">
        <v>0</v>
      </c>
      <c r="AM3673">
        <v>0</v>
      </c>
      <c r="AN3673">
        <v>0</v>
      </c>
      <c r="AO3673">
        <v>0</v>
      </c>
      <c r="AP3673">
        <v>0</v>
      </c>
      <c r="AQ3673">
        <v>43.06</v>
      </c>
      <c r="AR3673">
        <v>0</v>
      </c>
      <c r="AS3673">
        <v>0</v>
      </c>
      <c r="AT3673">
        <v>0</v>
      </c>
      <c r="AU3673">
        <v>0</v>
      </c>
      <c r="AV3673">
        <v>0</v>
      </c>
      <c r="AW3673">
        <v>0</v>
      </c>
      <c r="AX3673">
        <v>0</v>
      </c>
      <c r="AY3673">
        <v>0</v>
      </c>
      <c r="AZ3673">
        <v>0</v>
      </c>
      <c r="BA3673">
        <v>0</v>
      </c>
      <c r="BB3673">
        <v>0</v>
      </c>
      <c r="BC3673">
        <v>0</v>
      </c>
      <c r="BD3673">
        <v>0</v>
      </c>
      <c r="BE3673">
        <v>0</v>
      </c>
      <c r="BF3673">
        <v>0</v>
      </c>
      <c r="BG3673">
        <v>0</v>
      </c>
      <c r="BH3673">
        <v>1</v>
      </c>
      <c r="BI3673">
        <v>8</v>
      </c>
      <c r="BJ3673">
        <v>15.6</v>
      </c>
      <c r="BK3673">
        <v>16</v>
      </c>
      <c r="BL3673">
        <v>146.49</v>
      </c>
      <c r="BM3673">
        <v>21.97</v>
      </c>
      <c r="BN3673">
        <v>168.46</v>
      </c>
      <c r="BO3673">
        <v>168.46</v>
      </c>
      <c r="BQ3673" t="s">
        <v>93</v>
      </c>
      <c r="BR3673" t="s">
        <v>84</v>
      </c>
      <c r="BS3673" t="s">
        <v>1540</v>
      </c>
      <c r="BY3673">
        <v>78000</v>
      </c>
      <c r="CC3673" t="s">
        <v>91</v>
      </c>
      <c r="CD3673">
        <v>6001</v>
      </c>
      <c r="CE3673" t="s">
        <v>96</v>
      </c>
      <c r="CI3673">
        <v>3</v>
      </c>
      <c r="CJ3673" t="s">
        <v>1540</v>
      </c>
      <c r="CK3673">
        <v>41</v>
      </c>
      <c r="CL3673" t="s">
        <v>89</v>
      </c>
    </row>
    <row r="3674" spans="1:90" x14ac:dyDescent="0.3">
      <c r="A3674" t="s">
        <v>72</v>
      </c>
      <c r="B3674" t="s">
        <v>73</v>
      </c>
      <c r="C3674" t="s">
        <v>74</v>
      </c>
      <c r="E3674" t="str">
        <f>"080065617176"</f>
        <v>080065617176</v>
      </c>
      <c r="F3674" s="3">
        <v>45805</v>
      </c>
      <c r="G3674">
        <v>202602</v>
      </c>
      <c r="H3674" t="s">
        <v>75</v>
      </c>
      <c r="I3674" t="s">
        <v>76</v>
      </c>
      <c r="J3674" t="s">
        <v>77</v>
      </c>
      <c r="K3674" t="s">
        <v>78</v>
      </c>
      <c r="L3674" t="s">
        <v>103</v>
      </c>
      <c r="M3674" t="s">
        <v>104</v>
      </c>
      <c r="N3674" t="s">
        <v>633</v>
      </c>
      <c r="O3674" t="s">
        <v>82</v>
      </c>
      <c r="P3674" t="str">
        <f>"4170041028                    "</f>
        <v xml:space="preserve">4170041028                    </v>
      </c>
      <c r="Q3674">
        <v>0</v>
      </c>
      <c r="R3674">
        <v>0</v>
      </c>
      <c r="S3674">
        <v>0</v>
      </c>
      <c r="T3674">
        <v>0</v>
      </c>
      <c r="U3674">
        <v>0</v>
      </c>
      <c r="V3674">
        <v>0</v>
      </c>
      <c r="W3674">
        <v>0</v>
      </c>
      <c r="X3674">
        <v>0</v>
      </c>
      <c r="Y3674">
        <v>0</v>
      </c>
      <c r="Z3674">
        <v>0</v>
      </c>
      <c r="AA3674">
        <v>0</v>
      </c>
      <c r="AB3674">
        <v>0</v>
      </c>
      <c r="AC3674">
        <v>0</v>
      </c>
      <c r="AD3674">
        <v>0</v>
      </c>
      <c r="AE3674">
        <v>0</v>
      </c>
      <c r="AF3674">
        <v>0</v>
      </c>
      <c r="AG3674">
        <v>0</v>
      </c>
      <c r="AH3674">
        <v>0</v>
      </c>
      <c r="AI3674">
        <v>0</v>
      </c>
      <c r="AJ3674">
        <v>0</v>
      </c>
      <c r="AK3674">
        <v>0</v>
      </c>
      <c r="AL3674">
        <v>0</v>
      </c>
      <c r="AM3674">
        <v>0</v>
      </c>
      <c r="AN3674">
        <v>0</v>
      </c>
      <c r="AO3674">
        <v>0</v>
      </c>
      <c r="AP3674">
        <v>0</v>
      </c>
      <c r="AQ3674">
        <v>32.07</v>
      </c>
      <c r="AR3674">
        <v>0</v>
      </c>
      <c r="AS3674">
        <v>0</v>
      </c>
      <c r="AT3674">
        <v>0</v>
      </c>
      <c r="AU3674">
        <v>0</v>
      </c>
      <c r="AV3674">
        <v>0</v>
      </c>
      <c r="AW3674">
        <v>0</v>
      </c>
      <c r="AX3674">
        <v>0</v>
      </c>
      <c r="AY3674">
        <v>0</v>
      </c>
      <c r="AZ3674">
        <v>0</v>
      </c>
      <c r="BA3674">
        <v>0</v>
      </c>
      <c r="BB3674">
        <v>0</v>
      </c>
      <c r="BC3674">
        <v>0</v>
      </c>
      <c r="BD3674">
        <v>0</v>
      </c>
      <c r="BE3674">
        <v>0</v>
      </c>
      <c r="BF3674">
        <v>0</v>
      </c>
      <c r="BG3674">
        <v>0</v>
      </c>
      <c r="BH3674">
        <v>1</v>
      </c>
      <c r="BI3674">
        <v>3</v>
      </c>
      <c r="BJ3674">
        <v>1.7</v>
      </c>
      <c r="BK3674">
        <v>3</v>
      </c>
      <c r="BL3674">
        <v>104.95</v>
      </c>
      <c r="BM3674">
        <v>15.74</v>
      </c>
      <c r="BN3674">
        <v>120.69</v>
      </c>
      <c r="BO3674">
        <v>120.69</v>
      </c>
      <c r="BQ3674" t="s">
        <v>634</v>
      </c>
      <c r="BR3674" t="s">
        <v>84</v>
      </c>
      <c r="BS3674" s="3">
        <v>45806</v>
      </c>
      <c r="BT3674" s="4">
        <v>0.41666666666666669</v>
      </c>
      <c r="BU3674" t="s">
        <v>3367</v>
      </c>
      <c r="BV3674" t="s">
        <v>86</v>
      </c>
      <c r="BY3674">
        <v>8512</v>
      </c>
      <c r="CC3674" t="s">
        <v>104</v>
      </c>
      <c r="CD3674">
        <v>3212</v>
      </c>
      <c r="CE3674" t="s">
        <v>96</v>
      </c>
      <c r="CI3674">
        <v>2</v>
      </c>
      <c r="CJ3674">
        <v>1</v>
      </c>
      <c r="CK3674">
        <v>21</v>
      </c>
      <c r="CL3674" t="s">
        <v>89</v>
      </c>
    </row>
    <row r="3675" spans="1:90" x14ac:dyDescent="0.3">
      <c r="A3675" t="s">
        <v>72</v>
      </c>
      <c r="B3675" t="s">
        <v>73</v>
      </c>
      <c r="C3675" t="s">
        <v>74</v>
      </c>
      <c r="E3675" t="str">
        <f>"080065617250"</f>
        <v>080065617250</v>
      </c>
      <c r="F3675" s="3">
        <v>45805</v>
      </c>
      <c r="G3675">
        <v>202602</v>
      </c>
      <c r="H3675" t="s">
        <v>75</v>
      </c>
      <c r="I3675" t="s">
        <v>76</v>
      </c>
      <c r="J3675" t="s">
        <v>77</v>
      </c>
      <c r="K3675" t="s">
        <v>78</v>
      </c>
      <c r="L3675" t="s">
        <v>844</v>
      </c>
      <c r="M3675" t="s">
        <v>845</v>
      </c>
      <c r="N3675" t="s">
        <v>1807</v>
      </c>
      <c r="O3675" t="s">
        <v>300</v>
      </c>
      <c r="P3675" t="str">
        <f>"4170041106                    "</f>
        <v xml:space="preserve">4170041106                    </v>
      </c>
      <c r="Q3675">
        <v>0</v>
      </c>
      <c r="R3675">
        <v>0</v>
      </c>
      <c r="S3675">
        <v>0</v>
      </c>
      <c r="T3675">
        <v>0</v>
      </c>
      <c r="U3675">
        <v>0</v>
      </c>
      <c r="V3675">
        <v>0</v>
      </c>
      <c r="W3675">
        <v>0</v>
      </c>
      <c r="X3675">
        <v>0</v>
      </c>
      <c r="Y3675">
        <v>0</v>
      </c>
      <c r="Z3675">
        <v>0</v>
      </c>
      <c r="AA3675">
        <v>0</v>
      </c>
      <c r="AB3675">
        <v>0</v>
      </c>
      <c r="AC3675">
        <v>0</v>
      </c>
      <c r="AD3675">
        <v>0</v>
      </c>
      <c r="AE3675">
        <v>0</v>
      </c>
      <c r="AF3675">
        <v>0</v>
      </c>
      <c r="AG3675">
        <v>0</v>
      </c>
      <c r="AH3675">
        <v>0</v>
      </c>
      <c r="AI3675">
        <v>0</v>
      </c>
      <c r="AJ3675">
        <v>0</v>
      </c>
      <c r="AK3675">
        <v>0</v>
      </c>
      <c r="AL3675">
        <v>0</v>
      </c>
      <c r="AM3675">
        <v>0</v>
      </c>
      <c r="AN3675">
        <v>0</v>
      </c>
      <c r="AO3675">
        <v>0</v>
      </c>
      <c r="AP3675">
        <v>0</v>
      </c>
      <c r="AQ3675">
        <v>77.2</v>
      </c>
      <c r="AR3675">
        <v>0</v>
      </c>
      <c r="AS3675">
        <v>0</v>
      </c>
      <c r="AT3675">
        <v>0</v>
      </c>
      <c r="AU3675">
        <v>0</v>
      </c>
      <c r="AV3675">
        <v>0</v>
      </c>
      <c r="AW3675">
        <v>0</v>
      </c>
      <c r="AX3675">
        <v>0</v>
      </c>
      <c r="AY3675">
        <v>0</v>
      </c>
      <c r="AZ3675">
        <v>0</v>
      </c>
      <c r="BA3675">
        <v>0</v>
      </c>
      <c r="BB3675">
        <v>0</v>
      </c>
      <c r="BC3675">
        <v>0</v>
      </c>
      <c r="BD3675">
        <v>0</v>
      </c>
      <c r="BE3675">
        <v>0</v>
      </c>
      <c r="BF3675">
        <v>0</v>
      </c>
      <c r="BG3675">
        <v>0</v>
      </c>
      <c r="BH3675">
        <v>2</v>
      </c>
      <c r="BI3675">
        <v>24</v>
      </c>
      <c r="BJ3675">
        <v>35.299999999999997</v>
      </c>
      <c r="BK3675">
        <v>36</v>
      </c>
      <c r="BL3675">
        <v>258.23</v>
      </c>
      <c r="BM3675">
        <v>38.729999999999997</v>
      </c>
      <c r="BN3675">
        <v>296.95999999999998</v>
      </c>
      <c r="BO3675">
        <v>296.95999999999998</v>
      </c>
      <c r="BQ3675" t="s">
        <v>1808</v>
      </c>
      <c r="BR3675" t="s">
        <v>84</v>
      </c>
      <c r="BS3675" t="s">
        <v>1540</v>
      </c>
      <c r="BY3675">
        <v>88320</v>
      </c>
      <c r="CC3675" t="s">
        <v>845</v>
      </c>
      <c r="CD3675">
        <v>7600</v>
      </c>
      <c r="CE3675" t="s">
        <v>1494</v>
      </c>
      <c r="CI3675">
        <v>3</v>
      </c>
      <c r="CJ3675" t="s">
        <v>1540</v>
      </c>
      <c r="CK3675">
        <v>41</v>
      </c>
      <c r="CL3675" t="s">
        <v>89</v>
      </c>
    </row>
    <row r="3676" spans="1:90" x14ac:dyDescent="0.3">
      <c r="A3676" t="s">
        <v>72</v>
      </c>
      <c r="B3676" t="s">
        <v>73</v>
      </c>
      <c r="C3676" t="s">
        <v>74</v>
      </c>
      <c r="E3676" t="str">
        <f>"080065617315"</f>
        <v>080065617315</v>
      </c>
      <c r="F3676" s="3">
        <v>45805</v>
      </c>
      <c r="G3676">
        <v>202602</v>
      </c>
      <c r="H3676" t="s">
        <v>75</v>
      </c>
      <c r="I3676" t="s">
        <v>76</v>
      </c>
      <c r="J3676" t="s">
        <v>77</v>
      </c>
      <c r="K3676" t="s">
        <v>78</v>
      </c>
      <c r="L3676" t="s">
        <v>374</v>
      </c>
      <c r="M3676" t="s">
        <v>375</v>
      </c>
      <c r="N3676" t="s">
        <v>376</v>
      </c>
      <c r="O3676" t="s">
        <v>82</v>
      </c>
      <c r="P3676" t="str">
        <f>"4170041042                    "</f>
        <v xml:space="preserve">4170041042                    </v>
      </c>
      <c r="Q3676">
        <v>0</v>
      </c>
      <c r="R3676">
        <v>0</v>
      </c>
      <c r="S3676">
        <v>0</v>
      </c>
      <c r="T3676">
        <v>0</v>
      </c>
      <c r="U3676">
        <v>0</v>
      </c>
      <c r="V3676">
        <v>0</v>
      </c>
      <c r="W3676">
        <v>0</v>
      </c>
      <c r="X3676">
        <v>0</v>
      </c>
      <c r="Y3676">
        <v>0</v>
      </c>
      <c r="Z3676">
        <v>0</v>
      </c>
      <c r="AA3676">
        <v>0</v>
      </c>
      <c r="AB3676">
        <v>0</v>
      </c>
      <c r="AC3676">
        <v>0</v>
      </c>
      <c r="AD3676">
        <v>0</v>
      </c>
      <c r="AE3676">
        <v>0</v>
      </c>
      <c r="AF3676">
        <v>0</v>
      </c>
      <c r="AG3676">
        <v>0</v>
      </c>
      <c r="AH3676">
        <v>0</v>
      </c>
      <c r="AI3676">
        <v>0</v>
      </c>
      <c r="AJ3676">
        <v>0</v>
      </c>
      <c r="AK3676">
        <v>0</v>
      </c>
      <c r="AL3676">
        <v>0</v>
      </c>
      <c r="AM3676">
        <v>0</v>
      </c>
      <c r="AN3676">
        <v>0</v>
      </c>
      <c r="AO3676">
        <v>0</v>
      </c>
      <c r="AP3676">
        <v>0</v>
      </c>
      <c r="AQ3676">
        <v>41.43</v>
      </c>
      <c r="AR3676">
        <v>0</v>
      </c>
      <c r="AS3676">
        <v>0</v>
      </c>
      <c r="AT3676">
        <v>0</v>
      </c>
      <c r="AU3676">
        <v>0</v>
      </c>
      <c r="AV3676">
        <v>0</v>
      </c>
      <c r="AW3676">
        <v>0</v>
      </c>
      <c r="AX3676">
        <v>0</v>
      </c>
      <c r="AY3676">
        <v>0</v>
      </c>
      <c r="AZ3676">
        <v>0</v>
      </c>
      <c r="BA3676">
        <v>0</v>
      </c>
      <c r="BB3676">
        <v>0</v>
      </c>
      <c r="BC3676">
        <v>0</v>
      </c>
      <c r="BD3676">
        <v>0</v>
      </c>
      <c r="BE3676">
        <v>0</v>
      </c>
      <c r="BF3676">
        <v>0</v>
      </c>
      <c r="BG3676">
        <v>0</v>
      </c>
      <c r="BH3676">
        <v>1</v>
      </c>
      <c r="BI3676">
        <v>1</v>
      </c>
      <c r="BJ3676">
        <v>1.9</v>
      </c>
      <c r="BK3676">
        <v>2</v>
      </c>
      <c r="BL3676">
        <v>135.59</v>
      </c>
      <c r="BM3676">
        <v>20.34</v>
      </c>
      <c r="BN3676">
        <v>155.93</v>
      </c>
      <c r="BO3676">
        <v>155.93</v>
      </c>
      <c r="BQ3676" t="s">
        <v>377</v>
      </c>
      <c r="BR3676" t="s">
        <v>84</v>
      </c>
      <c r="BS3676" s="3">
        <v>45806</v>
      </c>
      <c r="BT3676" s="4">
        <v>0.43611111111111112</v>
      </c>
      <c r="BU3676" t="s">
        <v>378</v>
      </c>
      <c r="BV3676" t="s">
        <v>86</v>
      </c>
      <c r="BY3676">
        <v>9600</v>
      </c>
      <c r="CA3676" t="s">
        <v>379</v>
      </c>
      <c r="CC3676" t="s">
        <v>375</v>
      </c>
      <c r="CD3676">
        <v>7130</v>
      </c>
      <c r="CE3676" t="s">
        <v>96</v>
      </c>
      <c r="CI3676">
        <v>1</v>
      </c>
      <c r="CJ3676">
        <v>1</v>
      </c>
      <c r="CK3676">
        <v>23</v>
      </c>
      <c r="CL3676" t="s">
        <v>89</v>
      </c>
    </row>
    <row r="3677" spans="1:90" x14ac:dyDescent="0.3">
      <c r="A3677" t="s">
        <v>72</v>
      </c>
      <c r="B3677" t="s">
        <v>73</v>
      </c>
      <c r="C3677" t="s">
        <v>74</v>
      </c>
      <c r="E3677" t="str">
        <f>"080065617374"</f>
        <v>080065617374</v>
      </c>
      <c r="F3677" s="3">
        <v>45805</v>
      </c>
      <c r="G3677">
        <v>202602</v>
      </c>
      <c r="H3677" t="s">
        <v>75</v>
      </c>
      <c r="I3677" t="s">
        <v>76</v>
      </c>
      <c r="J3677" t="s">
        <v>77</v>
      </c>
      <c r="K3677" t="s">
        <v>78</v>
      </c>
      <c r="L3677" t="s">
        <v>374</v>
      </c>
      <c r="M3677" t="s">
        <v>375</v>
      </c>
      <c r="N3677" t="s">
        <v>376</v>
      </c>
      <c r="O3677" t="s">
        <v>82</v>
      </c>
      <c r="P3677" t="str">
        <f>"4170041031                    "</f>
        <v xml:space="preserve">4170041031                    </v>
      </c>
      <c r="Q3677">
        <v>0</v>
      </c>
      <c r="R3677">
        <v>0</v>
      </c>
      <c r="S3677">
        <v>0</v>
      </c>
      <c r="T3677">
        <v>0</v>
      </c>
      <c r="U3677">
        <v>0</v>
      </c>
      <c r="V3677">
        <v>0</v>
      </c>
      <c r="W3677">
        <v>0</v>
      </c>
      <c r="X3677">
        <v>0</v>
      </c>
      <c r="Y3677">
        <v>0</v>
      </c>
      <c r="Z3677">
        <v>0</v>
      </c>
      <c r="AA3677">
        <v>0</v>
      </c>
      <c r="AB3677">
        <v>0</v>
      </c>
      <c r="AC3677">
        <v>0</v>
      </c>
      <c r="AD3677">
        <v>0</v>
      </c>
      <c r="AE3677">
        <v>0</v>
      </c>
      <c r="AF3677">
        <v>0</v>
      </c>
      <c r="AG3677">
        <v>0</v>
      </c>
      <c r="AH3677">
        <v>0</v>
      </c>
      <c r="AI3677">
        <v>0</v>
      </c>
      <c r="AJ3677">
        <v>0</v>
      </c>
      <c r="AK3677">
        <v>0</v>
      </c>
      <c r="AL3677">
        <v>0</v>
      </c>
      <c r="AM3677">
        <v>0</v>
      </c>
      <c r="AN3677">
        <v>0</v>
      </c>
      <c r="AO3677">
        <v>0</v>
      </c>
      <c r="AP3677">
        <v>0</v>
      </c>
      <c r="AQ3677">
        <v>60.14</v>
      </c>
      <c r="AR3677">
        <v>0</v>
      </c>
      <c r="AS3677">
        <v>0</v>
      </c>
      <c r="AT3677">
        <v>0</v>
      </c>
      <c r="AU3677">
        <v>0</v>
      </c>
      <c r="AV3677">
        <v>0</v>
      </c>
      <c r="AW3677">
        <v>0</v>
      </c>
      <c r="AX3677">
        <v>0</v>
      </c>
      <c r="AY3677">
        <v>0</v>
      </c>
      <c r="AZ3677">
        <v>0</v>
      </c>
      <c r="BA3677">
        <v>0</v>
      </c>
      <c r="BB3677">
        <v>0</v>
      </c>
      <c r="BC3677">
        <v>0</v>
      </c>
      <c r="BD3677">
        <v>0</v>
      </c>
      <c r="BE3677">
        <v>0</v>
      </c>
      <c r="BF3677">
        <v>0</v>
      </c>
      <c r="BG3677">
        <v>0</v>
      </c>
      <c r="BH3677">
        <v>1</v>
      </c>
      <c r="BI3677">
        <v>3</v>
      </c>
      <c r="BJ3677">
        <v>1.4</v>
      </c>
      <c r="BK3677">
        <v>3</v>
      </c>
      <c r="BL3677">
        <v>196.82</v>
      </c>
      <c r="BM3677">
        <v>29.52</v>
      </c>
      <c r="BN3677">
        <v>226.34</v>
      </c>
      <c r="BO3677">
        <v>226.34</v>
      </c>
      <c r="BQ3677" t="s">
        <v>377</v>
      </c>
      <c r="BR3677" t="s">
        <v>84</v>
      </c>
      <c r="BS3677" s="3">
        <v>45806</v>
      </c>
      <c r="BT3677" s="4">
        <v>0.43611111111111112</v>
      </c>
      <c r="BU3677" t="s">
        <v>378</v>
      </c>
      <c r="BV3677" t="s">
        <v>86</v>
      </c>
      <c r="BY3677">
        <v>7000</v>
      </c>
      <c r="CA3677" t="s">
        <v>379</v>
      </c>
      <c r="CC3677" t="s">
        <v>375</v>
      </c>
      <c r="CD3677">
        <v>7130</v>
      </c>
      <c r="CE3677" t="s">
        <v>96</v>
      </c>
      <c r="CI3677">
        <v>1</v>
      </c>
      <c r="CJ3677">
        <v>1</v>
      </c>
      <c r="CK3677">
        <v>23</v>
      </c>
      <c r="CL3677" t="s">
        <v>89</v>
      </c>
    </row>
    <row r="3678" spans="1:90" x14ac:dyDescent="0.3">
      <c r="A3678" t="s">
        <v>72</v>
      </c>
      <c r="B3678" t="s">
        <v>73</v>
      </c>
      <c r="C3678" t="s">
        <v>74</v>
      </c>
      <c r="E3678" t="str">
        <f>"080065617420"</f>
        <v>080065617420</v>
      </c>
      <c r="F3678" s="3">
        <v>45805</v>
      </c>
      <c r="G3678">
        <v>202602</v>
      </c>
      <c r="H3678" t="s">
        <v>75</v>
      </c>
      <c r="I3678" t="s">
        <v>76</v>
      </c>
      <c r="J3678" t="s">
        <v>77</v>
      </c>
      <c r="K3678" t="s">
        <v>78</v>
      </c>
      <c r="L3678" t="s">
        <v>136</v>
      </c>
      <c r="M3678" t="s">
        <v>137</v>
      </c>
      <c r="N3678" t="s">
        <v>886</v>
      </c>
      <c r="O3678" t="s">
        <v>82</v>
      </c>
      <c r="P3678" t="str">
        <f>"4170040940                    "</f>
        <v xml:space="preserve">4170040940                    </v>
      </c>
      <c r="Q3678">
        <v>0</v>
      </c>
      <c r="R3678">
        <v>0</v>
      </c>
      <c r="S3678">
        <v>0</v>
      </c>
      <c r="T3678">
        <v>0</v>
      </c>
      <c r="U3678">
        <v>0</v>
      </c>
      <c r="V3678">
        <v>0</v>
      </c>
      <c r="W3678">
        <v>0</v>
      </c>
      <c r="X3678">
        <v>0</v>
      </c>
      <c r="Y3678">
        <v>0</v>
      </c>
      <c r="Z3678">
        <v>0</v>
      </c>
      <c r="AA3678">
        <v>0</v>
      </c>
      <c r="AB3678">
        <v>0</v>
      </c>
      <c r="AC3678">
        <v>0</v>
      </c>
      <c r="AD3678">
        <v>0</v>
      </c>
      <c r="AE3678">
        <v>0</v>
      </c>
      <c r="AF3678">
        <v>0</v>
      </c>
      <c r="AG3678">
        <v>0</v>
      </c>
      <c r="AH3678">
        <v>0</v>
      </c>
      <c r="AI3678">
        <v>0</v>
      </c>
      <c r="AJ3678">
        <v>0</v>
      </c>
      <c r="AK3678">
        <v>0</v>
      </c>
      <c r="AL3678">
        <v>0</v>
      </c>
      <c r="AM3678">
        <v>0</v>
      </c>
      <c r="AN3678">
        <v>0</v>
      </c>
      <c r="AO3678">
        <v>0</v>
      </c>
      <c r="AP3678">
        <v>0</v>
      </c>
      <c r="AQ3678">
        <v>21.38</v>
      </c>
      <c r="AR3678">
        <v>0</v>
      </c>
      <c r="AS3678">
        <v>0</v>
      </c>
      <c r="AT3678">
        <v>0</v>
      </c>
      <c r="AU3678">
        <v>0</v>
      </c>
      <c r="AV3678">
        <v>0</v>
      </c>
      <c r="AW3678">
        <v>0</v>
      </c>
      <c r="AX3678">
        <v>0</v>
      </c>
      <c r="AY3678">
        <v>0</v>
      </c>
      <c r="AZ3678">
        <v>0</v>
      </c>
      <c r="BA3678">
        <v>0</v>
      </c>
      <c r="BB3678">
        <v>0</v>
      </c>
      <c r="BC3678">
        <v>0</v>
      </c>
      <c r="BD3678">
        <v>0</v>
      </c>
      <c r="BE3678">
        <v>0</v>
      </c>
      <c r="BF3678">
        <v>0</v>
      </c>
      <c r="BG3678">
        <v>0</v>
      </c>
      <c r="BH3678">
        <v>1</v>
      </c>
      <c r="BI3678">
        <v>2</v>
      </c>
      <c r="BJ3678">
        <v>1.7</v>
      </c>
      <c r="BK3678">
        <v>2</v>
      </c>
      <c r="BL3678">
        <v>69.98</v>
      </c>
      <c r="BM3678">
        <v>10.5</v>
      </c>
      <c r="BN3678">
        <v>80.48</v>
      </c>
      <c r="BO3678">
        <v>80.48</v>
      </c>
      <c r="BQ3678" t="s">
        <v>887</v>
      </c>
      <c r="BR3678" t="s">
        <v>84</v>
      </c>
      <c r="BS3678" s="3">
        <v>45806</v>
      </c>
      <c r="BT3678" s="4">
        <v>0.40138888888888891</v>
      </c>
      <c r="BU3678" t="s">
        <v>3368</v>
      </c>
      <c r="BV3678" t="s">
        <v>86</v>
      </c>
      <c r="BY3678">
        <v>8512</v>
      </c>
      <c r="CA3678" t="s">
        <v>2800</v>
      </c>
      <c r="CC3678" t="s">
        <v>137</v>
      </c>
      <c r="CD3678" s="5" t="s">
        <v>738</v>
      </c>
      <c r="CE3678" t="s">
        <v>96</v>
      </c>
      <c r="CF3678" s="3">
        <v>45806</v>
      </c>
      <c r="CI3678">
        <v>1</v>
      </c>
      <c r="CJ3678">
        <v>1</v>
      </c>
      <c r="CK3678">
        <v>21</v>
      </c>
      <c r="CL3678" t="s">
        <v>89</v>
      </c>
    </row>
    <row r="3679" spans="1:90" x14ac:dyDescent="0.3">
      <c r="A3679" t="s">
        <v>72</v>
      </c>
      <c r="B3679" t="s">
        <v>73</v>
      </c>
      <c r="C3679" t="s">
        <v>74</v>
      </c>
      <c r="E3679" t="str">
        <f>"080065617468"</f>
        <v>080065617468</v>
      </c>
      <c r="F3679" s="3">
        <v>45805</v>
      </c>
      <c r="G3679">
        <v>202602</v>
      </c>
      <c r="H3679" t="s">
        <v>75</v>
      </c>
      <c r="I3679" t="s">
        <v>76</v>
      </c>
      <c r="J3679" t="s">
        <v>77</v>
      </c>
      <c r="K3679" t="s">
        <v>78</v>
      </c>
      <c r="L3679" t="s">
        <v>409</v>
      </c>
      <c r="M3679" t="s">
        <v>410</v>
      </c>
      <c r="N3679" t="s">
        <v>411</v>
      </c>
      <c r="O3679" t="s">
        <v>82</v>
      </c>
      <c r="P3679" t="str">
        <f>"4170041107                    "</f>
        <v xml:space="preserve">4170041107                    </v>
      </c>
      <c r="Q3679">
        <v>0</v>
      </c>
      <c r="R3679">
        <v>0</v>
      </c>
      <c r="S3679">
        <v>0</v>
      </c>
      <c r="T3679">
        <v>0</v>
      </c>
      <c r="U3679">
        <v>0</v>
      </c>
      <c r="V3679">
        <v>0</v>
      </c>
      <c r="W3679">
        <v>0</v>
      </c>
      <c r="X3679">
        <v>0</v>
      </c>
      <c r="Y3679">
        <v>0</v>
      </c>
      <c r="Z3679">
        <v>0</v>
      </c>
      <c r="AA3679">
        <v>0</v>
      </c>
      <c r="AB3679">
        <v>0</v>
      </c>
      <c r="AC3679">
        <v>0</v>
      </c>
      <c r="AD3679">
        <v>0</v>
      </c>
      <c r="AE3679">
        <v>0</v>
      </c>
      <c r="AF3679">
        <v>0</v>
      </c>
      <c r="AG3679">
        <v>0</v>
      </c>
      <c r="AH3679">
        <v>0</v>
      </c>
      <c r="AI3679">
        <v>0</v>
      </c>
      <c r="AJ3679">
        <v>0</v>
      </c>
      <c r="AK3679">
        <v>0</v>
      </c>
      <c r="AL3679">
        <v>0</v>
      </c>
      <c r="AM3679">
        <v>0</v>
      </c>
      <c r="AN3679">
        <v>0</v>
      </c>
      <c r="AO3679">
        <v>0</v>
      </c>
      <c r="AP3679">
        <v>0</v>
      </c>
      <c r="AQ3679">
        <v>191.1</v>
      </c>
      <c r="AR3679">
        <v>0</v>
      </c>
      <c r="AS3679">
        <v>0</v>
      </c>
      <c r="AT3679">
        <v>0</v>
      </c>
      <c r="AU3679">
        <v>0</v>
      </c>
      <c r="AV3679">
        <v>0</v>
      </c>
      <c r="AW3679">
        <v>0</v>
      </c>
      <c r="AX3679">
        <v>0</v>
      </c>
      <c r="AY3679">
        <v>0</v>
      </c>
      <c r="AZ3679">
        <v>0</v>
      </c>
      <c r="BA3679">
        <v>0</v>
      </c>
      <c r="BB3679">
        <v>0</v>
      </c>
      <c r="BC3679">
        <v>0</v>
      </c>
      <c r="BD3679">
        <v>0</v>
      </c>
      <c r="BE3679">
        <v>0</v>
      </c>
      <c r="BF3679">
        <v>0</v>
      </c>
      <c r="BG3679">
        <v>0</v>
      </c>
      <c r="BH3679">
        <v>2</v>
      </c>
      <c r="BI3679">
        <v>7</v>
      </c>
      <c r="BJ3679">
        <v>10</v>
      </c>
      <c r="BK3679">
        <v>10</v>
      </c>
      <c r="BL3679">
        <v>625.41999999999996</v>
      </c>
      <c r="BM3679">
        <v>93.81</v>
      </c>
      <c r="BN3679">
        <v>719.23</v>
      </c>
      <c r="BO3679">
        <v>719.23</v>
      </c>
      <c r="BQ3679" t="s">
        <v>412</v>
      </c>
      <c r="BR3679" t="s">
        <v>84</v>
      </c>
      <c r="BS3679" s="3">
        <v>45806</v>
      </c>
      <c r="BT3679" s="4">
        <v>0.4236111111111111</v>
      </c>
      <c r="BU3679" t="s">
        <v>413</v>
      </c>
      <c r="BV3679" t="s">
        <v>86</v>
      </c>
      <c r="BY3679">
        <v>49960</v>
      </c>
      <c r="CA3679" t="s">
        <v>414</v>
      </c>
      <c r="CC3679" t="s">
        <v>410</v>
      </c>
      <c r="CD3679">
        <v>6850</v>
      </c>
      <c r="CE3679" t="s">
        <v>116</v>
      </c>
      <c r="CF3679" s="3">
        <v>45807</v>
      </c>
      <c r="CI3679">
        <v>2</v>
      </c>
      <c r="CJ3679">
        <v>1</v>
      </c>
      <c r="CK3679">
        <v>23</v>
      </c>
      <c r="CL3679" t="s">
        <v>89</v>
      </c>
    </row>
    <row r="3680" spans="1:90" x14ac:dyDescent="0.3">
      <c r="A3680" t="s">
        <v>72</v>
      </c>
      <c r="B3680" t="s">
        <v>73</v>
      </c>
      <c r="C3680" t="s">
        <v>74</v>
      </c>
      <c r="E3680" t="str">
        <f>"080065617828"</f>
        <v>080065617828</v>
      </c>
      <c r="F3680" s="3">
        <v>45805</v>
      </c>
      <c r="G3680">
        <v>202602</v>
      </c>
      <c r="H3680" t="s">
        <v>75</v>
      </c>
      <c r="I3680" t="s">
        <v>76</v>
      </c>
      <c r="J3680" t="s">
        <v>77</v>
      </c>
      <c r="K3680" t="s">
        <v>78</v>
      </c>
      <c r="L3680" t="s">
        <v>136</v>
      </c>
      <c r="M3680" t="s">
        <v>137</v>
      </c>
      <c r="N3680" t="s">
        <v>1235</v>
      </c>
      <c r="O3680" t="s">
        <v>300</v>
      </c>
      <c r="P3680" t="str">
        <f>"4170041135                    "</f>
        <v xml:space="preserve">4170041135                    </v>
      </c>
      <c r="Q3680">
        <v>0</v>
      </c>
      <c r="R3680">
        <v>0</v>
      </c>
      <c r="S3680">
        <v>0</v>
      </c>
      <c r="T3680">
        <v>0</v>
      </c>
      <c r="U3680">
        <v>0</v>
      </c>
      <c r="V3680">
        <v>0</v>
      </c>
      <c r="W3680">
        <v>0</v>
      </c>
      <c r="X3680">
        <v>0</v>
      </c>
      <c r="Y3680">
        <v>0</v>
      </c>
      <c r="Z3680">
        <v>0</v>
      </c>
      <c r="AA3680">
        <v>0</v>
      </c>
      <c r="AB3680">
        <v>0</v>
      </c>
      <c r="AC3680">
        <v>0</v>
      </c>
      <c r="AD3680">
        <v>0</v>
      </c>
      <c r="AE3680">
        <v>0</v>
      </c>
      <c r="AF3680">
        <v>0</v>
      </c>
      <c r="AG3680">
        <v>0</v>
      </c>
      <c r="AH3680">
        <v>0</v>
      </c>
      <c r="AI3680">
        <v>0</v>
      </c>
      <c r="AJ3680">
        <v>0</v>
      </c>
      <c r="AK3680">
        <v>0</v>
      </c>
      <c r="AL3680">
        <v>0</v>
      </c>
      <c r="AM3680">
        <v>0</v>
      </c>
      <c r="AN3680">
        <v>0</v>
      </c>
      <c r="AO3680">
        <v>0</v>
      </c>
      <c r="AP3680">
        <v>0</v>
      </c>
      <c r="AQ3680">
        <v>55.01</v>
      </c>
      <c r="AR3680">
        <v>0</v>
      </c>
      <c r="AS3680">
        <v>0</v>
      </c>
      <c r="AT3680">
        <v>0</v>
      </c>
      <c r="AU3680">
        <v>0</v>
      </c>
      <c r="AV3680">
        <v>0</v>
      </c>
      <c r="AW3680">
        <v>0</v>
      </c>
      <c r="AX3680">
        <v>0</v>
      </c>
      <c r="AY3680">
        <v>0</v>
      </c>
      <c r="AZ3680">
        <v>0</v>
      </c>
      <c r="BA3680">
        <v>0</v>
      </c>
      <c r="BB3680">
        <v>0</v>
      </c>
      <c r="BC3680">
        <v>0</v>
      </c>
      <c r="BD3680">
        <v>0</v>
      </c>
      <c r="BE3680">
        <v>0</v>
      </c>
      <c r="BF3680">
        <v>0</v>
      </c>
      <c r="BG3680">
        <v>0</v>
      </c>
      <c r="BH3680">
        <v>2</v>
      </c>
      <c r="BI3680">
        <v>23</v>
      </c>
      <c r="BJ3680">
        <v>16.100000000000001</v>
      </c>
      <c r="BK3680">
        <v>23</v>
      </c>
      <c r="BL3680">
        <v>185.6</v>
      </c>
      <c r="BM3680">
        <v>27.84</v>
      </c>
      <c r="BN3680">
        <v>213.44</v>
      </c>
      <c r="BO3680">
        <v>213.44</v>
      </c>
      <c r="BQ3680" t="s">
        <v>1236</v>
      </c>
      <c r="BR3680" t="s">
        <v>84</v>
      </c>
      <c r="BS3680" s="3">
        <v>45806</v>
      </c>
      <c r="BT3680" s="4">
        <v>0.31666666666666665</v>
      </c>
      <c r="BU3680" t="s">
        <v>1946</v>
      </c>
      <c r="BV3680" t="s">
        <v>86</v>
      </c>
      <c r="BY3680">
        <v>80400</v>
      </c>
      <c r="CA3680" t="s">
        <v>1947</v>
      </c>
      <c r="CC3680" t="s">
        <v>137</v>
      </c>
      <c r="CD3680" s="5" t="s">
        <v>1239</v>
      </c>
      <c r="CE3680" t="s">
        <v>88</v>
      </c>
      <c r="CF3680" s="3">
        <v>45806</v>
      </c>
      <c r="CI3680">
        <v>1</v>
      </c>
      <c r="CJ3680">
        <v>1</v>
      </c>
      <c r="CK3680">
        <v>41</v>
      </c>
      <c r="CL3680" t="s">
        <v>89</v>
      </c>
    </row>
    <row r="3681" spans="1:90" x14ac:dyDescent="0.3">
      <c r="A3681" t="s">
        <v>72</v>
      </c>
      <c r="B3681" t="s">
        <v>73</v>
      </c>
      <c r="C3681" t="s">
        <v>74</v>
      </c>
      <c r="E3681" t="str">
        <f>"080065618168"</f>
        <v>080065618168</v>
      </c>
      <c r="F3681" s="3">
        <v>45805</v>
      </c>
      <c r="G3681">
        <v>202602</v>
      </c>
      <c r="H3681" t="s">
        <v>75</v>
      </c>
      <c r="I3681" t="s">
        <v>76</v>
      </c>
      <c r="J3681" t="s">
        <v>77</v>
      </c>
      <c r="K3681" t="s">
        <v>78</v>
      </c>
      <c r="L3681" t="s">
        <v>75</v>
      </c>
      <c r="M3681" t="s">
        <v>76</v>
      </c>
      <c r="N3681" t="s">
        <v>601</v>
      </c>
      <c r="O3681" t="s">
        <v>82</v>
      </c>
      <c r="P3681" t="str">
        <f>"4170041073                    "</f>
        <v xml:space="preserve">4170041073                    </v>
      </c>
      <c r="Q3681">
        <v>0</v>
      </c>
      <c r="R3681">
        <v>0</v>
      </c>
      <c r="S3681">
        <v>0</v>
      </c>
      <c r="T3681">
        <v>0</v>
      </c>
      <c r="U3681">
        <v>0</v>
      </c>
      <c r="V3681">
        <v>0</v>
      </c>
      <c r="W3681">
        <v>0</v>
      </c>
      <c r="X3681">
        <v>0</v>
      </c>
      <c r="Y3681">
        <v>0</v>
      </c>
      <c r="Z3681">
        <v>0</v>
      </c>
      <c r="AA3681">
        <v>0</v>
      </c>
      <c r="AB3681">
        <v>0</v>
      </c>
      <c r="AC3681">
        <v>0</v>
      </c>
      <c r="AD3681">
        <v>0</v>
      </c>
      <c r="AE3681">
        <v>0</v>
      </c>
      <c r="AF3681">
        <v>0</v>
      </c>
      <c r="AG3681">
        <v>0</v>
      </c>
      <c r="AH3681">
        <v>0</v>
      </c>
      <c r="AI3681">
        <v>0</v>
      </c>
      <c r="AJ3681">
        <v>0</v>
      </c>
      <c r="AK3681">
        <v>0</v>
      </c>
      <c r="AL3681">
        <v>0</v>
      </c>
      <c r="AM3681">
        <v>0</v>
      </c>
      <c r="AN3681">
        <v>0</v>
      </c>
      <c r="AO3681">
        <v>0</v>
      </c>
      <c r="AP3681">
        <v>0</v>
      </c>
      <c r="AQ3681">
        <v>16.7</v>
      </c>
      <c r="AR3681">
        <v>0</v>
      </c>
      <c r="AS3681">
        <v>0</v>
      </c>
      <c r="AT3681">
        <v>0</v>
      </c>
      <c r="AU3681">
        <v>0</v>
      </c>
      <c r="AV3681">
        <v>0</v>
      </c>
      <c r="AW3681">
        <v>0</v>
      </c>
      <c r="AX3681">
        <v>0</v>
      </c>
      <c r="AY3681">
        <v>0</v>
      </c>
      <c r="AZ3681">
        <v>0</v>
      </c>
      <c r="BA3681">
        <v>0</v>
      </c>
      <c r="BB3681">
        <v>0</v>
      </c>
      <c r="BC3681">
        <v>0</v>
      </c>
      <c r="BD3681">
        <v>0</v>
      </c>
      <c r="BE3681">
        <v>0</v>
      </c>
      <c r="BF3681">
        <v>0</v>
      </c>
      <c r="BG3681">
        <v>0</v>
      </c>
      <c r="BH3681">
        <v>1</v>
      </c>
      <c r="BI3681">
        <v>1</v>
      </c>
      <c r="BJ3681">
        <v>0.2</v>
      </c>
      <c r="BK3681">
        <v>1</v>
      </c>
      <c r="BL3681">
        <v>54.66</v>
      </c>
      <c r="BM3681">
        <v>8.1999999999999993</v>
      </c>
      <c r="BN3681">
        <v>62.86</v>
      </c>
      <c r="BO3681">
        <v>62.86</v>
      </c>
      <c r="BQ3681" t="s">
        <v>603</v>
      </c>
      <c r="BR3681" t="s">
        <v>84</v>
      </c>
      <c r="BS3681" s="3">
        <v>45806</v>
      </c>
      <c r="BT3681" s="4">
        <v>0.35486111111111113</v>
      </c>
      <c r="BU3681" t="s">
        <v>3003</v>
      </c>
      <c r="BV3681" t="s">
        <v>86</v>
      </c>
      <c r="BY3681">
        <v>1200</v>
      </c>
      <c r="CA3681" t="s">
        <v>2929</v>
      </c>
      <c r="CC3681" t="s">
        <v>76</v>
      </c>
      <c r="CD3681">
        <v>1645</v>
      </c>
      <c r="CE3681" t="s">
        <v>88</v>
      </c>
      <c r="CF3681" s="3">
        <v>45806</v>
      </c>
      <c r="CI3681">
        <v>1</v>
      </c>
      <c r="CJ3681">
        <v>1</v>
      </c>
      <c r="CK3681">
        <v>22</v>
      </c>
      <c r="CL3681" t="s">
        <v>89</v>
      </c>
    </row>
    <row r="3682" spans="1:90" x14ac:dyDescent="0.3">
      <c r="A3682" t="s">
        <v>72</v>
      </c>
      <c r="B3682" t="s">
        <v>73</v>
      </c>
      <c r="C3682" t="s">
        <v>74</v>
      </c>
      <c r="E3682" t="str">
        <f>"080065618209"</f>
        <v>080065618209</v>
      </c>
      <c r="F3682" s="3">
        <v>45805</v>
      </c>
      <c r="G3682">
        <v>202602</v>
      </c>
      <c r="H3682" t="s">
        <v>75</v>
      </c>
      <c r="I3682" t="s">
        <v>76</v>
      </c>
      <c r="J3682" t="s">
        <v>77</v>
      </c>
      <c r="K3682" t="s">
        <v>78</v>
      </c>
      <c r="L3682" t="s">
        <v>143</v>
      </c>
      <c r="M3682" t="s">
        <v>144</v>
      </c>
      <c r="N3682" t="s">
        <v>669</v>
      </c>
      <c r="O3682" t="s">
        <v>82</v>
      </c>
      <c r="P3682" t="str">
        <f>"4170041108                    "</f>
        <v xml:space="preserve">4170041108                    </v>
      </c>
      <c r="Q3682">
        <v>0</v>
      </c>
      <c r="R3682">
        <v>0</v>
      </c>
      <c r="S3682">
        <v>0</v>
      </c>
      <c r="T3682">
        <v>0</v>
      </c>
      <c r="U3682">
        <v>0</v>
      </c>
      <c r="V3682">
        <v>0</v>
      </c>
      <c r="W3682">
        <v>0</v>
      </c>
      <c r="X3682">
        <v>0</v>
      </c>
      <c r="Y3682">
        <v>0</v>
      </c>
      <c r="Z3682">
        <v>0</v>
      </c>
      <c r="AA3682">
        <v>0</v>
      </c>
      <c r="AB3682">
        <v>0</v>
      </c>
      <c r="AC3682">
        <v>0</v>
      </c>
      <c r="AD3682">
        <v>0</v>
      </c>
      <c r="AE3682">
        <v>0</v>
      </c>
      <c r="AF3682">
        <v>0</v>
      </c>
      <c r="AG3682">
        <v>0</v>
      </c>
      <c r="AH3682">
        <v>0</v>
      </c>
      <c r="AI3682">
        <v>0</v>
      </c>
      <c r="AJ3682">
        <v>0</v>
      </c>
      <c r="AK3682">
        <v>0</v>
      </c>
      <c r="AL3682">
        <v>0</v>
      </c>
      <c r="AM3682">
        <v>0</v>
      </c>
      <c r="AN3682">
        <v>0</v>
      </c>
      <c r="AO3682">
        <v>0</v>
      </c>
      <c r="AP3682">
        <v>0</v>
      </c>
      <c r="AQ3682">
        <v>16.7</v>
      </c>
      <c r="AR3682">
        <v>0</v>
      </c>
      <c r="AS3682">
        <v>0</v>
      </c>
      <c r="AT3682">
        <v>0</v>
      </c>
      <c r="AU3682">
        <v>0</v>
      </c>
      <c r="AV3682">
        <v>0</v>
      </c>
      <c r="AW3682">
        <v>0</v>
      </c>
      <c r="AX3682">
        <v>0</v>
      </c>
      <c r="AY3682">
        <v>0</v>
      </c>
      <c r="AZ3682">
        <v>0</v>
      </c>
      <c r="BA3682">
        <v>0</v>
      </c>
      <c r="BB3682">
        <v>0</v>
      </c>
      <c r="BC3682">
        <v>0</v>
      </c>
      <c r="BD3682">
        <v>0</v>
      </c>
      <c r="BE3682">
        <v>0</v>
      </c>
      <c r="BF3682">
        <v>0</v>
      </c>
      <c r="BG3682">
        <v>0</v>
      </c>
      <c r="BH3682">
        <v>1</v>
      </c>
      <c r="BI3682">
        <v>1</v>
      </c>
      <c r="BJ3682">
        <v>0.2</v>
      </c>
      <c r="BK3682">
        <v>1</v>
      </c>
      <c r="BL3682">
        <v>54.66</v>
      </c>
      <c r="BM3682">
        <v>8.1999999999999993</v>
      </c>
      <c r="BN3682">
        <v>62.86</v>
      </c>
      <c r="BO3682">
        <v>62.86</v>
      </c>
      <c r="BQ3682" t="s">
        <v>670</v>
      </c>
      <c r="BR3682" t="s">
        <v>84</v>
      </c>
      <c r="BS3682" s="3">
        <v>45806</v>
      </c>
      <c r="BT3682" s="4">
        <v>0.44166666666666665</v>
      </c>
      <c r="BU3682" t="s">
        <v>671</v>
      </c>
      <c r="BV3682" t="s">
        <v>89</v>
      </c>
      <c r="BW3682" t="s">
        <v>148</v>
      </c>
      <c r="BX3682" t="s">
        <v>149</v>
      </c>
      <c r="BY3682">
        <v>1200</v>
      </c>
      <c r="CA3682" t="s">
        <v>150</v>
      </c>
      <c r="CC3682" t="s">
        <v>144</v>
      </c>
      <c r="CD3682">
        <v>1401</v>
      </c>
      <c r="CE3682" t="s">
        <v>88</v>
      </c>
      <c r="CF3682" s="3">
        <v>45806</v>
      </c>
      <c r="CI3682">
        <v>1</v>
      </c>
      <c r="CJ3682">
        <v>1</v>
      </c>
      <c r="CK3682">
        <v>22</v>
      </c>
      <c r="CL3682" t="s">
        <v>89</v>
      </c>
    </row>
    <row r="3683" spans="1:90" x14ac:dyDescent="0.3">
      <c r="A3683" t="s">
        <v>72</v>
      </c>
      <c r="B3683" t="s">
        <v>73</v>
      </c>
      <c r="C3683" t="s">
        <v>74</v>
      </c>
      <c r="E3683" t="str">
        <f>"080065618272"</f>
        <v>080065618272</v>
      </c>
      <c r="F3683" s="3">
        <v>45805</v>
      </c>
      <c r="G3683">
        <v>202602</v>
      </c>
      <c r="H3683" t="s">
        <v>75</v>
      </c>
      <c r="I3683" t="s">
        <v>76</v>
      </c>
      <c r="J3683" t="s">
        <v>77</v>
      </c>
      <c r="K3683" t="s">
        <v>78</v>
      </c>
      <c r="L3683" t="s">
        <v>1099</v>
      </c>
      <c r="M3683" t="s">
        <v>1100</v>
      </c>
      <c r="N3683" t="s">
        <v>1430</v>
      </c>
      <c r="O3683" t="s">
        <v>300</v>
      </c>
      <c r="P3683" t="str">
        <f>"4170041088                    "</f>
        <v xml:space="preserve">4170041088                    </v>
      </c>
      <c r="Q3683">
        <v>0</v>
      </c>
      <c r="R3683">
        <v>0</v>
      </c>
      <c r="S3683">
        <v>0</v>
      </c>
      <c r="T3683">
        <v>0</v>
      </c>
      <c r="U3683">
        <v>0</v>
      </c>
      <c r="V3683">
        <v>0</v>
      </c>
      <c r="W3683">
        <v>0</v>
      </c>
      <c r="X3683">
        <v>0</v>
      </c>
      <c r="Y3683">
        <v>0</v>
      </c>
      <c r="Z3683">
        <v>0</v>
      </c>
      <c r="AA3683">
        <v>0</v>
      </c>
      <c r="AB3683">
        <v>0</v>
      </c>
      <c r="AC3683">
        <v>0</v>
      </c>
      <c r="AD3683">
        <v>0</v>
      </c>
      <c r="AE3683">
        <v>0</v>
      </c>
      <c r="AF3683">
        <v>0</v>
      </c>
      <c r="AG3683">
        <v>0</v>
      </c>
      <c r="AH3683">
        <v>0</v>
      </c>
      <c r="AI3683">
        <v>0</v>
      </c>
      <c r="AJ3683">
        <v>0</v>
      </c>
      <c r="AK3683">
        <v>0</v>
      </c>
      <c r="AL3683">
        <v>0</v>
      </c>
      <c r="AM3683">
        <v>0</v>
      </c>
      <c r="AN3683">
        <v>0</v>
      </c>
      <c r="AO3683">
        <v>0</v>
      </c>
      <c r="AP3683">
        <v>0</v>
      </c>
      <c r="AQ3683">
        <v>141.72999999999999</v>
      </c>
      <c r="AR3683">
        <v>0</v>
      </c>
      <c r="AS3683">
        <v>0</v>
      </c>
      <c r="AT3683">
        <v>0</v>
      </c>
      <c r="AU3683">
        <v>0</v>
      </c>
      <c r="AV3683">
        <v>0</v>
      </c>
      <c r="AW3683">
        <v>0</v>
      </c>
      <c r="AX3683">
        <v>0</v>
      </c>
      <c r="AY3683">
        <v>0</v>
      </c>
      <c r="AZ3683">
        <v>0</v>
      </c>
      <c r="BA3683">
        <v>0</v>
      </c>
      <c r="BB3683">
        <v>0</v>
      </c>
      <c r="BC3683">
        <v>0</v>
      </c>
      <c r="BD3683">
        <v>0</v>
      </c>
      <c r="BE3683">
        <v>0</v>
      </c>
      <c r="BF3683">
        <v>0</v>
      </c>
      <c r="BG3683">
        <v>0</v>
      </c>
      <c r="BH3683">
        <v>4</v>
      </c>
      <c r="BI3683">
        <v>28</v>
      </c>
      <c r="BJ3683">
        <v>42.7</v>
      </c>
      <c r="BK3683">
        <v>43</v>
      </c>
      <c r="BL3683">
        <v>469.41</v>
      </c>
      <c r="BM3683">
        <v>70.41</v>
      </c>
      <c r="BN3683">
        <v>539.82000000000005</v>
      </c>
      <c r="BO3683">
        <v>539.82000000000005</v>
      </c>
      <c r="BQ3683" t="s">
        <v>1431</v>
      </c>
      <c r="BR3683" t="s">
        <v>84</v>
      </c>
      <c r="BS3683" t="s">
        <v>1540</v>
      </c>
      <c r="BY3683">
        <v>82437</v>
      </c>
      <c r="CC3683" t="s">
        <v>1100</v>
      </c>
      <c r="CD3683" s="5" t="s">
        <v>1291</v>
      </c>
      <c r="CE3683" t="s">
        <v>96</v>
      </c>
      <c r="CI3683">
        <v>1</v>
      </c>
      <c r="CJ3683" t="s">
        <v>1540</v>
      </c>
      <c r="CK3683">
        <v>43</v>
      </c>
      <c r="CL3683" t="s">
        <v>89</v>
      </c>
    </row>
    <row r="3684" spans="1:90" x14ac:dyDescent="0.3">
      <c r="A3684" t="s">
        <v>72</v>
      </c>
      <c r="B3684" t="s">
        <v>73</v>
      </c>
      <c r="C3684" t="s">
        <v>74</v>
      </c>
      <c r="E3684" t="str">
        <f>"080065618322"</f>
        <v>080065618322</v>
      </c>
      <c r="F3684" s="3">
        <v>45805</v>
      </c>
      <c r="G3684">
        <v>202602</v>
      </c>
      <c r="H3684" t="s">
        <v>75</v>
      </c>
      <c r="I3684" t="s">
        <v>76</v>
      </c>
      <c r="J3684" t="s">
        <v>77</v>
      </c>
      <c r="K3684" t="s">
        <v>78</v>
      </c>
      <c r="L3684" t="s">
        <v>75</v>
      </c>
      <c r="M3684" t="s">
        <v>76</v>
      </c>
      <c r="N3684" t="s">
        <v>1404</v>
      </c>
      <c r="O3684" t="s">
        <v>82</v>
      </c>
      <c r="P3684" t="str">
        <f>"4170041003                    "</f>
        <v xml:space="preserve">4170041003                    </v>
      </c>
      <c r="Q3684">
        <v>0</v>
      </c>
      <c r="R3684">
        <v>0</v>
      </c>
      <c r="S3684">
        <v>0</v>
      </c>
      <c r="T3684">
        <v>0</v>
      </c>
      <c r="U3684">
        <v>0</v>
      </c>
      <c r="V3684">
        <v>0</v>
      </c>
      <c r="W3684">
        <v>0</v>
      </c>
      <c r="X3684">
        <v>0</v>
      </c>
      <c r="Y3684">
        <v>0</v>
      </c>
      <c r="Z3684">
        <v>0</v>
      </c>
      <c r="AA3684">
        <v>0</v>
      </c>
      <c r="AB3684">
        <v>0</v>
      </c>
      <c r="AC3684">
        <v>0</v>
      </c>
      <c r="AD3684">
        <v>0</v>
      </c>
      <c r="AE3684">
        <v>0</v>
      </c>
      <c r="AF3684">
        <v>0</v>
      </c>
      <c r="AG3684">
        <v>0</v>
      </c>
      <c r="AH3684">
        <v>0</v>
      </c>
      <c r="AI3684">
        <v>0</v>
      </c>
      <c r="AJ3684">
        <v>0</v>
      </c>
      <c r="AK3684">
        <v>0</v>
      </c>
      <c r="AL3684">
        <v>0</v>
      </c>
      <c r="AM3684">
        <v>0</v>
      </c>
      <c r="AN3684">
        <v>0</v>
      </c>
      <c r="AO3684">
        <v>0</v>
      </c>
      <c r="AP3684">
        <v>0</v>
      </c>
      <c r="AQ3684">
        <v>16.7</v>
      </c>
      <c r="AR3684">
        <v>0</v>
      </c>
      <c r="AS3684">
        <v>0</v>
      </c>
      <c r="AT3684">
        <v>0</v>
      </c>
      <c r="AU3684">
        <v>0</v>
      </c>
      <c r="AV3684">
        <v>0</v>
      </c>
      <c r="AW3684">
        <v>0</v>
      </c>
      <c r="AX3684">
        <v>0</v>
      </c>
      <c r="AY3684">
        <v>0</v>
      </c>
      <c r="AZ3684">
        <v>0</v>
      </c>
      <c r="BA3684">
        <v>0</v>
      </c>
      <c r="BB3684">
        <v>0</v>
      </c>
      <c r="BC3684">
        <v>0</v>
      </c>
      <c r="BD3684">
        <v>0</v>
      </c>
      <c r="BE3684">
        <v>0</v>
      </c>
      <c r="BF3684">
        <v>0</v>
      </c>
      <c r="BG3684">
        <v>0</v>
      </c>
      <c r="BH3684">
        <v>1</v>
      </c>
      <c r="BI3684">
        <v>3</v>
      </c>
      <c r="BJ3684">
        <v>3.2</v>
      </c>
      <c r="BK3684">
        <v>4</v>
      </c>
      <c r="BL3684">
        <v>54.66</v>
      </c>
      <c r="BM3684">
        <v>8.1999999999999993</v>
      </c>
      <c r="BN3684">
        <v>62.86</v>
      </c>
      <c r="BO3684">
        <v>62.86</v>
      </c>
      <c r="BQ3684" t="s">
        <v>1405</v>
      </c>
      <c r="BR3684" t="s">
        <v>84</v>
      </c>
      <c r="BS3684" s="3">
        <v>45806</v>
      </c>
      <c r="BT3684" s="4">
        <v>0.37222222222222223</v>
      </c>
      <c r="BU3684" t="s">
        <v>1351</v>
      </c>
      <c r="BV3684" t="s">
        <v>86</v>
      </c>
      <c r="BY3684">
        <v>15834</v>
      </c>
      <c r="CA3684" t="s">
        <v>484</v>
      </c>
      <c r="CC3684" t="s">
        <v>76</v>
      </c>
      <c r="CD3684">
        <v>1601</v>
      </c>
      <c r="CE3684" t="s">
        <v>96</v>
      </c>
      <c r="CF3684" s="3">
        <v>45806</v>
      </c>
      <c r="CI3684">
        <v>1</v>
      </c>
      <c r="CJ3684">
        <v>1</v>
      </c>
      <c r="CK3684">
        <v>22</v>
      </c>
      <c r="CL3684" t="s">
        <v>89</v>
      </c>
    </row>
    <row r="3685" spans="1:90" x14ac:dyDescent="0.3">
      <c r="A3685" t="s">
        <v>72</v>
      </c>
      <c r="B3685" t="s">
        <v>73</v>
      </c>
      <c r="C3685" t="s">
        <v>74</v>
      </c>
      <c r="E3685" t="str">
        <f>"080065618453"</f>
        <v>080065618453</v>
      </c>
      <c r="F3685" s="3">
        <v>45805</v>
      </c>
      <c r="G3685">
        <v>202602</v>
      </c>
      <c r="H3685" t="s">
        <v>75</v>
      </c>
      <c r="I3685" t="s">
        <v>76</v>
      </c>
      <c r="J3685" t="s">
        <v>77</v>
      </c>
      <c r="K3685" t="s">
        <v>78</v>
      </c>
      <c r="L3685" t="s">
        <v>350</v>
      </c>
      <c r="M3685" t="s">
        <v>351</v>
      </c>
      <c r="N3685" t="s">
        <v>678</v>
      </c>
      <c r="O3685" t="s">
        <v>82</v>
      </c>
      <c r="P3685" t="str">
        <f>"4170041117                    "</f>
        <v xml:space="preserve">4170041117                    </v>
      </c>
      <c r="Q3685">
        <v>0</v>
      </c>
      <c r="R3685">
        <v>0</v>
      </c>
      <c r="S3685">
        <v>0</v>
      </c>
      <c r="T3685">
        <v>0</v>
      </c>
      <c r="U3685">
        <v>0</v>
      </c>
      <c r="V3685">
        <v>0</v>
      </c>
      <c r="W3685">
        <v>0</v>
      </c>
      <c r="X3685">
        <v>0</v>
      </c>
      <c r="Y3685">
        <v>0</v>
      </c>
      <c r="Z3685">
        <v>0</v>
      </c>
      <c r="AA3685">
        <v>0</v>
      </c>
      <c r="AB3685">
        <v>0</v>
      </c>
      <c r="AC3685">
        <v>0</v>
      </c>
      <c r="AD3685">
        <v>0</v>
      </c>
      <c r="AE3685">
        <v>0</v>
      </c>
      <c r="AF3685">
        <v>0</v>
      </c>
      <c r="AG3685">
        <v>0</v>
      </c>
      <c r="AH3685">
        <v>0</v>
      </c>
      <c r="AI3685">
        <v>0</v>
      </c>
      <c r="AJ3685">
        <v>0</v>
      </c>
      <c r="AK3685">
        <v>0</v>
      </c>
      <c r="AL3685">
        <v>0</v>
      </c>
      <c r="AM3685">
        <v>0</v>
      </c>
      <c r="AN3685">
        <v>0</v>
      </c>
      <c r="AO3685">
        <v>0</v>
      </c>
      <c r="AP3685">
        <v>0</v>
      </c>
      <c r="AQ3685">
        <v>53.43</v>
      </c>
      <c r="AR3685">
        <v>0</v>
      </c>
      <c r="AS3685">
        <v>0</v>
      </c>
      <c r="AT3685">
        <v>0</v>
      </c>
      <c r="AU3685">
        <v>0</v>
      </c>
      <c r="AV3685">
        <v>0</v>
      </c>
      <c r="AW3685">
        <v>0</v>
      </c>
      <c r="AX3685">
        <v>0</v>
      </c>
      <c r="AY3685">
        <v>0</v>
      </c>
      <c r="AZ3685">
        <v>0</v>
      </c>
      <c r="BA3685">
        <v>0</v>
      </c>
      <c r="BB3685">
        <v>0</v>
      </c>
      <c r="BC3685">
        <v>0</v>
      </c>
      <c r="BD3685">
        <v>0</v>
      </c>
      <c r="BE3685">
        <v>0</v>
      </c>
      <c r="BF3685">
        <v>0</v>
      </c>
      <c r="BG3685">
        <v>0</v>
      </c>
      <c r="BH3685">
        <v>1</v>
      </c>
      <c r="BI3685">
        <v>5</v>
      </c>
      <c r="BJ3685">
        <v>3.1</v>
      </c>
      <c r="BK3685">
        <v>5</v>
      </c>
      <c r="BL3685">
        <v>174.87</v>
      </c>
      <c r="BM3685">
        <v>26.23</v>
      </c>
      <c r="BN3685">
        <v>201.1</v>
      </c>
      <c r="BO3685">
        <v>201.1</v>
      </c>
      <c r="BQ3685" t="s">
        <v>679</v>
      </c>
      <c r="BR3685" t="s">
        <v>84</v>
      </c>
      <c r="BS3685" s="3">
        <v>45806</v>
      </c>
      <c r="BT3685" s="4">
        <v>0.46666666666666667</v>
      </c>
      <c r="BU3685" t="s">
        <v>680</v>
      </c>
      <c r="BV3685" t="s">
        <v>89</v>
      </c>
      <c r="BW3685" t="s">
        <v>296</v>
      </c>
      <c r="BX3685" t="s">
        <v>325</v>
      </c>
      <c r="BY3685">
        <v>15360</v>
      </c>
      <c r="BZ3685" t="s">
        <v>127</v>
      </c>
      <c r="CA3685" t="s">
        <v>3162</v>
      </c>
      <c r="CC3685" t="s">
        <v>351</v>
      </c>
      <c r="CD3685">
        <v>4052</v>
      </c>
      <c r="CE3685" t="s">
        <v>419</v>
      </c>
      <c r="CF3685" s="3">
        <v>45806</v>
      </c>
      <c r="CI3685">
        <v>1</v>
      </c>
      <c r="CJ3685">
        <v>1</v>
      </c>
      <c r="CK3685">
        <v>21</v>
      </c>
      <c r="CL3685" t="s">
        <v>89</v>
      </c>
    </row>
    <row r="3686" spans="1:90" x14ac:dyDescent="0.3">
      <c r="A3686" t="s">
        <v>72</v>
      </c>
      <c r="B3686" t="s">
        <v>73</v>
      </c>
      <c r="C3686" t="s">
        <v>74</v>
      </c>
      <c r="E3686" t="str">
        <f>"080065618527"</f>
        <v>080065618527</v>
      </c>
      <c r="F3686" s="3">
        <v>45805</v>
      </c>
      <c r="G3686">
        <v>202602</v>
      </c>
      <c r="H3686" t="s">
        <v>75</v>
      </c>
      <c r="I3686" t="s">
        <v>76</v>
      </c>
      <c r="J3686" t="s">
        <v>77</v>
      </c>
      <c r="K3686" t="s">
        <v>78</v>
      </c>
      <c r="L3686" t="s">
        <v>79</v>
      </c>
      <c r="M3686" t="s">
        <v>80</v>
      </c>
      <c r="N3686" t="s">
        <v>415</v>
      </c>
      <c r="O3686" t="s">
        <v>82</v>
      </c>
      <c r="P3686" t="str">
        <f>"4170041124                    "</f>
        <v xml:space="preserve">4170041124                    </v>
      </c>
      <c r="Q3686">
        <v>0</v>
      </c>
      <c r="R3686">
        <v>0</v>
      </c>
      <c r="S3686">
        <v>0</v>
      </c>
      <c r="T3686">
        <v>0</v>
      </c>
      <c r="U3686">
        <v>0</v>
      </c>
      <c r="V3686">
        <v>0</v>
      </c>
      <c r="W3686">
        <v>0</v>
      </c>
      <c r="X3686">
        <v>0</v>
      </c>
      <c r="Y3686">
        <v>0</v>
      </c>
      <c r="Z3686">
        <v>0</v>
      </c>
      <c r="AA3686">
        <v>0</v>
      </c>
      <c r="AB3686">
        <v>0</v>
      </c>
      <c r="AC3686">
        <v>0</v>
      </c>
      <c r="AD3686">
        <v>0</v>
      </c>
      <c r="AE3686">
        <v>0</v>
      </c>
      <c r="AF3686">
        <v>0</v>
      </c>
      <c r="AG3686">
        <v>0</v>
      </c>
      <c r="AH3686">
        <v>0</v>
      </c>
      <c r="AI3686">
        <v>0</v>
      </c>
      <c r="AJ3686">
        <v>0</v>
      </c>
      <c r="AK3686">
        <v>0</v>
      </c>
      <c r="AL3686">
        <v>0</v>
      </c>
      <c r="AM3686">
        <v>0</v>
      </c>
      <c r="AN3686">
        <v>0</v>
      </c>
      <c r="AO3686">
        <v>0</v>
      </c>
      <c r="AP3686">
        <v>0</v>
      </c>
      <c r="AQ3686">
        <v>37.409999999999997</v>
      </c>
      <c r="AR3686">
        <v>0</v>
      </c>
      <c r="AS3686">
        <v>0</v>
      </c>
      <c r="AT3686">
        <v>0</v>
      </c>
      <c r="AU3686">
        <v>0</v>
      </c>
      <c r="AV3686">
        <v>0</v>
      </c>
      <c r="AW3686">
        <v>0</v>
      </c>
      <c r="AX3686">
        <v>0</v>
      </c>
      <c r="AY3686">
        <v>0</v>
      </c>
      <c r="AZ3686">
        <v>0</v>
      </c>
      <c r="BA3686">
        <v>0</v>
      </c>
      <c r="BB3686">
        <v>0</v>
      </c>
      <c r="BC3686">
        <v>0</v>
      </c>
      <c r="BD3686">
        <v>0</v>
      </c>
      <c r="BE3686">
        <v>0</v>
      </c>
      <c r="BF3686">
        <v>0</v>
      </c>
      <c r="BG3686">
        <v>0</v>
      </c>
      <c r="BH3686">
        <v>1</v>
      </c>
      <c r="BI3686">
        <v>3</v>
      </c>
      <c r="BJ3686">
        <v>3.2</v>
      </c>
      <c r="BK3686">
        <v>3.5</v>
      </c>
      <c r="BL3686">
        <v>122.43</v>
      </c>
      <c r="BM3686">
        <v>18.36</v>
      </c>
      <c r="BN3686">
        <v>140.79</v>
      </c>
      <c r="BO3686">
        <v>140.79</v>
      </c>
      <c r="BQ3686" t="s">
        <v>416</v>
      </c>
      <c r="BR3686" t="s">
        <v>84</v>
      </c>
      <c r="BS3686" s="3">
        <v>45806</v>
      </c>
      <c r="BT3686" s="4">
        <v>0.41666666666666669</v>
      </c>
      <c r="BU3686" t="s">
        <v>1152</v>
      </c>
      <c r="BV3686" t="s">
        <v>86</v>
      </c>
      <c r="BY3686">
        <v>16128</v>
      </c>
      <c r="BZ3686" t="s">
        <v>127</v>
      </c>
      <c r="CC3686" t="s">
        <v>80</v>
      </c>
      <c r="CD3686">
        <v>3610</v>
      </c>
      <c r="CE3686" t="s">
        <v>221</v>
      </c>
      <c r="CF3686" s="3">
        <v>45806</v>
      </c>
      <c r="CI3686">
        <v>1</v>
      </c>
      <c r="CJ3686">
        <v>1</v>
      </c>
      <c r="CK3686">
        <v>21</v>
      </c>
      <c r="CL3686" t="s">
        <v>89</v>
      </c>
    </row>
    <row r="3687" spans="1:90" x14ac:dyDescent="0.3">
      <c r="A3687" t="s">
        <v>72</v>
      </c>
      <c r="B3687" t="s">
        <v>73</v>
      </c>
      <c r="C3687" t="s">
        <v>74</v>
      </c>
      <c r="E3687" t="str">
        <f>"080065618943"</f>
        <v>080065618943</v>
      </c>
      <c r="F3687" s="3">
        <v>45805</v>
      </c>
      <c r="G3687">
        <v>202602</v>
      </c>
      <c r="H3687" t="s">
        <v>75</v>
      </c>
      <c r="I3687" t="s">
        <v>76</v>
      </c>
      <c r="J3687" t="s">
        <v>77</v>
      </c>
      <c r="K3687" t="s">
        <v>78</v>
      </c>
      <c r="L3687" t="s">
        <v>90</v>
      </c>
      <c r="M3687" t="s">
        <v>91</v>
      </c>
      <c r="N3687" t="s">
        <v>385</v>
      </c>
      <c r="O3687" t="s">
        <v>82</v>
      </c>
      <c r="P3687" t="str">
        <f>"4170041033                    "</f>
        <v xml:space="preserve">4170041033                    </v>
      </c>
      <c r="Q3687">
        <v>0</v>
      </c>
      <c r="R3687">
        <v>0</v>
      </c>
      <c r="S3687">
        <v>0</v>
      </c>
      <c r="T3687">
        <v>0</v>
      </c>
      <c r="U3687">
        <v>0</v>
      </c>
      <c r="V3687">
        <v>0</v>
      </c>
      <c r="W3687">
        <v>0</v>
      </c>
      <c r="X3687">
        <v>0</v>
      </c>
      <c r="Y3687">
        <v>0</v>
      </c>
      <c r="Z3687">
        <v>0</v>
      </c>
      <c r="AA3687">
        <v>0</v>
      </c>
      <c r="AB3687">
        <v>0</v>
      </c>
      <c r="AC3687">
        <v>0</v>
      </c>
      <c r="AD3687">
        <v>0</v>
      </c>
      <c r="AE3687">
        <v>0</v>
      </c>
      <c r="AF3687">
        <v>0</v>
      </c>
      <c r="AG3687">
        <v>0</v>
      </c>
      <c r="AH3687">
        <v>0</v>
      </c>
      <c r="AI3687">
        <v>0</v>
      </c>
      <c r="AJ3687">
        <v>0</v>
      </c>
      <c r="AK3687">
        <v>0</v>
      </c>
      <c r="AL3687">
        <v>0</v>
      </c>
      <c r="AM3687">
        <v>0</v>
      </c>
      <c r="AN3687">
        <v>0</v>
      </c>
      <c r="AO3687">
        <v>0</v>
      </c>
      <c r="AP3687">
        <v>0</v>
      </c>
      <c r="AQ3687">
        <v>21.38</v>
      </c>
      <c r="AR3687">
        <v>0</v>
      </c>
      <c r="AS3687">
        <v>0</v>
      </c>
      <c r="AT3687">
        <v>0</v>
      </c>
      <c r="AU3687">
        <v>0</v>
      </c>
      <c r="AV3687">
        <v>0</v>
      </c>
      <c r="AW3687">
        <v>0</v>
      </c>
      <c r="AX3687">
        <v>0</v>
      </c>
      <c r="AY3687">
        <v>0</v>
      </c>
      <c r="AZ3687">
        <v>0</v>
      </c>
      <c r="BA3687">
        <v>0</v>
      </c>
      <c r="BB3687">
        <v>0</v>
      </c>
      <c r="BC3687">
        <v>0</v>
      </c>
      <c r="BD3687">
        <v>0</v>
      </c>
      <c r="BE3687">
        <v>0</v>
      </c>
      <c r="BF3687">
        <v>0</v>
      </c>
      <c r="BG3687">
        <v>0</v>
      </c>
      <c r="BH3687">
        <v>1</v>
      </c>
      <c r="BI3687">
        <v>1</v>
      </c>
      <c r="BJ3687">
        <v>0.2</v>
      </c>
      <c r="BK3687">
        <v>1</v>
      </c>
      <c r="BL3687">
        <v>69.98</v>
      </c>
      <c r="BM3687">
        <v>10.5</v>
      </c>
      <c r="BN3687">
        <v>80.48</v>
      </c>
      <c r="BO3687">
        <v>80.48</v>
      </c>
      <c r="BQ3687" t="s">
        <v>386</v>
      </c>
      <c r="BR3687" t="s">
        <v>84</v>
      </c>
      <c r="BS3687" s="3">
        <v>45806</v>
      </c>
      <c r="BT3687" s="4">
        <v>0.41736111111111113</v>
      </c>
      <c r="BU3687" t="s">
        <v>2238</v>
      </c>
      <c r="BV3687" t="s">
        <v>86</v>
      </c>
      <c r="BY3687">
        <v>1200</v>
      </c>
      <c r="CA3687" t="s">
        <v>95</v>
      </c>
      <c r="CC3687" t="s">
        <v>91</v>
      </c>
      <c r="CD3687">
        <v>6056</v>
      </c>
      <c r="CE3687" t="s">
        <v>88</v>
      </c>
      <c r="CF3687" s="3">
        <v>45806</v>
      </c>
      <c r="CI3687">
        <v>1</v>
      </c>
      <c r="CJ3687">
        <v>1</v>
      </c>
      <c r="CK3687">
        <v>21</v>
      </c>
      <c r="CL3687" t="s">
        <v>89</v>
      </c>
    </row>
    <row r="3688" spans="1:90" x14ac:dyDescent="0.3">
      <c r="A3688" t="s">
        <v>72</v>
      </c>
      <c r="B3688" t="s">
        <v>73</v>
      </c>
      <c r="C3688" t="s">
        <v>74</v>
      </c>
      <c r="E3688" t="str">
        <f>"080065618963"</f>
        <v>080065618963</v>
      </c>
      <c r="F3688" s="3">
        <v>45805</v>
      </c>
      <c r="G3688">
        <v>202602</v>
      </c>
      <c r="H3688" t="s">
        <v>75</v>
      </c>
      <c r="I3688" t="s">
        <v>76</v>
      </c>
      <c r="J3688" t="s">
        <v>77</v>
      </c>
      <c r="K3688" t="s">
        <v>78</v>
      </c>
      <c r="L3688" t="s">
        <v>902</v>
      </c>
      <c r="M3688" t="s">
        <v>903</v>
      </c>
      <c r="N3688" t="s">
        <v>904</v>
      </c>
      <c r="O3688" t="s">
        <v>82</v>
      </c>
      <c r="P3688" t="str">
        <f>"4170041065                    "</f>
        <v xml:space="preserve">4170041065                    </v>
      </c>
      <c r="Q3688">
        <v>0</v>
      </c>
      <c r="R3688">
        <v>0</v>
      </c>
      <c r="S3688">
        <v>0</v>
      </c>
      <c r="T3688">
        <v>0</v>
      </c>
      <c r="U3688">
        <v>0</v>
      </c>
      <c r="V3688">
        <v>0</v>
      </c>
      <c r="W3688">
        <v>0</v>
      </c>
      <c r="X3688">
        <v>0</v>
      </c>
      <c r="Y3688">
        <v>0</v>
      </c>
      <c r="Z3688">
        <v>0</v>
      </c>
      <c r="AA3688">
        <v>0</v>
      </c>
      <c r="AB3688">
        <v>0</v>
      </c>
      <c r="AC3688">
        <v>0</v>
      </c>
      <c r="AD3688">
        <v>0</v>
      </c>
      <c r="AE3688">
        <v>0</v>
      </c>
      <c r="AF3688">
        <v>0</v>
      </c>
      <c r="AG3688">
        <v>0</v>
      </c>
      <c r="AH3688">
        <v>0</v>
      </c>
      <c r="AI3688">
        <v>0</v>
      </c>
      <c r="AJ3688">
        <v>0</v>
      </c>
      <c r="AK3688">
        <v>0</v>
      </c>
      <c r="AL3688">
        <v>0</v>
      </c>
      <c r="AM3688">
        <v>0</v>
      </c>
      <c r="AN3688">
        <v>0</v>
      </c>
      <c r="AO3688">
        <v>0</v>
      </c>
      <c r="AP3688">
        <v>0</v>
      </c>
      <c r="AQ3688">
        <v>41.43</v>
      </c>
      <c r="AR3688">
        <v>0</v>
      </c>
      <c r="AS3688">
        <v>0</v>
      </c>
      <c r="AT3688">
        <v>0</v>
      </c>
      <c r="AU3688">
        <v>0</v>
      </c>
      <c r="AV3688">
        <v>0</v>
      </c>
      <c r="AW3688">
        <v>0</v>
      </c>
      <c r="AX3688">
        <v>0</v>
      </c>
      <c r="AY3688">
        <v>0</v>
      </c>
      <c r="AZ3688">
        <v>0</v>
      </c>
      <c r="BA3688">
        <v>0</v>
      </c>
      <c r="BB3688">
        <v>0</v>
      </c>
      <c r="BC3688">
        <v>0</v>
      </c>
      <c r="BD3688">
        <v>0</v>
      </c>
      <c r="BE3688">
        <v>0</v>
      </c>
      <c r="BF3688">
        <v>0</v>
      </c>
      <c r="BG3688">
        <v>0</v>
      </c>
      <c r="BH3688">
        <v>1</v>
      </c>
      <c r="BI3688">
        <v>1</v>
      </c>
      <c r="BJ3688">
        <v>0.2</v>
      </c>
      <c r="BK3688">
        <v>1</v>
      </c>
      <c r="BL3688">
        <v>135.59</v>
      </c>
      <c r="BM3688">
        <v>20.34</v>
      </c>
      <c r="BN3688">
        <v>155.93</v>
      </c>
      <c r="BO3688">
        <v>155.93</v>
      </c>
      <c r="BQ3688" t="s">
        <v>905</v>
      </c>
      <c r="BR3688" t="s">
        <v>84</v>
      </c>
      <c r="BS3688" s="3">
        <v>45806</v>
      </c>
      <c r="BT3688" s="4">
        <v>0.53472222222222221</v>
      </c>
      <c r="BU3688" t="s">
        <v>3369</v>
      </c>
      <c r="BV3688" t="s">
        <v>86</v>
      </c>
      <c r="BY3688">
        <v>1200</v>
      </c>
      <c r="CA3688" t="s">
        <v>907</v>
      </c>
      <c r="CC3688" t="s">
        <v>903</v>
      </c>
      <c r="CD3688">
        <v>1028</v>
      </c>
      <c r="CE3688" t="s">
        <v>88</v>
      </c>
      <c r="CF3688" s="3">
        <v>45806</v>
      </c>
      <c r="CI3688">
        <v>1</v>
      </c>
      <c r="CJ3688">
        <v>1</v>
      </c>
      <c r="CK3688">
        <v>23</v>
      </c>
      <c r="CL3688" t="s">
        <v>89</v>
      </c>
    </row>
    <row r="3689" spans="1:90" x14ac:dyDescent="0.3">
      <c r="A3689" t="s">
        <v>72</v>
      </c>
      <c r="B3689" t="s">
        <v>73</v>
      </c>
      <c r="C3689" t="s">
        <v>74</v>
      </c>
      <c r="E3689" t="str">
        <f>"080065618977"</f>
        <v>080065618977</v>
      </c>
      <c r="F3689" s="3">
        <v>45805</v>
      </c>
      <c r="G3689">
        <v>202602</v>
      </c>
      <c r="H3689" t="s">
        <v>75</v>
      </c>
      <c r="I3689" t="s">
        <v>76</v>
      </c>
      <c r="J3689" t="s">
        <v>77</v>
      </c>
      <c r="K3689" t="s">
        <v>78</v>
      </c>
      <c r="L3689" t="s">
        <v>177</v>
      </c>
      <c r="M3689" t="s">
        <v>178</v>
      </c>
      <c r="N3689" t="s">
        <v>1854</v>
      </c>
      <c r="O3689" t="s">
        <v>82</v>
      </c>
      <c r="P3689" t="str">
        <f>"4170041056                    "</f>
        <v xml:space="preserve">4170041056                    </v>
      </c>
      <c r="Q3689">
        <v>0</v>
      </c>
      <c r="R3689">
        <v>0</v>
      </c>
      <c r="S3689">
        <v>0</v>
      </c>
      <c r="T3689">
        <v>0</v>
      </c>
      <c r="U3689">
        <v>0</v>
      </c>
      <c r="V3689">
        <v>0</v>
      </c>
      <c r="W3689">
        <v>0</v>
      </c>
      <c r="X3689">
        <v>0</v>
      </c>
      <c r="Y3689">
        <v>0</v>
      </c>
      <c r="Z3689">
        <v>0</v>
      </c>
      <c r="AA3689">
        <v>0</v>
      </c>
      <c r="AB3689">
        <v>0</v>
      </c>
      <c r="AC3689">
        <v>0</v>
      </c>
      <c r="AD3689">
        <v>0</v>
      </c>
      <c r="AE3689">
        <v>0</v>
      </c>
      <c r="AF3689">
        <v>0</v>
      </c>
      <c r="AG3689">
        <v>0</v>
      </c>
      <c r="AH3689">
        <v>0</v>
      </c>
      <c r="AI3689">
        <v>0</v>
      </c>
      <c r="AJ3689">
        <v>0</v>
      </c>
      <c r="AK3689">
        <v>0</v>
      </c>
      <c r="AL3689">
        <v>0</v>
      </c>
      <c r="AM3689">
        <v>0</v>
      </c>
      <c r="AN3689">
        <v>0</v>
      </c>
      <c r="AO3689">
        <v>0</v>
      </c>
      <c r="AP3689">
        <v>0</v>
      </c>
      <c r="AQ3689">
        <v>21.38</v>
      </c>
      <c r="AR3689">
        <v>0</v>
      </c>
      <c r="AS3689">
        <v>0</v>
      </c>
      <c r="AT3689">
        <v>0</v>
      </c>
      <c r="AU3689">
        <v>0</v>
      </c>
      <c r="AV3689">
        <v>0</v>
      </c>
      <c r="AW3689">
        <v>0</v>
      </c>
      <c r="AX3689">
        <v>0</v>
      </c>
      <c r="AY3689">
        <v>0</v>
      </c>
      <c r="AZ3689">
        <v>0</v>
      </c>
      <c r="BA3689">
        <v>0</v>
      </c>
      <c r="BB3689">
        <v>0</v>
      </c>
      <c r="BC3689">
        <v>0</v>
      </c>
      <c r="BD3689">
        <v>0</v>
      </c>
      <c r="BE3689">
        <v>0</v>
      </c>
      <c r="BF3689">
        <v>0</v>
      </c>
      <c r="BG3689">
        <v>0</v>
      </c>
      <c r="BH3689">
        <v>1</v>
      </c>
      <c r="BI3689">
        <v>1</v>
      </c>
      <c r="BJ3689">
        <v>0.2</v>
      </c>
      <c r="BK3689">
        <v>1</v>
      </c>
      <c r="BL3689">
        <v>69.98</v>
      </c>
      <c r="BM3689">
        <v>10.5</v>
      </c>
      <c r="BN3689">
        <v>80.48</v>
      </c>
      <c r="BO3689">
        <v>80.48</v>
      </c>
      <c r="BQ3689" t="s">
        <v>1855</v>
      </c>
      <c r="BR3689" t="s">
        <v>84</v>
      </c>
      <c r="BS3689" s="3">
        <v>45806</v>
      </c>
      <c r="BT3689" s="4">
        <v>0.33541666666666664</v>
      </c>
      <c r="BU3689" t="s">
        <v>3370</v>
      </c>
      <c r="BV3689" t="s">
        <v>86</v>
      </c>
      <c r="BY3689">
        <v>1200</v>
      </c>
      <c r="CA3689" t="s">
        <v>182</v>
      </c>
      <c r="CC3689" t="s">
        <v>178</v>
      </c>
      <c r="CD3689">
        <v>6230</v>
      </c>
      <c r="CE3689" t="s">
        <v>88</v>
      </c>
      <c r="CF3689" s="3">
        <v>45806</v>
      </c>
      <c r="CI3689">
        <v>1</v>
      </c>
      <c r="CJ3689">
        <v>1</v>
      </c>
      <c r="CK3689">
        <v>21</v>
      </c>
      <c r="CL3689" t="s">
        <v>89</v>
      </c>
    </row>
    <row r="3690" spans="1:90" x14ac:dyDescent="0.3">
      <c r="A3690" t="s">
        <v>72</v>
      </c>
      <c r="B3690" t="s">
        <v>73</v>
      </c>
      <c r="C3690" t="s">
        <v>74</v>
      </c>
      <c r="E3690" t="str">
        <f>"080065619007"</f>
        <v>080065619007</v>
      </c>
      <c r="F3690" s="3">
        <v>45805</v>
      </c>
      <c r="G3690">
        <v>202602</v>
      </c>
      <c r="H3690" t="s">
        <v>75</v>
      </c>
      <c r="I3690" t="s">
        <v>76</v>
      </c>
      <c r="J3690" t="s">
        <v>77</v>
      </c>
      <c r="K3690" t="s">
        <v>78</v>
      </c>
      <c r="L3690" t="s">
        <v>463</v>
      </c>
      <c r="M3690" t="s">
        <v>464</v>
      </c>
      <c r="N3690" t="s">
        <v>585</v>
      </c>
      <c r="O3690" t="s">
        <v>300</v>
      </c>
      <c r="P3690" t="str">
        <f>"4170041133                    "</f>
        <v xml:space="preserve">4170041133                    </v>
      </c>
      <c r="Q3690">
        <v>0</v>
      </c>
      <c r="R3690">
        <v>0</v>
      </c>
      <c r="S3690">
        <v>0</v>
      </c>
      <c r="T3690">
        <v>0</v>
      </c>
      <c r="U3690">
        <v>0</v>
      </c>
      <c r="V3690">
        <v>0</v>
      </c>
      <c r="W3690">
        <v>0</v>
      </c>
      <c r="X3690">
        <v>0</v>
      </c>
      <c r="Y3690">
        <v>0</v>
      </c>
      <c r="Z3690">
        <v>0</v>
      </c>
      <c r="AA3690">
        <v>0</v>
      </c>
      <c r="AB3690">
        <v>0</v>
      </c>
      <c r="AC3690">
        <v>0</v>
      </c>
      <c r="AD3690">
        <v>0</v>
      </c>
      <c r="AE3690">
        <v>0</v>
      </c>
      <c r="AF3690">
        <v>0</v>
      </c>
      <c r="AG3690">
        <v>0</v>
      </c>
      <c r="AH3690">
        <v>0</v>
      </c>
      <c r="AI3690">
        <v>0</v>
      </c>
      <c r="AJ3690">
        <v>0</v>
      </c>
      <c r="AK3690">
        <v>0</v>
      </c>
      <c r="AL3690">
        <v>0</v>
      </c>
      <c r="AM3690">
        <v>0</v>
      </c>
      <c r="AN3690">
        <v>0</v>
      </c>
      <c r="AO3690">
        <v>0</v>
      </c>
      <c r="AP3690">
        <v>0</v>
      </c>
      <c r="AQ3690">
        <v>41.35</v>
      </c>
      <c r="AR3690">
        <v>0</v>
      </c>
      <c r="AS3690">
        <v>0</v>
      </c>
      <c r="AT3690">
        <v>0</v>
      </c>
      <c r="AU3690">
        <v>0</v>
      </c>
      <c r="AV3690">
        <v>0</v>
      </c>
      <c r="AW3690">
        <v>0</v>
      </c>
      <c r="AX3690">
        <v>0</v>
      </c>
      <c r="AY3690">
        <v>0</v>
      </c>
      <c r="AZ3690">
        <v>0</v>
      </c>
      <c r="BA3690">
        <v>0</v>
      </c>
      <c r="BB3690">
        <v>0</v>
      </c>
      <c r="BC3690">
        <v>0</v>
      </c>
      <c r="BD3690">
        <v>0</v>
      </c>
      <c r="BE3690">
        <v>0</v>
      </c>
      <c r="BF3690">
        <v>0</v>
      </c>
      <c r="BG3690">
        <v>0</v>
      </c>
      <c r="BH3690">
        <v>2</v>
      </c>
      <c r="BI3690">
        <v>14</v>
      </c>
      <c r="BJ3690">
        <v>8.6</v>
      </c>
      <c r="BK3690">
        <v>14</v>
      </c>
      <c r="BL3690">
        <v>140.9</v>
      </c>
      <c r="BM3690">
        <v>21.14</v>
      </c>
      <c r="BN3690">
        <v>162.04</v>
      </c>
      <c r="BO3690">
        <v>162.04</v>
      </c>
      <c r="BQ3690" t="s">
        <v>586</v>
      </c>
      <c r="BR3690" t="s">
        <v>84</v>
      </c>
      <c r="BS3690" t="s">
        <v>1540</v>
      </c>
      <c r="BY3690">
        <v>43149</v>
      </c>
      <c r="CC3690" t="s">
        <v>464</v>
      </c>
      <c r="CD3690">
        <v>5201</v>
      </c>
      <c r="CE3690" t="s">
        <v>221</v>
      </c>
      <c r="CI3690">
        <v>3</v>
      </c>
      <c r="CJ3690" t="s">
        <v>1540</v>
      </c>
      <c r="CK3690">
        <v>41</v>
      </c>
      <c r="CL3690" t="s">
        <v>89</v>
      </c>
    </row>
    <row r="3691" spans="1:90" x14ac:dyDescent="0.3">
      <c r="A3691" t="s">
        <v>72</v>
      </c>
      <c r="B3691" t="s">
        <v>73</v>
      </c>
      <c r="C3691" t="s">
        <v>74</v>
      </c>
      <c r="E3691" t="str">
        <f>"080065619038"</f>
        <v>080065619038</v>
      </c>
      <c r="F3691" s="3">
        <v>45805</v>
      </c>
      <c r="G3691">
        <v>202602</v>
      </c>
      <c r="H3691" t="s">
        <v>75</v>
      </c>
      <c r="I3691" t="s">
        <v>76</v>
      </c>
      <c r="J3691" t="s">
        <v>77</v>
      </c>
      <c r="K3691" t="s">
        <v>78</v>
      </c>
      <c r="L3691" t="s">
        <v>75</v>
      </c>
      <c r="M3691" t="s">
        <v>76</v>
      </c>
      <c r="N3691" t="s">
        <v>390</v>
      </c>
      <c r="O3691" t="s">
        <v>300</v>
      </c>
      <c r="P3691" t="str">
        <f>"4170041094                    "</f>
        <v xml:space="preserve">4170041094                    </v>
      </c>
      <c r="Q3691">
        <v>0</v>
      </c>
      <c r="R3691">
        <v>0</v>
      </c>
      <c r="S3691">
        <v>0</v>
      </c>
      <c r="T3691">
        <v>0</v>
      </c>
      <c r="U3691">
        <v>0</v>
      </c>
      <c r="V3691">
        <v>0</v>
      </c>
      <c r="W3691">
        <v>0</v>
      </c>
      <c r="X3691">
        <v>0</v>
      </c>
      <c r="Y3691">
        <v>0</v>
      </c>
      <c r="Z3691">
        <v>0</v>
      </c>
      <c r="AA3691">
        <v>0</v>
      </c>
      <c r="AB3691">
        <v>0</v>
      </c>
      <c r="AC3691">
        <v>0</v>
      </c>
      <c r="AD3691">
        <v>0</v>
      </c>
      <c r="AE3691">
        <v>0</v>
      </c>
      <c r="AF3691">
        <v>0</v>
      </c>
      <c r="AG3691">
        <v>0</v>
      </c>
      <c r="AH3691">
        <v>0</v>
      </c>
      <c r="AI3691">
        <v>0</v>
      </c>
      <c r="AJ3691">
        <v>0</v>
      </c>
      <c r="AK3691">
        <v>0</v>
      </c>
      <c r="AL3691">
        <v>0</v>
      </c>
      <c r="AM3691">
        <v>0</v>
      </c>
      <c r="AN3691">
        <v>0</v>
      </c>
      <c r="AO3691">
        <v>0</v>
      </c>
      <c r="AP3691">
        <v>0</v>
      </c>
      <c r="AQ3691">
        <v>38.44</v>
      </c>
      <c r="AR3691">
        <v>0</v>
      </c>
      <c r="AS3691">
        <v>0</v>
      </c>
      <c r="AT3691">
        <v>0</v>
      </c>
      <c r="AU3691">
        <v>0</v>
      </c>
      <c r="AV3691">
        <v>0</v>
      </c>
      <c r="AW3691">
        <v>0</v>
      </c>
      <c r="AX3691">
        <v>0</v>
      </c>
      <c r="AY3691">
        <v>0</v>
      </c>
      <c r="AZ3691">
        <v>0</v>
      </c>
      <c r="BA3691">
        <v>0</v>
      </c>
      <c r="BB3691">
        <v>0</v>
      </c>
      <c r="BC3691">
        <v>0</v>
      </c>
      <c r="BD3691">
        <v>0</v>
      </c>
      <c r="BE3691">
        <v>0</v>
      </c>
      <c r="BF3691">
        <v>0</v>
      </c>
      <c r="BG3691">
        <v>0</v>
      </c>
      <c r="BH3691">
        <v>2</v>
      </c>
      <c r="BI3691">
        <v>22</v>
      </c>
      <c r="BJ3691">
        <v>20</v>
      </c>
      <c r="BK3691">
        <v>22</v>
      </c>
      <c r="BL3691">
        <v>131.37</v>
      </c>
      <c r="BM3691">
        <v>19.71</v>
      </c>
      <c r="BN3691">
        <v>151.08000000000001</v>
      </c>
      <c r="BO3691">
        <v>151.08000000000001</v>
      </c>
      <c r="BQ3691" t="s">
        <v>391</v>
      </c>
      <c r="BR3691" t="s">
        <v>84</v>
      </c>
      <c r="BS3691" s="3">
        <v>45806</v>
      </c>
      <c r="BT3691" s="4">
        <v>0.46458333333333335</v>
      </c>
      <c r="BU3691" t="s">
        <v>3371</v>
      </c>
      <c r="BV3691" t="s">
        <v>86</v>
      </c>
      <c r="BY3691">
        <v>99763</v>
      </c>
      <c r="CA3691" t="s">
        <v>1450</v>
      </c>
      <c r="CC3691" t="s">
        <v>76</v>
      </c>
      <c r="CD3691">
        <v>1600</v>
      </c>
      <c r="CE3691" t="s">
        <v>221</v>
      </c>
      <c r="CF3691" s="3">
        <v>45806</v>
      </c>
      <c r="CI3691">
        <v>1</v>
      </c>
      <c r="CJ3691">
        <v>1</v>
      </c>
      <c r="CK3691">
        <v>42</v>
      </c>
      <c r="CL3691" t="s">
        <v>89</v>
      </c>
    </row>
    <row r="3692" spans="1:90" x14ac:dyDescent="0.3">
      <c r="A3692" t="s">
        <v>72</v>
      </c>
      <c r="B3692" t="s">
        <v>73</v>
      </c>
      <c r="C3692" t="s">
        <v>74</v>
      </c>
      <c r="E3692" t="str">
        <f>"080065619068"</f>
        <v>080065619068</v>
      </c>
      <c r="F3692" s="3">
        <v>45805</v>
      </c>
      <c r="G3692">
        <v>202602</v>
      </c>
      <c r="H3692" t="s">
        <v>75</v>
      </c>
      <c r="I3692" t="s">
        <v>76</v>
      </c>
      <c r="J3692" t="s">
        <v>77</v>
      </c>
      <c r="K3692" t="s">
        <v>78</v>
      </c>
      <c r="L3692" t="s">
        <v>526</v>
      </c>
      <c r="M3692" t="s">
        <v>527</v>
      </c>
      <c r="N3692" t="s">
        <v>528</v>
      </c>
      <c r="O3692" t="s">
        <v>82</v>
      </c>
      <c r="P3692" t="str">
        <f>"4170041062                    "</f>
        <v xml:space="preserve">4170041062                    </v>
      </c>
      <c r="Q3692">
        <v>0</v>
      </c>
      <c r="R3692">
        <v>0</v>
      </c>
      <c r="S3692">
        <v>0</v>
      </c>
      <c r="T3692">
        <v>0</v>
      </c>
      <c r="U3692">
        <v>0</v>
      </c>
      <c r="V3692">
        <v>0</v>
      </c>
      <c r="W3692">
        <v>0</v>
      </c>
      <c r="X3692">
        <v>0</v>
      </c>
      <c r="Y3692">
        <v>0</v>
      </c>
      <c r="Z3692">
        <v>0</v>
      </c>
      <c r="AA3692">
        <v>0</v>
      </c>
      <c r="AB3692">
        <v>0</v>
      </c>
      <c r="AC3692">
        <v>0</v>
      </c>
      <c r="AD3692">
        <v>0</v>
      </c>
      <c r="AE3692">
        <v>0</v>
      </c>
      <c r="AF3692">
        <v>0</v>
      </c>
      <c r="AG3692">
        <v>0</v>
      </c>
      <c r="AH3692">
        <v>0</v>
      </c>
      <c r="AI3692">
        <v>0</v>
      </c>
      <c r="AJ3692">
        <v>0</v>
      </c>
      <c r="AK3692">
        <v>0</v>
      </c>
      <c r="AL3692">
        <v>0</v>
      </c>
      <c r="AM3692">
        <v>0</v>
      </c>
      <c r="AN3692">
        <v>0</v>
      </c>
      <c r="AO3692">
        <v>0</v>
      </c>
      <c r="AP3692">
        <v>0</v>
      </c>
      <c r="AQ3692">
        <v>30.07</v>
      </c>
      <c r="AR3692">
        <v>0</v>
      </c>
      <c r="AS3692">
        <v>0</v>
      </c>
      <c r="AT3692">
        <v>0</v>
      </c>
      <c r="AU3692">
        <v>0</v>
      </c>
      <c r="AV3692">
        <v>0</v>
      </c>
      <c r="AW3692">
        <v>0</v>
      </c>
      <c r="AX3692">
        <v>0</v>
      </c>
      <c r="AY3692">
        <v>0</v>
      </c>
      <c r="AZ3692">
        <v>0</v>
      </c>
      <c r="BA3692">
        <v>0</v>
      </c>
      <c r="BB3692">
        <v>0</v>
      </c>
      <c r="BC3692">
        <v>0</v>
      </c>
      <c r="BD3692">
        <v>0</v>
      </c>
      <c r="BE3692">
        <v>0</v>
      </c>
      <c r="BF3692">
        <v>0</v>
      </c>
      <c r="BG3692">
        <v>0</v>
      </c>
      <c r="BH3692">
        <v>1</v>
      </c>
      <c r="BI3692">
        <v>2</v>
      </c>
      <c r="BJ3692">
        <v>1.1000000000000001</v>
      </c>
      <c r="BK3692">
        <v>2</v>
      </c>
      <c r="BL3692">
        <v>98.42</v>
      </c>
      <c r="BM3692">
        <v>14.76</v>
      </c>
      <c r="BN3692">
        <v>113.18</v>
      </c>
      <c r="BO3692">
        <v>113.18</v>
      </c>
      <c r="BQ3692" t="s">
        <v>529</v>
      </c>
      <c r="BR3692" t="s">
        <v>84</v>
      </c>
      <c r="BS3692" s="3">
        <v>45806</v>
      </c>
      <c r="BT3692" s="4">
        <v>0.51944444444444449</v>
      </c>
      <c r="BU3692" t="s">
        <v>3372</v>
      </c>
      <c r="BV3692" t="s">
        <v>86</v>
      </c>
      <c r="BY3692">
        <v>5320</v>
      </c>
      <c r="CA3692" t="s">
        <v>2080</v>
      </c>
      <c r="CC3692" t="s">
        <v>527</v>
      </c>
      <c r="CD3692">
        <v>1760</v>
      </c>
      <c r="CE3692" t="s">
        <v>96</v>
      </c>
      <c r="CF3692" s="3">
        <v>45806</v>
      </c>
      <c r="CI3692">
        <v>1</v>
      </c>
      <c r="CJ3692">
        <v>1</v>
      </c>
      <c r="CK3692">
        <v>24</v>
      </c>
      <c r="CL3692" t="s">
        <v>89</v>
      </c>
    </row>
    <row r="3693" spans="1:90" x14ac:dyDescent="0.3">
      <c r="A3693" t="s">
        <v>72</v>
      </c>
      <c r="B3693" t="s">
        <v>73</v>
      </c>
      <c r="C3693" t="s">
        <v>74</v>
      </c>
      <c r="E3693" t="str">
        <f>"080065619226"</f>
        <v>080065619226</v>
      </c>
      <c r="F3693" s="3">
        <v>45805</v>
      </c>
      <c r="G3693">
        <v>202602</v>
      </c>
      <c r="H3693" t="s">
        <v>75</v>
      </c>
      <c r="I3693" t="s">
        <v>76</v>
      </c>
      <c r="J3693" t="s">
        <v>77</v>
      </c>
      <c r="K3693" t="s">
        <v>78</v>
      </c>
      <c r="L3693" t="s">
        <v>755</v>
      </c>
      <c r="M3693" t="s">
        <v>756</v>
      </c>
      <c r="N3693" t="s">
        <v>2330</v>
      </c>
      <c r="O3693" t="s">
        <v>82</v>
      </c>
      <c r="P3693" t="str">
        <f>"4170041063                    "</f>
        <v xml:space="preserve">4170041063                    </v>
      </c>
      <c r="Q3693">
        <v>0</v>
      </c>
      <c r="R3693">
        <v>0</v>
      </c>
      <c r="S3693">
        <v>0</v>
      </c>
      <c r="T3693">
        <v>0</v>
      </c>
      <c r="U3693">
        <v>0</v>
      </c>
      <c r="V3693">
        <v>0</v>
      </c>
      <c r="W3693">
        <v>0</v>
      </c>
      <c r="X3693">
        <v>0</v>
      </c>
      <c r="Y3693">
        <v>0</v>
      </c>
      <c r="Z3693">
        <v>0</v>
      </c>
      <c r="AA3693">
        <v>0</v>
      </c>
      <c r="AB3693">
        <v>0</v>
      </c>
      <c r="AC3693">
        <v>0</v>
      </c>
      <c r="AD3693">
        <v>0</v>
      </c>
      <c r="AE3693">
        <v>0</v>
      </c>
      <c r="AF3693">
        <v>0</v>
      </c>
      <c r="AG3693">
        <v>0</v>
      </c>
      <c r="AH3693">
        <v>0</v>
      </c>
      <c r="AI3693">
        <v>0</v>
      </c>
      <c r="AJ3693">
        <v>0</v>
      </c>
      <c r="AK3693">
        <v>0</v>
      </c>
      <c r="AL3693">
        <v>0</v>
      </c>
      <c r="AM3693">
        <v>0</v>
      </c>
      <c r="AN3693">
        <v>0</v>
      </c>
      <c r="AO3693">
        <v>0</v>
      </c>
      <c r="AP3693">
        <v>0</v>
      </c>
      <c r="AQ3693">
        <v>16.7</v>
      </c>
      <c r="AR3693">
        <v>0</v>
      </c>
      <c r="AS3693">
        <v>0</v>
      </c>
      <c r="AT3693">
        <v>0</v>
      </c>
      <c r="AU3693">
        <v>0</v>
      </c>
      <c r="AV3693">
        <v>0</v>
      </c>
      <c r="AW3693">
        <v>0</v>
      </c>
      <c r="AX3693">
        <v>0</v>
      </c>
      <c r="AY3693">
        <v>0</v>
      </c>
      <c r="AZ3693">
        <v>0</v>
      </c>
      <c r="BA3693">
        <v>0</v>
      </c>
      <c r="BB3693">
        <v>0</v>
      </c>
      <c r="BC3693">
        <v>0</v>
      </c>
      <c r="BD3693">
        <v>0</v>
      </c>
      <c r="BE3693">
        <v>0</v>
      </c>
      <c r="BF3693">
        <v>0</v>
      </c>
      <c r="BG3693">
        <v>0</v>
      </c>
      <c r="BH3693">
        <v>1</v>
      </c>
      <c r="BI3693">
        <v>1</v>
      </c>
      <c r="BJ3693">
        <v>0.2</v>
      </c>
      <c r="BK3693">
        <v>1</v>
      </c>
      <c r="BL3693">
        <v>54.66</v>
      </c>
      <c r="BM3693">
        <v>8.1999999999999993</v>
      </c>
      <c r="BN3693">
        <v>62.86</v>
      </c>
      <c r="BO3693">
        <v>62.86</v>
      </c>
      <c r="BQ3693" t="s">
        <v>2331</v>
      </c>
      <c r="BR3693" t="s">
        <v>84</v>
      </c>
      <c r="BS3693" s="3">
        <v>45806</v>
      </c>
      <c r="BT3693" s="4">
        <v>0.4375</v>
      </c>
      <c r="BU3693" t="s">
        <v>2332</v>
      </c>
      <c r="BV3693" t="s">
        <v>86</v>
      </c>
      <c r="BY3693">
        <v>1200</v>
      </c>
      <c r="CA3693" t="s">
        <v>246</v>
      </c>
      <c r="CC3693" t="s">
        <v>756</v>
      </c>
      <c r="CD3693">
        <v>1682</v>
      </c>
      <c r="CE3693" t="s">
        <v>88</v>
      </c>
      <c r="CF3693" s="3">
        <v>45807</v>
      </c>
      <c r="CI3693">
        <v>1</v>
      </c>
      <c r="CJ3693">
        <v>1</v>
      </c>
      <c r="CK3693">
        <v>22</v>
      </c>
      <c r="CL3693" t="s">
        <v>89</v>
      </c>
    </row>
    <row r="3694" spans="1:90" x14ac:dyDescent="0.3">
      <c r="A3694" t="s">
        <v>72</v>
      </c>
      <c r="B3694" t="s">
        <v>73</v>
      </c>
      <c r="C3694" t="s">
        <v>74</v>
      </c>
      <c r="E3694" t="str">
        <f>"080065619250"</f>
        <v>080065619250</v>
      </c>
      <c r="F3694" s="3">
        <v>45805</v>
      </c>
      <c r="G3694">
        <v>202602</v>
      </c>
      <c r="H3694" t="s">
        <v>75</v>
      </c>
      <c r="I3694" t="s">
        <v>76</v>
      </c>
      <c r="J3694" t="s">
        <v>77</v>
      </c>
      <c r="K3694" t="s">
        <v>78</v>
      </c>
      <c r="L3694" t="s">
        <v>130</v>
      </c>
      <c r="M3694" t="s">
        <v>131</v>
      </c>
      <c r="N3694" t="s">
        <v>343</v>
      </c>
      <c r="O3694" t="s">
        <v>82</v>
      </c>
      <c r="P3694" t="str">
        <f>"4170041072                    "</f>
        <v xml:space="preserve">4170041072                    </v>
      </c>
      <c r="Q3694">
        <v>0</v>
      </c>
      <c r="R3694">
        <v>0</v>
      </c>
      <c r="S3694">
        <v>0</v>
      </c>
      <c r="T3694">
        <v>0</v>
      </c>
      <c r="U3694">
        <v>0</v>
      </c>
      <c r="V3694">
        <v>0</v>
      </c>
      <c r="W3694">
        <v>0</v>
      </c>
      <c r="X3694">
        <v>0</v>
      </c>
      <c r="Y3694">
        <v>0</v>
      </c>
      <c r="Z3694">
        <v>0</v>
      </c>
      <c r="AA3694">
        <v>0</v>
      </c>
      <c r="AB3694">
        <v>0</v>
      </c>
      <c r="AC3694">
        <v>0</v>
      </c>
      <c r="AD3694">
        <v>0</v>
      </c>
      <c r="AE3694">
        <v>0</v>
      </c>
      <c r="AF3694">
        <v>0</v>
      </c>
      <c r="AG3694">
        <v>0</v>
      </c>
      <c r="AH3694">
        <v>0</v>
      </c>
      <c r="AI3694">
        <v>0</v>
      </c>
      <c r="AJ3694">
        <v>0</v>
      </c>
      <c r="AK3694">
        <v>0</v>
      </c>
      <c r="AL3694">
        <v>0</v>
      </c>
      <c r="AM3694">
        <v>0</v>
      </c>
      <c r="AN3694">
        <v>0</v>
      </c>
      <c r="AO3694">
        <v>0</v>
      </c>
      <c r="AP3694">
        <v>0</v>
      </c>
      <c r="AQ3694">
        <v>21.38</v>
      </c>
      <c r="AR3694">
        <v>0</v>
      </c>
      <c r="AS3694">
        <v>0</v>
      </c>
      <c r="AT3694">
        <v>0</v>
      </c>
      <c r="AU3694">
        <v>0</v>
      </c>
      <c r="AV3694">
        <v>0</v>
      </c>
      <c r="AW3694">
        <v>0</v>
      </c>
      <c r="AX3694">
        <v>0</v>
      </c>
      <c r="AY3694">
        <v>0</v>
      </c>
      <c r="AZ3694">
        <v>0</v>
      </c>
      <c r="BA3694">
        <v>0</v>
      </c>
      <c r="BB3694">
        <v>0</v>
      </c>
      <c r="BC3694">
        <v>0</v>
      </c>
      <c r="BD3694">
        <v>0</v>
      </c>
      <c r="BE3694">
        <v>0</v>
      </c>
      <c r="BF3694">
        <v>0</v>
      </c>
      <c r="BG3694">
        <v>0</v>
      </c>
      <c r="BH3694">
        <v>1</v>
      </c>
      <c r="BI3694">
        <v>1</v>
      </c>
      <c r="BJ3694">
        <v>0.2</v>
      </c>
      <c r="BK3694">
        <v>1</v>
      </c>
      <c r="BL3694">
        <v>69.98</v>
      </c>
      <c r="BM3694">
        <v>10.5</v>
      </c>
      <c r="BN3694">
        <v>80.48</v>
      </c>
      <c r="BO3694">
        <v>80.48</v>
      </c>
      <c r="BQ3694" t="s">
        <v>344</v>
      </c>
      <c r="BR3694" t="s">
        <v>84</v>
      </c>
      <c r="BS3694" s="3">
        <v>45806</v>
      </c>
      <c r="BT3694" s="4">
        <v>0.39791666666666664</v>
      </c>
      <c r="BU3694" t="s">
        <v>345</v>
      </c>
      <c r="BV3694" t="s">
        <v>86</v>
      </c>
      <c r="BY3694">
        <v>1200</v>
      </c>
      <c r="CA3694" t="s">
        <v>242</v>
      </c>
      <c r="CC3694" t="s">
        <v>131</v>
      </c>
      <c r="CD3694">
        <v>7441</v>
      </c>
      <c r="CE3694" t="s">
        <v>88</v>
      </c>
      <c r="CI3694">
        <v>1</v>
      </c>
      <c r="CJ3694">
        <v>1</v>
      </c>
      <c r="CK3694">
        <v>21</v>
      </c>
      <c r="CL3694" t="s">
        <v>89</v>
      </c>
    </row>
    <row r="3695" spans="1:90" x14ac:dyDescent="0.3">
      <c r="A3695" t="s">
        <v>72</v>
      </c>
      <c r="B3695" t="s">
        <v>73</v>
      </c>
      <c r="C3695" t="s">
        <v>74</v>
      </c>
      <c r="E3695" t="str">
        <f>"080065619267"</f>
        <v>080065619267</v>
      </c>
      <c r="F3695" s="3">
        <v>45805</v>
      </c>
      <c r="G3695">
        <v>202602</v>
      </c>
      <c r="H3695" t="s">
        <v>75</v>
      </c>
      <c r="I3695" t="s">
        <v>76</v>
      </c>
      <c r="J3695" t="s">
        <v>77</v>
      </c>
      <c r="K3695" t="s">
        <v>78</v>
      </c>
      <c r="L3695" t="s">
        <v>123</v>
      </c>
      <c r="M3695" t="s">
        <v>123</v>
      </c>
      <c r="N3695" t="s">
        <v>766</v>
      </c>
      <c r="O3695" t="s">
        <v>82</v>
      </c>
      <c r="P3695" t="str">
        <f>"4170041102                    "</f>
        <v xml:space="preserve">4170041102                    </v>
      </c>
      <c r="Q3695">
        <v>0</v>
      </c>
      <c r="R3695">
        <v>0</v>
      </c>
      <c r="S3695">
        <v>0</v>
      </c>
      <c r="T3695">
        <v>0</v>
      </c>
      <c r="U3695">
        <v>0</v>
      </c>
      <c r="V3695">
        <v>0</v>
      </c>
      <c r="W3695">
        <v>0</v>
      </c>
      <c r="X3695">
        <v>0</v>
      </c>
      <c r="Y3695">
        <v>0</v>
      </c>
      <c r="Z3695">
        <v>0</v>
      </c>
      <c r="AA3695">
        <v>0</v>
      </c>
      <c r="AB3695">
        <v>0</v>
      </c>
      <c r="AC3695">
        <v>0</v>
      </c>
      <c r="AD3695">
        <v>0</v>
      </c>
      <c r="AE3695">
        <v>0</v>
      </c>
      <c r="AF3695">
        <v>0</v>
      </c>
      <c r="AG3695">
        <v>0</v>
      </c>
      <c r="AH3695">
        <v>0</v>
      </c>
      <c r="AI3695">
        <v>0</v>
      </c>
      <c r="AJ3695">
        <v>0</v>
      </c>
      <c r="AK3695">
        <v>0</v>
      </c>
      <c r="AL3695">
        <v>0</v>
      </c>
      <c r="AM3695">
        <v>0</v>
      </c>
      <c r="AN3695">
        <v>0</v>
      </c>
      <c r="AO3695">
        <v>0</v>
      </c>
      <c r="AP3695">
        <v>0</v>
      </c>
      <c r="AQ3695">
        <v>41.43</v>
      </c>
      <c r="AR3695">
        <v>0</v>
      </c>
      <c r="AS3695">
        <v>0</v>
      </c>
      <c r="AT3695">
        <v>0</v>
      </c>
      <c r="AU3695">
        <v>0</v>
      </c>
      <c r="AV3695">
        <v>0</v>
      </c>
      <c r="AW3695">
        <v>0</v>
      </c>
      <c r="AX3695">
        <v>0</v>
      </c>
      <c r="AY3695">
        <v>0</v>
      </c>
      <c r="AZ3695">
        <v>0</v>
      </c>
      <c r="BA3695">
        <v>0</v>
      </c>
      <c r="BB3695">
        <v>0</v>
      </c>
      <c r="BC3695">
        <v>0</v>
      </c>
      <c r="BD3695">
        <v>0</v>
      </c>
      <c r="BE3695">
        <v>0</v>
      </c>
      <c r="BF3695">
        <v>0</v>
      </c>
      <c r="BG3695">
        <v>0</v>
      </c>
      <c r="BH3695">
        <v>1</v>
      </c>
      <c r="BI3695">
        <v>1</v>
      </c>
      <c r="BJ3695">
        <v>0.2</v>
      </c>
      <c r="BK3695">
        <v>1</v>
      </c>
      <c r="BL3695">
        <v>135.59</v>
      </c>
      <c r="BM3695">
        <v>20.34</v>
      </c>
      <c r="BN3695">
        <v>155.93</v>
      </c>
      <c r="BO3695">
        <v>155.93</v>
      </c>
      <c r="BQ3695" t="s">
        <v>767</v>
      </c>
      <c r="BR3695" t="s">
        <v>84</v>
      </c>
      <c r="BS3695" s="3">
        <v>45806</v>
      </c>
      <c r="BT3695" s="4">
        <v>0.4861111111111111</v>
      </c>
      <c r="BU3695" t="s">
        <v>768</v>
      </c>
      <c r="BV3695" t="s">
        <v>86</v>
      </c>
      <c r="BY3695">
        <v>1200</v>
      </c>
      <c r="CA3695" t="s">
        <v>128</v>
      </c>
      <c r="CC3695" t="s">
        <v>123</v>
      </c>
      <c r="CD3695">
        <v>7646</v>
      </c>
      <c r="CE3695" t="s">
        <v>88</v>
      </c>
      <c r="CI3695">
        <v>1</v>
      </c>
      <c r="CJ3695">
        <v>1</v>
      </c>
      <c r="CK3695">
        <v>23</v>
      </c>
      <c r="CL3695" t="s">
        <v>89</v>
      </c>
    </row>
    <row r="3696" spans="1:90" x14ac:dyDescent="0.3">
      <c r="A3696" t="s">
        <v>72</v>
      </c>
      <c r="B3696" t="s">
        <v>73</v>
      </c>
      <c r="C3696" t="s">
        <v>74</v>
      </c>
      <c r="E3696" t="str">
        <f>"080065619294"</f>
        <v>080065619294</v>
      </c>
      <c r="F3696" s="3">
        <v>45805</v>
      </c>
      <c r="G3696">
        <v>202602</v>
      </c>
      <c r="H3696" t="s">
        <v>75</v>
      </c>
      <c r="I3696" t="s">
        <v>76</v>
      </c>
      <c r="J3696" t="s">
        <v>77</v>
      </c>
      <c r="K3696" t="s">
        <v>78</v>
      </c>
      <c r="L3696" t="s">
        <v>648</v>
      </c>
      <c r="M3696" t="s">
        <v>649</v>
      </c>
      <c r="N3696" t="s">
        <v>762</v>
      </c>
      <c r="O3696" t="s">
        <v>82</v>
      </c>
      <c r="P3696" t="str">
        <f>"4170041075                    "</f>
        <v xml:space="preserve">4170041075                    </v>
      </c>
      <c r="Q3696">
        <v>0</v>
      </c>
      <c r="R3696">
        <v>0</v>
      </c>
      <c r="S3696">
        <v>0</v>
      </c>
      <c r="T3696">
        <v>0</v>
      </c>
      <c r="U3696">
        <v>0</v>
      </c>
      <c r="V3696">
        <v>0</v>
      </c>
      <c r="W3696">
        <v>0</v>
      </c>
      <c r="X3696">
        <v>0</v>
      </c>
      <c r="Y3696">
        <v>0</v>
      </c>
      <c r="Z3696">
        <v>0</v>
      </c>
      <c r="AA3696">
        <v>0</v>
      </c>
      <c r="AB3696">
        <v>0</v>
      </c>
      <c r="AC3696">
        <v>0</v>
      </c>
      <c r="AD3696">
        <v>0</v>
      </c>
      <c r="AE3696">
        <v>0</v>
      </c>
      <c r="AF3696">
        <v>0</v>
      </c>
      <c r="AG3696">
        <v>0</v>
      </c>
      <c r="AH3696">
        <v>0</v>
      </c>
      <c r="AI3696">
        <v>0</v>
      </c>
      <c r="AJ3696">
        <v>0</v>
      </c>
      <c r="AK3696">
        <v>0</v>
      </c>
      <c r="AL3696">
        <v>0</v>
      </c>
      <c r="AM3696">
        <v>0</v>
      </c>
      <c r="AN3696">
        <v>0</v>
      </c>
      <c r="AO3696">
        <v>0</v>
      </c>
      <c r="AP3696">
        <v>0</v>
      </c>
      <c r="AQ3696">
        <v>16.7</v>
      </c>
      <c r="AR3696">
        <v>0</v>
      </c>
      <c r="AS3696">
        <v>0</v>
      </c>
      <c r="AT3696">
        <v>0</v>
      </c>
      <c r="AU3696">
        <v>0</v>
      </c>
      <c r="AV3696">
        <v>0</v>
      </c>
      <c r="AW3696">
        <v>0</v>
      </c>
      <c r="AX3696">
        <v>0</v>
      </c>
      <c r="AY3696">
        <v>0</v>
      </c>
      <c r="AZ3696">
        <v>0</v>
      </c>
      <c r="BA3696">
        <v>0</v>
      </c>
      <c r="BB3696">
        <v>0</v>
      </c>
      <c r="BC3696">
        <v>0</v>
      </c>
      <c r="BD3696">
        <v>0</v>
      </c>
      <c r="BE3696">
        <v>0</v>
      </c>
      <c r="BF3696">
        <v>0</v>
      </c>
      <c r="BG3696">
        <v>0</v>
      </c>
      <c r="BH3696">
        <v>1</v>
      </c>
      <c r="BI3696">
        <v>1</v>
      </c>
      <c r="BJ3696">
        <v>0.2</v>
      </c>
      <c r="BK3696">
        <v>1</v>
      </c>
      <c r="BL3696">
        <v>54.66</v>
      </c>
      <c r="BM3696">
        <v>8.1999999999999993</v>
      </c>
      <c r="BN3696">
        <v>62.86</v>
      </c>
      <c r="BO3696">
        <v>62.86</v>
      </c>
      <c r="BQ3696" t="s">
        <v>763</v>
      </c>
      <c r="BR3696" t="s">
        <v>84</v>
      </c>
      <c r="BS3696" s="3">
        <v>45806</v>
      </c>
      <c r="BT3696" s="4">
        <v>0.42708333333333331</v>
      </c>
      <c r="BU3696" t="s">
        <v>2072</v>
      </c>
      <c r="BV3696" t="s">
        <v>86</v>
      </c>
      <c r="BY3696">
        <v>1200</v>
      </c>
      <c r="CA3696" t="s">
        <v>698</v>
      </c>
      <c r="CC3696" t="s">
        <v>649</v>
      </c>
      <c r="CD3696">
        <v>1559</v>
      </c>
      <c r="CE3696" t="s">
        <v>88</v>
      </c>
      <c r="CF3696" s="3">
        <v>45806</v>
      </c>
      <c r="CI3696">
        <v>1</v>
      </c>
      <c r="CJ3696">
        <v>1</v>
      </c>
      <c r="CK3696">
        <v>22</v>
      </c>
      <c r="CL3696" t="s">
        <v>89</v>
      </c>
    </row>
    <row r="3697" spans="1:90" x14ac:dyDescent="0.3">
      <c r="A3697" t="s">
        <v>72</v>
      </c>
      <c r="B3697" t="s">
        <v>73</v>
      </c>
      <c r="C3697" t="s">
        <v>74</v>
      </c>
      <c r="E3697" t="str">
        <f>"080065619327"</f>
        <v>080065619327</v>
      </c>
      <c r="F3697" s="3">
        <v>45805</v>
      </c>
      <c r="G3697">
        <v>202602</v>
      </c>
      <c r="H3697" t="s">
        <v>75</v>
      </c>
      <c r="I3697" t="s">
        <v>76</v>
      </c>
      <c r="J3697" t="s">
        <v>77</v>
      </c>
      <c r="K3697" t="s">
        <v>78</v>
      </c>
      <c r="L3697" t="s">
        <v>103</v>
      </c>
      <c r="M3697" t="s">
        <v>104</v>
      </c>
      <c r="N3697" t="s">
        <v>633</v>
      </c>
      <c r="O3697" t="s">
        <v>82</v>
      </c>
      <c r="P3697" t="str">
        <f>"4170041037                    "</f>
        <v xml:space="preserve">4170041037                    </v>
      </c>
      <c r="Q3697">
        <v>0</v>
      </c>
      <c r="R3697">
        <v>0</v>
      </c>
      <c r="S3697">
        <v>0</v>
      </c>
      <c r="T3697">
        <v>0</v>
      </c>
      <c r="U3697">
        <v>0</v>
      </c>
      <c r="V3697">
        <v>0</v>
      </c>
      <c r="W3697">
        <v>0</v>
      </c>
      <c r="X3697">
        <v>0</v>
      </c>
      <c r="Y3697">
        <v>0</v>
      </c>
      <c r="Z3697">
        <v>0</v>
      </c>
      <c r="AA3697">
        <v>0</v>
      </c>
      <c r="AB3697">
        <v>0</v>
      </c>
      <c r="AC3697">
        <v>0</v>
      </c>
      <c r="AD3697">
        <v>0</v>
      </c>
      <c r="AE3697">
        <v>0</v>
      </c>
      <c r="AF3697">
        <v>0</v>
      </c>
      <c r="AG3697">
        <v>0</v>
      </c>
      <c r="AH3697">
        <v>0</v>
      </c>
      <c r="AI3697">
        <v>0</v>
      </c>
      <c r="AJ3697">
        <v>0</v>
      </c>
      <c r="AK3697">
        <v>0</v>
      </c>
      <c r="AL3697">
        <v>0</v>
      </c>
      <c r="AM3697">
        <v>0</v>
      </c>
      <c r="AN3697">
        <v>0</v>
      </c>
      <c r="AO3697">
        <v>0</v>
      </c>
      <c r="AP3697">
        <v>0</v>
      </c>
      <c r="AQ3697">
        <v>32.07</v>
      </c>
      <c r="AR3697">
        <v>0</v>
      </c>
      <c r="AS3697">
        <v>0</v>
      </c>
      <c r="AT3697">
        <v>0</v>
      </c>
      <c r="AU3697">
        <v>0</v>
      </c>
      <c r="AV3697">
        <v>0</v>
      </c>
      <c r="AW3697">
        <v>0</v>
      </c>
      <c r="AX3697">
        <v>0</v>
      </c>
      <c r="AY3697">
        <v>0</v>
      </c>
      <c r="AZ3697">
        <v>0</v>
      </c>
      <c r="BA3697">
        <v>0</v>
      </c>
      <c r="BB3697">
        <v>0</v>
      </c>
      <c r="BC3697">
        <v>0</v>
      </c>
      <c r="BD3697">
        <v>0</v>
      </c>
      <c r="BE3697">
        <v>0</v>
      </c>
      <c r="BF3697">
        <v>0</v>
      </c>
      <c r="BG3697">
        <v>0</v>
      </c>
      <c r="BH3697">
        <v>1</v>
      </c>
      <c r="BI3697">
        <v>3</v>
      </c>
      <c r="BJ3697">
        <v>1.7</v>
      </c>
      <c r="BK3697">
        <v>3</v>
      </c>
      <c r="BL3697">
        <v>104.95</v>
      </c>
      <c r="BM3697">
        <v>15.74</v>
      </c>
      <c r="BN3697">
        <v>120.69</v>
      </c>
      <c r="BO3697">
        <v>120.69</v>
      </c>
      <c r="BQ3697" t="s">
        <v>634</v>
      </c>
      <c r="BR3697" t="s">
        <v>84</v>
      </c>
      <c r="BS3697" s="3">
        <v>45806</v>
      </c>
      <c r="BT3697" s="4">
        <v>0.41666666666666669</v>
      </c>
      <c r="BU3697" t="s">
        <v>3373</v>
      </c>
      <c r="BV3697" t="s">
        <v>86</v>
      </c>
      <c r="BY3697">
        <v>8512</v>
      </c>
      <c r="CC3697" t="s">
        <v>104</v>
      </c>
      <c r="CD3697">
        <v>3212</v>
      </c>
      <c r="CE3697" t="s">
        <v>116</v>
      </c>
      <c r="CI3697">
        <v>2</v>
      </c>
      <c r="CJ3697">
        <v>1</v>
      </c>
      <c r="CK3697">
        <v>21</v>
      </c>
      <c r="CL3697" t="s">
        <v>89</v>
      </c>
    </row>
    <row r="3698" spans="1:90" x14ac:dyDescent="0.3">
      <c r="A3698" t="s">
        <v>72</v>
      </c>
      <c r="B3698" t="s">
        <v>73</v>
      </c>
      <c r="C3698" t="s">
        <v>74</v>
      </c>
      <c r="E3698" t="str">
        <f>"080065619352"</f>
        <v>080065619352</v>
      </c>
      <c r="F3698" s="3">
        <v>45805</v>
      </c>
      <c r="G3698">
        <v>202602</v>
      </c>
      <c r="H3698" t="s">
        <v>75</v>
      </c>
      <c r="I3698" t="s">
        <v>76</v>
      </c>
      <c r="J3698" t="s">
        <v>77</v>
      </c>
      <c r="K3698" t="s">
        <v>78</v>
      </c>
      <c r="L3698" t="s">
        <v>350</v>
      </c>
      <c r="M3698" t="s">
        <v>351</v>
      </c>
      <c r="N3698" t="s">
        <v>431</v>
      </c>
      <c r="O3698" t="s">
        <v>82</v>
      </c>
      <c r="P3698" t="str">
        <f>"4170041067                    "</f>
        <v xml:space="preserve">4170041067                    </v>
      </c>
      <c r="Q3698">
        <v>0</v>
      </c>
      <c r="R3698">
        <v>0</v>
      </c>
      <c r="S3698">
        <v>0</v>
      </c>
      <c r="T3698">
        <v>0</v>
      </c>
      <c r="U3698">
        <v>0</v>
      </c>
      <c r="V3698">
        <v>0</v>
      </c>
      <c r="W3698">
        <v>0</v>
      </c>
      <c r="X3698">
        <v>0</v>
      </c>
      <c r="Y3698">
        <v>0</v>
      </c>
      <c r="Z3698">
        <v>0</v>
      </c>
      <c r="AA3698">
        <v>0</v>
      </c>
      <c r="AB3698">
        <v>0</v>
      </c>
      <c r="AC3698">
        <v>0</v>
      </c>
      <c r="AD3698">
        <v>0</v>
      </c>
      <c r="AE3698">
        <v>0</v>
      </c>
      <c r="AF3698">
        <v>0</v>
      </c>
      <c r="AG3698">
        <v>0</v>
      </c>
      <c r="AH3698">
        <v>0</v>
      </c>
      <c r="AI3698">
        <v>0</v>
      </c>
      <c r="AJ3698">
        <v>0</v>
      </c>
      <c r="AK3698">
        <v>0</v>
      </c>
      <c r="AL3698">
        <v>0</v>
      </c>
      <c r="AM3698">
        <v>0</v>
      </c>
      <c r="AN3698">
        <v>0</v>
      </c>
      <c r="AO3698">
        <v>0</v>
      </c>
      <c r="AP3698">
        <v>0</v>
      </c>
      <c r="AQ3698">
        <v>74.8</v>
      </c>
      <c r="AR3698">
        <v>0</v>
      </c>
      <c r="AS3698">
        <v>0</v>
      </c>
      <c r="AT3698">
        <v>0</v>
      </c>
      <c r="AU3698">
        <v>0</v>
      </c>
      <c r="AV3698">
        <v>0</v>
      </c>
      <c r="AW3698">
        <v>0</v>
      </c>
      <c r="AX3698">
        <v>0</v>
      </c>
      <c r="AY3698">
        <v>0</v>
      </c>
      <c r="AZ3698">
        <v>0</v>
      </c>
      <c r="BA3698">
        <v>0</v>
      </c>
      <c r="BB3698">
        <v>0</v>
      </c>
      <c r="BC3698">
        <v>0</v>
      </c>
      <c r="BD3698">
        <v>0</v>
      </c>
      <c r="BE3698">
        <v>0</v>
      </c>
      <c r="BF3698">
        <v>0</v>
      </c>
      <c r="BG3698">
        <v>0</v>
      </c>
      <c r="BH3698">
        <v>1</v>
      </c>
      <c r="BI3698">
        <v>7</v>
      </c>
      <c r="BJ3698">
        <v>3</v>
      </c>
      <c r="BK3698">
        <v>7</v>
      </c>
      <c r="BL3698">
        <v>244.8</v>
      </c>
      <c r="BM3698">
        <v>36.72</v>
      </c>
      <c r="BN3698">
        <v>281.52</v>
      </c>
      <c r="BO3698">
        <v>281.52</v>
      </c>
      <c r="BQ3698" t="s">
        <v>432</v>
      </c>
      <c r="BR3698" t="s">
        <v>84</v>
      </c>
      <c r="BS3698" s="3">
        <v>45806</v>
      </c>
      <c r="BT3698" s="4">
        <v>0.6</v>
      </c>
      <c r="BU3698" t="s">
        <v>3332</v>
      </c>
      <c r="BV3698" t="s">
        <v>89</v>
      </c>
      <c r="BW3698" t="s">
        <v>296</v>
      </c>
      <c r="BX3698" t="s">
        <v>325</v>
      </c>
      <c r="BY3698">
        <v>14848</v>
      </c>
      <c r="CA3698" t="s">
        <v>436</v>
      </c>
      <c r="CC3698" t="s">
        <v>351</v>
      </c>
      <c r="CD3698">
        <v>4052</v>
      </c>
      <c r="CE3698" t="s">
        <v>221</v>
      </c>
      <c r="CF3698" s="3">
        <v>45806</v>
      </c>
      <c r="CI3698">
        <v>1</v>
      </c>
      <c r="CJ3698">
        <v>1</v>
      </c>
      <c r="CK3698">
        <v>21</v>
      </c>
      <c r="CL3698" t="s">
        <v>89</v>
      </c>
    </row>
    <row r="3699" spans="1:90" x14ac:dyDescent="0.3">
      <c r="A3699" t="s">
        <v>72</v>
      </c>
      <c r="B3699" t="s">
        <v>73</v>
      </c>
      <c r="C3699" t="s">
        <v>74</v>
      </c>
      <c r="E3699" t="str">
        <f>"080065619519"</f>
        <v>080065619519</v>
      </c>
      <c r="F3699" s="3">
        <v>45805</v>
      </c>
      <c r="G3699">
        <v>202602</v>
      </c>
      <c r="H3699" t="s">
        <v>75</v>
      </c>
      <c r="I3699" t="s">
        <v>76</v>
      </c>
      <c r="J3699" t="s">
        <v>77</v>
      </c>
      <c r="K3699" t="s">
        <v>78</v>
      </c>
      <c r="L3699" t="s">
        <v>374</v>
      </c>
      <c r="M3699" t="s">
        <v>375</v>
      </c>
      <c r="N3699" t="s">
        <v>376</v>
      </c>
      <c r="O3699" t="s">
        <v>82</v>
      </c>
      <c r="P3699" t="str">
        <f>"4170041040                    "</f>
        <v xml:space="preserve">4170041040                    </v>
      </c>
      <c r="Q3699">
        <v>0</v>
      </c>
      <c r="R3699">
        <v>0</v>
      </c>
      <c r="S3699">
        <v>0</v>
      </c>
      <c r="T3699">
        <v>0</v>
      </c>
      <c r="U3699">
        <v>0</v>
      </c>
      <c r="V3699">
        <v>0</v>
      </c>
      <c r="W3699">
        <v>0</v>
      </c>
      <c r="X3699">
        <v>0</v>
      </c>
      <c r="Y3699">
        <v>0</v>
      </c>
      <c r="Z3699">
        <v>0</v>
      </c>
      <c r="AA3699">
        <v>0</v>
      </c>
      <c r="AB3699">
        <v>0</v>
      </c>
      <c r="AC3699">
        <v>0</v>
      </c>
      <c r="AD3699">
        <v>0</v>
      </c>
      <c r="AE3699">
        <v>0</v>
      </c>
      <c r="AF3699">
        <v>0</v>
      </c>
      <c r="AG3699">
        <v>0</v>
      </c>
      <c r="AH3699">
        <v>0</v>
      </c>
      <c r="AI3699">
        <v>0</v>
      </c>
      <c r="AJ3699">
        <v>0</v>
      </c>
      <c r="AK3699">
        <v>0</v>
      </c>
      <c r="AL3699">
        <v>0</v>
      </c>
      <c r="AM3699">
        <v>0</v>
      </c>
      <c r="AN3699">
        <v>0</v>
      </c>
      <c r="AO3699">
        <v>0</v>
      </c>
      <c r="AP3699">
        <v>0</v>
      </c>
      <c r="AQ3699">
        <v>41.43</v>
      </c>
      <c r="AR3699">
        <v>0</v>
      </c>
      <c r="AS3699">
        <v>0</v>
      </c>
      <c r="AT3699">
        <v>0</v>
      </c>
      <c r="AU3699">
        <v>0</v>
      </c>
      <c r="AV3699">
        <v>0</v>
      </c>
      <c r="AW3699">
        <v>0</v>
      </c>
      <c r="AX3699">
        <v>0</v>
      </c>
      <c r="AY3699">
        <v>0</v>
      </c>
      <c r="AZ3699">
        <v>0</v>
      </c>
      <c r="BA3699">
        <v>0</v>
      </c>
      <c r="BB3699">
        <v>0</v>
      </c>
      <c r="BC3699">
        <v>0</v>
      </c>
      <c r="BD3699">
        <v>0</v>
      </c>
      <c r="BE3699">
        <v>0</v>
      </c>
      <c r="BF3699">
        <v>0</v>
      </c>
      <c r="BG3699">
        <v>0</v>
      </c>
      <c r="BH3699">
        <v>1</v>
      </c>
      <c r="BI3699">
        <v>1</v>
      </c>
      <c r="BJ3699">
        <v>0.2</v>
      </c>
      <c r="BK3699">
        <v>1</v>
      </c>
      <c r="BL3699">
        <v>135.59</v>
      </c>
      <c r="BM3699">
        <v>20.34</v>
      </c>
      <c r="BN3699">
        <v>155.93</v>
      </c>
      <c r="BO3699">
        <v>155.93</v>
      </c>
      <c r="BQ3699" t="s">
        <v>377</v>
      </c>
      <c r="BR3699" t="s">
        <v>84</v>
      </c>
      <c r="BS3699" s="3">
        <v>45806</v>
      </c>
      <c r="BT3699" s="4">
        <v>0.43611111111111112</v>
      </c>
      <c r="BU3699" t="s">
        <v>378</v>
      </c>
      <c r="BV3699" t="s">
        <v>86</v>
      </c>
      <c r="BY3699">
        <v>1200</v>
      </c>
      <c r="CA3699" t="s">
        <v>379</v>
      </c>
      <c r="CC3699" t="s">
        <v>375</v>
      </c>
      <c r="CD3699">
        <v>7130</v>
      </c>
      <c r="CE3699" t="s">
        <v>88</v>
      </c>
      <c r="CI3699">
        <v>1</v>
      </c>
      <c r="CJ3699">
        <v>1</v>
      </c>
      <c r="CK3699">
        <v>23</v>
      </c>
      <c r="CL3699" t="s">
        <v>89</v>
      </c>
    </row>
    <row r="3700" spans="1:90" x14ac:dyDescent="0.3">
      <c r="A3700" t="s">
        <v>72</v>
      </c>
      <c r="B3700" t="s">
        <v>73</v>
      </c>
      <c r="C3700" t="s">
        <v>74</v>
      </c>
      <c r="E3700" t="str">
        <f>"080065619530"</f>
        <v>080065619530</v>
      </c>
      <c r="F3700" s="3">
        <v>45805</v>
      </c>
      <c r="G3700">
        <v>202602</v>
      </c>
      <c r="H3700" t="s">
        <v>75</v>
      </c>
      <c r="I3700" t="s">
        <v>76</v>
      </c>
      <c r="J3700" t="s">
        <v>77</v>
      </c>
      <c r="K3700" t="s">
        <v>78</v>
      </c>
      <c r="L3700" t="s">
        <v>222</v>
      </c>
      <c r="M3700" t="s">
        <v>223</v>
      </c>
      <c r="N3700" t="s">
        <v>1369</v>
      </c>
      <c r="O3700" t="s">
        <v>82</v>
      </c>
      <c r="P3700" t="str">
        <f>"4170041098                    "</f>
        <v xml:space="preserve">4170041098                    </v>
      </c>
      <c r="Q3700">
        <v>0</v>
      </c>
      <c r="R3700">
        <v>0</v>
      </c>
      <c r="S3700">
        <v>0</v>
      </c>
      <c r="T3700">
        <v>0</v>
      </c>
      <c r="U3700">
        <v>0</v>
      </c>
      <c r="V3700">
        <v>0</v>
      </c>
      <c r="W3700">
        <v>0</v>
      </c>
      <c r="X3700">
        <v>0</v>
      </c>
      <c r="Y3700">
        <v>0</v>
      </c>
      <c r="Z3700">
        <v>0</v>
      </c>
      <c r="AA3700">
        <v>0</v>
      </c>
      <c r="AB3700">
        <v>0</v>
      </c>
      <c r="AC3700">
        <v>0</v>
      </c>
      <c r="AD3700">
        <v>0</v>
      </c>
      <c r="AE3700">
        <v>0</v>
      </c>
      <c r="AF3700">
        <v>0</v>
      </c>
      <c r="AG3700">
        <v>0</v>
      </c>
      <c r="AH3700">
        <v>0</v>
      </c>
      <c r="AI3700">
        <v>0</v>
      </c>
      <c r="AJ3700">
        <v>0</v>
      </c>
      <c r="AK3700">
        <v>0</v>
      </c>
      <c r="AL3700">
        <v>0</v>
      </c>
      <c r="AM3700">
        <v>0</v>
      </c>
      <c r="AN3700">
        <v>0</v>
      </c>
      <c r="AO3700">
        <v>0</v>
      </c>
      <c r="AP3700">
        <v>0</v>
      </c>
      <c r="AQ3700">
        <v>30.07</v>
      </c>
      <c r="AR3700">
        <v>0</v>
      </c>
      <c r="AS3700">
        <v>0</v>
      </c>
      <c r="AT3700">
        <v>0</v>
      </c>
      <c r="AU3700">
        <v>0</v>
      </c>
      <c r="AV3700">
        <v>0</v>
      </c>
      <c r="AW3700">
        <v>0</v>
      </c>
      <c r="AX3700">
        <v>0</v>
      </c>
      <c r="AY3700">
        <v>0</v>
      </c>
      <c r="AZ3700">
        <v>0</v>
      </c>
      <c r="BA3700">
        <v>0</v>
      </c>
      <c r="BB3700">
        <v>0</v>
      </c>
      <c r="BC3700">
        <v>0</v>
      </c>
      <c r="BD3700">
        <v>0</v>
      </c>
      <c r="BE3700">
        <v>0</v>
      </c>
      <c r="BF3700">
        <v>0</v>
      </c>
      <c r="BG3700">
        <v>0</v>
      </c>
      <c r="BH3700">
        <v>1</v>
      </c>
      <c r="BI3700">
        <v>1</v>
      </c>
      <c r="BJ3700">
        <v>0.2</v>
      </c>
      <c r="BK3700">
        <v>1</v>
      </c>
      <c r="BL3700">
        <v>98.42</v>
      </c>
      <c r="BM3700">
        <v>14.76</v>
      </c>
      <c r="BN3700">
        <v>113.18</v>
      </c>
      <c r="BO3700">
        <v>113.18</v>
      </c>
      <c r="BQ3700" t="s">
        <v>1370</v>
      </c>
      <c r="BR3700" t="s">
        <v>84</v>
      </c>
      <c r="BS3700" t="s">
        <v>1540</v>
      </c>
      <c r="BY3700">
        <v>1200</v>
      </c>
      <c r="CC3700" t="s">
        <v>223</v>
      </c>
      <c r="CD3700">
        <v>1748</v>
      </c>
      <c r="CE3700" t="s">
        <v>88</v>
      </c>
      <c r="CI3700">
        <v>1</v>
      </c>
      <c r="CJ3700" t="s">
        <v>1540</v>
      </c>
      <c r="CK3700">
        <v>24</v>
      </c>
      <c r="CL3700" t="s">
        <v>89</v>
      </c>
    </row>
    <row r="3701" spans="1:90" x14ac:dyDescent="0.3">
      <c r="A3701" t="s">
        <v>72</v>
      </c>
      <c r="B3701" t="s">
        <v>73</v>
      </c>
      <c r="C3701" t="s">
        <v>74</v>
      </c>
      <c r="E3701" t="str">
        <f>"080065619555"</f>
        <v>080065619555</v>
      </c>
      <c r="F3701" s="3">
        <v>45805</v>
      </c>
      <c r="G3701">
        <v>202602</v>
      </c>
      <c r="H3701" t="s">
        <v>75</v>
      </c>
      <c r="I3701" t="s">
        <v>76</v>
      </c>
      <c r="J3701" t="s">
        <v>77</v>
      </c>
      <c r="K3701" t="s">
        <v>78</v>
      </c>
      <c r="L3701" t="s">
        <v>266</v>
      </c>
      <c r="M3701" t="s">
        <v>267</v>
      </c>
      <c r="N3701" t="s">
        <v>1750</v>
      </c>
      <c r="O3701" t="s">
        <v>82</v>
      </c>
      <c r="P3701" t="str">
        <f>"4170041011                    "</f>
        <v xml:space="preserve">4170041011                    </v>
      </c>
      <c r="Q3701">
        <v>0</v>
      </c>
      <c r="R3701">
        <v>0</v>
      </c>
      <c r="S3701">
        <v>0</v>
      </c>
      <c r="T3701">
        <v>0</v>
      </c>
      <c r="U3701">
        <v>0</v>
      </c>
      <c r="V3701">
        <v>0</v>
      </c>
      <c r="W3701">
        <v>0</v>
      </c>
      <c r="X3701">
        <v>0</v>
      </c>
      <c r="Y3701">
        <v>0</v>
      </c>
      <c r="Z3701">
        <v>0</v>
      </c>
      <c r="AA3701">
        <v>0</v>
      </c>
      <c r="AB3701">
        <v>0</v>
      </c>
      <c r="AC3701">
        <v>0</v>
      </c>
      <c r="AD3701">
        <v>0</v>
      </c>
      <c r="AE3701">
        <v>0</v>
      </c>
      <c r="AF3701">
        <v>0</v>
      </c>
      <c r="AG3701">
        <v>0</v>
      </c>
      <c r="AH3701">
        <v>0</v>
      </c>
      <c r="AI3701">
        <v>0</v>
      </c>
      <c r="AJ3701">
        <v>0</v>
      </c>
      <c r="AK3701">
        <v>0</v>
      </c>
      <c r="AL3701">
        <v>0</v>
      </c>
      <c r="AM3701">
        <v>0</v>
      </c>
      <c r="AN3701">
        <v>0</v>
      </c>
      <c r="AO3701">
        <v>0</v>
      </c>
      <c r="AP3701">
        <v>0</v>
      </c>
      <c r="AQ3701">
        <v>117.53</v>
      </c>
      <c r="AR3701">
        <v>0</v>
      </c>
      <c r="AS3701">
        <v>0</v>
      </c>
      <c r="AT3701">
        <v>0</v>
      </c>
      <c r="AU3701">
        <v>0</v>
      </c>
      <c r="AV3701">
        <v>0</v>
      </c>
      <c r="AW3701">
        <v>0</v>
      </c>
      <c r="AX3701">
        <v>0</v>
      </c>
      <c r="AY3701">
        <v>0</v>
      </c>
      <c r="AZ3701">
        <v>0</v>
      </c>
      <c r="BA3701">
        <v>0</v>
      </c>
      <c r="BB3701">
        <v>0</v>
      </c>
      <c r="BC3701">
        <v>0</v>
      </c>
      <c r="BD3701">
        <v>0</v>
      </c>
      <c r="BE3701">
        <v>0</v>
      </c>
      <c r="BF3701">
        <v>0</v>
      </c>
      <c r="BG3701">
        <v>0</v>
      </c>
      <c r="BH3701">
        <v>1</v>
      </c>
      <c r="BI3701">
        <v>11</v>
      </c>
      <c r="BJ3701">
        <v>7.8</v>
      </c>
      <c r="BK3701">
        <v>11</v>
      </c>
      <c r="BL3701">
        <v>384.65</v>
      </c>
      <c r="BM3701">
        <v>57.7</v>
      </c>
      <c r="BN3701">
        <v>442.35</v>
      </c>
      <c r="BO3701">
        <v>442.35</v>
      </c>
      <c r="BQ3701" t="s">
        <v>1751</v>
      </c>
      <c r="BR3701" t="s">
        <v>84</v>
      </c>
      <c r="BS3701" s="3">
        <v>45806</v>
      </c>
      <c r="BT3701" s="4">
        <v>0.41805555555555557</v>
      </c>
      <c r="BU3701" t="s">
        <v>1752</v>
      </c>
      <c r="BV3701" t="s">
        <v>86</v>
      </c>
      <c r="BY3701">
        <v>39192</v>
      </c>
      <c r="CA3701" t="s">
        <v>271</v>
      </c>
      <c r="CC3701" t="s">
        <v>267</v>
      </c>
      <c r="CD3701">
        <v>6220</v>
      </c>
      <c r="CE3701" t="s">
        <v>550</v>
      </c>
      <c r="CF3701" s="3">
        <v>45806</v>
      </c>
      <c r="CI3701">
        <v>1</v>
      </c>
      <c r="CJ3701">
        <v>1</v>
      </c>
      <c r="CK3701">
        <v>21</v>
      </c>
      <c r="CL3701" t="s">
        <v>89</v>
      </c>
    </row>
    <row r="3702" spans="1:90" x14ac:dyDescent="0.3">
      <c r="A3702" t="s">
        <v>72</v>
      </c>
      <c r="B3702" t="s">
        <v>73</v>
      </c>
      <c r="C3702" t="s">
        <v>74</v>
      </c>
      <c r="E3702" t="str">
        <f>"080065619572"</f>
        <v>080065619572</v>
      </c>
      <c r="F3702" s="3">
        <v>45805</v>
      </c>
      <c r="G3702">
        <v>202602</v>
      </c>
      <c r="H3702" t="s">
        <v>75</v>
      </c>
      <c r="I3702" t="s">
        <v>76</v>
      </c>
      <c r="J3702" t="s">
        <v>77</v>
      </c>
      <c r="K3702" t="s">
        <v>78</v>
      </c>
      <c r="L3702" t="s">
        <v>90</v>
      </c>
      <c r="M3702" t="s">
        <v>91</v>
      </c>
      <c r="N3702" t="s">
        <v>385</v>
      </c>
      <c r="O3702" t="s">
        <v>82</v>
      </c>
      <c r="P3702" t="str">
        <f>"4170041119                    "</f>
        <v xml:space="preserve">4170041119                    </v>
      </c>
      <c r="Q3702">
        <v>0</v>
      </c>
      <c r="R3702">
        <v>0</v>
      </c>
      <c r="S3702">
        <v>0</v>
      </c>
      <c r="T3702">
        <v>0</v>
      </c>
      <c r="U3702">
        <v>0</v>
      </c>
      <c r="V3702">
        <v>0</v>
      </c>
      <c r="W3702">
        <v>0</v>
      </c>
      <c r="X3702">
        <v>0</v>
      </c>
      <c r="Y3702">
        <v>0</v>
      </c>
      <c r="Z3702">
        <v>0</v>
      </c>
      <c r="AA3702">
        <v>0</v>
      </c>
      <c r="AB3702">
        <v>0</v>
      </c>
      <c r="AC3702">
        <v>0</v>
      </c>
      <c r="AD3702">
        <v>0</v>
      </c>
      <c r="AE3702">
        <v>0</v>
      </c>
      <c r="AF3702">
        <v>0</v>
      </c>
      <c r="AG3702">
        <v>0</v>
      </c>
      <c r="AH3702">
        <v>0</v>
      </c>
      <c r="AI3702">
        <v>0</v>
      </c>
      <c r="AJ3702">
        <v>0</v>
      </c>
      <c r="AK3702">
        <v>0</v>
      </c>
      <c r="AL3702">
        <v>0</v>
      </c>
      <c r="AM3702">
        <v>0</v>
      </c>
      <c r="AN3702">
        <v>0</v>
      </c>
      <c r="AO3702">
        <v>0</v>
      </c>
      <c r="AP3702">
        <v>0</v>
      </c>
      <c r="AQ3702">
        <v>21.38</v>
      </c>
      <c r="AR3702">
        <v>0</v>
      </c>
      <c r="AS3702">
        <v>0</v>
      </c>
      <c r="AT3702">
        <v>0</v>
      </c>
      <c r="AU3702">
        <v>0</v>
      </c>
      <c r="AV3702">
        <v>0</v>
      </c>
      <c r="AW3702">
        <v>0</v>
      </c>
      <c r="AX3702">
        <v>0</v>
      </c>
      <c r="AY3702">
        <v>0</v>
      </c>
      <c r="AZ3702">
        <v>0</v>
      </c>
      <c r="BA3702">
        <v>0</v>
      </c>
      <c r="BB3702">
        <v>0</v>
      </c>
      <c r="BC3702">
        <v>0</v>
      </c>
      <c r="BD3702">
        <v>0</v>
      </c>
      <c r="BE3702">
        <v>0</v>
      </c>
      <c r="BF3702">
        <v>0</v>
      </c>
      <c r="BG3702">
        <v>0</v>
      </c>
      <c r="BH3702">
        <v>1</v>
      </c>
      <c r="BI3702">
        <v>1</v>
      </c>
      <c r="BJ3702">
        <v>1.3</v>
      </c>
      <c r="BK3702">
        <v>1.5</v>
      </c>
      <c r="BL3702">
        <v>69.98</v>
      </c>
      <c r="BM3702">
        <v>10.5</v>
      </c>
      <c r="BN3702">
        <v>80.48</v>
      </c>
      <c r="BO3702">
        <v>80.48</v>
      </c>
      <c r="BQ3702" t="s">
        <v>386</v>
      </c>
      <c r="BR3702" t="s">
        <v>84</v>
      </c>
      <c r="BS3702" s="3">
        <v>45806</v>
      </c>
      <c r="BT3702" s="4">
        <v>0.41736111111111113</v>
      </c>
      <c r="BU3702" t="s">
        <v>2238</v>
      </c>
      <c r="BV3702" t="s">
        <v>86</v>
      </c>
      <c r="BY3702">
        <v>6384</v>
      </c>
      <c r="CA3702" t="s">
        <v>95</v>
      </c>
      <c r="CC3702" t="s">
        <v>91</v>
      </c>
      <c r="CD3702">
        <v>6056</v>
      </c>
      <c r="CE3702" t="s">
        <v>116</v>
      </c>
      <c r="CF3702" s="3">
        <v>45806</v>
      </c>
      <c r="CI3702">
        <v>1</v>
      </c>
      <c r="CJ3702">
        <v>1</v>
      </c>
      <c r="CK3702">
        <v>21</v>
      </c>
      <c r="CL3702" t="s">
        <v>89</v>
      </c>
    </row>
    <row r="3703" spans="1:90" x14ac:dyDescent="0.3">
      <c r="A3703" t="s">
        <v>72</v>
      </c>
      <c r="B3703" t="s">
        <v>73</v>
      </c>
      <c r="C3703" t="s">
        <v>74</v>
      </c>
      <c r="E3703" t="str">
        <f>"080065619594"</f>
        <v>080065619594</v>
      </c>
      <c r="F3703" s="3">
        <v>45805</v>
      </c>
      <c r="G3703">
        <v>202602</v>
      </c>
      <c r="H3703" t="s">
        <v>75</v>
      </c>
      <c r="I3703" t="s">
        <v>76</v>
      </c>
      <c r="J3703" t="s">
        <v>77</v>
      </c>
      <c r="K3703" t="s">
        <v>78</v>
      </c>
      <c r="L3703" t="s">
        <v>143</v>
      </c>
      <c r="M3703" t="s">
        <v>144</v>
      </c>
      <c r="N3703" t="s">
        <v>3374</v>
      </c>
      <c r="O3703" t="s">
        <v>82</v>
      </c>
      <c r="P3703" t="str">
        <f>"4170041103                    "</f>
        <v xml:space="preserve">4170041103                    </v>
      </c>
      <c r="Q3703">
        <v>0</v>
      </c>
      <c r="R3703">
        <v>0</v>
      </c>
      <c r="S3703">
        <v>0</v>
      </c>
      <c r="T3703">
        <v>0</v>
      </c>
      <c r="U3703">
        <v>0</v>
      </c>
      <c r="V3703">
        <v>0</v>
      </c>
      <c r="W3703">
        <v>0</v>
      </c>
      <c r="X3703">
        <v>0</v>
      </c>
      <c r="Y3703">
        <v>0</v>
      </c>
      <c r="Z3703">
        <v>0</v>
      </c>
      <c r="AA3703">
        <v>0</v>
      </c>
      <c r="AB3703">
        <v>0</v>
      </c>
      <c r="AC3703">
        <v>0</v>
      </c>
      <c r="AD3703">
        <v>0</v>
      </c>
      <c r="AE3703">
        <v>0</v>
      </c>
      <c r="AF3703">
        <v>0</v>
      </c>
      <c r="AG3703">
        <v>0</v>
      </c>
      <c r="AH3703">
        <v>0</v>
      </c>
      <c r="AI3703">
        <v>0</v>
      </c>
      <c r="AJ3703">
        <v>0</v>
      </c>
      <c r="AK3703">
        <v>0</v>
      </c>
      <c r="AL3703">
        <v>0</v>
      </c>
      <c r="AM3703">
        <v>0</v>
      </c>
      <c r="AN3703">
        <v>0</v>
      </c>
      <c r="AO3703">
        <v>0</v>
      </c>
      <c r="AP3703">
        <v>0</v>
      </c>
      <c r="AQ3703">
        <v>16.7</v>
      </c>
      <c r="AR3703">
        <v>0</v>
      </c>
      <c r="AS3703">
        <v>0</v>
      </c>
      <c r="AT3703">
        <v>0</v>
      </c>
      <c r="AU3703">
        <v>0</v>
      </c>
      <c r="AV3703">
        <v>0</v>
      </c>
      <c r="AW3703">
        <v>0</v>
      </c>
      <c r="AX3703">
        <v>0</v>
      </c>
      <c r="AY3703">
        <v>0</v>
      </c>
      <c r="AZ3703">
        <v>0</v>
      </c>
      <c r="BA3703">
        <v>0</v>
      </c>
      <c r="BB3703">
        <v>0</v>
      </c>
      <c r="BC3703">
        <v>0</v>
      </c>
      <c r="BD3703">
        <v>0</v>
      </c>
      <c r="BE3703">
        <v>0</v>
      </c>
      <c r="BF3703">
        <v>0</v>
      </c>
      <c r="BG3703">
        <v>0</v>
      </c>
      <c r="BH3703">
        <v>1</v>
      </c>
      <c r="BI3703">
        <v>1</v>
      </c>
      <c r="BJ3703">
        <v>3.4</v>
      </c>
      <c r="BK3703">
        <v>4</v>
      </c>
      <c r="BL3703">
        <v>54.66</v>
      </c>
      <c r="BM3703">
        <v>8.1999999999999993</v>
      </c>
      <c r="BN3703">
        <v>62.86</v>
      </c>
      <c r="BO3703">
        <v>62.86</v>
      </c>
      <c r="BQ3703" t="s">
        <v>3375</v>
      </c>
      <c r="BR3703" t="s">
        <v>84</v>
      </c>
      <c r="BS3703" s="3">
        <v>45806</v>
      </c>
      <c r="BT3703" s="4">
        <v>0.39930555555555558</v>
      </c>
      <c r="BU3703" t="s">
        <v>3376</v>
      </c>
      <c r="BV3703" t="s">
        <v>86</v>
      </c>
      <c r="BY3703">
        <v>16965</v>
      </c>
      <c r="CA3703" t="s">
        <v>765</v>
      </c>
      <c r="CC3703" t="s">
        <v>144</v>
      </c>
      <c r="CD3703">
        <v>1428</v>
      </c>
      <c r="CE3703" t="s">
        <v>96</v>
      </c>
      <c r="CF3703" s="3">
        <v>45806</v>
      </c>
      <c r="CI3703">
        <v>1</v>
      </c>
      <c r="CJ3703">
        <v>1</v>
      </c>
      <c r="CK3703">
        <v>22</v>
      </c>
      <c r="CL3703" t="s">
        <v>89</v>
      </c>
    </row>
    <row r="3704" spans="1:90" x14ac:dyDescent="0.3">
      <c r="A3704" t="s">
        <v>72</v>
      </c>
      <c r="B3704" t="s">
        <v>73</v>
      </c>
      <c r="C3704" t="s">
        <v>74</v>
      </c>
      <c r="E3704" t="str">
        <f>"080065619625"</f>
        <v>080065619625</v>
      </c>
      <c r="F3704" s="3">
        <v>45805</v>
      </c>
      <c r="G3704">
        <v>202602</v>
      </c>
      <c r="H3704" t="s">
        <v>75</v>
      </c>
      <c r="I3704" t="s">
        <v>76</v>
      </c>
      <c r="J3704" t="s">
        <v>77</v>
      </c>
      <c r="K3704" t="s">
        <v>78</v>
      </c>
      <c r="L3704" t="s">
        <v>177</v>
      </c>
      <c r="M3704" t="s">
        <v>178</v>
      </c>
      <c r="N3704" t="s">
        <v>212</v>
      </c>
      <c r="O3704" t="s">
        <v>300</v>
      </c>
      <c r="P3704" t="str">
        <f>"4170041096                    "</f>
        <v xml:space="preserve">4170041096                    </v>
      </c>
      <c r="Q3704">
        <v>0</v>
      </c>
      <c r="R3704">
        <v>0</v>
      </c>
      <c r="S3704">
        <v>0</v>
      </c>
      <c r="T3704">
        <v>0</v>
      </c>
      <c r="U3704">
        <v>0</v>
      </c>
      <c r="V3704">
        <v>0</v>
      </c>
      <c r="W3704">
        <v>0</v>
      </c>
      <c r="X3704">
        <v>0</v>
      </c>
      <c r="Y3704">
        <v>0</v>
      </c>
      <c r="Z3704">
        <v>0</v>
      </c>
      <c r="AA3704">
        <v>0</v>
      </c>
      <c r="AB3704">
        <v>0</v>
      </c>
      <c r="AC3704">
        <v>0</v>
      </c>
      <c r="AD3704">
        <v>0</v>
      </c>
      <c r="AE3704">
        <v>0</v>
      </c>
      <c r="AF3704">
        <v>0</v>
      </c>
      <c r="AG3704">
        <v>0</v>
      </c>
      <c r="AH3704">
        <v>0</v>
      </c>
      <c r="AI3704">
        <v>0</v>
      </c>
      <c r="AJ3704">
        <v>0</v>
      </c>
      <c r="AK3704">
        <v>0</v>
      </c>
      <c r="AL3704">
        <v>0</v>
      </c>
      <c r="AM3704">
        <v>0</v>
      </c>
      <c r="AN3704">
        <v>0</v>
      </c>
      <c r="AO3704">
        <v>0</v>
      </c>
      <c r="AP3704">
        <v>0</v>
      </c>
      <c r="AQ3704">
        <v>77.2</v>
      </c>
      <c r="AR3704">
        <v>0</v>
      </c>
      <c r="AS3704">
        <v>0</v>
      </c>
      <c r="AT3704">
        <v>0</v>
      </c>
      <c r="AU3704">
        <v>0</v>
      </c>
      <c r="AV3704">
        <v>0</v>
      </c>
      <c r="AW3704">
        <v>0</v>
      </c>
      <c r="AX3704">
        <v>0</v>
      </c>
      <c r="AY3704">
        <v>0</v>
      </c>
      <c r="AZ3704">
        <v>0</v>
      </c>
      <c r="BA3704">
        <v>0</v>
      </c>
      <c r="BB3704">
        <v>0</v>
      </c>
      <c r="BC3704">
        <v>0</v>
      </c>
      <c r="BD3704">
        <v>0</v>
      </c>
      <c r="BE3704">
        <v>0</v>
      </c>
      <c r="BF3704">
        <v>0</v>
      </c>
      <c r="BG3704">
        <v>0</v>
      </c>
      <c r="BH3704">
        <v>1</v>
      </c>
      <c r="BI3704">
        <v>17</v>
      </c>
      <c r="BJ3704">
        <v>35.9</v>
      </c>
      <c r="BK3704">
        <v>36</v>
      </c>
      <c r="BL3704">
        <v>258.23</v>
      </c>
      <c r="BM3704">
        <v>38.729999999999997</v>
      </c>
      <c r="BN3704">
        <v>296.95999999999998</v>
      </c>
      <c r="BO3704">
        <v>296.95999999999998</v>
      </c>
      <c r="BQ3704" t="s">
        <v>213</v>
      </c>
      <c r="BR3704" t="s">
        <v>84</v>
      </c>
      <c r="BS3704" t="s">
        <v>1540</v>
      </c>
      <c r="BY3704">
        <v>179400</v>
      </c>
      <c r="CC3704" t="s">
        <v>178</v>
      </c>
      <c r="CD3704">
        <v>6229</v>
      </c>
      <c r="CE3704" t="s">
        <v>96</v>
      </c>
      <c r="CI3704">
        <v>3</v>
      </c>
      <c r="CJ3704" t="s">
        <v>1540</v>
      </c>
      <c r="CK3704">
        <v>41</v>
      </c>
      <c r="CL3704" t="s">
        <v>89</v>
      </c>
    </row>
    <row r="3705" spans="1:90" x14ac:dyDescent="0.3">
      <c r="A3705" t="s">
        <v>72</v>
      </c>
      <c r="B3705" t="s">
        <v>73</v>
      </c>
      <c r="C3705" t="s">
        <v>74</v>
      </c>
      <c r="E3705" t="str">
        <f>"080065619654"</f>
        <v>080065619654</v>
      </c>
      <c r="F3705" s="3">
        <v>45805</v>
      </c>
      <c r="G3705">
        <v>202602</v>
      </c>
      <c r="H3705" t="s">
        <v>75</v>
      </c>
      <c r="I3705" t="s">
        <v>76</v>
      </c>
      <c r="J3705" t="s">
        <v>77</v>
      </c>
      <c r="K3705" t="s">
        <v>78</v>
      </c>
      <c r="L3705" t="s">
        <v>350</v>
      </c>
      <c r="M3705" t="s">
        <v>351</v>
      </c>
      <c r="N3705" t="s">
        <v>1186</v>
      </c>
      <c r="O3705" t="s">
        <v>82</v>
      </c>
      <c r="P3705" t="str">
        <f>"4170041090                    "</f>
        <v xml:space="preserve">4170041090                    </v>
      </c>
      <c r="Q3705">
        <v>0</v>
      </c>
      <c r="R3705">
        <v>0</v>
      </c>
      <c r="S3705">
        <v>0</v>
      </c>
      <c r="T3705">
        <v>0</v>
      </c>
      <c r="U3705">
        <v>0</v>
      </c>
      <c r="V3705">
        <v>0</v>
      </c>
      <c r="W3705">
        <v>0</v>
      </c>
      <c r="X3705">
        <v>0</v>
      </c>
      <c r="Y3705">
        <v>0</v>
      </c>
      <c r="Z3705">
        <v>0</v>
      </c>
      <c r="AA3705">
        <v>0</v>
      </c>
      <c r="AB3705">
        <v>0</v>
      </c>
      <c r="AC3705">
        <v>0</v>
      </c>
      <c r="AD3705">
        <v>0</v>
      </c>
      <c r="AE3705">
        <v>0</v>
      </c>
      <c r="AF3705">
        <v>0</v>
      </c>
      <c r="AG3705">
        <v>0</v>
      </c>
      <c r="AH3705">
        <v>0</v>
      </c>
      <c r="AI3705">
        <v>0</v>
      </c>
      <c r="AJ3705">
        <v>0</v>
      </c>
      <c r="AK3705">
        <v>0</v>
      </c>
      <c r="AL3705">
        <v>0</v>
      </c>
      <c r="AM3705">
        <v>0</v>
      </c>
      <c r="AN3705">
        <v>0</v>
      </c>
      <c r="AO3705">
        <v>0</v>
      </c>
      <c r="AP3705">
        <v>0</v>
      </c>
      <c r="AQ3705">
        <v>21.38</v>
      </c>
      <c r="AR3705">
        <v>0</v>
      </c>
      <c r="AS3705">
        <v>0</v>
      </c>
      <c r="AT3705">
        <v>0</v>
      </c>
      <c r="AU3705">
        <v>0</v>
      </c>
      <c r="AV3705">
        <v>0</v>
      </c>
      <c r="AW3705">
        <v>0</v>
      </c>
      <c r="AX3705">
        <v>0</v>
      </c>
      <c r="AY3705">
        <v>0</v>
      </c>
      <c r="AZ3705">
        <v>0</v>
      </c>
      <c r="BA3705">
        <v>0</v>
      </c>
      <c r="BB3705">
        <v>0</v>
      </c>
      <c r="BC3705">
        <v>0</v>
      </c>
      <c r="BD3705">
        <v>0</v>
      </c>
      <c r="BE3705">
        <v>0</v>
      </c>
      <c r="BF3705">
        <v>0</v>
      </c>
      <c r="BG3705">
        <v>0</v>
      </c>
      <c r="BH3705">
        <v>1</v>
      </c>
      <c r="BI3705">
        <v>2</v>
      </c>
      <c r="BJ3705">
        <v>1.9</v>
      </c>
      <c r="BK3705">
        <v>2</v>
      </c>
      <c r="BL3705">
        <v>69.98</v>
      </c>
      <c r="BM3705">
        <v>10.5</v>
      </c>
      <c r="BN3705">
        <v>80.48</v>
      </c>
      <c r="BO3705">
        <v>80.48</v>
      </c>
      <c r="BQ3705" t="s">
        <v>1187</v>
      </c>
      <c r="BR3705" t="s">
        <v>84</v>
      </c>
      <c r="BS3705" s="3">
        <v>45806</v>
      </c>
      <c r="BT3705" s="4">
        <v>0.42708333333333331</v>
      </c>
      <c r="BU3705" t="s">
        <v>3377</v>
      </c>
      <c r="BV3705" t="s">
        <v>86</v>
      </c>
      <c r="BY3705">
        <v>9600</v>
      </c>
      <c r="CC3705" t="s">
        <v>351</v>
      </c>
      <c r="CD3705">
        <v>4001</v>
      </c>
      <c r="CE3705" t="s">
        <v>96</v>
      </c>
      <c r="CF3705" s="3">
        <v>45806</v>
      </c>
      <c r="CI3705">
        <v>1</v>
      </c>
      <c r="CJ3705">
        <v>1</v>
      </c>
      <c r="CK3705">
        <v>21</v>
      </c>
      <c r="CL3705" t="s">
        <v>89</v>
      </c>
    </row>
    <row r="3706" spans="1:90" x14ac:dyDescent="0.3">
      <c r="A3706" t="s">
        <v>72</v>
      </c>
      <c r="B3706" t="s">
        <v>73</v>
      </c>
      <c r="C3706" t="s">
        <v>74</v>
      </c>
      <c r="E3706" t="str">
        <f>"080065619825"</f>
        <v>080065619825</v>
      </c>
      <c r="F3706" s="3">
        <v>45805</v>
      </c>
      <c r="G3706">
        <v>202602</v>
      </c>
      <c r="H3706" t="s">
        <v>75</v>
      </c>
      <c r="I3706" t="s">
        <v>76</v>
      </c>
      <c r="J3706" t="s">
        <v>77</v>
      </c>
      <c r="K3706" t="s">
        <v>78</v>
      </c>
      <c r="L3706" t="s">
        <v>206</v>
      </c>
      <c r="M3706" t="s">
        <v>207</v>
      </c>
      <c r="N3706" t="s">
        <v>208</v>
      </c>
      <c r="O3706" t="s">
        <v>82</v>
      </c>
      <c r="P3706" t="str">
        <f>"4170041032                    "</f>
        <v xml:space="preserve">4170041032                    </v>
      </c>
      <c r="Q3706">
        <v>0</v>
      </c>
      <c r="R3706">
        <v>0</v>
      </c>
      <c r="S3706">
        <v>0</v>
      </c>
      <c r="T3706">
        <v>0</v>
      </c>
      <c r="U3706">
        <v>0</v>
      </c>
      <c r="V3706">
        <v>0</v>
      </c>
      <c r="W3706">
        <v>0</v>
      </c>
      <c r="X3706">
        <v>0</v>
      </c>
      <c r="Y3706">
        <v>0</v>
      </c>
      <c r="Z3706">
        <v>0</v>
      </c>
      <c r="AA3706">
        <v>0</v>
      </c>
      <c r="AB3706">
        <v>0</v>
      </c>
      <c r="AC3706">
        <v>0</v>
      </c>
      <c r="AD3706">
        <v>0</v>
      </c>
      <c r="AE3706">
        <v>0</v>
      </c>
      <c r="AF3706">
        <v>0</v>
      </c>
      <c r="AG3706">
        <v>0</v>
      </c>
      <c r="AH3706">
        <v>0</v>
      </c>
      <c r="AI3706">
        <v>0</v>
      </c>
      <c r="AJ3706">
        <v>0</v>
      </c>
      <c r="AK3706">
        <v>0</v>
      </c>
      <c r="AL3706">
        <v>0</v>
      </c>
      <c r="AM3706">
        <v>0</v>
      </c>
      <c r="AN3706">
        <v>0</v>
      </c>
      <c r="AO3706">
        <v>0</v>
      </c>
      <c r="AP3706">
        <v>0</v>
      </c>
      <c r="AQ3706">
        <v>41.43</v>
      </c>
      <c r="AR3706">
        <v>0</v>
      </c>
      <c r="AS3706">
        <v>0</v>
      </c>
      <c r="AT3706">
        <v>0</v>
      </c>
      <c r="AU3706">
        <v>0</v>
      </c>
      <c r="AV3706">
        <v>0</v>
      </c>
      <c r="AW3706">
        <v>0</v>
      </c>
      <c r="AX3706">
        <v>0</v>
      </c>
      <c r="AY3706">
        <v>0</v>
      </c>
      <c r="AZ3706">
        <v>0</v>
      </c>
      <c r="BA3706">
        <v>0</v>
      </c>
      <c r="BB3706">
        <v>0</v>
      </c>
      <c r="BC3706">
        <v>0</v>
      </c>
      <c r="BD3706">
        <v>0</v>
      </c>
      <c r="BE3706">
        <v>0</v>
      </c>
      <c r="BF3706">
        <v>0</v>
      </c>
      <c r="BG3706">
        <v>0</v>
      </c>
      <c r="BH3706">
        <v>1</v>
      </c>
      <c r="BI3706">
        <v>1</v>
      </c>
      <c r="BJ3706">
        <v>0.2</v>
      </c>
      <c r="BK3706">
        <v>1</v>
      </c>
      <c r="BL3706">
        <v>135.59</v>
      </c>
      <c r="BM3706">
        <v>20.34</v>
      </c>
      <c r="BN3706">
        <v>155.93</v>
      </c>
      <c r="BO3706">
        <v>155.93</v>
      </c>
      <c r="BQ3706" t="s">
        <v>209</v>
      </c>
      <c r="BR3706" t="s">
        <v>84</v>
      </c>
      <c r="BS3706" s="3">
        <v>45806</v>
      </c>
      <c r="BT3706" s="4">
        <v>0.74583333333333335</v>
      </c>
      <c r="BU3706" t="s">
        <v>1640</v>
      </c>
      <c r="BV3706" t="s">
        <v>86</v>
      </c>
      <c r="BY3706">
        <v>1200</v>
      </c>
      <c r="BZ3706" t="s">
        <v>127</v>
      </c>
      <c r="CA3706" t="s">
        <v>211</v>
      </c>
      <c r="CC3706" t="s">
        <v>207</v>
      </c>
      <c r="CD3706">
        <v>1389</v>
      </c>
      <c r="CE3706" t="s">
        <v>129</v>
      </c>
      <c r="CF3706" s="3">
        <v>45806</v>
      </c>
      <c r="CI3706">
        <v>1</v>
      </c>
      <c r="CJ3706">
        <v>1</v>
      </c>
      <c r="CK3706">
        <v>23</v>
      </c>
      <c r="CL3706" t="s">
        <v>89</v>
      </c>
    </row>
    <row r="3707" spans="1:90" x14ac:dyDescent="0.3">
      <c r="A3707" t="s">
        <v>72</v>
      </c>
      <c r="B3707" t="s">
        <v>73</v>
      </c>
      <c r="C3707" t="s">
        <v>74</v>
      </c>
      <c r="E3707" t="str">
        <f>"080065619845"</f>
        <v>080065619845</v>
      </c>
      <c r="F3707" s="3">
        <v>45805</v>
      </c>
      <c r="G3707">
        <v>202602</v>
      </c>
      <c r="H3707" t="s">
        <v>75</v>
      </c>
      <c r="I3707" t="s">
        <v>76</v>
      </c>
      <c r="J3707" t="s">
        <v>77</v>
      </c>
      <c r="K3707" t="s">
        <v>78</v>
      </c>
      <c r="L3707" t="s">
        <v>90</v>
      </c>
      <c r="M3707" t="s">
        <v>91</v>
      </c>
      <c r="N3707" t="s">
        <v>92</v>
      </c>
      <c r="O3707" t="s">
        <v>300</v>
      </c>
      <c r="P3707" t="str">
        <f>"4170041050                    "</f>
        <v xml:space="preserve">4170041050                    </v>
      </c>
      <c r="Q3707">
        <v>0</v>
      </c>
      <c r="R3707">
        <v>0</v>
      </c>
      <c r="S3707">
        <v>0</v>
      </c>
      <c r="T3707">
        <v>0</v>
      </c>
      <c r="U3707">
        <v>0</v>
      </c>
      <c r="V3707">
        <v>0</v>
      </c>
      <c r="W3707">
        <v>0</v>
      </c>
      <c r="X3707">
        <v>0</v>
      </c>
      <c r="Y3707">
        <v>0</v>
      </c>
      <c r="Z3707">
        <v>0</v>
      </c>
      <c r="AA3707">
        <v>0</v>
      </c>
      <c r="AB3707">
        <v>0</v>
      </c>
      <c r="AC3707">
        <v>0</v>
      </c>
      <c r="AD3707">
        <v>0</v>
      </c>
      <c r="AE3707">
        <v>0</v>
      </c>
      <c r="AF3707">
        <v>0</v>
      </c>
      <c r="AG3707">
        <v>0</v>
      </c>
      <c r="AH3707">
        <v>0</v>
      </c>
      <c r="AI3707">
        <v>0</v>
      </c>
      <c r="AJ3707">
        <v>0</v>
      </c>
      <c r="AK3707">
        <v>0</v>
      </c>
      <c r="AL3707">
        <v>0</v>
      </c>
      <c r="AM3707">
        <v>0</v>
      </c>
      <c r="AN3707">
        <v>0</v>
      </c>
      <c r="AO3707">
        <v>0</v>
      </c>
      <c r="AP3707">
        <v>0</v>
      </c>
      <c r="AQ3707">
        <v>75.5</v>
      </c>
      <c r="AR3707">
        <v>0</v>
      </c>
      <c r="AS3707">
        <v>0</v>
      </c>
      <c r="AT3707">
        <v>0</v>
      </c>
      <c r="AU3707">
        <v>0</v>
      </c>
      <c r="AV3707">
        <v>0</v>
      </c>
      <c r="AW3707">
        <v>0</v>
      </c>
      <c r="AX3707">
        <v>0</v>
      </c>
      <c r="AY3707">
        <v>0</v>
      </c>
      <c r="AZ3707">
        <v>0</v>
      </c>
      <c r="BA3707">
        <v>0</v>
      </c>
      <c r="BB3707">
        <v>0</v>
      </c>
      <c r="BC3707">
        <v>0</v>
      </c>
      <c r="BD3707">
        <v>0</v>
      </c>
      <c r="BE3707">
        <v>0</v>
      </c>
      <c r="BF3707">
        <v>0</v>
      </c>
      <c r="BG3707">
        <v>0</v>
      </c>
      <c r="BH3707">
        <v>1</v>
      </c>
      <c r="BI3707">
        <v>12</v>
      </c>
      <c r="BJ3707">
        <v>34.299999999999997</v>
      </c>
      <c r="BK3707">
        <v>35</v>
      </c>
      <c r="BL3707">
        <v>252.65</v>
      </c>
      <c r="BM3707">
        <v>37.9</v>
      </c>
      <c r="BN3707">
        <v>290.55</v>
      </c>
      <c r="BO3707">
        <v>290.55</v>
      </c>
      <c r="BQ3707" t="s">
        <v>93</v>
      </c>
      <c r="BR3707" t="s">
        <v>84</v>
      </c>
      <c r="BS3707" t="s">
        <v>1540</v>
      </c>
      <c r="BY3707">
        <v>171360</v>
      </c>
      <c r="BZ3707" t="s">
        <v>303</v>
      </c>
      <c r="CC3707" t="s">
        <v>91</v>
      </c>
      <c r="CD3707">
        <v>6001</v>
      </c>
      <c r="CE3707" t="s">
        <v>419</v>
      </c>
      <c r="CI3707">
        <v>3</v>
      </c>
      <c r="CJ3707" t="s">
        <v>1540</v>
      </c>
      <c r="CK3707">
        <v>41</v>
      </c>
      <c r="CL3707" t="s">
        <v>89</v>
      </c>
    </row>
    <row r="3708" spans="1:90" x14ac:dyDescent="0.3">
      <c r="A3708" t="s">
        <v>72</v>
      </c>
      <c r="B3708" t="s">
        <v>73</v>
      </c>
      <c r="C3708" t="s">
        <v>74</v>
      </c>
      <c r="E3708" t="str">
        <f>"080065619875"</f>
        <v>080065619875</v>
      </c>
      <c r="F3708" s="3">
        <v>45805</v>
      </c>
      <c r="G3708">
        <v>202602</v>
      </c>
      <c r="H3708" t="s">
        <v>75</v>
      </c>
      <c r="I3708" t="s">
        <v>76</v>
      </c>
      <c r="J3708" t="s">
        <v>77</v>
      </c>
      <c r="K3708" t="s">
        <v>78</v>
      </c>
      <c r="L3708" t="s">
        <v>463</v>
      </c>
      <c r="M3708" t="s">
        <v>464</v>
      </c>
      <c r="N3708" t="s">
        <v>744</v>
      </c>
      <c r="O3708" t="s">
        <v>82</v>
      </c>
      <c r="P3708" t="str">
        <f>"4170041010                    "</f>
        <v xml:space="preserve">4170041010                    </v>
      </c>
      <c r="Q3708">
        <v>0</v>
      </c>
      <c r="R3708">
        <v>0</v>
      </c>
      <c r="S3708">
        <v>0</v>
      </c>
      <c r="T3708">
        <v>0</v>
      </c>
      <c r="U3708">
        <v>0</v>
      </c>
      <c r="V3708">
        <v>0</v>
      </c>
      <c r="W3708">
        <v>0</v>
      </c>
      <c r="X3708">
        <v>0</v>
      </c>
      <c r="Y3708">
        <v>0</v>
      </c>
      <c r="Z3708">
        <v>0</v>
      </c>
      <c r="AA3708">
        <v>0</v>
      </c>
      <c r="AB3708">
        <v>0</v>
      </c>
      <c r="AC3708">
        <v>0</v>
      </c>
      <c r="AD3708">
        <v>0</v>
      </c>
      <c r="AE3708">
        <v>0</v>
      </c>
      <c r="AF3708">
        <v>0</v>
      </c>
      <c r="AG3708">
        <v>0</v>
      </c>
      <c r="AH3708">
        <v>0</v>
      </c>
      <c r="AI3708">
        <v>0</v>
      </c>
      <c r="AJ3708">
        <v>0</v>
      </c>
      <c r="AK3708">
        <v>0</v>
      </c>
      <c r="AL3708">
        <v>0</v>
      </c>
      <c r="AM3708">
        <v>0</v>
      </c>
      <c r="AN3708">
        <v>0</v>
      </c>
      <c r="AO3708">
        <v>0</v>
      </c>
      <c r="AP3708">
        <v>0</v>
      </c>
      <c r="AQ3708">
        <v>21.38</v>
      </c>
      <c r="AR3708">
        <v>0</v>
      </c>
      <c r="AS3708">
        <v>0</v>
      </c>
      <c r="AT3708">
        <v>0</v>
      </c>
      <c r="AU3708">
        <v>0</v>
      </c>
      <c r="AV3708">
        <v>0</v>
      </c>
      <c r="AW3708">
        <v>0</v>
      </c>
      <c r="AX3708">
        <v>0</v>
      </c>
      <c r="AY3708">
        <v>0</v>
      </c>
      <c r="AZ3708">
        <v>0</v>
      </c>
      <c r="BA3708">
        <v>0</v>
      </c>
      <c r="BB3708">
        <v>0</v>
      </c>
      <c r="BC3708">
        <v>0</v>
      </c>
      <c r="BD3708">
        <v>0</v>
      </c>
      <c r="BE3708">
        <v>0</v>
      </c>
      <c r="BF3708">
        <v>0</v>
      </c>
      <c r="BG3708">
        <v>0</v>
      </c>
      <c r="BH3708">
        <v>1</v>
      </c>
      <c r="BI3708">
        <v>1</v>
      </c>
      <c r="BJ3708">
        <v>0.2</v>
      </c>
      <c r="BK3708">
        <v>1</v>
      </c>
      <c r="BL3708">
        <v>69.98</v>
      </c>
      <c r="BM3708">
        <v>10.5</v>
      </c>
      <c r="BN3708">
        <v>80.48</v>
      </c>
      <c r="BO3708">
        <v>80.48</v>
      </c>
      <c r="BQ3708" t="s">
        <v>745</v>
      </c>
      <c r="BR3708" t="s">
        <v>84</v>
      </c>
      <c r="BS3708" s="3">
        <v>45806</v>
      </c>
      <c r="BT3708" s="4">
        <v>0.47499999999999998</v>
      </c>
      <c r="BU3708" t="s">
        <v>746</v>
      </c>
      <c r="BV3708" t="s">
        <v>89</v>
      </c>
      <c r="BY3708">
        <v>1200</v>
      </c>
      <c r="BZ3708" t="s">
        <v>127</v>
      </c>
      <c r="CA3708" t="s">
        <v>588</v>
      </c>
      <c r="CC3708" t="s">
        <v>464</v>
      </c>
      <c r="CD3708">
        <v>5201</v>
      </c>
      <c r="CE3708" t="s">
        <v>129</v>
      </c>
      <c r="CI3708">
        <v>1</v>
      </c>
      <c r="CJ3708">
        <v>1</v>
      </c>
      <c r="CK3708">
        <v>21</v>
      </c>
      <c r="CL3708" t="s">
        <v>89</v>
      </c>
    </row>
    <row r="3709" spans="1:90" x14ac:dyDescent="0.3">
      <c r="A3709" t="s">
        <v>72</v>
      </c>
      <c r="B3709" t="s">
        <v>73</v>
      </c>
      <c r="C3709" t="s">
        <v>74</v>
      </c>
      <c r="E3709" t="str">
        <f>"080065619906"</f>
        <v>080065619906</v>
      </c>
      <c r="F3709" s="3">
        <v>45805</v>
      </c>
      <c r="G3709">
        <v>202602</v>
      </c>
      <c r="H3709" t="s">
        <v>75</v>
      </c>
      <c r="I3709" t="s">
        <v>76</v>
      </c>
      <c r="J3709" t="s">
        <v>77</v>
      </c>
      <c r="K3709" t="s">
        <v>78</v>
      </c>
      <c r="L3709" t="s">
        <v>75</v>
      </c>
      <c r="M3709" t="s">
        <v>76</v>
      </c>
      <c r="N3709" t="s">
        <v>601</v>
      </c>
      <c r="O3709" t="s">
        <v>82</v>
      </c>
      <c r="P3709" t="str">
        <f>"4170041009                    "</f>
        <v xml:space="preserve">4170041009                    </v>
      </c>
      <c r="Q3709">
        <v>0</v>
      </c>
      <c r="R3709">
        <v>0</v>
      </c>
      <c r="S3709">
        <v>0</v>
      </c>
      <c r="T3709">
        <v>0</v>
      </c>
      <c r="U3709">
        <v>0</v>
      </c>
      <c r="V3709">
        <v>0</v>
      </c>
      <c r="W3709">
        <v>0</v>
      </c>
      <c r="X3709">
        <v>0</v>
      </c>
      <c r="Y3709">
        <v>0</v>
      </c>
      <c r="Z3709">
        <v>0</v>
      </c>
      <c r="AA3709">
        <v>0</v>
      </c>
      <c r="AB3709">
        <v>0</v>
      </c>
      <c r="AC3709">
        <v>0</v>
      </c>
      <c r="AD3709">
        <v>0</v>
      </c>
      <c r="AE3709">
        <v>0</v>
      </c>
      <c r="AF3709">
        <v>0</v>
      </c>
      <c r="AG3709">
        <v>0</v>
      </c>
      <c r="AH3709">
        <v>0</v>
      </c>
      <c r="AI3709">
        <v>0</v>
      </c>
      <c r="AJ3709">
        <v>0</v>
      </c>
      <c r="AK3709">
        <v>0</v>
      </c>
      <c r="AL3709">
        <v>0</v>
      </c>
      <c r="AM3709">
        <v>0</v>
      </c>
      <c r="AN3709">
        <v>0</v>
      </c>
      <c r="AO3709">
        <v>0</v>
      </c>
      <c r="AP3709">
        <v>0</v>
      </c>
      <c r="AQ3709">
        <v>16.7</v>
      </c>
      <c r="AR3709">
        <v>0</v>
      </c>
      <c r="AS3709">
        <v>0</v>
      </c>
      <c r="AT3709">
        <v>0</v>
      </c>
      <c r="AU3709">
        <v>0</v>
      </c>
      <c r="AV3709">
        <v>0</v>
      </c>
      <c r="AW3709">
        <v>0</v>
      </c>
      <c r="AX3709">
        <v>0</v>
      </c>
      <c r="AY3709">
        <v>0</v>
      </c>
      <c r="AZ3709">
        <v>0</v>
      </c>
      <c r="BA3709">
        <v>0</v>
      </c>
      <c r="BB3709">
        <v>0</v>
      </c>
      <c r="BC3709">
        <v>0</v>
      </c>
      <c r="BD3709">
        <v>0</v>
      </c>
      <c r="BE3709">
        <v>0</v>
      </c>
      <c r="BF3709">
        <v>0</v>
      </c>
      <c r="BG3709">
        <v>0</v>
      </c>
      <c r="BH3709">
        <v>1</v>
      </c>
      <c r="BI3709">
        <v>4</v>
      </c>
      <c r="BJ3709">
        <v>3.2</v>
      </c>
      <c r="BK3709">
        <v>4</v>
      </c>
      <c r="BL3709">
        <v>54.66</v>
      </c>
      <c r="BM3709">
        <v>8.1999999999999993</v>
      </c>
      <c r="BN3709">
        <v>62.86</v>
      </c>
      <c r="BO3709">
        <v>62.86</v>
      </c>
      <c r="BQ3709" t="s">
        <v>603</v>
      </c>
      <c r="BR3709" t="s">
        <v>84</v>
      </c>
      <c r="BS3709" s="3">
        <v>45806</v>
      </c>
      <c r="BT3709" s="4">
        <v>0.35416666666666669</v>
      </c>
      <c r="BU3709" t="s">
        <v>3378</v>
      </c>
      <c r="BV3709" t="s">
        <v>86</v>
      </c>
      <c r="BY3709">
        <v>16128</v>
      </c>
      <c r="CA3709" t="s">
        <v>2929</v>
      </c>
      <c r="CC3709" t="s">
        <v>76</v>
      </c>
      <c r="CD3709">
        <v>1645</v>
      </c>
      <c r="CE3709" t="s">
        <v>96</v>
      </c>
      <c r="CF3709" s="3">
        <v>45806</v>
      </c>
      <c r="CI3709">
        <v>1</v>
      </c>
      <c r="CJ3709">
        <v>1</v>
      </c>
      <c r="CK3709">
        <v>22</v>
      </c>
      <c r="CL3709" t="s">
        <v>89</v>
      </c>
    </row>
    <row r="3710" spans="1:90" x14ac:dyDescent="0.3">
      <c r="A3710" t="s">
        <v>72</v>
      </c>
      <c r="B3710" t="s">
        <v>73</v>
      </c>
      <c r="C3710" t="s">
        <v>74</v>
      </c>
      <c r="E3710" t="str">
        <f>"080065619964"</f>
        <v>080065619964</v>
      </c>
      <c r="F3710" s="3">
        <v>45805</v>
      </c>
      <c r="G3710">
        <v>202602</v>
      </c>
      <c r="H3710" t="s">
        <v>75</v>
      </c>
      <c r="I3710" t="s">
        <v>76</v>
      </c>
      <c r="J3710" t="s">
        <v>77</v>
      </c>
      <c r="K3710" t="s">
        <v>78</v>
      </c>
      <c r="L3710" t="s">
        <v>222</v>
      </c>
      <c r="M3710" t="s">
        <v>223</v>
      </c>
      <c r="N3710" t="s">
        <v>589</v>
      </c>
      <c r="O3710" t="s">
        <v>82</v>
      </c>
      <c r="P3710" t="str">
        <f>"4170041008                    "</f>
        <v xml:space="preserve">4170041008                    </v>
      </c>
      <c r="Q3710">
        <v>0</v>
      </c>
      <c r="R3710">
        <v>0</v>
      </c>
      <c r="S3710">
        <v>0</v>
      </c>
      <c r="T3710">
        <v>0</v>
      </c>
      <c r="U3710">
        <v>0</v>
      </c>
      <c r="V3710">
        <v>0</v>
      </c>
      <c r="W3710">
        <v>0</v>
      </c>
      <c r="X3710">
        <v>0</v>
      </c>
      <c r="Y3710">
        <v>0</v>
      </c>
      <c r="Z3710">
        <v>0</v>
      </c>
      <c r="AA3710">
        <v>0</v>
      </c>
      <c r="AB3710">
        <v>0</v>
      </c>
      <c r="AC3710">
        <v>0</v>
      </c>
      <c r="AD3710">
        <v>0</v>
      </c>
      <c r="AE3710">
        <v>0</v>
      </c>
      <c r="AF3710">
        <v>0</v>
      </c>
      <c r="AG3710">
        <v>0</v>
      </c>
      <c r="AH3710">
        <v>0</v>
      </c>
      <c r="AI3710">
        <v>0</v>
      </c>
      <c r="AJ3710">
        <v>0</v>
      </c>
      <c r="AK3710">
        <v>0</v>
      </c>
      <c r="AL3710">
        <v>0</v>
      </c>
      <c r="AM3710">
        <v>0</v>
      </c>
      <c r="AN3710">
        <v>0</v>
      </c>
      <c r="AO3710">
        <v>0</v>
      </c>
      <c r="AP3710">
        <v>0</v>
      </c>
      <c r="AQ3710">
        <v>30.07</v>
      </c>
      <c r="AR3710">
        <v>0</v>
      </c>
      <c r="AS3710">
        <v>0</v>
      </c>
      <c r="AT3710">
        <v>0</v>
      </c>
      <c r="AU3710">
        <v>0</v>
      </c>
      <c r="AV3710">
        <v>0</v>
      </c>
      <c r="AW3710">
        <v>0</v>
      </c>
      <c r="AX3710">
        <v>0</v>
      </c>
      <c r="AY3710">
        <v>0</v>
      </c>
      <c r="AZ3710">
        <v>0</v>
      </c>
      <c r="BA3710">
        <v>0</v>
      </c>
      <c r="BB3710">
        <v>0</v>
      </c>
      <c r="BC3710">
        <v>0</v>
      </c>
      <c r="BD3710">
        <v>0</v>
      </c>
      <c r="BE3710">
        <v>0</v>
      </c>
      <c r="BF3710">
        <v>0</v>
      </c>
      <c r="BG3710">
        <v>0</v>
      </c>
      <c r="BH3710">
        <v>1</v>
      </c>
      <c r="BI3710">
        <v>2</v>
      </c>
      <c r="BJ3710">
        <v>1.3</v>
      </c>
      <c r="BK3710">
        <v>2</v>
      </c>
      <c r="BL3710">
        <v>98.42</v>
      </c>
      <c r="BM3710">
        <v>14.76</v>
      </c>
      <c r="BN3710">
        <v>113.18</v>
      </c>
      <c r="BO3710">
        <v>113.18</v>
      </c>
      <c r="BQ3710" t="s">
        <v>590</v>
      </c>
      <c r="BR3710" t="s">
        <v>84</v>
      </c>
      <c r="BS3710" t="s">
        <v>1540</v>
      </c>
      <c r="BY3710">
        <v>6384</v>
      </c>
      <c r="CC3710" t="s">
        <v>223</v>
      </c>
      <c r="CD3710">
        <v>1748</v>
      </c>
      <c r="CE3710" t="s">
        <v>116</v>
      </c>
      <c r="CI3710">
        <v>1</v>
      </c>
      <c r="CJ3710" t="s">
        <v>1540</v>
      </c>
      <c r="CK3710">
        <v>24</v>
      </c>
      <c r="CL3710" t="s">
        <v>89</v>
      </c>
    </row>
    <row r="3711" spans="1:90" x14ac:dyDescent="0.3">
      <c r="A3711" t="s">
        <v>72</v>
      </c>
      <c r="B3711" t="s">
        <v>73</v>
      </c>
      <c r="C3711" t="s">
        <v>74</v>
      </c>
      <c r="E3711" t="str">
        <f>"080065620014"</f>
        <v>080065620014</v>
      </c>
      <c r="F3711" s="3">
        <v>45805</v>
      </c>
      <c r="G3711">
        <v>202602</v>
      </c>
      <c r="H3711" t="s">
        <v>75</v>
      </c>
      <c r="I3711" t="s">
        <v>76</v>
      </c>
      <c r="J3711" t="s">
        <v>77</v>
      </c>
      <c r="K3711" t="s">
        <v>78</v>
      </c>
      <c r="L3711" t="s">
        <v>90</v>
      </c>
      <c r="M3711" t="s">
        <v>91</v>
      </c>
      <c r="N3711" t="s">
        <v>598</v>
      </c>
      <c r="O3711" t="s">
        <v>82</v>
      </c>
      <c r="P3711" t="str">
        <f>"4170041005                    "</f>
        <v xml:space="preserve">4170041005                    </v>
      </c>
      <c r="Q3711">
        <v>0</v>
      </c>
      <c r="R3711">
        <v>0</v>
      </c>
      <c r="S3711">
        <v>0</v>
      </c>
      <c r="T3711">
        <v>0</v>
      </c>
      <c r="U3711">
        <v>0</v>
      </c>
      <c r="V3711">
        <v>0</v>
      </c>
      <c r="W3711">
        <v>0</v>
      </c>
      <c r="X3711">
        <v>0</v>
      </c>
      <c r="Y3711">
        <v>0</v>
      </c>
      <c r="Z3711">
        <v>0</v>
      </c>
      <c r="AA3711">
        <v>0</v>
      </c>
      <c r="AB3711">
        <v>0</v>
      </c>
      <c r="AC3711">
        <v>0</v>
      </c>
      <c r="AD3711">
        <v>0</v>
      </c>
      <c r="AE3711">
        <v>0</v>
      </c>
      <c r="AF3711">
        <v>0</v>
      </c>
      <c r="AG3711">
        <v>0</v>
      </c>
      <c r="AH3711">
        <v>0</v>
      </c>
      <c r="AI3711">
        <v>0</v>
      </c>
      <c r="AJ3711">
        <v>0</v>
      </c>
      <c r="AK3711">
        <v>0</v>
      </c>
      <c r="AL3711">
        <v>0</v>
      </c>
      <c r="AM3711">
        <v>0</v>
      </c>
      <c r="AN3711">
        <v>0</v>
      </c>
      <c r="AO3711">
        <v>0</v>
      </c>
      <c r="AP3711">
        <v>0</v>
      </c>
      <c r="AQ3711">
        <v>42.75</v>
      </c>
      <c r="AR3711">
        <v>0</v>
      </c>
      <c r="AS3711">
        <v>0</v>
      </c>
      <c r="AT3711">
        <v>0</v>
      </c>
      <c r="AU3711">
        <v>0</v>
      </c>
      <c r="AV3711">
        <v>0</v>
      </c>
      <c r="AW3711">
        <v>0</v>
      </c>
      <c r="AX3711">
        <v>0</v>
      </c>
      <c r="AY3711">
        <v>0</v>
      </c>
      <c r="AZ3711">
        <v>0</v>
      </c>
      <c r="BA3711">
        <v>0</v>
      </c>
      <c r="BB3711">
        <v>0</v>
      </c>
      <c r="BC3711">
        <v>0</v>
      </c>
      <c r="BD3711">
        <v>0</v>
      </c>
      <c r="BE3711">
        <v>0</v>
      </c>
      <c r="BF3711">
        <v>0</v>
      </c>
      <c r="BG3711">
        <v>0</v>
      </c>
      <c r="BH3711">
        <v>1</v>
      </c>
      <c r="BI3711">
        <v>3</v>
      </c>
      <c r="BJ3711">
        <v>4</v>
      </c>
      <c r="BK3711">
        <v>4</v>
      </c>
      <c r="BL3711">
        <v>139.91</v>
      </c>
      <c r="BM3711">
        <v>20.99</v>
      </c>
      <c r="BN3711">
        <v>160.9</v>
      </c>
      <c r="BO3711">
        <v>160.9</v>
      </c>
      <c r="BQ3711" t="s">
        <v>599</v>
      </c>
      <c r="BR3711" t="s">
        <v>84</v>
      </c>
      <c r="BS3711" s="3">
        <v>45806</v>
      </c>
      <c r="BT3711" s="4">
        <v>0.43541666666666667</v>
      </c>
      <c r="BU3711" t="s">
        <v>3379</v>
      </c>
      <c r="BV3711" t="s">
        <v>86</v>
      </c>
      <c r="BY3711">
        <v>20125</v>
      </c>
      <c r="CA3711" t="s">
        <v>943</v>
      </c>
      <c r="CC3711" t="s">
        <v>91</v>
      </c>
      <c r="CD3711">
        <v>6012</v>
      </c>
      <c r="CE3711" t="s">
        <v>96</v>
      </c>
      <c r="CF3711" s="3">
        <v>45806</v>
      </c>
      <c r="CI3711">
        <v>1</v>
      </c>
      <c r="CJ3711">
        <v>1</v>
      </c>
      <c r="CK3711">
        <v>21</v>
      </c>
      <c r="CL3711" t="s">
        <v>89</v>
      </c>
    </row>
    <row r="3712" spans="1:90" x14ac:dyDescent="0.3">
      <c r="A3712" t="s">
        <v>72</v>
      </c>
      <c r="B3712" t="s">
        <v>73</v>
      </c>
      <c r="C3712" t="s">
        <v>74</v>
      </c>
      <c r="E3712" t="str">
        <f>"080065620102"</f>
        <v>080065620102</v>
      </c>
      <c r="F3712" s="3">
        <v>45805</v>
      </c>
      <c r="G3712">
        <v>202602</v>
      </c>
      <c r="H3712" t="s">
        <v>75</v>
      </c>
      <c r="I3712" t="s">
        <v>76</v>
      </c>
      <c r="J3712" t="s">
        <v>77</v>
      </c>
      <c r="K3712" t="s">
        <v>78</v>
      </c>
      <c r="L3712" t="s">
        <v>130</v>
      </c>
      <c r="M3712" t="s">
        <v>131</v>
      </c>
      <c r="N3712" t="s">
        <v>3380</v>
      </c>
      <c r="O3712" t="s">
        <v>300</v>
      </c>
      <c r="P3712" t="str">
        <f>"4170041111                    "</f>
        <v xml:space="preserve">4170041111                    </v>
      </c>
      <c r="Q3712">
        <v>0</v>
      </c>
      <c r="R3712">
        <v>0</v>
      </c>
      <c r="S3712">
        <v>0</v>
      </c>
      <c r="T3712">
        <v>0</v>
      </c>
      <c r="U3712">
        <v>0</v>
      </c>
      <c r="V3712">
        <v>0</v>
      </c>
      <c r="W3712">
        <v>0</v>
      </c>
      <c r="X3712">
        <v>0</v>
      </c>
      <c r="Y3712">
        <v>0</v>
      </c>
      <c r="Z3712">
        <v>0</v>
      </c>
      <c r="AA3712">
        <v>0</v>
      </c>
      <c r="AB3712">
        <v>0</v>
      </c>
      <c r="AC3712">
        <v>0</v>
      </c>
      <c r="AD3712">
        <v>0</v>
      </c>
      <c r="AE3712">
        <v>0</v>
      </c>
      <c r="AF3712">
        <v>0</v>
      </c>
      <c r="AG3712">
        <v>0</v>
      </c>
      <c r="AH3712">
        <v>0</v>
      </c>
      <c r="AI3712">
        <v>0</v>
      </c>
      <c r="AJ3712">
        <v>0</v>
      </c>
      <c r="AK3712">
        <v>0</v>
      </c>
      <c r="AL3712">
        <v>0</v>
      </c>
      <c r="AM3712">
        <v>0</v>
      </c>
      <c r="AN3712">
        <v>0</v>
      </c>
      <c r="AO3712">
        <v>0</v>
      </c>
      <c r="AP3712">
        <v>0</v>
      </c>
      <c r="AQ3712">
        <v>55.01</v>
      </c>
      <c r="AR3712">
        <v>0</v>
      </c>
      <c r="AS3712">
        <v>0</v>
      </c>
      <c r="AT3712">
        <v>0</v>
      </c>
      <c r="AU3712">
        <v>0</v>
      </c>
      <c r="AV3712">
        <v>0</v>
      </c>
      <c r="AW3712">
        <v>16.739999999999998</v>
      </c>
      <c r="AX3712">
        <v>0</v>
      </c>
      <c r="AY3712">
        <v>0</v>
      </c>
      <c r="AZ3712">
        <v>0</v>
      </c>
      <c r="BA3712">
        <v>0</v>
      </c>
      <c r="BB3712">
        <v>0</v>
      </c>
      <c r="BC3712">
        <v>0</v>
      </c>
      <c r="BD3712">
        <v>0</v>
      </c>
      <c r="BE3712">
        <v>0</v>
      </c>
      <c r="BF3712">
        <v>0</v>
      </c>
      <c r="BG3712">
        <v>0</v>
      </c>
      <c r="BH3712">
        <v>1</v>
      </c>
      <c r="BI3712">
        <v>23</v>
      </c>
      <c r="BJ3712">
        <v>8.9</v>
      </c>
      <c r="BK3712">
        <v>23</v>
      </c>
      <c r="BL3712">
        <v>202.34</v>
      </c>
      <c r="BM3712">
        <v>30.35</v>
      </c>
      <c r="BN3712">
        <v>232.69</v>
      </c>
      <c r="BO3712">
        <v>232.69</v>
      </c>
      <c r="BQ3712" t="s">
        <v>3381</v>
      </c>
      <c r="BR3712" t="s">
        <v>84</v>
      </c>
      <c r="BS3712" t="s">
        <v>1540</v>
      </c>
      <c r="BY3712">
        <v>44460</v>
      </c>
      <c r="BZ3712" t="s">
        <v>30</v>
      </c>
      <c r="CC3712" t="s">
        <v>131</v>
      </c>
      <c r="CD3712">
        <v>7780</v>
      </c>
      <c r="CE3712" t="s">
        <v>550</v>
      </c>
      <c r="CI3712">
        <v>3</v>
      </c>
      <c r="CJ3712" t="s">
        <v>1540</v>
      </c>
      <c r="CK3712">
        <v>41</v>
      </c>
      <c r="CL3712" t="s">
        <v>89</v>
      </c>
    </row>
    <row r="3713" spans="1:90" x14ac:dyDescent="0.3">
      <c r="A3713" t="s">
        <v>72</v>
      </c>
      <c r="B3713" t="s">
        <v>73</v>
      </c>
      <c r="C3713" t="s">
        <v>74</v>
      </c>
      <c r="E3713" t="str">
        <f>"080065620249"</f>
        <v>080065620249</v>
      </c>
      <c r="F3713" s="3">
        <v>45805</v>
      </c>
      <c r="G3713">
        <v>202602</v>
      </c>
      <c r="H3713" t="s">
        <v>75</v>
      </c>
      <c r="I3713" t="s">
        <v>76</v>
      </c>
      <c r="J3713" t="s">
        <v>77</v>
      </c>
      <c r="K3713" t="s">
        <v>78</v>
      </c>
      <c r="L3713" t="s">
        <v>90</v>
      </c>
      <c r="M3713" t="s">
        <v>91</v>
      </c>
      <c r="N3713" t="s">
        <v>2348</v>
      </c>
      <c r="O3713" t="s">
        <v>82</v>
      </c>
      <c r="P3713" t="str">
        <f>"4170041115                    "</f>
        <v xml:space="preserve">4170041115                    </v>
      </c>
      <c r="Q3713">
        <v>0</v>
      </c>
      <c r="R3713">
        <v>0</v>
      </c>
      <c r="S3713">
        <v>0</v>
      </c>
      <c r="T3713">
        <v>0</v>
      </c>
      <c r="U3713">
        <v>0</v>
      </c>
      <c r="V3713">
        <v>0</v>
      </c>
      <c r="W3713">
        <v>0</v>
      </c>
      <c r="X3713">
        <v>0</v>
      </c>
      <c r="Y3713">
        <v>0</v>
      </c>
      <c r="Z3713">
        <v>0</v>
      </c>
      <c r="AA3713">
        <v>0</v>
      </c>
      <c r="AB3713">
        <v>0</v>
      </c>
      <c r="AC3713">
        <v>0</v>
      </c>
      <c r="AD3713">
        <v>0</v>
      </c>
      <c r="AE3713">
        <v>0</v>
      </c>
      <c r="AF3713">
        <v>0</v>
      </c>
      <c r="AG3713">
        <v>0</v>
      </c>
      <c r="AH3713">
        <v>0</v>
      </c>
      <c r="AI3713">
        <v>0</v>
      </c>
      <c r="AJ3713">
        <v>0</v>
      </c>
      <c r="AK3713">
        <v>0</v>
      </c>
      <c r="AL3713">
        <v>0</v>
      </c>
      <c r="AM3713">
        <v>0</v>
      </c>
      <c r="AN3713">
        <v>0</v>
      </c>
      <c r="AO3713">
        <v>0</v>
      </c>
      <c r="AP3713">
        <v>0</v>
      </c>
      <c r="AQ3713">
        <v>165.61</v>
      </c>
      <c r="AR3713">
        <v>0</v>
      </c>
      <c r="AS3713">
        <v>0</v>
      </c>
      <c r="AT3713">
        <v>0</v>
      </c>
      <c r="AU3713">
        <v>0</v>
      </c>
      <c r="AV3713">
        <v>0</v>
      </c>
      <c r="AW3713">
        <v>0</v>
      </c>
      <c r="AX3713">
        <v>0</v>
      </c>
      <c r="AY3713">
        <v>0</v>
      </c>
      <c r="AZ3713">
        <v>0</v>
      </c>
      <c r="BA3713">
        <v>0</v>
      </c>
      <c r="BB3713">
        <v>0</v>
      </c>
      <c r="BC3713">
        <v>0</v>
      </c>
      <c r="BD3713">
        <v>0</v>
      </c>
      <c r="BE3713">
        <v>0</v>
      </c>
      <c r="BF3713">
        <v>0</v>
      </c>
      <c r="BG3713">
        <v>0</v>
      </c>
      <c r="BH3713">
        <v>1</v>
      </c>
      <c r="BI3713">
        <v>10</v>
      </c>
      <c r="BJ3713">
        <v>15.4</v>
      </c>
      <c r="BK3713">
        <v>15.5</v>
      </c>
      <c r="BL3713">
        <v>541.99</v>
      </c>
      <c r="BM3713">
        <v>81.3</v>
      </c>
      <c r="BN3713">
        <v>623.29</v>
      </c>
      <c r="BO3713">
        <v>623.29</v>
      </c>
      <c r="BQ3713" t="s">
        <v>2349</v>
      </c>
      <c r="BR3713" t="s">
        <v>84</v>
      </c>
      <c r="BS3713" s="3">
        <v>45806</v>
      </c>
      <c r="BT3713" s="4">
        <v>0.4152777777777778</v>
      </c>
      <c r="BU3713" t="s">
        <v>3382</v>
      </c>
      <c r="BV3713" t="s">
        <v>86</v>
      </c>
      <c r="BY3713">
        <v>76760</v>
      </c>
      <c r="CA3713" t="s">
        <v>95</v>
      </c>
      <c r="CC3713" t="s">
        <v>91</v>
      </c>
      <c r="CD3713">
        <v>6056</v>
      </c>
      <c r="CE3713" t="s">
        <v>550</v>
      </c>
      <c r="CF3713" s="3">
        <v>45806</v>
      </c>
      <c r="CI3713">
        <v>1</v>
      </c>
      <c r="CJ3713">
        <v>1</v>
      </c>
      <c r="CK3713">
        <v>21</v>
      </c>
      <c r="CL3713" t="s">
        <v>89</v>
      </c>
    </row>
    <row r="3714" spans="1:90" x14ac:dyDescent="0.3">
      <c r="A3714" t="s">
        <v>72</v>
      </c>
      <c r="B3714" t="s">
        <v>73</v>
      </c>
      <c r="C3714" t="s">
        <v>74</v>
      </c>
      <c r="E3714" t="str">
        <f>"080065620618"</f>
        <v>080065620618</v>
      </c>
      <c r="F3714" s="3">
        <v>45805</v>
      </c>
      <c r="G3714">
        <v>202602</v>
      </c>
      <c r="H3714" t="s">
        <v>75</v>
      </c>
      <c r="I3714" t="s">
        <v>76</v>
      </c>
      <c r="J3714" t="s">
        <v>77</v>
      </c>
      <c r="K3714" t="s">
        <v>78</v>
      </c>
      <c r="L3714" t="s">
        <v>117</v>
      </c>
      <c r="M3714" t="s">
        <v>118</v>
      </c>
      <c r="N3714" t="s">
        <v>3383</v>
      </c>
      <c r="O3714" t="s">
        <v>82</v>
      </c>
      <c r="P3714" t="str">
        <f>"4170041215                    "</f>
        <v xml:space="preserve">4170041215                    </v>
      </c>
      <c r="Q3714">
        <v>0</v>
      </c>
      <c r="R3714">
        <v>0</v>
      </c>
      <c r="S3714">
        <v>0</v>
      </c>
      <c r="T3714">
        <v>0</v>
      </c>
      <c r="U3714">
        <v>0</v>
      </c>
      <c r="V3714">
        <v>0</v>
      </c>
      <c r="W3714">
        <v>0</v>
      </c>
      <c r="X3714">
        <v>0</v>
      </c>
      <c r="Y3714">
        <v>0</v>
      </c>
      <c r="Z3714">
        <v>0</v>
      </c>
      <c r="AA3714">
        <v>0</v>
      </c>
      <c r="AB3714">
        <v>0</v>
      </c>
      <c r="AC3714">
        <v>0</v>
      </c>
      <c r="AD3714">
        <v>0</v>
      </c>
      <c r="AE3714">
        <v>0</v>
      </c>
      <c r="AF3714">
        <v>0</v>
      </c>
      <c r="AG3714">
        <v>0</v>
      </c>
      <c r="AH3714">
        <v>0</v>
      </c>
      <c r="AI3714">
        <v>0</v>
      </c>
      <c r="AJ3714">
        <v>0</v>
      </c>
      <c r="AK3714">
        <v>0</v>
      </c>
      <c r="AL3714">
        <v>0</v>
      </c>
      <c r="AM3714">
        <v>0</v>
      </c>
      <c r="AN3714">
        <v>0</v>
      </c>
      <c r="AO3714">
        <v>0</v>
      </c>
      <c r="AP3714">
        <v>0</v>
      </c>
      <c r="AQ3714">
        <v>16.7</v>
      </c>
      <c r="AR3714">
        <v>0</v>
      </c>
      <c r="AS3714">
        <v>0</v>
      </c>
      <c r="AT3714">
        <v>0</v>
      </c>
      <c r="AU3714">
        <v>0</v>
      </c>
      <c r="AV3714">
        <v>0</v>
      </c>
      <c r="AW3714">
        <v>0</v>
      </c>
      <c r="AX3714">
        <v>0</v>
      </c>
      <c r="AY3714">
        <v>0</v>
      </c>
      <c r="AZ3714">
        <v>0</v>
      </c>
      <c r="BA3714">
        <v>0</v>
      </c>
      <c r="BB3714">
        <v>0</v>
      </c>
      <c r="BC3714">
        <v>0</v>
      </c>
      <c r="BD3714">
        <v>0</v>
      </c>
      <c r="BE3714">
        <v>0</v>
      </c>
      <c r="BF3714">
        <v>0</v>
      </c>
      <c r="BG3714">
        <v>0</v>
      </c>
      <c r="BH3714">
        <v>1</v>
      </c>
      <c r="BI3714">
        <v>1</v>
      </c>
      <c r="BJ3714">
        <v>0.2</v>
      </c>
      <c r="BK3714">
        <v>1</v>
      </c>
      <c r="BL3714">
        <v>54.66</v>
      </c>
      <c r="BM3714">
        <v>8.1999999999999993</v>
      </c>
      <c r="BN3714">
        <v>62.86</v>
      </c>
      <c r="BO3714">
        <v>62.86</v>
      </c>
      <c r="BQ3714" t="s">
        <v>3384</v>
      </c>
      <c r="BR3714" t="s">
        <v>84</v>
      </c>
      <c r="BS3714" s="3">
        <v>45806</v>
      </c>
      <c r="BT3714" s="4">
        <v>0.3840277777777778</v>
      </c>
      <c r="BU3714" t="s">
        <v>3385</v>
      </c>
      <c r="BV3714" t="s">
        <v>86</v>
      </c>
      <c r="BY3714">
        <v>1200</v>
      </c>
      <c r="BZ3714" t="s">
        <v>127</v>
      </c>
      <c r="CA3714" t="s">
        <v>535</v>
      </c>
      <c r="CC3714" t="s">
        <v>118</v>
      </c>
      <c r="CD3714">
        <v>2011</v>
      </c>
      <c r="CE3714" t="s">
        <v>129</v>
      </c>
      <c r="CF3714" s="3">
        <v>45806</v>
      </c>
      <c r="CI3714">
        <v>1</v>
      </c>
      <c r="CJ3714">
        <v>1</v>
      </c>
      <c r="CK3714">
        <v>22</v>
      </c>
      <c r="CL3714" t="s">
        <v>89</v>
      </c>
    </row>
    <row r="3715" spans="1:90" x14ac:dyDescent="0.3">
      <c r="A3715" t="s">
        <v>72</v>
      </c>
      <c r="B3715" t="s">
        <v>73</v>
      </c>
      <c r="C3715" t="s">
        <v>74</v>
      </c>
      <c r="E3715" t="str">
        <f>"080065620653"</f>
        <v>080065620653</v>
      </c>
      <c r="F3715" s="3">
        <v>45805</v>
      </c>
      <c r="G3715">
        <v>202602</v>
      </c>
      <c r="H3715" t="s">
        <v>75</v>
      </c>
      <c r="I3715" t="s">
        <v>76</v>
      </c>
      <c r="J3715" t="s">
        <v>77</v>
      </c>
      <c r="K3715" t="s">
        <v>78</v>
      </c>
      <c r="L3715" t="s">
        <v>143</v>
      </c>
      <c r="M3715" t="s">
        <v>144</v>
      </c>
      <c r="N3715" t="s">
        <v>547</v>
      </c>
      <c r="O3715" t="s">
        <v>82</v>
      </c>
      <c r="P3715" t="str">
        <f>"4170041026                    "</f>
        <v xml:space="preserve">4170041026                    </v>
      </c>
      <c r="Q3715">
        <v>0</v>
      </c>
      <c r="R3715">
        <v>0</v>
      </c>
      <c r="S3715">
        <v>0</v>
      </c>
      <c r="T3715">
        <v>0</v>
      </c>
      <c r="U3715">
        <v>0</v>
      </c>
      <c r="V3715">
        <v>0</v>
      </c>
      <c r="W3715">
        <v>0</v>
      </c>
      <c r="X3715">
        <v>0</v>
      </c>
      <c r="Y3715">
        <v>0</v>
      </c>
      <c r="Z3715">
        <v>0</v>
      </c>
      <c r="AA3715">
        <v>0</v>
      </c>
      <c r="AB3715">
        <v>0</v>
      </c>
      <c r="AC3715">
        <v>0</v>
      </c>
      <c r="AD3715">
        <v>0</v>
      </c>
      <c r="AE3715">
        <v>0</v>
      </c>
      <c r="AF3715">
        <v>0</v>
      </c>
      <c r="AG3715">
        <v>0</v>
      </c>
      <c r="AH3715">
        <v>0</v>
      </c>
      <c r="AI3715">
        <v>0</v>
      </c>
      <c r="AJ3715">
        <v>0</v>
      </c>
      <c r="AK3715">
        <v>0</v>
      </c>
      <c r="AL3715">
        <v>0</v>
      </c>
      <c r="AM3715">
        <v>0</v>
      </c>
      <c r="AN3715">
        <v>0</v>
      </c>
      <c r="AO3715">
        <v>0</v>
      </c>
      <c r="AP3715">
        <v>0</v>
      </c>
      <c r="AQ3715">
        <v>16.7</v>
      </c>
      <c r="AR3715">
        <v>0</v>
      </c>
      <c r="AS3715">
        <v>0</v>
      </c>
      <c r="AT3715">
        <v>0</v>
      </c>
      <c r="AU3715">
        <v>0</v>
      </c>
      <c r="AV3715">
        <v>0</v>
      </c>
      <c r="AW3715">
        <v>0</v>
      </c>
      <c r="AX3715">
        <v>0</v>
      </c>
      <c r="AY3715">
        <v>0</v>
      </c>
      <c r="AZ3715">
        <v>0</v>
      </c>
      <c r="BA3715">
        <v>0</v>
      </c>
      <c r="BB3715">
        <v>0</v>
      </c>
      <c r="BC3715">
        <v>0</v>
      </c>
      <c r="BD3715">
        <v>0</v>
      </c>
      <c r="BE3715">
        <v>0</v>
      </c>
      <c r="BF3715">
        <v>0</v>
      </c>
      <c r="BG3715">
        <v>0</v>
      </c>
      <c r="BH3715">
        <v>1</v>
      </c>
      <c r="BI3715">
        <v>1</v>
      </c>
      <c r="BJ3715">
        <v>0.2</v>
      </c>
      <c r="BK3715">
        <v>1</v>
      </c>
      <c r="BL3715">
        <v>54.66</v>
      </c>
      <c r="BM3715">
        <v>8.1999999999999993</v>
      </c>
      <c r="BN3715">
        <v>62.86</v>
      </c>
      <c r="BO3715">
        <v>62.86</v>
      </c>
      <c r="BQ3715" t="s">
        <v>548</v>
      </c>
      <c r="BR3715" t="s">
        <v>84</v>
      </c>
      <c r="BS3715" s="3">
        <v>45806</v>
      </c>
      <c r="BT3715" s="4">
        <v>0.3611111111111111</v>
      </c>
      <c r="BU3715" t="s">
        <v>1508</v>
      </c>
      <c r="BV3715" t="s">
        <v>86</v>
      </c>
      <c r="BY3715">
        <v>1200</v>
      </c>
      <c r="BZ3715" t="s">
        <v>127</v>
      </c>
      <c r="CA3715" t="s">
        <v>765</v>
      </c>
      <c r="CC3715" t="s">
        <v>144</v>
      </c>
      <c r="CD3715">
        <v>1401</v>
      </c>
      <c r="CE3715" t="s">
        <v>129</v>
      </c>
      <c r="CF3715" s="3">
        <v>45806</v>
      </c>
      <c r="CI3715">
        <v>1</v>
      </c>
      <c r="CJ3715">
        <v>1</v>
      </c>
      <c r="CK3715">
        <v>22</v>
      </c>
      <c r="CL3715" t="s">
        <v>89</v>
      </c>
    </row>
    <row r="3716" spans="1:90" x14ac:dyDescent="0.3">
      <c r="A3716" t="s">
        <v>72</v>
      </c>
      <c r="B3716" t="s">
        <v>73</v>
      </c>
      <c r="C3716" t="s">
        <v>74</v>
      </c>
      <c r="E3716" t="str">
        <f>"080065620701"</f>
        <v>080065620701</v>
      </c>
      <c r="F3716" s="3">
        <v>45805</v>
      </c>
      <c r="G3716">
        <v>202602</v>
      </c>
      <c r="H3716" t="s">
        <v>75</v>
      </c>
      <c r="I3716" t="s">
        <v>76</v>
      </c>
      <c r="J3716" t="s">
        <v>77</v>
      </c>
      <c r="K3716" t="s">
        <v>78</v>
      </c>
      <c r="L3716" t="s">
        <v>90</v>
      </c>
      <c r="M3716" t="s">
        <v>91</v>
      </c>
      <c r="N3716" t="s">
        <v>92</v>
      </c>
      <c r="O3716" t="s">
        <v>82</v>
      </c>
      <c r="P3716" t="str">
        <f>"4170041087                    "</f>
        <v xml:space="preserve">4170041087                    </v>
      </c>
      <c r="Q3716">
        <v>0</v>
      </c>
      <c r="R3716">
        <v>0</v>
      </c>
      <c r="S3716">
        <v>0</v>
      </c>
      <c r="T3716">
        <v>0</v>
      </c>
      <c r="U3716">
        <v>0</v>
      </c>
      <c r="V3716">
        <v>0</v>
      </c>
      <c r="W3716">
        <v>0</v>
      </c>
      <c r="X3716">
        <v>0</v>
      </c>
      <c r="Y3716">
        <v>0</v>
      </c>
      <c r="Z3716">
        <v>0</v>
      </c>
      <c r="AA3716">
        <v>0</v>
      </c>
      <c r="AB3716">
        <v>0</v>
      </c>
      <c r="AC3716">
        <v>0</v>
      </c>
      <c r="AD3716">
        <v>0</v>
      </c>
      <c r="AE3716">
        <v>0</v>
      </c>
      <c r="AF3716">
        <v>0</v>
      </c>
      <c r="AG3716">
        <v>0</v>
      </c>
      <c r="AH3716">
        <v>0</v>
      </c>
      <c r="AI3716">
        <v>0</v>
      </c>
      <c r="AJ3716">
        <v>0</v>
      </c>
      <c r="AK3716">
        <v>0</v>
      </c>
      <c r="AL3716">
        <v>0</v>
      </c>
      <c r="AM3716">
        <v>0</v>
      </c>
      <c r="AN3716">
        <v>0</v>
      </c>
      <c r="AO3716">
        <v>0</v>
      </c>
      <c r="AP3716">
        <v>0</v>
      </c>
      <c r="AQ3716">
        <v>21.38</v>
      </c>
      <c r="AR3716">
        <v>0</v>
      </c>
      <c r="AS3716">
        <v>0</v>
      </c>
      <c r="AT3716">
        <v>0</v>
      </c>
      <c r="AU3716">
        <v>0</v>
      </c>
      <c r="AV3716">
        <v>0</v>
      </c>
      <c r="AW3716">
        <v>0</v>
      </c>
      <c r="AX3716">
        <v>0</v>
      </c>
      <c r="AY3716">
        <v>0</v>
      </c>
      <c r="AZ3716">
        <v>0</v>
      </c>
      <c r="BA3716">
        <v>0</v>
      </c>
      <c r="BB3716">
        <v>0</v>
      </c>
      <c r="BC3716">
        <v>0</v>
      </c>
      <c r="BD3716">
        <v>0</v>
      </c>
      <c r="BE3716">
        <v>0</v>
      </c>
      <c r="BF3716">
        <v>0</v>
      </c>
      <c r="BG3716">
        <v>0</v>
      </c>
      <c r="BH3716">
        <v>1</v>
      </c>
      <c r="BI3716">
        <v>1</v>
      </c>
      <c r="BJ3716">
        <v>0.2</v>
      </c>
      <c r="BK3716">
        <v>1</v>
      </c>
      <c r="BL3716">
        <v>69.98</v>
      </c>
      <c r="BM3716">
        <v>10.5</v>
      </c>
      <c r="BN3716">
        <v>80.48</v>
      </c>
      <c r="BO3716">
        <v>80.48</v>
      </c>
      <c r="BQ3716" t="s">
        <v>93</v>
      </c>
      <c r="BR3716" t="s">
        <v>84</v>
      </c>
      <c r="BS3716" s="3">
        <v>45806</v>
      </c>
      <c r="BT3716" s="4">
        <v>0.40486111111111112</v>
      </c>
      <c r="BU3716" t="s">
        <v>205</v>
      </c>
      <c r="BV3716" t="s">
        <v>86</v>
      </c>
      <c r="BY3716">
        <v>1200</v>
      </c>
      <c r="CA3716" t="s">
        <v>95</v>
      </c>
      <c r="CC3716" t="s">
        <v>91</v>
      </c>
      <c r="CD3716">
        <v>6001</v>
      </c>
      <c r="CE3716" t="s">
        <v>88</v>
      </c>
      <c r="CF3716" s="3">
        <v>45806</v>
      </c>
      <c r="CI3716">
        <v>1</v>
      </c>
      <c r="CJ3716">
        <v>1</v>
      </c>
      <c r="CK3716">
        <v>21</v>
      </c>
      <c r="CL3716" t="s">
        <v>89</v>
      </c>
    </row>
    <row r="3717" spans="1:90" x14ac:dyDescent="0.3">
      <c r="A3717" t="s">
        <v>72</v>
      </c>
      <c r="B3717" t="s">
        <v>73</v>
      </c>
      <c r="C3717" t="s">
        <v>74</v>
      </c>
      <c r="E3717" t="str">
        <f>"080065620740"</f>
        <v>080065620740</v>
      </c>
      <c r="F3717" s="3">
        <v>45805</v>
      </c>
      <c r="G3717">
        <v>202602</v>
      </c>
      <c r="H3717" t="s">
        <v>75</v>
      </c>
      <c r="I3717" t="s">
        <v>76</v>
      </c>
      <c r="J3717" t="s">
        <v>77</v>
      </c>
      <c r="K3717" t="s">
        <v>78</v>
      </c>
      <c r="L3717" t="s">
        <v>177</v>
      </c>
      <c r="M3717" t="s">
        <v>178</v>
      </c>
      <c r="N3717" t="s">
        <v>212</v>
      </c>
      <c r="O3717" t="s">
        <v>82</v>
      </c>
      <c r="P3717" t="str">
        <f>"4170041039                    "</f>
        <v xml:space="preserve">4170041039                    </v>
      </c>
      <c r="Q3717">
        <v>0</v>
      </c>
      <c r="R3717">
        <v>0</v>
      </c>
      <c r="S3717">
        <v>0</v>
      </c>
      <c r="T3717">
        <v>0</v>
      </c>
      <c r="U3717">
        <v>0</v>
      </c>
      <c r="V3717">
        <v>0</v>
      </c>
      <c r="W3717">
        <v>0</v>
      </c>
      <c r="X3717">
        <v>0</v>
      </c>
      <c r="Y3717">
        <v>0</v>
      </c>
      <c r="Z3717">
        <v>0</v>
      </c>
      <c r="AA3717">
        <v>0</v>
      </c>
      <c r="AB3717">
        <v>0</v>
      </c>
      <c r="AC3717">
        <v>0</v>
      </c>
      <c r="AD3717">
        <v>0</v>
      </c>
      <c r="AE3717">
        <v>0</v>
      </c>
      <c r="AF3717">
        <v>0</v>
      </c>
      <c r="AG3717">
        <v>0</v>
      </c>
      <c r="AH3717">
        <v>0</v>
      </c>
      <c r="AI3717">
        <v>0</v>
      </c>
      <c r="AJ3717">
        <v>0</v>
      </c>
      <c r="AK3717">
        <v>0</v>
      </c>
      <c r="AL3717">
        <v>0</v>
      </c>
      <c r="AM3717">
        <v>0</v>
      </c>
      <c r="AN3717">
        <v>0</v>
      </c>
      <c r="AO3717">
        <v>0</v>
      </c>
      <c r="AP3717">
        <v>0</v>
      </c>
      <c r="AQ3717">
        <v>21.38</v>
      </c>
      <c r="AR3717">
        <v>0</v>
      </c>
      <c r="AS3717">
        <v>0</v>
      </c>
      <c r="AT3717">
        <v>0</v>
      </c>
      <c r="AU3717">
        <v>0</v>
      </c>
      <c r="AV3717">
        <v>0</v>
      </c>
      <c r="AW3717">
        <v>0</v>
      </c>
      <c r="AX3717">
        <v>0</v>
      </c>
      <c r="AY3717">
        <v>0</v>
      </c>
      <c r="AZ3717">
        <v>0</v>
      </c>
      <c r="BA3717">
        <v>0</v>
      </c>
      <c r="BB3717">
        <v>0</v>
      </c>
      <c r="BC3717">
        <v>0</v>
      </c>
      <c r="BD3717">
        <v>0</v>
      </c>
      <c r="BE3717">
        <v>0</v>
      </c>
      <c r="BF3717">
        <v>0</v>
      </c>
      <c r="BG3717">
        <v>0</v>
      </c>
      <c r="BH3717">
        <v>1</v>
      </c>
      <c r="BI3717">
        <v>1</v>
      </c>
      <c r="BJ3717">
        <v>0.2</v>
      </c>
      <c r="BK3717">
        <v>1</v>
      </c>
      <c r="BL3717">
        <v>69.98</v>
      </c>
      <c r="BM3717">
        <v>10.5</v>
      </c>
      <c r="BN3717">
        <v>80.48</v>
      </c>
      <c r="BO3717">
        <v>80.48</v>
      </c>
      <c r="BQ3717" t="s">
        <v>213</v>
      </c>
      <c r="BR3717" t="s">
        <v>84</v>
      </c>
      <c r="BS3717" s="3">
        <v>45806</v>
      </c>
      <c r="BT3717" s="4">
        <v>0.35</v>
      </c>
      <c r="BU3717" t="s">
        <v>1568</v>
      </c>
      <c r="BV3717" t="s">
        <v>86</v>
      </c>
      <c r="BY3717">
        <v>1200</v>
      </c>
      <c r="CA3717" t="s">
        <v>182</v>
      </c>
      <c r="CC3717" t="s">
        <v>178</v>
      </c>
      <c r="CD3717">
        <v>6229</v>
      </c>
      <c r="CE3717" t="s">
        <v>88</v>
      </c>
      <c r="CF3717" s="3">
        <v>45806</v>
      </c>
      <c r="CI3717">
        <v>1</v>
      </c>
      <c r="CJ3717">
        <v>1</v>
      </c>
      <c r="CK3717">
        <v>21</v>
      </c>
      <c r="CL3717" t="s">
        <v>89</v>
      </c>
    </row>
    <row r="3718" spans="1:90" x14ac:dyDescent="0.3">
      <c r="A3718" t="s">
        <v>72</v>
      </c>
      <c r="B3718" t="s">
        <v>73</v>
      </c>
      <c r="C3718" t="s">
        <v>74</v>
      </c>
      <c r="E3718" t="str">
        <f>"080065620766"</f>
        <v>080065620766</v>
      </c>
      <c r="F3718" s="3">
        <v>45805</v>
      </c>
      <c r="G3718">
        <v>202602</v>
      </c>
      <c r="H3718" t="s">
        <v>75</v>
      </c>
      <c r="I3718" t="s">
        <v>76</v>
      </c>
      <c r="J3718" t="s">
        <v>77</v>
      </c>
      <c r="K3718" t="s">
        <v>78</v>
      </c>
      <c r="L3718" t="s">
        <v>97</v>
      </c>
      <c r="M3718" t="s">
        <v>98</v>
      </c>
      <c r="N3718" t="s">
        <v>284</v>
      </c>
      <c r="O3718" t="s">
        <v>82</v>
      </c>
      <c r="P3718" t="str">
        <f>"4170041140                    "</f>
        <v xml:space="preserve">4170041140                    </v>
      </c>
      <c r="Q3718">
        <v>0</v>
      </c>
      <c r="R3718">
        <v>0</v>
      </c>
      <c r="S3718">
        <v>0</v>
      </c>
      <c r="T3718">
        <v>0</v>
      </c>
      <c r="U3718">
        <v>0</v>
      </c>
      <c r="V3718">
        <v>0</v>
      </c>
      <c r="W3718">
        <v>0</v>
      </c>
      <c r="X3718">
        <v>0</v>
      </c>
      <c r="Y3718">
        <v>0</v>
      </c>
      <c r="Z3718">
        <v>0</v>
      </c>
      <c r="AA3718">
        <v>0</v>
      </c>
      <c r="AB3718">
        <v>0</v>
      </c>
      <c r="AC3718">
        <v>0</v>
      </c>
      <c r="AD3718">
        <v>0</v>
      </c>
      <c r="AE3718">
        <v>0</v>
      </c>
      <c r="AF3718">
        <v>0</v>
      </c>
      <c r="AG3718">
        <v>0</v>
      </c>
      <c r="AH3718">
        <v>0</v>
      </c>
      <c r="AI3718">
        <v>0</v>
      </c>
      <c r="AJ3718">
        <v>0</v>
      </c>
      <c r="AK3718">
        <v>0</v>
      </c>
      <c r="AL3718">
        <v>0</v>
      </c>
      <c r="AM3718">
        <v>0</v>
      </c>
      <c r="AN3718">
        <v>0</v>
      </c>
      <c r="AO3718">
        <v>0</v>
      </c>
      <c r="AP3718">
        <v>0</v>
      </c>
      <c r="AQ3718">
        <v>16.7</v>
      </c>
      <c r="AR3718">
        <v>0</v>
      </c>
      <c r="AS3718">
        <v>0</v>
      </c>
      <c r="AT3718">
        <v>0</v>
      </c>
      <c r="AU3718">
        <v>0</v>
      </c>
      <c r="AV3718">
        <v>0</v>
      </c>
      <c r="AW3718">
        <v>0</v>
      </c>
      <c r="AX3718">
        <v>0</v>
      </c>
      <c r="AY3718">
        <v>0</v>
      </c>
      <c r="AZ3718">
        <v>0</v>
      </c>
      <c r="BA3718">
        <v>0</v>
      </c>
      <c r="BB3718">
        <v>0</v>
      </c>
      <c r="BC3718">
        <v>0</v>
      </c>
      <c r="BD3718">
        <v>0</v>
      </c>
      <c r="BE3718">
        <v>0</v>
      </c>
      <c r="BF3718">
        <v>0</v>
      </c>
      <c r="BG3718">
        <v>0</v>
      </c>
      <c r="BH3718">
        <v>1</v>
      </c>
      <c r="BI3718">
        <v>1</v>
      </c>
      <c r="BJ3718">
        <v>0.2</v>
      </c>
      <c r="BK3718">
        <v>1</v>
      </c>
      <c r="BL3718">
        <v>54.66</v>
      </c>
      <c r="BM3718">
        <v>8.1999999999999993</v>
      </c>
      <c r="BN3718">
        <v>62.86</v>
      </c>
      <c r="BO3718">
        <v>62.86</v>
      </c>
      <c r="BQ3718" t="s">
        <v>285</v>
      </c>
      <c r="BR3718" t="s">
        <v>84</v>
      </c>
      <c r="BS3718" s="3">
        <v>45806</v>
      </c>
      <c r="BT3718" s="4">
        <v>0.31944444444444442</v>
      </c>
      <c r="BU3718" t="s">
        <v>1197</v>
      </c>
      <c r="BV3718" t="s">
        <v>86</v>
      </c>
      <c r="BY3718">
        <v>1200</v>
      </c>
      <c r="CA3718" t="s">
        <v>279</v>
      </c>
      <c r="CC3718" t="s">
        <v>98</v>
      </c>
      <c r="CD3718">
        <v>1459</v>
      </c>
      <c r="CE3718" t="s">
        <v>88</v>
      </c>
      <c r="CF3718" s="3">
        <v>45807</v>
      </c>
      <c r="CI3718">
        <v>1</v>
      </c>
      <c r="CJ3718">
        <v>1</v>
      </c>
      <c r="CK3718">
        <v>22</v>
      </c>
      <c r="CL3718" t="s">
        <v>89</v>
      </c>
    </row>
    <row r="3719" spans="1:90" x14ac:dyDescent="0.3">
      <c r="A3719" t="s">
        <v>72</v>
      </c>
      <c r="B3719" t="s">
        <v>73</v>
      </c>
      <c r="C3719" t="s">
        <v>74</v>
      </c>
      <c r="E3719" t="str">
        <f>"080065620785"</f>
        <v>080065620785</v>
      </c>
      <c r="F3719" s="3">
        <v>45805</v>
      </c>
      <c r="G3719">
        <v>202602</v>
      </c>
      <c r="H3719" t="s">
        <v>75</v>
      </c>
      <c r="I3719" t="s">
        <v>76</v>
      </c>
      <c r="J3719" t="s">
        <v>77</v>
      </c>
      <c r="K3719" t="s">
        <v>78</v>
      </c>
      <c r="L3719" t="s">
        <v>79</v>
      </c>
      <c r="M3719" t="s">
        <v>80</v>
      </c>
      <c r="N3719" t="s">
        <v>357</v>
      </c>
      <c r="O3719" t="s">
        <v>82</v>
      </c>
      <c r="P3719" t="str">
        <f>"4170041214                    "</f>
        <v xml:space="preserve">4170041214                    </v>
      </c>
      <c r="Q3719">
        <v>0</v>
      </c>
      <c r="R3719">
        <v>0</v>
      </c>
      <c r="S3719">
        <v>0</v>
      </c>
      <c r="T3719">
        <v>0</v>
      </c>
      <c r="U3719">
        <v>0</v>
      </c>
      <c r="V3719">
        <v>0</v>
      </c>
      <c r="W3719">
        <v>0</v>
      </c>
      <c r="X3719">
        <v>0</v>
      </c>
      <c r="Y3719">
        <v>0</v>
      </c>
      <c r="Z3719">
        <v>0</v>
      </c>
      <c r="AA3719">
        <v>0</v>
      </c>
      <c r="AB3719">
        <v>0</v>
      </c>
      <c r="AC3719">
        <v>0</v>
      </c>
      <c r="AD3719">
        <v>0</v>
      </c>
      <c r="AE3719">
        <v>0</v>
      </c>
      <c r="AF3719">
        <v>0</v>
      </c>
      <c r="AG3719">
        <v>0</v>
      </c>
      <c r="AH3719">
        <v>0</v>
      </c>
      <c r="AI3719">
        <v>0</v>
      </c>
      <c r="AJ3719">
        <v>0</v>
      </c>
      <c r="AK3719">
        <v>0</v>
      </c>
      <c r="AL3719">
        <v>0</v>
      </c>
      <c r="AM3719">
        <v>0</v>
      </c>
      <c r="AN3719">
        <v>0</v>
      </c>
      <c r="AO3719">
        <v>0</v>
      </c>
      <c r="AP3719">
        <v>0</v>
      </c>
      <c r="AQ3719">
        <v>21.38</v>
      </c>
      <c r="AR3719">
        <v>0</v>
      </c>
      <c r="AS3719">
        <v>0</v>
      </c>
      <c r="AT3719">
        <v>0</v>
      </c>
      <c r="AU3719">
        <v>0</v>
      </c>
      <c r="AV3719">
        <v>0</v>
      </c>
      <c r="AW3719">
        <v>0</v>
      </c>
      <c r="AX3719">
        <v>0</v>
      </c>
      <c r="AY3719">
        <v>0</v>
      </c>
      <c r="AZ3719">
        <v>0</v>
      </c>
      <c r="BA3719">
        <v>0</v>
      </c>
      <c r="BB3719">
        <v>0</v>
      </c>
      <c r="BC3719">
        <v>0</v>
      </c>
      <c r="BD3719">
        <v>0</v>
      </c>
      <c r="BE3719">
        <v>0</v>
      </c>
      <c r="BF3719">
        <v>0</v>
      </c>
      <c r="BG3719">
        <v>0</v>
      </c>
      <c r="BH3719">
        <v>1</v>
      </c>
      <c r="BI3719">
        <v>1</v>
      </c>
      <c r="BJ3719">
        <v>0.2</v>
      </c>
      <c r="BK3719">
        <v>1</v>
      </c>
      <c r="BL3719">
        <v>69.98</v>
      </c>
      <c r="BM3719">
        <v>10.5</v>
      </c>
      <c r="BN3719">
        <v>80.48</v>
      </c>
      <c r="BO3719">
        <v>80.48</v>
      </c>
      <c r="BQ3719" t="s">
        <v>358</v>
      </c>
      <c r="BR3719" t="s">
        <v>84</v>
      </c>
      <c r="BS3719" s="3">
        <v>45806</v>
      </c>
      <c r="BT3719" s="4">
        <v>0.51180555555555551</v>
      </c>
      <c r="BU3719" t="s">
        <v>2643</v>
      </c>
      <c r="BV3719" t="s">
        <v>89</v>
      </c>
      <c r="BW3719" t="s">
        <v>296</v>
      </c>
      <c r="BX3719" t="s">
        <v>325</v>
      </c>
      <c r="BY3719">
        <v>1200</v>
      </c>
      <c r="CA3719" t="s">
        <v>87</v>
      </c>
      <c r="CC3719" t="s">
        <v>80</v>
      </c>
      <c r="CD3719">
        <v>3608</v>
      </c>
      <c r="CE3719" t="s">
        <v>88</v>
      </c>
      <c r="CF3719" s="3">
        <v>45806</v>
      </c>
      <c r="CI3719">
        <v>1</v>
      </c>
      <c r="CJ3719">
        <v>1</v>
      </c>
      <c r="CK3719">
        <v>21</v>
      </c>
      <c r="CL3719" t="s">
        <v>89</v>
      </c>
    </row>
    <row r="3720" spans="1:90" x14ac:dyDescent="0.3">
      <c r="A3720" t="s">
        <v>72</v>
      </c>
      <c r="B3720" t="s">
        <v>73</v>
      </c>
      <c r="C3720" t="s">
        <v>74</v>
      </c>
      <c r="E3720" t="str">
        <f>"080065620841"</f>
        <v>080065620841</v>
      </c>
      <c r="F3720" s="3">
        <v>45805</v>
      </c>
      <c r="G3720">
        <v>202602</v>
      </c>
      <c r="H3720" t="s">
        <v>75</v>
      </c>
      <c r="I3720" t="s">
        <v>76</v>
      </c>
      <c r="J3720" t="s">
        <v>77</v>
      </c>
      <c r="K3720" t="s">
        <v>78</v>
      </c>
      <c r="L3720" t="s">
        <v>1273</v>
      </c>
      <c r="M3720" t="s">
        <v>1274</v>
      </c>
      <c r="N3720" t="s">
        <v>1275</v>
      </c>
      <c r="O3720" t="s">
        <v>82</v>
      </c>
      <c r="P3720" t="str">
        <f>"4170041184                    "</f>
        <v xml:space="preserve">4170041184                    </v>
      </c>
      <c r="Q3720">
        <v>0</v>
      </c>
      <c r="R3720">
        <v>0</v>
      </c>
      <c r="S3720">
        <v>0</v>
      </c>
      <c r="T3720">
        <v>0</v>
      </c>
      <c r="U3720">
        <v>0</v>
      </c>
      <c r="V3720">
        <v>0</v>
      </c>
      <c r="W3720">
        <v>0</v>
      </c>
      <c r="X3720">
        <v>0</v>
      </c>
      <c r="Y3720">
        <v>0</v>
      </c>
      <c r="Z3720">
        <v>0</v>
      </c>
      <c r="AA3720">
        <v>0</v>
      </c>
      <c r="AB3720">
        <v>0</v>
      </c>
      <c r="AC3720">
        <v>0</v>
      </c>
      <c r="AD3720">
        <v>0</v>
      </c>
      <c r="AE3720">
        <v>0</v>
      </c>
      <c r="AF3720">
        <v>0</v>
      </c>
      <c r="AG3720">
        <v>0</v>
      </c>
      <c r="AH3720">
        <v>0</v>
      </c>
      <c r="AI3720">
        <v>0</v>
      </c>
      <c r="AJ3720">
        <v>0</v>
      </c>
      <c r="AK3720">
        <v>0</v>
      </c>
      <c r="AL3720">
        <v>0</v>
      </c>
      <c r="AM3720">
        <v>0</v>
      </c>
      <c r="AN3720">
        <v>0</v>
      </c>
      <c r="AO3720">
        <v>0</v>
      </c>
      <c r="AP3720">
        <v>0</v>
      </c>
      <c r="AQ3720">
        <v>41.43</v>
      </c>
      <c r="AR3720">
        <v>0</v>
      </c>
      <c r="AS3720">
        <v>0</v>
      </c>
      <c r="AT3720">
        <v>0</v>
      </c>
      <c r="AU3720">
        <v>0</v>
      </c>
      <c r="AV3720">
        <v>0</v>
      </c>
      <c r="AW3720">
        <v>0</v>
      </c>
      <c r="AX3720">
        <v>0</v>
      </c>
      <c r="AY3720">
        <v>0</v>
      </c>
      <c r="AZ3720">
        <v>0</v>
      </c>
      <c r="BA3720">
        <v>0</v>
      </c>
      <c r="BB3720">
        <v>0</v>
      </c>
      <c r="BC3720">
        <v>0</v>
      </c>
      <c r="BD3720">
        <v>0</v>
      </c>
      <c r="BE3720">
        <v>0</v>
      </c>
      <c r="BF3720">
        <v>0</v>
      </c>
      <c r="BG3720">
        <v>0</v>
      </c>
      <c r="BH3720">
        <v>1</v>
      </c>
      <c r="BI3720">
        <v>1</v>
      </c>
      <c r="BJ3720">
        <v>0.2</v>
      </c>
      <c r="BK3720">
        <v>1</v>
      </c>
      <c r="BL3720">
        <v>135.59</v>
      </c>
      <c r="BM3720">
        <v>20.34</v>
      </c>
      <c r="BN3720">
        <v>155.93</v>
      </c>
      <c r="BO3720">
        <v>155.93</v>
      </c>
      <c r="BQ3720" t="s">
        <v>1276</v>
      </c>
      <c r="BR3720" t="s">
        <v>84</v>
      </c>
      <c r="BS3720" s="3">
        <v>45806</v>
      </c>
      <c r="BT3720" s="4">
        <v>0.64930555555555558</v>
      </c>
      <c r="BU3720" t="s">
        <v>3386</v>
      </c>
      <c r="BV3720" t="s">
        <v>86</v>
      </c>
      <c r="BY3720">
        <v>1200</v>
      </c>
      <c r="CA3720" t="s">
        <v>3387</v>
      </c>
      <c r="CC3720" t="s">
        <v>1274</v>
      </c>
      <c r="CD3720">
        <v>1120</v>
      </c>
      <c r="CE3720" t="s">
        <v>1193</v>
      </c>
      <c r="CF3720" s="3">
        <v>45806</v>
      </c>
      <c r="CI3720">
        <v>1</v>
      </c>
      <c r="CJ3720">
        <v>1</v>
      </c>
      <c r="CK3720">
        <v>23</v>
      </c>
      <c r="CL3720" t="s">
        <v>89</v>
      </c>
    </row>
    <row r="3721" spans="1:90" x14ac:dyDescent="0.3">
      <c r="A3721" t="s">
        <v>72</v>
      </c>
      <c r="B3721" t="s">
        <v>73</v>
      </c>
      <c r="C3721" t="s">
        <v>74</v>
      </c>
      <c r="E3721" t="str">
        <f>"080065620871"</f>
        <v>080065620871</v>
      </c>
      <c r="F3721" s="3">
        <v>45805</v>
      </c>
      <c r="G3721">
        <v>202602</v>
      </c>
      <c r="H3721" t="s">
        <v>75</v>
      </c>
      <c r="I3721" t="s">
        <v>76</v>
      </c>
      <c r="J3721" t="s">
        <v>77</v>
      </c>
      <c r="K3721" t="s">
        <v>78</v>
      </c>
      <c r="L3721" t="s">
        <v>526</v>
      </c>
      <c r="M3721" t="s">
        <v>527</v>
      </c>
      <c r="N3721" t="s">
        <v>826</v>
      </c>
      <c r="O3721" t="s">
        <v>82</v>
      </c>
      <c r="P3721" t="str">
        <f>"4170041185                    "</f>
        <v xml:space="preserve">4170041185                    </v>
      </c>
      <c r="Q3721">
        <v>0</v>
      </c>
      <c r="R3721">
        <v>0</v>
      </c>
      <c r="S3721">
        <v>0</v>
      </c>
      <c r="T3721">
        <v>0</v>
      </c>
      <c r="U3721">
        <v>0</v>
      </c>
      <c r="V3721">
        <v>0</v>
      </c>
      <c r="W3721">
        <v>0</v>
      </c>
      <c r="X3721">
        <v>0</v>
      </c>
      <c r="Y3721">
        <v>0</v>
      </c>
      <c r="Z3721">
        <v>0</v>
      </c>
      <c r="AA3721">
        <v>0</v>
      </c>
      <c r="AB3721">
        <v>0</v>
      </c>
      <c r="AC3721">
        <v>0</v>
      </c>
      <c r="AD3721">
        <v>0</v>
      </c>
      <c r="AE3721">
        <v>0</v>
      </c>
      <c r="AF3721">
        <v>0</v>
      </c>
      <c r="AG3721">
        <v>0</v>
      </c>
      <c r="AH3721">
        <v>0</v>
      </c>
      <c r="AI3721">
        <v>0</v>
      </c>
      <c r="AJ3721">
        <v>0</v>
      </c>
      <c r="AK3721">
        <v>0</v>
      </c>
      <c r="AL3721">
        <v>0</v>
      </c>
      <c r="AM3721">
        <v>0</v>
      </c>
      <c r="AN3721">
        <v>0</v>
      </c>
      <c r="AO3721">
        <v>0</v>
      </c>
      <c r="AP3721">
        <v>0</v>
      </c>
      <c r="AQ3721">
        <v>30.07</v>
      </c>
      <c r="AR3721">
        <v>0</v>
      </c>
      <c r="AS3721">
        <v>0</v>
      </c>
      <c r="AT3721">
        <v>0</v>
      </c>
      <c r="AU3721">
        <v>0</v>
      </c>
      <c r="AV3721">
        <v>0</v>
      </c>
      <c r="AW3721">
        <v>0</v>
      </c>
      <c r="AX3721">
        <v>0</v>
      </c>
      <c r="AY3721">
        <v>0</v>
      </c>
      <c r="AZ3721">
        <v>0</v>
      </c>
      <c r="BA3721">
        <v>0</v>
      </c>
      <c r="BB3721">
        <v>0</v>
      </c>
      <c r="BC3721">
        <v>0</v>
      </c>
      <c r="BD3721">
        <v>0</v>
      </c>
      <c r="BE3721">
        <v>0</v>
      </c>
      <c r="BF3721">
        <v>0</v>
      </c>
      <c r="BG3721">
        <v>0</v>
      </c>
      <c r="BH3721">
        <v>1</v>
      </c>
      <c r="BI3721">
        <v>1</v>
      </c>
      <c r="BJ3721">
        <v>0.2</v>
      </c>
      <c r="BK3721">
        <v>1</v>
      </c>
      <c r="BL3721">
        <v>98.42</v>
      </c>
      <c r="BM3721">
        <v>14.76</v>
      </c>
      <c r="BN3721">
        <v>113.18</v>
      </c>
      <c r="BO3721">
        <v>113.18</v>
      </c>
      <c r="BQ3721" t="s">
        <v>827</v>
      </c>
      <c r="BR3721" t="s">
        <v>84</v>
      </c>
      <c r="BS3721" s="3">
        <v>45806</v>
      </c>
      <c r="BT3721" s="4">
        <v>0.56319444444444444</v>
      </c>
      <c r="BU3721" t="s">
        <v>3388</v>
      </c>
      <c r="BV3721" t="s">
        <v>86</v>
      </c>
      <c r="BY3721">
        <v>1200</v>
      </c>
      <c r="CA3721" t="s">
        <v>2080</v>
      </c>
      <c r="CC3721" t="s">
        <v>527</v>
      </c>
      <c r="CD3721">
        <v>1759</v>
      </c>
      <c r="CE3721" t="s">
        <v>88</v>
      </c>
      <c r="CF3721" s="3">
        <v>45806</v>
      </c>
      <c r="CI3721">
        <v>1</v>
      </c>
      <c r="CJ3721">
        <v>1</v>
      </c>
      <c r="CK3721">
        <v>24</v>
      </c>
      <c r="CL3721" t="s">
        <v>89</v>
      </c>
    </row>
    <row r="3722" spans="1:90" x14ac:dyDescent="0.3">
      <c r="A3722" t="s">
        <v>72</v>
      </c>
      <c r="B3722" t="s">
        <v>73</v>
      </c>
      <c r="C3722" t="s">
        <v>74</v>
      </c>
      <c r="E3722" t="str">
        <f>"080065620901"</f>
        <v>080065620901</v>
      </c>
      <c r="F3722" s="3">
        <v>45805</v>
      </c>
      <c r="G3722">
        <v>202602</v>
      </c>
      <c r="H3722" t="s">
        <v>75</v>
      </c>
      <c r="I3722" t="s">
        <v>76</v>
      </c>
      <c r="J3722" t="s">
        <v>77</v>
      </c>
      <c r="K3722" t="s">
        <v>78</v>
      </c>
      <c r="L3722" t="s">
        <v>130</v>
      </c>
      <c r="M3722" t="s">
        <v>131</v>
      </c>
      <c r="N3722" t="s">
        <v>665</v>
      </c>
      <c r="O3722" t="s">
        <v>82</v>
      </c>
      <c r="P3722" t="str">
        <f>"4170041044                    "</f>
        <v xml:space="preserve">4170041044                    </v>
      </c>
      <c r="Q3722">
        <v>0</v>
      </c>
      <c r="R3722">
        <v>0</v>
      </c>
      <c r="S3722">
        <v>0</v>
      </c>
      <c r="T3722">
        <v>0</v>
      </c>
      <c r="U3722">
        <v>0</v>
      </c>
      <c r="V3722">
        <v>0</v>
      </c>
      <c r="W3722">
        <v>0</v>
      </c>
      <c r="X3722">
        <v>0</v>
      </c>
      <c r="Y3722">
        <v>0</v>
      </c>
      <c r="Z3722">
        <v>0</v>
      </c>
      <c r="AA3722">
        <v>0</v>
      </c>
      <c r="AB3722">
        <v>0</v>
      </c>
      <c r="AC3722">
        <v>0</v>
      </c>
      <c r="AD3722">
        <v>0</v>
      </c>
      <c r="AE3722">
        <v>0</v>
      </c>
      <c r="AF3722">
        <v>0</v>
      </c>
      <c r="AG3722">
        <v>0</v>
      </c>
      <c r="AH3722">
        <v>0</v>
      </c>
      <c r="AI3722">
        <v>0</v>
      </c>
      <c r="AJ3722">
        <v>0</v>
      </c>
      <c r="AK3722">
        <v>0</v>
      </c>
      <c r="AL3722">
        <v>0</v>
      </c>
      <c r="AM3722">
        <v>0</v>
      </c>
      <c r="AN3722">
        <v>0</v>
      </c>
      <c r="AO3722">
        <v>0</v>
      </c>
      <c r="AP3722">
        <v>0</v>
      </c>
      <c r="AQ3722">
        <v>21.38</v>
      </c>
      <c r="AR3722">
        <v>0</v>
      </c>
      <c r="AS3722">
        <v>0</v>
      </c>
      <c r="AT3722">
        <v>0</v>
      </c>
      <c r="AU3722">
        <v>0</v>
      </c>
      <c r="AV3722">
        <v>0</v>
      </c>
      <c r="AW3722">
        <v>0</v>
      </c>
      <c r="AX3722">
        <v>0</v>
      </c>
      <c r="AY3722">
        <v>0</v>
      </c>
      <c r="AZ3722">
        <v>0</v>
      </c>
      <c r="BA3722">
        <v>0</v>
      </c>
      <c r="BB3722">
        <v>0</v>
      </c>
      <c r="BC3722">
        <v>0</v>
      </c>
      <c r="BD3722">
        <v>0</v>
      </c>
      <c r="BE3722">
        <v>0</v>
      </c>
      <c r="BF3722">
        <v>0</v>
      </c>
      <c r="BG3722">
        <v>0</v>
      </c>
      <c r="BH3722">
        <v>1</v>
      </c>
      <c r="BI3722">
        <v>1</v>
      </c>
      <c r="BJ3722">
        <v>0.2</v>
      </c>
      <c r="BK3722">
        <v>1</v>
      </c>
      <c r="BL3722">
        <v>69.98</v>
      </c>
      <c r="BM3722">
        <v>10.5</v>
      </c>
      <c r="BN3722">
        <v>80.48</v>
      </c>
      <c r="BO3722">
        <v>80.48</v>
      </c>
      <c r="BQ3722" t="s">
        <v>666</v>
      </c>
      <c r="BR3722" t="s">
        <v>84</v>
      </c>
      <c r="BS3722" s="3">
        <v>45806</v>
      </c>
      <c r="BT3722" s="4">
        <v>0.38055555555555554</v>
      </c>
      <c r="BU3722" t="s">
        <v>3389</v>
      </c>
      <c r="BV3722" t="s">
        <v>86</v>
      </c>
      <c r="BY3722">
        <v>1200</v>
      </c>
      <c r="CA3722" t="s">
        <v>389</v>
      </c>
      <c r="CC3722" t="s">
        <v>131</v>
      </c>
      <c r="CD3722">
        <v>7535</v>
      </c>
      <c r="CE3722" t="s">
        <v>88</v>
      </c>
      <c r="CI3722">
        <v>1</v>
      </c>
      <c r="CJ3722">
        <v>1</v>
      </c>
      <c r="CK3722">
        <v>21</v>
      </c>
      <c r="CL3722" t="s">
        <v>89</v>
      </c>
    </row>
    <row r="3723" spans="1:90" x14ac:dyDescent="0.3">
      <c r="A3723" t="s">
        <v>72</v>
      </c>
      <c r="B3723" t="s">
        <v>73</v>
      </c>
      <c r="C3723" t="s">
        <v>74</v>
      </c>
      <c r="E3723" t="str">
        <f>"080065620946"</f>
        <v>080065620946</v>
      </c>
      <c r="F3723" s="3">
        <v>45805</v>
      </c>
      <c r="G3723">
        <v>202602</v>
      </c>
      <c r="H3723" t="s">
        <v>75</v>
      </c>
      <c r="I3723" t="s">
        <v>76</v>
      </c>
      <c r="J3723" t="s">
        <v>77</v>
      </c>
      <c r="K3723" t="s">
        <v>78</v>
      </c>
      <c r="L3723" t="s">
        <v>130</v>
      </c>
      <c r="M3723" t="s">
        <v>131</v>
      </c>
      <c r="N3723" t="s">
        <v>897</v>
      </c>
      <c r="O3723" t="s">
        <v>300</v>
      </c>
      <c r="P3723" t="str">
        <f>"4170041112                    "</f>
        <v xml:space="preserve">4170041112                    </v>
      </c>
      <c r="Q3723">
        <v>0</v>
      </c>
      <c r="R3723">
        <v>0</v>
      </c>
      <c r="S3723">
        <v>0</v>
      </c>
      <c r="T3723">
        <v>0</v>
      </c>
      <c r="U3723">
        <v>0</v>
      </c>
      <c r="V3723">
        <v>0</v>
      </c>
      <c r="W3723">
        <v>0</v>
      </c>
      <c r="X3723">
        <v>0</v>
      </c>
      <c r="Y3723">
        <v>0</v>
      </c>
      <c r="Z3723">
        <v>0</v>
      </c>
      <c r="AA3723">
        <v>0</v>
      </c>
      <c r="AB3723">
        <v>0</v>
      </c>
      <c r="AC3723">
        <v>0</v>
      </c>
      <c r="AD3723">
        <v>0</v>
      </c>
      <c r="AE3723">
        <v>0</v>
      </c>
      <c r="AF3723">
        <v>0</v>
      </c>
      <c r="AG3723">
        <v>0</v>
      </c>
      <c r="AH3723">
        <v>0</v>
      </c>
      <c r="AI3723">
        <v>0</v>
      </c>
      <c r="AJ3723">
        <v>0</v>
      </c>
      <c r="AK3723">
        <v>0</v>
      </c>
      <c r="AL3723">
        <v>0</v>
      </c>
      <c r="AM3723">
        <v>0</v>
      </c>
      <c r="AN3723">
        <v>0</v>
      </c>
      <c r="AO3723">
        <v>0</v>
      </c>
      <c r="AP3723">
        <v>0</v>
      </c>
      <c r="AQ3723">
        <v>73.790000000000006</v>
      </c>
      <c r="AR3723">
        <v>0</v>
      </c>
      <c r="AS3723">
        <v>0</v>
      </c>
      <c r="AT3723">
        <v>0</v>
      </c>
      <c r="AU3723">
        <v>0</v>
      </c>
      <c r="AV3723">
        <v>0</v>
      </c>
      <c r="AW3723">
        <v>0</v>
      </c>
      <c r="AX3723">
        <v>0</v>
      </c>
      <c r="AY3723">
        <v>0</v>
      </c>
      <c r="AZ3723">
        <v>0</v>
      </c>
      <c r="BA3723">
        <v>0</v>
      </c>
      <c r="BB3723">
        <v>0</v>
      </c>
      <c r="BC3723">
        <v>0</v>
      </c>
      <c r="BD3723">
        <v>0</v>
      </c>
      <c r="BE3723">
        <v>0</v>
      </c>
      <c r="BF3723">
        <v>0</v>
      </c>
      <c r="BG3723">
        <v>0</v>
      </c>
      <c r="BH3723">
        <v>2</v>
      </c>
      <c r="BI3723">
        <v>34</v>
      </c>
      <c r="BJ3723">
        <v>17</v>
      </c>
      <c r="BK3723">
        <v>34</v>
      </c>
      <c r="BL3723">
        <v>247.06</v>
      </c>
      <c r="BM3723">
        <v>37.06</v>
      </c>
      <c r="BN3723">
        <v>284.12</v>
      </c>
      <c r="BO3723">
        <v>284.12</v>
      </c>
      <c r="BQ3723" t="s">
        <v>898</v>
      </c>
      <c r="BR3723" t="s">
        <v>84</v>
      </c>
      <c r="BS3723" t="s">
        <v>1540</v>
      </c>
      <c r="BY3723">
        <v>42504</v>
      </c>
      <c r="CC3723" t="s">
        <v>131</v>
      </c>
      <c r="CD3723">
        <v>7550</v>
      </c>
      <c r="CE3723" t="s">
        <v>550</v>
      </c>
      <c r="CI3723">
        <v>3</v>
      </c>
      <c r="CJ3723" t="s">
        <v>1540</v>
      </c>
      <c r="CK3723">
        <v>41</v>
      </c>
      <c r="CL3723" t="s">
        <v>89</v>
      </c>
    </row>
    <row r="3724" spans="1:90" x14ac:dyDescent="0.3">
      <c r="A3724" t="s">
        <v>72</v>
      </c>
      <c r="B3724" t="s">
        <v>73</v>
      </c>
      <c r="C3724" t="s">
        <v>74</v>
      </c>
      <c r="E3724" t="str">
        <f>"080065620981"</f>
        <v>080065620981</v>
      </c>
      <c r="F3724" s="3">
        <v>45805</v>
      </c>
      <c r="G3724">
        <v>202602</v>
      </c>
      <c r="H3724" t="s">
        <v>75</v>
      </c>
      <c r="I3724" t="s">
        <v>76</v>
      </c>
      <c r="J3724" t="s">
        <v>77</v>
      </c>
      <c r="K3724" t="s">
        <v>78</v>
      </c>
      <c r="L3724" t="s">
        <v>130</v>
      </c>
      <c r="M3724" t="s">
        <v>131</v>
      </c>
      <c r="N3724" t="s">
        <v>897</v>
      </c>
      <c r="O3724" t="s">
        <v>82</v>
      </c>
      <c r="P3724" t="str">
        <f>"4170041059                    "</f>
        <v xml:space="preserve">4170041059                    </v>
      </c>
      <c r="Q3724">
        <v>0</v>
      </c>
      <c r="R3724">
        <v>0</v>
      </c>
      <c r="S3724">
        <v>0</v>
      </c>
      <c r="T3724">
        <v>0</v>
      </c>
      <c r="U3724">
        <v>0</v>
      </c>
      <c r="V3724">
        <v>0</v>
      </c>
      <c r="W3724">
        <v>0</v>
      </c>
      <c r="X3724">
        <v>0</v>
      </c>
      <c r="Y3724">
        <v>0</v>
      </c>
      <c r="Z3724">
        <v>0</v>
      </c>
      <c r="AA3724">
        <v>0</v>
      </c>
      <c r="AB3724">
        <v>0</v>
      </c>
      <c r="AC3724">
        <v>0</v>
      </c>
      <c r="AD3724">
        <v>0</v>
      </c>
      <c r="AE3724">
        <v>0</v>
      </c>
      <c r="AF3724">
        <v>0</v>
      </c>
      <c r="AG3724">
        <v>0</v>
      </c>
      <c r="AH3724">
        <v>0</v>
      </c>
      <c r="AI3724">
        <v>0</v>
      </c>
      <c r="AJ3724">
        <v>0</v>
      </c>
      <c r="AK3724">
        <v>0</v>
      </c>
      <c r="AL3724">
        <v>0</v>
      </c>
      <c r="AM3724">
        <v>0</v>
      </c>
      <c r="AN3724">
        <v>0</v>
      </c>
      <c r="AO3724">
        <v>0</v>
      </c>
      <c r="AP3724">
        <v>0</v>
      </c>
      <c r="AQ3724">
        <v>32.07</v>
      </c>
      <c r="AR3724">
        <v>0</v>
      </c>
      <c r="AS3724">
        <v>0</v>
      </c>
      <c r="AT3724">
        <v>0</v>
      </c>
      <c r="AU3724">
        <v>0</v>
      </c>
      <c r="AV3724">
        <v>0</v>
      </c>
      <c r="AW3724">
        <v>0</v>
      </c>
      <c r="AX3724">
        <v>0</v>
      </c>
      <c r="AY3724">
        <v>0</v>
      </c>
      <c r="AZ3724">
        <v>0</v>
      </c>
      <c r="BA3724">
        <v>0</v>
      </c>
      <c r="BB3724">
        <v>0</v>
      </c>
      <c r="BC3724">
        <v>0</v>
      </c>
      <c r="BD3724">
        <v>0</v>
      </c>
      <c r="BE3724">
        <v>0</v>
      </c>
      <c r="BF3724">
        <v>0</v>
      </c>
      <c r="BG3724">
        <v>0</v>
      </c>
      <c r="BH3724">
        <v>1</v>
      </c>
      <c r="BI3724">
        <v>3</v>
      </c>
      <c r="BJ3724">
        <v>0.6</v>
      </c>
      <c r="BK3724">
        <v>3</v>
      </c>
      <c r="BL3724">
        <v>104.95</v>
      </c>
      <c r="BM3724">
        <v>15.74</v>
      </c>
      <c r="BN3724">
        <v>120.69</v>
      </c>
      <c r="BO3724">
        <v>120.69</v>
      </c>
      <c r="BQ3724" t="s">
        <v>898</v>
      </c>
      <c r="BR3724" t="s">
        <v>84</v>
      </c>
      <c r="BS3724" s="3">
        <v>45806</v>
      </c>
      <c r="BT3724" s="4">
        <v>0.60555555555555551</v>
      </c>
      <c r="BU3724" t="s">
        <v>899</v>
      </c>
      <c r="BV3724" t="s">
        <v>89</v>
      </c>
      <c r="BW3724" t="s">
        <v>340</v>
      </c>
      <c r="BX3724" t="s">
        <v>596</v>
      </c>
      <c r="BY3724">
        <v>3192</v>
      </c>
      <c r="CA3724" t="s">
        <v>901</v>
      </c>
      <c r="CC3724" t="s">
        <v>131</v>
      </c>
      <c r="CD3724">
        <v>7550</v>
      </c>
      <c r="CE3724" t="s">
        <v>116</v>
      </c>
      <c r="CI3724">
        <v>1</v>
      </c>
      <c r="CJ3724">
        <v>1</v>
      </c>
      <c r="CK3724">
        <v>21</v>
      </c>
      <c r="CL3724" t="s">
        <v>89</v>
      </c>
    </row>
    <row r="3725" spans="1:90" x14ac:dyDescent="0.3">
      <c r="A3725" t="s">
        <v>72</v>
      </c>
      <c r="B3725" t="s">
        <v>73</v>
      </c>
      <c r="C3725" t="s">
        <v>74</v>
      </c>
      <c r="E3725" t="str">
        <f>"080065621034"</f>
        <v>080065621034</v>
      </c>
      <c r="F3725" s="3">
        <v>45805</v>
      </c>
      <c r="G3725">
        <v>202602</v>
      </c>
      <c r="H3725" t="s">
        <v>75</v>
      </c>
      <c r="I3725" t="s">
        <v>76</v>
      </c>
      <c r="J3725" t="s">
        <v>77</v>
      </c>
      <c r="K3725" t="s">
        <v>78</v>
      </c>
      <c r="L3725" t="s">
        <v>350</v>
      </c>
      <c r="M3725" t="s">
        <v>351</v>
      </c>
      <c r="N3725" t="s">
        <v>1186</v>
      </c>
      <c r="O3725" t="s">
        <v>82</v>
      </c>
      <c r="P3725" t="str">
        <f>"4170041092                    "</f>
        <v xml:space="preserve">4170041092                    </v>
      </c>
      <c r="Q3725">
        <v>0</v>
      </c>
      <c r="R3725">
        <v>0</v>
      </c>
      <c r="S3725">
        <v>0</v>
      </c>
      <c r="T3725">
        <v>0</v>
      </c>
      <c r="U3725">
        <v>0</v>
      </c>
      <c r="V3725">
        <v>0</v>
      </c>
      <c r="W3725">
        <v>0</v>
      </c>
      <c r="X3725">
        <v>0</v>
      </c>
      <c r="Y3725">
        <v>0</v>
      </c>
      <c r="Z3725">
        <v>0</v>
      </c>
      <c r="AA3725">
        <v>0</v>
      </c>
      <c r="AB3725">
        <v>0</v>
      </c>
      <c r="AC3725">
        <v>0</v>
      </c>
      <c r="AD3725">
        <v>0</v>
      </c>
      <c r="AE3725">
        <v>0</v>
      </c>
      <c r="AF3725">
        <v>0</v>
      </c>
      <c r="AG3725">
        <v>0</v>
      </c>
      <c r="AH3725">
        <v>0</v>
      </c>
      <c r="AI3725">
        <v>0</v>
      </c>
      <c r="AJ3725">
        <v>0</v>
      </c>
      <c r="AK3725">
        <v>0</v>
      </c>
      <c r="AL3725">
        <v>0</v>
      </c>
      <c r="AM3725">
        <v>0</v>
      </c>
      <c r="AN3725">
        <v>0</v>
      </c>
      <c r="AO3725">
        <v>0</v>
      </c>
      <c r="AP3725">
        <v>0</v>
      </c>
      <c r="AQ3725">
        <v>133.56</v>
      </c>
      <c r="AR3725">
        <v>0</v>
      </c>
      <c r="AS3725">
        <v>0</v>
      </c>
      <c r="AT3725">
        <v>0</v>
      </c>
      <c r="AU3725">
        <v>0</v>
      </c>
      <c r="AV3725">
        <v>0</v>
      </c>
      <c r="AW3725">
        <v>0</v>
      </c>
      <c r="AX3725">
        <v>0</v>
      </c>
      <c r="AY3725">
        <v>0</v>
      </c>
      <c r="AZ3725">
        <v>0</v>
      </c>
      <c r="BA3725">
        <v>0</v>
      </c>
      <c r="BB3725">
        <v>0</v>
      </c>
      <c r="BC3725">
        <v>0</v>
      </c>
      <c r="BD3725">
        <v>0</v>
      </c>
      <c r="BE3725">
        <v>0</v>
      </c>
      <c r="BF3725">
        <v>0</v>
      </c>
      <c r="BG3725">
        <v>0</v>
      </c>
      <c r="BH3725">
        <v>1</v>
      </c>
      <c r="BI3725">
        <v>7</v>
      </c>
      <c r="BJ3725">
        <v>12.5</v>
      </c>
      <c r="BK3725">
        <v>12.5</v>
      </c>
      <c r="BL3725">
        <v>437.1</v>
      </c>
      <c r="BM3725">
        <v>65.569999999999993</v>
      </c>
      <c r="BN3725">
        <v>502.67</v>
      </c>
      <c r="BO3725">
        <v>502.67</v>
      </c>
      <c r="BQ3725" t="s">
        <v>1187</v>
      </c>
      <c r="BR3725" t="s">
        <v>84</v>
      </c>
      <c r="BS3725" s="3">
        <v>45806</v>
      </c>
      <c r="BT3725" s="4">
        <v>0.3888888888888889</v>
      </c>
      <c r="BU3725" t="s">
        <v>3390</v>
      </c>
      <c r="BV3725" t="s">
        <v>86</v>
      </c>
      <c r="BY3725">
        <v>62400</v>
      </c>
      <c r="CA3725" t="s">
        <v>879</v>
      </c>
      <c r="CC3725" t="s">
        <v>351</v>
      </c>
      <c r="CD3725">
        <v>4001</v>
      </c>
      <c r="CE3725" t="s">
        <v>221</v>
      </c>
      <c r="CF3725" s="3">
        <v>45806</v>
      </c>
      <c r="CI3725">
        <v>1</v>
      </c>
      <c r="CJ3725">
        <v>1</v>
      </c>
      <c r="CK3725">
        <v>21</v>
      </c>
      <c r="CL3725" t="s">
        <v>89</v>
      </c>
    </row>
    <row r="3726" spans="1:90" x14ac:dyDescent="0.3">
      <c r="A3726" t="s">
        <v>72</v>
      </c>
      <c r="B3726" t="s">
        <v>73</v>
      </c>
      <c r="C3726" t="s">
        <v>74</v>
      </c>
      <c r="E3726" t="str">
        <f>"080065621403"</f>
        <v>080065621403</v>
      </c>
      <c r="F3726" s="3">
        <v>45805</v>
      </c>
      <c r="G3726">
        <v>202602</v>
      </c>
      <c r="H3726" t="s">
        <v>75</v>
      </c>
      <c r="I3726" t="s">
        <v>76</v>
      </c>
      <c r="J3726" t="s">
        <v>77</v>
      </c>
      <c r="K3726" t="s">
        <v>78</v>
      </c>
      <c r="L3726" t="s">
        <v>136</v>
      </c>
      <c r="M3726" t="s">
        <v>137</v>
      </c>
      <c r="N3726" t="s">
        <v>1235</v>
      </c>
      <c r="O3726" t="s">
        <v>82</v>
      </c>
      <c r="P3726" t="str">
        <f>"4170041176                    "</f>
        <v xml:space="preserve">4170041176                    </v>
      </c>
      <c r="Q3726">
        <v>0</v>
      </c>
      <c r="R3726">
        <v>0</v>
      </c>
      <c r="S3726">
        <v>0</v>
      </c>
      <c r="T3726">
        <v>0</v>
      </c>
      <c r="U3726">
        <v>0</v>
      </c>
      <c r="V3726">
        <v>0</v>
      </c>
      <c r="W3726">
        <v>0</v>
      </c>
      <c r="X3726">
        <v>0</v>
      </c>
      <c r="Y3726">
        <v>0</v>
      </c>
      <c r="Z3726">
        <v>0</v>
      </c>
      <c r="AA3726">
        <v>0</v>
      </c>
      <c r="AB3726">
        <v>0</v>
      </c>
      <c r="AC3726">
        <v>0</v>
      </c>
      <c r="AD3726">
        <v>0</v>
      </c>
      <c r="AE3726">
        <v>0</v>
      </c>
      <c r="AF3726">
        <v>0</v>
      </c>
      <c r="AG3726">
        <v>0</v>
      </c>
      <c r="AH3726">
        <v>0</v>
      </c>
      <c r="AI3726">
        <v>0</v>
      </c>
      <c r="AJ3726">
        <v>0</v>
      </c>
      <c r="AK3726">
        <v>0</v>
      </c>
      <c r="AL3726">
        <v>0</v>
      </c>
      <c r="AM3726">
        <v>0</v>
      </c>
      <c r="AN3726">
        <v>0</v>
      </c>
      <c r="AO3726">
        <v>0</v>
      </c>
      <c r="AP3726">
        <v>0</v>
      </c>
      <c r="AQ3726">
        <v>21.38</v>
      </c>
      <c r="AR3726">
        <v>0</v>
      </c>
      <c r="AS3726">
        <v>0</v>
      </c>
      <c r="AT3726">
        <v>0</v>
      </c>
      <c r="AU3726">
        <v>0</v>
      </c>
      <c r="AV3726">
        <v>0</v>
      </c>
      <c r="AW3726">
        <v>0</v>
      </c>
      <c r="AX3726">
        <v>0</v>
      </c>
      <c r="AY3726">
        <v>0</v>
      </c>
      <c r="AZ3726">
        <v>0</v>
      </c>
      <c r="BA3726">
        <v>0</v>
      </c>
      <c r="BB3726">
        <v>0</v>
      </c>
      <c r="BC3726">
        <v>0</v>
      </c>
      <c r="BD3726">
        <v>0</v>
      </c>
      <c r="BE3726">
        <v>0</v>
      </c>
      <c r="BF3726">
        <v>0</v>
      </c>
      <c r="BG3726">
        <v>0</v>
      </c>
      <c r="BH3726">
        <v>1</v>
      </c>
      <c r="BI3726">
        <v>1</v>
      </c>
      <c r="BJ3726">
        <v>0.2</v>
      </c>
      <c r="BK3726">
        <v>1</v>
      </c>
      <c r="BL3726">
        <v>69.98</v>
      </c>
      <c r="BM3726">
        <v>10.5</v>
      </c>
      <c r="BN3726">
        <v>80.48</v>
      </c>
      <c r="BO3726">
        <v>80.48</v>
      </c>
      <c r="BQ3726" t="s">
        <v>1236</v>
      </c>
      <c r="BR3726" t="s">
        <v>84</v>
      </c>
      <c r="BS3726" s="3">
        <v>45806</v>
      </c>
      <c r="BT3726" s="4">
        <v>0.31666666666666665</v>
      </c>
      <c r="BU3726" t="s">
        <v>1946</v>
      </c>
      <c r="BV3726" t="s">
        <v>86</v>
      </c>
      <c r="BY3726">
        <v>1200</v>
      </c>
      <c r="CA3726" t="s">
        <v>1947</v>
      </c>
      <c r="CC3726" t="s">
        <v>137</v>
      </c>
      <c r="CD3726" s="5" t="s">
        <v>1239</v>
      </c>
      <c r="CE3726" t="s">
        <v>88</v>
      </c>
      <c r="CF3726" s="3">
        <v>45806</v>
      </c>
      <c r="CI3726">
        <v>1</v>
      </c>
      <c r="CJ3726">
        <v>1</v>
      </c>
      <c r="CK3726">
        <v>21</v>
      </c>
      <c r="CL3726" t="s">
        <v>89</v>
      </c>
    </row>
    <row r="3727" spans="1:90" x14ac:dyDescent="0.3">
      <c r="A3727" t="s">
        <v>72</v>
      </c>
      <c r="B3727" t="s">
        <v>73</v>
      </c>
      <c r="C3727" t="s">
        <v>74</v>
      </c>
      <c r="E3727" t="str">
        <f>"080065621430"</f>
        <v>080065621430</v>
      </c>
      <c r="F3727" s="3">
        <v>45805</v>
      </c>
      <c r="G3727">
        <v>202602</v>
      </c>
      <c r="H3727" t="s">
        <v>75</v>
      </c>
      <c r="I3727" t="s">
        <v>76</v>
      </c>
      <c r="J3727" t="s">
        <v>77</v>
      </c>
      <c r="K3727" t="s">
        <v>78</v>
      </c>
      <c r="L3727" t="s">
        <v>946</v>
      </c>
      <c r="M3727" t="s">
        <v>947</v>
      </c>
      <c r="N3727" t="s">
        <v>948</v>
      </c>
      <c r="O3727" t="s">
        <v>82</v>
      </c>
      <c r="P3727" t="str">
        <f>"4170041030                    "</f>
        <v xml:space="preserve">4170041030                    </v>
      </c>
      <c r="Q3727">
        <v>0</v>
      </c>
      <c r="R3727">
        <v>0</v>
      </c>
      <c r="S3727">
        <v>0</v>
      </c>
      <c r="T3727">
        <v>0</v>
      </c>
      <c r="U3727">
        <v>0</v>
      </c>
      <c r="V3727">
        <v>0</v>
      </c>
      <c r="W3727">
        <v>0</v>
      </c>
      <c r="X3727">
        <v>0</v>
      </c>
      <c r="Y3727">
        <v>0</v>
      </c>
      <c r="Z3727">
        <v>0</v>
      </c>
      <c r="AA3727">
        <v>0</v>
      </c>
      <c r="AB3727">
        <v>0</v>
      </c>
      <c r="AC3727">
        <v>0</v>
      </c>
      <c r="AD3727">
        <v>0</v>
      </c>
      <c r="AE3727">
        <v>0</v>
      </c>
      <c r="AF3727">
        <v>0</v>
      </c>
      <c r="AG3727">
        <v>0</v>
      </c>
      <c r="AH3727">
        <v>0</v>
      </c>
      <c r="AI3727">
        <v>0</v>
      </c>
      <c r="AJ3727">
        <v>0</v>
      </c>
      <c r="AK3727">
        <v>0</v>
      </c>
      <c r="AL3727">
        <v>0</v>
      </c>
      <c r="AM3727">
        <v>0</v>
      </c>
      <c r="AN3727">
        <v>0</v>
      </c>
      <c r="AO3727">
        <v>0</v>
      </c>
      <c r="AP3727">
        <v>0</v>
      </c>
      <c r="AQ3727">
        <v>41.43</v>
      </c>
      <c r="AR3727">
        <v>0</v>
      </c>
      <c r="AS3727">
        <v>0</v>
      </c>
      <c r="AT3727">
        <v>0</v>
      </c>
      <c r="AU3727">
        <v>0</v>
      </c>
      <c r="AV3727">
        <v>0</v>
      </c>
      <c r="AW3727">
        <v>0</v>
      </c>
      <c r="AX3727">
        <v>0</v>
      </c>
      <c r="AY3727">
        <v>0</v>
      </c>
      <c r="AZ3727">
        <v>0</v>
      </c>
      <c r="BA3727">
        <v>0</v>
      </c>
      <c r="BB3727">
        <v>0</v>
      </c>
      <c r="BC3727">
        <v>0</v>
      </c>
      <c r="BD3727">
        <v>0</v>
      </c>
      <c r="BE3727">
        <v>0</v>
      </c>
      <c r="BF3727">
        <v>0</v>
      </c>
      <c r="BG3727">
        <v>0</v>
      </c>
      <c r="BH3727">
        <v>1</v>
      </c>
      <c r="BI3727">
        <v>1</v>
      </c>
      <c r="BJ3727">
        <v>0.2</v>
      </c>
      <c r="BK3727">
        <v>1</v>
      </c>
      <c r="BL3727">
        <v>135.59</v>
      </c>
      <c r="BM3727">
        <v>20.34</v>
      </c>
      <c r="BN3727">
        <v>155.93</v>
      </c>
      <c r="BO3727">
        <v>155.93</v>
      </c>
      <c r="BQ3727" t="s">
        <v>949</v>
      </c>
      <c r="BR3727" t="s">
        <v>84</v>
      </c>
      <c r="BS3727" t="s">
        <v>1540</v>
      </c>
      <c r="BY3727">
        <v>1200</v>
      </c>
      <c r="CC3727" t="s">
        <v>947</v>
      </c>
      <c r="CD3727">
        <v>4490</v>
      </c>
      <c r="CE3727" t="s">
        <v>88</v>
      </c>
      <c r="CI3727">
        <v>5</v>
      </c>
      <c r="CJ3727" t="s">
        <v>1540</v>
      </c>
      <c r="CK3727">
        <v>23</v>
      </c>
      <c r="CL3727" t="s">
        <v>89</v>
      </c>
    </row>
    <row r="3728" spans="1:90" x14ac:dyDescent="0.3">
      <c r="A3728" t="s">
        <v>72</v>
      </c>
      <c r="B3728" t="s">
        <v>73</v>
      </c>
      <c r="C3728" t="s">
        <v>74</v>
      </c>
      <c r="E3728" t="str">
        <f>"080065621454"</f>
        <v>080065621454</v>
      </c>
      <c r="F3728" s="3">
        <v>45805</v>
      </c>
      <c r="G3728">
        <v>202602</v>
      </c>
      <c r="H3728" t="s">
        <v>75</v>
      </c>
      <c r="I3728" t="s">
        <v>76</v>
      </c>
      <c r="J3728" t="s">
        <v>77</v>
      </c>
      <c r="K3728" t="s">
        <v>78</v>
      </c>
      <c r="L3728" t="s">
        <v>136</v>
      </c>
      <c r="M3728" t="s">
        <v>137</v>
      </c>
      <c r="N3728" t="s">
        <v>2603</v>
      </c>
      <c r="O3728" t="s">
        <v>82</v>
      </c>
      <c r="P3728" t="str">
        <f>"4170041029                    "</f>
        <v xml:space="preserve">4170041029                    </v>
      </c>
      <c r="Q3728">
        <v>0</v>
      </c>
      <c r="R3728">
        <v>0</v>
      </c>
      <c r="S3728">
        <v>0</v>
      </c>
      <c r="T3728">
        <v>0</v>
      </c>
      <c r="U3728">
        <v>0</v>
      </c>
      <c r="V3728">
        <v>0</v>
      </c>
      <c r="W3728">
        <v>0</v>
      </c>
      <c r="X3728">
        <v>0</v>
      </c>
      <c r="Y3728">
        <v>0</v>
      </c>
      <c r="Z3728">
        <v>0</v>
      </c>
      <c r="AA3728">
        <v>0</v>
      </c>
      <c r="AB3728">
        <v>0</v>
      </c>
      <c r="AC3728">
        <v>0</v>
      </c>
      <c r="AD3728">
        <v>0</v>
      </c>
      <c r="AE3728">
        <v>0</v>
      </c>
      <c r="AF3728">
        <v>0</v>
      </c>
      <c r="AG3728">
        <v>0</v>
      </c>
      <c r="AH3728">
        <v>0</v>
      </c>
      <c r="AI3728">
        <v>0</v>
      </c>
      <c r="AJ3728">
        <v>0</v>
      </c>
      <c r="AK3728">
        <v>0</v>
      </c>
      <c r="AL3728">
        <v>0</v>
      </c>
      <c r="AM3728">
        <v>0</v>
      </c>
      <c r="AN3728">
        <v>0</v>
      </c>
      <c r="AO3728">
        <v>0</v>
      </c>
      <c r="AP3728">
        <v>0</v>
      </c>
      <c r="AQ3728">
        <v>21.38</v>
      </c>
      <c r="AR3728">
        <v>0</v>
      </c>
      <c r="AS3728">
        <v>0</v>
      </c>
      <c r="AT3728">
        <v>0</v>
      </c>
      <c r="AU3728">
        <v>0</v>
      </c>
      <c r="AV3728">
        <v>0</v>
      </c>
      <c r="AW3728">
        <v>0</v>
      </c>
      <c r="AX3728">
        <v>0</v>
      </c>
      <c r="AY3728">
        <v>0</v>
      </c>
      <c r="AZ3728">
        <v>0</v>
      </c>
      <c r="BA3728">
        <v>0</v>
      </c>
      <c r="BB3728">
        <v>0</v>
      </c>
      <c r="BC3728">
        <v>0</v>
      </c>
      <c r="BD3728">
        <v>0</v>
      </c>
      <c r="BE3728">
        <v>0</v>
      </c>
      <c r="BF3728">
        <v>0</v>
      </c>
      <c r="BG3728">
        <v>0</v>
      </c>
      <c r="BH3728">
        <v>1</v>
      </c>
      <c r="BI3728">
        <v>1</v>
      </c>
      <c r="BJ3728">
        <v>0.2</v>
      </c>
      <c r="BK3728">
        <v>1</v>
      </c>
      <c r="BL3728">
        <v>69.98</v>
      </c>
      <c r="BM3728">
        <v>10.5</v>
      </c>
      <c r="BN3728">
        <v>80.48</v>
      </c>
      <c r="BO3728">
        <v>80.48</v>
      </c>
      <c r="BQ3728" t="s">
        <v>2668</v>
      </c>
      <c r="BR3728" t="s">
        <v>84</v>
      </c>
      <c r="BS3728" s="3">
        <v>45806</v>
      </c>
      <c r="BT3728" s="4">
        <v>0.3659722222222222</v>
      </c>
      <c r="BU3728" t="s">
        <v>3391</v>
      </c>
      <c r="BV3728" t="s">
        <v>86</v>
      </c>
      <c r="BY3728">
        <v>1200</v>
      </c>
      <c r="CA3728" t="s">
        <v>199</v>
      </c>
      <c r="CC3728" t="s">
        <v>137</v>
      </c>
      <c r="CD3728" s="5" t="s">
        <v>1786</v>
      </c>
      <c r="CE3728" t="s">
        <v>1193</v>
      </c>
      <c r="CF3728" s="3">
        <v>45806</v>
      </c>
      <c r="CI3728">
        <v>1</v>
      </c>
      <c r="CJ3728">
        <v>1</v>
      </c>
      <c r="CK3728">
        <v>21</v>
      </c>
      <c r="CL3728" t="s">
        <v>89</v>
      </c>
    </row>
    <row r="3729" spans="1:90" x14ac:dyDescent="0.3">
      <c r="A3729" t="s">
        <v>72</v>
      </c>
      <c r="B3729" t="s">
        <v>73</v>
      </c>
      <c r="C3729" t="s">
        <v>74</v>
      </c>
      <c r="E3729" t="str">
        <f>"080065621479"</f>
        <v>080065621479</v>
      </c>
      <c r="F3729" s="3">
        <v>45805</v>
      </c>
      <c r="G3729">
        <v>202602</v>
      </c>
      <c r="H3729" t="s">
        <v>75</v>
      </c>
      <c r="I3729" t="s">
        <v>76</v>
      </c>
      <c r="J3729" t="s">
        <v>77</v>
      </c>
      <c r="K3729" t="s">
        <v>78</v>
      </c>
      <c r="L3729" t="s">
        <v>75</v>
      </c>
      <c r="M3729" t="s">
        <v>76</v>
      </c>
      <c r="N3729" t="s">
        <v>390</v>
      </c>
      <c r="O3729" t="s">
        <v>82</v>
      </c>
      <c r="P3729" t="str">
        <f>"4170041013                    "</f>
        <v xml:space="preserve">4170041013                    </v>
      </c>
      <c r="Q3729">
        <v>0</v>
      </c>
      <c r="R3729">
        <v>0</v>
      </c>
      <c r="S3729">
        <v>0</v>
      </c>
      <c r="T3729">
        <v>0</v>
      </c>
      <c r="U3729">
        <v>0</v>
      </c>
      <c r="V3729">
        <v>0</v>
      </c>
      <c r="W3729">
        <v>0</v>
      </c>
      <c r="X3729">
        <v>0</v>
      </c>
      <c r="Y3729">
        <v>0</v>
      </c>
      <c r="Z3729">
        <v>0</v>
      </c>
      <c r="AA3729">
        <v>0</v>
      </c>
      <c r="AB3729">
        <v>0</v>
      </c>
      <c r="AC3729">
        <v>0</v>
      </c>
      <c r="AD3729">
        <v>0</v>
      </c>
      <c r="AE3729">
        <v>0</v>
      </c>
      <c r="AF3729">
        <v>0</v>
      </c>
      <c r="AG3729">
        <v>0</v>
      </c>
      <c r="AH3729">
        <v>0</v>
      </c>
      <c r="AI3729">
        <v>0</v>
      </c>
      <c r="AJ3729">
        <v>0</v>
      </c>
      <c r="AK3729">
        <v>0</v>
      </c>
      <c r="AL3729">
        <v>0</v>
      </c>
      <c r="AM3729">
        <v>0</v>
      </c>
      <c r="AN3729">
        <v>0</v>
      </c>
      <c r="AO3729">
        <v>0</v>
      </c>
      <c r="AP3729">
        <v>0</v>
      </c>
      <c r="AQ3729">
        <v>16.7</v>
      </c>
      <c r="AR3729">
        <v>0</v>
      </c>
      <c r="AS3729">
        <v>0</v>
      </c>
      <c r="AT3729">
        <v>0</v>
      </c>
      <c r="AU3729">
        <v>0</v>
      </c>
      <c r="AV3729">
        <v>0</v>
      </c>
      <c r="AW3729">
        <v>0</v>
      </c>
      <c r="AX3729">
        <v>0</v>
      </c>
      <c r="AY3729">
        <v>0</v>
      </c>
      <c r="AZ3729">
        <v>0</v>
      </c>
      <c r="BA3729">
        <v>0</v>
      </c>
      <c r="BB3729">
        <v>0</v>
      </c>
      <c r="BC3729">
        <v>0</v>
      </c>
      <c r="BD3729">
        <v>0</v>
      </c>
      <c r="BE3729">
        <v>0</v>
      </c>
      <c r="BF3729">
        <v>0</v>
      </c>
      <c r="BG3729">
        <v>0</v>
      </c>
      <c r="BH3729">
        <v>1</v>
      </c>
      <c r="BI3729">
        <v>1</v>
      </c>
      <c r="BJ3729">
        <v>0.2</v>
      </c>
      <c r="BK3729">
        <v>1</v>
      </c>
      <c r="BL3729">
        <v>54.66</v>
      </c>
      <c r="BM3729">
        <v>8.1999999999999993</v>
      </c>
      <c r="BN3729">
        <v>62.86</v>
      </c>
      <c r="BO3729">
        <v>62.86</v>
      </c>
      <c r="BQ3729" t="s">
        <v>391</v>
      </c>
      <c r="BR3729" t="s">
        <v>84</v>
      </c>
      <c r="BS3729" s="3">
        <v>45806</v>
      </c>
      <c r="BT3729" s="4">
        <v>0.3611111111111111</v>
      </c>
      <c r="BU3729" t="s">
        <v>2078</v>
      </c>
      <c r="BV3729" t="s">
        <v>86</v>
      </c>
      <c r="BY3729">
        <v>1200</v>
      </c>
      <c r="CA3729" t="s">
        <v>115</v>
      </c>
      <c r="CC3729" t="s">
        <v>76</v>
      </c>
      <c r="CD3729">
        <v>1600</v>
      </c>
      <c r="CE3729" t="s">
        <v>88</v>
      </c>
      <c r="CF3729" s="3">
        <v>45807</v>
      </c>
      <c r="CI3729">
        <v>1</v>
      </c>
      <c r="CJ3729">
        <v>1</v>
      </c>
      <c r="CK3729">
        <v>22</v>
      </c>
      <c r="CL3729" t="s">
        <v>89</v>
      </c>
    </row>
    <row r="3730" spans="1:90" x14ac:dyDescent="0.3">
      <c r="A3730" t="s">
        <v>72</v>
      </c>
      <c r="B3730" t="s">
        <v>73</v>
      </c>
      <c r="C3730" t="s">
        <v>74</v>
      </c>
      <c r="E3730" t="str">
        <f>"080065621499"</f>
        <v>080065621499</v>
      </c>
      <c r="F3730" s="3">
        <v>45805</v>
      </c>
      <c r="G3730">
        <v>202602</v>
      </c>
      <c r="H3730" t="s">
        <v>75</v>
      </c>
      <c r="I3730" t="s">
        <v>76</v>
      </c>
      <c r="J3730" t="s">
        <v>77</v>
      </c>
      <c r="K3730" t="s">
        <v>78</v>
      </c>
      <c r="L3730" t="s">
        <v>130</v>
      </c>
      <c r="M3730" t="s">
        <v>131</v>
      </c>
      <c r="N3730" t="s">
        <v>327</v>
      </c>
      <c r="O3730" t="s">
        <v>82</v>
      </c>
      <c r="P3730" t="str">
        <f>"4170041142                    "</f>
        <v xml:space="preserve">4170041142                    </v>
      </c>
      <c r="Q3730">
        <v>0</v>
      </c>
      <c r="R3730">
        <v>0</v>
      </c>
      <c r="S3730">
        <v>0</v>
      </c>
      <c r="T3730">
        <v>0</v>
      </c>
      <c r="U3730">
        <v>0</v>
      </c>
      <c r="V3730">
        <v>0</v>
      </c>
      <c r="W3730">
        <v>0</v>
      </c>
      <c r="X3730">
        <v>0</v>
      </c>
      <c r="Y3730">
        <v>0</v>
      </c>
      <c r="Z3730">
        <v>0</v>
      </c>
      <c r="AA3730">
        <v>0</v>
      </c>
      <c r="AB3730">
        <v>0</v>
      </c>
      <c r="AC3730">
        <v>0</v>
      </c>
      <c r="AD3730">
        <v>0</v>
      </c>
      <c r="AE3730">
        <v>0</v>
      </c>
      <c r="AF3730">
        <v>0</v>
      </c>
      <c r="AG3730">
        <v>0</v>
      </c>
      <c r="AH3730">
        <v>0</v>
      </c>
      <c r="AI3730">
        <v>0</v>
      </c>
      <c r="AJ3730">
        <v>0</v>
      </c>
      <c r="AK3730">
        <v>0</v>
      </c>
      <c r="AL3730">
        <v>0</v>
      </c>
      <c r="AM3730">
        <v>0</v>
      </c>
      <c r="AN3730">
        <v>0</v>
      </c>
      <c r="AO3730">
        <v>0</v>
      </c>
      <c r="AP3730">
        <v>0</v>
      </c>
      <c r="AQ3730">
        <v>21.38</v>
      </c>
      <c r="AR3730">
        <v>0</v>
      </c>
      <c r="AS3730">
        <v>0</v>
      </c>
      <c r="AT3730">
        <v>0</v>
      </c>
      <c r="AU3730">
        <v>0</v>
      </c>
      <c r="AV3730">
        <v>0</v>
      </c>
      <c r="AW3730">
        <v>0</v>
      </c>
      <c r="AX3730">
        <v>0</v>
      </c>
      <c r="AY3730">
        <v>0</v>
      </c>
      <c r="AZ3730">
        <v>0</v>
      </c>
      <c r="BA3730">
        <v>0</v>
      </c>
      <c r="BB3730">
        <v>0</v>
      </c>
      <c r="BC3730">
        <v>0</v>
      </c>
      <c r="BD3730">
        <v>0</v>
      </c>
      <c r="BE3730">
        <v>0</v>
      </c>
      <c r="BF3730">
        <v>0</v>
      </c>
      <c r="BG3730">
        <v>0</v>
      </c>
      <c r="BH3730">
        <v>1</v>
      </c>
      <c r="BI3730">
        <v>1</v>
      </c>
      <c r="BJ3730">
        <v>0.2</v>
      </c>
      <c r="BK3730">
        <v>1</v>
      </c>
      <c r="BL3730">
        <v>69.98</v>
      </c>
      <c r="BM3730">
        <v>10.5</v>
      </c>
      <c r="BN3730">
        <v>80.48</v>
      </c>
      <c r="BO3730">
        <v>80.48</v>
      </c>
      <c r="BQ3730" t="s">
        <v>328</v>
      </c>
      <c r="BR3730" t="s">
        <v>84</v>
      </c>
      <c r="BS3730" s="3">
        <v>45806</v>
      </c>
      <c r="BT3730" s="4">
        <v>0.40555555555555556</v>
      </c>
      <c r="BU3730" t="s">
        <v>329</v>
      </c>
      <c r="BV3730" t="s">
        <v>86</v>
      </c>
      <c r="BY3730">
        <v>1200</v>
      </c>
      <c r="CA3730" t="s">
        <v>330</v>
      </c>
      <c r="CC3730" t="s">
        <v>131</v>
      </c>
      <c r="CD3730">
        <v>7480</v>
      </c>
      <c r="CE3730" t="s">
        <v>88</v>
      </c>
      <c r="CF3730" s="3">
        <v>45807</v>
      </c>
      <c r="CI3730">
        <v>1</v>
      </c>
      <c r="CJ3730">
        <v>1</v>
      </c>
      <c r="CK3730">
        <v>21</v>
      </c>
      <c r="CL3730" t="s">
        <v>89</v>
      </c>
    </row>
    <row r="3731" spans="1:90" x14ac:dyDescent="0.3">
      <c r="A3731" t="s">
        <v>72</v>
      </c>
      <c r="B3731" t="s">
        <v>73</v>
      </c>
      <c r="C3731" t="s">
        <v>74</v>
      </c>
      <c r="E3731" t="str">
        <f>"080065621528"</f>
        <v>080065621528</v>
      </c>
      <c r="F3731" s="3">
        <v>45805</v>
      </c>
      <c r="G3731">
        <v>202602</v>
      </c>
      <c r="H3731" t="s">
        <v>75</v>
      </c>
      <c r="I3731" t="s">
        <v>76</v>
      </c>
      <c r="J3731" t="s">
        <v>77</v>
      </c>
      <c r="K3731" t="s">
        <v>78</v>
      </c>
      <c r="L3731" t="s">
        <v>123</v>
      </c>
      <c r="M3731" t="s">
        <v>123</v>
      </c>
      <c r="N3731" t="s">
        <v>766</v>
      </c>
      <c r="O3731" t="s">
        <v>82</v>
      </c>
      <c r="P3731" t="str">
        <f>"4170041150                    "</f>
        <v xml:space="preserve">4170041150                    </v>
      </c>
      <c r="Q3731">
        <v>0</v>
      </c>
      <c r="R3731">
        <v>0</v>
      </c>
      <c r="S3731">
        <v>0</v>
      </c>
      <c r="T3731">
        <v>0</v>
      </c>
      <c r="U3731">
        <v>0</v>
      </c>
      <c r="V3731">
        <v>0</v>
      </c>
      <c r="W3731">
        <v>0</v>
      </c>
      <c r="X3731">
        <v>0</v>
      </c>
      <c r="Y3731">
        <v>0</v>
      </c>
      <c r="Z3731">
        <v>0</v>
      </c>
      <c r="AA3731">
        <v>0</v>
      </c>
      <c r="AB3731">
        <v>0</v>
      </c>
      <c r="AC3731">
        <v>0</v>
      </c>
      <c r="AD3731">
        <v>0</v>
      </c>
      <c r="AE3731">
        <v>0</v>
      </c>
      <c r="AF3731">
        <v>0</v>
      </c>
      <c r="AG3731">
        <v>0</v>
      </c>
      <c r="AH3731">
        <v>0</v>
      </c>
      <c r="AI3731">
        <v>0</v>
      </c>
      <c r="AJ3731">
        <v>0</v>
      </c>
      <c r="AK3731">
        <v>0</v>
      </c>
      <c r="AL3731">
        <v>0</v>
      </c>
      <c r="AM3731">
        <v>0</v>
      </c>
      <c r="AN3731">
        <v>0</v>
      </c>
      <c r="AO3731">
        <v>0</v>
      </c>
      <c r="AP3731">
        <v>0</v>
      </c>
      <c r="AQ3731">
        <v>41.43</v>
      </c>
      <c r="AR3731">
        <v>0</v>
      </c>
      <c r="AS3731">
        <v>0</v>
      </c>
      <c r="AT3731">
        <v>0</v>
      </c>
      <c r="AU3731">
        <v>0</v>
      </c>
      <c r="AV3731">
        <v>0</v>
      </c>
      <c r="AW3731">
        <v>0</v>
      </c>
      <c r="AX3731">
        <v>0</v>
      </c>
      <c r="AY3731">
        <v>0</v>
      </c>
      <c r="AZ3731">
        <v>0</v>
      </c>
      <c r="BA3731">
        <v>0</v>
      </c>
      <c r="BB3731">
        <v>0</v>
      </c>
      <c r="BC3731">
        <v>0</v>
      </c>
      <c r="BD3731">
        <v>0</v>
      </c>
      <c r="BE3731">
        <v>0</v>
      </c>
      <c r="BF3731">
        <v>0</v>
      </c>
      <c r="BG3731">
        <v>0</v>
      </c>
      <c r="BH3731">
        <v>1</v>
      </c>
      <c r="BI3731">
        <v>1</v>
      </c>
      <c r="BJ3731">
        <v>0.2</v>
      </c>
      <c r="BK3731">
        <v>1</v>
      </c>
      <c r="BL3731">
        <v>135.59</v>
      </c>
      <c r="BM3731">
        <v>20.34</v>
      </c>
      <c r="BN3731">
        <v>155.93</v>
      </c>
      <c r="BO3731">
        <v>155.93</v>
      </c>
      <c r="BQ3731" t="s">
        <v>767</v>
      </c>
      <c r="BR3731" t="s">
        <v>84</v>
      </c>
      <c r="BS3731" s="3">
        <v>45806</v>
      </c>
      <c r="BT3731" s="4">
        <v>0.4861111111111111</v>
      </c>
      <c r="BU3731" t="s">
        <v>768</v>
      </c>
      <c r="BV3731" t="s">
        <v>86</v>
      </c>
      <c r="BY3731">
        <v>1200</v>
      </c>
      <c r="CA3731" t="s">
        <v>128</v>
      </c>
      <c r="CC3731" t="s">
        <v>123</v>
      </c>
      <c r="CD3731">
        <v>7646</v>
      </c>
      <c r="CE3731" t="s">
        <v>88</v>
      </c>
      <c r="CI3731">
        <v>1</v>
      </c>
      <c r="CJ3731">
        <v>1</v>
      </c>
      <c r="CK3731">
        <v>23</v>
      </c>
      <c r="CL3731" t="s">
        <v>89</v>
      </c>
    </row>
    <row r="3732" spans="1:90" x14ac:dyDescent="0.3">
      <c r="A3732" t="s">
        <v>72</v>
      </c>
      <c r="B3732" t="s">
        <v>73</v>
      </c>
      <c r="C3732" t="s">
        <v>74</v>
      </c>
      <c r="E3732" t="str">
        <f>"080065621548"</f>
        <v>080065621548</v>
      </c>
      <c r="F3732" s="3">
        <v>45805</v>
      </c>
      <c r="G3732">
        <v>202602</v>
      </c>
      <c r="H3732" t="s">
        <v>75</v>
      </c>
      <c r="I3732" t="s">
        <v>76</v>
      </c>
      <c r="J3732" t="s">
        <v>77</v>
      </c>
      <c r="K3732" t="s">
        <v>78</v>
      </c>
      <c r="L3732" t="s">
        <v>97</v>
      </c>
      <c r="M3732" t="s">
        <v>98</v>
      </c>
      <c r="N3732" t="s">
        <v>99</v>
      </c>
      <c r="O3732" t="s">
        <v>82</v>
      </c>
      <c r="P3732" t="str">
        <f>"4170041024                    "</f>
        <v xml:space="preserve">4170041024                    </v>
      </c>
      <c r="Q3732">
        <v>0</v>
      </c>
      <c r="R3732">
        <v>0</v>
      </c>
      <c r="S3732">
        <v>0</v>
      </c>
      <c r="T3732">
        <v>0</v>
      </c>
      <c r="U3732">
        <v>0</v>
      </c>
      <c r="V3732">
        <v>0</v>
      </c>
      <c r="W3732">
        <v>0</v>
      </c>
      <c r="X3732">
        <v>0</v>
      </c>
      <c r="Y3732">
        <v>0</v>
      </c>
      <c r="Z3732">
        <v>0</v>
      </c>
      <c r="AA3732">
        <v>0</v>
      </c>
      <c r="AB3732">
        <v>0</v>
      </c>
      <c r="AC3732">
        <v>0</v>
      </c>
      <c r="AD3732">
        <v>0</v>
      </c>
      <c r="AE3732">
        <v>0</v>
      </c>
      <c r="AF3732">
        <v>0</v>
      </c>
      <c r="AG3732">
        <v>0</v>
      </c>
      <c r="AH3732">
        <v>0</v>
      </c>
      <c r="AI3732">
        <v>0</v>
      </c>
      <c r="AJ3732">
        <v>0</v>
      </c>
      <c r="AK3732">
        <v>0</v>
      </c>
      <c r="AL3732">
        <v>0</v>
      </c>
      <c r="AM3732">
        <v>0</v>
      </c>
      <c r="AN3732">
        <v>0</v>
      </c>
      <c r="AO3732">
        <v>0</v>
      </c>
      <c r="AP3732">
        <v>0</v>
      </c>
      <c r="AQ3732">
        <v>16.7</v>
      </c>
      <c r="AR3732">
        <v>0</v>
      </c>
      <c r="AS3732">
        <v>0</v>
      </c>
      <c r="AT3732">
        <v>0</v>
      </c>
      <c r="AU3732">
        <v>0</v>
      </c>
      <c r="AV3732">
        <v>0</v>
      </c>
      <c r="AW3732">
        <v>0</v>
      </c>
      <c r="AX3732">
        <v>0</v>
      </c>
      <c r="AY3732">
        <v>0</v>
      </c>
      <c r="AZ3732">
        <v>0</v>
      </c>
      <c r="BA3732">
        <v>0</v>
      </c>
      <c r="BB3732">
        <v>0</v>
      </c>
      <c r="BC3732">
        <v>0</v>
      </c>
      <c r="BD3732">
        <v>0</v>
      </c>
      <c r="BE3732">
        <v>0</v>
      </c>
      <c r="BF3732">
        <v>0</v>
      </c>
      <c r="BG3732">
        <v>0</v>
      </c>
      <c r="BH3732">
        <v>1</v>
      </c>
      <c r="BI3732">
        <v>1</v>
      </c>
      <c r="BJ3732">
        <v>0.2</v>
      </c>
      <c r="BK3732">
        <v>1</v>
      </c>
      <c r="BL3732">
        <v>54.66</v>
      </c>
      <c r="BM3732">
        <v>8.1999999999999993</v>
      </c>
      <c r="BN3732">
        <v>62.86</v>
      </c>
      <c r="BO3732">
        <v>62.86</v>
      </c>
      <c r="BQ3732" t="s">
        <v>100</v>
      </c>
      <c r="BR3732" t="s">
        <v>84</v>
      </c>
      <c r="BS3732" s="3">
        <v>45806</v>
      </c>
      <c r="BT3732" s="4">
        <v>0.33958333333333335</v>
      </c>
      <c r="BU3732" t="s">
        <v>551</v>
      </c>
      <c r="BV3732" t="s">
        <v>86</v>
      </c>
      <c r="BY3732">
        <v>1200</v>
      </c>
      <c r="CA3732" t="s">
        <v>279</v>
      </c>
      <c r="CC3732" t="s">
        <v>98</v>
      </c>
      <c r="CD3732">
        <v>1459</v>
      </c>
      <c r="CE3732" t="s">
        <v>88</v>
      </c>
      <c r="CF3732" s="3">
        <v>45807</v>
      </c>
      <c r="CI3732">
        <v>1</v>
      </c>
      <c r="CJ3732">
        <v>1</v>
      </c>
      <c r="CK3732">
        <v>22</v>
      </c>
      <c r="CL3732" t="s">
        <v>89</v>
      </c>
    </row>
    <row r="3733" spans="1:90" x14ac:dyDescent="0.3">
      <c r="A3733" t="s">
        <v>72</v>
      </c>
      <c r="B3733" t="s">
        <v>73</v>
      </c>
      <c r="C3733" t="s">
        <v>74</v>
      </c>
      <c r="E3733" t="str">
        <f>"080065621565"</f>
        <v>080065621565</v>
      </c>
      <c r="F3733" s="3">
        <v>45805</v>
      </c>
      <c r="G3733">
        <v>202602</v>
      </c>
      <c r="H3733" t="s">
        <v>75</v>
      </c>
      <c r="I3733" t="s">
        <v>76</v>
      </c>
      <c r="J3733" t="s">
        <v>77</v>
      </c>
      <c r="K3733" t="s">
        <v>78</v>
      </c>
      <c r="L3733" t="s">
        <v>350</v>
      </c>
      <c r="M3733" t="s">
        <v>351</v>
      </c>
      <c r="N3733" t="s">
        <v>459</v>
      </c>
      <c r="O3733" t="s">
        <v>82</v>
      </c>
      <c r="P3733" t="str">
        <f>"4170041154                    "</f>
        <v xml:space="preserve">4170041154                    </v>
      </c>
      <c r="Q3733">
        <v>0</v>
      </c>
      <c r="R3733">
        <v>0</v>
      </c>
      <c r="S3733">
        <v>0</v>
      </c>
      <c r="T3733">
        <v>0</v>
      </c>
      <c r="U3733">
        <v>0</v>
      </c>
      <c r="V3733">
        <v>0</v>
      </c>
      <c r="W3733">
        <v>0</v>
      </c>
      <c r="X3733">
        <v>0</v>
      </c>
      <c r="Y3733">
        <v>0</v>
      </c>
      <c r="Z3733">
        <v>0</v>
      </c>
      <c r="AA3733">
        <v>0</v>
      </c>
      <c r="AB3733">
        <v>0</v>
      </c>
      <c r="AC3733">
        <v>0</v>
      </c>
      <c r="AD3733">
        <v>0</v>
      </c>
      <c r="AE3733">
        <v>0</v>
      </c>
      <c r="AF3733">
        <v>0</v>
      </c>
      <c r="AG3733">
        <v>0</v>
      </c>
      <c r="AH3733">
        <v>0</v>
      </c>
      <c r="AI3733">
        <v>0</v>
      </c>
      <c r="AJ3733">
        <v>0</v>
      </c>
      <c r="AK3733">
        <v>0</v>
      </c>
      <c r="AL3733">
        <v>0</v>
      </c>
      <c r="AM3733">
        <v>0</v>
      </c>
      <c r="AN3733">
        <v>0</v>
      </c>
      <c r="AO3733">
        <v>0</v>
      </c>
      <c r="AP3733">
        <v>0</v>
      </c>
      <c r="AQ3733">
        <v>21.38</v>
      </c>
      <c r="AR3733">
        <v>0</v>
      </c>
      <c r="AS3733">
        <v>0</v>
      </c>
      <c r="AT3733">
        <v>0</v>
      </c>
      <c r="AU3733">
        <v>0</v>
      </c>
      <c r="AV3733">
        <v>0</v>
      </c>
      <c r="AW3733">
        <v>0</v>
      </c>
      <c r="AX3733">
        <v>0</v>
      </c>
      <c r="AY3733">
        <v>0</v>
      </c>
      <c r="AZ3733">
        <v>0</v>
      </c>
      <c r="BA3733">
        <v>0</v>
      </c>
      <c r="BB3733">
        <v>0</v>
      </c>
      <c r="BC3733">
        <v>0</v>
      </c>
      <c r="BD3733">
        <v>0</v>
      </c>
      <c r="BE3733">
        <v>0</v>
      </c>
      <c r="BF3733">
        <v>0</v>
      </c>
      <c r="BG3733">
        <v>0</v>
      </c>
      <c r="BH3733">
        <v>1</v>
      </c>
      <c r="BI3733">
        <v>1</v>
      </c>
      <c r="BJ3733">
        <v>0.2</v>
      </c>
      <c r="BK3733">
        <v>1</v>
      </c>
      <c r="BL3733">
        <v>69.98</v>
      </c>
      <c r="BM3733">
        <v>10.5</v>
      </c>
      <c r="BN3733">
        <v>80.48</v>
      </c>
      <c r="BO3733">
        <v>80.48</v>
      </c>
      <c r="BQ3733" t="s">
        <v>460</v>
      </c>
      <c r="BR3733" t="s">
        <v>84</v>
      </c>
      <c r="BS3733" s="3">
        <v>45806</v>
      </c>
      <c r="BT3733" s="4">
        <v>0.35069444444444442</v>
      </c>
      <c r="BU3733" t="s">
        <v>1121</v>
      </c>
      <c r="BV3733" t="s">
        <v>86</v>
      </c>
      <c r="BY3733">
        <v>1200</v>
      </c>
      <c r="CA3733" t="s">
        <v>462</v>
      </c>
      <c r="CC3733" t="s">
        <v>351</v>
      </c>
      <c r="CD3733">
        <v>4051</v>
      </c>
      <c r="CE3733" t="s">
        <v>88</v>
      </c>
      <c r="CF3733" s="3">
        <v>45806</v>
      </c>
      <c r="CI3733">
        <v>1</v>
      </c>
      <c r="CJ3733">
        <v>1</v>
      </c>
      <c r="CK3733">
        <v>21</v>
      </c>
      <c r="CL3733" t="s">
        <v>89</v>
      </c>
    </row>
    <row r="3734" spans="1:90" x14ac:dyDescent="0.3">
      <c r="A3734" t="s">
        <v>72</v>
      </c>
      <c r="B3734" t="s">
        <v>73</v>
      </c>
      <c r="C3734" t="s">
        <v>74</v>
      </c>
      <c r="E3734" t="str">
        <f>"080065621584"</f>
        <v>080065621584</v>
      </c>
      <c r="F3734" s="3">
        <v>45805</v>
      </c>
      <c r="G3734">
        <v>202602</v>
      </c>
      <c r="H3734" t="s">
        <v>75</v>
      </c>
      <c r="I3734" t="s">
        <v>76</v>
      </c>
      <c r="J3734" t="s">
        <v>77</v>
      </c>
      <c r="K3734" t="s">
        <v>78</v>
      </c>
      <c r="L3734" t="s">
        <v>123</v>
      </c>
      <c r="M3734" t="s">
        <v>123</v>
      </c>
      <c r="N3734" t="s">
        <v>766</v>
      </c>
      <c r="O3734" t="s">
        <v>82</v>
      </c>
      <c r="P3734" t="str">
        <f>"4170041158                    "</f>
        <v xml:space="preserve">4170041158                    </v>
      </c>
      <c r="Q3734">
        <v>0</v>
      </c>
      <c r="R3734">
        <v>0</v>
      </c>
      <c r="S3734">
        <v>0</v>
      </c>
      <c r="T3734">
        <v>0</v>
      </c>
      <c r="U3734">
        <v>0</v>
      </c>
      <c r="V3734">
        <v>0</v>
      </c>
      <c r="W3734">
        <v>0</v>
      </c>
      <c r="X3734">
        <v>0</v>
      </c>
      <c r="Y3734">
        <v>0</v>
      </c>
      <c r="Z3734">
        <v>0</v>
      </c>
      <c r="AA3734">
        <v>0</v>
      </c>
      <c r="AB3734">
        <v>0</v>
      </c>
      <c r="AC3734">
        <v>0</v>
      </c>
      <c r="AD3734">
        <v>0</v>
      </c>
      <c r="AE3734">
        <v>0</v>
      </c>
      <c r="AF3734">
        <v>0</v>
      </c>
      <c r="AG3734">
        <v>0</v>
      </c>
      <c r="AH3734">
        <v>0</v>
      </c>
      <c r="AI3734">
        <v>0</v>
      </c>
      <c r="AJ3734">
        <v>0</v>
      </c>
      <c r="AK3734">
        <v>0</v>
      </c>
      <c r="AL3734">
        <v>0</v>
      </c>
      <c r="AM3734">
        <v>0</v>
      </c>
      <c r="AN3734">
        <v>0</v>
      </c>
      <c r="AO3734">
        <v>0</v>
      </c>
      <c r="AP3734">
        <v>0</v>
      </c>
      <c r="AQ3734">
        <v>97.56</v>
      </c>
      <c r="AR3734">
        <v>0</v>
      </c>
      <c r="AS3734">
        <v>0</v>
      </c>
      <c r="AT3734">
        <v>0</v>
      </c>
      <c r="AU3734">
        <v>0</v>
      </c>
      <c r="AV3734">
        <v>0</v>
      </c>
      <c r="AW3734">
        <v>0</v>
      </c>
      <c r="AX3734">
        <v>0</v>
      </c>
      <c r="AY3734">
        <v>0</v>
      </c>
      <c r="AZ3734">
        <v>0</v>
      </c>
      <c r="BA3734">
        <v>0</v>
      </c>
      <c r="BB3734">
        <v>0</v>
      </c>
      <c r="BC3734">
        <v>0</v>
      </c>
      <c r="BD3734">
        <v>0</v>
      </c>
      <c r="BE3734">
        <v>0</v>
      </c>
      <c r="BF3734">
        <v>0</v>
      </c>
      <c r="BG3734">
        <v>0</v>
      </c>
      <c r="BH3734">
        <v>1</v>
      </c>
      <c r="BI3734">
        <v>5</v>
      </c>
      <c r="BJ3734">
        <v>3.4</v>
      </c>
      <c r="BK3734">
        <v>5</v>
      </c>
      <c r="BL3734">
        <v>319.27999999999997</v>
      </c>
      <c r="BM3734">
        <v>47.89</v>
      </c>
      <c r="BN3734">
        <v>367.17</v>
      </c>
      <c r="BO3734">
        <v>367.17</v>
      </c>
      <c r="BQ3734" t="s">
        <v>767</v>
      </c>
      <c r="BR3734" t="s">
        <v>84</v>
      </c>
      <c r="BS3734" s="3">
        <v>45806</v>
      </c>
      <c r="BT3734" s="4">
        <v>0.4861111111111111</v>
      </c>
      <c r="BU3734" t="s">
        <v>768</v>
      </c>
      <c r="BV3734" t="s">
        <v>86</v>
      </c>
      <c r="BY3734">
        <v>16965</v>
      </c>
      <c r="CA3734" t="s">
        <v>128</v>
      </c>
      <c r="CC3734" t="s">
        <v>123</v>
      </c>
      <c r="CD3734">
        <v>7646</v>
      </c>
      <c r="CE3734" t="s">
        <v>96</v>
      </c>
      <c r="CI3734">
        <v>1</v>
      </c>
      <c r="CJ3734">
        <v>1</v>
      </c>
      <c r="CK3734">
        <v>23</v>
      </c>
      <c r="CL3734" t="s">
        <v>89</v>
      </c>
    </row>
    <row r="3735" spans="1:90" x14ac:dyDescent="0.3">
      <c r="A3735" t="s">
        <v>72</v>
      </c>
      <c r="B3735" t="s">
        <v>73</v>
      </c>
      <c r="C3735" t="s">
        <v>74</v>
      </c>
      <c r="E3735" t="str">
        <f>"080065621610"</f>
        <v>080065621610</v>
      </c>
      <c r="F3735" s="3">
        <v>45805</v>
      </c>
      <c r="G3735">
        <v>202602</v>
      </c>
      <c r="H3735" t="s">
        <v>75</v>
      </c>
      <c r="I3735" t="s">
        <v>76</v>
      </c>
      <c r="J3735" t="s">
        <v>77</v>
      </c>
      <c r="K3735" t="s">
        <v>78</v>
      </c>
      <c r="L3735" t="s">
        <v>479</v>
      </c>
      <c r="M3735" t="s">
        <v>480</v>
      </c>
      <c r="N3735" t="s">
        <v>3392</v>
      </c>
      <c r="O3735" t="s">
        <v>82</v>
      </c>
      <c r="P3735" t="str">
        <f>"4170041195                    "</f>
        <v xml:space="preserve">4170041195                    </v>
      </c>
      <c r="Q3735">
        <v>0</v>
      </c>
      <c r="R3735">
        <v>0</v>
      </c>
      <c r="S3735">
        <v>0</v>
      </c>
      <c r="T3735">
        <v>0</v>
      </c>
      <c r="U3735">
        <v>0</v>
      </c>
      <c r="V3735">
        <v>0</v>
      </c>
      <c r="W3735">
        <v>0</v>
      </c>
      <c r="X3735">
        <v>0</v>
      </c>
      <c r="Y3735">
        <v>0</v>
      </c>
      <c r="Z3735">
        <v>0</v>
      </c>
      <c r="AA3735">
        <v>0</v>
      </c>
      <c r="AB3735">
        <v>0</v>
      </c>
      <c r="AC3735">
        <v>0</v>
      </c>
      <c r="AD3735">
        <v>0</v>
      </c>
      <c r="AE3735">
        <v>0</v>
      </c>
      <c r="AF3735">
        <v>0</v>
      </c>
      <c r="AG3735">
        <v>0</v>
      </c>
      <c r="AH3735">
        <v>0</v>
      </c>
      <c r="AI3735">
        <v>0</v>
      </c>
      <c r="AJ3735">
        <v>0</v>
      </c>
      <c r="AK3735">
        <v>0</v>
      </c>
      <c r="AL3735">
        <v>0</v>
      </c>
      <c r="AM3735">
        <v>0</v>
      </c>
      <c r="AN3735">
        <v>0</v>
      </c>
      <c r="AO3735">
        <v>0</v>
      </c>
      <c r="AP3735">
        <v>0</v>
      </c>
      <c r="AQ3735">
        <v>16.7</v>
      </c>
      <c r="AR3735">
        <v>0</v>
      </c>
      <c r="AS3735">
        <v>0</v>
      </c>
      <c r="AT3735">
        <v>0</v>
      </c>
      <c r="AU3735">
        <v>0</v>
      </c>
      <c r="AV3735">
        <v>0</v>
      </c>
      <c r="AW3735">
        <v>0</v>
      </c>
      <c r="AX3735">
        <v>0</v>
      </c>
      <c r="AY3735">
        <v>0</v>
      </c>
      <c r="AZ3735">
        <v>0</v>
      </c>
      <c r="BA3735">
        <v>0</v>
      </c>
      <c r="BB3735">
        <v>0</v>
      </c>
      <c r="BC3735">
        <v>0</v>
      </c>
      <c r="BD3735">
        <v>0</v>
      </c>
      <c r="BE3735">
        <v>0</v>
      </c>
      <c r="BF3735">
        <v>0</v>
      </c>
      <c r="BG3735">
        <v>0</v>
      </c>
      <c r="BH3735">
        <v>1</v>
      </c>
      <c r="BI3735">
        <v>2</v>
      </c>
      <c r="BJ3735">
        <v>3.8</v>
      </c>
      <c r="BK3735">
        <v>4</v>
      </c>
      <c r="BL3735">
        <v>54.66</v>
      </c>
      <c r="BM3735">
        <v>8.1999999999999993</v>
      </c>
      <c r="BN3735">
        <v>62.86</v>
      </c>
      <c r="BO3735">
        <v>62.86</v>
      </c>
      <c r="BQ3735" t="s">
        <v>3393</v>
      </c>
      <c r="BR3735" t="s">
        <v>84</v>
      </c>
      <c r="BS3735" s="3">
        <v>45806</v>
      </c>
      <c r="BT3735" s="4">
        <v>0.40069444444444446</v>
      </c>
      <c r="BU3735" t="s">
        <v>3394</v>
      </c>
      <c r="BV3735" t="s">
        <v>86</v>
      </c>
      <c r="BY3735">
        <v>19040</v>
      </c>
      <c r="CA3735" t="s">
        <v>796</v>
      </c>
      <c r="CC3735" t="s">
        <v>480</v>
      </c>
      <c r="CD3735">
        <v>2163</v>
      </c>
      <c r="CE3735" t="s">
        <v>221</v>
      </c>
      <c r="CF3735" s="3">
        <v>45807</v>
      </c>
      <c r="CI3735">
        <v>1</v>
      </c>
      <c r="CJ3735">
        <v>1</v>
      </c>
      <c r="CK3735">
        <v>22</v>
      </c>
      <c r="CL3735" t="s">
        <v>89</v>
      </c>
    </row>
    <row r="3736" spans="1:90" x14ac:dyDescent="0.3">
      <c r="A3736" t="s">
        <v>72</v>
      </c>
      <c r="B3736" t="s">
        <v>73</v>
      </c>
      <c r="C3736" t="s">
        <v>74</v>
      </c>
      <c r="E3736" t="str">
        <f>"080065621651"</f>
        <v>080065621651</v>
      </c>
      <c r="F3736" s="3">
        <v>45805</v>
      </c>
      <c r="G3736">
        <v>202602</v>
      </c>
      <c r="H3736" t="s">
        <v>75</v>
      </c>
      <c r="I3736" t="s">
        <v>76</v>
      </c>
      <c r="J3736" t="s">
        <v>77</v>
      </c>
      <c r="K3736" t="s">
        <v>78</v>
      </c>
      <c r="L3736" t="s">
        <v>103</v>
      </c>
      <c r="M3736" t="s">
        <v>104</v>
      </c>
      <c r="N3736" t="s">
        <v>105</v>
      </c>
      <c r="O3736" t="s">
        <v>300</v>
      </c>
      <c r="P3736" t="str">
        <f>"4170041093                    "</f>
        <v xml:space="preserve">4170041093                    </v>
      </c>
      <c r="Q3736">
        <v>0</v>
      </c>
      <c r="R3736">
        <v>0</v>
      </c>
      <c r="S3736">
        <v>0</v>
      </c>
      <c r="T3736">
        <v>0</v>
      </c>
      <c r="U3736">
        <v>0</v>
      </c>
      <c r="V3736">
        <v>0</v>
      </c>
      <c r="W3736">
        <v>0</v>
      </c>
      <c r="X3736">
        <v>0</v>
      </c>
      <c r="Y3736">
        <v>0</v>
      </c>
      <c r="Z3736">
        <v>0</v>
      </c>
      <c r="AA3736">
        <v>0</v>
      </c>
      <c r="AB3736">
        <v>0</v>
      </c>
      <c r="AC3736">
        <v>0</v>
      </c>
      <c r="AD3736">
        <v>0</v>
      </c>
      <c r="AE3736">
        <v>0</v>
      </c>
      <c r="AF3736">
        <v>0</v>
      </c>
      <c r="AG3736">
        <v>0</v>
      </c>
      <c r="AH3736">
        <v>0</v>
      </c>
      <c r="AI3736">
        <v>0</v>
      </c>
      <c r="AJ3736">
        <v>0</v>
      </c>
      <c r="AK3736">
        <v>0</v>
      </c>
      <c r="AL3736">
        <v>0</v>
      </c>
      <c r="AM3736">
        <v>0</v>
      </c>
      <c r="AN3736">
        <v>0</v>
      </c>
      <c r="AO3736">
        <v>0</v>
      </c>
      <c r="AP3736">
        <v>0</v>
      </c>
      <c r="AQ3736">
        <v>49.89</v>
      </c>
      <c r="AR3736">
        <v>0</v>
      </c>
      <c r="AS3736">
        <v>0</v>
      </c>
      <c r="AT3736">
        <v>0</v>
      </c>
      <c r="AU3736">
        <v>0</v>
      </c>
      <c r="AV3736">
        <v>0</v>
      </c>
      <c r="AW3736">
        <v>0</v>
      </c>
      <c r="AX3736">
        <v>0</v>
      </c>
      <c r="AY3736">
        <v>0</v>
      </c>
      <c r="AZ3736">
        <v>0</v>
      </c>
      <c r="BA3736">
        <v>0</v>
      </c>
      <c r="BB3736">
        <v>0</v>
      </c>
      <c r="BC3736">
        <v>0</v>
      </c>
      <c r="BD3736">
        <v>0</v>
      </c>
      <c r="BE3736">
        <v>0</v>
      </c>
      <c r="BF3736">
        <v>0</v>
      </c>
      <c r="BG3736">
        <v>0</v>
      </c>
      <c r="BH3736">
        <v>1</v>
      </c>
      <c r="BI3736">
        <v>8</v>
      </c>
      <c r="BJ3736">
        <v>19.2</v>
      </c>
      <c r="BK3736">
        <v>20</v>
      </c>
      <c r="BL3736">
        <v>168.84</v>
      </c>
      <c r="BM3736">
        <v>25.33</v>
      </c>
      <c r="BN3736">
        <v>194.17</v>
      </c>
      <c r="BO3736">
        <v>194.17</v>
      </c>
      <c r="BQ3736" t="s">
        <v>106</v>
      </c>
      <c r="BR3736" t="s">
        <v>84</v>
      </c>
      <c r="BS3736" s="3">
        <v>45806</v>
      </c>
      <c r="BT3736" s="4">
        <v>0.53611111111111109</v>
      </c>
      <c r="BU3736" t="s">
        <v>430</v>
      </c>
      <c r="BV3736" t="s">
        <v>86</v>
      </c>
      <c r="BY3736">
        <v>96000</v>
      </c>
      <c r="CA3736" t="s">
        <v>108</v>
      </c>
      <c r="CC3736" t="s">
        <v>104</v>
      </c>
      <c r="CD3736">
        <v>3201</v>
      </c>
      <c r="CE3736" t="s">
        <v>221</v>
      </c>
      <c r="CF3736" s="3">
        <v>45806</v>
      </c>
      <c r="CI3736">
        <v>2</v>
      </c>
      <c r="CJ3736">
        <v>1</v>
      </c>
      <c r="CK3736">
        <v>41</v>
      </c>
      <c r="CL3736" t="s">
        <v>89</v>
      </c>
    </row>
    <row r="3737" spans="1:90" x14ac:dyDescent="0.3">
      <c r="A3737" t="s">
        <v>72</v>
      </c>
      <c r="B3737" t="s">
        <v>73</v>
      </c>
      <c r="C3737" t="s">
        <v>74</v>
      </c>
      <c r="E3737" t="str">
        <f>"080065621683"</f>
        <v>080065621683</v>
      </c>
      <c r="F3737" s="3">
        <v>45805</v>
      </c>
      <c r="G3737">
        <v>202602</v>
      </c>
      <c r="H3737" t="s">
        <v>75</v>
      </c>
      <c r="I3737" t="s">
        <v>76</v>
      </c>
      <c r="J3737" t="s">
        <v>77</v>
      </c>
      <c r="K3737" t="s">
        <v>78</v>
      </c>
      <c r="L3737" t="s">
        <v>117</v>
      </c>
      <c r="M3737" t="s">
        <v>118</v>
      </c>
      <c r="N3737" t="s">
        <v>532</v>
      </c>
      <c r="O3737" t="s">
        <v>300</v>
      </c>
      <c r="P3737" t="str">
        <f>"4170041116                    "</f>
        <v xml:space="preserve">4170041116                    </v>
      </c>
      <c r="Q3737">
        <v>0</v>
      </c>
      <c r="R3737">
        <v>0</v>
      </c>
      <c r="S3737">
        <v>0</v>
      </c>
      <c r="T3737">
        <v>0</v>
      </c>
      <c r="U3737">
        <v>0</v>
      </c>
      <c r="V3737">
        <v>0</v>
      </c>
      <c r="W3737">
        <v>0</v>
      </c>
      <c r="X3737">
        <v>0</v>
      </c>
      <c r="Y3737">
        <v>0</v>
      </c>
      <c r="Z3737">
        <v>0</v>
      </c>
      <c r="AA3737">
        <v>0</v>
      </c>
      <c r="AB3737">
        <v>0</v>
      </c>
      <c r="AC3737">
        <v>0</v>
      </c>
      <c r="AD3737">
        <v>0</v>
      </c>
      <c r="AE3737">
        <v>0</v>
      </c>
      <c r="AF3737">
        <v>0</v>
      </c>
      <c r="AG3737">
        <v>0</v>
      </c>
      <c r="AH3737">
        <v>0</v>
      </c>
      <c r="AI3737">
        <v>0</v>
      </c>
      <c r="AJ3737">
        <v>0</v>
      </c>
      <c r="AK3737">
        <v>0</v>
      </c>
      <c r="AL3737">
        <v>0</v>
      </c>
      <c r="AM3737">
        <v>0</v>
      </c>
      <c r="AN3737">
        <v>0</v>
      </c>
      <c r="AO3737">
        <v>0</v>
      </c>
      <c r="AP3737">
        <v>0</v>
      </c>
      <c r="AQ3737">
        <v>34.71</v>
      </c>
      <c r="AR3737">
        <v>0</v>
      </c>
      <c r="AS3737">
        <v>0</v>
      </c>
      <c r="AT3737">
        <v>0</v>
      </c>
      <c r="AU3737">
        <v>0</v>
      </c>
      <c r="AV3737">
        <v>0</v>
      </c>
      <c r="AW3737">
        <v>0</v>
      </c>
      <c r="AX3737">
        <v>0</v>
      </c>
      <c r="AY3737">
        <v>0</v>
      </c>
      <c r="AZ3737">
        <v>0</v>
      </c>
      <c r="BA3737">
        <v>0</v>
      </c>
      <c r="BB3737">
        <v>0</v>
      </c>
      <c r="BC3737">
        <v>0</v>
      </c>
      <c r="BD3737">
        <v>0</v>
      </c>
      <c r="BE3737">
        <v>0</v>
      </c>
      <c r="BF3737">
        <v>0</v>
      </c>
      <c r="BG3737">
        <v>0</v>
      </c>
      <c r="BH3737">
        <v>1</v>
      </c>
      <c r="BI3737">
        <v>12</v>
      </c>
      <c r="BJ3737">
        <v>17.7</v>
      </c>
      <c r="BK3737">
        <v>18</v>
      </c>
      <c r="BL3737">
        <v>119.16</v>
      </c>
      <c r="BM3737">
        <v>17.87</v>
      </c>
      <c r="BN3737">
        <v>137.03</v>
      </c>
      <c r="BO3737">
        <v>137.03</v>
      </c>
      <c r="BQ3737" t="s">
        <v>533</v>
      </c>
      <c r="BR3737" t="s">
        <v>84</v>
      </c>
      <c r="BS3737" s="3">
        <v>45806</v>
      </c>
      <c r="BT3737" s="4">
        <v>0.42291666666666666</v>
      </c>
      <c r="BU3737" t="s">
        <v>534</v>
      </c>
      <c r="BV3737" t="s">
        <v>86</v>
      </c>
      <c r="BY3737">
        <v>88320</v>
      </c>
      <c r="CA3737" t="s">
        <v>535</v>
      </c>
      <c r="CC3737" t="s">
        <v>118</v>
      </c>
      <c r="CD3737">
        <v>2094</v>
      </c>
      <c r="CE3737" t="s">
        <v>96</v>
      </c>
      <c r="CF3737" s="3">
        <v>45806</v>
      </c>
      <c r="CI3737">
        <v>1</v>
      </c>
      <c r="CJ3737">
        <v>1</v>
      </c>
      <c r="CK3737">
        <v>42</v>
      </c>
      <c r="CL3737" t="s">
        <v>89</v>
      </c>
    </row>
    <row r="3738" spans="1:90" x14ac:dyDescent="0.3">
      <c r="A3738" t="s">
        <v>72</v>
      </c>
      <c r="B3738" t="s">
        <v>73</v>
      </c>
      <c r="C3738" t="s">
        <v>74</v>
      </c>
      <c r="E3738" t="str">
        <f>"080065621705"</f>
        <v>080065621705</v>
      </c>
      <c r="F3738" s="3">
        <v>45805</v>
      </c>
      <c r="G3738">
        <v>202602</v>
      </c>
      <c r="H3738" t="s">
        <v>75</v>
      </c>
      <c r="I3738" t="s">
        <v>76</v>
      </c>
      <c r="J3738" t="s">
        <v>77</v>
      </c>
      <c r="K3738" t="s">
        <v>78</v>
      </c>
      <c r="L3738" t="s">
        <v>90</v>
      </c>
      <c r="M3738" t="s">
        <v>91</v>
      </c>
      <c r="N3738" t="s">
        <v>92</v>
      </c>
      <c r="O3738" t="s">
        <v>82</v>
      </c>
      <c r="P3738" t="str">
        <f>"4170041120                    "</f>
        <v xml:space="preserve">4170041120                    </v>
      </c>
      <c r="Q3738">
        <v>0</v>
      </c>
      <c r="R3738">
        <v>0</v>
      </c>
      <c r="S3738">
        <v>0</v>
      </c>
      <c r="T3738">
        <v>0</v>
      </c>
      <c r="U3738">
        <v>0</v>
      </c>
      <c r="V3738">
        <v>0</v>
      </c>
      <c r="W3738">
        <v>0</v>
      </c>
      <c r="X3738">
        <v>0</v>
      </c>
      <c r="Y3738">
        <v>0</v>
      </c>
      <c r="Z3738">
        <v>0</v>
      </c>
      <c r="AA3738">
        <v>0</v>
      </c>
      <c r="AB3738">
        <v>0</v>
      </c>
      <c r="AC3738">
        <v>0</v>
      </c>
      <c r="AD3738">
        <v>0</v>
      </c>
      <c r="AE3738">
        <v>0</v>
      </c>
      <c r="AF3738">
        <v>0</v>
      </c>
      <c r="AG3738">
        <v>0</v>
      </c>
      <c r="AH3738">
        <v>0</v>
      </c>
      <c r="AI3738">
        <v>0</v>
      </c>
      <c r="AJ3738">
        <v>0</v>
      </c>
      <c r="AK3738">
        <v>0</v>
      </c>
      <c r="AL3738">
        <v>0</v>
      </c>
      <c r="AM3738">
        <v>0</v>
      </c>
      <c r="AN3738">
        <v>0</v>
      </c>
      <c r="AO3738">
        <v>0</v>
      </c>
      <c r="AP3738">
        <v>0</v>
      </c>
      <c r="AQ3738">
        <v>37.409999999999997</v>
      </c>
      <c r="AR3738">
        <v>0</v>
      </c>
      <c r="AS3738">
        <v>0</v>
      </c>
      <c r="AT3738">
        <v>0</v>
      </c>
      <c r="AU3738">
        <v>0</v>
      </c>
      <c r="AV3738">
        <v>0</v>
      </c>
      <c r="AW3738">
        <v>0</v>
      </c>
      <c r="AX3738">
        <v>0</v>
      </c>
      <c r="AY3738">
        <v>0</v>
      </c>
      <c r="AZ3738">
        <v>0</v>
      </c>
      <c r="BA3738">
        <v>0</v>
      </c>
      <c r="BB3738">
        <v>0</v>
      </c>
      <c r="BC3738">
        <v>0</v>
      </c>
      <c r="BD3738">
        <v>0</v>
      </c>
      <c r="BE3738">
        <v>0</v>
      </c>
      <c r="BF3738">
        <v>0</v>
      </c>
      <c r="BG3738">
        <v>0</v>
      </c>
      <c r="BH3738">
        <v>1</v>
      </c>
      <c r="BI3738">
        <v>1</v>
      </c>
      <c r="BJ3738">
        <v>3.1</v>
      </c>
      <c r="BK3738">
        <v>3.5</v>
      </c>
      <c r="BL3738">
        <v>122.43</v>
      </c>
      <c r="BM3738">
        <v>18.36</v>
      </c>
      <c r="BN3738">
        <v>140.79</v>
      </c>
      <c r="BO3738">
        <v>140.79</v>
      </c>
      <c r="BQ3738" t="s">
        <v>93</v>
      </c>
      <c r="BR3738" t="s">
        <v>84</v>
      </c>
      <c r="BS3738" s="3">
        <v>45806</v>
      </c>
      <c r="BT3738" s="4">
        <v>0.40486111111111112</v>
      </c>
      <c r="BU3738" t="s">
        <v>205</v>
      </c>
      <c r="BV3738" t="s">
        <v>86</v>
      </c>
      <c r="BY3738">
        <v>15360</v>
      </c>
      <c r="CA3738" t="s">
        <v>95</v>
      </c>
      <c r="CC3738" t="s">
        <v>91</v>
      </c>
      <c r="CD3738">
        <v>6001</v>
      </c>
      <c r="CE3738" t="s">
        <v>96</v>
      </c>
      <c r="CF3738" s="3">
        <v>45806</v>
      </c>
      <c r="CI3738">
        <v>1</v>
      </c>
      <c r="CJ3738">
        <v>1</v>
      </c>
      <c r="CK3738">
        <v>21</v>
      </c>
      <c r="CL3738" t="s">
        <v>89</v>
      </c>
    </row>
    <row r="3739" spans="1:90" x14ac:dyDescent="0.3">
      <c r="A3739" t="s">
        <v>72</v>
      </c>
      <c r="B3739" t="s">
        <v>73</v>
      </c>
      <c r="C3739" t="s">
        <v>74</v>
      </c>
      <c r="E3739" t="str">
        <f>"080065621753"</f>
        <v>080065621753</v>
      </c>
      <c r="F3739" s="3">
        <v>45805</v>
      </c>
      <c r="G3739">
        <v>202602</v>
      </c>
      <c r="H3739" t="s">
        <v>75</v>
      </c>
      <c r="I3739" t="s">
        <v>76</v>
      </c>
      <c r="J3739" t="s">
        <v>77</v>
      </c>
      <c r="K3739" t="s">
        <v>78</v>
      </c>
      <c r="L3739" t="s">
        <v>103</v>
      </c>
      <c r="M3739" t="s">
        <v>104</v>
      </c>
      <c r="N3739" t="s">
        <v>633</v>
      </c>
      <c r="O3739" t="s">
        <v>82</v>
      </c>
      <c r="P3739" t="str">
        <f>"4170041228                    "</f>
        <v xml:space="preserve">4170041228                    </v>
      </c>
      <c r="Q3739">
        <v>0</v>
      </c>
      <c r="R3739">
        <v>0</v>
      </c>
      <c r="S3739">
        <v>0</v>
      </c>
      <c r="T3739">
        <v>0</v>
      </c>
      <c r="U3739">
        <v>0</v>
      </c>
      <c r="V3739">
        <v>0</v>
      </c>
      <c r="W3739">
        <v>0</v>
      </c>
      <c r="X3739">
        <v>0</v>
      </c>
      <c r="Y3739">
        <v>0</v>
      </c>
      <c r="Z3739">
        <v>0</v>
      </c>
      <c r="AA3739">
        <v>0</v>
      </c>
      <c r="AB3739">
        <v>0</v>
      </c>
      <c r="AC3739">
        <v>0</v>
      </c>
      <c r="AD3739">
        <v>0</v>
      </c>
      <c r="AE3739">
        <v>0</v>
      </c>
      <c r="AF3739">
        <v>0</v>
      </c>
      <c r="AG3739">
        <v>0</v>
      </c>
      <c r="AH3739">
        <v>0</v>
      </c>
      <c r="AI3739">
        <v>0</v>
      </c>
      <c r="AJ3739">
        <v>0</v>
      </c>
      <c r="AK3739">
        <v>0</v>
      </c>
      <c r="AL3739">
        <v>0</v>
      </c>
      <c r="AM3739">
        <v>0</v>
      </c>
      <c r="AN3739">
        <v>0</v>
      </c>
      <c r="AO3739">
        <v>0</v>
      </c>
      <c r="AP3739">
        <v>0</v>
      </c>
      <c r="AQ3739">
        <v>138.9</v>
      </c>
      <c r="AR3739">
        <v>0</v>
      </c>
      <c r="AS3739">
        <v>0</v>
      </c>
      <c r="AT3739">
        <v>0</v>
      </c>
      <c r="AU3739">
        <v>0</v>
      </c>
      <c r="AV3739">
        <v>0</v>
      </c>
      <c r="AW3739">
        <v>0</v>
      </c>
      <c r="AX3739">
        <v>0</v>
      </c>
      <c r="AY3739">
        <v>0</v>
      </c>
      <c r="AZ3739">
        <v>0</v>
      </c>
      <c r="BA3739">
        <v>0</v>
      </c>
      <c r="BB3739">
        <v>0</v>
      </c>
      <c r="BC3739">
        <v>0</v>
      </c>
      <c r="BD3739">
        <v>0</v>
      </c>
      <c r="BE3739">
        <v>0</v>
      </c>
      <c r="BF3739">
        <v>0</v>
      </c>
      <c r="BG3739">
        <v>0</v>
      </c>
      <c r="BH3739">
        <v>1</v>
      </c>
      <c r="BI3739">
        <v>13</v>
      </c>
      <c r="BJ3739">
        <v>4.3</v>
      </c>
      <c r="BK3739">
        <v>13</v>
      </c>
      <c r="BL3739">
        <v>454.58</v>
      </c>
      <c r="BM3739">
        <v>68.19</v>
      </c>
      <c r="BN3739">
        <v>522.77</v>
      </c>
      <c r="BO3739">
        <v>522.77</v>
      </c>
      <c r="BQ3739" t="s">
        <v>634</v>
      </c>
      <c r="BR3739" t="s">
        <v>84</v>
      </c>
      <c r="BS3739" s="3">
        <v>45806</v>
      </c>
      <c r="BT3739" s="4">
        <v>0.41666666666666669</v>
      </c>
      <c r="BU3739" t="s">
        <v>1466</v>
      </c>
      <c r="BV3739" t="s">
        <v>86</v>
      </c>
      <c r="BY3739">
        <v>21489</v>
      </c>
      <c r="CA3739" t="s">
        <v>440</v>
      </c>
      <c r="CC3739" t="s">
        <v>104</v>
      </c>
      <c r="CD3739">
        <v>3212</v>
      </c>
      <c r="CE3739" t="s">
        <v>96</v>
      </c>
      <c r="CI3739">
        <v>2</v>
      </c>
      <c r="CJ3739">
        <v>1</v>
      </c>
      <c r="CK3739">
        <v>21</v>
      </c>
      <c r="CL3739" t="s">
        <v>89</v>
      </c>
    </row>
    <row r="3740" spans="1:90" x14ac:dyDescent="0.3">
      <c r="A3740" t="s">
        <v>72</v>
      </c>
      <c r="B3740" t="s">
        <v>73</v>
      </c>
      <c r="C3740" t="s">
        <v>74</v>
      </c>
      <c r="E3740" t="str">
        <f>"080065621799"</f>
        <v>080065621799</v>
      </c>
      <c r="F3740" s="3">
        <v>45805</v>
      </c>
      <c r="G3740">
        <v>202602</v>
      </c>
      <c r="H3740" t="s">
        <v>75</v>
      </c>
      <c r="I3740" t="s">
        <v>76</v>
      </c>
      <c r="J3740" t="s">
        <v>77</v>
      </c>
      <c r="K3740" t="s">
        <v>78</v>
      </c>
      <c r="L3740" t="s">
        <v>97</v>
      </c>
      <c r="M3740" t="s">
        <v>98</v>
      </c>
      <c r="N3740" t="s">
        <v>934</v>
      </c>
      <c r="O3740" t="s">
        <v>82</v>
      </c>
      <c r="P3740" t="str">
        <f>"4170041177                    "</f>
        <v xml:space="preserve">4170041177                    </v>
      </c>
      <c r="Q3740">
        <v>0</v>
      </c>
      <c r="R3740">
        <v>0</v>
      </c>
      <c r="S3740">
        <v>0</v>
      </c>
      <c r="T3740">
        <v>0</v>
      </c>
      <c r="U3740">
        <v>0</v>
      </c>
      <c r="V3740">
        <v>0</v>
      </c>
      <c r="W3740">
        <v>0</v>
      </c>
      <c r="X3740">
        <v>0</v>
      </c>
      <c r="Y3740">
        <v>0</v>
      </c>
      <c r="Z3740">
        <v>0</v>
      </c>
      <c r="AA3740">
        <v>0</v>
      </c>
      <c r="AB3740">
        <v>0</v>
      </c>
      <c r="AC3740">
        <v>0</v>
      </c>
      <c r="AD3740">
        <v>0</v>
      </c>
      <c r="AE3740">
        <v>0</v>
      </c>
      <c r="AF3740">
        <v>0</v>
      </c>
      <c r="AG3740">
        <v>0</v>
      </c>
      <c r="AH3740">
        <v>0</v>
      </c>
      <c r="AI3740">
        <v>0</v>
      </c>
      <c r="AJ3740">
        <v>0</v>
      </c>
      <c r="AK3740">
        <v>0</v>
      </c>
      <c r="AL3740">
        <v>0</v>
      </c>
      <c r="AM3740">
        <v>0</v>
      </c>
      <c r="AN3740">
        <v>0</v>
      </c>
      <c r="AO3740">
        <v>0</v>
      </c>
      <c r="AP3740">
        <v>0</v>
      </c>
      <c r="AQ3740">
        <v>16.7</v>
      </c>
      <c r="AR3740">
        <v>0</v>
      </c>
      <c r="AS3740">
        <v>0</v>
      </c>
      <c r="AT3740">
        <v>0</v>
      </c>
      <c r="AU3740">
        <v>0</v>
      </c>
      <c r="AV3740">
        <v>0</v>
      </c>
      <c r="AW3740">
        <v>0</v>
      </c>
      <c r="AX3740">
        <v>0</v>
      </c>
      <c r="AY3740">
        <v>0</v>
      </c>
      <c r="AZ3740">
        <v>0</v>
      </c>
      <c r="BA3740">
        <v>0</v>
      </c>
      <c r="BB3740">
        <v>0</v>
      </c>
      <c r="BC3740">
        <v>0</v>
      </c>
      <c r="BD3740">
        <v>0</v>
      </c>
      <c r="BE3740">
        <v>0</v>
      </c>
      <c r="BF3740">
        <v>0</v>
      </c>
      <c r="BG3740">
        <v>0</v>
      </c>
      <c r="BH3740">
        <v>1</v>
      </c>
      <c r="BI3740">
        <v>6</v>
      </c>
      <c r="BJ3740">
        <v>2.8</v>
      </c>
      <c r="BK3740">
        <v>6</v>
      </c>
      <c r="BL3740">
        <v>54.66</v>
      </c>
      <c r="BM3740">
        <v>8.1999999999999993</v>
      </c>
      <c r="BN3740">
        <v>62.86</v>
      </c>
      <c r="BO3740">
        <v>62.86</v>
      </c>
      <c r="BQ3740" t="s">
        <v>935</v>
      </c>
      <c r="BR3740" t="s">
        <v>84</v>
      </c>
      <c r="BS3740" s="3">
        <v>45806</v>
      </c>
      <c r="BT3740" s="4">
        <v>0.39444444444444443</v>
      </c>
      <c r="BU3740" t="s">
        <v>2238</v>
      </c>
      <c r="BV3740" t="s">
        <v>86</v>
      </c>
      <c r="BY3740">
        <v>14000</v>
      </c>
      <c r="CA3740" t="s">
        <v>175</v>
      </c>
      <c r="CC3740" t="s">
        <v>98</v>
      </c>
      <c r="CD3740">
        <v>1459</v>
      </c>
      <c r="CE3740" t="s">
        <v>221</v>
      </c>
      <c r="CF3740" s="3">
        <v>45806</v>
      </c>
      <c r="CI3740">
        <v>1</v>
      </c>
      <c r="CJ3740">
        <v>1</v>
      </c>
      <c r="CK3740">
        <v>22</v>
      </c>
      <c r="CL3740" t="s">
        <v>89</v>
      </c>
    </row>
    <row r="3741" spans="1:90" x14ac:dyDescent="0.3">
      <c r="A3741" t="s">
        <v>72</v>
      </c>
      <c r="B3741" t="s">
        <v>73</v>
      </c>
      <c r="C3741" t="s">
        <v>74</v>
      </c>
      <c r="E3741" t="str">
        <f>"080065621836"</f>
        <v>080065621836</v>
      </c>
      <c r="F3741" s="3">
        <v>45805</v>
      </c>
      <c r="G3741">
        <v>202602</v>
      </c>
      <c r="H3741" t="s">
        <v>75</v>
      </c>
      <c r="I3741" t="s">
        <v>76</v>
      </c>
      <c r="J3741" t="s">
        <v>77</v>
      </c>
      <c r="K3741" t="s">
        <v>78</v>
      </c>
      <c r="L3741" t="s">
        <v>97</v>
      </c>
      <c r="M3741" t="s">
        <v>98</v>
      </c>
      <c r="N3741" t="s">
        <v>99</v>
      </c>
      <c r="O3741" t="s">
        <v>82</v>
      </c>
      <c r="P3741" t="str">
        <f>"4170041181                    "</f>
        <v xml:space="preserve">4170041181                    </v>
      </c>
      <c r="Q3741">
        <v>0</v>
      </c>
      <c r="R3741">
        <v>0</v>
      </c>
      <c r="S3741">
        <v>0</v>
      </c>
      <c r="T3741">
        <v>0</v>
      </c>
      <c r="U3741">
        <v>0</v>
      </c>
      <c r="V3741">
        <v>0</v>
      </c>
      <c r="W3741">
        <v>0</v>
      </c>
      <c r="X3741">
        <v>0</v>
      </c>
      <c r="Y3741">
        <v>0</v>
      </c>
      <c r="Z3741">
        <v>0</v>
      </c>
      <c r="AA3741">
        <v>0</v>
      </c>
      <c r="AB3741">
        <v>0</v>
      </c>
      <c r="AC3741">
        <v>0</v>
      </c>
      <c r="AD3741">
        <v>0</v>
      </c>
      <c r="AE3741">
        <v>0</v>
      </c>
      <c r="AF3741">
        <v>0</v>
      </c>
      <c r="AG3741">
        <v>0</v>
      </c>
      <c r="AH3741">
        <v>0</v>
      </c>
      <c r="AI3741">
        <v>0</v>
      </c>
      <c r="AJ3741">
        <v>0</v>
      </c>
      <c r="AK3741">
        <v>0</v>
      </c>
      <c r="AL3741">
        <v>0</v>
      </c>
      <c r="AM3741">
        <v>0</v>
      </c>
      <c r="AN3741">
        <v>0</v>
      </c>
      <c r="AO3741">
        <v>0</v>
      </c>
      <c r="AP3741">
        <v>0</v>
      </c>
      <c r="AQ3741">
        <v>16.7</v>
      </c>
      <c r="AR3741">
        <v>0</v>
      </c>
      <c r="AS3741">
        <v>0</v>
      </c>
      <c r="AT3741">
        <v>0</v>
      </c>
      <c r="AU3741">
        <v>0</v>
      </c>
      <c r="AV3741">
        <v>0</v>
      </c>
      <c r="AW3741">
        <v>0</v>
      </c>
      <c r="AX3741">
        <v>0</v>
      </c>
      <c r="AY3741">
        <v>0</v>
      </c>
      <c r="AZ3741">
        <v>0</v>
      </c>
      <c r="BA3741">
        <v>0</v>
      </c>
      <c r="BB3741">
        <v>0</v>
      </c>
      <c r="BC3741">
        <v>0</v>
      </c>
      <c r="BD3741">
        <v>0</v>
      </c>
      <c r="BE3741">
        <v>0</v>
      </c>
      <c r="BF3741">
        <v>0</v>
      </c>
      <c r="BG3741">
        <v>0</v>
      </c>
      <c r="BH3741">
        <v>1</v>
      </c>
      <c r="BI3741">
        <v>2</v>
      </c>
      <c r="BJ3741">
        <v>1.4</v>
      </c>
      <c r="BK3741">
        <v>2</v>
      </c>
      <c r="BL3741">
        <v>54.66</v>
      </c>
      <c r="BM3741">
        <v>8.1999999999999993</v>
      </c>
      <c r="BN3741">
        <v>62.86</v>
      </c>
      <c r="BO3741">
        <v>62.86</v>
      </c>
      <c r="BQ3741" t="s">
        <v>100</v>
      </c>
      <c r="BR3741" t="s">
        <v>84</v>
      </c>
      <c r="BS3741" s="3">
        <v>45806</v>
      </c>
      <c r="BT3741" s="4">
        <v>0.34027777777777779</v>
      </c>
      <c r="BU3741" t="s">
        <v>551</v>
      </c>
      <c r="BV3741" t="s">
        <v>86</v>
      </c>
      <c r="BY3741">
        <v>7000</v>
      </c>
      <c r="CA3741" t="s">
        <v>279</v>
      </c>
      <c r="CC3741" t="s">
        <v>98</v>
      </c>
      <c r="CD3741">
        <v>1459</v>
      </c>
      <c r="CE3741" t="s">
        <v>96</v>
      </c>
      <c r="CF3741" s="3">
        <v>45807</v>
      </c>
      <c r="CI3741">
        <v>1</v>
      </c>
      <c r="CJ3741">
        <v>1</v>
      </c>
      <c r="CK3741">
        <v>22</v>
      </c>
      <c r="CL3741" t="s">
        <v>89</v>
      </c>
    </row>
    <row r="3742" spans="1:90" x14ac:dyDescent="0.3">
      <c r="A3742" t="s">
        <v>72</v>
      </c>
      <c r="B3742" t="s">
        <v>73</v>
      </c>
      <c r="C3742" t="s">
        <v>74</v>
      </c>
      <c r="E3742" t="str">
        <f>"080065621863"</f>
        <v>080065621863</v>
      </c>
      <c r="F3742" s="3">
        <v>45805</v>
      </c>
      <c r="G3742">
        <v>202602</v>
      </c>
      <c r="H3742" t="s">
        <v>75</v>
      </c>
      <c r="I3742" t="s">
        <v>76</v>
      </c>
      <c r="J3742" t="s">
        <v>77</v>
      </c>
      <c r="K3742" t="s">
        <v>78</v>
      </c>
      <c r="L3742" t="s">
        <v>90</v>
      </c>
      <c r="M3742" t="s">
        <v>91</v>
      </c>
      <c r="N3742" t="s">
        <v>371</v>
      </c>
      <c r="O3742" t="s">
        <v>82</v>
      </c>
      <c r="P3742" t="str">
        <f>"4170041208                    "</f>
        <v xml:space="preserve">4170041208                    </v>
      </c>
      <c r="Q3742">
        <v>0</v>
      </c>
      <c r="R3742">
        <v>0</v>
      </c>
      <c r="S3742">
        <v>0</v>
      </c>
      <c r="T3742">
        <v>0</v>
      </c>
      <c r="U3742">
        <v>0</v>
      </c>
      <c r="V3742">
        <v>0</v>
      </c>
      <c r="W3742">
        <v>0</v>
      </c>
      <c r="X3742">
        <v>0</v>
      </c>
      <c r="Y3742">
        <v>0</v>
      </c>
      <c r="Z3742">
        <v>0</v>
      </c>
      <c r="AA3742">
        <v>0</v>
      </c>
      <c r="AB3742">
        <v>0</v>
      </c>
      <c r="AC3742">
        <v>0</v>
      </c>
      <c r="AD3742">
        <v>0</v>
      </c>
      <c r="AE3742">
        <v>0</v>
      </c>
      <c r="AF3742">
        <v>0</v>
      </c>
      <c r="AG3742">
        <v>0</v>
      </c>
      <c r="AH3742">
        <v>0</v>
      </c>
      <c r="AI3742">
        <v>0</v>
      </c>
      <c r="AJ3742">
        <v>0</v>
      </c>
      <c r="AK3742">
        <v>0</v>
      </c>
      <c r="AL3742">
        <v>0</v>
      </c>
      <c r="AM3742">
        <v>0</v>
      </c>
      <c r="AN3742">
        <v>0</v>
      </c>
      <c r="AO3742">
        <v>0</v>
      </c>
      <c r="AP3742">
        <v>0</v>
      </c>
      <c r="AQ3742">
        <v>21.38</v>
      </c>
      <c r="AR3742">
        <v>0</v>
      </c>
      <c r="AS3742">
        <v>0</v>
      </c>
      <c r="AT3742">
        <v>0</v>
      </c>
      <c r="AU3742">
        <v>0</v>
      </c>
      <c r="AV3742">
        <v>0</v>
      </c>
      <c r="AW3742">
        <v>0</v>
      </c>
      <c r="AX3742">
        <v>0</v>
      </c>
      <c r="AY3742">
        <v>0</v>
      </c>
      <c r="AZ3742">
        <v>0</v>
      </c>
      <c r="BA3742">
        <v>0</v>
      </c>
      <c r="BB3742">
        <v>0</v>
      </c>
      <c r="BC3742">
        <v>0</v>
      </c>
      <c r="BD3742">
        <v>0</v>
      </c>
      <c r="BE3742">
        <v>0</v>
      </c>
      <c r="BF3742">
        <v>0</v>
      </c>
      <c r="BG3742">
        <v>0</v>
      </c>
      <c r="BH3742">
        <v>1</v>
      </c>
      <c r="BI3742">
        <v>1</v>
      </c>
      <c r="BJ3742">
        <v>1.4</v>
      </c>
      <c r="BK3742">
        <v>1.5</v>
      </c>
      <c r="BL3742">
        <v>69.98</v>
      </c>
      <c r="BM3742">
        <v>10.5</v>
      </c>
      <c r="BN3742">
        <v>80.48</v>
      </c>
      <c r="BO3742">
        <v>80.48</v>
      </c>
      <c r="BQ3742" t="s">
        <v>372</v>
      </c>
      <c r="BR3742" t="s">
        <v>84</v>
      </c>
      <c r="BS3742" s="3">
        <v>45806</v>
      </c>
      <c r="BT3742" s="4">
        <v>0.42569444444444443</v>
      </c>
      <c r="BU3742" t="s">
        <v>373</v>
      </c>
      <c r="BV3742" t="s">
        <v>86</v>
      </c>
      <c r="BY3742">
        <v>7000</v>
      </c>
      <c r="CA3742" t="s">
        <v>298</v>
      </c>
      <c r="CC3742" t="s">
        <v>91</v>
      </c>
      <c r="CD3742">
        <v>6001</v>
      </c>
      <c r="CE3742" t="s">
        <v>96</v>
      </c>
      <c r="CF3742" s="3">
        <v>45806</v>
      </c>
      <c r="CI3742">
        <v>1</v>
      </c>
      <c r="CJ3742">
        <v>1</v>
      </c>
      <c r="CK3742">
        <v>21</v>
      </c>
      <c r="CL3742" t="s">
        <v>89</v>
      </c>
    </row>
    <row r="3743" spans="1:90" x14ac:dyDescent="0.3">
      <c r="A3743" t="s">
        <v>72</v>
      </c>
      <c r="B3743" t="s">
        <v>73</v>
      </c>
      <c r="C3743" t="s">
        <v>74</v>
      </c>
      <c r="E3743" t="str">
        <f>"080065621890"</f>
        <v>080065621890</v>
      </c>
      <c r="F3743" s="3">
        <v>45805</v>
      </c>
      <c r="G3743">
        <v>202602</v>
      </c>
      <c r="H3743" t="s">
        <v>75</v>
      </c>
      <c r="I3743" t="s">
        <v>76</v>
      </c>
      <c r="J3743" t="s">
        <v>77</v>
      </c>
      <c r="K3743" t="s">
        <v>78</v>
      </c>
      <c r="L3743" t="s">
        <v>75</v>
      </c>
      <c r="M3743" t="s">
        <v>76</v>
      </c>
      <c r="N3743" t="s">
        <v>390</v>
      </c>
      <c r="O3743" t="s">
        <v>82</v>
      </c>
      <c r="P3743" t="str">
        <f>"4170041206                    "</f>
        <v xml:space="preserve">4170041206                    </v>
      </c>
      <c r="Q3743">
        <v>0</v>
      </c>
      <c r="R3743">
        <v>0</v>
      </c>
      <c r="S3743">
        <v>0</v>
      </c>
      <c r="T3743">
        <v>0</v>
      </c>
      <c r="U3743">
        <v>0</v>
      </c>
      <c r="V3743">
        <v>0</v>
      </c>
      <c r="W3743">
        <v>0</v>
      </c>
      <c r="X3743">
        <v>0</v>
      </c>
      <c r="Y3743">
        <v>0</v>
      </c>
      <c r="Z3743">
        <v>0</v>
      </c>
      <c r="AA3743">
        <v>0</v>
      </c>
      <c r="AB3743">
        <v>0</v>
      </c>
      <c r="AC3743">
        <v>0</v>
      </c>
      <c r="AD3743">
        <v>0</v>
      </c>
      <c r="AE3743">
        <v>0</v>
      </c>
      <c r="AF3743">
        <v>0</v>
      </c>
      <c r="AG3743">
        <v>0</v>
      </c>
      <c r="AH3743">
        <v>0</v>
      </c>
      <c r="AI3743">
        <v>0</v>
      </c>
      <c r="AJ3743">
        <v>0</v>
      </c>
      <c r="AK3743">
        <v>0</v>
      </c>
      <c r="AL3743">
        <v>0</v>
      </c>
      <c r="AM3743">
        <v>0</v>
      </c>
      <c r="AN3743">
        <v>0</v>
      </c>
      <c r="AO3743">
        <v>0</v>
      </c>
      <c r="AP3743">
        <v>0</v>
      </c>
      <c r="AQ3743">
        <v>16.7</v>
      </c>
      <c r="AR3743">
        <v>0</v>
      </c>
      <c r="AS3743">
        <v>0</v>
      </c>
      <c r="AT3743">
        <v>0</v>
      </c>
      <c r="AU3743">
        <v>0</v>
      </c>
      <c r="AV3743">
        <v>0</v>
      </c>
      <c r="AW3743">
        <v>0</v>
      </c>
      <c r="AX3743">
        <v>0</v>
      </c>
      <c r="AY3743">
        <v>0</v>
      </c>
      <c r="AZ3743">
        <v>0</v>
      </c>
      <c r="BA3743">
        <v>0</v>
      </c>
      <c r="BB3743">
        <v>0</v>
      </c>
      <c r="BC3743">
        <v>0</v>
      </c>
      <c r="BD3743">
        <v>0</v>
      </c>
      <c r="BE3743">
        <v>0</v>
      </c>
      <c r="BF3743">
        <v>0</v>
      </c>
      <c r="BG3743">
        <v>0</v>
      </c>
      <c r="BH3743">
        <v>1</v>
      </c>
      <c r="BI3743">
        <v>4</v>
      </c>
      <c r="BJ3743">
        <v>1.4</v>
      </c>
      <c r="BK3743">
        <v>4</v>
      </c>
      <c r="BL3743">
        <v>54.66</v>
      </c>
      <c r="BM3743">
        <v>8.1999999999999993</v>
      </c>
      <c r="BN3743">
        <v>62.86</v>
      </c>
      <c r="BO3743">
        <v>62.86</v>
      </c>
      <c r="BQ3743" t="s">
        <v>391</v>
      </c>
      <c r="BR3743" t="s">
        <v>84</v>
      </c>
      <c r="BS3743" s="3">
        <v>45806</v>
      </c>
      <c r="BT3743" s="4">
        <v>0.36527777777777776</v>
      </c>
      <c r="BU3743" t="s">
        <v>2078</v>
      </c>
      <c r="BV3743" t="s">
        <v>86</v>
      </c>
      <c r="BY3743">
        <v>7000</v>
      </c>
      <c r="CA3743" t="s">
        <v>115</v>
      </c>
      <c r="CC3743" t="s">
        <v>76</v>
      </c>
      <c r="CD3743">
        <v>1600</v>
      </c>
      <c r="CE3743" t="s">
        <v>96</v>
      </c>
      <c r="CF3743" s="3">
        <v>45807</v>
      </c>
      <c r="CI3743">
        <v>1</v>
      </c>
      <c r="CJ3743">
        <v>1</v>
      </c>
      <c r="CK3743">
        <v>22</v>
      </c>
      <c r="CL3743" t="s">
        <v>89</v>
      </c>
    </row>
    <row r="3744" spans="1:90" x14ac:dyDescent="0.3">
      <c r="A3744" t="s">
        <v>72</v>
      </c>
      <c r="B3744" t="s">
        <v>73</v>
      </c>
      <c r="C3744" t="s">
        <v>74</v>
      </c>
      <c r="E3744" t="str">
        <f>"080065622467"</f>
        <v>080065622467</v>
      </c>
      <c r="F3744" s="3">
        <v>45805</v>
      </c>
      <c r="G3744">
        <v>202602</v>
      </c>
      <c r="H3744" t="s">
        <v>75</v>
      </c>
      <c r="I3744" t="s">
        <v>76</v>
      </c>
      <c r="J3744" t="s">
        <v>77</v>
      </c>
      <c r="K3744" t="s">
        <v>78</v>
      </c>
      <c r="L3744" t="s">
        <v>222</v>
      </c>
      <c r="M3744" t="s">
        <v>223</v>
      </c>
      <c r="N3744" t="s">
        <v>224</v>
      </c>
      <c r="O3744" t="s">
        <v>82</v>
      </c>
      <c r="P3744" t="str">
        <f>"4170041148                    "</f>
        <v xml:space="preserve">4170041148                    </v>
      </c>
      <c r="Q3744">
        <v>0</v>
      </c>
      <c r="R3744">
        <v>0</v>
      </c>
      <c r="S3744">
        <v>0</v>
      </c>
      <c r="T3744">
        <v>0</v>
      </c>
      <c r="U3744">
        <v>0</v>
      </c>
      <c r="V3744">
        <v>0</v>
      </c>
      <c r="W3744">
        <v>0</v>
      </c>
      <c r="X3744">
        <v>0</v>
      </c>
      <c r="Y3744">
        <v>0</v>
      </c>
      <c r="Z3744">
        <v>0</v>
      </c>
      <c r="AA3744">
        <v>0</v>
      </c>
      <c r="AB3744">
        <v>0</v>
      </c>
      <c r="AC3744">
        <v>0</v>
      </c>
      <c r="AD3744">
        <v>0</v>
      </c>
      <c r="AE3744">
        <v>0</v>
      </c>
      <c r="AF3744">
        <v>0</v>
      </c>
      <c r="AG3744">
        <v>0</v>
      </c>
      <c r="AH3744">
        <v>0</v>
      </c>
      <c r="AI3744">
        <v>0</v>
      </c>
      <c r="AJ3744">
        <v>0</v>
      </c>
      <c r="AK3744">
        <v>0</v>
      </c>
      <c r="AL3744">
        <v>0</v>
      </c>
      <c r="AM3744">
        <v>0</v>
      </c>
      <c r="AN3744">
        <v>0</v>
      </c>
      <c r="AO3744">
        <v>0</v>
      </c>
      <c r="AP3744">
        <v>0</v>
      </c>
      <c r="AQ3744">
        <v>30.07</v>
      </c>
      <c r="AR3744">
        <v>0</v>
      </c>
      <c r="AS3744">
        <v>0</v>
      </c>
      <c r="AT3744">
        <v>0</v>
      </c>
      <c r="AU3744">
        <v>0</v>
      </c>
      <c r="AV3744">
        <v>0</v>
      </c>
      <c r="AW3744">
        <v>0</v>
      </c>
      <c r="AX3744">
        <v>0</v>
      </c>
      <c r="AY3744">
        <v>0</v>
      </c>
      <c r="AZ3744">
        <v>0</v>
      </c>
      <c r="BA3744">
        <v>0</v>
      </c>
      <c r="BB3744">
        <v>0</v>
      </c>
      <c r="BC3744">
        <v>0</v>
      </c>
      <c r="BD3744">
        <v>0</v>
      </c>
      <c r="BE3744">
        <v>0</v>
      </c>
      <c r="BF3744">
        <v>0</v>
      </c>
      <c r="BG3744">
        <v>0</v>
      </c>
      <c r="BH3744">
        <v>1</v>
      </c>
      <c r="BI3744">
        <v>1</v>
      </c>
      <c r="BJ3744">
        <v>0.2</v>
      </c>
      <c r="BK3744">
        <v>1</v>
      </c>
      <c r="BL3744">
        <v>98.42</v>
      </c>
      <c r="BM3744">
        <v>14.76</v>
      </c>
      <c r="BN3744">
        <v>113.18</v>
      </c>
      <c r="BO3744">
        <v>113.18</v>
      </c>
      <c r="BQ3744" t="s">
        <v>225</v>
      </c>
      <c r="BR3744" t="s">
        <v>84</v>
      </c>
      <c r="BS3744" s="3">
        <v>45806</v>
      </c>
      <c r="BT3744" s="4">
        <v>0.50486111111111109</v>
      </c>
      <c r="BU3744" t="s">
        <v>226</v>
      </c>
      <c r="BV3744" t="s">
        <v>89</v>
      </c>
      <c r="BY3744">
        <v>1200</v>
      </c>
      <c r="CA3744" t="s">
        <v>3356</v>
      </c>
      <c r="CC3744" t="s">
        <v>223</v>
      </c>
      <c r="CD3744">
        <v>1754</v>
      </c>
      <c r="CE3744" t="s">
        <v>88</v>
      </c>
      <c r="CF3744" s="3">
        <v>45807</v>
      </c>
      <c r="CI3744">
        <v>1</v>
      </c>
      <c r="CJ3744">
        <v>1</v>
      </c>
      <c r="CK3744">
        <v>24</v>
      </c>
      <c r="CL3744" t="s">
        <v>89</v>
      </c>
    </row>
    <row r="3745" spans="1:90" x14ac:dyDescent="0.3">
      <c r="A3745" t="s">
        <v>72</v>
      </c>
      <c r="B3745" t="s">
        <v>73</v>
      </c>
      <c r="C3745" t="s">
        <v>74</v>
      </c>
      <c r="E3745" t="str">
        <f>"080065622500"</f>
        <v>080065622500</v>
      </c>
      <c r="F3745" s="3">
        <v>45805</v>
      </c>
      <c r="G3745">
        <v>202602</v>
      </c>
      <c r="H3745" t="s">
        <v>75</v>
      </c>
      <c r="I3745" t="s">
        <v>76</v>
      </c>
      <c r="J3745" t="s">
        <v>77</v>
      </c>
      <c r="K3745" t="s">
        <v>78</v>
      </c>
      <c r="L3745" t="s">
        <v>177</v>
      </c>
      <c r="M3745" t="s">
        <v>178</v>
      </c>
      <c r="N3745" t="s">
        <v>1232</v>
      </c>
      <c r="O3745" t="s">
        <v>82</v>
      </c>
      <c r="P3745" t="str">
        <f>"4170041205                    "</f>
        <v xml:space="preserve">4170041205                    </v>
      </c>
      <c r="Q3745">
        <v>0</v>
      </c>
      <c r="R3745">
        <v>0</v>
      </c>
      <c r="S3745">
        <v>0</v>
      </c>
      <c r="T3745">
        <v>0</v>
      </c>
      <c r="U3745">
        <v>0</v>
      </c>
      <c r="V3745">
        <v>0</v>
      </c>
      <c r="W3745">
        <v>0</v>
      </c>
      <c r="X3745">
        <v>0</v>
      </c>
      <c r="Y3745">
        <v>0</v>
      </c>
      <c r="Z3745">
        <v>0</v>
      </c>
      <c r="AA3745">
        <v>0</v>
      </c>
      <c r="AB3745">
        <v>0</v>
      </c>
      <c r="AC3745">
        <v>0</v>
      </c>
      <c r="AD3745">
        <v>0</v>
      </c>
      <c r="AE3745">
        <v>0</v>
      </c>
      <c r="AF3745">
        <v>0</v>
      </c>
      <c r="AG3745">
        <v>0</v>
      </c>
      <c r="AH3745">
        <v>0</v>
      </c>
      <c r="AI3745">
        <v>0</v>
      </c>
      <c r="AJ3745">
        <v>0</v>
      </c>
      <c r="AK3745">
        <v>0</v>
      </c>
      <c r="AL3745">
        <v>0</v>
      </c>
      <c r="AM3745">
        <v>0</v>
      </c>
      <c r="AN3745">
        <v>0</v>
      </c>
      <c r="AO3745">
        <v>0</v>
      </c>
      <c r="AP3745">
        <v>0</v>
      </c>
      <c r="AQ3745">
        <v>21.38</v>
      </c>
      <c r="AR3745">
        <v>0</v>
      </c>
      <c r="AS3745">
        <v>0</v>
      </c>
      <c r="AT3745">
        <v>0</v>
      </c>
      <c r="AU3745">
        <v>0</v>
      </c>
      <c r="AV3745">
        <v>0</v>
      </c>
      <c r="AW3745">
        <v>0</v>
      </c>
      <c r="AX3745">
        <v>0</v>
      </c>
      <c r="AY3745">
        <v>0</v>
      </c>
      <c r="AZ3745">
        <v>0</v>
      </c>
      <c r="BA3745">
        <v>0</v>
      </c>
      <c r="BB3745">
        <v>0</v>
      </c>
      <c r="BC3745">
        <v>0</v>
      </c>
      <c r="BD3745">
        <v>0</v>
      </c>
      <c r="BE3745">
        <v>0</v>
      </c>
      <c r="BF3745">
        <v>0</v>
      </c>
      <c r="BG3745">
        <v>0</v>
      </c>
      <c r="BH3745">
        <v>1</v>
      </c>
      <c r="BI3745">
        <v>1</v>
      </c>
      <c r="BJ3745">
        <v>0.2</v>
      </c>
      <c r="BK3745">
        <v>1</v>
      </c>
      <c r="BL3745">
        <v>69.98</v>
      </c>
      <c r="BM3745">
        <v>10.5</v>
      </c>
      <c r="BN3745">
        <v>80.48</v>
      </c>
      <c r="BO3745">
        <v>80.48</v>
      </c>
      <c r="BQ3745" t="s">
        <v>1233</v>
      </c>
      <c r="BR3745" t="s">
        <v>84</v>
      </c>
      <c r="BS3745" s="3">
        <v>45806</v>
      </c>
      <c r="BT3745" s="4">
        <v>0.33750000000000002</v>
      </c>
      <c r="BU3745" t="s">
        <v>2448</v>
      </c>
      <c r="BV3745" t="s">
        <v>86</v>
      </c>
      <c r="BY3745">
        <v>1200</v>
      </c>
      <c r="CA3745" t="s">
        <v>182</v>
      </c>
      <c r="CC3745" t="s">
        <v>178</v>
      </c>
      <c r="CD3745">
        <v>6229</v>
      </c>
      <c r="CE3745" t="s">
        <v>1193</v>
      </c>
      <c r="CF3745" s="3">
        <v>45806</v>
      </c>
      <c r="CI3745">
        <v>1</v>
      </c>
      <c r="CJ3745">
        <v>1</v>
      </c>
      <c r="CK3745">
        <v>21</v>
      </c>
      <c r="CL3745" t="s">
        <v>89</v>
      </c>
    </row>
    <row r="3746" spans="1:90" x14ac:dyDescent="0.3">
      <c r="A3746" t="s">
        <v>72</v>
      </c>
      <c r="B3746" t="s">
        <v>73</v>
      </c>
      <c r="C3746" t="s">
        <v>74</v>
      </c>
      <c r="E3746" t="str">
        <f>"080065622565"</f>
        <v>080065622565</v>
      </c>
      <c r="F3746" s="3">
        <v>45805</v>
      </c>
      <c r="G3746">
        <v>202602</v>
      </c>
      <c r="H3746" t="s">
        <v>75</v>
      </c>
      <c r="I3746" t="s">
        <v>76</v>
      </c>
      <c r="J3746" t="s">
        <v>77</v>
      </c>
      <c r="K3746" t="s">
        <v>78</v>
      </c>
      <c r="L3746" t="s">
        <v>130</v>
      </c>
      <c r="M3746" t="s">
        <v>131</v>
      </c>
      <c r="N3746" t="s">
        <v>709</v>
      </c>
      <c r="O3746" t="s">
        <v>82</v>
      </c>
      <c r="P3746" t="str">
        <f>"4170041173                    "</f>
        <v xml:space="preserve">4170041173                    </v>
      </c>
      <c r="Q3746">
        <v>0</v>
      </c>
      <c r="R3746">
        <v>0</v>
      </c>
      <c r="S3746">
        <v>0</v>
      </c>
      <c r="T3746">
        <v>0</v>
      </c>
      <c r="U3746">
        <v>0</v>
      </c>
      <c r="V3746">
        <v>0</v>
      </c>
      <c r="W3746">
        <v>0</v>
      </c>
      <c r="X3746">
        <v>0</v>
      </c>
      <c r="Y3746">
        <v>0</v>
      </c>
      <c r="Z3746">
        <v>0</v>
      </c>
      <c r="AA3746">
        <v>0</v>
      </c>
      <c r="AB3746">
        <v>0</v>
      </c>
      <c r="AC3746">
        <v>0</v>
      </c>
      <c r="AD3746">
        <v>0</v>
      </c>
      <c r="AE3746">
        <v>0</v>
      </c>
      <c r="AF3746">
        <v>0</v>
      </c>
      <c r="AG3746">
        <v>0</v>
      </c>
      <c r="AH3746">
        <v>0</v>
      </c>
      <c r="AI3746">
        <v>0</v>
      </c>
      <c r="AJ3746">
        <v>0</v>
      </c>
      <c r="AK3746">
        <v>0</v>
      </c>
      <c r="AL3746">
        <v>0</v>
      </c>
      <c r="AM3746">
        <v>0</v>
      </c>
      <c r="AN3746">
        <v>0</v>
      </c>
      <c r="AO3746">
        <v>0</v>
      </c>
      <c r="AP3746">
        <v>0</v>
      </c>
      <c r="AQ3746">
        <v>21.38</v>
      </c>
      <c r="AR3746">
        <v>0</v>
      </c>
      <c r="AS3746">
        <v>0</v>
      </c>
      <c r="AT3746">
        <v>0</v>
      </c>
      <c r="AU3746">
        <v>0</v>
      </c>
      <c r="AV3746">
        <v>0</v>
      </c>
      <c r="AW3746">
        <v>0</v>
      </c>
      <c r="AX3746">
        <v>0</v>
      </c>
      <c r="AY3746">
        <v>0</v>
      </c>
      <c r="AZ3746">
        <v>0</v>
      </c>
      <c r="BA3746">
        <v>0</v>
      </c>
      <c r="BB3746">
        <v>0</v>
      </c>
      <c r="BC3746">
        <v>0</v>
      </c>
      <c r="BD3746">
        <v>0</v>
      </c>
      <c r="BE3746">
        <v>0</v>
      </c>
      <c r="BF3746">
        <v>0</v>
      </c>
      <c r="BG3746">
        <v>0</v>
      </c>
      <c r="BH3746">
        <v>1</v>
      </c>
      <c r="BI3746">
        <v>1</v>
      </c>
      <c r="BJ3746">
        <v>0.2</v>
      </c>
      <c r="BK3746">
        <v>1</v>
      </c>
      <c r="BL3746">
        <v>69.98</v>
      </c>
      <c r="BM3746">
        <v>10.5</v>
      </c>
      <c r="BN3746">
        <v>80.48</v>
      </c>
      <c r="BO3746">
        <v>80.48</v>
      </c>
      <c r="BQ3746" t="s">
        <v>710</v>
      </c>
      <c r="BR3746" t="s">
        <v>84</v>
      </c>
      <c r="BS3746" s="3">
        <v>45806</v>
      </c>
      <c r="BT3746" s="4">
        <v>0.32777777777777778</v>
      </c>
      <c r="BU3746" t="s">
        <v>2905</v>
      </c>
      <c r="BV3746" t="s">
        <v>86</v>
      </c>
      <c r="BY3746">
        <v>1200</v>
      </c>
      <c r="CA3746" t="s">
        <v>712</v>
      </c>
      <c r="CC3746" t="s">
        <v>131</v>
      </c>
      <c r="CD3746">
        <v>7530</v>
      </c>
      <c r="CE3746" t="s">
        <v>88</v>
      </c>
      <c r="CI3746">
        <v>1</v>
      </c>
      <c r="CJ3746">
        <v>1</v>
      </c>
      <c r="CK3746">
        <v>21</v>
      </c>
      <c r="CL3746" t="s">
        <v>89</v>
      </c>
    </row>
    <row r="3747" spans="1:90" x14ac:dyDescent="0.3">
      <c r="A3747" t="s">
        <v>72</v>
      </c>
      <c r="B3747" t="s">
        <v>73</v>
      </c>
      <c r="C3747" t="s">
        <v>74</v>
      </c>
      <c r="E3747" t="str">
        <f>"080065622600"</f>
        <v>080065622600</v>
      </c>
      <c r="F3747" s="3">
        <v>45805</v>
      </c>
      <c r="G3747">
        <v>202602</v>
      </c>
      <c r="H3747" t="s">
        <v>75</v>
      </c>
      <c r="I3747" t="s">
        <v>76</v>
      </c>
      <c r="J3747" t="s">
        <v>77</v>
      </c>
      <c r="K3747" t="s">
        <v>78</v>
      </c>
      <c r="L3747" t="s">
        <v>1241</v>
      </c>
      <c r="M3747" t="s">
        <v>1242</v>
      </c>
      <c r="N3747" t="s">
        <v>1243</v>
      </c>
      <c r="O3747" t="s">
        <v>82</v>
      </c>
      <c r="P3747" t="str">
        <f>"4170041151                    "</f>
        <v xml:space="preserve">4170041151                    </v>
      </c>
      <c r="Q3747">
        <v>0</v>
      </c>
      <c r="R3747">
        <v>0</v>
      </c>
      <c r="S3747">
        <v>0</v>
      </c>
      <c r="T3747">
        <v>0</v>
      </c>
      <c r="U3747">
        <v>0</v>
      </c>
      <c r="V3747">
        <v>0</v>
      </c>
      <c r="W3747">
        <v>0</v>
      </c>
      <c r="X3747">
        <v>0</v>
      </c>
      <c r="Y3747">
        <v>0</v>
      </c>
      <c r="Z3747">
        <v>0</v>
      </c>
      <c r="AA3747">
        <v>0</v>
      </c>
      <c r="AB3747">
        <v>0</v>
      </c>
      <c r="AC3747">
        <v>0</v>
      </c>
      <c r="AD3747">
        <v>0</v>
      </c>
      <c r="AE3747">
        <v>0</v>
      </c>
      <c r="AF3747">
        <v>0</v>
      </c>
      <c r="AG3747">
        <v>0</v>
      </c>
      <c r="AH3747">
        <v>0</v>
      </c>
      <c r="AI3747">
        <v>0</v>
      </c>
      <c r="AJ3747">
        <v>0</v>
      </c>
      <c r="AK3747">
        <v>0</v>
      </c>
      <c r="AL3747">
        <v>0</v>
      </c>
      <c r="AM3747">
        <v>0</v>
      </c>
      <c r="AN3747">
        <v>0</v>
      </c>
      <c r="AO3747">
        <v>0</v>
      </c>
      <c r="AP3747">
        <v>0</v>
      </c>
      <c r="AQ3747">
        <v>41.43</v>
      </c>
      <c r="AR3747">
        <v>0</v>
      </c>
      <c r="AS3747">
        <v>0</v>
      </c>
      <c r="AT3747">
        <v>0</v>
      </c>
      <c r="AU3747">
        <v>0</v>
      </c>
      <c r="AV3747">
        <v>0</v>
      </c>
      <c r="AW3747">
        <v>0</v>
      </c>
      <c r="AX3747">
        <v>0</v>
      </c>
      <c r="AY3747">
        <v>0</v>
      </c>
      <c r="AZ3747">
        <v>0</v>
      </c>
      <c r="BA3747">
        <v>0</v>
      </c>
      <c r="BB3747">
        <v>0</v>
      </c>
      <c r="BC3747">
        <v>0</v>
      </c>
      <c r="BD3747">
        <v>0</v>
      </c>
      <c r="BE3747">
        <v>0</v>
      </c>
      <c r="BF3747">
        <v>0</v>
      </c>
      <c r="BG3747">
        <v>0</v>
      </c>
      <c r="BH3747">
        <v>1</v>
      </c>
      <c r="BI3747">
        <v>1</v>
      </c>
      <c r="BJ3747">
        <v>0.2</v>
      </c>
      <c r="BK3747">
        <v>1</v>
      </c>
      <c r="BL3747">
        <v>135.59</v>
      </c>
      <c r="BM3747">
        <v>20.34</v>
      </c>
      <c r="BN3747">
        <v>155.93</v>
      </c>
      <c r="BO3747">
        <v>155.93</v>
      </c>
      <c r="BQ3747" t="s">
        <v>1244</v>
      </c>
      <c r="BR3747" t="s">
        <v>84</v>
      </c>
      <c r="BS3747" s="3">
        <v>45806</v>
      </c>
      <c r="BT3747" s="4">
        <v>0.4375</v>
      </c>
      <c r="BU3747" t="s">
        <v>1994</v>
      </c>
      <c r="BV3747" t="s">
        <v>86</v>
      </c>
      <c r="BY3747">
        <v>1200</v>
      </c>
      <c r="CC3747" t="s">
        <v>1242</v>
      </c>
      <c r="CD3747">
        <v>1871</v>
      </c>
      <c r="CE3747" t="s">
        <v>88</v>
      </c>
      <c r="CF3747" s="3">
        <v>45806</v>
      </c>
      <c r="CI3747">
        <v>1</v>
      </c>
      <c r="CJ3747">
        <v>1</v>
      </c>
      <c r="CK3747">
        <v>23</v>
      </c>
      <c r="CL3747" t="s">
        <v>89</v>
      </c>
    </row>
    <row r="3748" spans="1:90" x14ac:dyDescent="0.3">
      <c r="A3748" t="s">
        <v>72</v>
      </c>
      <c r="B3748" t="s">
        <v>73</v>
      </c>
      <c r="C3748" t="s">
        <v>74</v>
      </c>
      <c r="E3748" t="str">
        <f>"080065622627"</f>
        <v>080065622627</v>
      </c>
      <c r="F3748" s="3">
        <v>45805</v>
      </c>
      <c r="G3748">
        <v>202602</v>
      </c>
      <c r="H3748" t="s">
        <v>75</v>
      </c>
      <c r="I3748" t="s">
        <v>76</v>
      </c>
      <c r="J3748" t="s">
        <v>77</v>
      </c>
      <c r="K3748" t="s">
        <v>78</v>
      </c>
      <c r="L3748" t="s">
        <v>90</v>
      </c>
      <c r="M3748" t="s">
        <v>91</v>
      </c>
      <c r="N3748" t="s">
        <v>598</v>
      </c>
      <c r="O3748" t="s">
        <v>82</v>
      </c>
      <c r="P3748" t="str">
        <f>"4170041236                    "</f>
        <v xml:space="preserve">4170041236                    </v>
      </c>
      <c r="Q3748">
        <v>0</v>
      </c>
      <c r="R3748">
        <v>0</v>
      </c>
      <c r="S3748">
        <v>0</v>
      </c>
      <c r="T3748">
        <v>0</v>
      </c>
      <c r="U3748">
        <v>0</v>
      </c>
      <c r="V3748">
        <v>0</v>
      </c>
      <c r="W3748">
        <v>0</v>
      </c>
      <c r="X3748">
        <v>0</v>
      </c>
      <c r="Y3748">
        <v>0</v>
      </c>
      <c r="Z3748">
        <v>0</v>
      </c>
      <c r="AA3748">
        <v>0</v>
      </c>
      <c r="AB3748">
        <v>0</v>
      </c>
      <c r="AC3748">
        <v>0</v>
      </c>
      <c r="AD3748">
        <v>0</v>
      </c>
      <c r="AE3748">
        <v>0</v>
      </c>
      <c r="AF3748">
        <v>0</v>
      </c>
      <c r="AG3748">
        <v>0</v>
      </c>
      <c r="AH3748">
        <v>0</v>
      </c>
      <c r="AI3748">
        <v>0</v>
      </c>
      <c r="AJ3748">
        <v>0</v>
      </c>
      <c r="AK3748">
        <v>0</v>
      </c>
      <c r="AL3748">
        <v>0</v>
      </c>
      <c r="AM3748">
        <v>0</v>
      </c>
      <c r="AN3748">
        <v>0</v>
      </c>
      <c r="AO3748">
        <v>0</v>
      </c>
      <c r="AP3748">
        <v>0</v>
      </c>
      <c r="AQ3748">
        <v>21.38</v>
      </c>
      <c r="AR3748">
        <v>0</v>
      </c>
      <c r="AS3748">
        <v>0</v>
      </c>
      <c r="AT3748">
        <v>0</v>
      </c>
      <c r="AU3748">
        <v>0</v>
      </c>
      <c r="AV3748">
        <v>0</v>
      </c>
      <c r="AW3748">
        <v>0</v>
      </c>
      <c r="AX3748">
        <v>0</v>
      </c>
      <c r="AY3748">
        <v>0</v>
      </c>
      <c r="AZ3748">
        <v>0</v>
      </c>
      <c r="BA3748">
        <v>0</v>
      </c>
      <c r="BB3748">
        <v>0</v>
      </c>
      <c r="BC3748">
        <v>0</v>
      </c>
      <c r="BD3748">
        <v>0</v>
      </c>
      <c r="BE3748">
        <v>0</v>
      </c>
      <c r="BF3748">
        <v>0</v>
      </c>
      <c r="BG3748">
        <v>0</v>
      </c>
      <c r="BH3748">
        <v>1</v>
      </c>
      <c r="BI3748">
        <v>1</v>
      </c>
      <c r="BJ3748">
        <v>0.2</v>
      </c>
      <c r="BK3748">
        <v>1</v>
      </c>
      <c r="BL3748">
        <v>69.98</v>
      </c>
      <c r="BM3748">
        <v>10.5</v>
      </c>
      <c r="BN3748">
        <v>80.48</v>
      </c>
      <c r="BO3748">
        <v>80.48</v>
      </c>
      <c r="BQ3748" t="s">
        <v>599</v>
      </c>
      <c r="BR3748" t="s">
        <v>84</v>
      </c>
      <c r="BS3748" s="3">
        <v>45806</v>
      </c>
      <c r="BT3748" s="4">
        <v>0.43402777777777779</v>
      </c>
      <c r="BU3748" t="s">
        <v>3379</v>
      </c>
      <c r="BV3748" t="s">
        <v>86</v>
      </c>
      <c r="BY3748">
        <v>1200</v>
      </c>
      <c r="CA3748" t="s">
        <v>943</v>
      </c>
      <c r="CC3748" t="s">
        <v>91</v>
      </c>
      <c r="CD3748">
        <v>6012</v>
      </c>
      <c r="CE3748" t="s">
        <v>88</v>
      </c>
      <c r="CF3748" s="3">
        <v>45806</v>
      </c>
      <c r="CI3748">
        <v>1</v>
      </c>
      <c r="CJ3748">
        <v>1</v>
      </c>
      <c r="CK3748">
        <v>21</v>
      </c>
      <c r="CL3748" t="s">
        <v>89</v>
      </c>
    </row>
    <row r="3749" spans="1:90" x14ac:dyDescent="0.3">
      <c r="A3749" t="s">
        <v>72</v>
      </c>
      <c r="B3749" t="s">
        <v>73</v>
      </c>
      <c r="C3749" t="s">
        <v>74</v>
      </c>
      <c r="E3749" t="str">
        <f>"080065622662"</f>
        <v>080065622662</v>
      </c>
      <c r="F3749" s="3">
        <v>45805</v>
      </c>
      <c r="G3749">
        <v>202602</v>
      </c>
      <c r="H3749" t="s">
        <v>75</v>
      </c>
      <c r="I3749" t="s">
        <v>76</v>
      </c>
      <c r="J3749" t="s">
        <v>77</v>
      </c>
      <c r="K3749" t="s">
        <v>78</v>
      </c>
      <c r="L3749" t="s">
        <v>320</v>
      </c>
      <c r="M3749" t="s">
        <v>321</v>
      </c>
      <c r="N3749" t="s">
        <v>499</v>
      </c>
      <c r="O3749" t="s">
        <v>82</v>
      </c>
      <c r="P3749" t="str">
        <f>"4170041246                    "</f>
        <v xml:space="preserve">4170041246                    </v>
      </c>
      <c r="Q3749">
        <v>0</v>
      </c>
      <c r="R3749">
        <v>0</v>
      </c>
      <c r="S3749">
        <v>0</v>
      </c>
      <c r="T3749">
        <v>0</v>
      </c>
      <c r="U3749">
        <v>0</v>
      </c>
      <c r="V3749">
        <v>0</v>
      </c>
      <c r="W3749">
        <v>0</v>
      </c>
      <c r="X3749">
        <v>0</v>
      </c>
      <c r="Y3749">
        <v>0</v>
      </c>
      <c r="Z3749">
        <v>0</v>
      </c>
      <c r="AA3749">
        <v>0</v>
      </c>
      <c r="AB3749">
        <v>0</v>
      </c>
      <c r="AC3749">
        <v>0</v>
      </c>
      <c r="AD3749">
        <v>0</v>
      </c>
      <c r="AE3749">
        <v>0</v>
      </c>
      <c r="AF3749">
        <v>0</v>
      </c>
      <c r="AG3749">
        <v>0</v>
      </c>
      <c r="AH3749">
        <v>0</v>
      </c>
      <c r="AI3749">
        <v>0</v>
      </c>
      <c r="AJ3749">
        <v>0</v>
      </c>
      <c r="AK3749">
        <v>0</v>
      </c>
      <c r="AL3749">
        <v>0</v>
      </c>
      <c r="AM3749">
        <v>0</v>
      </c>
      <c r="AN3749">
        <v>0</v>
      </c>
      <c r="AO3749">
        <v>0</v>
      </c>
      <c r="AP3749">
        <v>0</v>
      </c>
      <c r="AQ3749">
        <v>21.38</v>
      </c>
      <c r="AR3749">
        <v>0</v>
      </c>
      <c r="AS3749">
        <v>0</v>
      </c>
      <c r="AT3749">
        <v>0</v>
      </c>
      <c r="AU3749">
        <v>0</v>
      </c>
      <c r="AV3749">
        <v>0</v>
      </c>
      <c r="AW3749">
        <v>0</v>
      </c>
      <c r="AX3749">
        <v>0</v>
      </c>
      <c r="AY3749">
        <v>0</v>
      </c>
      <c r="AZ3749">
        <v>0</v>
      </c>
      <c r="BA3749">
        <v>0</v>
      </c>
      <c r="BB3749">
        <v>0</v>
      </c>
      <c r="BC3749">
        <v>0</v>
      </c>
      <c r="BD3749">
        <v>0</v>
      </c>
      <c r="BE3749">
        <v>0</v>
      </c>
      <c r="BF3749">
        <v>0</v>
      </c>
      <c r="BG3749">
        <v>0</v>
      </c>
      <c r="BH3749">
        <v>1</v>
      </c>
      <c r="BI3749">
        <v>1</v>
      </c>
      <c r="BJ3749">
        <v>0.2</v>
      </c>
      <c r="BK3749">
        <v>1</v>
      </c>
      <c r="BL3749">
        <v>69.98</v>
      </c>
      <c r="BM3749">
        <v>10.5</v>
      </c>
      <c r="BN3749">
        <v>80.48</v>
      </c>
      <c r="BO3749">
        <v>80.48</v>
      </c>
      <c r="BQ3749" t="s">
        <v>500</v>
      </c>
      <c r="BR3749" t="s">
        <v>84</v>
      </c>
      <c r="BS3749" s="3">
        <v>45806</v>
      </c>
      <c r="BT3749" s="4">
        <v>0.53472222222222221</v>
      </c>
      <c r="BU3749" t="s">
        <v>623</v>
      </c>
      <c r="BV3749" t="s">
        <v>89</v>
      </c>
      <c r="BW3749" t="s">
        <v>296</v>
      </c>
      <c r="BX3749" t="s">
        <v>325</v>
      </c>
      <c r="BY3749">
        <v>1200</v>
      </c>
      <c r="CA3749" t="s">
        <v>3162</v>
      </c>
      <c r="CC3749" t="s">
        <v>321</v>
      </c>
      <c r="CD3749">
        <v>4133</v>
      </c>
      <c r="CE3749" t="s">
        <v>88</v>
      </c>
      <c r="CF3749" s="3">
        <v>45806</v>
      </c>
      <c r="CI3749">
        <v>1</v>
      </c>
      <c r="CJ3749">
        <v>1</v>
      </c>
      <c r="CK3749">
        <v>21</v>
      </c>
      <c r="CL3749" t="s">
        <v>89</v>
      </c>
    </row>
    <row r="3750" spans="1:90" x14ac:dyDescent="0.3">
      <c r="A3750" t="s">
        <v>72</v>
      </c>
      <c r="B3750" t="s">
        <v>73</v>
      </c>
      <c r="C3750" t="s">
        <v>74</v>
      </c>
      <c r="E3750" t="str">
        <f>"080065622696"</f>
        <v>080065622696</v>
      </c>
      <c r="F3750" s="3">
        <v>45805</v>
      </c>
      <c r="G3750">
        <v>202602</v>
      </c>
      <c r="H3750" t="s">
        <v>75</v>
      </c>
      <c r="I3750" t="s">
        <v>76</v>
      </c>
      <c r="J3750" t="s">
        <v>77</v>
      </c>
      <c r="K3750" t="s">
        <v>78</v>
      </c>
      <c r="L3750" t="s">
        <v>79</v>
      </c>
      <c r="M3750" t="s">
        <v>80</v>
      </c>
      <c r="N3750" t="s">
        <v>862</v>
      </c>
      <c r="O3750" t="s">
        <v>82</v>
      </c>
      <c r="P3750" t="str">
        <f>"4170041159                    "</f>
        <v xml:space="preserve">4170041159                    </v>
      </c>
      <c r="Q3750">
        <v>0</v>
      </c>
      <c r="R3750">
        <v>0</v>
      </c>
      <c r="S3750">
        <v>0</v>
      </c>
      <c r="T3750">
        <v>0</v>
      </c>
      <c r="U3750">
        <v>0</v>
      </c>
      <c r="V3750">
        <v>0</v>
      </c>
      <c r="W3750">
        <v>0</v>
      </c>
      <c r="X3750">
        <v>0</v>
      </c>
      <c r="Y3750">
        <v>0</v>
      </c>
      <c r="Z3750">
        <v>0</v>
      </c>
      <c r="AA3750">
        <v>0</v>
      </c>
      <c r="AB3750">
        <v>0</v>
      </c>
      <c r="AC3750">
        <v>0</v>
      </c>
      <c r="AD3750">
        <v>0</v>
      </c>
      <c r="AE3750">
        <v>0</v>
      </c>
      <c r="AF3750">
        <v>0</v>
      </c>
      <c r="AG3750">
        <v>0</v>
      </c>
      <c r="AH3750">
        <v>0</v>
      </c>
      <c r="AI3750">
        <v>0</v>
      </c>
      <c r="AJ3750">
        <v>0</v>
      </c>
      <c r="AK3750">
        <v>0</v>
      </c>
      <c r="AL3750">
        <v>0</v>
      </c>
      <c r="AM3750">
        <v>0</v>
      </c>
      <c r="AN3750">
        <v>0</v>
      </c>
      <c r="AO3750">
        <v>0</v>
      </c>
      <c r="AP3750">
        <v>0</v>
      </c>
      <c r="AQ3750">
        <v>21.38</v>
      </c>
      <c r="AR3750">
        <v>0</v>
      </c>
      <c r="AS3750">
        <v>0</v>
      </c>
      <c r="AT3750">
        <v>0</v>
      </c>
      <c r="AU3750">
        <v>0</v>
      </c>
      <c r="AV3750">
        <v>0</v>
      </c>
      <c r="AW3750">
        <v>0</v>
      </c>
      <c r="AX3750">
        <v>0</v>
      </c>
      <c r="AY3750">
        <v>0</v>
      </c>
      <c r="AZ3750">
        <v>0</v>
      </c>
      <c r="BA3750">
        <v>0</v>
      </c>
      <c r="BB3750">
        <v>0</v>
      </c>
      <c r="BC3750">
        <v>0</v>
      </c>
      <c r="BD3750">
        <v>0</v>
      </c>
      <c r="BE3750">
        <v>0</v>
      </c>
      <c r="BF3750">
        <v>0</v>
      </c>
      <c r="BG3750">
        <v>0</v>
      </c>
      <c r="BH3750">
        <v>1</v>
      </c>
      <c r="BI3750">
        <v>1</v>
      </c>
      <c r="BJ3750">
        <v>0.2</v>
      </c>
      <c r="BK3750">
        <v>1</v>
      </c>
      <c r="BL3750">
        <v>69.98</v>
      </c>
      <c r="BM3750">
        <v>10.5</v>
      </c>
      <c r="BN3750">
        <v>80.48</v>
      </c>
      <c r="BO3750">
        <v>80.48</v>
      </c>
      <c r="BQ3750" t="s">
        <v>863</v>
      </c>
      <c r="BR3750" t="s">
        <v>84</v>
      </c>
      <c r="BS3750" s="3">
        <v>45806</v>
      </c>
      <c r="BT3750" s="4">
        <v>0.41666666666666669</v>
      </c>
      <c r="BU3750" t="s">
        <v>864</v>
      </c>
      <c r="BV3750" t="s">
        <v>86</v>
      </c>
      <c r="BY3750">
        <v>1200</v>
      </c>
      <c r="CA3750" t="s">
        <v>160</v>
      </c>
      <c r="CC3750" t="s">
        <v>80</v>
      </c>
      <c r="CD3750">
        <v>3610</v>
      </c>
      <c r="CE3750" t="s">
        <v>1193</v>
      </c>
      <c r="CF3750" s="3">
        <v>45807</v>
      </c>
      <c r="CI3750">
        <v>1</v>
      </c>
      <c r="CJ3750">
        <v>1</v>
      </c>
      <c r="CK3750">
        <v>21</v>
      </c>
      <c r="CL3750" t="s">
        <v>89</v>
      </c>
    </row>
    <row r="3751" spans="1:90" x14ac:dyDescent="0.3">
      <c r="A3751" t="s">
        <v>72</v>
      </c>
      <c r="B3751" t="s">
        <v>73</v>
      </c>
      <c r="C3751" t="s">
        <v>74</v>
      </c>
      <c r="E3751" t="str">
        <f>"080065622731"</f>
        <v>080065622731</v>
      </c>
      <c r="F3751" s="3">
        <v>45805</v>
      </c>
      <c r="G3751">
        <v>202602</v>
      </c>
      <c r="H3751" t="s">
        <v>75</v>
      </c>
      <c r="I3751" t="s">
        <v>76</v>
      </c>
      <c r="J3751" t="s">
        <v>77</v>
      </c>
      <c r="K3751" t="s">
        <v>78</v>
      </c>
      <c r="L3751" t="s">
        <v>350</v>
      </c>
      <c r="M3751" t="s">
        <v>351</v>
      </c>
      <c r="N3751" t="s">
        <v>459</v>
      </c>
      <c r="O3751" t="s">
        <v>82</v>
      </c>
      <c r="P3751" t="str">
        <f>"4170041222                    "</f>
        <v xml:space="preserve">4170041222                    </v>
      </c>
      <c r="Q3751">
        <v>0</v>
      </c>
      <c r="R3751">
        <v>0</v>
      </c>
      <c r="S3751">
        <v>0</v>
      </c>
      <c r="T3751">
        <v>0</v>
      </c>
      <c r="U3751">
        <v>0</v>
      </c>
      <c r="V3751">
        <v>0</v>
      </c>
      <c r="W3751">
        <v>0</v>
      </c>
      <c r="X3751">
        <v>0</v>
      </c>
      <c r="Y3751">
        <v>0</v>
      </c>
      <c r="Z3751">
        <v>0</v>
      </c>
      <c r="AA3751">
        <v>0</v>
      </c>
      <c r="AB3751">
        <v>0</v>
      </c>
      <c r="AC3751">
        <v>0</v>
      </c>
      <c r="AD3751">
        <v>0</v>
      </c>
      <c r="AE3751">
        <v>0</v>
      </c>
      <c r="AF3751">
        <v>0</v>
      </c>
      <c r="AG3751">
        <v>0</v>
      </c>
      <c r="AH3751">
        <v>0</v>
      </c>
      <c r="AI3751">
        <v>0</v>
      </c>
      <c r="AJ3751">
        <v>0</v>
      </c>
      <c r="AK3751">
        <v>0</v>
      </c>
      <c r="AL3751">
        <v>0</v>
      </c>
      <c r="AM3751">
        <v>0</v>
      </c>
      <c r="AN3751">
        <v>0</v>
      </c>
      <c r="AO3751">
        <v>0</v>
      </c>
      <c r="AP3751">
        <v>0</v>
      </c>
      <c r="AQ3751">
        <v>21.38</v>
      </c>
      <c r="AR3751">
        <v>0</v>
      </c>
      <c r="AS3751">
        <v>0</v>
      </c>
      <c r="AT3751">
        <v>0</v>
      </c>
      <c r="AU3751">
        <v>0</v>
      </c>
      <c r="AV3751">
        <v>0</v>
      </c>
      <c r="AW3751">
        <v>0</v>
      </c>
      <c r="AX3751">
        <v>0</v>
      </c>
      <c r="AY3751">
        <v>0</v>
      </c>
      <c r="AZ3751">
        <v>0</v>
      </c>
      <c r="BA3751">
        <v>0</v>
      </c>
      <c r="BB3751">
        <v>0</v>
      </c>
      <c r="BC3751">
        <v>0</v>
      </c>
      <c r="BD3751">
        <v>0</v>
      </c>
      <c r="BE3751">
        <v>0</v>
      </c>
      <c r="BF3751">
        <v>0</v>
      </c>
      <c r="BG3751">
        <v>0</v>
      </c>
      <c r="BH3751">
        <v>1</v>
      </c>
      <c r="BI3751">
        <v>1</v>
      </c>
      <c r="BJ3751">
        <v>0.2</v>
      </c>
      <c r="BK3751">
        <v>1</v>
      </c>
      <c r="BL3751">
        <v>69.98</v>
      </c>
      <c r="BM3751">
        <v>10.5</v>
      </c>
      <c r="BN3751">
        <v>80.48</v>
      </c>
      <c r="BO3751">
        <v>80.48</v>
      </c>
      <c r="BQ3751" t="s">
        <v>460</v>
      </c>
      <c r="BR3751" t="s">
        <v>84</v>
      </c>
      <c r="BS3751" s="3">
        <v>45806</v>
      </c>
      <c r="BT3751" s="4">
        <v>0.35069444444444442</v>
      </c>
      <c r="BU3751" t="s">
        <v>1121</v>
      </c>
      <c r="BV3751" t="s">
        <v>86</v>
      </c>
      <c r="BY3751">
        <v>1200</v>
      </c>
      <c r="BZ3751" t="s">
        <v>127</v>
      </c>
      <c r="CA3751" t="s">
        <v>462</v>
      </c>
      <c r="CC3751" t="s">
        <v>351</v>
      </c>
      <c r="CD3751">
        <v>4051</v>
      </c>
      <c r="CE3751" t="s">
        <v>129</v>
      </c>
      <c r="CF3751" s="3">
        <v>45806</v>
      </c>
      <c r="CI3751">
        <v>1</v>
      </c>
      <c r="CJ3751">
        <v>1</v>
      </c>
      <c r="CK3751">
        <v>21</v>
      </c>
      <c r="CL3751" t="s">
        <v>89</v>
      </c>
    </row>
    <row r="3752" spans="1:90" x14ac:dyDescent="0.3">
      <c r="A3752" t="s">
        <v>72</v>
      </c>
      <c r="B3752" t="s">
        <v>73</v>
      </c>
      <c r="C3752" t="s">
        <v>74</v>
      </c>
      <c r="E3752" t="str">
        <f>"080065622766"</f>
        <v>080065622766</v>
      </c>
      <c r="F3752" s="3">
        <v>45805</v>
      </c>
      <c r="G3752">
        <v>202602</v>
      </c>
      <c r="H3752" t="s">
        <v>75</v>
      </c>
      <c r="I3752" t="s">
        <v>76</v>
      </c>
      <c r="J3752" t="s">
        <v>77</v>
      </c>
      <c r="K3752" t="s">
        <v>78</v>
      </c>
      <c r="L3752" t="s">
        <v>1214</v>
      </c>
      <c r="M3752" t="s">
        <v>1215</v>
      </c>
      <c r="N3752" t="s">
        <v>1216</v>
      </c>
      <c r="O3752" t="s">
        <v>82</v>
      </c>
      <c r="P3752" t="str">
        <f>"4170041152                    "</f>
        <v xml:space="preserve">4170041152                    </v>
      </c>
      <c r="Q3752">
        <v>0</v>
      </c>
      <c r="R3752">
        <v>0</v>
      </c>
      <c r="S3752">
        <v>0</v>
      </c>
      <c r="T3752">
        <v>0</v>
      </c>
      <c r="U3752">
        <v>0</v>
      </c>
      <c r="V3752">
        <v>0</v>
      </c>
      <c r="W3752">
        <v>0</v>
      </c>
      <c r="X3752">
        <v>0</v>
      </c>
      <c r="Y3752">
        <v>0</v>
      </c>
      <c r="Z3752">
        <v>0</v>
      </c>
      <c r="AA3752">
        <v>0</v>
      </c>
      <c r="AB3752">
        <v>0</v>
      </c>
      <c r="AC3752">
        <v>0</v>
      </c>
      <c r="AD3752">
        <v>0</v>
      </c>
      <c r="AE3752">
        <v>0</v>
      </c>
      <c r="AF3752">
        <v>0</v>
      </c>
      <c r="AG3752">
        <v>0</v>
      </c>
      <c r="AH3752">
        <v>0</v>
      </c>
      <c r="AI3752">
        <v>0</v>
      </c>
      <c r="AJ3752">
        <v>0</v>
      </c>
      <c r="AK3752">
        <v>0</v>
      </c>
      <c r="AL3752">
        <v>0</v>
      </c>
      <c r="AM3752">
        <v>0</v>
      </c>
      <c r="AN3752">
        <v>0</v>
      </c>
      <c r="AO3752">
        <v>0</v>
      </c>
      <c r="AP3752">
        <v>0</v>
      </c>
      <c r="AQ3752">
        <v>21.38</v>
      </c>
      <c r="AR3752">
        <v>0</v>
      </c>
      <c r="AS3752">
        <v>0</v>
      </c>
      <c r="AT3752">
        <v>0</v>
      </c>
      <c r="AU3752">
        <v>0</v>
      </c>
      <c r="AV3752">
        <v>0</v>
      </c>
      <c r="AW3752">
        <v>0</v>
      </c>
      <c r="AX3752">
        <v>0</v>
      </c>
      <c r="AY3752">
        <v>0</v>
      </c>
      <c r="AZ3752">
        <v>0</v>
      </c>
      <c r="BA3752">
        <v>0</v>
      </c>
      <c r="BB3752">
        <v>0</v>
      </c>
      <c r="BC3752">
        <v>0</v>
      </c>
      <c r="BD3752">
        <v>0</v>
      </c>
      <c r="BE3752">
        <v>0</v>
      </c>
      <c r="BF3752">
        <v>0</v>
      </c>
      <c r="BG3752">
        <v>0</v>
      </c>
      <c r="BH3752">
        <v>1</v>
      </c>
      <c r="BI3752">
        <v>1</v>
      </c>
      <c r="BJ3752">
        <v>0.2</v>
      </c>
      <c r="BK3752">
        <v>1</v>
      </c>
      <c r="BL3752">
        <v>69.98</v>
      </c>
      <c r="BM3752">
        <v>10.5</v>
      </c>
      <c r="BN3752">
        <v>80.48</v>
      </c>
      <c r="BO3752">
        <v>80.48</v>
      </c>
      <c r="BQ3752" t="s">
        <v>1217</v>
      </c>
      <c r="BR3752" t="s">
        <v>84</v>
      </c>
      <c r="BS3752" s="3">
        <v>45806</v>
      </c>
      <c r="BT3752" s="4">
        <v>0.375</v>
      </c>
      <c r="BU3752" t="s">
        <v>2581</v>
      </c>
      <c r="BV3752" t="s">
        <v>86</v>
      </c>
      <c r="BY3752">
        <v>1200</v>
      </c>
      <c r="CA3752" t="s">
        <v>1219</v>
      </c>
      <c r="CC3752" t="s">
        <v>1215</v>
      </c>
      <c r="CD3752">
        <v>4302</v>
      </c>
      <c r="CE3752" t="s">
        <v>88</v>
      </c>
      <c r="CF3752" s="3">
        <v>45807</v>
      </c>
      <c r="CI3752">
        <v>1</v>
      </c>
      <c r="CJ3752">
        <v>1</v>
      </c>
      <c r="CK3752">
        <v>21</v>
      </c>
      <c r="CL3752" t="s">
        <v>89</v>
      </c>
    </row>
    <row r="3753" spans="1:90" x14ac:dyDescent="0.3">
      <c r="A3753" t="s">
        <v>72</v>
      </c>
      <c r="B3753" t="s">
        <v>73</v>
      </c>
      <c r="C3753" t="s">
        <v>74</v>
      </c>
      <c r="E3753" t="str">
        <f>"080065622945"</f>
        <v>080065622945</v>
      </c>
      <c r="F3753" s="3">
        <v>45805</v>
      </c>
      <c r="G3753">
        <v>202602</v>
      </c>
      <c r="H3753" t="s">
        <v>75</v>
      </c>
      <c r="I3753" t="s">
        <v>76</v>
      </c>
      <c r="J3753" t="s">
        <v>77</v>
      </c>
      <c r="K3753" t="s">
        <v>78</v>
      </c>
      <c r="L3753" t="s">
        <v>3395</v>
      </c>
      <c r="M3753" t="s">
        <v>3396</v>
      </c>
      <c r="N3753" t="s">
        <v>3397</v>
      </c>
      <c r="O3753" t="s">
        <v>82</v>
      </c>
      <c r="P3753" t="str">
        <f>"009943879270                  "</f>
        <v xml:space="preserve">009943879270                  </v>
      </c>
      <c r="Q3753">
        <v>0</v>
      </c>
      <c r="R3753">
        <v>0</v>
      </c>
      <c r="S3753">
        <v>0</v>
      </c>
      <c r="T3753">
        <v>0</v>
      </c>
      <c r="U3753">
        <v>0</v>
      </c>
      <c r="V3753">
        <v>0</v>
      </c>
      <c r="W3753">
        <v>0</v>
      </c>
      <c r="X3753">
        <v>0</v>
      </c>
      <c r="Y3753">
        <v>0</v>
      </c>
      <c r="Z3753">
        <v>0</v>
      </c>
      <c r="AA3753">
        <v>0</v>
      </c>
      <c r="AB3753">
        <v>0</v>
      </c>
      <c r="AC3753">
        <v>0</v>
      </c>
      <c r="AD3753">
        <v>0</v>
      </c>
      <c r="AE3753">
        <v>0</v>
      </c>
      <c r="AF3753">
        <v>0</v>
      </c>
      <c r="AG3753">
        <v>0</v>
      </c>
      <c r="AH3753">
        <v>0</v>
      </c>
      <c r="AI3753">
        <v>0</v>
      </c>
      <c r="AJ3753">
        <v>0</v>
      </c>
      <c r="AK3753">
        <v>0</v>
      </c>
      <c r="AL3753">
        <v>0</v>
      </c>
      <c r="AM3753">
        <v>0</v>
      </c>
      <c r="AN3753">
        <v>0</v>
      </c>
      <c r="AO3753">
        <v>0</v>
      </c>
      <c r="AP3753">
        <v>0</v>
      </c>
      <c r="AQ3753">
        <v>172.39</v>
      </c>
      <c r="AR3753">
        <v>0</v>
      </c>
      <c r="AS3753">
        <v>0</v>
      </c>
      <c r="AT3753">
        <v>0</v>
      </c>
      <c r="AU3753">
        <v>0</v>
      </c>
      <c r="AV3753">
        <v>0</v>
      </c>
      <c r="AW3753">
        <v>0</v>
      </c>
      <c r="AX3753">
        <v>0</v>
      </c>
      <c r="AY3753">
        <v>0</v>
      </c>
      <c r="AZ3753">
        <v>0</v>
      </c>
      <c r="BA3753">
        <v>0</v>
      </c>
      <c r="BB3753">
        <v>0</v>
      </c>
      <c r="BC3753">
        <v>0</v>
      </c>
      <c r="BD3753">
        <v>0</v>
      </c>
      <c r="BE3753">
        <v>0</v>
      </c>
      <c r="BF3753">
        <v>0</v>
      </c>
      <c r="BG3753">
        <v>0</v>
      </c>
      <c r="BH3753">
        <v>1</v>
      </c>
      <c r="BI3753">
        <v>5</v>
      </c>
      <c r="BJ3753">
        <v>8.9</v>
      </c>
      <c r="BK3753">
        <v>9</v>
      </c>
      <c r="BL3753">
        <v>564.19000000000005</v>
      </c>
      <c r="BM3753">
        <v>84.63</v>
      </c>
      <c r="BN3753">
        <v>648.82000000000005</v>
      </c>
      <c r="BO3753">
        <v>648.82000000000005</v>
      </c>
      <c r="BQ3753" t="s">
        <v>3398</v>
      </c>
      <c r="BR3753" t="s">
        <v>84</v>
      </c>
      <c r="BS3753" t="s">
        <v>1540</v>
      </c>
      <c r="BY3753">
        <v>44640</v>
      </c>
      <c r="CC3753" t="s">
        <v>3396</v>
      </c>
      <c r="CD3753" s="5" t="s">
        <v>3399</v>
      </c>
      <c r="CE3753" t="s">
        <v>176</v>
      </c>
      <c r="CI3753">
        <v>1</v>
      </c>
      <c r="CJ3753" t="s">
        <v>1540</v>
      </c>
      <c r="CK3753">
        <v>23</v>
      </c>
      <c r="CL3753" t="s">
        <v>89</v>
      </c>
    </row>
    <row r="3754" spans="1:90" x14ac:dyDescent="0.3">
      <c r="A3754" t="s">
        <v>72</v>
      </c>
      <c r="B3754" t="s">
        <v>73</v>
      </c>
      <c r="C3754" t="s">
        <v>74</v>
      </c>
      <c r="E3754" t="str">
        <f>"080065623012"</f>
        <v>080065623012</v>
      </c>
      <c r="F3754" s="3">
        <v>45805</v>
      </c>
      <c r="G3754">
        <v>202602</v>
      </c>
      <c r="H3754" t="s">
        <v>75</v>
      </c>
      <c r="I3754" t="s">
        <v>76</v>
      </c>
      <c r="J3754" t="s">
        <v>77</v>
      </c>
      <c r="K3754" t="s">
        <v>78</v>
      </c>
      <c r="L3754" t="s">
        <v>624</v>
      </c>
      <c r="M3754" t="s">
        <v>625</v>
      </c>
      <c r="N3754" t="s">
        <v>626</v>
      </c>
      <c r="O3754" t="s">
        <v>82</v>
      </c>
      <c r="P3754" t="str">
        <f>"4170041211                    "</f>
        <v xml:space="preserve">4170041211                    </v>
      </c>
      <c r="Q3754">
        <v>0</v>
      </c>
      <c r="R3754">
        <v>0</v>
      </c>
      <c r="S3754">
        <v>0</v>
      </c>
      <c r="T3754">
        <v>0</v>
      </c>
      <c r="U3754">
        <v>0</v>
      </c>
      <c r="V3754">
        <v>0</v>
      </c>
      <c r="W3754">
        <v>0</v>
      </c>
      <c r="X3754">
        <v>0</v>
      </c>
      <c r="Y3754">
        <v>0</v>
      </c>
      <c r="Z3754">
        <v>0</v>
      </c>
      <c r="AA3754">
        <v>0</v>
      </c>
      <c r="AB3754">
        <v>0</v>
      </c>
      <c r="AC3754">
        <v>0</v>
      </c>
      <c r="AD3754">
        <v>0</v>
      </c>
      <c r="AE3754">
        <v>0</v>
      </c>
      <c r="AF3754">
        <v>0</v>
      </c>
      <c r="AG3754">
        <v>0</v>
      </c>
      <c r="AH3754">
        <v>0</v>
      </c>
      <c r="AI3754">
        <v>0</v>
      </c>
      <c r="AJ3754">
        <v>0</v>
      </c>
      <c r="AK3754">
        <v>0</v>
      </c>
      <c r="AL3754">
        <v>0</v>
      </c>
      <c r="AM3754">
        <v>0</v>
      </c>
      <c r="AN3754">
        <v>0</v>
      </c>
      <c r="AO3754">
        <v>0</v>
      </c>
      <c r="AP3754">
        <v>0</v>
      </c>
      <c r="AQ3754">
        <v>41.43</v>
      </c>
      <c r="AR3754">
        <v>0</v>
      </c>
      <c r="AS3754">
        <v>0</v>
      </c>
      <c r="AT3754">
        <v>0</v>
      </c>
      <c r="AU3754">
        <v>0</v>
      </c>
      <c r="AV3754">
        <v>0</v>
      </c>
      <c r="AW3754">
        <v>0</v>
      </c>
      <c r="AX3754">
        <v>0</v>
      </c>
      <c r="AY3754">
        <v>0</v>
      </c>
      <c r="AZ3754">
        <v>0</v>
      </c>
      <c r="BA3754">
        <v>0</v>
      </c>
      <c r="BB3754">
        <v>0</v>
      </c>
      <c r="BC3754">
        <v>0</v>
      </c>
      <c r="BD3754">
        <v>0</v>
      </c>
      <c r="BE3754">
        <v>0</v>
      </c>
      <c r="BF3754">
        <v>0</v>
      </c>
      <c r="BG3754">
        <v>0</v>
      </c>
      <c r="BH3754">
        <v>1</v>
      </c>
      <c r="BI3754">
        <v>2</v>
      </c>
      <c r="BJ3754">
        <v>0.9</v>
      </c>
      <c r="BK3754">
        <v>2</v>
      </c>
      <c r="BL3754">
        <v>135.59</v>
      </c>
      <c r="BM3754">
        <v>20.34</v>
      </c>
      <c r="BN3754">
        <v>155.93</v>
      </c>
      <c r="BO3754">
        <v>155.93</v>
      </c>
      <c r="BQ3754" t="s">
        <v>627</v>
      </c>
      <c r="BR3754" t="s">
        <v>84</v>
      </c>
      <c r="BS3754" s="3">
        <v>45806</v>
      </c>
      <c r="BT3754" s="4">
        <v>0.33194444444444443</v>
      </c>
      <c r="BU3754" t="s">
        <v>1674</v>
      </c>
      <c r="BV3754" t="s">
        <v>86</v>
      </c>
      <c r="BY3754">
        <v>4275</v>
      </c>
      <c r="CC3754" t="s">
        <v>625</v>
      </c>
      <c r="CD3754">
        <v>1947</v>
      </c>
      <c r="CE3754" t="s">
        <v>176</v>
      </c>
      <c r="CF3754" s="3">
        <v>45806</v>
      </c>
      <c r="CI3754">
        <v>1</v>
      </c>
      <c r="CJ3754">
        <v>1</v>
      </c>
      <c r="CK3754">
        <v>23</v>
      </c>
      <c r="CL3754" t="s">
        <v>89</v>
      </c>
    </row>
    <row r="3755" spans="1:90" x14ac:dyDescent="0.3">
      <c r="A3755" t="s">
        <v>72</v>
      </c>
      <c r="B3755" t="s">
        <v>73</v>
      </c>
      <c r="C3755" t="s">
        <v>74</v>
      </c>
      <c r="E3755" t="str">
        <f>"080065623061"</f>
        <v>080065623061</v>
      </c>
      <c r="F3755" s="3">
        <v>45805</v>
      </c>
      <c r="G3755">
        <v>202602</v>
      </c>
      <c r="H3755" t="s">
        <v>75</v>
      </c>
      <c r="I3755" t="s">
        <v>76</v>
      </c>
      <c r="J3755" t="s">
        <v>77</v>
      </c>
      <c r="K3755" t="s">
        <v>78</v>
      </c>
      <c r="L3755" t="s">
        <v>90</v>
      </c>
      <c r="M3755" t="s">
        <v>91</v>
      </c>
      <c r="N3755" t="s">
        <v>563</v>
      </c>
      <c r="O3755" t="s">
        <v>300</v>
      </c>
      <c r="P3755" t="str">
        <f>"4170041122                    "</f>
        <v xml:space="preserve">4170041122                    </v>
      </c>
      <c r="Q3755">
        <v>0</v>
      </c>
      <c r="R3755">
        <v>0</v>
      </c>
      <c r="S3755">
        <v>0</v>
      </c>
      <c r="T3755">
        <v>0</v>
      </c>
      <c r="U3755">
        <v>0</v>
      </c>
      <c r="V3755">
        <v>0</v>
      </c>
      <c r="W3755">
        <v>0</v>
      </c>
      <c r="X3755">
        <v>0</v>
      </c>
      <c r="Y3755">
        <v>0</v>
      </c>
      <c r="Z3755">
        <v>0</v>
      </c>
      <c r="AA3755">
        <v>0</v>
      </c>
      <c r="AB3755">
        <v>0</v>
      </c>
      <c r="AC3755">
        <v>0</v>
      </c>
      <c r="AD3755">
        <v>0</v>
      </c>
      <c r="AE3755">
        <v>0</v>
      </c>
      <c r="AF3755">
        <v>0</v>
      </c>
      <c r="AG3755">
        <v>0</v>
      </c>
      <c r="AH3755">
        <v>0</v>
      </c>
      <c r="AI3755">
        <v>0</v>
      </c>
      <c r="AJ3755">
        <v>0</v>
      </c>
      <c r="AK3755">
        <v>0</v>
      </c>
      <c r="AL3755">
        <v>0</v>
      </c>
      <c r="AM3755">
        <v>0</v>
      </c>
      <c r="AN3755">
        <v>0</v>
      </c>
      <c r="AO3755">
        <v>0</v>
      </c>
      <c r="AP3755">
        <v>0</v>
      </c>
      <c r="AQ3755">
        <v>58.42</v>
      </c>
      <c r="AR3755">
        <v>0</v>
      </c>
      <c r="AS3755">
        <v>0</v>
      </c>
      <c r="AT3755">
        <v>0</v>
      </c>
      <c r="AU3755">
        <v>0</v>
      </c>
      <c r="AV3755">
        <v>0</v>
      </c>
      <c r="AW3755">
        <v>0</v>
      </c>
      <c r="AX3755">
        <v>0</v>
      </c>
      <c r="AY3755">
        <v>0</v>
      </c>
      <c r="AZ3755">
        <v>0</v>
      </c>
      <c r="BA3755">
        <v>0</v>
      </c>
      <c r="BB3755">
        <v>0</v>
      </c>
      <c r="BC3755">
        <v>0</v>
      </c>
      <c r="BD3755">
        <v>0</v>
      </c>
      <c r="BE3755">
        <v>0</v>
      </c>
      <c r="BF3755">
        <v>0</v>
      </c>
      <c r="BG3755">
        <v>0</v>
      </c>
      <c r="BH3755">
        <v>1</v>
      </c>
      <c r="BI3755">
        <v>13</v>
      </c>
      <c r="BJ3755">
        <v>24.7</v>
      </c>
      <c r="BK3755">
        <v>25</v>
      </c>
      <c r="BL3755">
        <v>196.77</v>
      </c>
      <c r="BM3755">
        <v>29.52</v>
      </c>
      <c r="BN3755">
        <v>226.29</v>
      </c>
      <c r="BO3755">
        <v>226.29</v>
      </c>
      <c r="BQ3755" t="s">
        <v>564</v>
      </c>
      <c r="BR3755" t="s">
        <v>84</v>
      </c>
      <c r="BS3755" t="s">
        <v>1540</v>
      </c>
      <c r="BY3755">
        <v>123525</v>
      </c>
      <c r="CC3755" t="s">
        <v>91</v>
      </c>
      <c r="CD3755">
        <v>6001</v>
      </c>
      <c r="CE3755" t="s">
        <v>176</v>
      </c>
      <c r="CI3755">
        <v>3</v>
      </c>
      <c r="CJ3755" t="s">
        <v>1540</v>
      </c>
      <c r="CK3755">
        <v>41</v>
      </c>
      <c r="CL3755" t="s">
        <v>89</v>
      </c>
    </row>
    <row r="3756" spans="1:90" x14ac:dyDescent="0.3">
      <c r="A3756" t="s">
        <v>72</v>
      </c>
      <c r="B3756" t="s">
        <v>73</v>
      </c>
      <c r="C3756" t="s">
        <v>74</v>
      </c>
      <c r="E3756" t="str">
        <f>"080065623095"</f>
        <v>080065623095</v>
      </c>
      <c r="F3756" s="3">
        <v>45805</v>
      </c>
      <c r="G3756">
        <v>202602</v>
      </c>
      <c r="H3756" t="s">
        <v>75</v>
      </c>
      <c r="I3756" t="s">
        <v>76</v>
      </c>
      <c r="J3756" t="s">
        <v>77</v>
      </c>
      <c r="K3756" t="s">
        <v>78</v>
      </c>
      <c r="L3756" t="s">
        <v>1203</v>
      </c>
      <c r="M3756" t="s">
        <v>1204</v>
      </c>
      <c r="N3756" t="s">
        <v>1205</v>
      </c>
      <c r="O3756" t="s">
        <v>82</v>
      </c>
      <c r="P3756" t="str">
        <f>"4170041202                    "</f>
        <v xml:space="preserve">4170041202                    </v>
      </c>
      <c r="Q3756">
        <v>0</v>
      </c>
      <c r="R3756">
        <v>0</v>
      </c>
      <c r="S3756">
        <v>0</v>
      </c>
      <c r="T3756">
        <v>0</v>
      </c>
      <c r="U3756">
        <v>0</v>
      </c>
      <c r="V3756">
        <v>0</v>
      </c>
      <c r="W3756">
        <v>0</v>
      </c>
      <c r="X3756">
        <v>0</v>
      </c>
      <c r="Y3756">
        <v>0</v>
      </c>
      <c r="Z3756">
        <v>0</v>
      </c>
      <c r="AA3756">
        <v>0</v>
      </c>
      <c r="AB3756">
        <v>0</v>
      </c>
      <c r="AC3756">
        <v>0</v>
      </c>
      <c r="AD3756">
        <v>0</v>
      </c>
      <c r="AE3756">
        <v>0</v>
      </c>
      <c r="AF3756">
        <v>0</v>
      </c>
      <c r="AG3756">
        <v>0</v>
      </c>
      <c r="AH3756">
        <v>0</v>
      </c>
      <c r="AI3756">
        <v>0</v>
      </c>
      <c r="AJ3756">
        <v>0</v>
      </c>
      <c r="AK3756">
        <v>0</v>
      </c>
      <c r="AL3756">
        <v>0</v>
      </c>
      <c r="AM3756">
        <v>0</v>
      </c>
      <c r="AN3756">
        <v>0</v>
      </c>
      <c r="AO3756">
        <v>0</v>
      </c>
      <c r="AP3756">
        <v>0</v>
      </c>
      <c r="AQ3756">
        <v>88.2</v>
      </c>
      <c r="AR3756">
        <v>0</v>
      </c>
      <c r="AS3756">
        <v>0</v>
      </c>
      <c r="AT3756">
        <v>0</v>
      </c>
      <c r="AU3756">
        <v>0</v>
      </c>
      <c r="AV3756">
        <v>0</v>
      </c>
      <c r="AW3756">
        <v>0</v>
      </c>
      <c r="AX3756">
        <v>0</v>
      </c>
      <c r="AY3756">
        <v>0</v>
      </c>
      <c r="AZ3756">
        <v>0</v>
      </c>
      <c r="BA3756">
        <v>0</v>
      </c>
      <c r="BB3756">
        <v>0</v>
      </c>
      <c r="BC3756">
        <v>0</v>
      </c>
      <c r="BD3756">
        <v>0</v>
      </c>
      <c r="BE3756">
        <v>0</v>
      </c>
      <c r="BF3756">
        <v>0</v>
      </c>
      <c r="BG3756">
        <v>0</v>
      </c>
      <c r="BH3756">
        <v>1</v>
      </c>
      <c r="BI3756">
        <v>1</v>
      </c>
      <c r="BJ3756">
        <v>4.5</v>
      </c>
      <c r="BK3756">
        <v>4.5</v>
      </c>
      <c r="BL3756">
        <v>288.66000000000003</v>
      </c>
      <c r="BM3756">
        <v>43.3</v>
      </c>
      <c r="BN3756">
        <v>331.96</v>
      </c>
      <c r="BO3756">
        <v>331.96</v>
      </c>
      <c r="BQ3756" t="s">
        <v>2747</v>
      </c>
      <c r="BR3756" t="s">
        <v>84</v>
      </c>
      <c r="BS3756" s="3">
        <v>45806</v>
      </c>
      <c r="BT3756" s="4">
        <v>0.59236111111111112</v>
      </c>
      <c r="BU3756" t="s">
        <v>1207</v>
      </c>
      <c r="BV3756" t="s">
        <v>86</v>
      </c>
      <c r="BY3756">
        <v>22620</v>
      </c>
      <c r="BZ3756" t="s">
        <v>127</v>
      </c>
      <c r="CA3756" t="s">
        <v>1208</v>
      </c>
      <c r="CC3756" t="s">
        <v>1204</v>
      </c>
      <c r="CD3756">
        <v>6506</v>
      </c>
      <c r="CE3756" t="s">
        <v>96</v>
      </c>
      <c r="CI3756">
        <v>1</v>
      </c>
      <c r="CJ3756">
        <v>1</v>
      </c>
      <c r="CK3756">
        <v>23</v>
      </c>
      <c r="CL3756" t="s">
        <v>89</v>
      </c>
    </row>
    <row r="3757" spans="1:90" x14ac:dyDescent="0.3">
      <c r="A3757" t="s">
        <v>72</v>
      </c>
      <c r="B3757" t="s">
        <v>73</v>
      </c>
      <c r="C3757" t="s">
        <v>74</v>
      </c>
      <c r="E3757" t="str">
        <f>"080065623129"</f>
        <v>080065623129</v>
      </c>
      <c r="F3757" s="3">
        <v>45805</v>
      </c>
      <c r="G3757">
        <v>202602</v>
      </c>
      <c r="H3757" t="s">
        <v>75</v>
      </c>
      <c r="I3757" t="s">
        <v>76</v>
      </c>
      <c r="J3757" t="s">
        <v>77</v>
      </c>
      <c r="K3757" t="s">
        <v>78</v>
      </c>
      <c r="L3757" t="s">
        <v>75</v>
      </c>
      <c r="M3757" t="s">
        <v>76</v>
      </c>
      <c r="N3757" t="s">
        <v>2393</v>
      </c>
      <c r="O3757" t="s">
        <v>300</v>
      </c>
      <c r="P3757" t="str">
        <f>"4170041007                    "</f>
        <v xml:space="preserve">4170041007                    </v>
      </c>
      <c r="Q3757">
        <v>0</v>
      </c>
      <c r="R3757">
        <v>0</v>
      </c>
      <c r="S3757">
        <v>0</v>
      </c>
      <c r="T3757">
        <v>0</v>
      </c>
      <c r="U3757">
        <v>0</v>
      </c>
      <c r="V3757">
        <v>0</v>
      </c>
      <c r="W3757">
        <v>0</v>
      </c>
      <c r="X3757">
        <v>0</v>
      </c>
      <c r="Y3757">
        <v>0</v>
      </c>
      <c r="Z3757">
        <v>0</v>
      </c>
      <c r="AA3757">
        <v>0</v>
      </c>
      <c r="AB3757">
        <v>0</v>
      </c>
      <c r="AC3757">
        <v>0</v>
      </c>
      <c r="AD3757">
        <v>0</v>
      </c>
      <c r="AE3757">
        <v>0</v>
      </c>
      <c r="AF3757">
        <v>0</v>
      </c>
      <c r="AG3757">
        <v>0</v>
      </c>
      <c r="AH3757">
        <v>0</v>
      </c>
      <c r="AI3757">
        <v>0</v>
      </c>
      <c r="AJ3757">
        <v>0</v>
      </c>
      <c r="AK3757">
        <v>0</v>
      </c>
      <c r="AL3757">
        <v>0</v>
      </c>
      <c r="AM3757">
        <v>0</v>
      </c>
      <c r="AN3757">
        <v>0</v>
      </c>
      <c r="AO3757">
        <v>0</v>
      </c>
      <c r="AP3757">
        <v>0</v>
      </c>
      <c r="AQ3757">
        <v>61.76</v>
      </c>
      <c r="AR3757">
        <v>0</v>
      </c>
      <c r="AS3757">
        <v>0</v>
      </c>
      <c r="AT3757">
        <v>0</v>
      </c>
      <c r="AU3757">
        <v>0</v>
      </c>
      <c r="AV3757">
        <v>0</v>
      </c>
      <c r="AW3757">
        <v>0</v>
      </c>
      <c r="AX3757">
        <v>0</v>
      </c>
      <c r="AY3757">
        <v>0</v>
      </c>
      <c r="AZ3757">
        <v>0</v>
      </c>
      <c r="BA3757">
        <v>0</v>
      </c>
      <c r="BB3757">
        <v>0</v>
      </c>
      <c r="BC3757">
        <v>0</v>
      </c>
      <c r="BD3757">
        <v>0</v>
      </c>
      <c r="BE3757">
        <v>0</v>
      </c>
      <c r="BF3757">
        <v>0</v>
      </c>
      <c r="BG3757">
        <v>0</v>
      </c>
      <c r="BH3757">
        <v>1</v>
      </c>
      <c r="BI3757">
        <v>17</v>
      </c>
      <c r="BJ3757">
        <v>46.4</v>
      </c>
      <c r="BK3757">
        <v>47</v>
      </c>
      <c r="BL3757">
        <v>207.69</v>
      </c>
      <c r="BM3757">
        <v>31.15</v>
      </c>
      <c r="BN3757">
        <v>238.84</v>
      </c>
      <c r="BO3757">
        <v>238.84</v>
      </c>
      <c r="BQ3757" t="s">
        <v>2394</v>
      </c>
      <c r="BR3757" t="s">
        <v>84</v>
      </c>
      <c r="BS3757" s="3">
        <v>45806</v>
      </c>
      <c r="BT3757" s="4">
        <v>0.50138888888888888</v>
      </c>
      <c r="BU3757" t="s">
        <v>3400</v>
      </c>
      <c r="BV3757" t="s">
        <v>86</v>
      </c>
      <c r="BY3757">
        <v>232227</v>
      </c>
      <c r="BZ3757" t="s">
        <v>303</v>
      </c>
      <c r="CA3757" t="s">
        <v>484</v>
      </c>
      <c r="CC3757" t="s">
        <v>76</v>
      </c>
      <c r="CD3757">
        <v>1600</v>
      </c>
      <c r="CE3757" t="s">
        <v>96</v>
      </c>
      <c r="CF3757" s="3">
        <v>45806</v>
      </c>
      <c r="CI3757">
        <v>1</v>
      </c>
      <c r="CJ3757">
        <v>1</v>
      </c>
      <c r="CK3757">
        <v>42</v>
      </c>
      <c r="CL3757" t="s">
        <v>89</v>
      </c>
    </row>
    <row r="3758" spans="1:90" x14ac:dyDescent="0.3">
      <c r="A3758" t="s">
        <v>72</v>
      </c>
      <c r="B3758" t="s">
        <v>73</v>
      </c>
      <c r="C3758" t="s">
        <v>74</v>
      </c>
      <c r="E3758" t="str">
        <f>"080065623166"</f>
        <v>080065623166</v>
      </c>
      <c r="F3758" s="3">
        <v>45805</v>
      </c>
      <c r="G3758">
        <v>202602</v>
      </c>
      <c r="H3758" t="s">
        <v>75</v>
      </c>
      <c r="I3758" t="s">
        <v>76</v>
      </c>
      <c r="J3758" t="s">
        <v>77</v>
      </c>
      <c r="K3758" t="s">
        <v>78</v>
      </c>
      <c r="L3758" t="s">
        <v>143</v>
      </c>
      <c r="M3758" t="s">
        <v>144</v>
      </c>
      <c r="N3758" t="s">
        <v>547</v>
      </c>
      <c r="O3758" t="s">
        <v>82</v>
      </c>
      <c r="P3758" t="str">
        <f>"4170041186                    "</f>
        <v xml:space="preserve">4170041186                    </v>
      </c>
      <c r="Q3758">
        <v>0</v>
      </c>
      <c r="R3758">
        <v>0</v>
      </c>
      <c r="S3758">
        <v>0</v>
      </c>
      <c r="T3758">
        <v>0</v>
      </c>
      <c r="U3758">
        <v>0</v>
      </c>
      <c r="V3758">
        <v>0</v>
      </c>
      <c r="W3758">
        <v>0</v>
      </c>
      <c r="X3758">
        <v>0</v>
      </c>
      <c r="Y3758">
        <v>0</v>
      </c>
      <c r="Z3758">
        <v>0</v>
      </c>
      <c r="AA3758">
        <v>0</v>
      </c>
      <c r="AB3758">
        <v>0</v>
      </c>
      <c r="AC3758">
        <v>0</v>
      </c>
      <c r="AD3758">
        <v>0</v>
      </c>
      <c r="AE3758">
        <v>0</v>
      </c>
      <c r="AF3758">
        <v>0</v>
      </c>
      <c r="AG3758">
        <v>0</v>
      </c>
      <c r="AH3758">
        <v>0</v>
      </c>
      <c r="AI3758">
        <v>0</v>
      </c>
      <c r="AJ3758">
        <v>0</v>
      </c>
      <c r="AK3758">
        <v>0</v>
      </c>
      <c r="AL3758">
        <v>0</v>
      </c>
      <c r="AM3758">
        <v>0</v>
      </c>
      <c r="AN3758">
        <v>0</v>
      </c>
      <c r="AO3758">
        <v>0</v>
      </c>
      <c r="AP3758">
        <v>0</v>
      </c>
      <c r="AQ3758">
        <v>16.7</v>
      </c>
      <c r="AR3758">
        <v>0</v>
      </c>
      <c r="AS3758">
        <v>0</v>
      </c>
      <c r="AT3758">
        <v>0</v>
      </c>
      <c r="AU3758">
        <v>0</v>
      </c>
      <c r="AV3758">
        <v>0</v>
      </c>
      <c r="AW3758">
        <v>0</v>
      </c>
      <c r="AX3758">
        <v>0</v>
      </c>
      <c r="AY3758">
        <v>0</v>
      </c>
      <c r="AZ3758">
        <v>0</v>
      </c>
      <c r="BA3758">
        <v>0</v>
      </c>
      <c r="BB3758">
        <v>0</v>
      </c>
      <c r="BC3758">
        <v>0</v>
      </c>
      <c r="BD3758">
        <v>0</v>
      </c>
      <c r="BE3758">
        <v>0</v>
      </c>
      <c r="BF3758">
        <v>0</v>
      </c>
      <c r="BG3758">
        <v>0</v>
      </c>
      <c r="BH3758">
        <v>1</v>
      </c>
      <c r="BI3758">
        <v>1</v>
      </c>
      <c r="BJ3758">
        <v>0.9</v>
      </c>
      <c r="BK3758">
        <v>1</v>
      </c>
      <c r="BL3758">
        <v>54.66</v>
      </c>
      <c r="BM3758">
        <v>8.1999999999999993</v>
      </c>
      <c r="BN3758">
        <v>62.86</v>
      </c>
      <c r="BO3758">
        <v>62.86</v>
      </c>
      <c r="BQ3758" t="s">
        <v>548</v>
      </c>
      <c r="BR3758" t="s">
        <v>84</v>
      </c>
      <c r="BS3758" s="3">
        <v>45806</v>
      </c>
      <c r="BT3758" s="4">
        <v>0.3611111111111111</v>
      </c>
      <c r="BU3758" t="s">
        <v>1508</v>
      </c>
      <c r="BV3758" t="s">
        <v>86</v>
      </c>
      <c r="BY3758">
        <v>4560</v>
      </c>
      <c r="CA3758" t="s">
        <v>765</v>
      </c>
      <c r="CC3758" t="s">
        <v>144</v>
      </c>
      <c r="CD3758">
        <v>1401</v>
      </c>
      <c r="CE3758" t="s">
        <v>116</v>
      </c>
      <c r="CF3758" s="3">
        <v>45806</v>
      </c>
      <c r="CI3758">
        <v>1</v>
      </c>
      <c r="CJ3758">
        <v>1</v>
      </c>
      <c r="CK3758">
        <v>22</v>
      </c>
      <c r="CL3758" t="s">
        <v>89</v>
      </c>
    </row>
    <row r="3759" spans="1:90" x14ac:dyDescent="0.3">
      <c r="A3759" t="s">
        <v>72</v>
      </c>
      <c r="B3759" t="s">
        <v>73</v>
      </c>
      <c r="C3759" t="s">
        <v>74</v>
      </c>
      <c r="E3759" t="str">
        <f>"080065623192"</f>
        <v>080065623192</v>
      </c>
      <c r="F3759" s="3">
        <v>45805</v>
      </c>
      <c r="G3759">
        <v>202602</v>
      </c>
      <c r="H3759" t="s">
        <v>75</v>
      </c>
      <c r="I3759" t="s">
        <v>76</v>
      </c>
      <c r="J3759" t="s">
        <v>77</v>
      </c>
      <c r="K3759" t="s">
        <v>78</v>
      </c>
      <c r="L3759" t="s">
        <v>75</v>
      </c>
      <c r="M3759" t="s">
        <v>76</v>
      </c>
      <c r="N3759" t="s">
        <v>601</v>
      </c>
      <c r="O3759" t="s">
        <v>602</v>
      </c>
      <c r="P3759" t="str">
        <f>"4170041012                    "</f>
        <v xml:space="preserve">4170041012                    </v>
      </c>
      <c r="Q3759">
        <v>0</v>
      </c>
      <c r="R3759">
        <v>0</v>
      </c>
      <c r="S3759">
        <v>0</v>
      </c>
      <c r="T3759">
        <v>0</v>
      </c>
      <c r="U3759">
        <v>0</v>
      </c>
      <c r="V3759">
        <v>0</v>
      </c>
      <c r="W3759">
        <v>0</v>
      </c>
      <c r="X3759">
        <v>0</v>
      </c>
      <c r="Y3759">
        <v>0</v>
      </c>
      <c r="Z3759">
        <v>0</v>
      </c>
      <c r="AA3759">
        <v>0</v>
      </c>
      <c r="AB3759">
        <v>0</v>
      </c>
      <c r="AC3759">
        <v>0</v>
      </c>
      <c r="AD3759">
        <v>0</v>
      </c>
      <c r="AE3759">
        <v>0</v>
      </c>
      <c r="AF3759">
        <v>0</v>
      </c>
      <c r="AG3759">
        <v>0</v>
      </c>
      <c r="AH3759">
        <v>0</v>
      </c>
      <c r="AI3759">
        <v>0</v>
      </c>
      <c r="AJ3759">
        <v>0</v>
      </c>
      <c r="AK3759">
        <v>0</v>
      </c>
      <c r="AL3759">
        <v>0</v>
      </c>
      <c r="AM3759">
        <v>0</v>
      </c>
      <c r="AN3759">
        <v>0</v>
      </c>
      <c r="AO3759">
        <v>0</v>
      </c>
      <c r="AP3759">
        <v>0</v>
      </c>
      <c r="AQ3759">
        <v>31.7</v>
      </c>
      <c r="AR3759">
        <v>0</v>
      </c>
      <c r="AS3759">
        <v>0</v>
      </c>
      <c r="AT3759">
        <v>0</v>
      </c>
      <c r="AU3759">
        <v>0</v>
      </c>
      <c r="AV3759">
        <v>0</v>
      </c>
      <c r="AW3759">
        <v>0</v>
      </c>
      <c r="AX3759">
        <v>0</v>
      </c>
      <c r="AY3759">
        <v>0</v>
      </c>
      <c r="AZ3759">
        <v>0</v>
      </c>
      <c r="BA3759">
        <v>0</v>
      </c>
      <c r="BB3759">
        <v>0</v>
      </c>
      <c r="BC3759">
        <v>0</v>
      </c>
      <c r="BD3759">
        <v>0</v>
      </c>
      <c r="BE3759">
        <v>0</v>
      </c>
      <c r="BF3759">
        <v>0</v>
      </c>
      <c r="BG3759">
        <v>0</v>
      </c>
      <c r="BH3759">
        <v>1</v>
      </c>
      <c r="BI3759">
        <v>16</v>
      </c>
      <c r="BJ3759">
        <v>10.6</v>
      </c>
      <c r="BK3759">
        <v>16</v>
      </c>
      <c r="BL3759">
        <v>103.75</v>
      </c>
      <c r="BM3759">
        <v>15.56</v>
      </c>
      <c r="BN3759">
        <v>119.31</v>
      </c>
      <c r="BO3759">
        <v>119.31</v>
      </c>
      <c r="BQ3759" t="s">
        <v>603</v>
      </c>
      <c r="BR3759" t="s">
        <v>84</v>
      </c>
      <c r="BS3759" s="3">
        <v>45806</v>
      </c>
      <c r="BT3759" s="4">
        <v>0.35416666666666669</v>
      </c>
      <c r="BU3759" t="s">
        <v>3378</v>
      </c>
      <c r="BV3759" t="s">
        <v>86</v>
      </c>
      <c r="BY3759">
        <v>52800</v>
      </c>
      <c r="CA3759" t="s">
        <v>2929</v>
      </c>
      <c r="CC3759" t="s">
        <v>76</v>
      </c>
      <c r="CD3759">
        <v>1645</v>
      </c>
      <c r="CE3759" t="s">
        <v>96</v>
      </c>
      <c r="CF3759" s="3">
        <v>45806</v>
      </c>
      <c r="CI3759">
        <v>1</v>
      </c>
      <c r="CJ3759">
        <v>1</v>
      </c>
      <c r="CK3759">
        <v>32</v>
      </c>
      <c r="CL3759" t="s">
        <v>89</v>
      </c>
    </row>
    <row r="3760" spans="1:90" x14ac:dyDescent="0.3">
      <c r="A3760" t="s">
        <v>72</v>
      </c>
      <c r="B3760" t="s">
        <v>73</v>
      </c>
      <c r="C3760" t="s">
        <v>74</v>
      </c>
      <c r="E3760" t="str">
        <f>"080065623219"</f>
        <v>080065623219</v>
      </c>
      <c r="F3760" s="3">
        <v>45805</v>
      </c>
      <c r="G3760">
        <v>202602</v>
      </c>
      <c r="H3760" t="s">
        <v>75</v>
      </c>
      <c r="I3760" t="s">
        <v>76</v>
      </c>
      <c r="J3760" t="s">
        <v>77</v>
      </c>
      <c r="K3760" t="s">
        <v>78</v>
      </c>
      <c r="L3760" t="s">
        <v>130</v>
      </c>
      <c r="M3760" t="s">
        <v>131</v>
      </c>
      <c r="N3760" t="s">
        <v>909</v>
      </c>
      <c r="O3760" t="s">
        <v>82</v>
      </c>
      <c r="P3760" t="str">
        <f>"4170041224                    "</f>
        <v xml:space="preserve">4170041224                    </v>
      </c>
      <c r="Q3760">
        <v>0</v>
      </c>
      <c r="R3760">
        <v>0</v>
      </c>
      <c r="S3760">
        <v>0</v>
      </c>
      <c r="T3760">
        <v>0</v>
      </c>
      <c r="U3760">
        <v>0</v>
      </c>
      <c r="V3760">
        <v>0</v>
      </c>
      <c r="W3760">
        <v>0</v>
      </c>
      <c r="X3760">
        <v>0</v>
      </c>
      <c r="Y3760">
        <v>0</v>
      </c>
      <c r="Z3760">
        <v>0</v>
      </c>
      <c r="AA3760">
        <v>0</v>
      </c>
      <c r="AB3760">
        <v>0</v>
      </c>
      <c r="AC3760">
        <v>0</v>
      </c>
      <c r="AD3760">
        <v>0</v>
      </c>
      <c r="AE3760">
        <v>0</v>
      </c>
      <c r="AF3760">
        <v>0</v>
      </c>
      <c r="AG3760">
        <v>0</v>
      </c>
      <c r="AH3760">
        <v>0</v>
      </c>
      <c r="AI3760">
        <v>0</v>
      </c>
      <c r="AJ3760">
        <v>0</v>
      </c>
      <c r="AK3760">
        <v>0</v>
      </c>
      <c r="AL3760">
        <v>0</v>
      </c>
      <c r="AM3760">
        <v>0</v>
      </c>
      <c r="AN3760">
        <v>0</v>
      </c>
      <c r="AO3760">
        <v>0</v>
      </c>
      <c r="AP3760">
        <v>0</v>
      </c>
      <c r="AQ3760">
        <v>48.09</v>
      </c>
      <c r="AR3760">
        <v>0</v>
      </c>
      <c r="AS3760">
        <v>0</v>
      </c>
      <c r="AT3760">
        <v>0</v>
      </c>
      <c r="AU3760">
        <v>0</v>
      </c>
      <c r="AV3760">
        <v>0</v>
      </c>
      <c r="AW3760">
        <v>0</v>
      </c>
      <c r="AX3760">
        <v>0</v>
      </c>
      <c r="AY3760">
        <v>0</v>
      </c>
      <c r="AZ3760">
        <v>0</v>
      </c>
      <c r="BA3760">
        <v>0</v>
      </c>
      <c r="BB3760">
        <v>0</v>
      </c>
      <c r="BC3760">
        <v>0</v>
      </c>
      <c r="BD3760">
        <v>0</v>
      </c>
      <c r="BE3760">
        <v>0</v>
      </c>
      <c r="BF3760">
        <v>0</v>
      </c>
      <c r="BG3760">
        <v>0</v>
      </c>
      <c r="BH3760">
        <v>1</v>
      </c>
      <c r="BI3760">
        <v>3</v>
      </c>
      <c r="BJ3760">
        <v>4.3</v>
      </c>
      <c r="BK3760">
        <v>4.5</v>
      </c>
      <c r="BL3760">
        <v>157.38999999999999</v>
      </c>
      <c r="BM3760">
        <v>23.61</v>
      </c>
      <c r="BN3760">
        <v>181</v>
      </c>
      <c r="BO3760">
        <v>181</v>
      </c>
      <c r="BQ3760" t="s">
        <v>910</v>
      </c>
      <c r="BR3760" t="s">
        <v>84</v>
      </c>
      <c r="BS3760" s="3">
        <v>45806</v>
      </c>
      <c r="BT3760" s="4">
        <v>0.33333333333333331</v>
      </c>
      <c r="BU3760" t="s">
        <v>938</v>
      </c>
      <c r="BV3760" t="s">
        <v>86</v>
      </c>
      <c r="BY3760">
        <v>21280</v>
      </c>
      <c r="CA3760" t="s">
        <v>712</v>
      </c>
      <c r="CC3760" t="s">
        <v>131</v>
      </c>
      <c r="CD3760">
        <v>7530</v>
      </c>
      <c r="CE3760" t="s">
        <v>221</v>
      </c>
      <c r="CI3760">
        <v>1</v>
      </c>
      <c r="CJ3760">
        <v>1</v>
      </c>
      <c r="CK3760">
        <v>21</v>
      </c>
      <c r="CL3760" t="s">
        <v>89</v>
      </c>
    </row>
    <row r="3761" spans="1:90" x14ac:dyDescent="0.3">
      <c r="A3761" t="s">
        <v>72</v>
      </c>
      <c r="B3761" t="s">
        <v>73</v>
      </c>
      <c r="C3761" t="s">
        <v>74</v>
      </c>
      <c r="E3761" t="str">
        <f>"080065623258"</f>
        <v>080065623258</v>
      </c>
      <c r="F3761" s="3">
        <v>45805</v>
      </c>
      <c r="G3761">
        <v>202602</v>
      </c>
      <c r="H3761" t="s">
        <v>75</v>
      </c>
      <c r="I3761" t="s">
        <v>76</v>
      </c>
      <c r="J3761" t="s">
        <v>77</v>
      </c>
      <c r="K3761" t="s">
        <v>78</v>
      </c>
      <c r="L3761" t="s">
        <v>90</v>
      </c>
      <c r="M3761" t="s">
        <v>91</v>
      </c>
      <c r="N3761" t="s">
        <v>563</v>
      </c>
      <c r="O3761" t="s">
        <v>82</v>
      </c>
      <c r="P3761" t="str">
        <f>"4170041121                    "</f>
        <v xml:space="preserve">4170041121                    </v>
      </c>
      <c r="Q3761">
        <v>0</v>
      </c>
      <c r="R3761">
        <v>0</v>
      </c>
      <c r="S3761">
        <v>0</v>
      </c>
      <c r="T3761">
        <v>0</v>
      </c>
      <c r="U3761">
        <v>0</v>
      </c>
      <c r="V3761">
        <v>0</v>
      </c>
      <c r="W3761">
        <v>0</v>
      </c>
      <c r="X3761">
        <v>0</v>
      </c>
      <c r="Y3761">
        <v>0</v>
      </c>
      <c r="Z3761">
        <v>0</v>
      </c>
      <c r="AA3761">
        <v>0</v>
      </c>
      <c r="AB3761">
        <v>0</v>
      </c>
      <c r="AC3761">
        <v>0</v>
      </c>
      <c r="AD3761">
        <v>0</v>
      </c>
      <c r="AE3761">
        <v>0</v>
      </c>
      <c r="AF3761">
        <v>0</v>
      </c>
      <c r="AG3761">
        <v>0</v>
      </c>
      <c r="AH3761">
        <v>0</v>
      </c>
      <c r="AI3761">
        <v>0</v>
      </c>
      <c r="AJ3761">
        <v>0</v>
      </c>
      <c r="AK3761">
        <v>0</v>
      </c>
      <c r="AL3761">
        <v>0</v>
      </c>
      <c r="AM3761">
        <v>0</v>
      </c>
      <c r="AN3761">
        <v>0</v>
      </c>
      <c r="AO3761">
        <v>0</v>
      </c>
      <c r="AP3761">
        <v>0</v>
      </c>
      <c r="AQ3761">
        <v>106.85</v>
      </c>
      <c r="AR3761">
        <v>0</v>
      </c>
      <c r="AS3761">
        <v>0</v>
      </c>
      <c r="AT3761">
        <v>0</v>
      </c>
      <c r="AU3761">
        <v>0</v>
      </c>
      <c r="AV3761">
        <v>0</v>
      </c>
      <c r="AW3761">
        <v>0</v>
      </c>
      <c r="AX3761">
        <v>0</v>
      </c>
      <c r="AY3761">
        <v>0</v>
      </c>
      <c r="AZ3761">
        <v>0</v>
      </c>
      <c r="BA3761">
        <v>0</v>
      </c>
      <c r="BB3761">
        <v>0</v>
      </c>
      <c r="BC3761">
        <v>0</v>
      </c>
      <c r="BD3761">
        <v>0</v>
      </c>
      <c r="BE3761">
        <v>0</v>
      </c>
      <c r="BF3761">
        <v>0</v>
      </c>
      <c r="BG3761">
        <v>0</v>
      </c>
      <c r="BH3761">
        <v>1</v>
      </c>
      <c r="BI3761">
        <v>5</v>
      </c>
      <c r="BJ3761">
        <v>9.6</v>
      </c>
      <c r="BK3761">
        <v>10</v>
      </c>
      <c r="BL3761">
        <v>349.69</v>
      </c>
      <c r="BM3761">
        <v>52.45</v>
      </c>
      <c r="BN3761">
        <v>402.14</v>
      </c>
      <c r="BO3761">
        <v>402.14</v>
      </c>
      <c r="BQ3761" t="s">
        <v>564</v>
      </c>
      <c r="BR3761" t="s">
        <v>84</v>
      </c>
      <c r="BS3761" s="3">
        <v>45806</v>
      </c>
      <c r="BT3761" s="4">
        <v>0.34930555555555554</v>
      </c>
      <c r="BU3761" t="s">
        <v>987</v>
      </c>
      <c r="BV3761" t="s">
        <v>86</v>
      </c>
      <c r="BY3761">
        <v>48000</v>
      </c>
      <c r="CA3761" t="s">
        <v>566</v>
      </c>
      <c r="CC3761" t="s">
        <v>91</v>
      </c>
      <c r="CD3761">
        <v>6001</v>
      </c>
      <c r="CE3761" t="s">
        <v>96</v>
      </c>
      <c r="CF3761" s="3">
        <v>45806</v>
      </c>
      <c r="CI3761">
        <v>1</v>
      </c>
      <c r="CJ3761">
        <v>1</v>
      </c>
      <c r="CK3761">
        <v>21</v>
      </c>
      <c r="CL3761" t="s">
        <v>89</v>
      </c>
    </row>
    <row r="3762" spans="1:90" x14ac:dyDescent="0.3">
      <c r="A3762" t="s">
        <v>72</v>
      </c>
      <c r="B3762" t="s">
        <v>73</v>
      </c>
      <c r="C3762" t="s">
        <v>74</v>
      </c>
      <c r="E3762" t="str">
        <f>"080065623295"</f>
        <v>080065623295</v>
      </c>
      <c r="F3762" s="3">
        <v>45805</v>
      </c>
      <c r="G3762">
        <v>202602</v>
      </c>
      <c r="H3762" t="s">
        <v>75</v>
      </c>
      <c r="I3762" t="s">
        <v>76</v>
      </c>
      <c r="J3762" t="s">
        <v>77</v>
      </c>
      <c r="K3762" t="s">
        <v>78</v>
      </c>
      <c r="L3762" t="s">
        <v>232</v>
      </c>
      <c r="M3762" t="s">
        <v>233</v>
      </c>
      <c r="N3762" t="s">
        <v>834</v>
      </c>
      <c r="O3762" t="s">
        <v>82</v>
      </c>
      <c r="P3762" t="str">
        <f>"4170041201                    "</f>
        <v xml:space="preserve">4170041201                    </v>
      </c>
      <c r="Q3762">
        <v>0</v>
      </c>
      <c r="R3762">
        <v>0</v>
      </c>
      <c r="S3762">
        <v>0</v>
      </c>
      <c r="T3762">
        <v>0</v>
      </c>
      <c r="U3762">
        <v>0</v>
      </c>
      <c r="V3762">
        <v>0</v>
      </c>
      <c r="W3762">
        <v>0</v>
      </c>
      <c r="X3762">
        <v>0</v>
      </c>
      <c r="Y3762">
        <v>0</v>
      </c>
      <c r="Z3762">
        <v>0</v>
      </c>
      <c r="AA3762">
        <v>0</v>
      </c>
      <c r="AB3762">
        <v>0</v>
      </c>
      <c r="AC3762">
        <v>0</v>
      </c>
      <c r="AD3762">
        <v>0</v>
      </c>
      <c r="AE3762">
        <v>0</v>
      </c>
      <c r="AF3762">
        <v>0</v>
      </c>
      <c r="AG3762">
        <v>0</v>
      </c>
      <c r="AH3762">
        <v>0</v>
      </c>
      <c r="AI3762">
        <v>0</v>
      </c>
      <c r="AJ3762">
        <v>0</v>
      </c>
      <c r="AK3762">
        <v>0</v>
      </c>
      <c r="AL3762">
        <v>0</v>
      </c>
      <c r="AM3762">
        <v>0</v>
      </c>
      <c r="AN3762">
        <v>0</v>
      </c>
      <c r="AO3762">
        <v>0</v>
      </c>
      <c r="AP3762">
        <v>0</v>
      </c>
      <c r="AQ3762">
        <v>42.75</v>
      </c>
      <c r="AR3762">
        <v>0</v>
      </c>
      <c r="AS3762">
        <v>0</v>
      </c>
      <c r="AT3762">
        <v>0</v>
      </c>
      <c r="AU3762">
        <v>0</v>
      </c>
      <c r="AV3762">
        <v>0</v>
      </c>
      <c r="AW3762">
        <v>0</v>
      </c>
      <c r="AX3762">
        <v>0</v>
      </c>
      <c r="AY3762">
        <v>0</v>
      </c>
      <c r="AZ3762">
        <v>0</v>
      </c>
      <c r="BA3762">
        <v>0</v>
      </c>
      <c r="BB3762">
        <v>0</v>
      </c>
      <c r="BC3762">
        <v>0</v>
      </c>
      <c r="BD3762">
        <v>0</v>
      </c>
      <c r="BE3762">
        <v>0</v>
      </c>
      <c r="BF3762">
        <v>0</v>
      </c>
      <c r="BG3762">
        <v>0</v>
      </c>
      <c r="BH3762">
        <v>1</v>
      </c>
      <c r="BI3762">
        <v>4</v>
      </c>
      <c r="BJ3762">
        <v>1.7</v>
      </c>
      <c r="BK3762">
        <v>4</v>
      </c>
      <c r="BL3762">
        <v>139.91</v>
      </c>
      <c r="BM3762">
        <v>20.99</v>
      </c>
      <c r="BN3762">
        <v>160.9</v>
      </c>
      <c r="BO3762">
        <v>160.9</v>
      </c>
      <c r="BQ3762" t="s">
        <v>835</v>
      </c>
      <c r="BR3762" t="s">
        <v>84</v>
      </c>
      <c r="BS3762" s="3">
        <v>45806</v>
      </c>
      <c r="BT3762" s="4">
        <v>0.29930555555555555</v>
      </c>
      <c r="BU3762" t="s">
        <v>836</v>
      </c>
      <c r="BV3762" t="s">
        <v>86</v>
      </c>
      <c r="BY3762">
        <v>8512</v>
      </c>
      <c r="CA3762" t="s">
        <v>258</v>
      </c>
      <c r="CC3762" t="s">
        <v>233</v>
      </c>
      <c r="CD3762" s="5" t="s">
        <v>238</v>
      </c>
      <c r="CE3762" t="s">
        <v>96</v>
      </c>
      <c r="CF3762" s="3">
        <v>45806</v>
      </c>
      <c r="CI3762">
        <v>1</v>
      </c>
      <c r="CJ3762">
        <v>1</v>
      </c>
      <c r="CK3762">
        <v>21</v>
      </c>
      <c r="CL3762" t="s">
        <v>89</v>
      </c>
    </row>
    <row r="3763" spans="1:90" x14ac:dyDescent="0.3">
      <c r="A3763" t="s">
        <v>72</v>
      </c>
      <c r="B3763" t="s">
        <v>73</v>
      </c>
      <c r="C3763" t="s">
        <v>74</v>
      </c>
      <c r="E3763" t="str">
        <f>"080065623321"</f>
        <v>080065623321</v>
      </c>
      <c r="F3763" s="3">
        <v>45805</v>
      </c>
      <c r="G3763">
        <v>202602</v>
      </c>
      <c r="H3763" t="s">
        <v>75</v>
      </c>
      <c r="I3763" t="s">
        <v>76</v>
      </c>
      <c r="J3763" t="s">
        <v>77</v>
      </c>
      <c r="K3763" t="s">
        <v>78</v>
      </c>
      <c r="L3763" t="s">
        <v>350</v>
      </c>
      <c r="M3763" t="s">
        <v>351</v>
      </c>
      <c r="N3763" t="s">
        <v>459</v>
      </c>
      <c r="O3763" t="s">
        <v>82</v>
      </c>
      <c r="P3763" t="str">
        <f>"4170041180                    "</f>
        <v xml:space="preserve">4170041180                    </v>
      </c>
      <c r="Q3763">
        <v>0</v>
      </c>
      <c r="R3763">
        <v>0</v>
      </c>
      <c r="S3763">
        <v>0</v>
      </c>
      <c r="T3763">
        <v>0</v>
      </c>
      <c r="U3763">
        <v>0</v>
      </c>
      <c r="V3763">
        <v>0</v>
      </c>
      <c r="W3763">
        <v>0</v>
      </c>
      <c r="X3763">
        <v>0</v>
      </c>
      <c r="Y3763">
        <v>0</v>
      </c>
      <c r="Z3763">
        <v>0</v>
      </c>
      <c r="AA3763">
        <v>0</v>
      </c>
      <c r="AB3763">
        <v>0</v>
      </c>
      <c r="AC3763">
        <v>0</v>
      </c>
      <c r="AD3763">
        <v>0</v>
      </c>
      <c r="AE3763">
        <v>0</v>
      </c>
      <c r="AF3763">
        <v>0</v>
      </c>
      <c r="AG3763">
        <v>0</v>
      </c>
      <c r="AH3763">
        <v>0</v>
      </c>
      <c r="AI3763">
        <v>0</v>
      </c>
      <c r="AJ3763">
        <v>0</v>
      </c>
      <c r="AK3763">
        <v>0</v>
      </c>
      <c r="AL3763">
        <v>0</v>
      </c>
      <c r="AM3763">
        <v>0</v>
      </c>
      <c r="AN3763">
        <v>0</v>
      </c>
      <c r="AO3763">
        <v>0</v>
      </c>
      <c r="AP3763">
        <v>0</v>
      </c>
      <c r="AQ3763">
        <v>21.38</v>
      </c>
      <c r="AR3763">
        <v>0</v>
      </c>
      <c r="AS3763">
        <v>0</v>
      </c>
      <c r="AT3763">
        <v>0</v>
      </c>
      <c r="AU3763">
        <v>0</v>
      </c>
      <c r="AV3763">
        <v>0</v>
      </c>
      <c r="AW3763">
        <v>0</v>
      </c>
      <c r="AX3763">
        <v>0</v>
      </c>
      <c r="AY3763">
        <v>0</v>
      </c>
      <c r="AZ3763">
        <v>0</v>
      </c>
      <c r="BA3763">
        <v>0</v>
      </c>
      <c r="BB3763">
        <v>0</v>
      </c>
      <c r="BC3763">
        <v>0</v>
      </c>
      <c r="BD3763">
        <v>0</v>
      </c>
      <c r="BE3763">
        <v>0</v>
      </c>
      <c r="BF3763">
        <v>0</v>
      </c>
      <c r="BG3763">
        <v>0</v>
      </c>
      <c r="BH3763">
        <v>1</v>
      </c>
      <c r="BI3763">
        <v>2</v>
      </c>
      <c r="BJ3763">
        <v>1.7</v>
      </c>
      <c r="BK3763">
        <v>2</v>
      </c>
      <c r="BL3763">
        <v>69.98</v>
      </c>
      <c r="BM3763">
        <v>10.5</v>
      </c>
      <c r="BN3763">
        <v>80.48</v>
      </c>
      <c r="BO3763">
        <v>80.48</v>
      </c>
      <c r="BQ3763" t="s">
        <v>460</v>
      </c>
      <c r="BR3763" t="s">
        <v>84</v>
      </c>
      <c r="BS3763" s="3">
        <v>45806</v>
      </c>
      <c r="BT3763" s="4">
        <v>0.35069444444444442</v>
      </c>
      <c r="BU3763" t="s">
        <v>1121</v>
      </c>
      <c r="BV3763" t="s">
        <v>86</v>
      </c>
      <c r="BY3763">
        <v>8550</v>
      </c>
      <c r="CA3763" t="s">
        <v>462</v>
      </c>
      <c r="CC3763" t="s">
        <v>351</v>
      </c>
      <c r="CD3763">
        <v>4051</v>
      </c>
      <c r="CE3763" t="s">
        <v>96</v>
      </c>
      <c r="CF3763" s="3">
        <v>45806</v>
      </c>
      <c r="CI3763">
        <v>1</v>
      </c>
      <c r="CJ3763">
        <v>1</v>
      </c>
      <c r="CK3763">
        <v>21</v>
      </c>
      <c r="CL3763" t="s">
        <v>89</v>
      </c>
    </row>
    <row r="3764" spans="1:90" x14ac:dyDescent="0.3">
      <c r="A3764" t="s">
        <v>72</v>
      </c>
      <c r="B3764" t="s">
        <v>73</v>
      </c>
      <c r="C3764" t="s">
        <v>74</v>
      </c>
      <c r="E3764" t="str">
        <f>"080065623738"</f>
        <v>080065623738</v>
      </c>
      <c r="F3764" s="3">
        <v>45805</v>
      </c>
      <c r="G3764">
        <v>202602</v>
      </c>
      <c r="H3764" t="s">
        <v>75</v>
      </c>
      <c r="I3764" t="s">
        <v>76</v>
      </c>
      <c r="J3764" t="s">
        <v>77</v>
      </c>
      <c r="K3764" t="s">
        <v>78</v>
      </c>
      <c r="L3764" t="s">
        <v>136</v>
      </c>
      <c r="M3764" t="s">
        <v>137</v>
      </c>
      <c r="N3764" t="s">
        <v>886</v>
      </c>
      <c r="O3764" t="s">
        <v>82</v>
      </c>
      <c r="P3764" t="str">
        <f>"4170041252                    "</f>
        <v xml:space="preserve">4170041252                    </v>
      </c>
      <c r="Q3764">
        <v>0</v>
      </c>
      <c r="R3764">
        <v>0</v>
      </c>
      <c r="S3764">
        <v>0</v>
      </c>
      <c r="T3764">
        <v>0</v>
      </c>
      <c r="U3764">
        <v>0</v>
      </c>
      <c r="V3764">
        <v>0</v>
      </c>
      <c r="W3764">
        <v>0</v>
      </c>
      <c r="X3764">
        <v>0</v>
      </c>
      <c r="Y3764">
        <v>0</v>
      </c>
      <c r="Z3764">
        <v>0</v>
      </c>
      <c r="AA3764">
        <v>0</v>
      </c>
      <c r="AB3764">
        <v>0</v>
      </c>
      <c r="AC3764">
        <v>0</v>
      </c>
      <c r="AD3764">
        <v>0</v>
      </c>
      <c r="AE3764">
        <v>0</v>
      </c>
      <c r="AF3764">
        <v>0</v>
      </c>
      <c r="AG3764">
        <v>0</v>
      </c>
      <c r="AH3764">
        <v>0</v>
      </c>
      <c r="AI3764">
        <v>0</v>
      </c>
      <c r="AJ3764">
        <v>0</v>
      </c>
      <c r="AK3764">
        <v>0</v>
      </c>
      <c r="AL3764">
        <v>0</v>
      </c>
      <c r="AM3764">
        <v>0</v>
      </c>
      <c r="AN3764">
        <v>0</v>
      </c>
      <c r="AO3764">
        <v>0</v>
      </c>
      <c r="AP3764">
        <v>0</v>
      </c>
      <c r="AQ3764">
        <v>21.38</v>
      </c>
      <c r="AR3764">
        <v>0</v>
      </c>
      <c r="AS3764">
        <v>0</v>
      </c>
      <c r="AT3764">
        <v>0</v>
      </c>
      <c r="AU3764">
        <v>0</v>
      </c>
      <c r="AV3764">
        <v>0</v>
      </c>
      <c r="AW3764">
        <v>0</v>
      </c>
      <c r="AX3764">
        <v>0</v>
      </c>
      <c r="AY3764">
        <v>0</v>
      </c>
      <c r="AZ3764">
        <v>0</v>
      </c>
      <c r="BA3764">
        <v>0</v>
      </c>
      <c r="BB3764">
        <v>0</v>
      </c>
      <c r="BC3764">
        <v>0</v>
      </c>
      <c r="BD3764">
        <v>0</v>
      </c>
      <c r="BE3764">
        <v>0</v>
      </c>
      <c r="BF3764">
        <v>0</v>
      </c>
      <c r="BG3764">
        <v>0</v>
      </c>
      <c r="BH3764">
        <v>1</v>
      </c>
      <c r="BI3764">
        <v>1</v>
      </c>
      <c r="BJ3764">
        <v>0.2</v>
      </c>
      <c r="BK3764">
        <v>1</v>
      </c>
      <c r="BL3764">
        <v>69.98</v>
      </c>
      <c r="BM3764">
        <v>10.5</v>
      </c>
      <c r="BN3764">
        <v>80.48</v>
      </c>
      <c r="BO3764">
        <v>80.48</v>
      </c>
      <c r="BQ3764" t="s">
        <v>887</v>
      </c>
      <c r="BR3764" t="s">
        <v>84</v>
      </c>
      <c r="BS3764" s="3">
        <v>45806</v>
      </c>
      <c r="BT3764" s="4">
        <v>0.40208333333333335</v>
      </c>
      <c r="BU3764" t="s">
        <v>3368</v>
      </c>
      <c r="BV3764" t="s">
        <v>86</v>
      </c>
      <c r="BY3764">
        <v>1200</v>
      </c>
      <c r="CA3764" t="s">
        <v>2800</v>
      </c>
      <c r="CC3764" t="s">
        <v>137</v>
      </c>
      <c r="CD3764" s="5" t="s">
        <v>738</v>
      </c>
      <c r="CE3764" t="s">
        <v>1193</v>
      </c>
      <c r="CF3764" s="3">
        <v>45806</v>
      </c>
      <c r="CI3764">
        <v>1</v>
      </c>
      <c r="CJ3764">
        <v>1</v>
      </c>
      <c r="CK3764">
        <v>21</v>
      </c>
      <c r="CL3764" t="s">
        <v>89</v>
      </c>
    </row>
    <row r="3765" spans="1:90" x14ac:dyDescent="0.3">
      <c r="A3765" t="s">
        <v>72</v>
      </c>
      <c r="B3765" t="s">
        <v>73</v>
      </c>
      <c r="C3765" t="s">
        <v>74</v>
      </c>
      <c r="E3765" t="str">
        <f>"080065623755"</f>
        <v>080065623755</v>
      </c>
      <c r="F3765" s="3">
        <v>45805</v>
      </c>
      <c r="G3765">
        <v>202602</v>
      </c>
      <c r="H3765" t="s">
        <v>75</v>
      </c>
      <c r="I3765" t="s">
        <v>76</v>
      </c>
      <c r="J3765" t="s">
        <v>77</v>
      </c>
      <c r="K3765" t="s">
        <v>78</v>
      </c>
      <c r="L3765" t="s">
        <v>350</v>
      </c>
      <c r="M3765" t="s">
        <v>351</v>
      </c>
      <c r="N3765" t="s">
        <v>876</v>
      </c>
      <c r="O3765" t="s">
        <v>82</v>
      </c>
      <c r="P3765" t="str">
        <f>"4170041145                    "</f>
        <v xml:space="preserve">4170041145                    </v>
      </c>
      <c r="Q3765">
        <v>0</v>
      </c>
      <c r="R3765">
        <v>0</v>
      </c>
      <c r="S3765">
        <v>0</v>
      </c>
      <c r="T3765">
        <v>0</v>
      </c>
      <c r="U3765">
        <v>0</v>
      </c>
      <c r="V3765">
        <v>0</v>
      </c>
      <c r="W3765">
        <v>0</v>
      </c>
      <c r="X3765">
        <v>0</v>
      </c>
      <c r="Y3765">
        <v>0</v>
      </c>
      <c r="Z3765">
        <v>0</v>
      </c>
      <c r="AA3765">
        <v>0</v>
      </c>
      <c r="AB3765">
        <v>0</v>
      </c>
      <c r="AC3765">
        <v>0</v>
      </c>
      <c r="AD3765">
        <v>0</v>
      </c>
      <c r="AE3765">
        <v>0</v>
      </c>
      <c r="AF3765">
        <v>0</v>
      </c>
      <c r="AG3765">
        <v>0</v>
      </c>
      <c r="AH3765">
        <v>0</v>
      </c>
      <c r="AI3765">
        <v>0</v>
      </c>
      <c r="AJ3765">
        <v>0</v>
      </c>
      <c r="AK3765">
        <v>0</v>
      </c>
      <c r="AL3765">
        <v>0</v>
      </c>
      <c r="AM3765">
        <v>0</v>
      </c>
      <c r="AN3765">
        <v>0</v>
      </c>
      <c r="AO3765">
        <v>0</v>
      </c>
      <c r="AP3765">
        <v>0</v>
      </c>
      <c r="AQ3765">
        <v>21.38</v>
      </c>
      <c r="AR3765">
        <v>0</v>
      </c>
      <c r="AS3765">
        <v>0</v>
      </c>
      <c r="AT3765">
        <v>0</v>
      </c>
      <c r="AU3765">
        <v>0</v>
      </c>
      <c r="AV3765">
        <v>0</v>
      </c>
      <c r="AW3765">
        <v>0</v>
      </c>
      <c r="AX3765">
        <v>0</v>
      </c>
      <c r="AY3765">
        <v>0</v>
      </c>
      <c r="AZ3765">
        <v>0</v>
      </c>
      <c r="BA3765">
        <v>0</v>
      </c>
      <c r="BB3765">
        <v>0</v>
      </c>
      <c r="BC3765">
        <v>0</v>
      </c>
      <c r="BD3765">
        <v>0</v>
      </c>
      <c r="BE3765">
        <v>0</v>
      </c>
      <c r="BF3765">
        <v>0</v>
      </c>
      <c r="BG3765">
        <v>0</v>
      </c>
      <c r="BH3765">
        <v>1</v>
      </c>
      <c r="BI3765">
        <v>1</v>
      </c>
      <c r="BJ3765">
        <v>0.2</v>
      </c>
      <c r="BK3765">
        <v>1</v>
      </c>
      <c r="BL3765">
        <v>69.98</v>
      </c>
      <c r="BM3765">
        <v>10.5</v>
      </c>
      <c r="BN3765">
        <v>80.48</v>
      </c>
      <c r="BO3765">
        <v>80.48</v>
      </c>
      <c r="BQ3765" t="s">
        <v>877</v>
      </c>
      <c r="BR3765" t="s">
        <v>84</v>
      </c>
      <c r="BS3765" s="3">
        <v>45806</v>
      </c>
      <c r="BT3765" s="4">
        <v>0.41180555555555554</v>
      </c>
      <c r="BU3765" t="s">
        <v>3345</v>
      </c>
      <c r="BV3765" t="s">
        <v>86</v>
      </c>
      <c r="BY3765">
        <v>1200</v>
      </c>
      <c r="CA3765" t="s">
        <v>879</v>
      </c>
      <c r="CC3765" t="s">
        <v>351</v>
      </c>
      <c r="CD3765">
        <v>4001</v>
      </c>
      <c r="CE3765" t="s">
        <v>88</v>
      </c>
      <c r="CF3765" s="3">
        <v>45806</v>
      </c>
      <c r="CI3765">
        <v>1</v>
      </c>
      <c r="CJ3765">
        <v>1</v>
      </c>
      <c r="CK3765">
        <v>21</v>
      </c>
      <c r="CL3765" t="s">
        <v>89</v>
      </c>
    </row>
    <row r="3766" spans="1:90" x14ac:dyDescent="0.3">
      <c r="A3766" t="s">
        <v>72</v>
      </c>
      <c r="B3766" t="s">
        <v>73</v>
      </c>
      <c r="C3766" t="s">
        <v>74</v>
      </c>
      <c r="E3766" t="str">
        <f>"080065623795"</f>
        <v>080065623795</v>
      </c>
      <c r="F3766" s="3">
        <v>45805</v>
      </c>
      <c r="G3766">
        <v>202602</v>
      </c>
      <c r="H3766" t="s">
        <v>75</v>
      </c>
      <c r="I3766" t="s">
        <v>76</v>
      </c>
      <c r="J3766" t="s">
        <v>77</v>
      </c>
      <c r="K3766" t="s">
        <v>78</v>
      </c>
      <c r="L3766" t="s">
        <v>130</v>
      </c>
      <c r="M3766" t="s">
        <v>131</v>
      </c>
      <c r="N3766" t="s">
        <v>1619</v>
      </c>
      <c r="O3766" t="s">
        <v>82</v>
      </c>
      <c r="P3766" t="str">
        <f>"4170041248                    "</f>
        <v xml:space="preserve">4170041248                    </v>
      </c>
      <c r="Q3766">
        <v>0</v>
      </c>
      <c r="R3766">
        <v>0</v>
      </c>
      <c r="S3766">
        <v>0</v>
      </c>
      <c r="T3766">
        <v>0</v>
      </c>
      <c r="U3766">
        <v>0</v>
      </c>
      <c r="V3766">
        <v>0</v>
      </c>
      <c r="W3766">
        <v>0</v>
      </c>
      <c r="X3766">
        <v>0</v>
      </c>
      <c r="Y3766">
        <v>0</v>
      </c>
      <c r="Z3766">
        <v>0</v>
      </c>
      <c r="AA3766">
        <v>0</v>
      </c>
      <c r="AB3766">
        <v>0</v>
      </c>
      <c r="AC3766">
        <v>0</v>
      </c>
      <c r="AD3766">
        <v>0</v>
      </c>
      <c r="AE3766">
        <v>0</v>
      </c>
      <c r="AF3766">
        <v>0</v>
      </c>
      <c r="AG3766">
        <v>0</v>
      </c>
      <c r="AH3766">
        <v>0</v>
      </c>
      <c r="AI3766">
        <v>0</v>
      </c>
      <c r="AJ3766">
        <v>0</v>
      </c>
      <c r="AK3766">
        <v>0</v>
      </c>
      <c r="AL3766">
        <v>0</v>
      </c>
      <c r="AM3766">
        <v>0</v>
      </c>
      <c r="AN3766">
        <v>0</v>
      </c>
      <c r="AO3766">
        <v>0</v>
      </c>
      <c r="AP3766">
        <v>0</v>
      </c>
      <c r="AQ3766">
        <v>21.38</v>
      </c>
      <c r="AR3766">
        <v>0</v>
      </c>
      <c r="AS3766">
        <v>0</v>
      </c>
      <c r="AT3766">
        <v>0</v>
      </c>
      <c r="AU3766">
        <v>0</v>
      </c>
      <c r="AV3766">
        <v>0</v>
      </c>
      <c r="AW3766">
        <v>0</v>
      </c>
      <c r="AX3766">
        <v>0</v>
      </c>
      <c r="AY3766">
        <v>0</v>
      </c>
      <c r="AZ3766">
        <v>0</v>
      </c>
      <c r="BA3766">
        <v>0</v>
      </c>
      <c r="BB3766">
        <v>0</v>
      </c>
      <c r="BC3766">
        <v>0</v>
      </c>
      <c r="BD3766">
        <v>0</v>
      </c>
      <c r="BE3766">
        <v>0</v>
      </c>
      <c r="BF3766">
        <v>0</v>
      </c>
      <c r="BG3766">
        <v>0</v>
      </c>
      <c r="BH3766">
        <v>1</v>
      </c>
      <c r="BI3766">
        <v>1</v>
      </c>
      <c r="BJ3766">
        <v>0.2</v>
      </c>
      <c r="BK3766">
        <v>1</v>
      </c>
      <c r="BL3766">
        <v>69.98</v>
      </c>
      <c r="BM3766">
        <v>10.5</v>
      </c>
      <c r="BN3766">
        <v>80.48</v>
      </c>
      <c r="BO3766">
        <v>80.48</v>
      </c>
      <c r="BQ3766" t="s">
        <v>1620</v>
      </c>
      <c r="BR3766" t="s">
        <v>84</v>
      </c>
      <c r="BS3766" s="3">
        <v>45806</v>
      </c>
      <c r="BT3766" s="4">
        <v>0.40763888888888888</v>
      </c>
      <c r="BU3766" t="s">
        <v>1582</v>
      </c>
      <c r="BV3766" t="s">
        <v>86</v>
      </c>
      <c r="BY3766">
        <v>1200</v>
      </c>
      <c r="CA3766" t="s">
        <v>784</v>
      </c>
      <c r="CC3766" t="s">
        <v>131</v>
      </c>
      <c r="CD3766">
        <v>7405</v>
      </c>
      <c r="CE3766" t="s">
        <v>88</v>
      </c>
      <c r="CI3766">
        <v>1</v>
      </c>
      <c r="CJ3766">
        <v>1</v>
      </c>
      <c r="CK3766">
        <v>21</v>
      </c>
      <c r="CL3766" t="s">
        <v>89</v>
      </c>
    </row>
    <row r="3767" spans="1:90" x14ac:dyDescent="0.3">
      <c r="A3767" t="s">
        <v>72</v>
      </c>
      <c r="B3767" t="s">
        <v>73</v>
      </c>
      <c r="C3767" t="s">
        <v>74</v>
      </c>
      <c r="E3767" t="str">
        <f>"080065623820"</f>
        <v>080065623820</v>
      </c>
      <c r="F3767" s="3">
        <v>45805</v>
      </c>
      <c r="G3767">
        <v>202602</v>
      </c>
      <c r="H3767" t="s">
        <v>75</v>
      </c>
      <c r="I3767" t="s">
        <v>76</v>
      </c>
      <c r="J3767" t="s">
        <v>77</v>
      </c>
      <c r="K3767" t="s">
        <v>78</v>
      </c>
      <c r="L3767" t="s">
        <v>350</v>
      </c>
      <c r="M3767" t="s">
        <v>351</v>
      </c>
      <c r="N3767" t="s">
        <v>678</v>
      </c>
      <c r="O3767" t="s">
        <v>82</v>
      </c>
      <c r="P3767" t="str">
        <f>"4170041244                    "</f>
        <v xml:space="preserve">4170041244                    </v>
      </c>
      <c r="Q3767">
        <v>0</v>
      </c>
      <c r="R3767">
        <v>0</v>
      </c>
      <c r="S3767">
        <v>0</v>
      </c>
      <c r="T3767">
        <v>0</v>
      </c>
      <c r="U3767">
        <v>0</v>
      </c>
      <c r="V3767">
        <v>0</v>
      </c>
      <c r="W3767">
        <v>0</v>
      </c>
      <c r="X3767">
        <v>0</v>
      </c>
      <c r="Y3767">
        <v>0</v>
      </c>
      <c r="Z3767">
        <v>0</v>
      </c>
      <c r="AA3767">
        <v>0</v>
      </c>
      <c r="AB3767">
        <v>0</v>
      </c>
      <c r="AC3767">
        <v>0</v>
      </c>
      <c r="AD3767">
        <v>0</v>
      </c>
      <c r="AE3767">
        <v>0</v>
      </c>
      <c r="AF3767">
        <v>0</v>
      </c>
      <c r="AG3767">
        <v>0</v>
      </c>
      <c r="AH3767">
        <v>0</v>
      </c>
      <c r="AI3767">
        <v>0</v>
      </c>
      <c r="AJ3767">
        <v>0</v>
      </c>
      <c r="AK3767">
        <v>0</v>
      </c>
      <c r="AL3767">
        <v>0</v>
      </c>
      <c r="AM3767">
        <v>0</v>
      </c>
      <c r="AN3767">
        <v>0</v>
      </c>
      <c r="AO3767">
        <v>0</v>
      </c>
      <c r="AP3767">
        <v>0</v>
      </c>
      <c r="AQ3767">
        <v>21.38</v>
      </c>
      <c r="AR3767">
        <v>0</v>
      </c>
      <c r="AS3767">
        <v>0</v>
      </c>
      <c r="AT3767">
        <v>0</v>
      </c>
      <c r="AU3767">
        <v>0</v>
      </c>
      <c r="AV3767">
        <v>0</v>
      </c>
      <c r="AW3767">
        <v>0</v>
      </c>
      <c r="AX3767">
        <v>0</v>
      </c>
      <c r="AY3767">
        <v>0</v>
      </c>
      <c r="AZ3767">
        <v>0</v>
      </c>
      <c r="BA3767">
        <v>0</v>
      </c>
      <c r="BB3767">
        <v>0</v>
      </c>
      <c r="BC3767">
        <v>0</v>
      </c>
      <c r="BD3767">
        <v>0</v>
      </c>
      <c r="BE3767">
        <v>0</v>
      </c>
      <c r="BF3767">
        <v>0</v>
      </c>
      <c r="BG3767">
        <v>0</v>
      </c>
      <c r="BH3767">
        <v>1</v>
      </c>
      <c r="BI3767">
        <v>1</v>
      </c>
      <c r="BJ3767">
        <v>0.2</v>
      </c>
      <c r="BK3767">
        <v>1</v>
      </c>
      <c r="BL3767">
        <v>69.98</v>
      </c>
      <c r="BM3767">
        <v>10.5</v>
      </c>
      <c r="BN3767">
        <v>80.48</v>
      </c>
      <c r="BO3767">
        <v>80.48</v>
      </c>
      <c r="BQ3767" t="s">
        <v>679</v>
      </c>
      <c r="BR3767" t="s">
        <v>84</v>
      </c>
      <c r="BS3767" s="3">
        <v>45806</v>
      </c>
      <c r="BT3767" s="4">
        <v>0.46666666666666667</v>
      </c>
      <c r="BU3767" t="s">
        <v>680</v>
      </c>
      <c r="BV3767" t="s">
        <v>89</v>
      </c>
      <c r="BW3767" t="s">
        <v>296</v>
      </c>
      <c r="BX3767" t="s">
        <v>325</v>
      </c>
      <c r="BY3767">
        <v>1200</v>
      </c>
      <c r="CA3767" t="s">
        <v>3162</v>
      </c>
      <c r="CC3767" t="s">
        <v>351</v>
      </c>
      <c r="CD3767">
        <v>4052</v>
      </c>
      <c r="CE3767" t="s">
        <v>1193</v>
      </c>
      <c r="CF3767" s="3">
        <v>45806</v>
      </c>
      <c r="CI3767">
        <v>1</v>
      </c>
      <c r="CJ3767">
        <v>1</v>
      </c>
      <c r="CK3767">
        <v>21</v>
      </c>
      <c r="CL3767" t="s">
        <v>89</v>
      </c>
    </row>
    <row r="3768" spans="1:90" x14ac:dyDescent="0.3">
      <c r="A3768" t="s">
        <v>72</v>
      </c>
      <c r="B3768" t="s">
        <v>73</v>
      </c>
      <c r="C3768" t="s">
        <v>74</v>
      </c>
      <c r="E3768" t="str">
        <f>"080065623836"</f>
        <v>080065623836</v>
      </c>
      <c r="F3768" s="3">
        <v>45805</v>
      </c>
      <c r="G3768">
        <v>202602</v>
      </c>
      <c r="H3768" t="s">
        <v>75</v>
      </c>
      <c r="I3768" t="s">
        <v>76</v>
      </c>
      <c r="J3768" t="s">
        <v>77</v>
      </c>
      <c r="K3768" t="s">
        <v>78</v>
      </c>
      <c r="L3768" t="s">
        <v>103</v>
      </c>
      <c r="M3768" t="s">
        <v>104</v>
      </c>
      <c r="N3768" t="s">
        <v>686</v>
      </c>
      <c r="O3768" t="s">
        <v>82</v>
      </c>
      <c r="P3768" t="str">
        <f>"4170041036                    "</f>
        <v xml:space="preserve">4170041036                    </v>
      </c>
      <c r="Q3768">
        <v>0</v>
      </c>
      <c r="R3768">
        <v>0</v>
      </c>
      <c r="S3768">
        <v>0</v>
      </c>
      <c r="T3768">
        <v>0</v>
      </c>
      <c r="U3768">
        <v>0</v>
      </c>
      <c r="V3768">
        <v>0</v>
      </c>
      <c r="W3768">
        <v>0</v>
      </c>
      <c r="X3768">
        <v>0</v>
      </c>
      <c r="Y3768">
        <v>0</v>
      </c>
      <c r="Z3768">
        <v>0</v>
      </c>
      <c r="AA3768">
        <v>0</v>
      </c>
      <c r="AB3768">
        <v>0</v>
      </c>
      <c r="AC3768">
        <v>0</v>
      </c>
      <c r="AD3768">
        <v>0</v>
      </c>
      <c r="AE3768">
        <v>0</v>
      </c>
      <c r="AF3768">
        <v>0</v>
      </c>
      <c r="AG3768">
        <v>0</v>
      </c>
      <c r="AH3768">
        <v>0</v>
      </c>
      <c r="AI3768">
        <v>0</v>
      </c>
      <c r="AJ3768">
        <v>0</v>
      </c>
      <c r="AK3768">
        <v>0</v>
      </c>
      <c r="AL3768">
        <v>0</v>
      </c>
      <c r="AM3768">
        <v>0</v>
      </c>
      <c r="AN3768">
        <v>0</v>
      </c>
      <c r="AO3768">
        <v>0</v>
      </c>
      <c r="AP3768">
        <v>0</v>
      </c>
      <c r="AQ3768">
        <v>21.38</v>
      </c>
      <c r="AR3768">
        <v>0</v>
      </c>
      <c r="AS3768">
        <v>0</v>
      </c>
      <c r="AT3768">
        <v>0</v>
      </c>
      <c r="AU3768">
        <v>0</v>
      </c>
      <c r="AV3768">
        <v>0</v>
      </c>
      <c r="AW3768">
        <v>0</v>
      </c>
      <c r="AX3768">
        <v>0</v>
      </c>
      <c r="AY3768">
        <v>0</v>
      </c>
      <c r="AZ3768">
        <v>0</v>
      </c>
      <c r="BA3768">
        <v>0</v>
      </c>
      <c r="BB3768">
        <v>0</v>
      </c>
      <c r="BC3768">
        <v>0</v>
      </c>
      <c r="BD3768">
        <v>0</v>
      </c>
      <c r="BE3768">
        <v>0</v>
      </c>
      <c r="BF3768">
        <v>0</v>
      </c>
      <c r="BG3768">
        <v>0</v>
      </c>
      <c r="BH3768">
        <v>1</v>
      </c>
      <c r="BI3768">
        <v>1</v>
      </c>
      <c r="BJ3768">
        <v>0.2</v>
      </c>
      <c r="BK3768">
        <v>1</v>
      </c>
      <c r="BL3768">
        <v>69.98</v>
      </c>
      <c r="BM3768">
        <v>10.5</v>
      </c>
      <c r="BN3768">
        <v>80.48</v>
      </c>
      <c r="BO3768">
        <v>80.48</v>
      </c>
      <c r="BQ3768" t="s">
        <v>687</v>
      </c>
      <c r="BR3768" t="s">
        <v>84</v>
      </c>
      <c r="BS3768" t="s">
        <v>1540</v>
      </c>
      <c r="BY3768">
        <v>1200</v>
      </c>
      <c r="CC3768" t="s">
        <v>104</v>
      </c>
      <c r="CD3768">
        <v>3201</v>
      </c>
      <c r="CE3768" t="s">
        <v>1193</v>
      </c>
      <c r="CI3768">
        <v>1</v>
      </c>
      <c r="CJ3768" t="s">
        <v>1540</v>
      </c>
      <c r="CK3768">
        <v>21</v>
      </c>
      <c r="CL3768" t="s">
        <v>89</v>
      </c>
    </row>
    <row r="3769" spans="1:90" x14ac:dyDescent="0.3">
      <c r="A3769" t="s">
        <v>72</v>
      </c>
      <c r="B3769" t="s">
        <v>73</v>
      </c>
      <c r="C3769" t="s">
        <v>74</v>
      </c>
      <c r="E3769" t="str">
        <f>"080065623862"</f>
        <v>080065623862</v>
      </c>
      <c r="F3769" s="3">
        <v>45805</v>
      </c>
      <c r="G3769">
        <v>202602</v>
      </c>
      <c r="H3769" t="s">
        <v>75</v>
      </c>
      <c r="I3769" t="s">
        <v>76</v>
      </c>
      <c r="J3769" t="s">
        <v>77</v>
      </c>
      <c r="K3769" t="s">
        <v>78</v>
      </c>
      <c r="L3769" t="s">
        <v>130</v>
      </c>
      <c r="M3769" t="s">
        <v>131</v>
      </c>
      <c r="N3769" t="s">
        <v>1436</v>
      </c>
      <c r="O3769" t="s">
        <v>82</v>
      </c>
      <c r="P3769" t="str">
        <f>"4170041168                    "</f>
        <v xml:space="preserve">4170041168                    </v>
      </c>
      <c r="Q3769">
        <v>0</v>
      </c>
      <c r="R3769">
        <v>0</v>
      </c>
      <c r="S3769">
        <v>0</v>
      </c>
      <c r="T3769">
        <v>0</v>
      </c>
      <c r="U3769">
        <v>0</v>
      </c>
      <c r="V3769">
        <v>0</v>
      </c>
      <c r="W3769">
        <v>0</v>
      </c>
      <c r="X3769">
        <v>0</v>
      </c>
      <c r="Y3769">
        <v>0</v>
      </c>
      <c r="Z3769">
        <v>0</v>
      </c>
      <c r="AA3769">
        <v>0</v>
      </c>
      <c r="AB3769">
        <v>0</v>
      </c>
      <c r="AC3769">
        <v>0</v>
      </c>
      <c r="AD3769">
        <v>0</v>
      </c>
      <c r="AE3769">
        <v>0</v>
      </c>
      <c r="AF3769">
        <v>0</v>
      </c>
      <c r="AG3769">
        <v>0</v>
      </c>
      <c r="AH3769">
        <v>0</v>
      </c>
      <c r="AI3769">
        <v>0</v>
      </c>
      <c r="AJ3769">
        <v>0</v>
      </c>
      <c r="AK3769">
        <v>0</v>
      </c>
      <c r="AL3769">
        <v>0</v>
      </c>
      <c r="AM3769">
        <v>0</v>
      </c>
      <c r="AN3769">
        <v>0</v>
      </c>
      <c r="AO3769">
        <v>0</v>
      </c>
      <c r="AP3769">
        <v>0</v>
      </c>
      <c r="AQ3769">
        <v>21.38</v>
      </c>
      <c r="AR3769">
        <v>0</v>
      </c>
      <c r="AS3769">
        <v>0</v>
      </c>
      <c r="AT3769">
        <v>0</v>
      </c>
      <c r="AU3769">
        <v>0</v>
      </c>
      <c r="AV3769">
        <v>0</v>
      </c>
      <c r="AW3769">
        <v>0</v>
      </c>
      <c r="AX3769">
        <v>0</v>
      </c>
      <c r="AY3769">
        <v>0</v>
      </c>
      <c r="AZ3769">
        <v>0</v>
      </c>
      <c r="BA3769">
        <v>0</v>
      </c>
      <c r="BB3769">
        <v>0</v>
      </c>
      <c r="BC3769">
        <v>0</v>
      </c>
      <c r="BD3769">
        <v>0</v>
      </c>
      <c r="BE3769">
        <v>0</v>
      </c>
      <c r="BF3769">
        <v>0</v>
      </c>
      <c r="BG3769">
        <v>0</v>
      </c>
      <c r="BH3769">
        <v>1</v>
      </c>
      <c r="BI3769">
        <v>1</v>
      </c>
      <c r="BJ3769">
        <v>0.2</v>
      </c>
      <c r="BK3769">
        <v>1</v>
      </c>
      <c r="BL3769">
        <v>69.98</v>
      </c>
      <c r="BM3769">
        <v>10.5</v>
      </c>
      <c r="BN3769">
        <v>80.48</v>
      </c>
      <c r="BO3769">
        <v>80.48</v>
      </c>
      <c r="BQ3769" t="s">
        <v>1437</v>
      </c>
      <c r="BR3769" t="s">
        <v>84</v>
      </c>
      <c r="BS3769" s="3">
        <v>45806</v>
      </c>
      <c r="BT3769" s="4">
        <v>0.38333333333333336</v>
      </c>
      <c r="BU3769" t="s">
        <v>1438</v>
      </c>
      <c r="BV3769" t="s">
        <v>86</v>
      </c>
      <c r="BY3769">
        <v>1200</v>
      </c>
      <c r="CA3769" t="s">
        <v>429</v>
      </c>
      <c r="CC3769" t="s">
        <v>131</v>
      </c>
      <c r="CD3769">
        <v>7945</v>
      </c>
      <c r="CE3769" t="s">
        <v>1193</v>
      </c>
      <c r="CI3769">
        <v>1</v>
      </c>
      <c r="CJ3769">
        <v>1</v>
      </c>
      <c r="CK3769">
        <v>21</v>
      </c>
      <c r="CL3769" t="s">
        <v>89</v>
      </c>
    </row>
    <row r="3770" spans="1:90" x14ac:dyDescent="0.3">
      <c r="A3770" t="s">
        <v>72</v>
      </c>
      <c r="B3770" t="s">
        <v>73</v>
      </c>
      <c r="C3770" t="s">
        <v>74</v>
      </c>
      <c r="E3770" t="str">
        <f>"080065623888"</f>
        <v>080065623888</v>
      </c>
      <c r="F3770" s="3">
        <v>45805</v>
      </c>
      <c r="G3770">
        <v>202602</v>
      </c>
      <c r="H3770" t="s">
        <v>75</v>
      </c>
      <c r="I3770" t="s">
        <v>76</v>
      </c>
      <c r="J3770" t="s">
        <v>77</v>
      </c>
      <c r="K3770" t="s">
        <v>78</v>
      </c>
      <c r="L3770" t="s">
        <v>130</v>
      </c>
      <c r="M3770" t="s">
        <v>131</v>
      </c>
      <c r="N3770" t="s">
        <v>343</v>
      </c>
      <c r="O3770" t="s">
        <v>82</v>
      </c>
      <c r="P3770" t="str">
        <f>"4170041273                    "</f>
        <v xml:space="preserve">4170041273                    </v>
      </c>
      <c r="Q3770">
        <v>0</v>
      </c>
      <c r="R3770">
        <v>0</v>
      </c>
      <c r="S3770">
        <v>0</v>
      </c>
      <c r="T3770">
        <v>0</v>
      </c>
      <c r="U3770">
        <v>0</v>
      </c>
      <c r="V3770">
        <v>0</v>
      </c>
      <c r="W3770">
        <v>0</v>
      </c>
      <c r="X3770">
        <v>0</v>
      </c>
      <c r="Y3770">
        <v>0</v>
      </c>
      <c r="Z3770">
        <v>0</v>
      </c>
      <c r="AA3770">
        <v>0</v>
      </c>
      <c r="AB3770">
        <v>0</v>
      </c>
      <c r="AC3770">
        <v>0</v>
      </c>
      <c r="AD3770">
        <v>0</v>
      </c>
      <c r="AE3770">
        <v>0</v>
      </c>
      <c r="AF3770">
        <v>0</v>
      </c>
      <c r="AG3770">
        <v>0</v>
      </c>
      <c r="AH3770">
        <v>0</v>
      </c>
      <c r="AI3770">
        <v>0</v>
      </c>
      <c r="AJ3770">
        <v>0</v>
      </c>
      <c r="AK3770">
        <v>0</v>
      </c>
      <c r="AL3770">
        <v>0</v>
      </c>
      <c r="AM3770">
        <v>0</v>
      </c>
      <c r="AN3770">
        <v>0</v>
      </c>
      <c r="AO3770">
        <v>0</v>
      </c>
      <c r="AP3770">
        <v>0</v>
      </c>
      <c r="AQ3770">
        <v>21.38</v>
      </c>
      <c r="AR3770">
        <v>0</v>
      </c>
      <c r="AS3770">
        <v>0</v>
      </c>
      <c r="AT3770">
        <v>0</v>
      </c>
      <c r="AU3770">
        <v>0</v>
      </c>
      <c r="AV3770">
        <v>0</v>
      </c>
      <c r="AW3770">
        <v>0</v>
      </c>
      <c r="AX3770">
        <v>0</v>
      </c>
      <c r="AY3770">
        <v>0</v>
      </c>
      <c r="AZ3770">
        <v>0</v>
      </c>
      <c r="BA3770">
        <v>0</v>
      </c>
      <c r="BB3770">
        <v>0</v>
      </c>
      <c r="BC3770">
        <v>0</v>
      </c>
      <c r="BD3770">
        <v>0</v>
      </c>
      <c r="BE3770">
        <v>0</v>
      </c>
      <c r="BF3770">
        <v>0</v>
      </c>
      <c r="BG3770">
        <v>0</v>
      </c>
      <c r="BH3770">
        <v>1</v>
      </c>
      <c r="BI3770">
        <v>1</v>
      </c>
      <c r="BJ3770">
        <v>0.2</v>
      </c>
      <c r="BK3770">
        <v>1</v>
      </c>
      <c r="BL3770">
        <v>69.98</v>
      </c>
      <c r="BM3770">
        <v>10.5</v>
      </c>
      <c r="BN3770">
        <v>80.48</v>
      </c>
      <c r="BO3770">
        <v>80.48</v>
      </c>
      <c r="BQ3770" t="s">
        <v>344</v>
      </c>
      <c r="BR3770" t="s">
        <v>84</v>
      </c>
      <c r="BS3770" s="3">
        <v>45806</v>
      </c>
      <c r="BT3770" s="4">
        <v>0.39791666666666664</v>
      </c>
      <c r="BU3770" t="s">
        <v>345</v>
      </c>
      <c r="BV3770" t="s">
        <v>86</v>
      </c>
      <c r="BY3770">
        <v>1200</v>
      </c>
      <c r="CA3770" t="s">
        <v>242</v>
      </c>
      <c r="CC3770" t="s">
        <v>131</v>
      </c>
      <c r="CD3770">
        <v>7441</v>
      </c>
      <c r="CE3770" t="s">
        <v>1193</v>
      </c>
      <c r="CI3770">
        <v>1</v>
      </c>
      <c r="CJ3770">
        <v>1</v>
      </c>
      <c r="CK3770">
        <v>21</v>
      </c>
      <c r="CL3770" t="s">
        <v>89</v>
      </c>
    </row>
    <row r="3771" spans="1:90" x14ac:dyDescent="0.3">
      <c r="A3771" t="s">
        <v>72</v>
      </c>
      <c r="B3771" t="s">
        <v>73</v>
      </c>
      <c r="C3771" t="s">
        <v>74</v>
      </c>
      <c r="E3771" t="str">
        <f>"080065623905"</f>
        <v>080065623905</v>
      </c>
      <c r="F3771" s="3">
        <v>45805</v>
      </c>
      <c r="G3771">
        <v>202602</v>
      </c>
      <c r="H3771" t="s">
        <v>75</v>
      </c>
      <c r="I3771" t="s">
        <v>76</v>
      </c>
      <c r="J3771" t="s">
        <v>77</v>
      </c>
      <c r="K3771" t="s">
        <v>78</v>
      </c>
      <c r="L3771" t="s">
        <v>409</v>
      </c>
      <c r="M3771" t="s">
        <v>410</v>
      </c>
      <c r="N3771" t="s">
        <v>512</v>
      </c>
      <c r="O3771" t="s">
        <v>82</v>
      </c>
      <c r="P3771" t="str">
        <f>"4170041271                    "</f>
        <v xml:space="preserve">4170041271                    </v>
      </c>
      <c r="Q3771">
        <v>0</v>
      </c>
      <c r="R3771">
        <v>0</v>
      </c>
      <c r="S3771">
        <v>0</v>
      </c>
      <c r="T3771">
        <v>0</v>
      </c>
      <c r="U3771">
        <v>0</v>
      </c>
      <c r="V3771">
        <v>0</v>
      </c>
      <c r="W3771">
        <v>0</v>
      </c>
      <c r="X3771">
        <v>0</v>
      </c>
      <c r="Y3771">
        <v>0</v>
      </c>
      <c r="Z3771">
        <v>0</v>
      </c>
      <c r="AA3771">
        <v>0</v>
      </c>
      <c r="AB3771">
        <v>0</v>
      </c>
      <c r="AC3771">
        <v>0</v>
      </c>
      <c r="AD3771">
        <v>0</v>
      </c>
      <c r="AE3771">
        <v>0</v>
      </c>
      <c r="AF3771">
        <v>0</v>
      </c>
      <c r="AG3771">
        <v>0</v>
      </c>
      <c r="AH3771">
        <v>0</v>
      </c>
      <c r="AI3771">
        <v>0</v>
      </c>
      <c r="AJ3771">
        <v>0</v>
      </c>
      <c r="AK3771">
        <v>0</v>
      </c>
      <c r="AL3771">
        <v>0</v>
      </c>
      <c r="AM3771">
        <v>0</v>
      </c>
      <c r="AN3771">
        <v>0</v>
      </c>
      <c r="AO3771">
        <v>0</v>
      </c>
      <c r="AP3771">
        <v>0</v>
      </c>
      <c r="AQ3771">
        <v>41.43</v>
      </c>
      <c r="AR3771">
        <v>0</v>
      </c>
      <c r="AS3771">
        <v>0</v>
      </c>
      <c r="AT3771">
        <v>0</v>
      </c>
      <c r="AU3771">
        <v>0</v>
      </c>
      <c r="AV3771">
        <v>0</v>
      </c>
      <c r="AW3771">
        <v>0</v>
      </c>
      <c r="AX3771">
        <v>0</v>
      </c>
      <c r="AY3771">
        <v>0</v>
      </c>
      <c r="AZ3771">
        <v>0</v>
      </c>
      <c r="BA3771">
        <v>0</v>
      </c>
      <c r="BB3771">
        <v>0</v>
      </c>
      <c r="BC3771">
        <v>0</v>
      </c>
      <c r="BD3771">
        <v>0</v>
      </c>
      <c r="BE3771">
        <v>0</v>
      </c>
      <c r="BF3771">
        <v>0</v>
      </c>
      <c r="BG3771">
        <v>0</v>
      </c>
      <c r="BH3771">
        <v>1</v>
      </c>
      <c r="BI3771">
        <v>1</v>
      </c>
      <c r="BJ3771">
        <v>0.2</v>
      </c>
      <c r="BK3771">
        <v>1</v>
      </c>
      <c r="BL3771">
        <v>135.59</v>
      </c>
      <c r="BM3771">
        <v>20.34</v>
      </c>
      <c r="BN3771">
        <v>155.93</v>
      </c>
      <c r="BO3771">
        <v>155.93</v>
      </c>
      <c r="BQ3771" t="s">
        <v>513</v>
      </c>
      <c r="BR3771" t="s">
        <v>84</v>
      </c>
      <c r="BS3771" s="3">
        <v>45806</v>
      </c>
      <c r="BT3771" s="4">
        <v>0.43611111111111112</v>
      </c>
      <c r="BU3771" t="s">
        <v>2638</v>
      </c>
      <c r="BV3771" t="s">
        <v>86</v>
      </c>
      <c r="BY3771">
        <v>1200</v>
      </c>
      <c r="CA3771" t="s">
        <v>414</v>
      </c>
      <c r="CC3771" t="s">
        <v>410</v>
      </c>
      <c r="CD3771">
        <v>6850</v>
      </c>
      <c r="CE3771" t="s">
        <v>88</v>
      </c>
      <c r="CF3771" s="3">
        <v>45807</v>
      </c>
      <c r="CI3771">
        <v>2</v>
      </c>
      <c r="CJ3771">
        <v>1</v>
      </c>
      <c r="CK3771">
        <v>23</v>
      </c>
      <c r="CL3771" t="s">
        <v>89</v>
      </c>
    </row>
    <row r="3772" spans="1:90" x14ac:dyDescent="0.3">
      <c r="A3772" t="s">
        <v>72</v>
      </c>
      <c r="B3772" t="s">
        <v>73</v>
      </c>
      <c r="C3772" t="s">
        <v>74</v>
      </c>
      <c r="E3772" t="str">
        <f>"080065623934"</f>
        <v>080065623934</v>
      </c>
      <c r="F3772" s="3">
        <v>45805</v>
      </c>
      <c r="G3772">
        <v>202602</v>
      </c>
      <c r="H3772" t="s">
        <v>75</v>
      </c>
      <c r="I3772" t="s">
        <v>76</v>
      </c>
      <c r="J3772" t="s">
        <v>77</v>
      </c>
      <c r="K3772" t="s">
        <v>78</v>
      </c>
      <c r="L3772" t="s">
        <v>123</v>
      </c>
      <c r="M3772" t="s">
        <v>123</v>
      </c>
      <c r="N3772" t="s">
        <v>317</v>
      </c>
      <c r="O3772" t="s">
        <v>82</v>
      </c>
      <c r="P3772" t="str">
        <f>"4170041004                    "</f>
        <v xml:space="preserve">4170041004                    </v>
      </c>
      <c r="Q3772">
        <v>0</v>
      </c>
      <c r="R3772">
        <v>0</v>
      </c>
      <c r="S3772">
        <v>0</v>
      </c>
      <c r="T3772">
        <v>0</v>
      </c>
      <c r="U3772">
        <v>0</v>
      </c>
      <c r="V3772">
        <v>0</v>
      </c>
      <c r="W3772">
        <v>0</v>
      </c>
      <c r="X3772">
        <v>0</v>
      </c>
      <c r="Y3772">
        <v>0</v>
      </c>
      <c r="Z3772">
        <v>0</v>
      </c>
      <c r="AA3772">
        <v>0</v>
      </c>
      <c r="AB3772">
        <v>0</v>
      </c>
      <c r="AC3772">
        <v>0</v>
      </c>
      <c r="AD3772">
        <v>0</v>
      </c>
      <c r="AE3772">
        <v>0</v>
      </c>
      <c r="AF3772">
        <v>0</v>
      </c>
      <c r="AG3772">
        <v>0</v>
      </c>
      <c r="AH3772">
        <v>0</v>
      </c>
      <c r="AI3772">
        <v>0</v>
      </c>
      <c r="AJ3772">
        <v>0</v>
      </c>
      <c r="AK3772">
        <v>0</v>
      </c>
      <c r="AL3772">
        <v>0</v>
      </c>
      <c r="AM3772">
        <v>0</v>
      </c>
      <c r="AN3772">
        <v>0</v>
      </c>
      <c r="AO3772">
        <v>0</v>
      </c>
      <c r="AP3772">
        <v>0</v>
      </c>
      <c r="AQ3772">
        <v>41.43</v>
      </c>
      <c r="AR3772">
        <v>0</v>
      </c>
      <c r="AS3772">
        <v>0</v>
      </c>
      <c r="AT3772">
        <v>0</v>
      </c>
      <c r="AU3772">
        <v>0</v>
      </c>
      <c r="AV3772">
        <v>0</v>
      </c>
      <c r="AW3772">
        <v>0</v>
      </c>
      <c r="AX3772">
        <v>0</v>
      </c>
      <c r="AY3772">
        <v>0</v>
      </c>
      <c r="AZ3772">
        <v>0</v>
      </c>
      <c r="BA3772">
        <v>0</v>
      </c>
      <c r="BB3772">
        <v>0</v>
      </c>
      <c r="BC3772">
        <v>0</v>
      </c>
      <c r="BD3772">
        <v>0</v>
      </c>
      <c r="BE3772">
        <v>0</v>
      </c>
      <c r="BF3772">
        <v>0</v>
      </c>
      <c r="BG3772">
        <v>0</v>
      </c>
      <c r="BH3772">
        <v>1</v>
      </c>
      <c r="BI3772">
        <v>1</v>
      </c>
      <c r="BJ3772">
        <v>0.2</v>
      </c>
      <c r="BK3772">
        <v>1</v>
      </c>
      <c r="BL3772">
        <v>135.59</v>
      </c>
      <c r="BM3772">
        <v>20.34</v>
      </c>
      <c r="BN3772">
        <v>155.93</v>
      </c>
      <c r="BO3772">
        <v>155.93</v>
      </c>
      <c r="BQ3772" t="s">
        <v>318</v>
      </c>
      <c r="BR3772" t="s">
        <v>84</v>
      </c>
      <c r="BS3772" s="3">
        <v>45806</v>
      </c>
      <c r="BT3772" s="4">
        <v>0.51249999999999996</v>
      </c>
      <c r="BU3772" t="s">
        <v>319</v>
      </c>
      <c r="BV3772" t="s">
        <v>86</v>
      </c>
      <c r="BY3772">
        <v>1200</v>
      </c>
      <c r="CA3772" t="s">
        <v>128</v>
      </c>
      <c r="CC3772" t="s">
        <v>123</v>
      </c>
      <c r="CD3772">
        <v>7646</v>
      </c>
      <c r="CE3772" t="s">
        <v>1193</v>
      </c>
      <c r="CI3772">
        <v>1</v>
      </c>
      <c r="CJ3772">
        <v>1</v>
      </c>
      <c r="CK3772">
        <v>23</v>
      </c>
      <c r="CL3772" t="s">
        <v>89</v>
      </c>
    </row>
    <row r="3773" spans="1:90" x14ac:dyDescent="0.3">
      <c r="A3773" t="s">
        <v>72</v>
      </c>
      <c r="B3773" t="s">
        <v>73</v>
      </c>
      <c r="C3773" t="s">
        <v>74</v>
      </c>
      <c r="E3773" t="str">
        <f>"080065624002"</f>
        <v>080065624002</v>
      </c>
      <c r="F3773" s="3">
        <v>45805</v>
      </c>
      <c r="G3773">
        <v>202602</v>
      </c>
      <c r="H3773" t="s">
        <v>75</v>
      </c>
      <c r="I3773" t="s">
        <v>76</v>
      </c>
      <c r="J3773" t="s">
        <v>77</v>
      </c>
      <c r="K3773" t="s">
        <v>78</v>
      </c>
      <c r="L3773" t="s">
        <v>79</v>
      </c>
      <c r="M3773" t="s">
        <v>80</v>
      </c>
      <c r="N3773" t="s">
        <v>81</v>
      </c>
      <c r="O3773" t="s">
        <v>82</v>
      </c>
      <c r="P3773" t="str">
        <f>"4170041198                    "</f>
        <v xml:space="preserve">4170041198                    </v>
      </c>
      <c r="Q3773">
        <v>0</v>
      </c>
      <c r="R3773">
        <v>0</v>
      </c>
      <c r="S3773">
        <v>0</v>
      </c>
      <c r="T3773">
        <v>0</v>
      </c>
      <c r="U3773">
        <v>0</v>
      </c>
      <c r="V3773">
        <v>0</v>
      </c>
      <c r="W3773">
        <v>0</v>
      </c>
      <c r="X3773">
        <v>0</v>
      </c>
      <c r="Y3773">
        <v>0</v>
      </c>
      <c r="Z3773">
        <v>0</v>
      </c>
      <c r="AA3773">
        <v>0</v>
      </c>
      <c r="AB3773">
        <v>0</v>
      </c>
      <c r="AC3773">
        <v>0</v>
      </c>
      <c r="AD3773">
        <v>0</v>
      </c>
      <c r="AE3773">
        <v>0</v>
      </c>
      <c r="AF3773">
        <v>0</v>
      </c>
      <c r="AG3773">
        <v>0</v>
      </c>
      <c r="AH3773">
        <v>0</v>
      </c>
      <c r="AI3773">
        <v>0</v>
      </c>
      <c r="AJ3773">
        <v>0</v>
      </c>
      <c r="AK3773">
        <v>0</v>
      </c>
      <c r="AL3773">
        <v>0</v>
      </c>
      <c r="AM3773">
        <v>0</v>
      </c>
      <c r="AN3773">
        <v>0</v>
      </c>
      <c r="AO3773">
        <v>0</v>
      </c>
      <c r="AP3773">
        <v>0</v>
      </c>
      <c r="AQ3773">
        <v>21.38</v>
      </c>
      <c r="AR3773">
        <v>0</v>
      </c>
      <c r="AS3773">
        <v>0</v>
      </c>
      <c r="AT3773">
        <v>0</v>
      </c>
      <c r="AU3773">
        <v>0</v>
      </c>
      <c r="AV3773">
        <v>0</v>
      </c>
      <c r="AW3773">
        <v>0</v>
      </c>
      <c r="AX3773">
        <v>0</v>
      </c>
      <c r="AY3773">
        <v>0</v>
      </c>
      <c r="AZ3773">
        <v>0</v>
      </c>
      <c r="BA3773">
        <v>0</v>
      </c>
      <c r="BB3773">
        <v>0</v>
      </c>
      <c r="BC3773">
        <v>0</v>
      </c>
      <c r="BD3773">
        <v>0</v>
      </c>
      <c r="BE3773">
        <v>0</v>
      </c>
      <c r="BF3773">
        <v>0</v>
      </c>
      <c r="BG3773">
        <v>0</v>
      </c>
      <c r="BH3773">
        <v>1</v>
      </c>
      <c r="BI3773">
        <v>1</v>
      </c>
      <c r="BJ3773">
        <v>0.2</v>
      </c>
      <c r="BK3773">
        <v>1</v>
      </c>
      <c r="BL3773">
        <v>69.98</v>
      </c>
      <c r="BM3773">
        <v>10.5</v>
      </c>
      <c r="BN3773">
        <v>80.48</v>
      </c>
      <c r="BO3773">
        <v>80.48</v>
      </c>
      <c r="BQ3773" t="s">
        <v>83</v>
      </c>
      <c r="BR3773" t="s">
        <v>84</v>
      </c>
      <c r="BS3773" s="3">
        <v>45806</v>
      </c>
      <c r="BT3773" s="4">
        <v>0.52013888888888893</v>
      </c>
      <c r="BU3773" t="s">
        <v>2025</v>
      </c>
      <c r="BV3773" t="s">
        <v>89</v>
      </c>
      <c r="BY3773">
        <v>1200</v>
      </c>
      <c r="CA3773" t="s">
        <v>87</v>
      </c>
      <c r="CC3773" t="s">
        <v>80</v>
      </c>
      <c r="CD3773">
        <v>3610</v>
      </c>
      <c r="CE3773" t="s">
        <v>1193</v>
      </c>
      <c r="CF3773" s="3">
        <v>45806</v>
      </c>
      <c r="CI3773">
        <v>1</v>
      </c>
      <c r="CJ3773">
        <v>1</v>
      </c>
      <c r="CK3773">
        <v>21</v>
      </c>
      <c r="CL3773" t="s">
        <v>89</v>
      </c>
    </row>
    <row r="3774" spans="1:90" x14ac:dyDescent="0.3">
      <c r="A3774" t="s">
        <v>72</v>
      </c>
      <c r="B3774" t="s">
        <v>73</v>
      </c>
      <c r="C3774" t="s">
        <v>74</v>
      </c>
      <c r="E3774" t="str">
        <f>"080065624102"</f>
        <v>080065624102</v>
      </c>
      <c r="F3774" s="3">
        <v>45805</v>
      </c>
      <c r="G3774">
        <v>202602</v>
      </c>
      <c r="H3774" t="s">
        <v>75</v>
      </c>
      <c r="I3774" t="s">
        <v>76</v>
      </c>
      <c r="J3774" t="s">
        <v>77</v>
      </c>
      <c r="K3774" t="s">
        <v>78</v>
      </c>
      <c r="L3774" t="s">
        <v>350</v>
      </c>
      <c r="M3774" t="s">
        <v>351</v>
      </c>
      <c r="N3774" t="s">
        <v>459</v>
      </c>
      <c r="O3774" t="s">
        <v>82</v>
      </c>
      <c r="P3774" t="str">
        <f>"4170041262                    "</f>
        <v xml:space="preserve">4170041262                    </v>
      </c>
      <c r="Q3774">
        <v>0</v>
      </c>
      <c r="R3774">
        <v>0</v>
      </c>
      <c r="S3774">
        <v>0</v>
      </c>
      <c r="T3774">
        <v>0</v>
      </c>
      <c r="U3774">
        <v>0</v>
      </c>
      <c r="V3774">
        <v>0</v>
      </c>
      <c r="W3774">
        <v>0</v>
      </c>
      <c r="X3774">
        <v>0</v>
      </c>
      <c r="Y3774">
        <v>0</v>
      </c>
      <c r="Z3774">
        <v>0</v>
      </c>
      <c r="AA3774">
        <v>0</v>
      </c>
      <c r="AB3774">
        <v>0</v>
      </c>
      <c r="AC3774">
        <v>0</v>
      </c>
      <c r="AD3774">
        <v>0</v>
      </c>
      <c r="AE3774">
        <v>0</v>
      </c>
      <c r="AF3774">
        <v>0</v>
      </c>
      <c r="AG3774">
        <v>0</v>
      </c>
      <c r="AH3774">
        <v>0</v>
      </c>
      <c r="AI3774">
        <v>0</v>
      </c>
      <c r="AJ3774">
        <v>0</v>
      </c>
      <c r="AK3774">
        <v>0</v>
      </c>
      <c r="AL3774">
        <v>0</v>
      </c>
      <c r="AM3774">
        <v>0</v>
      </c>
      <c r="AN3774">
        <v>0</v>
      </c>
      <c r="AO3774">
        <v>0</v>
      </c>
      <c r="AP3774">
        <v>0</v>
      </c>
      <c r="AQ3774">
        <v>21.38</v>
      </c>
      <c r="AR3774">
        <v>0</v>
      </c>
      <c r="AS3774">
        <v>0</v>
      </c>
      <c r="AT3774">
        <v>0</v>
      </c>
      <c r="AU3774">
        <v>0</v>
      </c>
      <c r="AV3774">
        <v>0</v>
      </c>
      <c r="AW3774">
        <v>0</v>
      </c>
      <c r="AX3774">
        <v>0</v>
      </c>
      <c r="AY3774">
        <v>0</v>
      </c>
      <c r="AZ3774">
        <v>0</v>
      </c>
      <c r="BA3774">
        <v>0</v>
      </c>
      <c r="BB3774">
        <v>0</v>
      </c>
      <c r="BC3774">
        <v>0</v>
      </c>
      <c r="BD3774">
        <v>0</v>
      </c>
      <c r="BE3774">
        <v>0</v>
      </c>
      <c r="BF3774">
        <v>0</v>
      </c>
      <c r="BG3774">
        <v>0</v>
      </c>
      <c r="BH3774">
        <v>1</v>
      </c>
      <c r="BI3774">
        <v>1</v>
      </c>
      <c r="BJ3774">
        <v>0.2</v>
      </c>
      <c r="BK3774">
        <v>1</v>
      </c>
      <c r="BL3774">
        <v>69.98</v>
      </c>
      <c r="BM3774">
        <v>10.5</v>
      </c>
      <c r="BN3774">
        <v>80.48</v>
      </c>
      <c r="BO3774">
        <v>80.48</v>
      </c>
      <c r="BQ3774" t="s">
        <v>460</v>
      </c>
      <c r="BR3774" t="s">
        <v>84</v>
      </c>
      <c r="BS3774" s="3">
        <v>45806</v>
      </c>
      <c r="BT3774" s="4">
        <v>0.35069444444444442</v>
      </c>
      <c r="BU3774" t="s">
        <v>1121</v>
      </c>
      <c r="BV3774" t="s">
        <v>86</v>
      </c>
      <c r="BY3774">
        <v>1200</v>
      </c>
      <c r="CA3774" t="s">
        <v>462</v>
      </c>
      <c r="CC3774" t="s">
        <v>351</v>
      </c>
      <c r="CD3774">
        <v>4051</v>
      </c>
      <c r="CE3774" t="s">
        <v>1193</v>
      </c>
      <c r="CF3774" s="3">
        <v>45806</v>
      </c>
      <c r="CI3774">
        <v>1</v>
      </c>
      <c r="CJ3774">
        <v>1</v>
      </c>
      <c r="CK3774">
        <v>21</v>
      </c>
      <c r="CL3774" t="s">
        <v>89</v>
      </c>
    </row>
    <row r="3775" spans="1:90" x14ac:dyDescent="0.3">
      <c r="A3775" t="s">
        <v>72</v>
      </c>
      <c r="B3775" t="s">
        <v>73</v>
      </c>
      <c r="C3775" t="s">
        <v>74</v>
      </c>
      <c r="E3775" t="str">
        <f>"080065624138"</f>
        <v>080065624138</v>
      </c>
      <c r="F3775" s="3">
        <v>45805</v>
      </c>
      <c r="G3775">
        <v>202602</v>
      </c>
      <c r="H3775" t="s">
        <v>75</v>
      </c>
      <c r="I3775" t="s">
        <v>76</v>
      </c>
      <c r="J3775" t="s">
        <v>77</v>
      </c>
      <c r="K3775" t="s">
        <v>78</v>
      </c>
      <c r="L3775" t="s">
        <v>232</v>
      </c>
      <c r="M3775" t="s">
        <v>233</v>
      </c>
      <c r="N3775" t="s">
        <v>3401</v>
      </c>
      <c r="O3775" t="s">
        <v>82</v>
      </c>
      <c r="P3775" t="str">
        <f>"4170041241                    "</f>
        <v xml:space="preserve">4170041241                    </v>
      </c>
      <c r="Q3775">
        <v>0</v>
      </c>
      <c r="R3775">
        <v>0</v>
      </c>
      <c r="S3775">
        <v>0</v>
      </c>
      <c r="T3775">
        <v>0</v>
      </c>
      <c r="U3775">
        <v>0</v>
      </c>
      <c r="V3775">
        <v>0</v>
      </c>
      <c r="W3775">
        <v>0</v>
      </c>
      <c r="X3775">
        <v>0</v>
      </c>
      <c r="Y3775">
        <v>0</v>
      </c>
      <c r="Z3775">
        <v>0</v>
      </c>
      <c r="AA3775">
        <v>0</v>
      </c>
      <c r="AB3775">
        <v>0</v>
      </c>
      <c r="AC3775">
        <v>0</v>
      </c>
      <c r="AD3775">
        <v>0</v>
      </c>
      <c r="AE3775">
        <v>0</v>
      </c>
      <c r="AF3775">
        <v>0</v>
      </c>
      <c r="AG3775">
        <v>0</v>
      </c>
      <c r="AH3775">
        <v>0</v>
      </c>
      <c r="AI3775">
        <v>0</v>
      </c>
      <c r="AJ3775">
        <v>0</v>
      </c>
      <c r="AK3775">
        <v>0</v>
      </c>
      <c r="AL3775">
        <v>0</v>
      </c>
      <c r="AM3775">
        <v>0</v>
      </c>
      <c r="AN3775">
        <v>0</v>
      </c>
      <c r="AO3775">
        <v>0</v>
      </c>
      <c r="AP3775">
        <v>0</v>
      </c>
      <c r="AQ3775">
        <v>21.38</v>
      </c>
      <c r="AR3775">
        <v>0</v>
      </c>
      <c r="AS3775">
        <v>0</v>
      </c>
      <c r="AT3775">
        <v>0</v>
      </c>
      <c r="AU3775">
        <v>0</v>
      </c>
      <c r="AV3775">
        <v>0</v>
      </c>
      <c r="AW3775">
        <v>0</v>
      </c>
      <c r="AX3775">
        <v>0</v>
      </c>
      <c r="AY3775">
        <v>0</v>
      </c>
      <c r="AZ3775">
        <v>0</v>
      </c>
      <c r="BA3775">
        <v>0</v>
      </c>
      <c r="BB3775">
        <v>0</v>
      </c>
      <c r="BC3775">
        <v>0</v>
      </c>
      <c r="BD3775">
        <v>0</v>
      </c>
      <c r="BE3775">
        <v>0</v>
      </c>
      <c r="BF3775">
        <v>0</v>
      </c>
      <c r="BG3775">
        <v>0</v>
      </c>
      <c r="BH3775">
        <v>1</v>
      </c>
      <c r="BI3775">
        <v>1</v>
      </c>
      <c r="BJ3775">
        <v>0.2</v>
      </c>
      <c r="BK3775">
        <v>1</v>
      </c>
      <c r="BL3775">
        <v>69.98</v>
      </c>
      <c r="BM3775">
        <v>10.5</v>
      </c>
      <c r="BN3775">
        <v>80.48</v>
      </c>
      <c r="BO3775">
        <v>80.48</v>
      </c>
      <c r="BQ3775" t="s">
        <v>3402</v>
      </c>
      <c r="BR3775" t="s">
        <v>84</v>
      </c>
      <c r="BS3775" s="3">
        <v>45806</v>
      </c>
      <c r="BT3775" s="4">
        <v>0.44236111111111109</v>
      </c>
      <c r="BU3775" t="s">
        <v>3403</v>
      </c>
      <c r="BV3775" t="s">
        <v>89</v>
      </c>
      <c r="BW3775" t="s">
        <v>148</v>
      </c>
      <c r="BX3775" t="s">
        <v>1848</v>
      </c>
      <c r="BY3775">
        <v>1200</v>
      </c>
      <c r="CA3775" t="s">
        <v>3404</v>
      </c>
      <c r="CC3775" t="s">
        <v>233</v>
      </c>
      <c r="CD3775" s="5" t="s">
        <v>238</v>
      </c>
      <c r="CE3775" t="s">
        <v>1193</v>
      </c>
      <c r="CF3775" s="3">
        <v>45806</v>
      </c>
      <c r="CI3775">
        <v>1</v>
      </c>
      <c r="CJ3775">
        <v>1</v>
      </c>
      <c r="CK3775">
        <v>21</v>
      </c>
      <c r="CL3775" t="s">
        <v>89</v>
      </c>
    </row>
    <row r="3776" spans="1:90" x14ac:dyDescent="0.3">
      <c r="A3776" t="s">
        <v>72</v>
      </c>
      <c r="B3776" t="s">
        <v>73</v>
      </c>
      <c r="C3776" t="s">
        <v>74</v>
      </c>
      <c r="E3776" t="str">
        <f>"080065624669"</f>
        <v>080065624669</v>
      </c>
      <c r="F3776" s="3">
        <v>45805</v>
      </c>
      <c r="G3776">
        <v>202602</v>
      </c>
      <c r="H3776" t="s">
        <v>75</v>
      </c>
      <c r="I3776" t="s">
        <v>76</v>
      </c>
      <c r="J3776" t="s">
        <v>77</v>
      </c>
      <c r="K3776" t="s">
        <v>78</v>
      </c>
      <c r="L3776" t="s">
        <v>130</v>
      </c>
      <c r="M3776" t="s">
        <v>131</v>
      </c>
      <c r="N3776" t="s">
        <v>496</v>
      </c>
      <c r="O3776" t="s">
        <v>82</v>
      </c>
      <c r="P3776" t="str">
        <f>"4170041240                    "</f>
        <v xml:space="preserve">4170041240                    </v>
      </c>
      <c r="Q3776">
        <v>0</v>
      </c>
      <c r="R3776">
        <v>0</v>
      </c>
      <c r="S3776">
        <v>0</v>
      </c>
      <c r="T3776">
        <v>0</v>
      </c>
      <c r="U3776">
        <v>0</v>
      </c>
      <c r="V3776">
        <v>0</v>
      </c>
      <c r="W3776">
        <v>0</v>
      </c>
      <c r="X3776">
        <v>0</v>
      </c>
      <c r="Y3776">
        <v>0</v>
      </c>
      <c r="Z3776">
        <v>0</v>
      </c>
      <c r="AA3776">
        <v>0</v>
      </c>
      <c r="AB3776">
        <v>0</v>
      </c>
      <c r="AC3776">
        <v>0</v>
      </c>
      <c r="AD3776">
        <v>0</v>
      </c>
      <c r="AE3776">
        <v>0</v>
      </c>
      <c r="AF3776">
        <v>0</v>
      </c>
      <c r="AG3776">
        <v>0</v>
      </c>
      <c r="AH3776">
        <v>0</v>
      </c>
      <c r="AI3776">
        <v>0</v>
      </c>
      <c r="AJ3776">
        <v>0</v>
      </c>
      <c r="AK3776">
        <v>0</v>
      </c>
      <c r="AL3776">
        <v>0</v>
      </c>
      <c r="AM3776">
        <v>0</v>
      </c>
      <c r="AN3776">
        <v>0</v>
      </c>
      <c r="AO3776">
        <v>0</v>
      </c>
      <c r="AP3776">
        <v>0</v>
      </c>
      <c r="AQ3776">
        <v>21.38</v>
      </c>
      <c r="AR3776">
        <v>0</v>
      </c>
      <c r="AS3776">
        <v>0</v>
      </c>
      <c r="AT3776">
        <v>0</v>
      </c>
      <c r="AU3776">
        <v>0</v>
      </c>
      <c r="AV3776">
        <v>0</v>
      </c>
      <c r="AW3776">
        <v>0</v>
      </c>
      <c r="AX3776">
        <v>0</v>
      </c>
      <c r="AY3776">
        <v>0</v>
      </c>
      <c r="AZ3776">
        <v>0</v>
      </c>
      <c r="BA3776">
        <v>0</v>
      </c>
      <c r="BB3776">
        <v>0</v>
      </c>
      <c r="BC3776">
        <v>0</v>
      </c>
      <c r="BD3776">
        <v>0</v>
      </c>
      <c r="BE3776">
        <v>0</v>
      </c>
      <c r="BF3776">
        <v>0</v>
      </c>
      <c r="BG3776">
        <v>0</v>
      </c>
      <c r="BH3776">
        <v>1</v>
      </c>
      <c r="BI3776">
        <v>1</v>
      </c>
      <c r="BJ3776">
        <v>0.2</v>
      </c>
      <c r="BK3776">
        <v>1</v>
      </c>
      <c r="BL3776">
        <v>69.98</v>
      </c>
      <c r="BM3776">
        <v>10.5</v>
      </c>
      <c r="BN3776">
        <v>80.48</v>
      </c>
      <c r="BO3776">
        <v>80.48</v>
      </c>
      <c r="BQ3776" t="s">
        <v>497</v>
      </c>
      <c r="BR3776" t="s">
        <v>84</v>
      </c>
      <c r="BS3776" s="3">
        <v>45806</v>
      </c>
      <c r="BT3776" s="4">
        <v>0.43541666666666667</v>
      </c>
      <c r="BU3776" t="s">
        <v>3405</v>
      </c>
      <c r="BV3776" t="s">
        <v>86</v>
      </c>
      <c r="BY3776">
        <v>1200</v>
      </c>
      <c r="CA3776" t="s">
        <v>242</v>
      </c>
      <c r="CC3776" t="s">
        <v>131</v>
      </c>
      <c r="CD3776">
        <v>8001</v>
      </c>
      <c r="CE3776" t="s">
        <v>1193</v>
      </c>
      <c r="CI3776">
        <v>1</v>
      </c>
      <c r="CJ3776">
        <v>1</v>
      </c>
      <c r="CK3776">
        <v>21</v>
      </c>
      <c r="CL3776" t="s">
        <v>89</v>
      </c>
    </row>
    <row r="3777" spans="1:90" x14ac:dyDescent="0.3">
      <c r="A3777" t="s">
        <v>72</v>
      </c>
      <c r="B3777" t="s">
        <v>73</v>
      </c>
      <c r="C3777" t="s">
        <v>74</v>
      </c>
      <c r="E3777" t="str">
        <f>"080065624692"</f>
        <v>080065624692</v>
      </c>
      <c r="F3777" s="3">
        <v>45805</v>
      </c>
      <c r="G3777">
        <v>202602</v>
      </c>
      <c r="H3777" t="s">
        <v>75</v>
      </c>
      <c r="I3777" t="s">
        <v>76</v>
      </c>
      <c r="J3777" t="s">
        <v>77</v>
      </c>
      <c r="K3777" t="s">
        <v>78</v>
      </c>
      <c r="L3777" t="s">
        <v>117</v>
      </c>
      <c r="M3777" t="s">
        <v>118</v>
      </c>
      <c r="N3777" t="s">
        <v>1052</v>
      </c>
      <c r="O3777" t="s">
        <v>82</v>
      </c>
      <c r="P3777" t="str">
        <f>"4170041251                    "</f>
        <v xml:space="preserve">4170041251                    </v>
      </c>
      <c r="Q3777">
        <v>0</v>
      </c>
      <c r="R3777">
        <v>0</v>
      </c>
      <c r="S3777">
        <v>0</v>
      </c>
      <c r="T3777">
        <v>0</v>
      </c>
      <c r="U3777">
        <v>0</v>
      </c>
      <c r="V3777">
        <v>0</v>
      </c>
      <c r="W3777">
        <v>0</v>
      </c>
      <c r="X3777">
        <v>0</v>
      </c>
      <c r="Y3777">
        <v>0</v>
      </c>
      <c r="Z3777">
        <v>0</v>
      </c>
      <c r="AA3777">
        <v>0</v>
      </c>
      <c r="AB3777">
        <v>0</v>
      </c>
      <c r="AC3777">
        <v>0</v>
      </c>
      <c r="AD3777">
        <v>0</v>
      </c>
      <c r="AE3777">
        <v>0</v>
      </c>
      <c r="AF3777">
        <v>0</v>
      </c>
      <c r="AG3777">
        <v>0</v>
      </c>
      <c r="AH3777">
        <v>0</v>
      </c>
      <c r="AI3777">
        <v>0</v>
      </c>
      <c r="AJ3777">
        <v>0</v>
      </c>
      <c r="AK3777">
        <v>0</v>
      </c>
      <c r="AL3777">
        <v>0</v>
      </c>
      <c r="AM3777">
        <v>0</v>
      </c>
      <c r="AN3777">
        <v>0</v>
      </c>
      <c r="AO3777">
        <v>0</v>
      </c>
      <c r="AP3777">
        <v>0</v>
      </c>
      <c r="AQ3777">
        <v>16.7</v>
      </c>
      <c r="AR3777">
        <v>0</v>
      </c>
      <c r="AS3777">
        <v>0</v>
      </c>
      <c r="AT3777">
        <v>0</v>
      </c>
      <c r="AU3777">
        <v>0</v>
      </c>
      <c r="AV3777">
        <v>0</v>
      </c>
      <c r="AW3777">
        <v>0</v>
      </c>
      <c r="AX3777">
        <v>0</v>
      </c>
      <c r="AY3777">
        <v>0</v>
      </c>
      <c r="AZ3777">
        <v>0</v>
      </c>
      <c r="BA3777">
        <v>0</v>
      </c>
      <c r="BB3777">
        <v>0</v>
      </c>
      <c r="BC3777">
        <v>0</v>
      </c>
      <c r="BD3777">
        <v>0</v>
      </c>
      <c r="BE3777">
        <v>0</v>
      </c>
      <c r="BF3777">
        <v>0</v>
      </c>
      <c r="BG3777">
        <v>0</v>
      </c>
      <c r="BH3777">
        <v>1</v>
      </c>
      <c r="BI3777">
        <v>1</v>
      </c>
      <c r="BJ3777">
        <v>0.2</v>
      </c>
      <c r="BK3777">
        <v>1</v>
      </c>
      <c r="BL3777">
        <v>54.66</v>
      </c>
      <c r="BM3777">
        <v>8.1999999999999993</v>
      </c>
      <c r="BN3777">
        <v>62.86</v>
      </c>
      <c r="BO3777">
        <v>62.86</v>
      </c>
      <c r="BQ3777" t="s">
        <v>1053</v>
      </c>
      <c r="BR3777" t="s">
        <v>84</v>
      </c>
      <c r="BS3777" s="3">
        <v>45806</v>
      </c>
      <c r="BT3777" s="4">
        <v>0.39583333333333331</v>
      </c>
      <c r="BU3777" t="s">
        <v>3074</v>
      </c>
      <c r="BV3777" t="s">
        <v>86</v>
      </c>
      <c r="BY3777">
        <v>1200</v>
      </c>
      <c r="CA3777" t="s">
        <v>275</v>
      </c>
      <c r="CC3777" t="s">
        <v>118</v>
      </c>
      <c r="CD3777">
        <v>2001</v>
      </c>
      <c r="CE3777" t="s">
        <v>1193</v>
      </c>
      <c r="CF3777" s="3">
        <v>45807</v>
      </c>
      <c r="CI3777">
        <v>1</v>
      </c>
      <c r="CJ3777">
        <v>1</v>
      </c>
      <c r="CK3777">
        <v>22</v>
      </c>
      <c r="CL3777" t="s">
        <v>89</v>
      </c>
    </row>
    <row r="3778" spans="1:90" x14ac:dyDescent="0.3">
      <c r="A3778" t="s">
        <v>72</v>
      </c>
      <c r="B3778" t="s">
        <v>73</v>
      </c>
      <c r="C3778" t="s">
        <v>74</v>
      </c>
      <c r="E3778" t="str">
        <f>"080065624711"</f>
        <v>080065624711</v>
      </c>
      <c r="F3778" s="3">
        <v>45805</v>
      </c>
      <c r="G3778">
        <v>202602</v>
      </c>
      <c r="H3778" t="s">
        <v>75</v>
      </c>
      <c r="I3778" t="s">
        <v>76</v>
      </c>
      <c r="J3778" t="s">
        <v>77</v>
      </c>
      <c r="K3778" t="s">
        <v>78</v>
      </c>
      <c r="L3778" t="s">
        <v>420</v>
      </c>
      <c r="M3778" t="s">
        <v>421</v>
      </c>
      <c r="N3778" t="s">
        <v>1914</v>
      </c>
      <c r="O3778" t="s">
        <v>82</v>
      </c>
      <c r="P3778" t="str">
        <f>"4170041082                    "</f>
        <v xml:space="preserve">4170041082                    </v>
      </c>
      <c r="Q3778">
        <v>0</v>
      </c>
      <c r="R3778">
        <v>0</v>
      </c>
      <c r="S3778">
        <v>0</v>
      </c>
      <c r="T3778">
        <v>0</v>
      </c>
      <c r="U3778">
        <v>0</v>
      </c>
      <c r="V3778">
        <v>0</v>
      </c>
      <c r="W3778">
        <v>0</v>
      </c>
      <c r="X3778">
        <v>0</v>
      </c>
      <c r="Y3778">
        <v>0</v>
      </c>
      <c r="Z3778">
        <v>0</v>
      </c>
      <c r="AA3778">
        <v>0</v>
      </c>
      <c r="AB3778">
        <v>0</v>
      </c>
      <c r="AC3778">
        <v>0</v>
      </c>
      <c r="AD3778">
        <v>0</v>
      </c>
      <c r="AE3778">
        <v>0</v>
      </c>
      <c r="AF3778">
        <v>0</v>
      </c>
      <c r="AG3778">
        <v>0</v>
      </c>
      <c r="AH3778">
        <v>0</v>
      </c>
      <c r="AI3778">
        <v>0</v>
      </c>
      <c r="AJ3778">
        <v>0</v>
      </c>
      <c r="AK3778">
        <v>0</v>
      </c>
      <c r="AL3778">
        <v>0</v>
      </c>
      <c r="AM3778">
        <v>0</v>
      </c>
      <c r="AN3778">
        <v>0</v>
      </c>
      <c r="AO3778">
        <v>0</v>
      </c>
      <c r="AP3778">
        <v>0</v>
      </c>
      <c r="AQ3778">
        <v>41.43</v>
      </c>
      <c r="AR3778">
        <v>0</v>
      </c>
      <c r="AS3778">
        <v>0</v>
      </c>
      <c r="AT3778">
        <v>0</v>
      </c>
      <c r="AU3778">
        <v>0</v>
      </c>
      <c r="AV3778">
        <v>0</v>
      </c>
      <c r="AW3778">
        <v>0</v>
      </c>
      <c r="AX3778">
        <v>0</v>
      </c>
      <c r="AY3778">
        <v>0</v>
      </c>
      <c r="AZ3778">
        <v>0</v>
      </c>
      <c r="BA3778">
        <v>0</v>
      </c>
      <c r="BB3778">
        <v>0</v>
      </c>
      <c r="BC3778">
        <v>0</v>
      </c>
      <c r="BD3778">
        <v>0</v>
      </c>
      <c r="BE3778">
        <v>0</v>
      </c>
      <c r="BF3778">
        <v>0</v>
      </c>
      <c r="BG3778">
        <v>0</v>
      </c>
      <c r="BH3778">
        <v>1</v>
      </c>
      <c r="BI3778">
        <v>1</v>
      </c>
      <c r="BJ3778">
        <v>0.2</v>
      </c>
      <c r="BK3778">
        <v>1</v>
      </c>
      <c r="BL3778">
        <v>135.59</v>
      </c>
      <c r="BM3778">
        <v>20.34</v>
      </c>
      <c r="BN3778">
        <v>155.93</v>
      </c>
      <c r="BO3778">
        <v>155.93</v>
      </c>
      <c r="BQ3778" t="s">
        <v>1915</v>
      </c>
      <c r="BR3778" t="s">
        <v>84</v>
      </c>
      <c r="BS3778" s="3">
        <v>45806</v>
      </c>
      <c r="BT3778" s="4">
        <v>0.41666666666666669</v>
      </c>
      <c r="BU3778" t="s">
        <v>3406</v>
      </c>
      <c r="BV3778" t="s">
        <v>86</v>
      </c>
      <c r="BY3778">
        <v>1200</v>
      </c>
      <c r="CA3778" t="s">
        <v>1917</v>
      </c>
      <c r="CC3778" t="s">
        <v>421</v>
      </c>
      <c r="CD3778">
        <v>3290</v>
      </c>
      <c r="CE3778" t="s">
        <v>1193</v>
      </c>
      <c r="CI3778">
        <v>1</v>
      </c>
      <c r="CJ3778">
        <v>1</v>
      </c>
      <c r="CK3778">
        <v>23</v>
      </c>
      <c r="CL3778" t="s">
        <v>89</v>
      </c>
    </row>
    <row r="3779" spans="1:90" x14ac:dyDescent="0.3">
      <c r="A3779" t="s">
        <v>72</v>
      </c>
      <c r="B3779" t="s">
        <v>73</v>
      </c>
      <c r="C3779" t="s">
        <v>74</v>
      </c>
      <c r="E3779" t="str">
        <f>"080065624728"</f>
        <v>080065624728</v>
      </c>
      <c r="F3779" s="3">
        <v>45805</v>
      </c>
      <c r="G3779">
        <v>202602</v>
      </c>
      <c r="H3779" t="s">
        <v>75</v>
      </c>
      <c r="I3779" t="s">
        <v>76</v>
      </c>
      <c r="J3779" t="s">
        <v>77</v>
      </c>
      <c r="K3779" t="s">
        <v>78</v>
      </c>
      <c r="L3779" t="s">
        <v>75</v>
      </c>
      <c r="M3779" t="s">
        <v>76</v>
      </c>
      <c r="N3779" t="s">
        <v>3024</v>
      </c>
      <c r="O3779" t="s">
        <v>82</v>
      </c>
      <c r="P3779" t="str">
        <f>"4170041243                    "</f>
        <v xml:space="preserve">4170041243                    </v>
      </c>
      <c r="Q3779">
        <v>0</v>
      </c>
      <c r="R3779">
        <v>0</v>
      </c>
      <c r="S3779">
        <v>0</v>
      </c>
      <c r="T3779">
        <v>0</v>
      </c>
      <c r="U3779">
        <v>0</v>
      </c>
      <c r="V3779">
        <v>0</v>
      </c>
      <c r="W3779">
        <v>0</v>
      </c>
      <c r="X3779">
        <v>0</v>
      </c>
      <c r="Y3779">
        <v>0</v>
      </c>
      <c r="Z3779">
        <v>0</v>
      </c>
      <c r="AA3779">
        <v>0</v>
      </c>
      <c r="AB3779">
        <v>0</v>
      </c>
      <c r="AC3779">
        <v>0</v>
      </c>
      <c r="AD3779">
        <v>0</v>
      </c>
      <c r="AE3779">
        <v>0</v>
      </c>
      <c r="AF3779">
        <v>0</v>
      </c>
      <c r="AG3779">
        <v>0</v>
      </c>
      <c r="AH3779">
        <v>0</v>
      </c>
      <c r="AI3779">
        <v>0</v>
      </c>
      <c r="AJ3779">
        <v>0</v>
      </c>
      <c r="AK3779">
        <v>0</v>
      </c>
      <c r="AL3779">
        <v>0</v>
      </c>
      <c r="AM3779">
        <v>0</v>
      </c>
      <c r="AN3779">
        <v>0</v>
      </c>
      <c r="AO3779">
        <v>0</v>
      </c>
      <c r="AP3779">
        <v>0</v>
      </c>
      <c r="AQ3779">
        <v>16.7</v>
      </c>
      <c r="AR3779">
        <v>0</v>
      </c>
      <c r="AS3779">
        <v>0</v>
      </c>
      <c r="AT3779">
        <v>0</v>
      </c>
      <c r="AU3779">
        <v>0</v>
      </c>
      <c r="AV3779">
        <v>0</v>
      </c>
      <c r="AW3779">
        <v>0</v>
      </c>
      <c r="AX3779">
        <v>0</v>
      </c>
      <c r="AY3779">
        <v>0</v>
      </c>
      <c r="AZ3779">
        <v>0</v>
      </c>
      <c r="BA3779">
        <v>0</v>
      </c>
      <c r="BB3779">
        <v>0</v>
      </c>
      <c r="BC3779">
        <v>0</v>
      </c>
      <c r="BD3779">
        <v>0</v>
      </c>
      <c r="BE3779">
        <v>0</v>
      </c>
      <c r="BF3779">
        <v>0</v>
      </c>
      <c r="BG3779">
        <v>0</v>
      </c>
      <c r="BH3779">
        <v>1</v>
      </c>
      <c r="BI3779">
        <v>1</v>
      </c>
      <c r="BJ3779">
        <v>0.2</v>
      </c>
      <c r="BK3779">
        <v>1</v>
      </c>
      <c r="BL3779">
        <v>54.66</v>
      </c>
      <c r="BM3779">
        <v>8.1999999999999993</v>
      </c>
      <c r="BN3779">
        <v>62.86</v>
      </c>
      <c r="BO3779">
        <v>62.86</v>
      </c>
      <c r="BQ3779" t="s">
        <v>3025</v>
      </c>
      <c r="BR3779" t="s">
        <v>84</v>
      </c>
      <c r="BS3779" s="3">
        <v>45806</v>
      </c>
      <c r="BT3779" s="4">
        <v>0.39305555555555555</v>
      </c>
      <c r="BU3779" t="s">
        <v>3407</v>
      </c>
      <c r="BY3779">
        <v>1200</v>
      </c>
      <c r="CA3779" t="s">
        <v>853</v>
      </c>
      <c r="CC3779" t="s">
        <v>76</v>
      </c>
      <c r="CD3779">
        <v>1668</v>
      </c>
      <c r="CE3779" t="s">
        <v>1193</v>
      </c>
      <c r="CF3779" s="3">
        <v>45807</v>
      </c>
      <c r="CI3779">
        <v>1</v>
      </c>
      <c r="CJ3779">
        <v>1</v>
      </c>
      <c r="CK3779">
        <v>22</v>
      </c>
      <c r="CL3779" t="s">
        <v>89</v>
      </c>
    </row>
    <row r="3780" spans="1:90" x14ac:dyDescent="0.3">
      <c r="A3780" t="s">
        <v>72</v>
      </c>
      <c r="B3780" t="s">
        <v>73</v>
      </c>
      <c r="C3780" t="s">
        <v>74</v>
      </c>
      <c r="E3780" t="str">
        <f>"080065624740"</f>
        <v>080065624740</v>
      </c>
      <c r="F3780" s="3">
        <v>45805</v>
      </c>
      <c r="G3780">
        <v>202602</v>
      </c>
      <c r="H3780" t="s">
        <v>75</v>
      </c>
      <c r="I3780" t="s">
        <v>76</v>
      </c>
      <c r="J3780" t="s">
        <v>77</v>
      </c>
      <c r="K3780" t="s">
        <v>78</v>
      </c>
      <c r="L3780" t="s">
        <v>97</v>
      </c>
      <c r="M3780" t="s">
        <v>98</v>
      </c>
      <c r="N3780" t="s">
        <v>284</v>
      </c>
      <c r="O3780" t="s">
        <v>82</v>
      </c>
      <c r="P3780" t="str">
        <f>"4170041245                    "</f>
        <v xml:space="preserve">4170041245                    </v>
      </c>
      <c r="Q3780">
        <v>0</v>
      </c>
      <c r="R3780">
        <v>0</v>
      </c>
      <c r="S3780">
        <v>0</v>
      </c>
      <c r="T3780">
        <v>0</v>
      </c>
      <c r="U3780">
        <v>0</v>
      </c>
      <c r="V3780">
        <v>0</v>
      </c>
      <c r="W3780">
        <v>0</v>
      </c>
      <c r="X3780">
        <v>0</v>
      </c>
      <c r="Y3780">
        <v>0</v>
      </c>
      <c r="Z3780">
        <v>0</v>
      </c>
      <c r="AA3780">
        <v>0</v>
      </c>
      <c r="AB3780">
        <v>0</v>
      </c>
      <c r="AC3780">
        <v>0</v>
      </c>
      <c r="AD3780">
        <v>0</v>
      </c>
      <c r="AE3780">
        <v>0</v>
      </c>
      <c r="AF3780">
        <v>0</v>
      </c>
      <c r="AG3780">
        <v>0</v>
      </c>
      <c r="AH3780">
        <v>0</v>
      </c>
      <c r="AI3780">
        <v>0</v>
      </c>
      <c r="AJ3780">
        <v>0</v>
      </c>
      <c r="AK3780">
        <v>0</v>
      </c>
      <c r="AL3780">
        <v>0</v>
      </c>
      <c r="AM3780">
        <v>0</v>
      </c>
      <c r="AN3780">
        <v>0</v>
      </c>
      <c r="AO3780">
        <v>0</v>
      </c>
      <c r="AP3780">
        <v>0</v>
      </c>
      <c r="AQ3780">
        <v>16.7</v>
      </c>
      <c r="AR3780">
        <v>0</v>
      </c>
      <c r="AS3780">
        <v>0</v>
      </c>
      <c r="AT3780">
        <v>0</v>
      </c>
      <c r="AU3780">
        <v>0</v>
      </c>
      <c r="AV3780">
        <v>0</v>
      </c>
      <c r="AW3780">
        <v>0</v>
      </c>
      <c r="AX3780">
        <v>0</v>
      </c>
      <c r="AY3780">
        <v>0</v>
      </c>
      <c r="AZ3780">
        <v>0</v>
      </c>
      <c r="BA3780">
        <v>0</v>
      </c>
      <c r="BB3780">
        <v>0</v>
      </c>
      <c r="BC3780">
        <v>0</v>
      </c>
      <c r="BD3780">
        <v>0</v>
      </c>
      <c r="BE3780">
        <v>0</v>
      </c>
      <c r="BF3780">
        <v>0</v>
      </c>
      <c r="BG3780">
        <v>0</v>
      </c>
      <c r="BH3780">
        <v>1</v>
      </c>
      <c r="BI3780">
        <v>1</v>
      </c>
      <c r="BJ3780">
        <v>0.2</v>
      </c>
      <c r="BK3780">
        <v>1</v>
      </c>
      <c r="BL3780">
        <v>54.66</v>
      </c>
      <c r="BM3780">
        <v>8.1999999999999993</v>
      </c>
      <c r="BN3780">
        <v>62.86</v>
      </c>
      <c r="BO3780">
        <v>62.86</v>
      </c>
      <c r="BQ3780" t="s">
        <v>285</v>
      </c>
      <c r="BR3780" t="s">
        <v>84</v>
      </c>
      <c r="BS3780" s="3">
        <v>45806</v>
      </c>
      <c r="BT3780" s="4">
        <v>0.31874999999999998</v>
      </c>
      <c r="BU3780" t="s">
        <v>1197</v>
      </c>
      <c r="BV3780" t="s">
        <v>86</v>
      </c>
      <c r="BY3780">
        <v>1200</v>
      </c>
      <c r="CA3780" t="s">
        <v>279</v>
      </c>
      <c r="CC3780" t="s">
        <v>98</v>
      </c>
      <c r="CD3780">
        <v>1459</v>
      </c>
      <c r="CE3780" t="s">
        <v>1193</v>
      </c>
      <c r="CF3780" s="3">
        <v>45807</v>
      </c>
      <c r="CI3780">
        <v>1</v>
      </c>
      <c r="CJ3780">
        <v>1</v>
      </c>
      <c r="CK3780">
        <v>22</v>
      </c>
      <c r="CL3780" t="s">
        <v>89</v>
      </c>
    </row>
    <row r="3781" spans="1:90" x14ac:dyDescent="0.3">
      <c r="A3781" t="s">
        <v>72</v>
      </c>
      <c r="B3781" t="s">
        <v>73</v>
      </c>
      <c r="C3781" t="s">
        <v>74</v>
      </c>
      <c r="E3781" t="str">
        <f>"080065624748"</f>
        <v>080065624748</v>
      </c>
      <c r="F3781" s="3">
        <v>45805</v>
      </c>
      <c r="G3781">
        <v>202602</v>
      </c>
      <c r="H3781" t="s">
        <v>75</v>
      </c>
      <c r="I3781" t="s">
        <v>76</v>
      </c>
      <c r="J3781" t="s">
        <v>77</v>
      </c>
      <c r="K3781" t="s">
        <v>78</v>
      </c>
      <c r="L3781" t="s">
        <v>90</v>
      </c>
      <c r="M3781" t="s">
        <v>91</v>
      </c>
      <c r="N3781" t="s">
        <v>92</v>
      </c>
      <c r="O3781" t="s">
        <v>82</v>
      </c>
      <c r="P3781" t="str">
        <f>"4170041263                    "</f>
        <v xml:space="preserve">4170041263                    </v>
      </c>
      <c r="Q3781">
        <v>0</v>
      </c>
      <c r="R3781">
        <v>0</v>
      </c>
      <c r="S3781">
        <v>0</v>
      </c>
      <c r="T3781">
        <v>0</v>
      </c>
      <c r="U3781">
        <v>0</v>
      </c>
      <c r="V3781">
        <v>0</v>
      </c>
      <c r="W3781">
        <v>0</v>
      </c>
      <c r="X3781">
        <v>0</v>
      </c>
      <c r="Y3781">
        <v>0</v>
      </c>
      <c r="Z3781">
        <v>0</v>
      </c>
      <c r="AA3781">
        <v>0</v>
      </c>
      <c r="AB3781">
        <v>0</v>
      </c>
      <c r="AC3781">
        <v>0</v>
      </c>
      <c r="AD3781">
        <v>0</v>
      </c>
      <c r="AE3781">
        <v>0</v>
      </c>
      <c r="AF3781">
        <v>0</v>
      </c>
      <c r="AG3781">
        <v>0</v>
      </c>
      <c r="AH3781">
        <v>0</v>
      </c>
      <c r="AI3781">
        <v>0</v>
      </c>
      <c r="AJ3781">
        <v>0</v>
      </c>
      <c r="AK3781">
        <v>0</v>
      </c>
      <c r="AL3781">
        <v>0</v>
      </c>
      <c r="AM3781">
        <v>0</v>
      </c>
      <c r="AN3781">
        <v>0</v>
      </c>
      <c r="AO3781">
        <v>0</v>
      </c>
      <c r="AP3781">
        <v>0</v>
      </c>
      <c r="AQ3781">
        <v>21.38</v>
      </c>
      <c r="AR3781">
        <v>0</v>
      </c>
      <c r="AS3781">
        <v>0</v>
      </c>
      <c r="AT3781">
        <v>0</v>
      </c>
      <c r="AU3781">
        <v>0</v>
      </c>
      <c r="AV3781">
        <v>0</v>
      </c>
      <c r="AW3781">
        <v>0</v>
      </c>
      <c r="AX3781">
        <v>0</v>
      </c>
      <c r="AY3781">
        <v>0</v>
      </c>
      <c r="AZ3781">
        <v>0</v>
      </c>
      <c r="BA3781">
        <v>0</v>
      </c>
      <c r="BB3781">
        <v>0</v>
      </c>
      <c r="BC3781">
        <v>0</v>
      </c>
      <c r="BD3781">
        <v>0</v>
      </c>
      <c r="BE3781">
        <v>0</v>
      </c>
      <c r="BF3781">
        <v>0</v>
      </c>
      <c r="BG3781">
        <v>0</v>
      </c>
      <c r="BH3781">
        <v>1</v>
      </c>
      <c r="BI3781">
        <v>1</v>
      </c>
      <c r="BJ3781">
        <v>0.2</v>
      </c>
      <c r="BK3781">
        <v>1</v>
      </c>
      <c r="BL3781">
        <v>69.98</v>
      </c>
      <c r="BM3781">
        <v>10.5</v>
      </c>
      <c r="BN3781">
        <v>80.48</v>
      </c>
      <c r="BO3781">
        <v>80.48</v>
      </c>
      <c r="BQ3781" t="s">
        <v>93</v>
      </c>
      <c r="BR3781" t="s">
        <v>84</v>
      </c>
      <c r="BS3781" s="3">
        <v>45806</v>
      </c>
      <c r="BT3781" s="4">
        <v>0.40486111111111112</v>
      </c>
      <c r="BU3781" t="s">
        <v>205</v>
      </c>
      <c r="BV3781" t="s">
        <v>86</v>
      </c>
      <c r="BY3781">
        <v>1200</v>
      </c>
      <c r="CA3781" t="s">
        <v>95</v>
      </c>
      <c r="CC3781" t="s">
        <v>91</v>
      </c>
      <c r="CD3781">
        <v>6001</v>
      </c>
      <c r="CE3781" t="s">
        <v>1193</v>
      </c>
      <c r="CF3781" s="3">
        <v>45806</v>
      </c>
      <c r="CI3781">
        <v>1</v>
      </c>
      <c r="CJ3781">
        <v>1</v>
      </c>
      <c r="CK3781">
        <v>21</v>
      </c>
      <c r="CL3781" t="s">
        <v>89</v>
      </c>
    </row>
    <row r="3782" spans="1:90" x14ac:dyDescent="0.3">
      <c r="A3782" t="s">
        <v>72</v>
      </c>
      <c r="B3782" t="s">
        <v>73</v>
      </c>
      <c r="C3782" t="s">
        <v>74</v>
      </c>
      <c r="E3782" t="str">
        <f>"080065624766"</f>
        <v>080065624766</v>
      </c>
      <c r="F3782" s="3">
        <v>45805</v>
      </c>
      <c r="G3782">
        <v>202602</v>
      </c>
      <c r="H3782" t="s">
        <v>75</v>
      </c>
      <c r="I3782" t="s">
        <v>76</v>
      </c>
      <c r="J3782" t="s">
        <v>77</v>
      </c>
      <c r="K3782" t="s">
        <v>78</v>
      </c>
      <c r="L3782" t="s">
        <v>463</v>
      </c>
      <c r="M3782" t="s">
        <v>464</v>
      </c>
      <c r="N3782" t="s">
        <v>585</v>
      </c>
      <c r="O3782" t="s">
        <v>82</v>
      </c>
      <c r="P3782" t="str">
        <f>"4170041048                    "</f>
        <v xml:space="preserve">4170041048                    </v>
      </c>
      <c r="Q3782">
        <v>0</v>
      </c>
      <c r="R3782">
        <v>0</v>
      </c>
      <c r="S3782">
        <v>0</v>
      </c>
      <c r="T3782">
        <v>0</v>
      </c>
      <c r="U3782">
        <v>0</v>
      </c>
      <c r="V3782">
        <v>0</v>
      </c>
      <c r="W3782">
        <v>0</v>
      </c>
      <c r="X3782">
        <v>0</v>
      </c>
      <c r="Y3782">
        <v>0</v>
      </c>
      <c r="Z3782">
        <v>0</v>
      </c>
      <c r="AA3782">
        <v>0</v>
      </c>
      <c r="AB3782">
        <v>0</v>
      </c>
      <c r="AC3782">
        <v>0</v>
      </c>
      <c r="AD3782">
        <v>0</v>
      </c>
      <c r="AE3782">
        <v>0</v>
      </c>
      <c r="AF3782">
        <v>0</v>
      </c>
      <c r="AG3782">
        <v>0</v>
      </c>
      <c r="AH3782">
        <v>0</v>
      </c>
      <c r="AI3782">
        <v>0</v>
      </c>
      <c r="AJ3782">
        <v>0</v>
      </c>
      <c r="AK3782">
        <v>0</v>
      </c>
      <c r="AL3782">
        <v>0</v>
      </c>
      <c r="AM3782">
        <v>0</v>
      </c>
      <c r="AN3782">
        <v>0</v>
      </c>
      <c r="AO3782">
        <v>0</v>
      </c>
      <c r="AP3782">
        <v>0</v>
      </c>
      <c r="AQ3782">
        <v>21.38</v>
      </c>
      <c r="AR3782">
        <v>0</v>
      </c>
      <c r="AS3782">
        <v>0</v>
      </c>
      <c r="AT3782">
        <v>0</v>
      </c>
      <c r="AU3782">
        <v>0</v>
      </c>
      <c r="AV3782">
        <v>0</v>
      </c>
      <c r="AW3782">
        <v>0</v>
      </c>
      <c r="AX3782">
        <v>0</v>
      </c>
      <c r="AY3782">
        <v>0</v>
      </c>
      <c r="AZ3782">
        <v>0</v>
      </c>
      <c r="BA3782">
        <v>0</v>
      </c>
      <c r="BB3782">
        <v>0</v>
      </c>
      <c r="BC3782">
        <v>0</v>
      </c>
      <c r="BD3782">
        <v>0</v>
      </c>
      <c r="BE3782">
        <v>0</v>
      </c>
      <c r="BF3782">
        <v>0</v>
      </c>
      <c r="BG3782">
        <v>0</v>
      </c>
      <c r="BH3782">
        <v>1</v>
      </c>
      <c r="BI3782">
        <v>1</v>
      </c>
      <c r="BJ3782">
        <v>0.2</v>
      </c>
      <c r="BK3782">
        <v>1</v>
      </c>
      <c r="BL3782">
        <v>69.98</v>
      </c>
      <c r="BM3782">
        <v>10.5</v>
      </c>
      <c r="BN3782">
        <v>80.48</v>
      </c>
      <c r="BO3782">
        <v>80.48</v>
      </c>
      <c r="BQ3782" t="s">
        <v>586</v>
      </c>
      <c r="BR3782" t="s">
        <v>84</v>
      </c>
      <c r="BS3782" s="3">
        <v>45806</v>
      </c>
      <c r="BT3782" s="4">
        <v>0.49236111111111114</v>
      </c>
      <c r="BU3782" t="s">
        <v>2787</v>
      </c>
      <c r="BV3782" t="s">
        <v>89</v>
      </c>
      <c r="BY3782">
        <v>1200</v>
      </c>
      <c r="CA3782" t="s">
        <v>588</v>
      </c>
      <c r="CC3782" t="s">
        <v>464</v>
      </c>
      <c r="CD3782">
        <v>5201</v>
      </c>
      <c r="CE3782" t="s">
        <v>1193</v>
      </c>
      <c r="CI3782">
        <v>1</v>
      </c>
      <c r="CJ3782">
        <v>1</v>
      </c>
      <c r="CK3782">
        <v>21</v>
      </c>
      <c r="CL3782" t="s">
        <v>89</v>
      </c>
    </row>
    <row r="3783" spans="1:90" x14ac:dyDescent="0.3">
      <c r="A3783" t="s">
        <v>72</v>
      </c>
      <c r="B3783" t="s">
        <v>73</v>
      </c>
      <c r="C3783" t="s">
        <v>74</v>
      </c>
      <c r="E3783" t="str">
        <f>"080065624776"</f>
        <v>080065624776</v>
      </c>
      <c r="F3783" s="3">
        <v>45805</v>
      </c>
      <c r="G3783">
        <v>202602</v>
      </c>
      <c r="H3783" t="s">
        <v>75</v>
      </c>
      <c r="I3783" t="s">
        <v>76</v>
      </c>
      <c r="J3783" t="s">
        <v>77</v>
      </c>
      <c r="K3783" t="s">
        <v>78</v>
      </c>
      <c r="L3783" t="s">
        <v>75</v>
      </c>
      <c r="M3783" t="s">
        <v>76</v>
      </c>
      <c r="N3783" t="s">
        <v>803</v>
      </c>
      <c r="O3783" t="s">
        <v>82</v>
      </c>
      <c r="P3783" t="str">
        <f>"4170041259                    "</f>
        <v xml:space="preserve">4170041259                    </v>
      </c>
      <c r="Q3783">
        <v>0</v>
      </c>
      <c r="R3783">
        <v>0</v>
      </c>
      <c r="S3783">
        <v>0</v>
      </c>
      <c r="T3783">
        <v>0</v>
      </c>
      <c r="U3783">
        <v>0</v>
      </c>
      <c r="V3783">
        <v>0</v>
      </c>
      <c r="W3783">
        <v>0</v>
      </c>
      <c r="X3783">
        <v>0</v>
      </c>
      <c r="Y3783">
        <v>0</v>
      </c>
      <c r="Z3783">
        <v>0</v>
      </c>
      <c r="AA3783">
        <v>0</v>
      </c>
      <c r="AB3783">
        <v>0</v>
      </c>
      <c r="AC3783">
        <v>0</v>
      </c>
      <c r="AD3783">
        <v>0</v>
      </c>
      <c r="AE3783">
        <v>0</v>
      </c>
      <c r="AF3783">
        <v>0</v>
      </c>
      <c r="AG3783">
        <v>0</v>
      </c>
      <c r="AH3783">
        <v>0</v>
      </c>
      <c r="AI3783">
        <v>0</v>
      </c>
      <c r="AJ3783">
        <v>0</v>
      </c>
      <c r="AK3783">
        <v>0</v>
      </c>
      <c r="AL3783">
        <v>0</v>
      </c>
      <c r="AM3783">
        <v>0</v>
      </c>
      <c r="AN3783">
        <v>0</v>
      </c>
      <c r="AO3783">
        <v>0</v>
      </c>
      <c r="AP3783">
        <v>0</v>
      </c>
      <c r="AQ3783">
        <v>16.7</v>
      </c>
      <c r="AR3783">
        <v>0</v>
      </c>
      <c r="AS3783">
        <v>0</v>
      </c>
      <c r="AT3783">
        <v>0</v>
      </c>
      <c r="AU3783">
        <v>0</v>
      </c>
      <c r="AV3783">
        <v>0</v>
      </c>
      <c r="AW3783">
        <v>0</v>
      </c>
      <c r="AX3783">
        <v>0</v>
      </c>
      <c r="AY3783">
        <v>0</v>
      </c>
      <c r="AZ3783">
        <v>0</v>
      </c>
      <c r="BA3783">
        <v>0</v>
      </c>
      <c r="BB3783">
        <v>0</v>
      </c>
      <c r="BC3783">
        <v>0</v>
      </c>
      <c r="BD3783">
        <v>0</v>
      </c>
      <c r="BE3783">
        <v>0</v>
      </c>
      <c r="BF3783">
        <v>0</v>
      </c>
      <c r="BG3783">
        <v>0</v>
      </c>
      <c r="BH3783">
        <v>1</v>
      </c>
      <c r="BI3783">
        <v>1</v>
      </c>
      <c r="BJ3783">
        <v>0.2</v>
      </c>
      <c r="BK3783">
        <v>1</v>
      </c>
      <c r="BL3783">
        <v>54.66</v>
      </c>
      <c r="BM3783">
        <v>8.1999999999999993</v>
      </c>
      <c r="BN3783">
        <v>62.86</v>
      </c>
      <c r="BO3783">
        <v>62.86</v>
      </c>
      <c r="BQ3783" t="s">
        <v>804</v>
      </c>
      <c r="BR3783" t="s">
        <v>84</v>
      </c>
      <c r="BS3783" s="3">
        <v>45806</v>
      </c>
      <c r="BT3783" s="4">
        <v>0.41249999999999998</v>
      </c>
      <c r="BU3783" t="s">
        <v>3408</v>
      </c>
      <c r="BV3783" t="s">
        <v>86</v>
      </c>
      <c r="BY3783">
        <v>1200</v>
      </c>
      <c r="CA3783" t="s">
        <v>484</v>
      </c>
      <c r="CC3783" t="s">
        <v>76</v>
      </c>
      <c r="CD3783">
        <v>1619</v>
      </c>
      <c r="CE3783" t="s">
        <v>1193</v>
      </c>
      <c r="CF3783" s="3">
        <v>45806</v>
      </c>
      <c r="CI3783">
        <v>1</v>
      </c>
      <c r="CJ3783">
        <v>1</v>
      </c>
      <c r="CK3783">
        <v>22</v>
      </c>
      <c r="CL3783" t="s">
        <v>89</v>
      </c>
    </row>
    <row r="3784" spans="1:90" x14ac:dyDescent="0.3">
      <c r="A3784" t="s">
        <v>72</v>
      </c>
      <c r="B3784" t="s">
        <v>73</v>
      </c>
      <c r="C3784" t="s">
        <v>74</v>
      </c>
      <c r="E3784" t="str">
        <f>"080065624797"</f>
        <v>080065624797</v>
      </c>
      <c r="F3784" s="3">
        <v>45805</v>
      </c>
      <c r="G3784">
        <v>202602</v>
      </c>
      <c r="H3784" t="s">
        <v>75</v>
      </c>
      <c r="I3784" t="s">
        <v>76</v>
      </c>
      <c r="J3784" t="s">
        <v>77</v>
      </c>
      <c r="K3784" t="s">
        <v>78</v>
      </c>
      <c r="L3784" t="s">
        <v>136</v>
      </c>
      <c r="M3784" t="s">
        <v>137</v>
      </c>
      <c r="N3784" t="s">
        <v>3303</v>
      </c>
      <c r="O3784" t="s">
        <v>82</v>
      </c>
      <c r="P3784" t="str">
        <f>"4170041237                    "</f>
        <v xml:space="preserve">4170041237                    </v>
      </c>
      <c r="Q3784">
        <v>0</v>
      </c>
      <c r="R3784">
        <v>0</v>
      </c>
      <c r="S3784">
        <v>0</v>
      </c>
      <c r="T3784">
        <v>0</v>
      </c>
      <c r="U3784">
        <v>0</v>
      </c>
      <c r="V3784">
        <v>0</v>
      </c>
      <c r="W3784">
        <v>0</v>
      </c>
      <c r="X3784">
        <v>0</v>
      </c>
      <c r="Y3784">
        <v>0</v>
      </c>
      <c r="Z3784">
        <v>0</v>
      </c>
      <c r="AA3784">
        <v>0</v>
      </c>
      <c r="AB3784">
        <v>0</v>
      </c>
      <c r="AC3784">
        <v>0</v>
      </c>
      <c r="AD3784">
        <v>0</v>
      </c>
      <c r="AE3784">
        <v>0</v>
      </c>
      <c r="AF3784">
        <v>0</v>
      </c>
      <c r="AG3784">
        <v>0</v>
      </c>
      <c r="AH3784">
        <v>0</v>
      </c>
      <c r="AI3784">
        <v>0</v>
      </c>
      <c r="AJ3784">
        <v>0</v>
      </c>
      <c r="AK3784">
        <v>0</v>
      </c>
      <c r="AL3784">
        <v>0</v>
      </c>
      <c r="AM3784">
        <v>0</v>
      </c>
      <c r="AN3784">
        <v>0</v>
      </c>
      <c r="AO3784">
        <v>0</v>
      </c>
      <c r="AP3784">
        <v>0</v>
      </c>
      <c r="AQ3784">
        <v>21.38</v>
      </c>
      <c r="AR3784">
        <v>0</v>
      </c>
      <c r="AS3784">
        <v>0</v>
      </c>
      <c r="AT3784">
        <v>0</v>
      </c>
      <c r="AU3784">
        <v>0</v>
      </c>
      <c r="AV3784">
        <v>0</v>
      </c>
      <c r="AW3784">
        <v>0</v>
      </c>
      <c r="AX3784">
        <v>0</v>
      </c>
      <c r="AY3784">
        <v>0</v>
      </c>
      <c r="AZ3784">
        <v>0</v>
      </c>
      <c r="BA3784">
        <v>0</v>
      </c>
      <c r="BB3784">
        <v>0</v>
      </c>
      <c r="BC3784">
        <v>0</v>
      </c>
      <c r="BD3784">
        <v>0</v>
      </c>
      <c r="BE3784">
        <v>0</v>
      </c>
      <c r="BF3784">
        <v>0</v>
      </c>
      <c r="BG3784">
        <v>0</v>
      </c>
      <c r="BH3784">
        <v>1</v>
      </c>
      <c r="BI3784">
        <v>1</v>
      </c>
      <c r="BJ3784">
        <v>0.2</v>
      </c>
      <c r="BK3784">
        <v>1</v>
      </c>
      <c r="BL3784">
        <v>69.98</v>
      </c>
      <c r="BM3784">
        <v>10.5</v>
      </c>
      <c r="BN3784">
        <v>80.48</v>
      </c>
      <c r="BO3784">
        <v>80.48</v>
      </c>
      <c r="BQ3784" t="s">
        <v>3304</v>
      </c>
      <c r="BR3784" t="s">
        <v>84</v>
      </c>
      <c r="BS3784" s="3">
        <v>45806</v>
      </c>
      <c r="BT3784" s="4">
        <v>0.40763888888888888</v>
      </c>
      <c r="BU3784" t="s">
        <v>1946</v>
      </c>
      <c r="BV3784" t="s">
        <v>86</v>
      </c>
      <c r="BY3784">
        <v>1200</v>
      </c>
      <c r="CA3784" t="s">
        <v>2800</v>
      </c>
      <c r="CC3784" t="s">
        <v>137</v>
      </c>
      <c r="CD3784" s="5" t="s">
        <v>165</v>
      </c>
      <c r="CE3784" t="s">
        <v>1193</v>
      </c>
      <c r="CF3784" s="3">
        <v>45806</v>
      </c>
      <c r="CI3784">
        <v>1</v>
      </c>
      <c r="CJ3784">
        <v>1</v>
      </c>
      <c r="CK3784">
        <v>21</v>
      </c>
      <c r="CL3784" t="s">
        <v>89</v>
      </c>
    </row>
    <row r="3785" spans="1:90" x14ac:dyDescent="0.3">
      <c r="A3785" t="s">
        <v>72</v>
      </c>
      <c r="B3785" t="s">
        <v>73</v>
      </c>
      <c r="C3785" t="s">
        <v>74</v>
      </c>
      <c r="E3785" t="str">
        <f>"080065624819"</f>
        <v>080065624819</v>
      </c>
      <c r="F3785" s="3">
        <v>45805</v>
      </c>
      <c r="G3785">
        <v>202602</v>
      </c>
      <c r="H3785" t="s">
        <v>75</v>
      </c>
      <c r="I3785" t="s">
        <v>76</v>
      </c>
      <c r="J3785" t="s">
        <v>77</v>
      </c>
      <c r="K3785" t="s">
        <v>78</v>
      </c>
      <c r="L3785" t="s">
        <v>489</v>
      </c>
      <c r="M3785" t="s">
        <v>490</v>
      </c>
      <c r="N3785" t="s">
        <v>491</v>
      </c>
      <c r="O3785" t="s">
        <v>82</v>
      </c>
      <c r="P3785" t="str">
        <f>"4170041261                    "</f>
        <v xml:space="preserve">4170041261                    </v>
      </c>
      <c r="Q3785">
        <v>0</v>
      </c>
      <c r="R3785">
        <v>0</v>
      </c>
      <c r="S3785">
        <v>0</v>
      </c>
      <c r="T3785">
        <v>0</v>
      </c>
      <c r="U3785">
        <v>0</v>
      </c>
      <c r="V3785">
        <v>0</v>
      </c>
      <c r="W3785">
        <v>0</v>
      </c>
      <c r="X3785">
        <v>0</v>
      </c>
      <c r="Y3785">
        <v>0</v>
      </c>
      <c r="Z3785">
        <v>0</v>
      </c>
      <c r="AA3785">
        <v>0</v>
      </c>
      <c r="AB3785">
        <v>0</v>
      </c>
      <c r="AC3785">
        <v>0</v>
      </c>
      <c r="AD3785">
        <v>0</v>
      </c>
      <c r="AE3785">
        <v>0</v>
      </c>
      <c r="AF3785">
        <v>0</v>
      </c>
      <c r="AG3785">
        <v>0</v>
      </c>
      <c r="AH3785">
        <v>0</v>
      </c>
      <c r="AI3785">
        <v>0</v>
      </c>
      <c r="AJ3785">
        <v>0</v>
      </c>
      <c r="AK3785">
        <v>0</v>
      </c>
      <c r="AL3785">
        <v>0</v>
      </c>
      <c r="AM3785">
        <v>0</v>
      </c>
      <c r="AN3785">
        <v>0</v>
      </c>
      <c r="AO3785">
        <v>0</v>
      </c>
      <c r="AP3785">
        <v>0</v>
      </c>
      <c r="AQ3785">
        <v>41.43</v>
      </c>
      <c r="AR3785">
        <v>0</v>
      </c>
      <c r="AS3785">
        <v>0</v>
      </c>
      <c r="AT3785">
        <v>0</v>
      </c>
      <c r="AU3785">
        <v>0</v>
      </c>
      <c r="AV3785">
        <v>0</v>
      </c>
      <c r="AW3785">
        <v>0</v>
      </c>
      <c r="AX3785">
        <v>0</v>
      </c>
      <c r="AY3785">
        <v>0</v>
      </c>
      <c r="AZ3785">
        <v>0</v>
      </c>
      <c r="BA3785">
        <v>0</v>
      </c>
      <c r="BB3785">
        <v>0</v>
      </c>
      <c r="BC3785">
        <v>0</v>
      </c>
      <c r="BD3785">
        <v>0</v>
      </c>
      <c r="BE3785">
        <v>0</v>
      </c>
      <c r="BF3785">
        <v>0</v>
      </c>
      <c r="BG3785">
        <v>0</v>
      </c>
      <c r="BH3785">
        <v>1</v>
      </c>
      <c r="BI3785">
        <v>1</v>
      </c>
      <c r="BJ3785">
        <v>0.2</v>
      </c>
      <c r="BK3785">
        <v>1</v>
      </c>
      <c r="BL3785">
        <v>135.59</v>
      </c>
      <c r="BM3785">
        <v>20.34</v>
      </c>
      <c r="BN3785">
        <v>155.93</v>
      </c>
      <c r="BO3785">
        <v>155.93</v>
      </c>
      <c r="BQ3785" t="s">
        <v>492</v>
      </c>
      <c r="BR3785" t="s">
        <v>84</v>
      </c>
      <c r="BS3785" s="3">
        <v>45806</v>
      </c>
      <c r="BT3785" s="4">
        <v>0.3125</v>
      </c>
      <c r="BU3785" t="s">
        <v>3409</v>
      </c>
      <c r="BV3785" t="s">
        <v>86</v>
      </c>
      <c r="BY3785">
        <v>1200</v>
      </c>
      <c r="CC3785" t="s">
        <v>490</v>
      </c>
      <c r="CD3785">
        <v>2740</v>
      </c>
      <c r="CE3785" t="s">
        <v>1193</v>
      </c>
      <c r="CI3785">
        <v>1</v>
      </c>
      <c r="CJ3785">
        <v>1</v>
      </c>
      <c r="CK3785">
        <v>23</v>
      </c>
      <c r="CL3785" t="s">
        <v>89</v>
      </c>
    </row>
    <row r="3786" spans="1:90" x14ac:dyDescent="0.3">
      <c r="A3786" t="s">
        <v>72</v>
      </c>
      <c r="B3786" t="s">
        <v>73</v>
      </c>
      <c r="C3786" t="s">
        <v>74</v>
      </c>
      <c r="E3786" t="str">
        <f>"080065624838"</f>
        <v>080065624838</v>
      </c>
      <c r="F3786" s="3">
        <v>45805</v>
      </c>
      <c r="G3786">
        <v>202602</v>
      </c>
      <c r="H3786" t="s">
        <v>75</v>
      </c>
      <c r="I3786" t="s">
        <v>76</v>
      </c>
      <c r="J3786" t="s">
        <v>77</v>
      </c>
      <c r="K3786" t="s">
        <v>78</v>
      </c>
      <c r="L3786" t="s">
        <v>130</v>
      </c>
      <c r="M3786" t="s">
        <v>131</v>
      </c>
      <c r="N3786" t="s">
        <v>1066</v>
      </c>
      <c r="O3786" t="s">
        <v>82</v>
      </c>
      <c r="P3786" t="str">
        <f>"4170041247                    "</f>
        <v xml:space="preserve">4170041247                    </v>
      </c>
      <c r="Q3786">
        <v>0</v>
      </c>
      <c r="R3786">
        <v>0</v>
      </c>
      <c r="S3786">
        <v>0</v>
      </c>
      <c r="T3786">
        <v>0</v>
      </c>
      <c r="U3786">
        <v>0</v>
      </c>
      <c r="V3786">
        <v>0</v>
      </c>
      <c r="W3786">
        <v>0</v>
      </c>
      <c r="X3786">
        <v>0</v>
      </c>
      <c r="Y3786">
        <v>0</v>
      </c>
      <c r="Z3786">
        <v>0</v>
      </c>
      <c r="AA3786">
        <v>0</v>
      </c>
      <c r="AB3786">
        <v>0</v>
      </c>
      <c r="AC3786">
        <v>0</v>
      </c>
      <c r="AD3786">
        <v>0</v>
      </c>
      <c r="AE3786">
        <v>0</v>
      </c>
      <c r="AF3786">
        <v>0</v>
      </c>
      <c r="AG3786">
        <v>0</v>
      </c>
      <c r="AH3786">
        <v>0</v>
      </c>
      <c r="AI3786">
        <v>0</v>
      </c>
      <c r="AJ3786">
        <v>0</v>
      </c>
      <c r="AK3786">
        <v>0</v>
      </c>
      <c r="AL3786">
        <v>0</v>
      </c>
      <c r="AM3786">
        <v>0</v>
      </c>
      <c r="AN3786">
        <v>0</v>
      </c>
      <c r="AO3786">
        <v>0</v>
      </c>
      <c r="AP3786">
        <v>0</v>
      </c>
      <c r="AQ3786">
        <v>21.38</v>
      </c>
      <c r="AR3786">
        <v>0</v>
      </c>
      <c r="AS3786">
        <v>0</v>
      </c>
      <c r="AT3786">
        <v>0</v>
      </c>
      <c r="AU3786">
        <v>0</v>
      </c>
      <c r="AV3786">
        <v>0</v>
      </c>
      <c r="AW3786">
        <v>0</v>
      </c>
      <c r="AX3786">
        <v>0</v>
      </c>
      <c r="AY3786">
        <v>0</v>
      </c>
      <c r="AZ3786">
        <v>0</v>
      </c>
      <c r="BA3786">
        <v>0</v>
      </c>
      <c r="BB3786">
        <v>0</v>
      </c>
      <c r="BC3786">
        <v>0</v>
      </c>
      <c r="BD3786">
        <v>0</v>
      </c>
      <c r="BE3786">
        <v>0</v>
      </c>
      <c r="BF3786">
        <v>0</v>
      </c>
      <c r="BG3786">
        <v>0</v>
      </c>
      <c r="BH3786">
        <v>1</v>
      </c>
      <c r="BI3786">
        <v>1</v>
      </c>
      <c r="BJ3786">
        <v>0.2</v>
      </c>
      <c r="BK3786">
        <v>1</v>
      </c>
      <c r="BL3786">
        <v>69.98</v>
      </c>
      <c r="BM3786">
        <v>10.5</v>
      </c>
      <c r="BN3786">
        <v>80.48</v>
      </c>
      <c r="BO3786">
        <v>80.48</v>
      </c>
      <c r="BQ3786" t="s">
        <v>1067</v>
      </c>
      <c r="BR3786" t="s">
        <v>84</v>
      </c>
      <c r="BS3786" s="3">
        <v>45806</v>
      </c>
      <c r="BT3786" s="4">
        <v>0.37847222222222221</v>
      </c>
      <c r="BU3786" t="s">
        <v>1202</v>
      </c>
      <c r="BV3786" t="s">
        <v>86</v>
      </c>
      <c r="BY3786">
        <v>1200</v>
      </c>
      <c r="CA3786" t="s">
        <v>712</v>
      </c>
      <c r="CC3786" t="s">
        <v>131</v>
      </c>
      <c r="CD3786">
        <v>7561</v>
      </c>
      <c r="CE3786" t="s">
        <v>1193</v>
      </c>
      <c r="CI3786">
        <v>1</v>
      </c>
      <c r="CJ3786">
        <v>1</v>
      </c>
      <c r="CK3786">
        <v>21</v>
      </c>
      <c r="CL3786" t="s">
        <v>89</v>
      </c>
    </row>
    <row r="3787" spans="1:90" x14ac:dyDescent="0.3">
      <c r="A3787" t="s">
        <v>72</v>
      </c>
      <c r="B3787" t="s">
        <v>73</v>
      </c>
      <c r="C3787" t="s">
        <v>74</v>
      </c>
      <c r="E3787" t="str">
        <f>"080065624855"</f>
        <v>080065624855</v>
      </c>
      <c r="F3787" s="3">
        <v>45805</v>
      </c>
      <c r="G3787">
        <v>202602</v>
      </c>
      <c r="H3787" t="s">
        <v>75</v>
      </c>
      <c r="I3787" t="s">
        <v>76</v>
      </c>
      <c r="J3787" t="s">
        <v>77</v>
      </c>
      <c r="K3787" t="s">
        <v>78</v>
      </c>
      <c r="L3787" t="s">
        <v>90</v>
      </c>
      <c r="M3787" t="s">
        <v>91</v>
      </c>
      <c r="N3787" t="s">
        <v>371</v>
      </c>
      <c r="O3787" t="s">
        <v>82</v>
      </c>
      <c r="P3787" t="str">
        <f>"4170041221                    "</f>
        <v xml:space="preserve">4170041221                    </v>
      </c>
      <c r="Q3787">
        <v>0</v>
      </c>
      <c r="R3787">
        <v>0</v>
      </c>
      <c r="S3787">
        <v>0</v>
      </c>
      <c r="T3787">
        <v>0</v>
      </c>
      <c r="U3787">
        <v>0</v>
      </c>
      <c r="V3787">
        <v>0</v>
      </c>
      <c r="W3787">
        <v>0</v>
      </c>
      <c r="X3787">
        <v>0</v>
      </c>
      <c r="Y3787">
        <v>0</v>
      </c>
      <c r="Z3787">
        <v>0</v>
      </c>
      <c r="AA3787">
        <v>0</v>
      </c>
      <c r="AB3787">
        <v>0</v>
      </c>
      <c r="AC3787">
        <v>0</v>
      </c>
      <c r="AD3787">
        <v>0</v>
      </c>
      <c r="AE3787">
        <v>0</v>
      </c>
      <c r="AF3787">
        <v>0</v>
      </c>
      <c r="AG3787">
        <v>0</v>
      </c>
      <c r="AH3787">
        <v>0</v>
      </c>
      <c r="AI3787">
        <v>0</v>
      </c>
      <c r="AJ3787">
        <v>0</v>
      </c>
      <c r="AK3787">
        <v>0</v>
      </c>
      <c r="AL3787">
        <v>0</v>
      </c>
      <c r="AM3787">
        <v>0</v>
      </c>
      <c r="AN3787">
        <v>0</v>
      </c>
      <c r="AO3787">
        <v>0</v>
      </c>
      <c r="AP3787">
        <v>0</v>
      </c>
      <c r="AQ3787">
        <v>21.38</v>
      </c>
      <c r="AR3787">
        <v>0</v>
      </c>
      <c r="AS3787">
        <v>0</v>
      </c>
      <c r="AT3787">
        <v>0</v>
      </c>
      <c r="AU3787">
        <v>0</v>
      </c>
      <c r="AV3787">
        <v>0</v>
      </c>
      <c r="AW3787">
        <v>0</v>
      </c>
      <c r="AX3787">
        <v>0</v>
      </c>
      <c r="AY3787">
        <v>0</v>
      </c>
      <c r="AZ3787">
        <v>0</v>
      </c>
      <c r="BA3787">
        <v>0</v>
      </c>
      <c r="BB3787">
        <v>0</v>
      </c>
      <c r="BC3787">
        <v>0</v>
      </c>
      <c r="BD3787">
        <v>0</v>
      </c>
      <c r="BE3787">
        <v>0</v>
      </c>
      <c r="BF3787">
        <v>0</v>
      </c>
      <c r="BG3787">
        <v>0</v>
      </c>
      <c r="BH3787">
        <v>1</v>
      </c>
      <c r="BI3787">
        <v>1</v>
      </c>
      <c r="BJ3787">
        <v>0.2</v>
      </c>
      <c r="BK3787">
        <v>1</v>
      </c>
      <c r="BL3787">
        <v>69.98</v>
      </c>
      <c r="BM3787">
        <v>10.5</v>
      </c>
      <c r="BN3787">
        <v>80.48</v>
      </c>
      <c r="BO3787">
        <v>80.48</v>
      </c>
      <c r="BQ3787" t="s">
        <v>372</v>
      </c>
      <c r="BR3787" t="s">
        <v>84</v>
      </c>
      <c r="BS3787" s="3">
        <v>45806</v>
      </c>
      <c r="BT3787" s="4">
        <v>0.42569444444444443</v>
      </c>
      <c r="BU3787" t="s">
        <v>373</v>
      </c>
      <c r="BV3787" t="s">
        <v>86</v>
      </c>
      <c r="BY3787">
        <v>1200</v>
      </c>
      <c r="CA3787" t="s">
        <v>298</v>
      </c>
      <c r="CC3787" t="s">
        <v>91</v>
      </c>
      <c r="CD3787">
        <v>6001</v>
      </c>
      <c r="CE3787" t="s">
        <v>1193</v>
      </c>
      <c r="CF3787" s="3">
        <v>45806</v>
      </c>
      <c r="CI3787">
        <v>1</v>
      </c>
      <c r="CJ3787">
        <v>1</v>
      </c>
      <c r="CK3787">
        <v>21</v>
      </c>
      <c r="CL3787" t="s">
        <v>89</v>
      </c>
    </row>
    <row r="3788" spans="1:90" x14ac:dyDescent="0.3">
      <c r="A3788" t="s">
        <v>72</v>
      </c>
      <c r="B3788" t="s">
        <v>73</v>
      </c>
      <c r="C3788" t="s">
        <v>74</v>
      </c>
      <c r="E3788" t="str">
        <f>"080065624877"</f>
        <v>080065624877</v>
      </c>
      <c r="F3788" s="3">
        <v>45805</v>
      </c>
      <c r="G3788">
        <v>202602</v>
      </c>
      <c r="H3788" t="s">
        <v>75</v>
      </c>
      <c r="I3788" t="s">
        <v>76</v>
      </c>
      <c r="J3788" t="s">
        <v>77</v>
      </c>
      <c r="K3788" t="s">
        <v>78</v>
      </c>
      <c r="L3788" t="s">
        <v>130</v>
      </c>
      <c r="M3788" t="s">
        <v>131</v>
      </c>
      <c r="N3788" t="s">
        <v>496</v>
      </c>
      <c r="O3788" t="s">
        <v>82</v>
      </c>
      <c r="P3788" t="str">
        <f>"4170041272                    "</f>
        <v xml:space="preserve">4170041272                    </v>
      </c>
      <c r="Q3788">
        <v>0</v>
      </c>
      <c r="R3788">
        <v>0</v>
      </c>
      <c r="S3788">
        <v>0</v>
      </c>
      <c r="T3788">
        <v>0</v>
      </c>
      <c r="U3788">
        <v>0</v>
      </c>
      <c r="V3788">
        <v>0</v>
      </c>
      <c r="W3788">
        <v>0</v>
      </c>
      <c r="X3788">
        <v>0</v>
      </c>
      <c r="Y3788">
        <v>0</v>
      </c>
      <c r="Z3788">
        <v>0</v>
      </c>
      <c r="AA3788">
        <v>0</v>
      </c>
      <c r="AB3788">
        <v>0</v>
      </c>
      <c r="AC3788">
        <v>0</v>
      </c>
      <c r="AD3788">
        <v>0</v>
      </c>
      <c r="AE3788">
        <v>0</v>
      </c>
      <c r="AF3788">
        <v>0</v>
      </c>
      <c r="AG3788">
        <v>0</v>
      </c>
      <c r="AH3788">
        <v>0</v>
      </c>
      <c r="AI3788">
        <v>0</v>
      </c>
      <c r="AJ3788">
        <v>0</v>
      </c>
      <c r="AK3788">
        <v>0</v>
      </c>
      <c r="AL3788">
        <v>0</v>
      </c>
      <c r="AM3788">
        <v>0</v>
      </c>
      <c r="AN3788">
        <v>0</v>
      </c>
      <c r="AO3788">
        <v>0</v>
      </c>
      <c r="AP3788">
        <v>0</v>
      </c>
      <c r="AQ3788">
        <v>21.38</v>
      </c>
      <c r="AR3788">
        <v>0</v>
      </c>
      <c r="AS3788">
        <v>0</v>
      </c>
      <c r="AT3788">
        <v>0</v>
      </c>
      <c r="AU3788">
        <v>0</v>
      </c>
      <c r="AV3788">
        <v>0</v>
      </c>
      <c r="AW3788">
        <v>0</v>
      </c>
      <c r="AX3788">
        <v>0</v>
      </c>
      <c r="AY3788">
        <v>0</v>
      </c>
      <c r="AZ3788">
        <v>0</v>
      </c>
      <c r="BA3788">
        <v>0</v>
      </c>
      <c r="BB3788">
        <v>0</v>
      </c>
      <c r="BC3788">
        <v>0</v>
      </c>
      <c r="BD3788">
        <v>0</v>
      </c>
      <c r="BE3788">
        <v>0</v>
      </c>
      <c r="BF3788">
        <v>0</v>
      </c>
      <c r="BG3788">
        <v>0</v>
      </c>
      <c r="BH3788">
        <v>1</v>
      </c>
      <c r="BI3788">
        <v>1</v>
      </c>
      <c r="BJ3788">
        <v>0.2</v>
      </c>
      <c r="BK3788">
        <v>1</v>
      </c>
      <c r="BL3788">
        <v>69.98</v>
      </c>
      <c r="BM3788">
        <v>10.5</v>
      </c>
      <c r="BN3788">
        <v>80.48</v>
      </c>
      <c r="BO3788">
        <v>80.48</v>
      </c>
      <c r="BQ3788" t="s">
        <v>497</v>
      </c>
      <c r="BR3788" t="s">
        <v>84</v>
      </c>
      <c r="BS3788" s="3">
        <v>45806</v>
      </c>
      <c r="BT3788" s="4">
        <v>0.43541666666666667</v>
      </c>
      <c r="BU3788" t="s">
        <v>3405</v>
      </c>
      <c r="BV3788" t="s">
        <v>86</v>
      </c>
      <c r="BY3788">
        <v>1200</v>
      </c>
      <c r="CA3788" t="s">
        <v>242</v>
      </c>
      <c r="CC3788" t="s">
        <v>131</v>
      </c>
      <c r="CD3788">
        <v>8001</v>
      </c>
      <c r="CE3788" t="s">
        <v>1193</v>
      </c>
      <c r="CI3788">
        <v>1</v>
      </c>
      <c r="CJ3788">
        <v>1</v>
      </c>
      <c r="CK3788">
        <v>21</v>
      </c>
      <c r="CL3788" t="s">
        <v>89</v>
      </c>
    </row>
    <row r="3789" spans="1:90" x14ac:dyDescent="0.3">
      <c r="A3789" t="s">
        <v>72</v>
      </c>
      <c r="B3789" t="s">
        <v>73</v>
      </c>
      <c r="C3789" t="s">
        <v>74</v>
      </c>
      <c r="E3789" t="str">
        <f>"080065625025"</f>
        <v>080065625025</v>
      </c>
      <c r="F3789" s="3">
        <v>45805</v>
      </c>
      <c r="G3789">
        <v>202602</v>
      </c>
      <c r="H3789" t="s">
        <v>75</v>
      </c>
      <c r="I3789" t="s">
        <v>76</v>
      </c>
      <c r="J3789" t="s">
        <v>77</v>
      </c>
      <c r="K3789" t="s">
        <v>78</v>
      </c>
      <c r="L3789" t="s">
        <v>130</v>
      </c>
      <c r="M3789" t="s">
        <v>131</v>
      </c>
      <c r="N3789" t="s">
        <v>681</v>
      </c>
      <c r="O3789" t="s">
        <v>82</v>
      </c>
      <c r="P3789" t="str">
        <f>"4170041209                    "</f>
        <v xml:space="preserve">4170041209                    </v>
      </c>
      <c r="Q3789">
        <v>0</v>
      </c>
      <c r="R3789">
        <v>0</v>
      </c>
      <c r="S3789">
        <v>0</v>
      </c>
      <c r="T3789">
        <v>0</v>
      </c>
      <c r="U3789">
        <v>0</v>
      </c>
      <c r="V3789">
        <v>0</v>
      </c>
      <c r="W3789">
        <v>0</v>
      </c>
      <c r="X3789">
        <v>0</v>
      </c>
      <c r="Y3789">
        <v>0</v>
      </c>
      <c r="Z3789">
        <v>0</v>
      </c>
      <c r="AA3789">
        <v>0</v>
      </c>
      <c r="AB3789">
        <v>0</v>
      </c>
      <c r="AC3789">
        <v>0</v>
      </c>
      <c r="AD3789">
        <v>0</v>
      </c>
      <c r="AE3789">
        <v>0</v>
      </c>
      <c r="AF3789">
        <v>0</v>
      </c>
      <c r="AG3789">
        <v>0</v>
      </c>
      <c r="AH3789">
        <v>0</v>
      </c>
      <c r="AI3789">
        <v>0</v>
      </c>
      <c r="AJ3789">
        <v>0</v>
      </c>
      <c r="AK3789">
        <v>0</v>
      </c>
      <c r="AL3789">
        <v>0</v>
      </c>
      <c r="AM3789">
        <v>0</v>
      </c>
      <c r="AN3789">
        <v>0</v>
      </c>
      <c r="AO3789">
        <v>0</v>
      </c>
      <c r="AP3789">
        <v>0</v>
      </c>
      <c r="AQ3789">
        <v>21.38</v>
      </c>
      <c r="AR3789">
        <v>0</v>
      </c>
      <c r="AS3789">
        <v>0</v>
      </c>
      <c r="AT3789">
        <v>0</v>
      </c>
      <c r="AU3789">
        <v>0</v>
      </c>
      <c r="AV3789">
        <v>0</v>
      </c>
      <c r="AW3789">
        <v>0</v>
      </c>
      <c r="AX3789">
        <v>0</v>
      </c>
      <c r="AY3789">
        <v>0</v>
      </c>
      <c r="AZ3789">
        <v>0</v>
      </c>
      <c r="BA3789">
        <v>0</v>
      </c>
      <c r="BB3789">
        <v>0</v>
      </c>
      <c r="BC3789">
        <v>0</v>
      </c>
      <c r="BD3789">
        <v>0</v>
      </c>
      <c r="BE3789">
        <v>0</v>
      </c>
      <c r="BF3789">
        <v>0</v>
      </c>
      <c r="BG3789">
        <v>0</v>
      </c>
      <c r="BH3789">
        <v>1</v>
      </c>
      <c r="BI3789">
        <v>1</v>
      </c>
      <c r="BJ3789">
        <v>0.2</v>
      </c>
      <c r="BK3789">
        <v>1</v>
      </c>
      <c r="BL3789">
        <v>69.98</v>
      </c>
      <c r="BM3789">
        <v>10.5</v>
      </c>
      <c r="BN3789">
        <v>80.48</v>
      </c>
      <c r="BO3789">
        <v>80.48</v>
      </c>
      <c r="BQ3789" t="s">
        <v>682</v>
      </c>
      <c r="BR3789" t="s">
        <v>84</v>
      </c>
      <c r="BS3789" s="3">
        <v>45806</v>
      </c>
      <c r="BT3789" s="4">
        <v>0.39652777777777776</v>
      </c>
      <c r="BU3789" t="s">
        <v>3410</v>
      </c>
      <c r="BV3789" t="s">
        <v>86</v>
      </c>
      <c r="BY3789">
        <v>1200</v>
      </c>
      <c r="CA3789" t="s">
        <v>1368</v>
      </c>
      <c r="CC3789" t="s">
        <v>131</v>
      </c>
      <c r="CD3789">
        <v>7800</v>
      </c>
      <c r="CE3789" t="s">
        <v>1193</v>
      </c>
      <c r="CI3789">
        <v>1</v>
      </c>
      <c r="CJ3789">
        <v>1</v>
      </c>
      <c r="CK3789">
        <v>21</v>
      </c>
      <c r="CL3789" t="s">
        <v>89</v>
      </c>
    </row>
    <row r="3790" spans="1:90" x14ac:dyDescent="0.3">
      <c r="A3790" t="s">
        <v>72</v>
      </c>
      <c r="B3790" t="s">
        <v>73</v>
      </c>
      <c r="C3790" t="s">
        <v>74</v>
      </c>
      <c r="E3790" t="str">
        <f>"080065625044"</f>
        <v>080065625044</v>
      </c>
      <c r="F3790" s="3">
        <v>45805</v>
      </c>
      <c r="G3790">
        <v>202602</v>
      </c>
      <c r="H3790" t="s">
        <v>75</v>
      </c>
      <c r="I3790" t="s">
        <v>76</v>
      </c>
      <c r="J3790" t="s">
        <v>77</v>
      </c>
      <c r="K3790" t="s">
        <v>78</v>
      </c>
      <c r="L3790" t="s">
        <v>972</v>
      </c>
      <c r="M3790" t="s">
        <v>973</v>
      </c>
      <c r="N3790" t="s">
        <v>2351</v>
      </c>
      <c r="O3790" t="s">
        <v>82</v>
      </c>
      <c r="P3790" t="str">
        <f>"4170041038                    "</f>
        <v xml:space="preserve">4170041038                    </v>
      </c>
      <c r="Q3790">
        <v>0</v>
      </c>
      <c r="R3790">
        <v>0</v>
      </c>
      <c r="S3790">
        <v>0</v>
      </c>
      <c r="T3790">
        <v>0</v>
      </c>
      <c r="U3790">
        <v>0</v>
      </c>
      <c r="V3790">
        <v>0</v>
      </c>
      <c r="W3790">
        <v>0</v>
      </c>
      <c r="X3790">
        <v>0</v>
      </c>
      <c r="Y3790">
        <v>0</v>
      </c>
      <c r="Z3790">
        <v>0</v>
      </c>
      <c r="AA3790">
        <v>0</v>
      </c>
      <c r="AB3790">
        <v>0</v>
      </c>
      <c r="AC3790">
        <v>0</v>
      </c>
      <c r="AD3790">
        <v>0</v>
      </c>
      <c r="AE3790">
        <v>0</v>
      </c>
      <c r="AF3790">
        <v>0</v>
      </c>
      <c r="AG3790">
        <v>0</v>
      </c>
      <c r="AH3790">
        <v>0</v>
      </c>
      <c r="AI3790">
        <v>0</v>
      </c>
      <c r="AJ3790">
        <v>0</v>
      </c>
      <c r="AK3790">
        <v>0</v>
      </c>
      <c r="AL3790">
        <v>0</v>
      </c>
      <c r="AM3790">
        <v>0</v>
      </c>
      <c r="AN3790">
        <v>0</v>
      </c>
      <c r="AO3790">
        <v>0</v>
      </c>
      <c r="AP3790">
        <v>0</v>
      </c>
      <c r="AQ3790">
        <v>16.7</v>
      </c>
      <c r="AR3790">
        <v>0</v>
      </c>
      <c r="AS3790">
        <v>0</v>
      </c>
      <c r="AT3790">
        <v>0</v>
      </c>
      <c r="AU3790">
        <v>0</v>
      </c>
      <c r="AV3790">
        <v>0</v>
      </c>
      <c r="AW3790">
        <v>0</v>
      </c>
      <c r="AX3790">
        <v>0</v>
      </c>
      <c r="AY3790">
        <v>0</v>
      </c>
      <c r="AZ3790">
        <v>0</v>
      </c>
      <c r="BA3790">
        <v>0</v>
      </c>
      <c r="BB3790">
        <v>0</v>
      </c>
      <c r="BC3790">
        <v>0</v>
      </c>
      <c r="BD3790">
        <v>0</v>
      </c>
      <c r="BE3790">
        <v>0</v>
      </c>
      <c r="BF3790">
        <v>0</v>
      </c>
      <c r="BG3790">
        <v>0</v>
      </c>
      <c r="BH3790">
        <v>1</v>
      </c>
      <c r="BI3790">
        <v>1</v>
      </c>
      <c r="BJ3790">
        <v>0.2</v>
      </c>
      <c r="BK3790">
        <v>1</v>
      </c>
      <c r="BL3790">
        <v>54.66</v>
      </c>
      <c r="BM3790">
        <v>8.1999999999999993</v>
      </c>
      <c r="BN3790">
        <v>62.86</v>
      </c>
      <c r="BO3790">
        <v>62.86</v>
      </c>
      <c r="BQ3790" t="s">
        <v>2352</v>
      </c>
      <c r="BR3790" t="s">
        <v>84</v>
      </c>
      <c r="BS3790" s="3">
        <v>45806</v>
      </c>
      <c r="BT3790" s="4">
        <v>0.36388888888888887</v>
      </c>
      <c r="BU3790" t="s">
        <v>3411</v>
      </c>
      <c r="BV3790" t="s">
        <v>86</v>
      </c>
      <c r="BY3790">
        <v>1200</v>
      </c>
      <c r="CA3790" t="s">
        <v>3149</v>
      </c>
      <c r="CC3790" t="s">
        <v>973</v>
      </c>
      <c r="CD3790">
        <v>1724</v>
      </c>
      <c r="CE3790" t="s">
        <v>1193</v>
      </c>
      <c r="CF3790" s="3">
        <v>45806</v>
      </c>
      <c r="CI3790">
        <v>1</v>
      </c>
      <c r="CJ3790">
        <v>1</v>
      </c>
      <c r="CK3790">
        <v>22</v>
      </c>
      <c r="CL3790" t="s">
        <v>89</v>
      </c>
    </row>
    <row r="3791" spans="1:90" x14ac:dyDescent="0.3">
      <c r="A3791" t="s">
        <v>72</v>
      </c>
      <c r="B3791" t="s">
        <v>73</v>
      </c>
      <c r="C3791" t="s">
        <v>74</v>
      </c>
      <c r="E3791" t="str">
        <f>"080065625062"</f>
        <v>080065625062</v>
      </c>
      <c r="F3791" s="3">
        <v>45805</v>
      </c>
      <c r="G3791">
        <v>202602</v>
      </c>
      <c r="H3791" t="s">
        <v>75</v>
      </c>
      <c r="I3791" t="s">
        <v>76</v>
      </c>
      <c r="J3791" t="s">
        <v>77</v>
      </c>
      <c r="K3791" t="s">
        <v>78</v>
      </c>
      <c r="L3791" t="s">
        <v>103</v>
      </c>
      <c r="M3791" t="s">
        <v>104</v>
      </c>
      <c r="N3791" t="s">
        <v>105</v>
      </c>
      <c r="O3791" t="s">
        <v>82</v>
      </c>
      <c r="P3791" t="str">
        <f>"4170041227                    "</f>
        <v xml:space="preserve">4170041227                    </v>
      </c>
      <c r="Q3791">
        <v>0</v>
      </c>
      <c r="R3791">
        <v>0</v>
      </c>
      <c r="S3791">
        <v>0</v>
      </c>
      <c r="T3791">
        <v>0</v>
      </c>
      <c r="U3791">
        <v>0</v>
      </c>
      <c r="V3791">
        <v>0</v>
      </c>
      <c r="W3791">
        <v>0</v>
      </c>
      <c r="X3791">
        <v>0</v>
      </c>
      <c r="Y3791">
        <v>0</v>
      </c>
      <c r="Z3791">
        <v>0</v>
      </c>
      <c r="AA3791">
        <v>0</v>
      </c>
      <c r="AB3791">
        <v>0</v>
      </c>
      <c r="AC3791">
        <v>0</v>
      </c>
      <c r="AD3791">
        <v>0</v>
      </c>
      <c r="AE3791">
        <v>0</v>
      </c>
      <c r="AF3791">
        <v>0</v>
      </c>
      <c r="AG3791">
        <v>0</v>
      </c>
      <c r="AH3791">
        <v>0</v>
      </c>
      <c r="AI3791">
        <v>0</v>
      </c>
      <c r="AJ3791">
        <v>0</v>
      </c>
      <c r="AK3791">
        <v>0</v>
      </c>
      <c r="AL3791">
        <v>0</v>
      </c>
      <c r="AM3791">
        <v>0</v>
      </c>
      <c r="AN3791">
        <v>0</v>
      </c>
      <c r="AO3791">
        <v>0</v>
      </c>
      <c r="AP3791">
        <v>0</v>
      </c>
      <c r="AQ3791">
        <v>21.38</v>
      </c>
      <c r="AR3791">
        <v>0</v>
      </c>
      <c r="AS3791">
        <v>0</v>
      </c>
      <c r="AT3791">
        <v>0</v>
      </c>
      <c r="AU3791">
        <v>0</v>
      </c>
      <c r="AV3791">
        <v>0</v>
      </c>
      <c r="AW3791">
        <v>0</v>
      </c>
      <c r="AX3791">
        <v>0</v>
      </c>
      <c r="AY3791">
        <v>0</v>
      </c>
      <c r="AZ3791">
        <v>0</v>
      </c>
      <c r="BA3791">
        <v>0</v>
      </c>
      <c r="BB3791">
        <v>0</v>
      </c>
      <c r="BC3791">
        <v>0</v>
      </c>
      <c r="BD3791">
        <v>0</v>
      </c>
      <c r="BE3791">
        <v>0</v>
      </c>
      <c r="BF3791">
        <v>0</v>
      </c>
      <c r="BG3791">
        <v>0</v>
      </c>
      <c r="BH3791">
        <v>1</v>
      </c>
      <c r="BI3791">
        <v>1</v>
      </c>
      <c r="BJ3791">
        <v>0.2</v>
      </c>
      <c r="BK3791">
        <v>1</v>
      </c>
      <c r="BL3791">
        <v>69.98</v>
      </c>
      <c r="BM3791">
        <v>10.5</v>
      </c>
      <c r="BN3791">
        <v>80.48</v>
      </c>
      <c r="BO3791">
        <v>80.48</v>
      </c>
      <c r="BQ3791" t="s">
        <v>106</v>
      </c>
      <c r="BR3791" t="s">
        <v>84</v>
      </c>
      <c r="BS3791" s="3">
        <v>45806</v>
      </c>
      <c r="BT3791" s="4">
        <v>0.41666666666666669</v>
      </c>
      <c r="BU3791" t="s">
        <v>430</v>
      </c>
      <c r="BV3791" t="s">
        <v>86</v>
      </c>
      <c r="BY3791">
        <v>1200</v>
      </c>
      <c r="CA3791" t="s">
        <v>108</v>
      </c>
      <c r="CC3791" t="s">
        <v>104</v>
      </c>
      <c r="CD3791">
        <v>3201</v>
      </c>
      <c r="CE3791" t="s">
        <v>1193</v>
      </c>
      <c r="CI3791">
        <v>1</v>
      </c>
      <c r="CJ3791">
        <v>1</v>
      </c>
      <c r="CK3791">
        <v>21</v>
      </c>
      <c r="CL3791" t="s">
        <v>89</v>
      </c>
    </row>
    <row r="3792" spans="1:90" x14ac:dyDescent="0.3">
      <c r="A3792" t="s">
        <v>72</v>
      </c>
      <c r="B3792" t="s">
        <v>73</v>
      </c>
      <c r="C3792" t="s">
        <v>74</v>
      </c>
      <c r="E3792" t="str">
        <f>"080065625083"</f>
        <v>080065625083</v>
      </c>
      <c r="F3792" s="3">
        <v>45805</v>
      </c>
      <c r="G3792">
        <v>202602</v>
      </c>
      <c r="H3792" t="s">
        <v>75</v>
      </c>
      <c r="I3792" t="s">
        <v>76</v>
      </c>
      <c r="J3792" t="s">
        <v>77</v>
      </c>
      <c r="K3792" t="s">
        <v>78</v>
      </c>
      <c r="L3792" t="s">
        <v>350</v>
      </c>
      <c r="M3792" t="s">
        <v>351</v>
      </c>
      <c r="N3792" t="s">
        <v>459</v>
      </c>
      <c r="O3792" t="s">
        <v>82</v>
      </c>
      <c r="P3792" t="str">
        <f>"4170041257                    "</f>
        <v xml:space="preserve">4170041257                    </v>
      </c>
      <c r="Q3792">
        <v>0</v>
      </c>
      <c r="R3792">
        <v>0</v>
      </c>
      <c r="S3792">
        <v>0</v>
      </c>
      <c r="T3792">
        <v>0</v>
      </c>
      <c r="U3792">
        <v>0</v>
      </c>
      <c r="V3792">
        <v>0</v>
      </c>
      <c r="W3792">
        <v>0</v>
      </c>
      <c r="X3792">
        <v>0</v>
      </c>
      <c r="Y3792">
        <v>0</v>
      </c>
      <c r="Z3792">
        <v>0</v>
      </c>
      <c r="AA3792">
        <v>0</v>
      </c>
      <c r="AB3792">
        <v>0</v>
      </c>
      <c r="AC3792">
        <v>0</v>
      </c>
      <c r="AD3792">
        <v>0</v>
      </c>
      <c r="AE3792">
        <v>0</v>
      </c>
      <c r="AF3792">
        <v>0</v>
      </c>
      <c r="AG3792">
        <v>0</v>
      </c>
      <c r="AH3792">
        <v>0</v>
      </c>
      <c r="AI3792">
        <v>0</v>
      </c>
      <c r="AJ3792">
        <v>0</v>
      </c>
      <c r="AK3792">
        <v>0</v>
      </c>
      <c r="AL3792">
        <v>0</v>
      </c>
      <c r="AM3792">
        <v>0</v>
      </c>
      <c r="AN3792">
        <v>0</v>
      </c>
      <c r="AO3792">
        <v>0</v>
      </c>
      <c r="AP3792">
        <v>0</v>
      </c>
      <c r="AQ3792">
        <v>21.38</v>
      </c>
      <c r="AR3792">
        <v>0</v>
      </c>
      <c r="AS3792">
        <v>0</v>
      </c>
      <c r="AT3792">
        <v>0</v>
      </c>
      <c r="AU3792">
        <v>0</v>
      </c>
      <c r="AV3792">
        <v>0</v>
      </c>
      <c r="AW3792">
        <v>0</v>
      </c>
      <c r="AX3792">
        <v>0</v>
      </c>
      <c r="AY3792">
        <v>0</v>
      </c>
      <c r="AZ3792">
        <v>0</v>
      </c>
      <c r="BA3792">
        <v>0</v>
      </c>
      <c r="BB3792">
        <v>0</v>
      </c>
      <c r="BC3792">
        <v>0</v>
      </c>
      <c r="BD3792">
        <v>0</v>
      </c>
      <c r="BE3792">
        <v>0</v>
      </c>
      <c r="BF3792">
        <v>0</v>
      </c>
      <c r="BG3792">
        <v>0</v>
      </c>
      <c r="BH3792">
        <v>1</v>
      </c>
      <c r="BI3792">
        <v>1</v>
      </c>
      <c r="BJ3792">
        <v>0.2</v>
      </c>
      <c r="BK3792">
        <v>1</v>
      </c>
      <c r="BL3792">
        <v>69.98</v>
      </c>
      <c r="BM3792">
        <v>10.5</v>
      </c>
      <c r="BN3792">
        <v>80.48</v>
      </c>
      <c r="BO3792">
        <v>80.48</v>
      </c>
      <c r="BQ3792" t="s">
        <v>460</v>
      </c>
      <c r="BR3792" t="s">
        <v>84</v>
      </c>
      <c r="BS3792" s="3">
        <v>45806</v>
      </c>
      <c r="BT3792" s="4">
        <v>0.35069444444444442</v>
      </c>
      <c r="BU3792" t="s">
        <v>1121</v>
      </c>
      <c r="BV3792" t="s">
        <v>86</v>
      </c>
      <c r="BY3792">
        <v>1200</v>
      </c>
      <c r="CA3792" t="s">
        <v>462</v>
      </c>
      <c r="CC3792" t="s">
        <v>351</v>
      </c>
      <c r="CD3792">
        <v>4051</v>
      </c>
      <c r="CE3792" t="s">
        <v>1193</v>
      </c>
      <c r="CF3792" s="3">
        <v>45806</v>
      </c>
      <c r="CI3792">
        <v>1</v>
      </c>
      <c r="CJ3792">
        <v>1</v>
      </c>
      <c r="CK3792">
        <v>21</v>
      </c>
      <c r="CL3792" t="s">
        <v>89</v>
      </c>
    </row>
    <row r="3793" spans="1:90" x14ac:dyDescent="0.3">
      <c r="A3793" t="s">
        <v>72</v>
      </c>
      <c r="B3793" t="s">
        <v>73</v>
      </c>
      <c r="C3793" t="s">
        <v>74</v>
      </c>
      <c r="E3793" t="str">
        <f>"080065625182"</f>
        <v>080065625182</v>
      </c>
      <c r="F3793" s="3">
        <v>45805</v>
      </c>
      <c r="G3793">
        <v>202602</v>
      </c>
      <c r="H3793" t="s">
        <v>75</v>
      </c>
      <c r="I3793" t="s">
        <v>76</v>
      </c>
      <c r="J3793" t="s">
        <v>77</v>
      </c>
      <c r="K3793" t="s">
        <v>78</v>
      </c>
      <c r="L3793" t="s">
        <v>90</v>
      </c>
      <c r="M3793" t="s">
        <v>91</v>
      </c>
      <c r="N3793" t="s">
        <v>865</v>
      </c>
      <c r="O3793" t="s">
        <v>82</v>
      </c>
      <c r="P3793" t="str">
        <f>"4170041166                    "</f>
        <v xml:space="preserve">4170041166                    </v>
      </c>
      <c r="Q3793">
        <v>0</v>
      </c>
      <c r="R3793">
        <v>0</v>
      </c>
      <c r="S3793">
        <v>0</v>
      </c>
      <c r="T3793">
        <v>0</v>
      </c>
      <c r="U3793">
        <v>0</v>
      </c>
      <c r="V3793">
        <v>0</v>
      </c>
      <c r="W3793">
        <v>0</v>
      </c>
      <c r="X3793">
        <v>0</v>
      </c>
      <c r="Y3793">
        <v>0</v>
      </c>
      <c r="Z3793">
        <v>0</v>
      </c>
      <c r="AA3793">
        <v>0</v>
      </c>
      <c r="AB3793">
        <v>0</v>
      </c>
      <c r="AC3793">
        <v>0</v>
      </c>
      <c r="AD3793">
        <v>0</v>
      </c>
      <c r="AE3793">
        <v>0</v>
      </c>
      <c r="AF3793">
        <v>0</v>
      </c>
      <c r="AG3793">
        <v>0</v>
      </c>
      <c r="AH3793">
        <v>0</v>
      </c>
      <c r="AI3793">
        <v>0</v>
      </c>
      <c r="AJ3793">
        <v>0</v>
      </c>
      <c r="AK3793">
        <v>0</v>
      </c>
      <c r="AL3793">
        <v>0</v>
      </c>
      <c r="AM3793">
        <v>0</v>
      </c>
      <c r="AN3793">
        <v>0</v>
      </c>
      <c r="AO3793">
        <v>0</v>
      </c>
      <c r="AP3793">
        <v>0</v>
      </c>
      <c r="AQ3793">
        <v>21.38</v>
      </c>
      <c r="AR3793">
        <v>0</v>
      </c>
      <c r="AS3793">
        <v>0</v>
      </c>
      <c r="AT3793">
        <v>0</v>
      </c>
      <c r="AU3793">
        <v>0</v>
      </c>
      <c r="AV3793">
        <v>0</v>
      </c>
      <c r="AW3793">
        <v>0</v>
      </c>
      <c r="AX3793">
        <v>0</v>
      </c>
      <c r="AY3793">
        <v>0</v>
      </c>
      <c r="AZ3793">
        <v>0</v>
      </c>
      <c r="BA3793">
        <v>0</v>
      </c>
      <c r="BB3793">
        <v>0</v>
      </c>
      <c r="BC3793">
        <v>0</v>
      </c>
      <c r="BD3793">
        <v>0</v>
      </c>
      <c r="BE3793">
        <v>0</v>
      </c>
      <c r="BF3793">
        <v>0</v>
      </c>
      <c r="BG3793">
        <v>0</v>
      </c>
      <c r="BH3793">
        <v>1</v>
      </c>
      <c r="BI3793">
        <v>1</v>
      </c>
      <c r="BJ3793">
        <v>0.2</v>
      </c>
      <c r="BK3793">
        <v>1</v>
      </c>
      <c r="BL3793">
        <v>69.98</v>
      </c>
      <c r="BM3793">
        <v>10.5</v>
      </c>
      <c r="BN3793">
        <v>80.48</v>
      </c>
      <c r="BO3793">
        <v>80.48</v>
      </c>
      <c r="BQ3793" t="s">
        <v>866</v>
      </c>
      <c r="BR3793" t="s">
        <v>84</v>
      </c>
      <c r="BS3793" s="3">
        <v>45806</v>
      </c>
      <c r="BT3793" s="4">
        <v>0.41666666666666669</v>
      </c>
      <c r="BU3793" t="s">
        <v>3412</v>
      </c>
      <c r="BV3793" t="s">
        <v>86</v>
      </c>
      <c r="BY3793">
        <v>1200</v>
      </c>
      <c r="CA3793" t="s">
        <v>824</v>
      </c>
      <c r="CC3793" t="s">
        <v>91</v>
      </c>
      <c r="CD3793">
        <v>6001</v>
      </c>
      <c r="CE3793" t="s">
        <v>1193</v>
      </c>
      <c r="CF3793" s="3">
        <v>45806</v>
      </c>
      <c r="CI3793">
        <v>1</v>
      </c>
      <c r="CJ3793">
        <v>1</v>
      </c>
      <c r="CK3793">
        <v>21</v>
      </c>
      <c r="CL3793" t="s">
        <v>89</v>
      </c>
    </row>
    <row r="3794" spans="1:90" x14ac:dyDescent="0.3">
      <c r="A3794" t="s">
        <v>72</v>
      </c>
      <c r="B3794" t="s">
        <v>73</v>
      </c>
      <c r="C3794" t="s">
        <v>74</v>
      </c>
      <c r="E3794" t="str">
        <f>"080065625197"</f>
        <v>080065625197</v>
      </c>
      <c r="F3794" s="3">
        <v>45805</v>
      </c>
      <c r="G3794">
        <v>202602</v>
      </c>
      <c r="H3794" t="s">
        <v>75</v>
      </c>
      <c r="I3794" t="s">
        <v>76</v>
      </c>
      <c r="J3794" t="s">
        <v>77</v>
      </c>
      <c r="K3794" t="s">
        <v>78</v>
      </c>
      <c r="L3794" t="s">
        <v>90</v>
      </c>
      <c r="M3794" t="s">
        <v>91</v>
      </c>
      <c r="N3794" t="s">
        <v>1211</v>
      </c>
      <c r="O3794" t="s">
        <v>82</v>
      </c>
      <c r="P3794" t="str">
        <f>"4170041162                    "</f>
        <v xml:space="preserve">4170041162                    </v>
      </c>
      <c r="Q3794">
        <v>0</v>
      </c>
      <c r="R3794">
        <v>0</v>
      </c>
      <c r="S3794">
        <v>0</v>
      </c>
      <c r="T3794">
        <v>0</v>
      </c>
      <c r="U3794">
        <v>0</v>
      </c>
      <c r="V3794">
        <v>0</v>
      </c>
      <c r="W3794">
        <v>0</v>
      </c>
      <c r="X3794">
        <v>0</v>
      </c>
      <c r="Y3794">
        <v>0</v>
      </c>
      <c r="Z3794">
        <v>0</v>
      </c>
      <c r="AA3794">
        <v>0</v>
      </c>
      <c r="AB3794">
        <v>0</v>
      </c>
      <c r="AC3794">
        <v>0</v>
      </c>
      <c r="AD3794">
        <v>0</v>
      </c>
      <c r="AE3794">
        <v>0</v>
      </c>
      <c r="AF3794">
        <v>0</v>
      </c>
      <c r="AG3794">
        <v>0</v>
      </c>
      <c r="AH3794">
        <v>0</v>
      </c>
      <c r="AI3794">
        <v>0</v>
      </c>
      <c r="AJ3794">
        <v>0</v>
      </c>
      <c r="AK3794">
        <v>0</v>
      </c>
      <c r="AL3794">
        <v>0</v>
      </c>
      <c r="AM3794">
        <v>0</v>
      </c>
      <c r="AN3794">
        <v>0</v>
      </c>
      <c r="AO3794">
        <v>0</v>
      </c>
      <c r="AP3794">
        <v>0</v>
      </c>
      <c r="AQ3794">
        <v>21.38</v>
      </c>
      <c r="AR3794">
        <v>0</v>
      </c>
      <c r="AS3794">
        <v>0</v>
      </c>
      <c r="AT3794">
        <v>0</v>
      </c>
      <c r="AU3794">
        <v>0</v>
      </c>
      <c r="AV3794">
        <v>0</v>
      </c>
      <c r="AW3794">
        <v>0</v>
      </c>
      <c r="AX3794">
        <v>0</v>
      </c>
      <c r="AY3794">
        <v>0</v>
      </c>
      <c r="AZ3794">
        <v>0</v>
      </c>
      <c r="BA3794">
        <v>0</v>
      </c>
      <c r="BB3794">
        <v>0</v>
      </c>
      <c r="BC3794">
        <v>0</v>
      </c>
      <c r="BD3794">
        <v>0</v>
      </c>
      <c r="BE3794">
        <v>0</v>
      </c>
      <c r="BF3794">
        <v>0</v>
      </c>
      <c r="BG3794">
        <v>0</v>
      </c>
      <c r="BH3794">
        <v>1</v>
      </c>
      <c r="BI3794">
        <v>1</v>
      </c>
      <c r="BJ3794">
        <v>0.2</v>
      </c>
      <c r="BK3794">
        <v>1</v>
      </c>
      <c r="BL3794">
        <v>69.98</v>
      </c>
      <c r="BM3794">
        <v>10.5</v>
      </c>
      <c r="BN3794">
        <v>80.48</v>
      </c>
      <c r="BO3794">
        <v>80.48</v>
      </c>
      <c r="BQ3794" t="s">
        <v>1212</v>
      </c>
      <c r="BR3794" t="s">
        <v>84</v>
      </c>
      <c r="BS3794" s="3">
        <v>45806</v>
      </c>
      <c r="BT3794" s="4">
        <v>0.40208333333333335</v>
      </c>
      <c r="BU3794" t="s">
        <v>2023</v>
      </c>
      <c r="BV3794" t="s">
        <v>86</v>
      </c>
      <c r="BY3794">
        <v>1200</v>
      </c>
      <c r="CA3794" t="s">
        <v>283</v>
      </c>
      <c r="CC3794" t="s">
        <v>91</v>
      </c>
      <c r="CD3794">
        <v>6012</v>
      </c>
      <c r="CE3794" t="s">
        <v>1193</v>
      </c>
      <c r="CF3794" s="3">
        <v>45806</v>
      </c>
      <c r="CI3794">
        <v>1</v>
      </c>
      <c r="CJ3794">
        <v>1</v>
      </c>
      <c r="CK3794">
        <v>21</v>
      </c>
      <c r="CL3794" t="s">
        <v>89</v>
      </c>
    </row>
    <row r="3795" spans="1:90" x14ac:dyDescent="0.3">
      <c r="A3795" t="s">
        <v>72</v>
      </c>
      <c r="B3795" t="s">
        <v>73</v>
      </c>
      <c r="C3795" t="s">
        <v>74</v>
      </c>
      <c r="E3795" t="str">
        <f>"080065625215"</f>
        <v>080065625215</v>
      </c>
      <c r="F3795" s="3">
        <v>45805</v>
      </c>
      <c r="G3795">
        <v>202602</v>
      </c>
      <c r="H3795" t="s">
        <v>75</v>
      </c>
      <c r="I3795" t="s">
        <v>76</v>
      </c>
      <c r="J3795" t="s">
        <v>77</v>
      </c>
      <c r="K3795" t="s">
        <v>78</v>
      </c>
      <c r="L3795" t="s">
        <v>117</v>
      </c>
      <c r="M3795" t="s">
        <v>118</v>
      </c>
      <c r="N3795" t="s">
        <v>2883</v>
      </c>
      <c r="O3795" t="s">
        <v>82</v>
      </c>
      <c r="P3795" t="str">
        <f>"4170041165                    "</f>
        <v xml:space="preserve">4170041165                    </v>
      </c>
      <c r="Q3795">
        <v>0</v>
      </c>
      <c r="R3795">
        <v>0</v>
      </c>
      <c r="S3795">
        <v>0</v>
      </c>
      <c r="T3795">
        <v>0</v>
      </c>
      <c r="U3795">
        <v>0</v>
      </c>
      <c r="V3795">
        <v>0</v>
      </c>
      <c r="W3795">
        <v>0</v>
      </c>
      <c r="X3795">
        <v>0</v>
      </c>
      <c r="Y3795">
        <v>0</v>
      </c>
      <c r="Z3795">
        <v>0</v>
      </c>
      <c r="AA3795">
        <v>0</v>
      </c>
      <c r="AB3795">
        <v>0</v>
      </c>
      <c r="AC3795">
        <v>0</v>
      </c>
      <c r="AD3795">
        <v>0</v>
      </c>
      <c r="AE3795">
        <v>0</v>
      </c>
      <c r="AF3795">
        <v>0</v>
      </c>
      <c r="AG3795">
        <v>0</v>
      </c>
      <c r="AH3795">
        <v>0</v>
      </c>
      <c r="AI3795">
        <v>0</v>
      </c>
      <c r="AJ3795">
        <v>0</v>
      </c>
      <c r="AK3795">
        <v>0</v>
      </c>
      <c r="AL3795">
        <v>0</v>
      </c>
      <c r="AM3795">
        <v>0</v>
      </c>
      <c r="AN3795">
        <v>0</v>
      </c>
      <c r="AO3795">
        <v>0</v>
      </c>
      <c r="AP3795">
        <v>0</v>
      </c>
      <c r="AQ3795">
        <v>16.7</v>
      </c>
      <c r="AR3795">
        <v>0</v>
      </c>
      <c r="AS3795">
        <v>0</v>
      </c>
      <c r="AT3795">
        <v>0</v>
      </c>
      <c r="AU3795">
        <v>0</v>
      </c>
      <c r="AV3795">
        <v>0</v>
      </c>
      <c r="AW3795">
        <v>0</v>
      </c>
      <c r="AX3795">
        <v>0</v>
      </c>
      <c r="AY3795">
        <v>0</v>
      </c>
      <c r="AZ3795">
        <v>0</v>
      </c>
      <c r="BA3795">
        <v>0</v>
      </c>
      <c r="BB3795">
        <v>0</v>
      </c>
      <c r="BC3795">
        <v>0</v>
      </c>
      <c r="BD3795">
        <v>0</v>
      </c>
      <c r="BE3795">
        <v>0</v>
      </c>
      <c r="BF3795">
        <v>0</v>
      </c>
      <c r="BG3795">
        <v>0</v>
      </c>
      <c r="BH3795">
        <v>1</v>
      </c>
      <c r="BI3795">
        <v>1</v>
      </c>
      <c r="BJ3795">
        <v>0.2</v>
      </c>
      <c r="BK3795">
        <v>1</v>
      </c>
      <c r="BL3795">
        <v>54.66</v>
      </c>
      <c r="BM3795">
        <v>8.1999999999999993</v>
      </c>
      <c r="BN3795">
        <v>62.86</v>
      </c>
      <c r="BO3795">
        <v>62.86</v>
      </c>
      <c r="BQ3795" t="s">
        <v>2884</v>
      </c>
      <c r="BR3795" t="s">
        <v>84</v>
      </c>
      <c r="BS3795" s="3">
        <v>45806</v>
      </c>
      <c r="BT3795" s="4">
        <v>0.41666666666666669</v>
      </c>
      <c r="BU3795" t="s">
        <v>3413</v>
      </c>
      <c r="BV3795" t="s">
        <v>86</v>
      </c>
      <c r="BY3795">
        <v>1200</v>
      </c>
      <c r="CC3795" t="s">
        <v>118</v>
      </c>
      <c r="CD3795">
        <v>2094</v>
      </c>
      <c r="CE3795" t="s">
        <v>1193</v>
      </c>
      <c r="CF3795" s="3">
        <v>45807</v>
      </c>
      <c r="CI3795">
        <v>1</v>
      </c>
      <c r="CJ3795">
        <v>1</v>
      </c>
      <c r="CK3795">
        <v>22</v>
      </c>
      <c r="CL3795" t="s">
        <v>89</v>
      </c>
    </row>
    <row r="3796" spans="1:90" x14ac:dyDescent="0.3">
      <c r="A3796" t="s">
        <v>72</v>
      </c>
      <c r="B3796" t="s">
        <v>73</v>
      </c>
      <c r="C3796" t="s">
        <v>74</v>
      </c>
      <c r="E3796" t="str">
        <f>"080065625227"</f>
        <v>080065625227</v>
      </c>
      <c r="F3796" s="3">
        <v>45805</v>
      </c>
      <c r="G3796">
        <v>202602</v>
      </c>
      <c r="H3796" t="s">
        <v>75</v>
      </c>
      <c r="I3796" t="s">
        <v>76</v>
      </c>
      <c r="J3796" t="s">
        <v>77</v>
      </c>
      <c r="K3796" t="s">
        <v>78</v>
      </c>
      <c r="L3796" t="s">
        <v>266</v>
      </c>
      <c r="M3796" t="s">
        <v>267</v>
      </c>
      <c r="N3796" t="s">
        <v>1750</v>
      </c>
      <c r="O3796" t="s">
        <v>82</v>
      </c>
      <c r="P3796" t="str">
        <f>"4170041149                    "</f>
        <v xml:space="preserve">4170041149                    </v>
      </c>
      <c r="Q3796">
        <v>0</v>
      </c>
      <c r="R3796">
        <v>0</v>
      </c>
      <c r="S3796">
        <v>0</v>
      </c>
      <c r="T3796">
        <v>0</v>
      </c>
      <c r="U3796">
        <v>0</v>
      </c>
      <c r="V3796">
        <v>0</v>
      </c>
      <c r="W3796">
        <v>0</v>
      </c>
      <c r="X3796">
        <v>0</v>
      </c>
      <c r="Y3796">
        <v>0</v>
      </c>
      <c r="Z3796">
        <v>0</v>
      </c>
      <c r="AA3796">
        <v>0</v>
      </c>
      <c r="AB3796">
        <v>0</v>
      </c>
      <c r="AC3796">
        <v>0</v>
      </c>
      <c r="AD3796">
        <v>0</v>
      </c>
      <c r="AE3796">
        <v>0</v>
      </c>
      <c r="AF3796">
        <v>0</v>
      </c>
      <c r="AG3796">
        <v>0</v>
      </c>
      <c r="AH3796">
        <v>0</v>
      </c>
      <c r="AI3796">
        <v>0</v>
      </c>
      <c r="AJ3796">
        <v>0</v>
      </c>
      <c r="AK3796">
        <v>0</v>
      </c>
      <c r="AL3796">
        <v>0</v>
      </c>
      <c r="AM3796">
        <v>0</v>
      </c>
      <c r="AN3796">
        <v>0</v>
      </c>
      <c r="AO3796">
        <v>0</v>
      </c>
      <c r="AP3796">
        <v>0</v>
      </c>
      <c r="AQ3796">
        <v>21.38</v>
      </c>
      <c r="AR3796">
        <v>0</v>
      </c>
      <c r="AS3796">
        <v>0</v>
      </c>
      <c r="AT3796">
        <v>0</v>
      </c>
      <c r="AU3796">
        <v>0</v>
      </c>
      <c r="AV3796">
        <v>0</v>
      </c>
      <c r="AW3796">
        <v>0</v>
      </c>
      <c r="AX3796">
        <v>0</v>
      </c>
      <c r="AY3796">
        <v>0</v>
      </c>
      <c r="AZ3796">
        <v>0</v>
      </c>
      <c r="BA3796">
        <v>0</v>
      </c>
      <c r="BB3796">
        <v>0</v>
      </c>
      <c r="BC3796">
        <v>0</v>
      </c>
      <c r="BD3796">
        <v>0</v>
      </c>
      <c r="BE3796">
        <v>0</v>
      </c>
      <c r="BF3796">
        <v>0</v>
      </c>
      <c r="BG3796">
        <v>0</v>
      </c>
      <c r="BH3796">
        <v>1</v>
      </c>
      <c r="BI3796">
        <v>1</v>
      </c>
      <c r="BJ3796">
        <v>0.2</v>
      </c>
      <c r="BK3796">
        <v>1</v>
      </c>
      <c r="BL3796">
        <v>69.98</v>
      </c>
      <c r="BM3796">
        <v>10.5</v>
      </c>
      <c r="BN3796">
        <v>80.48</v>
      </c>
      <c r="BO3796">
        <v>80.48</v>
      </c>
      <c r="BQ3796" t="s">
        <v>1751</v>
      </c>
      <c r="BR3796" t="s">
        <v>84</v>
      </c>
      <c r="BS3796" s="3">
        <v>45806</v>
      </c>
      <c r="BT3796" s="4">
        <v>0.41805555555555557</v>
      </c>
      <c r="BU3796" t="s">
        <v>1752</v>
      </c>
      <c r="BV3796" t="s">
        <v>86</v>
      </c>
      <c r="BY3796">
        <v>1200</v>
      </c>
      <c r="CA3796" t="s">
        <v>271</v>
      </c>
      <c r="CC3796" t="s">
        <v>267</v>
      </c>
      <c r="CD3796">
        <v>6220</v>
      </c>
      <c r="CE3796" t="s">
        <v>88</v>
      </c>
      <c r="CF3796" s="3">
        <v>45806</v>
      </c>
      <c r="CI3796">
        <v>1</v>
      </c>
      <c r="CJ3796">
        <v>1</v>
      </c>
      <c r="CK3796">
        <v>21</v>
      </c>
      <c r="CL3796" t="s">
        <v>89</v>
      </c>
    </row>
    <row r="3797" spans="1:90" x14ac:dyDescent="0.3">
      <c r="A3797" t="s">
        <v>72</v>
      </c>
      <c r="B3797" t="s">
        <v>73</v>
      </c>
      <c r="C3797" t="s">
        <v>74</v>
      </c>
      <c r="E3797" t="str">
        <f>"080065625242"</f>
        <v>080065625242</v>
      </c>
      <c r="F3797" s="3">
        <v>45805</v>
      </c>
      <c r="G3797">
        <v>202602</v>
      </c>
      <c r="H3797" t="s">
        <v>75</v>
      </c>
      <c r="I3797" t="s">
        <v>76</v>
      </c>
      <c r="J3797" t="s">
        <v>77</v>
      </c>
      <c r="K3797" t="s">
        <v>78</v>
      </c>
      <c r="L3797" t="s">
        <v>463</v>
      </c>
      <c r="M3797" t="s">
        <v>464</v>
      </c>
      <c r="N3797" t="s">
        <v>744</v>
      </c>
      <c r="O3797" t="s">
        <v>82</v>
      </c>
      <c r="P3797" t="str">
        <f>"4170041280                    "</f>
        <v xml:space="preserve">4170041280                    </v>
      </c>
      <c r="Q3797">
        <v>0</v>
      </c>
      <c r="R3797">
        <v>0</v>
      </c>
      <c r="S3797">
        <v>0</v>
      </c>
      <c r="T3797">
        <v>0</v>
      </c>
      <c r="U3797">
        <v>0</v>
      </c>
      <c r="V3797">
        <v>0</v>
      </c>
      <c r="W3797">
        <v>0</v>
      </c>
      <c r="X3797">
        <v>0</v>
      </c>
      <c r="Y3797">
        <v>0</v>
      </c>
      <c r="Z3797">
        <v>0</v>
      </c>
      <c r="AA3797">
        <v>0</v>
      </c>
      <c r="AB3797">
        <v>0</v>
      </c>
      <c r="AC3797">
        <v>0</v>
      </c>
      <c r="AD3797">
        <v>0</v>
      </c>
      <c r="AE3797">
        <v>0</v>
      </c>
      <c r="AF3797">
        <v>0</v>
      </c>
      <c r="AG3797">
        <v>0</v>
      </c>
      <c r="AH3797">
        <v>0</v>
      </c>
      <c r="AI3797">
        <v>0</v>
      </c>
      <c r="AJ3797">
        <v>0</v>
      </c>
      <c r="AK3797">
        <v>0</v>
      </c>
      <c r="AL3797">
        <v>0</v>
      </c>
      <c r="AM3797">
        <v>0</v>
      </c>
      <c r="AN3797">
        <v>0</v>
      </c>
      <c r="AO3797">
        <v>0</v>
      </c>
      <c r="AP3797">
        <v>0</v>
      </c>
      <c r="AQ3797">
        <v>21.38</v>
      </c>
      <c r="AR3797">
        <v>0</v>
      </c>
      <c r="AS3797">
        <v>0</v>
      </c>
      <c r="AT3797">
        <v>0</v>
      </c>
      <c r="AU3797">
        <v>0</v>
      </c>
      <c r="AV3797">
        <v>0</v>
      </c>
      <c r="AW3797">
        <v>0</v>
      </c>
      <c r="AX3797">
        <v>0</v>
      </c>
      <c r="AY3797">
        <v>0</v>
      </c>
      <c r="AZ3797">
        <v>0</v>
      </c>
      <c r="BA3797">
        <v>0</v>
      </c>
      <c r="BB3797">
        <v>0</v>
      </c>
      <c r="BC3797">
        <v>0</v>
      </c>
      <c r="BD3797">
        <v>0</v>
      </c>
      <c r="BE3797">
        <v>0</v>
      </c>
      <c r="BF3797">
        <v>0</v>
      </c>
      <c r="BG3797">
        <v>0</v>
      </c>
      <c r="BH3797">
        <v>1</v>
      </c>
      <c r="BI3797">
        <v>1</v>
      </c>
      <c r="BJ3797">
        <v>0.2</v>
      </c>
      <c r="BK3797">
        <v>1</v>
      </c>
      <c r="BL3797">
        <v>69.98</v>
      </c>
      <c r="BM3797">
        <v>10.5</v>
      </c>
      <c r="BN3797">
        <v>80.48</v>
      </c>
      <c r="BO3797">
        <v>80.48</v>
      </c>
      <c r="BQ3797" t="s">
        <v>745</v>
      </c>
      <c r="BR3797" t="s">
        <v>84</v>
      </c>
      <c r="BS3797" s="3">
        <v>45806</v>
      </c>
      <c r="BT3797" s="4">
        <v>0.47430555555555554</v>
      </c>
      <c r="BU3797" t="s">
        <v>746</v>
      </c>
      <c r="BV3797" t="s">
        <v>89</v>
      </c>
      <c r="BY3797">
        <v>1200</v>
      </c>
      <c r="CA3797" t="s">
        <v>588</v>
      </c>
      <c r="CC3797" t="s">
        <v>464</v>
      </c>
      <c r="CD3797">
        <v>5201</v>
      </c>
      <c r="CE3797" t="s">
        <v>88</v>
      </c>
      <c r="CI3797">
        <v>1</v>
      </c>
      <c r="CJ3797">
        <v>1</v>
      </c>
      <c r="CK3797">
        <v>21</v>
      </c>
      <c r="CL3797" t="s">
        <v>89</v>
      </c>
    </row>
    <row r="3798" spans="1:90" x14ac:dyDescent="0.3">
      <c r="A3798" t="s">
        <v>72</v>
      </c>
      <c r="B3798" t="s">
        <v>73</v>
      </c>
      <c r="C3798" t="s">
        <v>74</v>
      </c>
      <c r="E3798" t="str">
        <f>"080065625255"</f>
        <v>080065625255</v>
      </c>
      <c r="F3798" s="3">
        <v>45805</v>
      </c>
      <c r="G3798">
        <v>202602</v>
      </c>
      <c r="H3798" t="s">
        <v>75</v>
      </c>
      <c r="I3798" t="s">
        <v>76</v>
      </c>
      <c r="J3798" t="s">
        <v>77</v>
      </c>
      <c r="K3798" t="s">
        <v>78</v>
      </c>
      <c r="L3798" t="s">
        <v>90</v>
      </c>
      <c r="M3798" t="s">
        <v>91</v>
      </c>
      <c r="N3798" t="s">
        <v>1211</v>
      </c>
      <c r="O3798" t="s">
        <v>82</v>
      </c>
      <c r="P3798" t="str">
        <f>"4170041279                    "</f>
        <v xml:space="preserve">4170041279                    </v>
      </c>
      <c r="Q3798">
        <v>0</v>
      </c>
      <c r="R3798">
        <v>0</v>
      </c>
      <c r="S3798">
        <v>0</v>
      </c>
      <c r="T3798">
        <v>0</v>
      </c>
      <c r="U3798">
        <v>0</v>
      </c>
      <c r="V3798">
        <v>0</v>
      </c>
      <c r="W3798">
        <v>0</v>
      </c>
      <c r="X3798">
        <v>0</v>
      </c>
      <c r="Y3798">
        <v>0</v>
      </c>
      <c r="Z3798">
        <v>0</v>
      </c>
      <c r="AA3798">
        <v>0</v>
      </c>
      <c r="AB3798">
        <v>0</v>
      </c>
      <c r="AC3798">
        <v>0</v>
      </c>
      <c r="AD3798">
        <v>0</v>
      </c>
      <c r="AE3798">
        <v>0</v>
      </c>
      <c r="AF3798">
        <v>0</v>
      </c>
      <c r="AG3798">
        <v>0</v>
      </c>
      <c r="AH3798">
        <v>0</v>
      </c>
      <c r="AI3798">
        <v>0</v>
      </c>
      <c r="AJ3798">
        <v>0</v>
      </c>
      <c r="AK3798">
        <v>0</v>
      </c>
      <c r="AL3798">
        <v>0</v>
      </c>
      <c r="AM3798">
        <v>0</v>
      </c>
      <c r="AN3798">
        <v>0</v>
      </c>
      <c r="AO3798">
        <v>0</v>
      </c>
      <c r="AP3798">
        <v>0</v>
      </c>
      <c r="AQ3798">
        <v>21.38</v>
      </c>
      <c r="AR3798">
        <v>0</v>
      </c>
      <c r="AS3798">
        <v>0</v>
      </c>
      <c r="AT3798">
        <v>0</v>
      </c>
      <c r="AU3798">
        <v>0</v>
      </c>
      <c r="AV3798">
        <v>0</v>
      </c>
      <c r="AW3798">
        <v>0</v>
      </c>
      <c r="AX3798">
        <v>0</v>
      </c>
      <c r="AY3798">
        <v>0</v>
      </c>
      <c r="AZ3798">
        <v>0</v>
      </c>
      <c r="BA3798">
        <v>0</v>
      </c>
      <c r="BB3798">
        <v>0</v>
      </c>
      <c r="BC3798">
        <v>0</v>
      </c>
      <c r="BD3798">
        <v>0</v>
      </c>
      <c r="BE3798">
        <v>0</v>
      </c>
      <c r="BF3798">
        <v>0</v>
      </c>
      <c r="BG3798">
        <v>0</v>
      </c>
      <c r="BH3798">
        <v>1</v>
      </c>
      <c r="BI3798">
        <v>1</v>
      </c>
      <c r="BJ3798">
        <v>0.2</v>
      </c>
      <c r="BK3798">
        <v>1</v>
      </c>
      <c r="BL3798">
        <v>69.98</v>
      </c>
      <c r="BM3798">
        <v>10.5</v>
      </c>
      <c r="BN3798">
        <v>80.48</v>
      </c>
      <c r="BO3798">
        <v>80.48</v>
      </c>
      <c r="BQ3798" t="s">
        <v>1212</v>
      </c>
      <c r="BR3798" t="s">
        <v>84</v>
      </c>
      <c r="BS3798" s="3">
        <v>45806</v>
      </c>
      <c r="BT3798" s="4">
        <v>0.40277777777777779</v>
      </c>
      <c r="BU3798" t="s">
        <v>2023</v>
      </c>
      <c r="BV3798" t="s">
        <v>86</v>
      </c>
      <c r="BY3798">
        <v>1200</v>
      </c>
      <c r="CA3798" t="s">
        <v>283</v>
      </c>
      <c r="CC3798" t="s">
        <v>91</v>
      </c>
      <c r="CD3798">
        <v>6012</v>
      </c>
      <c r="CE3798" t="s">
        <v>88</v>
      </c>
      <c r="CF3798" s="3">
        <v>45806</v>
      </c>
      <c r="CI3798">
        <v>1</v>
      </c>
      <c r="CJ3798">
        <v>1</v>
      </c>
      <c r="CK3798">
        <v>21</v>
      </c>
      <c r="CL3798" t="s">
        <v>89</v>
      </c>
    </row>
    <row r="3799" spans="1:90" x14ac:dyDescent="0.3">
      <c r="A3799" t="s">
        <v>72</v>
      </c>
      <c r="B3799" t="s">
        <v>73</v>
      </c>
      <c r="C3799" t="s">
        <v>74</v>
      </c>
      <c r="E3799" t="str">
        <f>"080065625264"</f>
        <v>080065625264</v>
      </c>
      <c r="F3799" s="3">
        <v>45805</v>
      </c>
      <c r="G3799">
        <v>202602</v>
      </c>
      <c r="H3799" t="s">
        <v>75</v>
      </c>
      <c r="I3799" t="s">
        <v>76</v>
      </c>
      <c r="J3799" t="s">
        <v>77</v>
      </c>
      <c r="K3799" t="s">
        <v>78</v>
      </c>
      <c r="L3799" t="s">
        <v>90</v>
      </c>
      <c r="M3799" t="s">
        <v>91</v>
      </c>
      <c r="N3799" t="s">
        <v>515</v>
      </c>
      <c r="O3799" t="s">
        <v>82</v>
      </c>
      <c r="P3799" t="str">
        <f>"4170041183                    "</f>
        <v xml:space="preserve">4170041183                    </v>
      </c>
      <c r="Q3799">
        <v>0</v>
      </c>
      <c r="R3799">
        <v>0</v>
      </c>
      <c r="S3799">
        <v>0</v>
      </c>
      <c r="T3799">
        <v>0</v>
      </c>
      <c r="U3799">
        <v>0</v>
      </c>
      <c r="V3799">
        <v>0</v>
      </c>
      <c r="W3799">
        <v>0</v>
      </c>
      <c r="X3799">
        <v>0</v>
      </c>
      <c r="Y3799">
        <v>0</v>
      </c>
      <c r="Z3799">
        <v>0</v>
      </c>
      <c r="AA3799">
        <v>0</v>
      </c>
      <c r="AB3799">
        <v>0</v>
      </c>
      <c r="AC3799">
        <v>0</v>
      </c>
      <c r="AD3799">
        <v>0</v>
      </c>
      <c r="AE3799">
        <v>0</v>
      </c>
      <c r="AF3799">
        <v>0</v>
      </c>
      <c r="AG3799">
        <v>0</v>
      </c>
      <c r="AH3799">
        <v>0</v>
      </c>
      <c r="AI3799">
        <v>0</v>
      </c>
      <c r="AJ3799">
        <v>0</v>
      </c>
      <c r="AK3799">
        <v>0</v>
      </c>
      <c r="AL3799">
        <v>0</v>
      </c>
      <c r="AM3799">
        <v>0</v>
      </c>
      <c r="AN3799">
        <v>0</v>
      </c>
      <c r="AO3799">
        <v>0</v>
      </c>
      <c r="AP3799">
        <v>0</v>
      </c>
      <c r="AQ3799">
        <v>21.38</v>
      </c>
      <c r="AR3799">
        <v>0</v>
      </c>
      <c r="AS3799">
        <v>0</v>
      </c>
      <c r="AT3799">
        <v>0</v>
      </c>
      <c r="AU3799">
        <v>0</v>
      </c>
      <c r="AV3799">
        <v>0</v>
      </c>
      <c r="AW3799">
        <v>0</v>
      </c>
      <c r="AX3799">
        <v>0</v>
      </c>
      <c r="AY3799">
        <v>0</v>
      </c>
      <c r="AZ3799">
        <v>0</v>
      </c>
      <c r="BA3799">
        <v>0</v>
      </c>
      <c r="BB3799">
        <v>0</v>
      </c>
      <c r="BC3799">
        <v>0</v>
      </c>
      <c r="BD3799">
        <v>0</v>
      </c>
      <c r="BE3799">
        <v>0</v>
      </c>
      <c r="BF3799">
        <v>0</v>
      </c>
      <c r="BG3799">
        <v>0</v>
      </c>
      <c r="BH3799">
        <v>1</v>
      </c>
      <c r="BI3799">
        <v>1</v>
      </c>
      <c r="BJ3799">
        <v>0.2</v>
      </c>
      <c r="BK3799">
        <v>1</v>
      </c>
      <c r="BL3799">
        <v>69.98</v>
      </c>
      <c r="BM3799">
        <v>10.5</v>
      </c>
      <c r="BN3799">
        <v>80.48</v>
      </c>
      <c r="BO3799">
        <v>80.48</v>
      </c>
      <c r="BQ3799" t="s">
        <v>516</v>
      </c>
      <c r="BR3799" t="s">
        <v>84</v>
      </c>
      <c r="BS3799" s="3">
        <v>45806</v>
      </c>
      <c r="BT3799" s="4">
        <v>0.38680555555555557</v>
      </c>
      <c r="BU3799" t="s">
        <v>2022</v>
      </c>
      <c r="BV3799" t="s">
        <v>86</v>
      </c>
      <c r="BY3799">
        <v>1200</v>
      </c>
      <c r="CA3799" t="s">
        <v>271</v>
      </c>
      <c r="CC3799" t="s">
        <v>91</v>
      </c>
      <c r="CD3799">
        <v>6001</v>
      </c>
      <c r="CE3799" t="s">
        <v>88</v>
      </c>
      <c r="CF3799" s="3">
        <v>45806</v>
      </c>
      <c r="CI3799">
        <v>1</v>
      </c>
      <c r="CJ3799">
        <v>1</v>
      </c>
      <c r="CK3799">
        <v>21</v>
      </c>
      <c r="CL3799" t="s">
        <v>89</v>
      </c>
    </row>
    <row r="3800" spans="1:90" x14ac:dyDescent="0.3">
      <c r="A3800" t="s">
        <v>72</v>
      </c>
      <c r="B3800" t="s">
        <v>73</v>
      </c>
      <c r="C3800" t="s">
        <v>74</v>
      </c>
      <c r="E3800" t="str">
        <f>"080065625272"</f>
        <v>080065625272</v>
      </c>
      <c r="F3800" s="3">
        <v>45805</v>
      </c>
      <c r="G3800">
        <v>202602</v>
      </c>
      <c r="H3800" t="s">
        <v>75</v>
      </c>
      <c r="I3800" t="s">
        <v>76</v>
      </c>
      <c r="J3800" t="s">
        <v>77</v>
      </c>
      <c r="K3800" t="s">
        <v>78</v>
      </c>
      <c r="L3800" t="s">
        <v>624</v>
      </c>
      <c r="M3800" t="s">
        <v>625</v>
      </c>
      <c r="N3800" t="s">
        <v>626</v>
      </c>
      <c r="O3800" t="s">
        <v>82</v>
      </c>
      <c r="P3800" t="str">
        <f>"4170041274                    "</f>
        <v xml:space="preserve">4170041274                    </v>
      </c>
      <c r="Q3800">
        <v>0</v>
      </c>
      <c r="R3800">
        <v>0</v>
      </c>
      <c r="S3800">
        <v>0</v>
      </c>
      <c r="T3800">
        <v>0</v>
      </c>
      <c r="U3800">
        <v>0</v>
      </c>
      <c r="V3800">
        <v>0</v>
      </c>
      <c r="W3800">
        <v>0</v>
      </c>
      <c r="X3800">
        <v>0</v>
      </c>
      <c r="Y3800">
        <v>0</v>
      </c>
      <c r="Z3800">
        <v>0</v>
      </c>
      <c r="AA3800">
        <v>0</v>
      </c>
      <c r="AB3800">
        <v>0</v>
      </c>
      <c r="AC3800">
        <v>0</v>
      </c>
      <c r="AD3800">
        <v>0</v>
      </c>
      <c r="AE3800">
        <v>0</v>
      </c>
      <c r="AF3800">
        <v>0</v>
      </c>
      <c r="AG3800">
        <v>0</v>
      </c>
      <c r="AH3800">
        <v>0</v>
      </c>
      <c r="AI3800">
        <v>0</v>
      </c>
      <c r="AJ3800">
        <v>0</v>
      </c>
      <c r="AK3800">
        <v>0</v>
      </c>
      <c r="AL3800">
        <v>0</v>
      </c>
      <c r="AM3800">
        <v>0</v>
      </c>
      <c r="AN3800">
        <v>0</v>
      </c>
      <c r="AO3800">
        <v>0</v>
      </c>
      <c r="AP3800">
        <v>0</v>
      </c>
      <c r="AQ3800">
        <v>41.43</v>
      </c>
      <c r="AR3800">
        <v>0</v>
      </c>
      <c r="AS3800">
        <v>0</v>
      </c>
      <c r="AT3800">
        <v>0</v>
      </c>
      <c r="AU3800">
        <v>0</v>
      </c>
      <c r="AV3800">
        <v>0</v>
      </c>
      <c r="AW3800">
        <v>0</v>
      </c>
      <c r="AX3800">
        <v>0</v>
      </c>
      <c r="AY3800">
        <v>0</v>
      </c>
      <c r="AZ3800">
        <v>0</v>
      </c>
      <c r="BA3800">
        <v>0</v>
      </c>
      <c r="BB3800">
        <v>0</v>
      </c>
      <c r="BC3800">
        <v>0</v>
      </c>
      <c r="BD3800">
        <v>0</v>
      </c>
      <c r="BE3800">
        <v>0</v>
      </c>
      <c r="BF3800">
        <v>0</v>
      </c>
      <c r="BG3800">
        <v>0</v>
      </c>
      <c r="BH3800">
        <v>1</v>
      </c>
      <c r="BI3800">
        <v>1</v>
      </c>
      <c r="BJ3800">
        <v>0.2</v>
      </c>
      <c r="BK3800">
        <v>1</v>
      </c>
      <c r="BL3800">
        <v>135.59</v>
      </c>
      <c r="BM3800">
        <v>20.34</v>
      </c>
      <c r="BN3800">
        <v>155.93</v>
      </c>
      <c r="BO3800">
        <v>155.93</v>
      </c>
      <c r="BQ3800" t="s">
        <v>627</v>
      </c>
      <c r="BR3800" t="s">
        <v>84</v>
      </c>
      <c r="BS3800" s="3">
        <v>45806</v>
      </c>
      <c r="BT3800" s="4">
        <v>0.33194444444444443</v>
      </c>
      <c r="BU3800" t="s">
        <v>1674</v>
      </c>
      <c r="BV3800" t="s">
        <v>86</v>
      </c>
      <c r="BY3800">
        <v>1200</v>
      </c>
      <c r="CC3800" t="s">
        <v>625</v>
      </c>
      <c r="CD3800">
        <v>1947</v>
      </c>
      <c r="CE3800" t="s">
        <v>1193</v>
      </c>
      <c r="CF3800" s="3">
        <v>45806</v>
      </c>
      <c r="CI3800">
        <v>1</v>
      </c>
      <c r="CJ3800">
        <v>1</v>
      </c>
      <c r="CK3800">
        <v>23</v>
      </c>
      <c r="CL3800" t="s">
        <v>89</v>
      </c>
    </row>
    <row r="3801" spans="1:90" x14ac:dyDescent="0.3">
      <c r="A3801" t="s">
        <v>72</v>
      </c>
      <c r="B3801" t="s">
        <v>73</v>
      </c>
      <c r="C3801" t="s">
        <v>74</v>
      </c>
      <c r="E3801" t="str">
        <f>"080065625302"</f>
        <v>080065625302</v>
      </c>
      <c r="F3801" s="3">
        <v>45805</v>
      </c>
      <c r="G3801">
        <v>202602</v>
      </c>
      <c r="H3801" t="s">
        <v>75</v>
      </c>
      <c r="I3801" t="s">
        <v>76</v>
      </c>
      <c r="J3801" t="s">
        <v>77</v>
      </c>
      <c r="K3801" t="s">
        <v>78</v>
      </c>
      <c r="L3801" t="s">
        <v>1503</v>
      </c>
      <c r="M3801" t="s">
        <v>1504</v>
      </c>
      <c r="N3801" t="s">
        <v>1505</v>
      </c>
      <c r="O3801" t="s">
        <v>82</v>
      </c>
      <c r="P3801" t="str">
        <f>"4170041264                    "</f>
        <v xml:space="preserve">4170041264                    </v>
      </c>
      <c r="Q3801">
        <v>0</v>
      </c>
      <c r="R3801">
        <v>0</v>
      </c>
      <c r="S3801">
        <v>0</v>
      </c>
      <c r="T3801">
        <v>0</v>
      </c>
      <c r="U3801">
        <v>0</v>
      </c>
      <c r="V3801">
        <v>0</v>
      </c>
      <c r="W3801">
        <v>0</v>
      </c>
      <c r="X3801">
        <v>0</v>
      </c>
      <c r="Y3801">
        <v>0</v>
      </c>
      <c r="Z3801">
        <v>0</v>
      </c>
      <c r="AA3801">
        <v>0</v>
      </c>
      <c r="AB3801">
        <v>0</v>
      </c>
      <c r="AC3801">
        <v>0</v>
      </c>
      <c r="AD3801">
        <v>0</v>
      </c>
      <c r="AE3801">
        <v>0</v>
      </c>
      <c r="AF3801">
        <v>0</v>
      </c>
      <c r="AG3801">
        <v>0</v>
      </c>
      <c r="AH3801">
        <v>0</v>
      </c>
      <c r="AI3801">
        <v>0</v>
      </c>
      <c r="AJ3801">
        <v>0</v>
      </c>
      <c r="AK3801">
        <v>0</v>
      </c>
      <c r="AL3801">
        <v>0</v>
      </c>
      <c r="AM3801">
        <v>0</v>
      </c>
      <c r="AN3801">
        <v>0</v>
      </c>
      <c r="AO3801">
        <v>0</v>
      </c>
      <c r="AP3801">
        <v>0</v>
      </c>
      <c r="AQ3801">
        <v>41.43</v>
      </c>
      <c r="AR3801">
        <v>0</v>
      </c>
      <c r="AS3801">
        <v>0</v>
      </c>
      <c r="AT3801">
        <v>0</v>
      </c>
      <c r="AU3801">
        <v>0</v>
      </c>
      <c r="AV3801">
        <v>0</v>
      </c>
      <c r="AW3801">
        <v>0</v>
      </c>
      <c r="AX3801">
        <v>0</v>
      </c>
      <c r="AY3801">
        <v>0</v>
      </c>
      <c r="AZ3801">
        <v>0</v>
      </c>
      <c r="BA3801">
        <v>0</v>
      </c>
      <c r="BB3801">
        <v>0</v>
      </c>
      <c r="BC3801">
        <v>0</v>
      </c>
      <c r="BD3801">
        <v>0</v>
      </c>
      <c r="BE3801">
        <v>0</v>
      </c>
      <c r="BF3801">
        <v>0</v>
      </c>
      <c r="BG3801">
        <v>0</v>
      </c>
      <c r="BH3801">
        <v>1</v>
      </c>
      <c r="BI3801">
        <v>1</v>
      </c>
      <c r="BJ3801">
        <v>0.2</v>
      </c>
      <c r="BK3801">
        <v>1</v>
      </c>
      <c r="BL3801">
        <v>135.59</v>
      </c>
      <c r="BM3801">
        <v>20.34</v>
      </c>
      <c r="BN3801">
        <v>155.93</v>
      </c>
      <c r="BO3801">
        <v>155.93</v>
      </c>
      <c r="BQ3801" t="s">
        <v>1506</v>
      </c>
      <c r="BR3801" t="s">
        <v>84</v>
      </c>
      <c r="BS3801" s="3">
        <v>45806</v>
      </c>
      <c r="BT3801" s="4">
        <v>0.64722222222222225</v>
      </c>
      <c r="BU3801" t="s">
        <v>1507</v>
      </c>
      <c r="BV3801" t="s">
        <v>86</v>
      </c>
      <c r="BY3801">
        <v>1200</v>
      </c>
      <c r="CA3801" t="s">
        <v>2585</v>
      </c>
      <c r="CC3801" t="s">
        <v>1504</v>
      </c>
      <c r="CD3801">
        <v>4339</v>
      </c>
      <c r="CE3801" t="s">
        <v>3414</v>
      </c>
      <c r="CF3801" s="3">
        <v>45807</v>
      </c>
      <c r="CI3801">
        <v>1</v>
      </c>
      <c r="CJ3801">
        <v>1</v>
      </c>
      <c r="CK3801">
        <v>23</v>
      </c>
      <c r="CL3801" t="s">
        <v>89</v>
      </c>
    </row>
    <row r="3802" spans="1:90" x14ac:dyDescent="0.3">
      <c r="A3802" t="s">
        <v>72</v>
      </c>
      <c r="B3802" t="s">
        <v>73</v>
      </c>
      <c r="C3802" t="s">
        <v>74</v>
      </c>
      <c r="E3802" t="str">
        <f>"080065625320"</f>
        <v>080065625320</v>
      </c>
      <c r="F3802" s="3">
        <v>45805</v>
      </c>
      <c r="G3802">
        <v>202602</v>
      </c>
      <c r="H3802" t="s">
        <v>75</v>
      </c>
      <c r="I3802" t="s">
        <v>76</v>
      </c>
      <c r="J3802" t="s">
        <v>77</v>
      </c>
      <c r="K3802" t="s">
        <v>78</v>
      </c>
      <c r="L3802" t="s">
        <v>75</v>
      </c>
      <c r="M3802" t="s">
        <v>76</v>
      </c>
      <c r="N3802" t="s">
        <v>183</v>
      </c>
      <c r="O3802" t="s">
        <v>82</v>
      </c>
      <c r="P3802" t="str">
        <f>"4170041139                    "</f>
        <v xml:space="preserve">4170041139                    </v>
      </c>
      <c r="Q3802">
        <v>0</v>
      </c>
      <c r="R3802">
        <v>0</v>
      </c>
      <c r="S3802">
        <v>0</v>
      </c>
      <c r="T3802">
        <v>0</v>
      </c>
      <c r="U3802">
        <v>0</v>
      </c>
      <c r="V3802">
        <v>0</v>
      </c>
      <c r="W3802">
        <v>0</v>
      </c>
      <c r="X3802">
        <v>0</v>
      </c>
      <c r="Y3802">
        <v>0</v>
      </c>
      <c r="Z3802">
        <v>0</v>
      </c>
      <c r="AA3802">
        <v>0</v>
      </c>
      <c r="AB3802">
        <v>0</v>
      </c>
      <c r="AC3802">
        <v>0</v>
      </c>
      <c r="AD3802">
        <v>0</v>
      </c>
      <c r="AE3802">
        <v>0</v>
      </c>
      <c r="AF3802">
        <v>0</v>
      </c>
      <c r="AG3802">
        <v>0</v>
      </c>
      <c r="AH3802">
        <v>0</v>
      </c>
      <c r="AI3802">
        <v>0</v>
      </c>
      <c r="AJ3802">
        <v>0</v>
      </c>
      <c r="AK3802">
        <v>0</v>
      </c>
      <c r="AL3802">
        <v>0</v>
      </c>
      <c r="AM3802">
        <v>0</v>
      </c>
      <c r="AN3802">
        <v>0</v>
      </c>
      <c r="AO3802">
        <v>0</v>
      </c>
      <c r="AP3802">
        <v>0</v>
      </c>
      <c r="AQ3802">
        <v>16.7</v>
      </c>
      <c r="AR3802">
        <v>0</v>
      </c>
      <c r="AS3802">
        <v>0</v>
      </c>
      <c r="AT3802">
        <v>0</v>
      </c>
      <c r="AU3802">
        <v>0</v>
      </c>
      <c r="AV3802">
        <v>0</v>
      </c>
      <c r="AW3802">
        <v>0</v>
      </c>
      <c r="AX3802">
        <v>0</v>
      </c>
      <c r="AY3802">
        <v>0</v>
      </c>
      <c r="AZ3802">
        <v>0</v>
      </c>
      <c r="BA3802">
        <v>0</v>
      </c>
      <c r="BB3802">
        <v>0</v>
      </c>
      <c r="BC3802">
        <v>0</v>
      </c>
      <c r="BD3802">
        <v>0</v>
      </c>
      <c r="BE3802">
        <v>0</v>
      </c>
      <c r="BF3802">
        <v>0</v>
      </c>
      <c r="BG3802">
        <v>0</v>
      </c>
      <c r="BH3802">
        <v>1</v>
      </c>
      <c r="BI3802">
        <v>1</v>
      </c>
      <c r="BJ3802">
        <v>0.2</v>
      </c>
      <c r="BK3802">
        <v>1</v>
      </c>
      <c r="BL3802">
        <v>54.66</v>
      </c>
      <c r="BM3802">
        <v>8.1999999999999993</v>
      </c>
      <c r="BN3802">
        <v>62.86</v>
      </c>
      <c r="BO3802">
        <v>62.86</v>
      </c>
      <c r="BQ3802" t="s">
        <v>184</v>
      </c>
      <c r="BR3802" t="s">
        <v>84</v>
      </c>
      <c r="BS3802" s="3">
        <v>45806</v>
      </c>
      <c r="BT3802" s="4">
        <v>0.31944444444444442</v>
      </c>
      <c r="BU3802" t="s">
        <v>3415</v>
      </c>
      <c r="BV3802" t="s">
        <v>86</v>
      </c>
      <c r="BY3802">
        <v>1200</v>
      </c>
      <c r="CA3802" t="s">
        <v>115</v>
      </c>
      <c r="CC3802" t="s">
        <v>76</v>
      </c>
      <c r="CD3802">
        <v>1600</v>
      </c>
      <c r="CE3802" t="s">
        <v>88</v>
      </c>
      <c r="CF3802" s="3">
        <v>45807</v>
      </c>
      <c r="CI3802">
        <v>1</v>
      </c>
      <c r="CJ3802">
        <v>1</v>
      </c>
      <c r="CK3802">
        <v>22</v>
      </c>
      <c r="CL3802" t="s">
        <v>89</v>
      </c>
    </row>
    <row r="3803" spans="1:90" x14ac:dyDescent="0.3">
      <c r="A3803" t="s">
        <v>72</v>
      </c>
      <c r="B3803" t="s">
        <v>73</v>
      </c>
      <c r="C3803" t="s">
        <v>74</v>
      </c>
      <c r="E3803" t="str">
        <f>"080065625329"</f>
        <v>080065625329</v>
      </c>
      <c r="F3803" s="3">
        <v>45805</v>
      </c>
      <c r="G3803">
        <v>202602</v>
      </c>
      <c r="H3803" t="s">
        <v>75</v>
      </c>
      <c r="I3803" t="s">
        <v>76</v>
      </c>
      <c r="J3803" t="s">
        <v>77</v>
      </c>
      <c r="K3803" t="s">
        <v>78</v>
      </c>
      <c r="L3803" t="s">
        <v>97</v>
      </c>
      <c r="M3803" t="s">
        <v>98</v>
      </c>
      <c r="N3803" t="s">
        <v>1284</v>
      </c>
      <c r="O3803" t="s">
        <v>82</v>
      </c>
      <c r="P3803" t="str">
        <f>"4170041266                    "</f>
        <v xml:space="preserve">4170041266                    </v>
      </c>
      <c r="Q3803">
        <v>0</v>
      </c>
      <c r="R3803">
        <v>0</v>
      </c>
      <c r="S3803">
        <v>0</v>
      </c>
      <c r="T3803">
        <v>0</v>
      </c>
      <c r="U3803">
        <v>0</v>
      </c>
      <c r="V3803">
        <v>0</v>
      </c>
      <c r="W3803">
        <v>0</v>
      </c>
      <c r="X3803">
        <v>0</v>
      </c>
      <c r="Y3803">
        <v>0</v>
      </c>
      <c r="Z3803">
        <v>0</v>
      </c>
      <c r="AA3803">
        <v>0</v>
      </c>
      <c r="AB3803">
        <v>0</v>
      </c>
      <c r="AC3803">
        <v>0</v>
      </c>
      <c r="AD3803">
        <v>0</v>
      </c>
      <c r="AE3803">
        <v>0</v>
      </c>
      <c r="AF3803">
        <v>0</v>
      </c>
      <c r="AG3803">
        <v>0</v>
      </c>
      <c r="AH3803">
        <v>0</v>
      </c>
      <c r="AI3803">
        <v>0</v>
      </c>
      <c r="AJ3803">
        <v>0</v>
      </c>
      <c r="AK3803">
        <v>0</v>
      </c>
      <c r="AL3803">
        <v>0</v>
      </c>
      <c r="AM3803">
        <v>0</v>
      </c>
      <c r="AN3803">
        <v>0</v>
      </c>
      <c r="AO3803">
        <v>0</v>
      </c>
      <c r="AP3803">
        <v>0</v>
      </c>
      <c r="AQ3803">
        <v>16.7</v>
      </c>
      <c r="AR3803">
        <v>0</v>
      </c>
      <c r="AS3803">
        <v>0</v>
      </c>
      <c r="AT3803">
        <v>0</v>
      </c>
      <c r="AU3803">
        <v>0</v>
      </c>
      <c r="AV3803">
        <v>0</v>
      </c>
      <c r="AW3803">
        <v>0</v>
      </c>
      <c r="AX3803">
        <v>0</v>
      </c>
      <c r="AY3803">
        <v>0</v>
      </c>
      <c r="AZ3803">
        <v>0</v>
      </c>
      <c r="BA3803">
        <v>0</v>
      </c>
      <c r="BB3803">
        <v>0</v>
      </c>
      <c r="BC3803">
        <v>0</v>
      </c>
      <c r="BD3803">
        <v>0</v>
      </c>
      <c r="BE3803">
        <v>0</v>
      </c>
      <c r="BF3803">
        <v>0</v>
      </c>
      <c r="BG3803">
        <v>0</v>
      </c>
      <c r="BH3803">
        <v>1</v>
      </c>
      <c r="BI3803">
        <v>1</v>
      </c>
      <c r="BJ3803">
        <v>0.2</v>
      </c>
      <c r="BK3803">
        <v>1</v>
      </c>
      <c r="BL3803">
        <v>54.66</v>
      </c>
      <c r="BM3803">
        <v>8.1999999999999993</v>
      </c>
      <c r="BN3803">
        <v>62.86</v>
      </c>
      <c r="BO3803">
        <v>62.86</v>
      </c>
      <c r="BQ3803" t="s">
        <v>1285</v>
      </c>
      <c r="BR3803" t="s">
        <v>84</v>
      </c>
      <c r="BS3803" s="3">
        <v>45806</v>
      </c>
      <c r="BT3803" s="4">
        <v>0.35208333333333336</v>
      </c>
      <c r="BU3803" t="s">
        <v>1346</v>
      </c>
      <c r="BV3803" t="s">
        <v>86</v>
      </c>
      <c r="BY3803">
        <v>1200</v>
      </c>
      <c r="CA3803" t="s">
        <v>175</v>
      </c>
      <c r="CC3803" t="s">
        <v>98</v>
      </c>
      <c r="CD3803">
        <v>1459</v>
      </c>
      <c r="CE3803" t="s">
        <v>88</v>
      </c>
      <c r="CF3803" s="3">
        <v>45806</v>
      </c>
      <c r="CI3803">
        <v>1</v>
      </c>
      <c r="CJ3803">
        <v>1</v>
      </c>
      <c r="CK3803">
        <v>22</v>
      </c>
      <c r="CL3803" t="s">
        <v>89</v>
      </c>
    </row>
    <row r="3804" spans="1:90" x14ac:dyDescent="0.3">
      <c r="A3804" t="s">
        <v>72</v>
      </c>
      <c r="B3804" t="s">
        <v>73</v>
      </c>
      <c r="C3804" t="s">
        <v>74</v>
      </c>
      <c r="E3804" t="str">
        <f>"080065625347"</f>
        <v>080065625347</v>
      </c>
      <c r="F3804" s="3">
        <v>45805</v>
      </c>
      <c r="G3804">
        <v>202602</v>
      </c>
      <c r="H3804" t="s">
        <v>75</v>
      </c>
      <c r="I3804" t="s">
        <v>76</v>
      </c>
      <c r="J3804" t="s">
        <v>77</v>
      </c>
      <c r="K3804" t="s">
        <v>78</v>
      </c>
      <c r="L3804" t="s">
        <v>79</v>
      </c>
      <c r="M3804" t="s">
        <v>80</v>
      </c>
      <c r="N3804" t="s">
        <v>2737</v>
      </c>
      <c r="O3804" t="s">
        <v>82</v>
      </c>
      <c r="P3804" t="str">
        <f>"4170041265                    "</f>
        <v xml:space="preserve">4170041265                    </v>
      </c>
      <c r="Q3804">
        <v>0</v>
      </c>
      <c r="R3804">
        <v>0</v>
      </c>
      <c r="S3804">
        <v>0</v>
      </c>
      <c r="T3804">
        <v>0</v>
      </c>
      <c r="U3804">
        <v>0</v>
      </c>
      <c r="V3804">
        <v>0</v>
      </c>
      <c r="W3804">
        <v>0</v>
      </c>
      <c r="X3804">
        <v>0</v>
      </c>
      <c r="Y3804">
        <v>0</v>
      </c>
      <c r="Z3804">
        <v>0</v>
      </c>
      <c r="AA3804">
        <v>0</v>
      </c>
      <c r="AB3804">
        <v>0</v>
      </c>
      <c r="AC3804">
        <v>0</v>
      </c>
      <c r="AD3804">
        <v>0</v>
      </c>
      <c r="AE3804">
        <v>0</v>
      </c>
      <c r="AF3804">
        <v>0</v>
      </c>
      <c r="AG3804">
        <v>0</v>
      </c>
      <c r="AH3804">
        <v>0</v>
      </c>
      <c r="AI3804">
        <v>0</v>
      </c>
      <c r="AJ3804">
        <v>0</v>
      </c>
      <c r="AK3804">
        <v>0</v>
      </c>
      <c r="AL3804">
        <v>0</v>
      </c>
      <c r="AM3804">
        <v>0</v>
      </c>
      <c r="AN3804">
        <v>0</v>
      </c>
      <c r="AO3804">
        <v>0</v>
      </c>
      <c r="AP3804">
        <v>0</v>
      </c>
      <c r="AQ3804">
        <v>21.38</v>
      </c>
      <c r="AR3804">
        <v>0</v>
      </c>
      <c r="AS3804">
        <v>0</v>
      </c>
      <c r="AT3804">
        <v>0</v>
      </c>
      <c r="AU3804">
        <v>0</v>
      </c>
      <c r="AV3804">
        <v>0</v>
      </c>
      <c r="AW3804">
        <v>0</v>
      </c>
      <c r="AX3804">
        <v>0</v>
      </c>
      <c r="AY3804">
        <v>0</v>
      </c>
      <c r="AZ3804">
        <v>0</v>
      </c>
      <c r="BA3804">
        <v>0</v>
      </c>
      <c r="BB3804">
        <v>0</v>
      </c>
      <c r="BC3804">
        <v>0</v>
      </c>
      <c r="BD3804">
        <v>0</v>
      </c>
      <c r="BE3804">
        <v>0</v>
      </c>
      <c r="BF3804">
        <v>0</v>
      </c>
      <c r="BG3804">
        <v>0</v>
      </c>
      <c r="BH3804">
        <v>1</v>
      </c>
      <c r="BI3804">
        <v>1</v>
      </c>
      <c r="BJ3804">
        <v>0.2</v>
      </c>
      <c r="BK3804">
        <v>1</v>
      </c>
      <c r="BL3804">
        <v>69.98</v>
      </c>
      <c r="BM3804">
        <v>10.5</v>
      </c>
      <c r="BN3804">
        <v>80.48</v>
      </c>
      <c r="BO3804">
        <v>80.48</v>
      </c>
      <c r="BQ3804" t="s">
        <v>2738</v>
      </c>
      <c r="BR3804" t="s">
        <v>84</v>
      </c>
      <c r="BS3804" s="3">
        <v>45806</v>
      </c>
      <c r="BT3804" s="4">
        <v>0.40972222222222221</v>
      </c>
      <c r="BU3804" t="s">
        <v>2739</v>
      </c>
      <c r="BV3804" t="s">
        <v>86</v>
      </c>
      <c r="BY3804">
        <v>1200</v>
      </c>
      <c r="CA3804" t="s">
        <v>160</v>
      </c>
      <c r="CC3804" t="s">
        <v>80</v>
      </c>
      <c r="CD3804">
        <v>3610</v>
      </c>
      <c r="CE3804" t="s">
        <v>1193</v>
      </c>
      <c r="CF3804" s="3">
        <v>45807</v>
      </c>
      <c r="CI3804">
        <v>1</v>
      </c>
      <c r="CJ3804">
        <v>1</v>
      </c>
      <c r="CK3804">
        <v>21</v>
      </c>
      <c r="CL3804" t="s">
        <v>89</v>
      </c>
    </row>
    <row r="3805" spans="1:90" x14ac:dyDescent="0.3">
      <c r="A3805" t="s">
        <v>72</v>
      </c>
      <c r="B3805" t="s">
        <v>73</v>
      </c>
      <c r="C3805" t="s">
        <v>74</v>
      </c>
      <c r="E3805" t="str">
        <f>"080065625391"</f>
        <v>080065625391</v>
      </c>
      <c r="F3805" s="3">
        <v>45805</v>
      </c>
      <c r="G3805">
        <v>202602</v>
      </c>
      <c r="H3805" t="s">
        <v>75</v>
      </c>
      <c r="I3805" t="s">
        <v>76</v>
      </c>
      <c r="J3805" t="s">
        <v>77</v>
      </c>
      <c r="K3805" t="s">
        <v>78</v>
      </c>
      <c r="L3805" t="s">
        <v>130</v>
      </c>
      <c r="M3805" t="s">
        <v>131</v>
      </c>
      <c r="N3805" t="s">
        <v>709</v>
      </c>
      <c r="O3805" t="s">
        <v>82</v>
      </c>
      <c r="P3805" t="str">
        <f>"4170041099                    "</f>
        <v xml:space="preserve">4170041099                    </v>
      </c>
      <c r="Q3805">
        <v>0</v>
      </c>
      <c r="R3805">
        <v>0</v>
      </c>
      <c r="S3805">
        <v>0</v>
      </c>
      <c r="T3805">
        <v>0</v>
      </c>
      <c r="U3805">
        <v>0</v>
      </c>
      <c r="V3805">
        <v>0</v>
      </c>
      <c r="W3805">
        <v>0</v>
      </c>
      <c r="X3805">
        <v>0</v>
      </c>
      <c r="Y3805">
        <v>0</v>
      </c>
      <c r="Z3805">
        <v>0</v>
      </c>
      <c r="AA3805">
        <v>0</v>
      </c>
      <c r="AB3805">
        <v>0</v>
      </c>
      <c r="AC3805">
        <v>0</v>
      </c>
      <c r="AD3805">
        <v>0</v>
      </c>
      <c r="AE3805">
        <v>0</v>
      </c>
      <c r="AF3805">
        <v>0</v>
      </c>
      <c r="AG3805">
        <v>0</v>
      </c>
      <c r="AH3805">
        <v>0</v>
      </c>
      <c r="AI3805">
        <v>0</v>
      </c>
      <c r="AJ3805">
        <v>0</v>
      </c>
      <c r="AK3805">
        <v>0</v>
      </c>
      <c r="AL3805">
        <v>0</v>
      </c>
      <c r="AM3805">
        <v>0</v>
      </c>
      <c r="AN3805">
        <v>0</v>
      </c>
      <c r="AO3805">
        <v>0</v>
      </c>
      <c r="AP3805">
        <v>0</v>
      </c>
      <c r="AQ3805">
        <v>21.38</v>
      </c>
      <c r="AR3805">
        <v>0</v>
      </c>
      <c r="AS3805">
        <v>0</v>
      </c>
      <c r="AT3805">
        <v>0</v>
      </c>
      <c r="AU3805">
        <v>0</v>
      </c>
      <c r="AV3805">
        <v>0</v>
      </c>
      <c r="AW3805">
        <v>0</v>
      </c>
      <c r="AX3805">
        <v>0</v>
      </c>
      <c r="AY3805">
        <v>0</v>
      </c>
      <c r="AZ3805">
        <v>0</v>
      </c>
      <c r="BA3805">
        <v>0</v>
      </c>
      <c r="BB3805">
        <v>0</v>
      </c>
      <c r="BC3805">
        <v>0</v>
      </c>
      <c r="BD3805">
        <v>0</v>
      </c>
      <c r="BE3805">
        <v>0</v>
      </c>
      <c r="BF3805">
        <v>0</v>
      </c>
      <c r="BG3805">
        <v>0</v>
      </c>
      <c r="BH3805">
        <v>1</v>
      </c>
      <c r="BI3805">
        <v>1</v>
      </c>
      <c r="BJ3805">
        <v>0.2</v>
      </c>
      <c r="BK3805">
        <v>1</v>
      </c>
      <c r="BL3805">
        <v>69.98</v>
      </c>
      <c r="BM3805">
        <v>10.5</v>
      </c>
      <c r="BN3805">
        <v>80.48</v>
      </c>
      <c r="BO3805">
        <v>80.48</v>
      </c>
      <c r="BQ3805" t="s">
        <v>710</v>
      </c>
      <c r="BR3805" t="s">
        <v>84</v>
      </c>
      <c r="BS3805" s="3">
        <v>45806</v>
      </c>
      <c r="BT3805" s="4">
        <v>0.32777777777777778</v>
      </c>
      <c r="BU3805" t="s">
        <v>2905</v>
      </c>
      <c r="BV3805" t="s">
        <v>86</v>
      </c>
      <c r="BY3805">
        <v>1200</v>
      </c>
      <c r="CA3805" t="s">
        <v>712</v>
      </c>
      <c r="CC3805" t="s">
        <v>131</v>
      </c>
      <c r="CD3805">
        <v>7530</v>
      </c>
      <c r="CE3805" t="s">
        <v>1193</v>
      </c>
      <c r="CI3805">
        <v>1</v>
      </c>
      <c r="CJ3805">
        <v>1</v>
      </c>
      <c r="CK3805">
        <v>21</v>
      </c>
      <c r="CL3805" t="s">
        <v>89</v>
      </c>
    </row>
    <row r="3806" spans="1:90" x14ac:dyDescent="0.3">
      <c r="A3806" t="s">
        <v>72</v>
      </c>
      <c r="B3806" t="s">
        <v>73</v>
      </c>
      <c r="C3806" t="s">
        <v>74</v>
      </c>
      <c r="E3806" t="str">
        <f>"080065625409"</f>
        <v>080065625409</v>
      </c>
      <c r="F3806" s="3">
        <v>45805</v>
      </c>
      <c r="G3806">
        <v>202602</v>
      </c>
      <c r="H3806" t="s">
        <v>75</v>
      </c>
      <c r="I3806" t="s">
        <v>76</v>
      </c>
      <c r="J3806" t="s">
        <v>77</v>
      </c>
      <c r="K3806" t="s">
        <v>78</v>
      </c>
      <c r="L3806" t="s">
        <v>75</v>
      </c>
      <c r="M3806" t="s">
        <v>76</v>
      </c>
      <c r="N3806" t="s">
        <v>390</v>
      </c>
      <c r="O3806" t="s">
        <v>82</v>
      </c>
      <c r="P3806" t="str">
        <f>"4170041281                    "</f>
        <v xml:space="preserve">4170041281                    </v>
      </c>
      <c r="Q3806">
        <v>0</v>
      </c>
      <c r="R3806">
        <v>0</v>
      </c>
      <c r="S3806">
        <v>0</v>
      </c>
      <c r="T3806">
        <v>0</v>
      </c>
      <c r="U3806">
        <v>0</v>
      </c>
      <c r="V3806">
        <v>0</v>
      </c>
      <c r="W3806">
        <v>0</v>
      </c>
      <c r="X3806">
        <v>0</v>
      </c>
      <c r="Y3806">
        <v>0</v>
      </c>
      <c r="Z3806">
        <v>0</v>
      </c>
      <c r="AA3806">
        <v>0</v>
      </c>
      <c r="AB3806">
        <v>0</v>
      </c>
      <c r="AC3806">
        <v>0</v>
      </c>
      <c r="AD3806">
        <v>0</v>
      </c>
      <c r="AE3806">
        <v>0</v>
      </c>
      <c r="AF3806">
        <v>0</v>
      </c>
      <c r="AG3806">
        <v>0</v>
      </c>
      <c r="AH3806">
        <v>0</v>
      </c>
      <c r="AI3806">
        <v>0</v>
      </c>
      <c r="AJ3806">
        <v>0</v>
      </c>
      <c r="AK3806">
        <v>0</v>
      </c>
      <c r="AL3806">
        <v>0</v>
      </c>
      <c r="AM3806">
        <v>0</v>
      </c>
      <c r="AN3806">
        <v>0</v>
      </c>
      <c r="AO3806">
        <v>0</v>
      </c>
      <c r="AP3806">
        <v>0</v>
      </c>
      <c r="AQ3806">
        <v>16.7</v>
      </c>
      <c r="AR3806">
        <v>0</v>
      </c>
      <c r="AS3806">
        <v>0</v>
      </c>
      <c r="AT3806">
        <v>0</v>
      </c>
      <c r="AU3806">
        <v>0</v>
      </c>
      <c r="AV3806">
        <v>0</v>
      </c>
      <c r="AW3806">
        <v>0</v>
      </c>
      <c r="AX3806">
        <v>0</v>
      </c>
      <c r="AY3806">
        <v>0</v>
      </c>
      <c r="AZ3806">
        <v>0</v>
      </c>
      <c r="BA3806">
        <v>0</v>
      </c>
      <c r="BB3806">
        <v>0</v>
      </c>
      <c r="BC3806">
        <v>0</v>
      </c>
      <c r="BD3806">
        <v>0</v>
      </c>
      <c r="BE3806">
        <v>0</v>
      </c>
      <c r="BF3806">
        <v>0</v>
      </c>
      <c r="BG3806">
        <v>0</v>
      </c>
      <c r="BH3806">
        <v>1</v>
      </c>
      <c r="BI3806">
        <v>4</v>
      </c>
      <c r="BJ3806">
        <v>1.4</v>
      </c>
      <c r="BK3806">
        <v>4</v>
      </c>
      <c r="BL3806">
        <v>54.66</v>
      </c>
      <c r="BM3806">
        <v>8.1999999999999993</v>
      </c>
      <c r="BN3806">
        <v>62.86</v>
      </c>
      <c r="BO3806">
        <v>62.86</v>
      </c>
      <c r="BQ3806" t="s">
        <v>391</v>
      </c>
      <c r="BR3806" t="s">
        <v>84</v>
      </c>
      <c r="BS3806" s="3">
        <v>45806</v>
      </c>
      <c r="BT3806" s="4">
        <v>0.3611111111111111</v>
      </c>
      <c r="BU3806" t="s">
        <v>2078</v>
      </c>
      <c r="BV3806" t="s">
        <v>86</v>
      </c>
      <c r="BY3806">
        <v>7000</v>
      </c>
      <c r="CA3806" t="s">
        <v>115</v>
      </c>
      <c r="CC3806" t="s">
        <v>76</v>
      </c>
      <c r="CD3806">
        <v>1600</v>
      </c>
      <c r="CE3806" t="s">
        <v>96</v>
      </c>
      <c r="CF3806" s="3">
        <v>45807</v>
      </c>
      <c r="CI3806">
        <v>1</v>
      </c>
      <c r="CJ3806">
        <v>1</v>
      </c>
      <c r="CK3806">
        <v>22</v>
      </c>
      <c r="CL3806" t="s">
        <v>89</v>
      </c>
    </row>
    <row r="3807" spans="1:90" x14ac:dyDescent="0.3">
      <c r="A3807" t="s">
        <v>72</v>
      </c>
      <c r="B3807" t="s">
        <v>73</v>
      </c>
      <c r="C3807" t="s">
        <v>74</v>
      </c>
      <c r="E3807" t="str">
        <f>"080065625430"</f>
        <v>080065625430</v>
      </c>
      <c r="F3807" s="3">
        <v>45805</v>
      </c>
      <c r="G3807">
        <v>202602</v>
      </c>
      <c r="H3807" t="s">
        <v>75</v>
      </c>
      <c r="I3807" t="s">
        <v>76</v>
      </c>
      <c r="J3807" t="s">
        <v>77</v>
      </c>
      <c r="K3807" t="s">
        <v>78</v>
      </c>
      <c r="L3807" t="s">
        <v>136</v>
      </c>
      <c r="M3807" t="s">
        <v>137</v>
      </c>
      <c r="N3807" t="s">
        <v>1090</v>
      </c>
      <c r="O3807" t="s">
        <v>82</v>
      </c>
      <c r="P3807" t="str">
        <f>"4170041144                    "</f>
        <v xml:space="preserve">4170041144                    </v>
      </c>
      <c r="Q3807">
        <v>0</v>
      </c>
      <c r="R3807">
        <v>0</v>
      </c>
      <c r="S3807">
        <v>0</v>
      </c>
      <c r="T3807">
        <v>0</v>
      </c>
      <c r="U3807">
        <v>0</v>
      </c>
      <c r="V3807">
        <v>0</v>
      </c>
      <c r="W3807">
        <v>0</v>
      </c>
      <c r="X3807">
        <v>0</v>
      </c>
      <c r="Y3807">
        <v>0</v>
      </c>
      <c r="Z3807">
        <v>0</v>
      </c>
      <c r="AA3807">
        <v>0</v>
      </c>
      <c r="AB3807">
        <v>0</v>
      </c>
      <c r="AC3807">
        <v>0</v>
      </c>
      <c r="AD3807">
        <v>0</v>
      </c>
      <c r="AE3807">
        <v>0</v>
      </c>
      <c r="AF3807">
        <v>0</v>
      </c>
      <c r="AG3807">
        <v>0</v>
      </c>
      <c r="AH3807">
        <v>0</v>
      </c>
      <c r="AI3807">
        <v>0</v>
      </c>
      <c r="AJ3807">
        <v>0</v>
      </c>
      <c r="AK3807">
        <v>0</v>
      </c>
      <c r="AL3807">
        <v>0</v>
      </c>
      <c r="AM3807">
        <v>0</v>
      </c>
      <c r="AN3807">
        <v>0</v>
      </c>
      <c r="AO3807">
        <v>0</v>
      </c>
      <c r="AP3807">
        <v>0</v>
      </c>
      <c r="AQ3807">
        <v>21.38</v>
      </c>
      <c r="AR3807">
        <v>0</v>
      </c>
      <c r="AS3807">
        <v>0</v>
      </c>
      <c r="AT3807">
        <v>0</v>
      </c>
      <c r="AU3807">
        <v>0</v>
      </c>
      <c r="AV3807">
        <v>0</v>
      </c>
      <c r="AW3807">
        <v>0</v>
      </c>
      <c r="AX3807">
        <v>0</v>
      </c>
      <c r="AY3807">
        <v>0</v>
      </c>
      <c r="AZ3807">
        <v>0</v>
      </c>
      <c r="BA3807">
        <v>0</v>
      </c>
      <c r="BB3807">
        <v>0</v>
      </c>
      <c r="BC3807">
        <v>0</v>
      </c>
      <c r="BD3807">
        <v>0</v>
      </c>
      <c r="BE3807">
        <v>0</v>
      </c>
      <c r="BF3807">
        <v>0</v>
      </c>
      <c r="BG3807">
        <v>0</v>
      </c>
      <c r="BH3807">
        <v>1</v>
      </c>
      <c r="BI3807">
        <v>1</v>
      </c>
      <c r="BJ3807">
        <v>0.6</v>
      </c>
      <c r="BK3807">
        <v>1</v>
      </c>
      <c r="BL3807">
        <v>69.98</v>
      </c>
      <c r="BM3807">
        <v>10.5</v>
      </c>
      <c r="BN3807">
        <v>80.48</v>
      </c>
      <c r="BO3807">
        <v>80.48</v>
      </c>
      <c r="BQ3807" t="s">
        <v>1091</v>
      </c>
      <c r="BR3807" t="s">
        <v>84</v>
      </c>
      <c r="BS3807" s="3">
        <v>45806</v>
      </c>
      <c r="BT3807" s="4">
        <v>0.42083333333333334</v>
      </c>
      <c r="BU3807" t="s">
        <v>1719</v>
      </c>
      <c r="BV3807" t="s">
        <v>86</v>
      </c>
      <c r="BY3807">
        <v>3192</v>
      </c>
      <c r="CA3807" t="s">
        <v>1093</v>
      </c>
      <c r="CC3807" t="s">
        <v>137</v>
      </c>
      <c r="CD3807" s="5" t="s">
        <v>738</v>
      </c>
      <c r="CE3807" t="s">
        <v>96</v>
      </c>
      <c r="CF3807" s="3">
        <v>45806</v>
      </c>
      <c r="CI3807">
        <v>1</v>
      </c>
      <c r="CJ3807">
        <v>1</v>
      </c>
      <c r="CK3807">
        <v>21</v>
      </c>
      <c r="CL3807" t="s">
        <v>89</v>
      </c>
    </row>
    <row r="3808" spans="1:90" x14ac:dyDescent="0.3">
      <c r="A3808" t="s">
        <v>72</v>
      </c>
      <c r="B3808" t="s">
        <v>73</v>
      </c>
      <c r="C3808" t="s">
        <v>74</v>
      </c>
      <c r="E3808" t="str">
        <f>"080065625448"</f>
        <v>080065625448</v>
      </c>
      <c r="F3808" s="3">
        <v>45805</v>
      </c>
      <c r="G3808">
        <v>202602</v>
      </c>
      <c r="H3808" t="s">
        <v>75</v>
      </c>
      <c r="I3808" t="s">
        <v>76</v>
      </c>
      <c r="J3808" t="s">
        <v>77</v>
      </c>
      <c r="K3808" t="s">
        <v>78</v>
      </c>
      <c r="L3808" t="s">
        <v>463</v>
      </c>
      <c r="M3808" t="s">
        <v>464</v>
      </c>
      <c r="N3808" t="s">
        <v>744</v>
      </c>
      <c r="O3808" t="s">
        <v>82</v>
      </c>
      <c r="P3808" t="str">
        <f>"4170041157                    "</f>
        <v xml:space="preserve">4170041157                    </v>
      </c>
      <c r="Q3808">
        <v>0</v>
      </c>
      <c r="R3808">
        <v>0</v>
      </c>
      <c r="S3808">
        <v>0</v>
      </c>
      <c r="T3808">
        <v>0</v>
      </c>
      <c r="U3808">
        <v>0</v>
      </c>
      <c r="V3808">
        <v>0</v>
      </c>
      <c r="W3808">
        <v>0</v>
      </c>
      <c r="X3808">
        <v>0</v>
      </c>
      <c r="Y3808">
        <v>0</v>
      </c>
      <c r="Z3808">
        <v>0</v>
      </c>
      <c r="AA3808">
        <v>0</v>
      </c>
      <c r="AB3808">
        <v>0</v>
      </c>
      <c r="AC3808">
        <v>0</v>
      </c>
      <c r="AD3808">
        <v>0</v>
      </c>
      <c r="AE3808">
        <v>0</v>
      </c>
      <c r="AF3808">
        <v>0</v>
      </c>
      <c r="AG3808">
        <v>0</v>
      </c>
      <c r="AH3808">
        <v>0</v>
      </c>
      <c r="AI3808">
        <v>0</v>
      </c>
      <c r="AJ3808">
        <v>0</v>
      </c>
      <c r="AK3808">
        <v>0</v>
      </c>
      <c r="AL3808">
        <v>0</v>
      </c>
      <c r="AM3808">
        <v>0</v>
      </c>
      <c r="AN3808">
        <v>0</v>
      </c>
      <c r="AO3808">
        <v>0</v>
      </c>
      <c r="AP3808">
        <v>0</v>
      </c>
      <c r="AQ3808">
        <v>21.38</v>
      </c>
      <c r="AR3808">
        <v>0</v>
      </c>
      <c r="AS3808">
        <v>0</v>
      </c>
      <c r="AT3808">
        <v>0</v>
      </c>
      <c r="AU3808">
        <v>0</v>
      </c>
      <c r="AV3808">
        <v>0</v>
      </c>
      <c r="AW3808">
        <v>0</v>
      </c>
      <c r="AX3808">
        <v>0</v>
      </c>
      <c r="AY3808">
        <v>0</v>
      </c>
      <c r="AZ3808">
        <v>0</v>
      </c>
      <c r="BA3808">
        <v>0</v>
      </c>
      <c r="BB3808">
        <v>0</v>
      </c>
      <c r="BC3808">
        <v>0</v>
      </c>
      <c r="BD3808">
        <v>0</v>
      </c>
      <c r="BE3808">
        <v>0</v>
      </c>
      <c r="BF3808">
        <v>0</v>
      </c>
      <c r="BG3808">
        <v>0</v>
      </c>
      <c r="BH3808">
        <v>1</v>
      </c>
      <c r="BI3808">
        <v>2</v>
      </c>
      <c r="BJ3808">
        <v>1</v>
      </c>
      <c r="BK3808">
        <v>2</v>
      </c>
      <c r="BL3808">
        <v>69.98</v>
      </c>
      <c r="BM3808">
        <v>10.5</v>
      </c>
      <c r="BN3808">
        <v>80.48</v>
      </c>
      <c r="BO3808">
        <v>80.48</v>
      </c>
      <c r="BQ3808" t="s">
        <v>745</v>
      </c>
      <c r="BR3808" t="s">
        <v>84</v>
      </c>
      <c r="BS3808" s="3">
        <v>45806</v>
      </c>
      <c r="BT3808" s="4">
        <v>0.47499999999999998</v>
      </c>
      <c r="BU3808" t="s">
        <v>746</v>
      </c>
      <c r="BV3808" t="s">
        <v>89</v>
      </c>
      <c r="BY3808">
        <v>4896</v>
      </c>
      <c r="CA3808" t="s">
        <v>588</v>
      </c>
      <c r="CC3808" t="s">
        <v>464</v>
      </c>
      <c r="CD3808">
        <v>5201</v>
      </c>
      <c r="CE3808" t="s">
        <v>221</v>
      </c>
      <c r="CI3808">
        <v>1</v>
      </c>
      <c r="CJ3808">
        <v>1</v>
      </c>
      <c r="CK3808">
        <v>21</v>
      </c>
      <c r="CL3808" t="s">
        <v>89</v>
      </c>
    </row>
    <row r="3809" spans="1:90" x14ac:dyDescent="0.3">
      <c r="A3809" t="s">
        <v>72</v>
      </c>
      <c r="B3809" t="s">
        <v>73</v>
      </c>
      <c r="C3809" t="s">
        <v>74</v>
      </c>
      <c r="E3809" t="str">
        <f>"080065625459"</f>
        <v>080065625459</v>
      </c>
      <c r="F3809" s="3">
        <v>45805</v>
      </c>
      <c r="G3809">
        <v>202602</v>
      </c>
      <c r="H3809" t="s">
        <v>75</v>
      </c>
      <c r="I3809" t="s">
        <v>76</v>
      </c>
      <c r="J3809" t="s">
        <v>77</v>
      </c>
      <c r="K3809" t="s">
        <v>78</v>
      </c>
      <c r="L3809" t="s">
        <v>90</v>
      </c>
      <c r="M3809" t="s">
        <v>91</v>
      </c>
      <c r="N3809" t="s">
        <v>865</v>
      </c>
      <c r="O3809" t="s">
        <v>82</v>
      </c>
      <c r="P3809" t="str">
        <f>"4170041189                    "</f>
        <v xml:space="preserve">4170041189                    </v>
      </c>
      <c r="Q3809">
        <v>0</v>
      </c>
      <c r="R3809">
        <v>0</v>
      </c>
      <c r="S3809">
        <v>0</v>
      </c>
      <c r="T3809">
        <v>0</v>
      </c>
      <c r="U3809">
        <v>0</v>
      </c>
      <c r="V3809">
        <v>0</v>
      </c>
      <c r="W3809">
        <v>0</v>
      </c>
      <c r="X3809">
        <v>0</v>
      </c>
      <c r="Y3809">
        <v>0</v>
      </c>
      <c r="Z3809">
        <v>0</v>
      </c>
      <c r="AA3809">
        <v>0</v>
      </c>
      <c r="AB3809">
        <v>0</v>
      </c>
      <c r="AC3809">
        <v>0</v>
      </c>
      <c r="AD3809">
        <v>0</v>
      </c>
      <c r="AE3809">
        <v>0</v>
      </c>
      <c r="AF3809">
        <v>0</v>
      </c>
      <c r="AG3809">
        <v>0</v>
      </c>
      <c r="AH3809">
        <v>0</v>
      </c>
      <c r="AI3809">
        <v>0</v>
      </c>
      <c r="AJ3809">
        <v>0</v>
      </c>
      <c r="AK3809">
        <v>0</v>
      </c>
      <c r="AL3809">
        <v>0</v>
      </c>
      <c r="AM3809">
        <v>0</v>
      </c>
      <c r="AN3809">
        <v>0</v>
      </c>
      <c r="AO3809">
        <v>0</v>
      </c>
      <c r="AP3809">
        <v>0</v>
      </c>
      <c r="AQ3809">
        <v>106.85</v>
      </c>
      <c r="AR3809">
        <v>0</v>
      </c>
      <c r="AS3809">
        <v>0</v>
      </c>
      <c r="AT3809">
        <v>0</v>
      </c>
      <c r="AU3809">
        <v>0</v>
      </c>
      <c r="AV3809">
        <v>0</v>
      </c>
      <c r="AW3809">
        <v>0</v>
      </c>
      <c r="AX3809">
        <v>0</v>
      </c>
      <c r="AY3809">
        <v>0</v>
      </c>
      <c r="AZ3809">
        <v>0</v>
      </c>
      <c r="BA3809">
        <v>0</v>
      </c>
      <c r="BB3809">
        <v>0</v>
      </c>
      <c r="BC3809">
        <v>0</v>
      </c>
      <c r="BD3809">
        <v>0</v>
      </c>
      <c r="BE3809">
        <v>0</v>
      </c>
      <c r="BF3809">
        <v>0</v>
      </c>
      <c r="BG3809">
        <v>0</v>
      </c>
      <c r="BH3809">
        <v>1</v>
      </c>
      <c r="BI3809">
        <v>10</v>
      </c>
      <c r="BJ3809">
        <v>3.7</v>
      </c>
      <c r="BK3809">
        <v>10</v>
      </c>
      <c r="BL3809">
        <v>349.69</v>
      </c>
      <c r="BM3809">
        <v>52.45</v>
      </c>
      <c r="BN3809">
        <v>402.14</v>
      </c>
      <c r="BO3809">
        <v>402.14</v>
      </c>
      <c r="BQ3809" t="s">
        <v>866</v>
      </c>
      <c r="BR3809" t="s">
        <v>84</v>
      </c>
      <c r="BS3809" s="3">
        <v>45806</v>
      </c>
      <c r="BT3809" s="4">
        <v>0.41666666666666669</v>
      </c>
      <c r="BU3809" t="s">
        <v>3412</v>
      </c>
      <c r="BV3809" t="s">
        <v>86</v>
      </c>
      <c r="BY3809">
        <v>18564</v>
      </c>
      <c r="CA3809" t="s">
        <v>824</v>
      </c>
      <c r="CC3809" t="s">
        <v>91</v>
      </c>
      <c r="CD3809">
        <v>6001</v>
      </c>
      <c r="CE3809" t="s">
        <v>96</v>
      </c>
      <c r="CF3809" s="3">
        <v>45806</v>
      </c>
      <c r="CI3809">
        <v>1</v>
      </c>
      <c r="CJ3809">
        <v>1</v>
      </c>
      <c r="CK3809">
        <v>21</v>
      </c>
      <c r="CL3809" t="s">
        <v>89</v>
      </c>
    </row>
    <row r="3810" spans="1:90" x14ac:dyDescent="0.3">
      <c r="A3810" t="s">
        <v>72</v>
      </c>
      <c r="B3810" t="s">
        <v>73</v>
      </c>
      <c r="C3810" t="s">
        <v>74</v>
      </c>
      <c r="E3810" t="str">
        <f>"080065625470"</f>
        <v>080065625470</v>
      </c>
      <c r="F3810" s="3">
        <v>45805</v>
      </c>
      <c r="G3810">
        <v>202602</v>
      </c>
      <c r="H3810" t="s">
        <v>75</v>
      </c>
      <c r="I3810" t="s">
        <v>76</v>
      </c>
      <c r="J3810" t="s">
        <v>77</v>
      </c>
      <c r="K3810" t="s">
        <v>78</v>
      </c>
      <c r="L3810" t="s">
        <v>90</v>
      </c>
      <c r="M3810" t="s">
        <v>91</v>
      </c>
      <c r="N3810" t="s">
        <v>563</v>
      </c>
      <c r="O3810" t="s">
        <v>82</v>
      </c>
      <c r="P3810" t="str">
        <f>"4170041197                    "</f>
        <v xml:space="preserve">4170041197                    </v>
      </c>
      <c r="Q3810">
        <v>0</v>
      </c>
      <c r="R3810">
        <v>0</v>
      </c>
      <c r="S3810">
        <v>0</v>
      </c>
      <c r="T3810">
        <v>0</v>
      </c>
      <c r="U3810">
        <v>0</v>
      </c>
      <c r="V3810">
        <v>0</v>
      </c>
      <c r="W3810">
        <v>0</v>
      </c>
      <c r="X3810">
        <v>0</v>
      </c>
      <c r="Y3810">
        <v>0</v>
      </c>
      <c r="Z3810">
        <v>0</v>
      </c>
      <c r="AA3810">
        <v>0</v>
      </c>
      <c r="AB3810">
        <v>0</v>
      </c>
      <c r="AC3810">
        <v>0</v>
      </c>
      <c r="AD3810">
        <v>0</v>
      </c>
      <c r="AE3810">
        <v>0</v>
      </c>
      <c r="AF3810">
        <v>0</v>
      </c>
      <c r="AG3810">
        <v>0</v>
      </c>
      <c r="AH3810">
        <v>0</v>
      </c>
      <c r="AI3810">
        <v>0</v>
      </c>
      <c r="AJ3810">
        <v>0</v>
      </c>
      <c r="AK3810">
        <v>0</v>
      </c>
      <c r="AL3810">
        <v>0</v>
      </c>
      <c r="AM3810">
        <v>0</v>
      </c>
      <c r="AN3810">
        <v>0</v>
      </c>
      <c r="AO3810">
        <v>0</v>
      </c>
      <c r="AP3810">
        <v>0</v>
      </c>
      <c r="AQ3810">
        <v>48.09</v>
      </c>
      <c r="AR3810">
        <v>0</v>
      </c>
      <c r="AS3810">
        <v>0</v>
      </c>
      <c r="AT3810">
        <v>0</v>
      </c>
      <c r="AU3810">
        <v>0</v>
      </c>
      <c r="AV3810">
        <v>0</v>
      </c>
      <c r="AW3810">
        <v>0</v>
      </c>
      <c r="AX3810">
        <v>0</v>
      </c>
      <c r="AY3810">
        <v>0</v>
      </c>
      <c r="AZ3810">
        <v>0</v>
      </c>
      <c r="BA3810">
        <v>0</v>
      </c>
      <c r="BB3810">
        <v>0</v>
      </c>
      <c r="BC3810">
        <v>0</v>
      </c>
      <c r="BD3810">
        <v>0</v>
      </c>
      <c r="BE3810">
        <v>0</v>
      </c>
      <c r="BF3810">
        <v>0</v>
      </c>
      <c r="BG3810">
        <v>0</v>
      </c>
      <c r="BH3810">
        <v>1</v>
      </c>
      <c r="BI3810">
        <v>2</v>
      </c>
      <c r="BJ3810">
        <v>4.5</v>
      </c>
      <c r="BK3810">
        <v>4.5</v>
      </c>
      <c r="BL3810">
        <v>157.38999999999999</v>
      </c>
      <c r="BM3810">
        <v>23.61</v>
      </c>
      <c r="BN3810">
        <v>181</v>
      </c>
      <c r="BO3810">
        <v>181</v>
      </c>
      <c r="BQ3810" t="s">
        <v>564</v>
      </c>
      <c r="BR3810" t="s">
        <v>84</v>
      </c>
      <c r="BS3810" s="3">
        <v>45806</v>
      </c>
      <c r="BT3810" s="4">
        <v>0.34930555555555554</v>
      </c>
      <c r="BU3810" t="s">
        <v>987</v>
      </c>
      <c r="BV3810" t="s">
        <v>86</v>
      </c>
      <c r="BY3810">
        <v>22464</v>
      </c>
      <c r="CA3810" t="s">
        <v>566</v>
      </c>
      <c r="CC3810" t="s">
        <v>91</v>
      </c>
      <c r="CD3810">
        <v>6001</v>
      </c>
      <c r="CE3810" t="s">
        <v>96</v>
      </c>
      <c r="CF3810" s="3">
        <v>45806</v>
      </c>
      <c r="CI3810">
        <v>1</v>
      </c>
      <c r="CJ3810">
        <v>1</v>
      </c>
      <c r="CK3810">
        <v>21</v>
      </c>
      <c r="CL3810" t="s">
        <v>89</v>
      </c>
    </row>
    <row r="3811" spans="1:90" x14ac:dyDescent="0.3">
      <c r="A3811" t="s">
        <v>72</v>
      </c>
      <c r="B3811" t="s">
        <v>73</v>
      </c>
      <c r="C3811" t="s">
        <v>74</v>
      </c>
      <c r="E3811" t="str">
        <f>"080065625496"</f>
        <v>080065625496</v>
      </c>
      <c r="F3811" s="3">
        <v>45805</v>
      </c>
      <c r="G3811">
        <v>202602</v>
      </c>
      <c r="H3811" t="s">
        <v>75</v>
      </c>
      <c r="I3811" t="s">
        <v>76</v>
      </c>
      <c r="J3811" t="s">
        <v>77</v>
      </c>
      <c r="K3811" t="s">
        <v>78</v>
      </c>
      <c r="L3811" t="s">
        <v>97</v>
      </c>
      <c r="M3811" t="s">
        <v>98</v>
      </c>
      <c r="N3811" t="s">
        <v>1859</v>
      </c>
      <c r="O3811" t="s">
        <v>82</v>
      </c>
      <c r="P3811" t="str">
        <f>"4170041260                    "</f>
        <v xml:space="preserve">4170041260                    </v>
      </c>
      <c r="Q3811">
        <v>0</v>
      </c>
      <c r="R3811">
        <v>0</v>
      </c>
      <c r="S3811">
        <v>0</v>
      </c>
      <c r="T3811">
        <v>0</v>
      </c>
      <c r="U3811">
        <v>0</v>
      </c>
      <c r="V3811">
        <v>0</v>
      </c>
      <c r="W3811">
        <v>0</v>
      </c>
      <c r="X3811">
        <v>0</v>
      </c>
      <c r="Y3811">
        <v>0</v>
      </c>
      <c r="Z3811">
        <v>0</v>
      </c>
      <c r="AA3811">
        <v>0</v>
      </c>
      <c r="AB3811">
        <v>0</v>
      </c>
      <c r="AC3811">
        <v>0</v>
      </c>
      <c r="AD3811">
        <v>0</v>
      </c>
      <c r="AE3811">
        <v>0</v>
      </c>
      <c r="AF3811">
        <v>0</v>
      </c>
      <c r="AG3811">
        <v>0</v>
      </c>
      <c r="AH3811">
        <v>0</v>
      </c>
      <c r="AI3811">
        <v>0</v>
      </c>
      <c r="AJ3811">
        <v>0</v>
      </c>
      <c r="AK3811">
        <v>0</v>
      </c>
      <c r="AL3811">
        <v>0</v>
      </c>
      <c r="AM3811">
        <v>0</v>
      </c>
      <c r="AN3811">
        <v>0</v>
      </c>
      <c r="AO3811">
        <v>0</v>
      </c>
      <c r="AP3811">
        <v>0</v>
      </c>
      <c r="AQ3811">
        <v>16.7</v>
      </c>
      <c r="AR3811">
        <v>0</v>
      </c>
      <c r="AS3811">
        <v>0</v>
      </c>
      <c r="AT3811">
        <v>0</v>
      </c>
      <c r="AU3811">
        <v>0</v>
      </c>
      <c r="AV3811">
        <v>0</v>
      </c>
      <c r="AW3811">
        <v>0</v>
      </c>
      <c r="AX3811">
        <v>0</v>
      </c>
      <c r="AY3811">
        <v>0</v>
      </c>
      <c r="AZ3811">
        <v>0</v>
      </c>
      <c r="BA3811">
        <v>0</v>
      </c>
      <c r="BB3811">
        <v>0</v>
      </c>
      <c r="BC3811">
        <v>0</v>
      </c>
      <c r="BD3811">
        <v>0</v>
      </c>
      <c r="BE3811">
        <v>0</v>
      </c>
      <c r="BF3811">
        <v>0</v>
      </c>
      <c r="BG3811">
        <v>0</v>
      </c>
      <c r="BH3811">
        <v>1</v>
      </c>
      <c r="BI3811">
        <v>2</v>
      </c>
      <c r="BJ3811">
        <v>1.1000000000000001</v>
      </c>
      <c r="BK3811">
        <v>2</v>
      </c>
      <c r="BL3811">
        <v>54.66</v>
      </c>
      <c r="BM3811">
        <v>8.1999999999999993</v>
      </c>
      <c r="BN3811">
        <v>62.86</v>
      </c>
      <c r="BO3811">
        <v>62.86</v>
      </c>
      <c r="BQ3811" t="s">
        <v>1860</v>
      </c>
      <c r="BR3811" t="s">
        <v>84</v>
      </c>
      <c r="BS3811" s="3">
        <v>45806</v>
      </c>
      <c r="BT3811" s="4">
        <v>0.39027777777777778</v>
      </c>
      <c r="BU3811" t="s">
        <v>2283</v>
      </c>
      <c r="BV3811" t="s">
        <v>86</v>
      </c>
      <c r="BY3811">
        <v>5320</v>
      </c>
      <c r="CA3811" t="s">
        <v>175</v>
      </c>
      <c r="CC3811" t="s">
        <v>98</v>
      </c>
      <c r="CD3811">
        <v>1459</v>
      </c>
      <c r="CE3811" t="s">
        <v>96</v>
      </c>
      <c r="CF3811" s="3">
        <v>45806</v>
      </c>
      <c r="CI3811">
        <v>1</v>
      </c>
      <c r="CJ3811">
        <v>1</v>
      </c>
      <c r="CK3811">
        <v>22</v>
      </c>
      <c r="CL3811" t="s">
        <v>89</v>
      </c>
    </row>
    <row r="3812" spans="1:90" x14ac:dyDescent="0.3">
      <c r="A3812" t="s">
        <v>72</v>
      </c>
      <c r="B3812" t="s">
        <v>73</v>
      </c>
      <c r="C3812" t="s">
        <v>74</v>
      </c>
      <c r="E3812" t="str">
        <f>"080065625515"</f>
        <v>080065625515</v>
      </c>
      <c r="F3812" s="3">
        <v>45805</v>
      </c>
      <c r="G3812">
        <v>202602</v>
      </c>
      <c r="H3812" t="s">
        <v>75</v>
      </c>
      <c r="I3812" t="s">
        <v>76</v>
      </c>
      <c r="J3812" t="s">
        <v>77</v>
      </c>
      <c r="K3812" t="s">
        <v>78</v>
      </c>
      <c r="L3812" t="s">
        <v>75</v>
      </c>
      <c r="M3812" t="s">
        <v>76</v>
      </c>
      <c r="N3812" t="s">
        <v>183</v>
      </c>
      <c r="O3812" t="s">
        <v>82</v>
      </c>
      <c r="P3812" t="str">
        <f>"4170041200                    "</f>
        <v xml:space="preserve">4170041200                    </v>
      </c>
      <c r="Q3812">
        <v>0</v>
      </c>
      <c r="R3812">
        <v>0</v>
      </c>
      <c r="S3812">
        <v>0</v>
      </c>
      <c r="T3812">
        <v>0</v>
      </c>
      <c r="U3812">
        <v>0</v>
      </c>
      <c r="V3812">
        <v>0</v>
      </c>
      <c r="W3812">
        <v>0</v>
      </c>
      <c r="X3812">
        <v>0</v>
      </c>
      <c r="Y3812">
        <v>0</v>
      </c>
      <c r="Z3812">
        <v>0</v>
      </c>
      <c r="AA3812">
        <v>0</v>
      </c>
      <c r="AB3812">
        <v>0</v>
      </c>
      <c r="AC3812">
        <v>0</v>
      </c>
      <c r="AD3812">
        <v>0</v>
      </c>
      <c r="AE3812">
        <v>0</v>
      </c>
      <c r="AF3812">
        <v>0</v>
      </c>
      <c r="AG3812">
        <v>0</v>
      </c>
      <c r="AH3812">
        <v>0</v>
      </c>
      <c r="AI3812">
        <v>0</v>
      </c>
      <c r="AJ3812">
        <v>0</v>
      </c>
      <c r="AK3812">
        <v>0</v>
      </c>
      <c r="AL3812">
        <v>0</v>
      </c>
      <c r="AM3812">
        <v>0</v>
      </c>
      <c r="AN3812">
        <v>0</v>
      </c>
      <c r="AO3812">
        <v>0</v>
      </c>
      <c r="AP3812">
        <v>0</v>
      </c>
      <c r="AQ3812">
        <v>16.7</v>
      </c>
      <c r="AR3812">
        <v>0</v>
      </c>
      <c r="AS3812">
        <v>0</v>
      </c>
      <c r="AT3812">
        <v>0</v>
      </c>
      <c r="AU3812">
        <v>0</v>
      </c>
      <c r="AV3812">
        <v>0</v>
      </c>
      <c r="AW3812">
        <v>0</v>
      </c>
      <c r="AX3812">
        <v>0</v>
      </c>
      <c r="AY3812">
        <v>0</v>
      </c>
      <c r="AZ3812">
        <v>0</v>
      </c>
      <c r="BA3812">
        <v>0</v>
      </c>
      <c r="BB3812">
        <v>0</v>
      </c>
      <c r="BC3812">
        <v>0</v>
      </c>
      <c r="BD3812">
        <v>0</v>
      </c>
      <c r="BE3812">
        <v>0</v>
      </c>
      <c r="BF3812">
        <v>0</v>
      </c>
      <c r="BG3812">
        <v>0</v>
      </c>
      <c r="BH3812">
        <v>1</v>
      </c>
      <c r="BI3812">
        <v>1</v>
      </c>
      <c r="BJ3812">
        <v>1.7</v>
      </c>
      <c r="BK3812">
        <v>2</v>
      </c>
      <c r="BL3812">
        <v>54.66</v>
      </c>
      <c r="BM3812">
        <v>8.1999999999999993</v>
      </c>
      <c r="BN3812">
        <v>62.86</v>
      </c>
      <c r="BO3812">
        <v>62.86</v>
      </c>
      <c r="BQ3812" t="s">
        <v>184</v>
      </c>
      <c r="BR3812" t="s">
        <v>84</v>
      </c>
      <c r="BS3812" s="3">
        <v>45806</v>
      </c>
      <c r="BT3812" s="4">
        <v>0.32291666666666669</v>
      </c>
      <c r="BU3812" t="s">
        <v>3415</v>
      </c>
      <c r="BV3812" t="s">
        <v>86</v>
      </c>
      <c r="BY3812">
        <v>8512</v>
      </c>
      <c r="CA3812" t="s">
        <v>115</v>
      </c>
      <c r="CC3812" t="s">
        <v>76</v>
      </c>
      <c r="CD3812">
        <v>1600</v>
      </c>
      <c r="CE3812" t="s">
        <v>96</v>
      </c>
      <c r="CF3812" s="3">
        <v>45807</v>
      </c>
      <c r="CI3812">
        <v>1</v>
      </c>
      <c r="CJ3812">
        <v>1</v>
      </c>
      <c r="CK3812">
        <v>22</v>
      </c>
      <c r="CL3812" t="s">
        <v>89</v>
      </c>
    </row>
    <row r="3813" spans="1:90" x14ac:dyDescent="0.3">
      <c r="A3813" t="s">
        <v>72</v>
      </c>
      <c r="B3813" t="s">
        <v>73</v>
      </c>
      <c r="C3813" t="s">
        <v>74</v>
      </c>
      <c r="E3813" t="str">
        <f>"080065625535"</f>
        <v>080065625535</v>
      </c>
      <c r="F3813" s="3">
        <v>45805</v>
      </c>
      <c r="G3813">
        <v>202602</v>
      </c>
      <c r="H3813" t="s">
        <v>75</v>
      </c>
      <c r="I3813" t="s">
        <v>76</v>
      </c>
      <c r="J3813" t="s">
        <v>77</v>
      </c>
      <c r="K3813" t="s">
        <v>78</v>
      </c>
      <c r="L3813" t="s">
        <v>117</v>
      </c>
      <c r="M3813" t="s">
        <v>118</v>
      </c>
      <c r="N3813" t="s">
        <v>532</v>
      </c>
      <c r="O3813" t="s">
        <v>82</v>
      </c>
      <c r="P3813" t="str">
        <f>"4170041191                    "</f>
        <v xml:space="preserve">4170041191                    </v>
      </c>
      <c r="Q3813">
        <v>0</v>
      </c>
      <c r="R3813">
        <v>0</v>
      </c>
      <c r="S3813">
        <v>0</v>
      </c>
      <c r="T3813">
        <v>0</v>
      </c>
      <c r="U3813">
        <v>0</v>
      </c>
      <c r="V3813">
        <v>0</v>
      </c>
      <c r="W3813">
        <v>0</v>
      </c>
      <c r="X3813">
        <v>0</v>
      </c>
      <c r="Y3813">
        <v>0</v>
      </c>
      <c r="Z3813">
        <v>0</v>
      </c>
      <c r="AA3813">
        <v>0</v>
      </c>
      <c r="AB3813">
        <v>0</v>
      </c>
      <c r="AC3813">
        <v>0</v>
      </c>
      <c r="AD3813">
        <v>0</v>
      </c>
      <c r="AE3813">
        <v>0</v>
      </c>
      <c r="AF3813">
        <v>0</v>
      </c>
      <c r="AG3813">
        <v>0</v>
      </c>
      <c r="AH3813">
        <v>0</v>
      </c>
      <c r="AI3813">
        <v>0</v>
      </c>
      <c r="AJ3813">
        <v>0</v>
      </c>
      <c r="AK3813">
        <v>0</v>
      </c>
      <c r="AL3813">
        <v>0</v>
      </c>
      <c r="AM3813">
        <v>0</v>
      </c>
      <c r="AN3813">
        <v>0</v>
      </c>
      <c r="AO3813">
        <v>0</v>
      </c>
      <c r="AP3813">
        <v>0</v>
      </c>
      <c r="AQ3813">
        <v>16.7</v>
      </c>
      <c r="AR3813">
        <v>0</v>
      </c>
      <c r="AS3813">
        <v>0</v>
      </c>
      <c r="AT3813">
        <v>0</v>
      </c>
      <c r="AU3813">
        <v>0</v>
      </c>
      <c r="AV3813">
        <v>0</v>
      </c>
      <c r="AW3813">
        <v>0</v>
      </c>
      <c r="AX3813">
        <v>0</v>
      </c>
      <c r="AY3813">
        <v>0</v>
      </c>
      <c r="AZ3813">
        <v>0</v>
      </c>
      <c r="BA3813">
        <v>0</v>
      </c>
      <c r="BB3813">
        <v>0</v>
      </c>
      <c r="BC3813">
        <v>0</v>
      </c>
      <c r="BD3813">
        <v>0</v>
      </c>
      <c r="BE3813">
        <v>0</v>
      </c>
      <c r="BF3813">
        <v>0</v>
      </c>
      <c r="BG3813">
        <v>0</v>
      </c>
      <c r="BH3813">
        <v>1</v>
      </c>
      <c r="BI3813">
        <v>2</v>
      </c>
      <c r="BJ3813">
        <v>1.7</v>
      </c>
      <c r="BK3813">
        <v>2</v>
      </c>
      <c r="BL3813">
        <v>54.66</v>
      </c>
      <c r="BM3813">
        <v>8.1999999999999993</v>
      </c>
      <c r="BN3813">
        <v>62.86</v>
      </c>
      <c r="BO3813">
        <v>62.86</v>
      </c>
      <c r="BQ3813" t="s">
        <v>533</v>
      </c>
      <c r="BR3813" t="s">
        <v>84</v>
      </c>
      <c r="BS3813" s="3">
        <v>45806</v>
      </c>
      <c r="BT3813" s="4">
        <v>0.42291666666666666</v>
      </c>
      <c r="BU3813" t="s">
        <v>534</v>
      </c>
      <c r="BV3813" t="s">
        <v>86</v>
      </c>
      <c r="BY3813">
        <v>8512</v>
      </c>
      <c r="CA3813" t="s">
        <v>535</v>
      </c>
      <c r="CC3813" t="s">
        <v>118</v>
      </c>
      <c r="CD3813">
        <v>2094</v>
      </c>
      <c r="CE3813" t="s">
        <v>96</v>
      </c>
      <c r="CF3813" s="3">
        <v>45806</v>
      </c>
      <c r="CI3813">
        <v>1</v>
      </c>
      <c r="CJ3813">
        <v>1</v>
      </c>
      <c r="CK3813">
        <v>22</v>
      </c>
      <c r="CL3813" t="s">
        <v>89</v>
      </c>
    </row>
    <row r="3814" spans="1:90" x14ac:dyDescent="0.3">
      <c r="A3814" t="s">
        <v>72</v>
      </c>
      <c r="B3814" t="s">
        <v>73</v>
      </c>
      <c r="C3814" t="s">
        <v>74</v>
      </c>
      <c r="E3814" t="str">
        <f>"080065625543"</f>
        <v>080065625543</v>
      </c>
      <c r="F3814" s="3">
        <v>45805</v>
      </c>
      <c r="G3814">
        <v>202602</v>
      </c>
      <c r="H3814" t="s">
        <v>75</v>
      </c>
      <c r="I3814" t="s">
        <v>76</v>
      </c>
      <c r="J3814" t="s">
        <v>77</v>
      </c>
      <c r="K3814" t="s">
        <v>78</v>
      </c>
      <c r="L3814" t="s">
        <v>489</v>
      </c>
      <c r="M3814" t="s">
        <v>490</v>
      </c>
      <c r="N3814" t="s">
        <v>491</v>
      </c>
      <c r="O3814" t="s">
        <v>82</v>
      </c>
      <c r="P3814" t="str">
        <f>"4170041277                    "</f>
        <v xml:space="preserve">4170041277                    </v>
      </c>
      <c r="Q3814">
        <v>0</v>
      </c>
      <c r="R3814">
        <v>0</v>
      </c>
      <c r="S3814">
        <v>0</v>
      </c>
      <c r="T3814">
        <v>0</v>
      </c>
      <c r="U3814">
        <v>0</v>
      </c>
      <c r="V3814">
        <v>0</v>
      </c>
      <c r="W3814">
        <v>0</v>
      </c>
      <c r="X3814">
        <v>0</v>
      </c>
      <c r="Y3814">
        <v>0</v>
      </c>
      <c r="Z3814">
        <v>0</v>
      </c>
      <c r="AA3814">
        <v>0</v>
      </c>
      <c r="AB3814">
        <v>0</v>
      </c>
      <c r="AC3814">
        <v>0</v>
      </c>
      <c r="AD3814">
        <v>0</v>
      </c>
      <c r="AE3814">
        <v>0</v>
      </c>
      <c r="AF3814">
        <v>0</v>
      </c>
      <c r="AG3814">
        <v>0</v>
      </c>
      <c r="AH3814">
        <v>0</v>
      </c>
      <c r="AI3814">
        <v>0</v>
      </c>
      <c r="AJ3814">
        <v>0</v>
      </c>
      <c r="AK3814">
        <v>0</v>
      </c>
      <c r="AL3814">
        <v>0</v>
      </c>
      <c r="AM3814">
        <v>0</v>
      </c>
      <c r="AN3814">
        <v>0</v>
      </c>
      <c r="AO3814">
        <v>0</v>
      </c>
      <c r="AP3814">
        <v>0</v>
      </c>
      <c r="AQ3814">
        <v>172.39</v>
      </c>
      <c r="AR3814">
        <v>0</v>
      </c>
      <c r="AS3814">
        <v>0</v>
      </c>
      <c r="AT3814">
        <v>0</v>
      </c>
      <c r="AU3814">
        <v>0</v>
      </c>
      <c r="AV3814">
        <v>0</v>
      </c>
      <c r="AW3814">
        <v>0</v>
      </c>
      <c r="AX3814">
        <v>0</v>
      </c>
      <c r="AY3814">
        <v>0</v>
      </c>
      <c r="AZ3814">
        <v>0</v>
      </c>
      <c r="BA3814">
        <v>0</v>
      </c>
      <c r="BB3814">
        <v>0</v>
      </c>
      <c r="BC3814">
        <v>0</v>
      </c>
      <c r="BD3814">
        <v>0</v>
      </c>
      <c r="BE3814">
        <v>0</v>
      </c>
      <c r="BF3814">
        <v>0</v>
      </c>
      <c r="BG3814">
        <v>0</v>
      </c>
      <c r="BH3814">
        <v>1</v>
      </c>
      <c r="BI3814">
        <v>9</v>
      </c>
      <c r="BJ3814">
        <v>3.9</v>
      </c>
      <c r="BK3814">
        <v>9</v>
      </c>
      <c r="BL3814">
        <v>564.19000000000005</v>
      </c>
      <c r="BM3814">
        <v>84.63</v>
      </c>
      <c r="BN3814">
        <v>648.82000000000005</v>
      </c>
      <c r="BO3814">
        <v>648.82000000000005</v>
      </c>
      <c r="BQ3814" t="s">
        <v>492</v>
      </c>
      <c r="BR3814" t="s">
        <v>84</v>
      </c>
      <c r="BS3814" s="3">
        <v>45806</v>
      </c>
      <c r="BT3814" s="4">
        <v>0.32083333333333336</v>
      </c>
      <c r="BU3814" t="s">
        <v>2530</v>
      </c>
      <c r="BV3814" t="s">
        <v>86</v>
      </c>
      <c r="BY3814">
        <v>19456</v>
      </c>
      <c r="CA3814" t="s">
        <v>913</v>
      </c>
      <c r="CC3814" t="s">
        <v>490</v>
      </c>
      <c r="CD3814">
        <v>2740</v>
      </c>
      <c r="CE3814" t="s">
        <v>221</v>
      </c>
      <c r="CI3814">
        <v>1</v>
      </c>
      <c r="CJ3814">
        <v>1</v>
      </c>
      <c r="CK3814">
        <v>23</v>
      </c>
      <c r="CL3814" t="s">
        <v>89</v>
      </c>
    </row>
    <row r="3815" spans="1:90" x14ac:dyDescent="0.3">
      <c r="A3815" t="s">
        <v>72</v>
      </c>
      <c r="B3815" t="s">
        <v>73</v>
      </c>
      <c r="C3815" t="s">
        <v>74</v>
      </c>
      <c r="E3815" t="str">
        <f>"080065625550"</f>
        <v>080065625550</v>
      </c>
      <c r="F3815" s="3">
        <v>45805</v>
      </c>
      <c r="G3815">
        <v>202602</v>
      </c>
      <c r="H3815" t="s">
        <v>75</v>
      </c>
      <c r="I3815" t="s">
        <v>76</v>
      </c>
      <c r="J3815" t="s">
        <v>77</v>
      </c>
      <c r="K3815" t="s">
        <v>78</v>
      </c>
      <c r="L3815" t="s">
        <v>350</v>
      </c>
      <c r="M3815" t="s">
        <v>351</v>
      </c>
      <c r="N3815" t="s">
        <v>459</v>
      </c>
      <c r="O3815" t="s">
        <v>82</v>
      </c>
      <c r="P3815" t="str">
        <f>"4170041229                    "</f>
        <v xml:space="preserve">4170041229                    </v>
      </c>
      <c r="Q3815">
        <v>0</v>
      </c>
      <c r="R3815">
        <v>0</v>
      </c>
      <c r="S3815">
        <v>0</v>
      </c>
      <c r="T3815">
        <v>0</v>
      </c>
      <c r="U3815">
        <v>0</v>
      </c>
      <c r="V3815">
        <v>0</v>
      </c>
      <c r="W3815">
        <v>0</v>
      </c>
      <c r="X3815">
        <v>0</v>
      </c>
      <c r="Y3815">
        <v>0</v>
      </c>
      <c r="Z3815">
        <v>0</v>
      </c>
      <c r="AA3815">
        <v>0</v>
      </c>
      <c r="AB3815">
        <v>0</v>
      </c>
      <c r="AC3815">
        <v>0</v>
      </c>
      <c r="AD3815">
        <v>0</v>
      </c>
      <c r="AE3815">
        <v>0</v>
      </c>
      <c r="AF3815">
        <v>0</v>
      </c>
      <c r="AG3815">
        <v>0</v>
      </c>
      <c r="AH3815">
        <v>0</v>
      </c>
      <c r="AI3815">
        <v>0</v>
      </c>
      <c r="AJ3815">
        <v>0</v>
      </c>
      <c r="AK3815">
        <v>0</v>
      </c>
      <c r="AL3815">
        <v>0</v>
      </c>
      <c r="AM3815">
        <v>0</v>
      </c>
      <c r="AN3815">
        <v>0</v>
      </c>
      <c r="AO3815">
        <v>0</v>
      </c>
      <c r="AP3815">
        <v>0</v>
      </c>
      <c r="AQ3815">
        <v>21.38</v>
      </c>
      <c r="AR3815">
        <v>0</v>
      </c>
      <c r="AS3815">
        <v>0</v>
      </c>
      <c r="AT3815">
        <v>0</v>
      </c>
      <c r="AU3815">
        <v>0</v>
      </c>
      <c r="AV3815">
        <v>0</v>
      </c>
      <c r="AW3815">
        <v>0</v>
      </c>
      <c r="AX3815">
        <v>0</v>
      </c>
      <c r="AY3815">
        <v>0</v>
      </c>
      <c r="AZ3815">
        <v>0</v>
      </c>
      <c r="BA3815">
        <v>0</v>
      </c>
      <c r="BB3815">
        <v>0</v>
      </c>
      <c r="BC3815">
        <v>0</v>
      </c>
      <c r="BD3815">
        <v>0</v>
      </c>
      <c r="BE3815">
        <v>0</v>
      </c>
      <c r="BF3815">
        <v>0</v>
      </c>
      <c r="BG3815">
        <v>0</v>
      </c>
      <c r="BH3815">
        <v>1</v>
      </c>
      <c r="BI3815">
        <v>2</v>
      </c>
      <c r="BJ3815">
        <v>1.4</v>
      </c>
      <c r="BK3815">
        <v>2</v>
      </c>
      <c r="BL3815">
        <v>69.98</v>
      </c>
      <c r="BM3815">
        <v>10.5</v>
      </c>
      <c r="BN3815">
        <v>80.48</v>
      </c>
      <c r="BO3815">
        <v>80.48</v>
      </c>
      <c r="BQ3815" t="s">
        <v>460</v>
      </c>
      <c r="BR3815" t="s">
        <v>84</v>
      </c>
      <c r="BS3815" s="3">
        <v>45806</v>
      </c>
      <c r="BT3815" s="4">
        <v>0.36319444444444443</v>
      </c>
      <c r="BU3815" t="s">
        <v>1121</v>
      </c>
      <c r="BV3815" t="s">
        <v>86</v>
      </c>
      <c r="BY3815">
        <v>7000</v>
      </c>
      <c r="CA3815" t="s">
        <v>462</v>
      </c>
      <c r="CC3815" t="s">
        <v>351</v>
      </c>
      <c r="CD3815">
        <v>4051</v>
      </c>
      <c r="CE3815" t="s">
        <v>96</v>
      </c>
      <c r="CF3815" s="3">
        <v>45806</v>
      </c>
      <c r="CI3815">
        <v>1</v>
      </c>
      <c r="CJ3815">
        <v>1</v>
      </c>
      <c r="CK3815">
        <v>21</v>
      </c>
      <c r="CL3815" t="s">
        <v>89</v>
      </c>
    </row>
    <row r="3816" spans="1:90" x14ac:dyDescent="0.3">
      <c r="A3816" t="s">
        <v>72</v>
      </c>
      <c r="B3816" t="s">
        <v>73</v>
      </c>
      <c r="C3816" t="s">
        <v>74</v>
      </c>
      <c r="E3816" t="str">
        <f>"080065625563"</f>
        <v>080065625563</v>
      </c>
      <c r="F3816" s="3">
        <v>45805</v>
      </c>
      <c r="G3816">
        <v>202602</v>
      </c>
      <c r="H3816" t="s">
        <v>75</v>
      </c>
      <c r="I3816" t="s">
        <v>76</v>
      </c>
      <c r="J3816" t="s">
        <v>77</v>
      </c>
      <c r="K3816" t="s">
        <v>78</v>
      </c>
      <c r="L3816" t="s">
        <v>103</v>
      </c>
      <c r="M3816" t="s">
        <v>104</v>
      </c>
      <c r="N3816" t="s">
        <v>633</v>
      </c>
      <c r="O3816" t="s">
        <v>82</v>
      </c>
      <c r="P3816" t="str">
        <f>"4170041256                    "</f>
        <v xml:space="preserve">4170041256                    </v>
      </c>
      <c r="Q3816">
        <v>0</v>
      </c>
      <c r="R3816">
        <v>0</v>
      </c>
      <c r="S3816">
        <v>0</v>
      </c>
      <c r="T3816">
        <v>0</v>
      </c>
      <c r="U3816">
        <v>0</v>
      </c>
      <c r="V3816">
        <v>0</v>
      </c>
      <c r="W3816">
        <v>0</v>
      </c>
      <c r="X3816">
        <v>0</v>
      </c>
      <c r="Y3816">
        <v>0</v>
      </c>
      <c r="Z3816">
        <v>0</v>
      </c>
      <c r="AA3816">
        <v>0</v>
      </c>
      <c r="AB3816">
        <v>0</v>
      </c>
      <c r="AC3816">
        <v>0</v>
      </c>
      <c r="AD3816">
        <v>0</v>
      </c>
      <c r="AE3816">
        <v>0</v>
      </c>
      <c r="AF3816">
        <v>0</v>
      </c>
      <c r="AG3816">
        <v>0</v>
      </c>
      <c r="AH3816">
        <v>0</v>
      </c>
      <c r="AI3816">
        <v>0</v>
      </c>
      <c r="AJ3816">
        <v>0</v>
      </c>
      <c r="AK3816">
        <v>0</v>
      </c>
      <c r="AL3816">
        <v>0</v>
      </c>
      <c r="AM3816">
        <v>0</v>
      </c>
      <c r="AN3816">
        <v>0</v>
      </c>
      <c r="AO3816">
        <v>0</v>
      </c>
      <c r="AP3816">
        <v>0</v>
      </c>
      <c r="AQ3816">
        <v>42.75</v>
      </c>
      <c r="AR3816">
        <v>0</v>
      </c>
      <c r="AS3816">
        <v>0</v>
      </c>
      <c r="AT3816">
        <v>0</v>
      </c>
      <c r="AU3816">
        <v>0</v>
      </c>
      <c r="AV3816">
        <v>0</v>
      </c>
      <c r="AW3816">
        <v>0</v>
      </c>
      <c r="AX3816">
        <v>0</v>
      </c>
      <c r="AY3816">
        <v>0</v>
      </c>
      <c r="AZ3816">
        <v>0</v>
      </c>
      <c r="BA3816">
        <v>0</v>
      </c>
      <c r="BB3816">
        <v>0</v>
      </c>
      <c r="BC3816">
        <v>0</v>
      </c>
      <c r="BD3816">
        <v>0</v>
      </c>
      <c r="BE3816">
        <v>0</v>
      </c>
      <c r="BF3816">
        <v>0</v>
      </c>
      <c r="BG3816">
        <v>0</v>
      </c>
      <c r="BH3816">
        <v>1</v>
      </c>
      <c r="BI3816">
        <v>4</v>
      </c>
      <c r="BJ3816">
        <v>1.1000000000000001</v>
      </c>
      <c r="BK3816">
        <v>4</v>
      </c>
      <c r="BL3816">
        <v>139.91</v>
      </c>
      <c r="BM3816">
        <v>20.99</v>
      </c>
      <c r="BN3816">
        <v>160.9</v>
      </c>
      <c r="BO3816">
        <v>160.9</v>
      </c>
      <c r="BQ3816" t="s">
        <v>634</v>
      </c>
      <c r="BR3816" t="s">
        <v>84</v>
      </c>
      <c r="BS3816" s="3">
        <v>45806</v>
      </c>
      <c r="BT3816" s="4">
        <v>0.41666666666666669</v>
      </c>
      <c r="BU3816" t="s">
        <v>1466</v>
      </c>
      <c r="BV3816" t="s">
        <v>86</v>
      </c>
      <c r="BY3816">
        <v>5320</v>
      </c>
      <c r="CA3816" t="s">
        <v>440</v>
      </c>
      <c r="CC3816" t="s">
        <v>104</v>
      </c>
      <c r="CD3816">
        <v>3212</v>
      </c>
      <c r="CE3816" t="s">
        <v>96</v>
      </c>
      <c r="CI3816">
        <v>2</v>
      </c>
      <c r="CJ3816">
        <v>1</v>
      </c>
      <c r="CK3816">
        <v>21</v>
      </c>
      <c r="CL3816" t="s">
        <v>89</v>
      </c>
    </row>
    <row r="3817" spans="1:90" x14ac:dyDescent="0.3">
      <c r="A3817" t="s">
        <v>72</v>
      </c>
      <c r="B3817" t="s">
        <v>73</v>
      </c>
      <c r="C3817" t="s">
        <v>74</v>
      </c>
      <c r="E3817" t="str">
        <f>"080065625574"</f>
        <v>080065625574</v>
      </c>
      <c r="F3817" s="3">
        <v>45805</v>
      </c>
      <c r="G3817">
        <v>202602</v>
      </c>
      <c r="H3817" t="s">
        <v>75</v>
      </c>
      <c r="I3817" t="s">
        <v>76</v>
      </c>
      <c r="J3817" t="s">
        <v>77</v>
      </c>
      <c r="K3817" t="s">
        <v>78</v>
      </c>
      <c r="L3817" t="s">
        <v>103</v>
      </c>
      <c r="M3817" t="s">
        <v>104</v>
      </c>
      <c r="N3817" t="s">
        <v>437</v>
      </c>
      <c r="O3817" t="s">
        <v>82</v>
      </c>
      <c r="P3817" t="str">
        <f>"4170041143                    "</f>
        <v xml:space="preserve">4170041143                    </v>
      </c>
      <c r="Q3817">
        <v>0</v>
      </c>
      <c r="R3817">
        <v>0</v>
      </c>
      <c r="S3817">
        <v>0</v>
      </c>
      <c r="T3817">
        <v>0</v>
      </c>
      <c r="U3817">
        <v>0</v>
      </c>
      <c r="V3817">
        <v>0</v>
      </c>
      <c r="W3817">
        <v>0</v>
      </c>
      <c r="X3817">
        <v>0</v>
      </c>
      <c r="Y3817">
        <v>0</v>
      </c>
      <c r="Z3817">
        <v>0</v>
      </c>
      <c r="AA3817">
        <v>0</v>
      </c>
      <c r="AB3817">
        <v>0</v>
      </c>
      <c r="AC3817">
        <v>0</v>
      </c>
      <c r="AD3817">
        <v>0</v>
      </c>
      <c r="AE3817">
        <v>0</v>
      </c>
      <c r="AF3817">
        <v>0</v>
      </c>
      <c r="AG3817">
        <v>0</v>
      </c>
      <c r="AH3817">
        <v>0</v>
      </c>
      <c r="AI3817">
        <v>0</v>
      </c>
      <c r="AJ3817">
        <v>0</v>
      </c>
      <c r="AK3817">
        <v>0</v>
      </c>
      <c r="AL3817">
        <v>0</v>
      </c>
      <c r="AM3817">
        <v>0</v>
      </c>
      <c r="AN3817">
        <v>0</v>
      </c>
      <c r="AO3817">
        <v>0</v>
      </c>
      <c r="AP3817">
        <v>0</v>
      </c>
      <c r="AQ3817">
        <v>21.38</v>
      </c>
      <c r="AR3817">
        <v>0</v>
      </c>
      <c r="AS3817">
        <v>0</v>
      </c>
      <c r="AT3817">
        <v>0</v>
      </c>
      <c r="AU3817">
        <v>0</v>
      </c>
      <c r="AV3817">
        <v>0</v>
      </c>
      <c r="AW3817">
        <v>0</v>
      </c>
      <c r="AX3817">
        <v>0</v>
      </c>
      <c r="AY3817">
        <v>0</v>
      </c>
      <c r="AZ3817">
        <v>0</v>
      </c>
      <c r="BA3817">
        <v>0</v>
      </c>
      <c r="BB3817">
        <v>0</v>
      </c>
      <c r="BC3817">
        <v>0</v>
      </c>
      <c r="BD3817">
        <v>0</v>
      </c>
      <c r="BE3817">
        <v>0</v>
      </c>
      <c r="BF3817">
        <v>0</v>
      </c>
      <c r="BG3817">
        <v>0</v>
      </c>
      <c r="BH3817">
        <v>1</v>
      </c>
      <c r="BI3817">
        <v>1</v>
      </c>
      <c r="BJ3817">
        <v>0.9</v>
      </c>
      <c r="BK3817">
        <v>1</v>
      </c>
      <c r="BL3817">
        <v>69.98</v>
      </c>
      <c r="BM3817">
        <v>10.5</v>
      </c>
      <c r="BN3817">
        <v>80.48</v>
      </c>
      <c r="BO3817">
        <v>80.48</v>
      </c>
      <c r="BQ3817" t="s">
        <v>1025</v>
      </c>
      <c r="BR3817" t="s">
        <v>84</v>
      </c>
      <c r="BS3817" s="3">
        <v>45806</v>
      </c>
      <c r="BT3817" s="4">
        <v>0.41666666666666669</v>
      </c>
      <c r="BU3817" t="s">
        <v>3416</v>
      </c>
      <c r="BV3817" t="s">
        <v>86</v>
      </c>
      <c r="BY3817">
        <v>4275</v>
      </c>
      <c r="CA3817" t="s">
        <v>440</v>
      </c>
      <c r="CC3817" t="s">
        <v>104</v>
      </c>
      <c r="CD3817">
        <v>3212</v>
      </c>
      <c r="CE3817" t="s">
        <v>96</v>
      </c>
      <c r="CI3817">
        <v>2</v>
      </c>
      <c r="CJ3817">
        <v>1</v>
      </c>
      <c r="CK3817">
        <v>21</v>
      </c>
      <c r="CL3817" t="s">
        <v>89</v>
      </c>
    </row>
    <row r="3818" spans="1:90" x14ac:dyDescent="0.3">
      <c r="A3818" t="s">
        <v>72</v>
      </c>
      <c r="B3818" t="s">
        <v>73</v>
      </c>
      <c r="C3818" t="s">
        <v>74</v>
      </c>
      <c r="E3818" t="str">
        <f>"080065625584"</f>
        <v>080065625584</v>
      </c>
      <c r="F3818" s="3">
        <v>45805</v>
      </c>
      <c r="G3818">
        <v>202602</v>
      </c>
      <c r="H3818" t="s">
        <v>75</v>
      </c>
      <c r="I3818" t="s">
        <v>76</v>
      </c>
      <c r="J3818" t="s">
        <v>77</v>
      </c>
      <c r="K3818" t="s">
        <v>78</v>
      </c>
      <c r="L3818" t="s">
        <v>287</v>
      </c>
      <c r="M3818" t="s">
        <v>288</v>
      </c>
      <c r="N3818" t="s">
        <v>289</v>
      </c>
      <c r="O3818" t="s">
        <v>82</v>
      </c>
      <c r="P3818" t="str">
        <f>"4170041253                    "</f>
        <v xml:space="preserve">4170041253                    </v>
      </c>
      <c r="Q3818">
        <v>0</v>
      </c>
      <c r="R3818">
        <v>0</v>
      </c>
      <c r="S3818">
        <v>0</v>
      </c>
      <c r="T3818">
        <v>0</v>
      </c>
      <c r="U3818">
        <v>0</v>
      </c>
      <c r="V3818">
        <v>0</v>
      </c>
      <c r="W3818">
        <v>0</v>
      </c>
      <c r="X3818">
        <v>0</v>
      </c>
      <c r="Y3818">
        <v>0</v>
      </c>
      <c r="Z3818">
        <v>0</v>
      </c>
      <c r="AA3818">
        <v>0</v>
      </c>
      <c r="AB3818">
        <v>0</v>
      </c>
      <c r="AC3818">
        <v>0</v>
      </c>
      <c r="AD3818">
        <v>0</v>
      </c>
      <c r="AE3818">
        <v>0</v>
      </c>
      <c r="AF3818">
        <v>0</v>
      </c>
      <c r="AG3818">
        <v>0</v>
      </c>
      <c r="AH3818">
        <v>0</v>
      </c>
      <c r="AI3818">
        <v>0</v>
      </c>
      <c r="AJ3818">
        <v>0</v>
      </c>
      <c r="AK3818">
        <v>0</v>
      </c>
      <c r="AL3818">
        <v>0</v>
      </c>
      <c r="AM3818">
        <v>0</v>
      </c>
      <c r="AN3818">
        <v>0</v>
      </c>
      <c r="AO3818">
        <v>0</v>
      </c>
      <c r="AP3818">
        <v>0</v>
      </c>
      <c r="AQ3818">
        <v>41.43</v>
      </c>
      <c r="AR3818">
        <v>0</v>
      </c>
      <c r="AS3818">
        <v>0</v>
      </c>
      <c r="AT3818">
        <v>0</v>
      </c>
      <c r="AU3818">
        <v>0</v>
      </c>
      <c r="AV3818">
        <v>0</v>
      </c>
      <c r="AW3818">
        <v>0</v>
      </c>
      <c r="AX3818">
        <v>0</v>
      </c>
      <c r="AY3818">
        <v>0</v>
      </c>
      <c r="AZ3818">
        <v>0</v>
      </c>
      <c r="BA3818">
        <v>0</v>
      </c>
      <c r="BB3818">
        <v>0</v>
      </c>
      <c r="BC3818">
        <v>0</v>
      </c>
      <c r="BD3818">
        <v>0</v>
      </c>
      <c r="BE3818">
        <v>0</v>
      </c>
      <c r="BF3818">
        <v>0</v>
      </c>
      <c r="BG3818">
        <v>0</v>
      </c>
      <c r="BH3818">
        <v>1</v>
      </c>
      <c r="BI3818">
        <v>1</v>
      </c>
      <c r="BJ3818">
        <v>1.7</v>
      </c>
      <c r="BK3818">
        <v>2</v>
      </c>
      <c r="BL3818">
        <v>135.59</v>
      </c>
      <c r="BM3818">
        <v>20.34</v>
      </c>
      <c r="BN3818">
        <v>155.93</v>
      </c>
      <c r="BO3818">
        <v>155.93</v>
      </c>
      <c r="BQ3818" t="s">
        <v>290</v>
      </c>
      <c r="BR3818" t="s">
        <v>84</v>
      </c>
      <c r="BS3818" s="3">
        <v>45806</v>
      </c>
      <c r="BT3818" s="4">
        <v>0.52847222222222223</v>
      </c>
      <c r="BU3818" t="s">
        <v>291</v>
      </c>
      <c r="BV3818" t="s">
        <v>86</v>
      </c>
      <c r="BY3818">
        <v>8512</v>
      </c>
      <c r="CA3818" t="s">
        <v>292</v>
      </c>
      <c r="CC3818" t="s">
        <v>288</v>
      </c>
      <c r="CD3818">
        <v>6715</v>
      </c>
      <c r="CE3818" t="s">
        <v>96</v>
      </c>
      <c r="CF3818" s="3">
        <v>45807</v>
      </c>
      <c r="CI3818">
        <v>2</v>
      </c>
      <c r="CJ3818">
        <v>1</v>
      </c>
      <c r="CK3818">
        <v>23</v>
      </c>
      <c r="CL3818" t="s">
        <v>89</v>
      </c>
    </row>
    <row r="3819" spans="1:90" x14ac:dyDescent="0.3">
      <c r="A3819" t="s">
        <v>72</v>
      </c>
      <c r="B3819" t="s">
        <v>73</v>
      </c>
      <c r="C3819" t="s">
        <v>74</v>
      </c>
      <c r="E3819" t="str">
        <f>"080065625598"</f>
        <v>080065625598</v>
      </c>
      <c r="F3819" s="3">
        <v>45805</v>
      </c>
      <c r="G3819">
        <v>202602</v>
      </c>
      <c r="H3819" t="s">
        <v>75</v>
      </c>
      <c r="I3819" t="s">
        <v>76</v>
      </c>
      <c r="J3819" t="s">
        <v>77</v>
      </c>
      <c r="K3819" t="s">
        <v>78</v>
      </c>
      <c r="L3819" t="s">
        <v>331</v>
      </c>
      <c r="M3819" t="s">
        <v>332</v>
      </c>
      <c r="N3819" t="s">
        <v>3417</v>
      </c>
      <c r="O3819" t="s">
        <v>300</v>
      </c>
      <c r="P3819" t="str">
        <f>"4170041231                    "</f>
        <v xml:space="preserve">4170041231                    </v>
      </c>
      <c r="Q3819">
        <v>0</v>
      </c>
      <c r="R3819">
        <v>0</v>
      </c>
      <c r="S3819">
        <v>0</v>
      </c>
      <c r="T3819">
        <v>0</v>
      </c>
      <c r="U3819">
        <v>0</v>
      </c>
      <c r="V3819">
        <v>0</v>
      </c>
      <c r="W3819">
        <v>0</v>
      </c>
      <c r="X3819">
        <v>0</v>
      </c>
      <c r="Y3819">
        <v>0</v>
      </c>
      <c r="Z3819">
        <v>0</v>
      </c>
      <c r="AA3819">
        <v>0</v>
      </c>
      <c r="AB3819">
        <v>0</v>
      </c>
      <c r="AC3819">
        <v>0</v>
      </c>
      <c r="AD3819">
        <v>0</v>
      </c>
      <c r="AE3819">
        <v>0</v>
      </c>
      <c r="AF3819">
        <v>0</v>
      </c>
      <c r="AG3819">
        <v>0</v>
      </c>
      <c r="AH3819">
        <v>0</v>
      </c>
      <c r="AI3819">
        <v>0</v>
      </c>
      <c r="AJ3819">
        <v>0</v>
      </c>
      <c r="AK3819">
        <v>0</v>
      </c>
      <c r="AL3819">
        <v>0</v>
      </c>
      <c r="AM3819">
        <v>0</v>
      </c>
      <c r="AN3819">
        <v>0</v>
      </c>
      <c r="AO3819">
        <v>0</v>
      </c>
      <c r="AP3819">
        <v>0</v>
      </c>
      <c r="AQ3819">
        <v>31.91</v>
      </c>
      <c r="AR3819">
        <v>0</v>
      </c>
      <c r="AS3819">
        <v>0</v>
      </c>
      <c r="AT3819">
        <v>0</v>
      </c>
      <c r="AU3819">
        <v>0</v>
      </c>
      <c r="AV3819">
        <v>0</v>
      </c>
      <c r="AW3819">
        <v>0</v>
      </c>
      <c r="AX3819">
        <v>0</v>
      </c>
      <c r="AY3819">
        <v>0</v>
      </c>
      <c r="AZ3819">
        <v>0</v>
      </c>
      <c r="BA3819">
        <v>0</v>
      </c>
      <c r="BB3819">
        <v>0</v>
      </c>
      <c r="BC3819">
        <v>0</v>
      </c>
      <c r="BD3819">
        <v>0</v>
      </c>
      <c r="BE3819">
        <v>0</v>
      </c>
      <c r="BF3819">
        <v>0</v>
      </c>
      <c r="BG3819">
        <v>0</v>
      </c>
      <c r="BH3819">
        <v>1</v>
      </c>
      <c r="BI3819">
        <v>3</v>
      </c>
      <c r="BJ3819">
        <v>1.4</v>
      </c>
      <c r="BK3819">
        <v>3</v>
      </c>
      <c r="BL3819">
        <v>110</v>
      </c>
      <c r="BM3819">
        <v>16.5</v>
      </c>
      <c r="BN3819">
        <v>126.5</v>
      </c>
      <c r="BO3819">
        <v>126.5</v>
      </c>
      <c r="BQ3819" t="s">
        <v>3418</v>
      </c>
      <c r="BR3819" t="s">
        <v>84</v>
      </c>
      <c r="BS3819" s="3">
        <v>45806</v>
      </c>
      <c r="BT3819" s="4">
        <v>0.39444444444444443</v>
      </c>
      <c r="BU3819" t="s">
        <v>3419</v>
      </c>
      <c r="BV3819" t="s">
        <v>86</v>
      </c>
      <c r="BY3819">
        <v>6840</v>
      </c>
      <c r="CA3819" t="s">
        <v>336</v>
      </c>
      <c r="CC3819" t="s">
        <v>332</v>
      </c>
      <c r="CD3819">
        <v>1450</v>
      </c>
      <c r="CE3819" t="s">
        <v>1047</v>
      </c>
      <c r="CF3819" s="3">
        <v>45806</v>
      </c>
      <c r="CI3819">
        <v>1</v>
      </c>
      <c r="CJ3819">
        <v>1</v>
      </c>
      <c r="CK3819">
        <v>42</v>
      </c>
      <c r="CL3819" t="s">
        <v>89</v>
      </c>
    </row>
    <row r="3820" spans="1:90" x14ac:dyDescent="0.3">
      <c r="A3820" t="s">
        <v>72</v>
      </c>
      <c r="B3820" t="s">
        <v>73</v>
      </c>
      <c r="C3820" t="s">
        <v>74</v>
      </c>
      <c r="E3820" t="str">
        <f>"080065625614"</f>
        <v>080065625614</v>
      </c>
      <c r="F3820" s="3">
        <v>45805</v>
      </c>
      <c r="G3820">
        <v>202602</v>
      </c>
      <c r="H3820" t="s">
        <v>75</v>
      </c>
      <c r="I3820" t="s">
        <v>76</v>
      </c>
      <c r="J3820" t="s">
        <v>77</v>
      </c>
      <c r="K3820" t="s">
        <v>78</v>
      </c>
      <c r="L3820" t="s">
        <v>90</v>
      </c>
      <c r="M3820" t="s">
        <v>91</v>
      </c>
      <c r="N3820" t="s">
        <v>543</v>
      </c>
      <c r="O3820" t="s">
        <v>82</v>
      </c>
      <c r="P3820" t="str">
        <f>"4170041223                    "</f>
        <v xml:space="preserve">4170041223                    </v>
      </c>
      <c r="Q3820">
        <v>0</v>
      </c>
      <c r="R3820">
        <v>0</v>
      </c>
      <c r="S3820">
        <v>0</v>
      </c>
      <c r="T3820">
        <v>0</v>
      </c>
      <c r="U3820">
        <v>0</v>
      </c>
      <c r="V3820">
        <v>0</v>
      </c>
      <c r="W3820">
        <v>0</v>
      </c>
      <c r="X3820">
        <v>0</v>
      </c>
      <c r="Y3820">
        <v>0</v>
      </c>
      <c r="Z3820">
        <v>0</v>
      </c>
      <c r="AA3820">
        <v>0</v>
      </c>
      <c r="AB3820">
        <v>0</v>
      </c>
      <c r="AC3820">
        <v>0</v>
      </c>
      <c r="AD3820">
        <v>0</v>
      </c>
      <c r="AE3820">
        <v>0</v>
      </c>
      <c r="AF3820">
        <v>0</v>
      </c>
      <c r="AG3820">
        <v>0</v>
      </c>
      <c r="AH3820">
        <v>0</v>
      </c>
      <c r="AI3820">
        <v>0</v>
      </c>
      <c r="AJ3820">
        <v>0</v>
      </c>
      <c r="AK3820">
        <v>0</v>
      </c>
      <c r="AL3820">
        <v>0</v>
      </c>
      <c r="AM3820">
        <v>0</v>
      </c>
      <c r="AN3820">
        <v>0</v>
      </c>
      <c r="AO3820">
        <v>0</v>
      </c>
      <c r="AP3820">
        <v>0</v>
      </c>
      <c r="AQ3820">
        <v>48.09</v>
      </c>
      <c r="AR3820">
        <v>0</v>
      </c>
      <c r="AS3820">
        <v>0</v>
      </c>
      <c r="AT3820">
        <v>0</v>
      </c>
      <c r="AU3820">
        <v>0</v>
      </c>
      <c r="AV3820">
        <v>0</v>
      </c>
      <c r="AW3820">
        <v>0</v>
      </c>
      <c r="AX3820">
        <v>0</v>
      </c>
      <c r="AY3820">
        <v>0</v>
      </c>
      <c r="AZ3820">
        <v>0</v>
      </c>
      <c r="BA3820">
        <v>0</v>
      </c>
      <c r="BB3820">
        <v>0</v>
      </c>
      <c r="BC3820">
        <v>0</v>
      </c>
      <c r="BD3820">
        <v>0</v>
      </c>
      <c r="BE3820">
        <v>0</v>
      </c>
      <c r="BF3820">
        <v>0</v>
      </c>
      <c r="BG3820">
        <v>0</v>
      </c>
      <c r="BH3820">
        <v>1</v>
      </c>
      <c r="BI3820">
        <v>3</v>
      </c>
      <c r="BJ3820">
        <v>4.5</v>
      </c>
      <c r="BK3820">
        <v>4.5</v>
      </c>
      <c r="BL3820">
        <v>157.38999999999999</v>
      </c>
      <c r="BM3820">
        <v>23.61</v>
      </c>
      <c r="BN3820">
        <v>181</v>
      </c>
      <c r="BO3820">
        <v>181</v>
      </c>
      <c r="BQ3820" t="s">
        <v>544</v>
      </c>
      <c r="BR3820" t="s">
        <v>84</v>
      </c>
      <c r="BS3820" s="3">
        <v>45806</v>
      </c>
      <c r="BT3820" s="4">
        <v>0.35069444444444442</v>
      </c>
      <c r="BU3820" t="s">
        <v>545</v>
      </c>
      <c r="BV3820" t="s">
        <v>86</v>
      </c>
      <c r="BY3820">
        <v>22620</v>
      </c>
      <c r="CA3820" t="s">
        <v>283</v>
      </c>
      <c r="CC3820" t="s">
        <v>91</v>
      </c>
      <c r="CD3820">
        <v>6001</v>
      </c>
      <c r="CE3820" t="s">
        <v>96</v>
      </c>
      <c r="CF3820" s="3">
        <v>45806</v>
      </c>
      <c r="CI3820">
        <v>1</v>
      </c>
      <c r="CJ3820">
        <v>1</v>
      </c>
      <c r="CK3820">
        <v>21</v>
      </c>
      <c r="CL3820" t="s">
        <v>89</v>
      </c>
    </row>
    <row r="3821" spans="1:90" x14ac:dyDescent="0.3">
      <c r="A3821" t="s">
        <v>72</v>
      </c>
      <c r="B3821" t="s">
        <v>73</v>
      </c>
      <c r="C3821" t="s">
        <v>74</v>
      </c>
      <c r="E3821" t="str">
        <f>"080065625642"</f>
        <v>080065625642</v>
      </c>
      <c r="F3821" s="3">
        <v>45805</v>
      </c>
      <c r="G3821">
        <v>202602</v>
      </c>
      <c r="H3821" t="s">
        <v>75</v>
      </c>
      <c r="I3821" t="s">
        <v>76</v>
      </c>
      <c r="J3821" t="s">
        <v>77</v>
      </c>
      <c r="K3821" t="s">
        <v>78</v>
      </c>
      <c r="L3821" t="s">
        <v>103</v>
      </c>
      <c r="M3821" t="s">
        <v>104</v>
      </c>
      <c r="N3821" t="s">
        <v>1815</v>
      </c>
      <c r="O3821" t="s">
        <v>82</v>
      </c>
      <c r="P3821" t="str">
        <f>"4170041217                    "</f>
        <v xml:space="preserve">4170041217                    </v>
      </c>
      <c r="Q3821">
        <v>0</v>
      </c>
      <c r="R3821">
        <v>0</v>
      </c>
      <c r="S3821">
        <v>0</v>
      </c>
      <c r="T3821">
        <v>0</v>
      </c>
      <c r="U3821">
        <v>0</v>
      </c>
      <c r="V3821">
        <v>0</v>
      </c>
      <c r="W3821">
        <v>0</v>
      </c>
      <c r="X3821">
        <v>0</v>
      </c>
      <c r="Y3821">
        <v>0</v>
      </c>
      <c r="Z3821">
        <v>0</v>
      </c>
      <c r="AA3821">
        <v>0</v>
      </c>
      <c r="AB3821">
        <v>0</v>
      </c>
      <c r="AC3821">
        <v>0</v>
      </c>
      <c r="AD3821">
        <v>0</v>
      </c>
      <c r="AE3821">
        <v>0</v>
      </c>
      <c r="AF3821">
        <v>0</v>
      </c>
      <c r="AG3821">
        <v>0</v>
      </c>
      <c r="AH3821">
        <v>0</v>
      </c>
      <c r="AI3821">
        <v>0</v>
      </c>
      <c r="AJ3821">
        <v>0</v>
      </c>
      <c r="AK3821">
        <v>0</v>
      </c>
      <c r="AL3821">
        <v>0</v>
      </c>
      <c r="AM3821">
        <v>0</v>
      </c>
      <c r="AN3821">
        <v>0</v>
      </c>
      <c r="AO3821">
        <v>0</v>
      </c>
      <c r="AP3821">
        <v>0</v>
      </c>
      <c r="AQ3821">
        <v>21.38</v>
      </c>
      <c r="AR3821">
        <v>0</v>
      </c>
      <c r="AS3821">
        <v>0</v>
      </c>
      <c r="AT3821">
        <v>0</v>
      </c>
      <c r="AU3821">
        <v>0</v>
      </c>
      <c r="AV3821">
        <v>0</v>
      </c>
      <c r="AW3821">
        <v>0</v>
      </c>
      <c r="AX3821">
        <v>0</v>
      </c>
      <c r="AY3821">
        <v>0</v>
      </c>
      <c r="AZ3821">
        <v>0</v>
      </c>
      <c r="BA3821">
        <v>0</v>
      </c>
      <c r="BB3821">
        <v>0</v>
      </c>
      <c r="BC3821">
        <v>0</v>
      </c>
      <c r="BD3821">
        <v>0</v>
      </c>
      <c r="BE3821">
        <v>0</v>
      </c>
      <c r="BF3821">
        <v>0</v>
      </c>
      <c r="BG3821">
        <v>0</v>
      </c>
      <c r="BH3821">
        <v>1</v>
      </c>
      <c r="BI3821">
        <v>1</v>
      </c>
      <c r="BJ3821">
        <v>1.4</v>
      </c>
      <c r="BK3821">
        <v>1.5</v>
      </c>
      <c r="BL3821">
        <v>69.98</v>
      </c>
      <c r="BM3821">
        <v>10.5</v>
      </c>
      <c r="BN3821">
        <v>80.48</v>
      </c>
      <c r="BO3821">
        <v>80.48</v>
      </c>
      <c r="BQ3821" t="s">
        <v>1816</v>
      </c>
      <c r="BR3821" t="s">
        <v>84</v>
      </c>
      <c r="BS3821" s="3">
        <v>45806</v>
      </c>
      <c r="BT3821" s="4">
        <v>0.41666666666666669</v>
      </c>
      <c r="BU3821" t="s">
        <v>3420</v>
      </c>
      <c r="BV3821" t="s">
        <v>86</v>
      </c>
      <c r="BY3821">
        <v>7000</v>
      </c>
      <c r="CA3821" t="s">
        <v>3421</v>
      </c>
      <c r="CC3821" t="s">
        <v>104</v>
      </c>
      <c r="CD3821">
        <v>3201</v>
      </c>
      <c r="CE3821" t="s">
        <v>96</v>
      </c>
      <c r="CI3821">
        <v>1</v>
      </c>
      <c r="CJ3821">
        <v>1</v>
      </c>
      <c r="CK3821">
        <v>21</v>
      </c>
      <c r="CL3821" t="s">
        <v>89</v>
      </c>
    </row>
    <row r="3822" spans="1:90" x14ac:dyDescent="0.3">
      <c r="A3822" t="s">
        <v>72</v>
      </c>
      <c r="B3822" t="s">
        <v>73</v>
      </c>
      <c r="C3822" t="s">
        <v>74</v>
      </c>
      <c r="E3822" t="str">
        <f>"080065625663"</f>
        <v>080065625663</v>
      </c>
      <c r="F3822" s="3">
        <v>45805</v>
      </c>
      <c r="G3822">
        <v>202602</v>
      </c>
      <c r="H3822" t="s">
        <v>75</v>
      </c>
      <c r="I3822" t="s">
        <v>76</v>
      </c>
      <c r="J3822" t="s">
        <v>77</v>
      </c>
      <c r="K3822" t="s">
        <v>78</v>
      </c>
      <c r="L3822" t="s">
        <v>136</v>
      </c>
      <c r="M3822" t="s">
        <v>137</v>
      </c>
      <c r="N3822" t="s">
        <v>3422</v>
      </c>
      <c r="O3822" t="s">
        <v>82</v>
      </c>
      <c r="P3822" t="str">
        <f>"4170041234                    "</f>
        <v xml:space="preserve">4170041234                    </v>
      </c>
      <c r="Q3822">
        <v>0</v>
      </c>
      <c r="R3822">
        <v>0</v>
      </c>
      <c r="S3822">
        <v>0</v>
      </c>
      <c r="T3822">
        <v>0</v>
      </c>
      <c r="U3822">
        <v>0</v>
      </c>
      <c r="V3822">
        <v>0</v>
      </c>
      <c r="W3822">
        <v>0</v>
      </c>
      <c r="X3822">
        <v>0</v>
      </c>
      <c r="Y3822">
        <v>0</v>
      </c>
      <c r="Z3822">
        <v>0</v>
      </c>
      <c r="AA3822">
        <v>0</v>
      </c>
      <c r="AB3822">
        <v>0</v>
      </c>
      <c r="AC3822">
        <v>0</v>
      </c>
      <c r="AD3822">
        <v>0</v>
      </c>
      <c r="AE3822">
        <v>0</v>
      </c>
      <c r="AF3822">
        <v>0</v>
      </c>
      <c r="AG3822">
        <v>0</v>
      </c>
      <c r="AH3822">
        <v>0</v>
      </c>
      <c r="AI3822">
        <v>0</v>
      </c>
      <c r="AJ3822">
        <v>0</v>
      </c>
      <c r="AK3822">
        <v>0</v>
      </c>
      <c r="AL3822">
        <v>0</v>
      </c>
      <c r="AM3822">
        <v>0</v>
      </c>
      <c r="AN3822">
        <v>0</v>
      </c>
      <c r="AO3822">
        <v>0</v>
      </c>
      <c r="AP3822">
        <v>0</v>
      </c>
      <c r="AQ3822">
        <v>21.38</v>
      </c>
      <c r="AR3822">
        <v>0</v>
      </c>
      <c r="AS3822">
        <v>0</v>
      </c>
      <c r="AT3822">
        <v>0</v>
      </c>
      <c r="AU3822">
        <v>0</v>
      </c>
      <c r="AV3822">
        <v>0</v>
      </c>
      <c r="AW3822">
        <v>0</v>
      </c>
      <c r="AX3822">
        <v>0</v>
      </c>
      <c r="AY3822">
        <v>0</v>
      </c>
      <c r="AZ3822">
        <v>0</v>
      </c>
      <c r="BA3822">
        <v>0</v>
      </c>
      <c r="BB3822">
        <v>0</v>
      </c>
      <c r="BC3822">
        <v>0</v>
      </c>
      <c r="BD3822">
        <v>0</v>
      </c>
      <c r="BE3822">
        <v>0</v>
      </c>
      <c r="BF3822">
        <v>0</v>
      </c>
      <c r="BG3822">
        <v>0</v>
      </c>
      <c r="BH3822">
        <v>1</v>
      </c>
      <c r="BI3822">
        <v>1</v>
      </c>
      <c r="BJ3822">
        <v>1.9</v>
      </c>
      <c r="BK3822">
        <v>2</v>
      </c>
      <c r="BL3822">
        <v>69.98</v>
      </c>
      <c r="BM3822">
        <v>10.5</v>
      </c>
      <c r="BN3822">
        <v>80.48</v>
      </c>
      <c r="BO3822">
        <v>80.48</v>
      </c>
      <c r="BQ3822" t="s">
        <v>3423</v>
      </c>
      <c r="BR3822" t="s">
        <v>84</v>
      </c>
      <c r="BS3822" s="3">
        <v>45806</v>
      </c>
      <c r="BT3822" s="4">
        <v>0.38541666666666669</v>
      </c>
      <c r="BU3822" t="s">
        <v>2876</v>
      </c>
      <c r="BV3822" t="s">
        <v>86</v>
      </c>
      <c r="BY3822">
        <v>9600</v>
      </c>
      <c r="CA3822" t="s">
        <v>2800</v>
      </c>
      <c r="CC3822" t="s">
        <v>137</v>
      </c>
      <c r="CD3822" s="5" t="s">
        <v>165</v>
      </c>
      <c r="CE3822" t="s">
        <v>96</v>
      </c>
      <c r="CF3822" s="3">
        <v>45806</v>
      </c>
      <c r="CI3822">
        <v>1</v>
      </c>
      <c r="CJ3822">
        <v>1</v>
      </c>
      <c r="CK3822">
        <v>21</v>
      </c>
      <c r="CL3822" t="s">
        <v>89</v>
      </c>
    </row>
    <row r="3823" spans="1:90" x14ac:dyDescent="0.3">
      <c r="A3823" t="s">
        <v>72</v>
      </c>
      <c r="B3823" t="s">
        <v>73</v>
      </c>
      <c r="C3823" t="s">
        <v>74</v>
      </c>
      <c r="E3823" t="str">
        <f>"080065625674"</f>
        <v>080065625674</v>
      </c>
      <c r="F3823" s="3">
        <v>45805</v>
      </c>
      <c r="G3823">
        <v>202602</v>
      </c>
      <c r="H3823" t="s">
        <v>75</v>
      </c>
      <c r="I3823" t="s">
        <v>76</v>
      </c>
      <c r="J3823" t="s">
        <v>77</v>
      </c>
      <c r="K3823" t="s">
        <v>78</v>
      </c>
      <c r="L3823" t="s">
        <v>350</v>
      </c>
      <c r="M3823" t="s">
        <v>351</v>
      </c>
      <c r="N3823" t="s">
        <v>459</v>
      </c>
      <c r="O3823" t="s">
        <v>82</v>
      </c>
      <c r="P3823" t="str">
        <f>"4170041052                    "</f>
        <v xml:space="preserve">4170041052                    </v>
      </c>
      <c r="Q3823">
        <v>0</v>
      </c>
      <c r="R3823">
        <v>0</v>
      </c>
      <c r="S3823">
        <v>0</v>
      </c>
      <c r="T3823">
        <v>0</v>
      </c>
      <c r="U3823">
        <v>0</v>
      </c>
      <c r="V3823">
        <v>0</v>
      </c>
      <c r="W3823">
        <v>0</v>
      </c>
      <c r="X3823">
        <v>0</v>
      </c>
      <c r="Y3823">
        <v>0</v>
      </c>
      <c r="Z3823">
        <v>0</v>
      </c>
      <c r="AA3823">
        <v>0</v>
      </c>
      <c r="AB3823">
        <v>0</v>
      </c>
      <c r="AC3823">
        <v>0</v>
      </c>
      <c r="AD3823">
        <v>0</v>
      </c>
      <c r="AE3823">
        <v>0</v>
      </c>
      <c r="AF3823">
        <v>0</v>
      </c>
      <c r="AG3823">
        <v>0</v>
      </c>
      <c r="AH3823">
        <v>0</v>
      </c>
      <c r="AI3823">
        <v>0</v>
      </c>
      <c r="AJ3823">
        <v>0</v>
      </c>
      <c r="AK3823">
        <v>0</v>
      </c>
      <c r="AL3823">
        <v>0</v>
      </c>
      <c r="AM3823">
        <v>0</v>
      </c>
      <c r="AN3823">
        <v>0</v>
      </c>
      <c r="AO3823">
        <v>0</v>
      </c>
      <c r="AP3823">
        <v>0</v>
      </c>
      <c r="AQ3823">
        <v>74.8</v>
      </c>
      <c r="AR3823">
        <v>0</v>
      </c>
      <c r="AS3823">
        <v>0</v>
      </c>
      <c r="AT3823">
        <v>0</v>
      </c>
      <c r="AU3823">
        <v>0</v>
      </c>
      <c r="AV3823">
        <v>0</v>
      </c>
      <c r="AW3823">
        <v>0</v>
      </c>
      <c r="AX3823">
        <v>0</v>
      </c>
      <c r="AY3823">
        <v>0</v>
      </c>
      <c r="AZ3823">
        <v>0</v>
      </c>
      <c r="BA3823">
        <v>0</v>
      </c>
      <c r="BB3823">
        <v>0</v>
      </c>
      <c r="BC3823">
        <v>0</v>
      </c>
      <c r="BD3823">
        <v>0</v>
      </c>
      <c r="BE3823">
        <v>0</v>
      </c>
      <c r="BF3823">
        <v>0</v>
      </c>
      <c r="BG3823">
        <v>0</v>
      </c>
      <c r="BH3823">
        <v>1</v>
      </c>
      <c r="BI3823">
        <v>3</v>
      </c>
      <c r="BJ3823">
        <v>6.9</v>
      </c>
      <c r="BK3823">
        <v>7</v>
      </c>
      <c r="BL3823">
        <v>244.8</v>
      </c>
      <c r="BM3823">
        <v>36.72</v>
      </c>
      <c r="BN3823">
        <v>281.52</v>
      </c>
      <c r="BO3823">
        <v>281.52</v>
      </c>
      <c r="BQ3823" t="s">
        <v>460</v>
      </c>
      <c r="BR3823" t="s">
        <v>84</v>
      </c>
      <c r="BS3823" s="3">
        <v>45806</v>
      </c>
      <c r="BT3823" s="4">
        <v>0.35069444444444442</v>
      </c>
      <c r="BU3823" t="s">
        <v>1121</v>
      </c>
      <c r="BV3823" t="s">
        <v>86</v>
      </c>
      <c r="BY3823">
        <v>34580</v>
      </c>
      <c r="CA3823" t="s">
        <v>462</v>
      </c>
      <c r="CC3823" t="s">
        <v>351</v>
      </c>
      <c r="CD3823">
        <v>4051</v>
      </c>
      <c r="CE3823" t="s">
        <v>550</v>
      </c>
      <c r="CF3823" s="3">
        <v>45806</v>
      </c>
      <c r="CI3823">
        <v>1</v>
      </c>
      <c r="CJ3823">
        <v>1</v>
      </c>
      <c r="CK3823">
        <v>21</v>
      </c>
      <c r="CL3823" t="s">
        <v>89</v>
      </c>
    </row>
    <row r="3824" spans="1:90" x14ac:dyDescent="0.3">
      <c r="A3824" t="s">
        <v>72</v>
      </c>
      <c r="B3824" t="s">
        <v>73</v>
      </c>
      <c r="C3824" t="s">
        <v>74</v>
      </c>
      <c r="E3824" t="str">
        <f>"080065625697"</f>
        <v>080065625697</v>
      </c>
      <c r="F3824" s="3">
        <v>45805</v>
      </c>
      <c r="G3824">
        <v>202602</v>
      </c>
      <c r="H3824" t="s">
        <v>75</v>
      </c>
      <c r="I3824" t="s">
        <v>76</v>
      </c>
      <c r="J3824" t="s">
        <v>77</v>
      </c>
      <c r="K3824" t="s">
        <v>78</v>
      </c>
      <c r="L3824" t="s">
        <v>350</v>
      </c>
      <c r="M3824" t="s">
        <v>351</v>
      </c>
      <c r="N3824" t="s">
        <v>1333</v>
      </c>
      <c r="O3824" t="s">
        <v>82</v>
      </c>
      <c r="P3824" t="str">
        <f>"4170041269                    "</f>
        <v xml:space="preserve">4170041269                    </v>
      </c>
      <c r="Q3824">
        <v>0</v>
      </c>
      <c r="R3824">
        <v>0</v>
      </c>
      <c r="S3824">
        <v>0</v>
      </c>
      <c r="T3824">
        <v>0</v>
      </c>
      <c r="U3824">
        <v>0</v>
      </c>
      <c r="V3824">
        <v>0</v>
      </c>
      <c r="W3824">
        <v>0</v>
      </c>
      <c r="X3824">
        <v>0</v>
      </c>
      <c r="Y3824">
        <v>0</v>
      </c>
      <c r="Z3824">
        <v>0</v>
      </c>
      <c r="AA3824">
        <v>0</v>
      </c>
      <c r="AB3824">
        <v>0</v>
      </c>
      <c r="AC3824">
        <v>0</v>
      </c>
      <c r="AD3824">
        <v>0</v>
      </c>
      <c r="AE3824">
        <v>0</v>
      </c>
      <c r="AF3824">
        <v>0</v>
      </c>
      <c r="AG3824">
        <v>0</v>
      </c>
      <c r="AH3824">
        <v>0</v>
      </c>
      <c r="AI3824">
        <v>0</v>
      </c>
      <c r="AJ3824">
        <v>0</v>
      </c>
      <c r="AK3824">
        <v>0</v>
      </c>
      <c r="AL3824">
        <v>0</v>
      </c>
      <c r="AM3824">
        <v>0</v>
      </c>
      <c r="AN3824">
        <v>0</v>
      </c>
      <c r="AO3824">
        <v>0</v>
      </c>
      <c r="AP3824">
        <v>0</v>
      </c>
      <c r="AQ3824">
        <v>21.38</v>
      </c>
      <c r="AR3824">
        <v>0</v>
      </c>
      <c r="AS3824">
        <v>0</v>
      </c>
      <c r="AT3824">
        <v>0</v>
      </c>
      <c r="AU3824">
        <v>0</v>
      </c>
      <c r="AV3824">
        <v>0</v>
      </c>
      <c r="AW3824">
        <v>0</v>
      </c>
      <c r="AX3824">
        <v>0</v>
      </c>
      <c r="AY3824">
        <v>0</v>
      </c>
      <c r="AZ3824">
        <v>0</v>
      </c>
      <c r="BA3824">
        <v>0</v>
      </c>
      <c r="BB3824">
        <v>0</v>
      </c>
      <c r="BC3824">
        <v>0</v>
      </c>
      <c r="BD3824">
        <v>0</v>
      </c>
      <c r="BE3824">
        <v>0</v>
      </c>
      <c r="BF3824">
        <v>0</v>
      </c>
      <c r="BG3824">
        <v>0</v>
      </c>
      <c r="BH3824">
        <v>1</v>
      </c>
      <c r="BI3824">
        <v>1</v>
      </c>
      <c r="BJ3824">
        <v>1.1000000000000001</v>
      </c>
      <c r="BK3824">
        <v>1.5</v>
      </c>
      <c r="BL3824">
        <v>69.98</v>
      </c>
      <c r="BM3824">
        <v>10.5</v>
      </c>
      <c r="BN3824">
        <v>80.48</v>
      </c>
      <c r="BO3824">
        <v>80.48</v>
      </c>
      <c r="BQ3824" t="s">
        <v>1334</v>
      </c>
      <c r="BR3824" t="s">
        <v>84</v>
      </c>
      <c r="BS3824" s="3">
        <v>45806</v>
      </c>
      <c r="BT3824" s="4">
        <v>0.40416666666666667</v>
      </c>
      <c r="BU3824" t="s">
        <v>3424</v>
      </c>
      <c r="BV3824" t="s">
        <v>86</v>
      </c>
      <c r="BY3824">
        <v>5320</v>
      </c>
      <c r="CA3824" t="s">
        <v>1336</v>
      </c>
      <c r="CC3824" t="s">
        <v>351</v>
      </c>
      <c r="CD3824">
        <v>4000</v>
      </c>
      <c r="CE3824" t="s">
        <v>96</v>
      </c>
      <c r="CF3824" s="3">
        <v>45806</v>
      </c>
      <c r="CI3824">
        <v>1</v>
      </c>
      <c r="CJ3824">
        <v>1</v>
      </c>
      <c r="CK3824">
        <v>21</v>
      </c>
      <c r="CL3824" t="s">
        <v>89</v>
      </c>
    </row>
    <row r="3825" spans="1:90" x14ac:dyDescent="0.3">
      <c r="A3825" t="s">
        <v>72</v>
      </c>
      <c r="B3825" t="s">
        <v>73</v>
      </c>
      <c r="C3825" t="s">
        <v>74</v>
      </c>
      <c r="E3825" t="str">
        <f>"080065625728"</f>
        <v>080065625728</v>
      </c>
      <c r="F3825" s="3">
        <v>45805</v>
      </c>
      <c r="G3825">
        <v>202602</v>
      </c>
      <c r="H3825" t="s">
        <v>75</v>
      </c>
      <c r="I3825" t="s">
        <v>76</v>
      </c>
      <c r="J3825" t="s">
        <v>77</v>
      </c>
      <c r="K3825" t="s">
        <v>78</v>
      </c>
      <c r="L3825" t="s">
        <v>136</v>
      </c>
      <c r="M3825" t="s">
        <v>137</v>
      </c>
      <c r="N3825" t="s">
        <v>3425</v>
      </c>
      <c r="O3825" t="s">
        <v>300</v>
      </c>
      <c r="P3825" t="str">
        <f>"4170041270                    "</f>
        <v xml:space="preserve">4170041270                    </v>
      </c>
      <c r="Q3825">
        <v>0</v>
      </c>
      <c r="R3825">
        <v>0</v>
      </c>
      <c r="S3825">
        <v>0</v>
      </c>
      <c r="T3825">
        <v>0</v>
      </c>
      <c r="U3825">
        <v>0</v>
      </c>
      <c r="V3825">
        <v>0</v>
      </c>
      <c r="W3825">
        <v>0</v>
      </c>
      <c r="X3825">
        <v>0</v>
      </c>
      <c r="Y3825">
        <v>0</v>
      </c>
      <c r="Z3825">
        <v>0</v>
      </c>
      <c r="AA3825">
        <v>0</v>
      </c>
      <c r="AB3825">
        <v>0</v>
      </c>
      <c r="AC3825">
        <v>0</v>
      </c>
      <c r="AD3825">
        <v>0</v>
      </c>
      <c r="AE3825">
        <v>0</v>
      </c>
      <c r="AF3825">
        <v>0</v>
      </c>
      <c r="AG3825">
        <v>0</v>
      </c>
      <c r="AH3825">
        <v>0</v>
      </c>
      <c r="AI3825">
        <v>0</v>
      </c>
      <c r="AJ3825">
        <v>0</v>
      </c>
      <c r="AK3825">
        <v>0</v>
      </c>
      <c r="AL3825">
        <v>0</v>
      </c>
      <c r="AM3825">
        <v>0</v>
      </c>
      <c r="AN3825">
        <v>0</v>
      </c>
      <c r="AO3825">
        <v>0</v>
      </c>
      <c r="AP3825">
        <v>0</v>
      </c>
      <c r="AQ3825">
        <v>49.89</v>
      </c>
      <c r="AR3825">
        <v>0</v>
      </c>
      <c r="AS3825">
        <v>0</v>
      </c>
      <c r="AT3825">
        <v>0</v>
      </c>
      <c r="AU3825">
        <v>0</v>
      </c>
      <c r="AV3825">
        <v>0</v>
      </c>
      <c r="AW3825">
        <v>0</v>
      </c>
      <c r="AX3825">
        <v>0</v>
      </c>
      <c r="AY3825">
        <v>0</v>
      </c>
      <c r="AZ3825">
        <v>0</v>
      </c>
      <c r="BA3825">
        <v>0</v>
      </c>
      <c r="BB3825">
        <v>0</v>
      </c>
      <c r="BC3825">
        <v>0</v>
      </c>
      <c r="BD3825">
        <v>0</v>
      </c>
      <c r="BE3825">
        <v>0</v>
      </c>
      <c r="BF3825">
        <v>0</v>
      </c>
      <c r="BG3825">
        <v>0</v>
      </c>
      <c r="BH3825">
        <v>2</v>
      </c>
      <c r="BI3825">
        <v>20</v>
      </c>
      <c r="BJ3825">
        <v>7.8</v>
      </c>
      <c r="BK3825">
        <v>20</v>
      </c>
      <c r="BL3825">
        <v>168.84</v>
      </c>
      <c r="BM3825">
        <v>25.33</v>
      </c>
      <c r="BN3825">
        <v>194.17</v>
      </c>
      <c r="BO3825">
        <v>194.17</v>
      </c>
      <c r="BQ3825" t="s">
        <v>3426</v>
      </c>
      <c r="BR3825" t="s">
        <v>84</v>
      </c>
      <c r="BS3825" s="3">
        <v>45806</v>
      </c>
      <c r="BT3825" s="4">
        <v>0.68125000000000002</v>
      </c>
      <c r="BU3825" t="s">
        <v>3427</v>
      </c>
      <c r="BV3825" t="s">
        <v>86</v>
      </c>
      <c r="BY3825">
        <v>19440</v>
      </c>
      <c r="CA3825" t="s">
        <v>3428</v>
      </c>
      <c r="CC3825" t="s">
        <v>137</v>
      </c>
      <c r="CD3825" s="5" t="s">
        <v>895</v>
      </c>
      <c r="CE3825" t="s">
        <v>1494</v>
      </c>
      <c r="CF3825" s="3">
        <v>45806</v>
      </c>
      <c r="CI3825">
        <v>1</v>
      </c>
      <c r="CJ3825">
        <v>1</v>
      </c>
      <c r="CK3825">
        <v>41</v>
      </c>
      <c r="CL3825" t="s">
        <v>89</v>
      </c>
    </row>
    <row r="3826" spans="1:90" x14ac:dyDescent="0.3">
      <c r="A3826" t="s">
        <v>72</v>
      </c>
      <c r="B3826" t="s">
        <v>73</v>
      </c>
      <c r="C3826" t="s">
        <v>74</v>
      </c>
      <c r="E3826" t="str">
        <f>"080065625797"</f>
        <v>080065625797</v>
      </c>
      <c r="F3826" s="3">
        <v>45805</v>
      </c>
      <c r="G3826">
        <v>202602</v>
      </c>
      <c r="H3826" t="s">
        <v>75</v>
      </c>
      <c r="I3826" t="s">
        <v>76</v>
      </c>
      <c r="J3826" t="s">
        <v>77</v>
      </c>
      <c r="K3826" t="s">
        <v>78</v>
      </c>
      <c r="L3826" t="s">
        <v>331</v>
      </c>
      <c r="M3826" t="s">
        <v>332</v>
      </c>
      <c r="N3826" t="s">
        <v>499</v>
      </c>
      <c r="O3826" t="s">
        <v>82</v>
      </c>
      <c r="P3826" t="str">
        <f>"4170041258                    "</f>
        <v xml:space="preserve">4170041258                    </v>
      </c>
      <c r="Q3826">
        <v>0</v>
      </c>
      <c r="R3826">
        <v>0</v>
      </c>
      <c r="S3826">
        <v>0</v>
      </c>
      <c r="T3826">
        <v>0</v>
      </c>
      <c r="U3826">
        <v>0</v>
      </c>
      <c r="V3826">
        <v>0</v>
      </c>
      <c r="W3826">
        <v>0</v>
      </c>
      <c r="X3826">
        <v>0</v>
      </c>
      <c r="Y3826">
        <v>0</v>
      </c>
      <c r="Z3826">
        <v>0</v>
      </c>
      <c r="AA3826">
        <v>0</v>
      </c>
      <c r="AB3826">
        <v>0</v>
      </c>
      <c r="AC3826">
        <v>0</v>
      </c>
      <c r="AD3826">
        <v>0</v>
      </c>
      <c r="AE3826">
        <v>0</v>
      </c>
      <c r="AF3826">
        <v>0</v>
      </c>
      <c r="AG3826">
        <v>0</v>
      </c>
      <c r="AH3826">
        <v>0</v>
      </c>
      <c r="AI3826">
        <v>0</v>
      </c>
      <c r="AJ3826">
        <v>0</v>
      </c>
      <c r="AK3826">
        <v>0</v>
      </c>
      <c r="AL3826">
        <v>0</v>
      </c>
      <c r="AM3826">
        <v>0</v>
      </c>
      <c r="AN3826">
        <v>0</v>
      </c>
      <c r="AO3826">
        <v>0</v>
      </c>
      <c r="AP3826">
        <v>0</v>
      </c>
      <c r="AQ3826">
        <v>16.7</v>
      </c>
      <c r="AR3826">
        <v>0</v>
      </c>
      <c r="AS3826">
        <v>0</v>
      </c>
      <c r="AT3826">
        <v>0</v>
      </c>
      <c r="AU3826">
        <v>0</v>
      </c>
      <c r="AV3826">
        <v>0</v>
      </c>
      <c r="AW3826">
        <v>0</v>
      </c>
      <c r="AX3826">
        <v>0</v>
      </c>
      <c r="AY3826">
        <v>0</v>
      </c>
      <c r="AZ3826">
        <v>0</v>
      </c>
      <c r="BA3826">
        <v>0</v>
      </c>
      <c r="BB3826">
        <v>0</v>
      </c>
      <c r="BC3826">
        <v>0</v>
      </c>
      <c r="BD3826">
        <v>0</v>
      </c>
      <c r="BE3826">
        <v>0</v>
      </c>
      <c r="BF3826">
        <v>0</v>
      </c>
      <c r="BG3826">
        <v>0</v>
      </c>
      <c r="BH3826">
        <v>1</v>
      </c>
      <c r="BI3826">
        <v>1</v>
      </c>
      <c r="BJ3826">
        <v>1.4</v>
      </c>
      <c r="BK3826">
        <v>2</v>
      </c>
      <c r="BL3826">
        <v>54.66</v>
      </c>
      <c r="BM3826">
        <v>8.1999999999999993</v>
      </c>
      <c r="BN3826">
        <v>62.86</v>
      </c>
      <c r="BO3826">
        <v>62.86</v>
      </c>
      <c r="BQ3826" t="s">
        <v>500</v>
      </c>
      <c r="BR3826" t="s">
        <v>84</v>
      </c>
      <c r="BS3826" s="3">
        <v>45806</v>
      </c>
      <c r="BT3826" s="4">
        <v>0.41666666666666669</v>
      </c>
      <c r="BU3826" t="s">
        <v>1185</v>
      </c>
      <c r="BV3826" t="s">
        <v>86</v>
      </c>
      <c r="BY3826">
        <v>7000</v>
      </c>
      <c r="CA3826" t="s">
        <v>336</v>
      </c>
      <c r="CC3826" t="s">
        <v>332</v>
      </c>
      <c r="CD3826">
        <v>1451</v>
      </c>
      <c r="CE3826" t="s">
        <v>96</v>
      </c>
      <c r="CF3826" s="3">
        <v>45806</v>
      </c>
      <c r="CI3826">
        <v>1</v>
      </c>
      <c r="CJ3826">
        <v>1</v>
      </c>
      <c r="CK3826">
        <v>22</v>
      </c>
      <c r="CL3826" t="s">
        <v>89</v>
      </c>
    </row>
    <row r="3827" spans="1:90" x14ac:dyDescent="0.3">
      <c r="A3827" t="s">
        <v>72</v>
      </c>
      <c r="B3827" t="s">
        <v>73</v>
      </c>
      <c r="C3827" t="s">
        <v>74</v>
      </c>
      <c r="E3827" t="str">
        <f>"080065625811"</f>
        <v>080065625811</v>
      </c>
      <c r="F3827" s="3">
        <v>45805</v>
      </c>
      <c r="G3827">
        <v>202602</v>
      </c>
      <c r="H3827" t="s">
        <v>75</v>
      </c>
      <c r="I3827" t="s">
        <v>76</v>
      </c>
      <c r="J3827" t="s">
        <v>77</v>
      </c>
      <c r="K3827" t="s">
        <v>78</v>
      </c>
      <c r="L3827" t="s">
        <v>75</v>
      </c>
      <c r="M3827" t="s">
        <v>76</v>
      </c>
      <c r="N3827" t="s">
        <v>3429</v>
      </c>
      <c r="O3827" t="s">
        <v>82</v>
      </c>
      <c r="P3827" t="str">
        <f>"4170041216                    "</f>
        <v xml:space="preserve">4170041216                    </v>
      </c>
      <c r="Q3827">
        <v>0</v>
      </c>
      <c r="R3827">
        <v>0</v>
      </c>
      <c r="S3827">
        <v>0</v>
      </c>
      <c r="T3827">
        <v>0</v>
      </c>
      <c r="U3827">
        <v>0</v>
      </c>
      <c r="V3827">
        <v>0</v>
      </c>
      <c r="W3827">
        <v>0</v>
      </c>
      <c r="X3827">
        <v>0</v>
      </c>
      <c r="Y3827">
        <v>0</v>
      </c>
      <c r="Z3827">
        <v>0</v>
      </c>
      <c r="AA3827">
        <v>0</v>
      </c>
      <c r="AB3827">
        <v>0</v>
      </c>
      <c r="AC3827">
        <v>0</v>
      </c>
      <c r="AD3827">
        <v>0</v>
      </c>
      <c r="AE3827">
        <v>0</v>
      </c>
      <c r="AF3827">
        <v>0</v>
      </c>
      <c r="AG3827">
        <v>0</v>
      </c>
      <c r="AH3827">
        <v>0</v>
      </c>
      <c r="AI3827">
        <v>0</v>
      </c>
      <c r="AJ3827">
        <v>0</v>
      </c>
      <c r="AK3827">
        <v>0</v>
      </c>
      <c r="AL3827">
        <v>0</v>
      </c>
      <c r="AM3827">
        <v>0</v>
      </c>
      <c r="AN3827">
        <v>0</v>
      </c>
      <c r="AO3827">
        <v>0</v>
      </c>
      <c r="AP3827">
        <v>0</v>
      </c>
      <c r="AQ3827">
        <v>16.7</v>
      </c>
      <c r="AR3827">
        <v>0</v>
      </c>
      <c r="AS3827">
        <v>0</v>
      </c>
      <c r="AT3827">
        <v>0</v>
      </c>
      <c r="AU3827">
        <v>0</v>
      </c>
      <c r="AV3827">
        <v>0</v>
      </c>
      <c r="AW3827">
        <v>0</v>
      </c>
      <c r="AX3827">
        <v>0</v>
      </c>
      <c r="AY3827">
        <v>0</v>
      </c>
      <c r="AZ3827">
        <v>0</v>
      </c>
      <c r="BA3827">
        <v>0</v>
      </c>
      <c r="BB3827">
        <v>0</v>
      </c>
      <c r="BC3827">
        <v>0</v>
      </c>
      <c r="BD3827">
        <v>0</v>
      </c>
      <c r="BE3827">
        <v>0</v>
      </c>
      <c r="BF3827">
        <v>0</v>
      </c>
      <c r="BG3827">
        <v>0</v>
      </c>
      <c r="BH3827">
        <v>1</v>
      </c>
      <c r="BI3827">
        <v>2</v>
      </c>
      <c r="BJ3827">
        <v>1.4</v>
      </c>
      <c r="BK3827">
        <v>2</v>
      </c>
      <c r="BL3827">
        <v>54.66</v>
      </c>
      <c r="BM3827">
        <v>8.1999999999999993</v>
      </c>
      <c r="BN3827">
        <v>62.86</v>
      </c>
      <c r="BO3827">
        <v>62.86</v>
      </c>
      <c r="BQ3827" t="s">
        <v>3430</v>
      </c>
      <c r="BR3827" t="s">
        <v>84</v>
      </c>
      <c r="BS3827" s="3">
        <v>45806</v>
      </c>
      <c r="BT3827" s="4">
        <v>0.35833333333333334</v>
      </c>
      <c r="BU3827" t="s">
        <v>542</v>
      </c>
      <c r="BV3827" t="s">
        <v>86</v>
      </c>
      <c r="BY3827">
        <v>7000</v>
      </c>
      <c r="CA3827" t="s">
        <v>484</v>
      </c>
      <c r="CC3827" t="s">
        <v>76</v>
      </c>
      <c r="CD3827">
        <v>1600</v>
      </c>
      <c r="CE3827" t="s">
        <v>96</v>
      </c>
      <c r="CF3827" s="3">
        <v>45806</v>
      </c>
      <c r="CI3827">
        <v>1</v>
      </c>
      <c r="CJ3827">
        <v>1</v>
      </c>
      <c r="CK3827">
        <v>22</v>
      </c>
      <c r="CL3827" t="s">
        <v>89</v>
      </c>
    </row>
    <row r="3828" spans="1:90" x14ac:dyDescent="0.3">
      <c r="A3828" t="s">
        <v>72</v>
      </c>
      <c r="B3828" t="s">
        <v>73</v>
      </c>
      <c r="C3828" t="s">
        <v>74</v>
      </c>
      <c r="E3828" t="str">
        <f>"080065625824"</f>
        <v>080065625824</v>
      </c>
      <c r="F3828" s="3">
        <v>45805</v>
      </c>
      <c r="G3828">
        <v>202602</v>
      </c>
      <c r="H3828" t="s">
        <v>75</v>
      </c>
      <c r="I3828" t="s">
        <v>76</v>
      </c>
      <c r="J3828" t="s">
        <v>77</v>
      </c>
      <c r="K3828" t="s">
        <v>78</v>
      </c>
      <c r="L3828" t="s">
        <v>123</v>
      </c>
      <c r="M3828" t="s">
        <v>123</v>
      </c>
      <c r="N3828" t="s">
        <v>317</v>
      </c>
      <c r="O3828" t="s">
        <v>82</v>
      </c>
      <c r="P3828" t="str">
        <f>"4170041188                    "</f>
        <v xml:space="preserve">4170041188                    </v>
      </c>
      <c r="Q3828">
        <v>0</v>
      </c>
      <c r="R3828">
        <v>0</v>
      </c>
      <c r="S3828">
        <v>0</v>
      </c>
      <c r="T3828">
        <v>0</v>
      </c>
      <c r="U3828">
        <v>0</v>
      </c>
      <c r="V3828">
        <v>0</v>
      </c>
      <c r="W3828">
        <v>0</v>
      </c>
      <c r="X3828">
        <v>0</v>
      </c>
      <c r="Y3828">
        <v>0</v>
      </c>
      <c r="Z3828">
        <v>0</v>
      </c>
      <c r="AA3828">
        <v>0</v>
      </c>
      <c r="AB3828">
        <v>0</v>
      </c>
      <c r="AC3828">
        <v>0</v>
      </c>
      <c r="AD3828">
        <v>0</v>
      </c>
      <c r="AE3828">
        <v>0</v>
      </c>
      <c r="AF3828">
        <v>0</v>
      </c>
      <c r="AG3828">
        <v>0</v>
      </c>
      <c r="AH3828">
        <v>0</v>
      </c>
      <c r="AI3828">
        <v>0</v>
      </c>
      <c r="AJ3828">
        <v>0</v>
      </c>
      <c r="AK3828">
        <v>0</v>
      </c>
      <c r="AL3828">
        <v>0</v>
      </c>
      <c r="AM3828">
        <v>0</v>
      </c>
      <c r="AN3828">
        <v>0</v>
      </c>
      <c r="AO3828">
        <v>0</v>
      </c>
      <c r="AP3828">
        <v>0</v>
      </c>
      <c r="AQ3828">
        <v>41.43</v>
      </c>
      <c r="AR3828">
        <v>0</v>
      </c>
      <c r="AS3828">
        <v>0</v>
      </c>
      <c r="AT3828">
        <v>0</v>
      </c>
      <c r="AU3828">
        <v>0</v>
      </c>
      <c r="AV3828">
        <v>0</v>
      </c>
      <c r="AW3828">
        <v>0</v>
      </c>
      <c r="AX3828">
        <v>0</v>
      </c>
      <c r="AY3828">
        <v>0</v>
      </c>
      <c r="AZ3828">
        <v>0</v>
      </c>
      <c r="BA3828">
        <v>0</v>
      </c>
      <c r="BB3828">
        <v>0</v>
      </c>
      <c r="BC3828">
        <v>0</v>
      </c>
      <c r="BD3828">
        <v>0</v>
      </c>
      <c r="BE3828">
        <v>0</v>
      </c>
      <c r="BF3828">
        <v>0</v>
      </c>
      <c r="BG3828">
        <v>0</v>
      </c>
      <c r="BH3828">
        <v>1</v>
      </c>
      <c r="BI3828">
        <v>1</v>
      </c>
      <c r="BJ3828">
        <v>0.6</v>
      </c>
      <c r="BK3828">
        <v>1</v>
      </c>
      <c r="BL3828">
        <v>135.59</v>
      </c>
      <c r="BM3828">
        <v>20.34</v>
      </c>
      <c r="BN3828">
        <v>155.93</v>
      </c>
      <c r="BO3828">
        <v>155.93</v>
      </c>
      <c r="BQ3828" t="s">
        <v>318</v>
      </c>
      <c r="BR3828" t="s">
        <v>84</v>
      </c>
      <c r="BS3828" s="3">
        <v>45806</v>
      </c>
      <c r="BT3828" s="4">
        <v>0.51249999999999996</v>
      </c>
      <c r="BU3828" t="s">
        <v>319</v>
      </c>
      <c r="BV3828" t="s">
        <v>86</v>
      </c>
      <c r="BY3828">
        <v>3192</v>
      </c>
      <c r="CA3828" t="s">
        <v>128</v>
      </c>
      <c r="CC3828" t="s">
        <v>123</v>
      </c>
      <c r="CD3828">
        <v>7646</v>
      </c>
      <c r="CE3828" t="s">
        <v>96</v>
      </c>
      <c r="CI3828">
        <v>1</v>
      </c>
      <c r="CJ3828">
        <v>1</v>
      </c>
      <c r="CK3828">
        <v>23</v>
      </c>
      <c r="CL3828" t="s">
        <v>89</v>
      </c>
    </row>
    <row r="3829" spans="1:90" x14ac:dyDescent="0.3">
      <c r="A3829" t="s">
        <v>72</v>
      </c>
      <c r="B3829" t="s">
        <v>73</v>
      </c>
      <c r="C3829" t="s">
        <v>74</v>
      </c>
      <c r="E3829" t="str">
        <f>"080065625839"</f>
        <v>080065625839</v>
      </c>
      <c r="F3829" s="3">
        <v>45805</v>
      </c>
      <c r="G3829">
        <v>202602</v>
      </c>
      <c r="H3829" t="s">
        <v>75</v>
      </c>
      <c r="I3829" t="s">
        <v>76</v>
      </c>
      <c r="J3829" t="s">
        <v>77</v>
      </c>
      <c r="K3829" t="s">
        <v>78</v>
      </c>
      <c r="L3829" t="s">
        <v>186</v>
      </c>
      <c r="M3829" t="s">
        <v>187</v>
      </c>
      <c r="N3829" t="s">
        <v>188</v>
      </c>
      <c r="O3829" t="s">
        <v>82</v>
      </c>
      <c r="P3829" t="str">
        <f>"4170041267                    "</f>
        <v xml:space="preserve">4170041267                    </v>
      </c>
      <c r="Q3829">
        <v>0</v>
      </c>
      <c r="R3829">
        <v>0</v>
      </c>
      <c r="S3829">
        <v>0</v>
      </c>
      <c r="T3829">
        <v>0</v>
      </c>
      <c r="U3829">
        <v>0</v>
      </c>
      <c r="V3829">
        <v>0</v>
      </c>
      <c r="W3829">
        <v>0</v>
      </c>
      <c r="X3829">
        <v>0</v>
      </c>
      <c r="Y3829">
        <v>0</v>
      </c>
      <c r="Z3829">
        <v>0</v>
      </c>
      <c r="AA3829">
        <v>0</v>
      </c>
      <c r="AB3829">
        <v>0</v>
      </c>
      <c r="AC3829">
        <v>0</v>
      </c>
      <c r="AD3829">
        <v>0</v>
      </c>
      <c r="AE3829">
        <v>0</v>
      </c>
      <c r="AF3829">
        <v>0</v>
      </c>
      <c r="AG3829">
        <v>0</v>
      </c>
      <c r="AH3829">
        <v>0</v>
      </c>
      <c r="AI3829">
        <v>0</v>
      </c>
      <c r="AJ3829">
        <v>0</v>
      </c>
      <c r="AK3829">
        <v>0</v>
      </c>
      <c r="AL3829">
        <v>0</v>
      </c>
      <c r="AM3829">
        <v>0</v>
      </c>
      <c r="AN3829">
        <v>0</v>
      </c>
      <c r="AO3829">
        <v>0</v>
      </c>
      <c r="AP3829">
        <v>0</v>
      </c>
      <c r="AQ3829">
        <v>42.75</v>
      </c>
      <c r="AR3829">
        <v>0</v>
      </c>
      <c r="AS3829">
        <v>0</v>
      </c>
      <c r="AT3829">
        <v>0</v>
      </c>
      <c r="AU3829">
        <v>0</v>
      </c>
      <c r="AV3829">
        <v>0</v>
      </c>
      <c r="AW3829">
        <v>0</v>
      </c>
      <c r="AX3829">
        <v>0</v>
      </c>
      <c r="AY3829">
        <v>0</v>
      </c>
      <c r="AZ3829">
        <v>0</v>
      </c>
      <c r="BA3829">
        <v>0</v>
      </c>
      <c r="BB3829">
        <v>0</v>
      </c>
      <c r="BC3829">
        <v>0</v>
      </c>
      <c r="BD3829">
        <v>0</v>
      </c>
      <c r="BE3829">
        <v>0</v>
      </c>
      <c r="BF3829">
        <v>0</v>
      </c>
      <c r="BG3829">
        <v>0</v>
      </c>
      <c r="BH3829">
        <v>1</v>
      </c>
      <c r="BI3829">
        <v>4</v>
      </c>
      <c r="BJ3829">
        <v>0.6</v>
      </c>
      <c r="BK3829">
        <v>4</v>
      </c>
      <c r="BL3829">
        <v>139.91</v>
      </c>
      <c r="BM3829">
        <v>20.99</v>
      </c>
      <c r="BN3829">
        <v>160.9</v>
      </c>
      <c r="BO3829">
        <v>160.9</v>
      </c>
      <c r="BQ3829" t="s">
        <v>189</v>
      </c>
      <c r="BR3829" t="s">
        <v>84</v>
      </c>
      <c r="BS3829" s="3">
        <v>45806</v>
      </c>
      <c r="BT3829" s="4">
        <v>0.4375</v>
      </c>
      <c r="BU3829" t="s">
        <v>190</v>
      </c>
      <c r="BV3829" t="s">
        <v>86</v>
      </c>
      <c r="BY3829">
        <v>3192</v>
      </c>
      <c r="CA3829" t="s">
        <v>191</v>
      </c>
      <c r="CC3829" t="s">
        <v>187</v>
      </c>
      <c r="CD3829">
        <v>4126</v>
      </c>
      <c r="CE3829" t="s">
        <v>96</v>
      </c>
      <c r="CF3829" s="3">
        <v>45807</v>
      </c>
      <c r="CI3829">
        <v>1</v>
      </c>
      <c r="CJ3829">
        <v>1</v>
      </c>
      <c r="CK3829">
        <v>21</v>
      </c>
      <c r="CL3829" t="s">
        <v>89</v>
      </c>
    </row>
    <row r="3830" spans="1:90" x14ac:dyDescent="0.3">
      <c r="A3830" t="s">
        <v>72</v>
      </c>
      <c r="B3830" t="s">
        <v>73</v>
      </c>
      <c r="C3830" t="s">
        <v>74</v>
      </c>
      <c r="E3830" t="str">
        <f>"080065625850"</f>
        <v>080065625850</v>
      </c>
      <c r="F3830" s="3">
        <v>45805</v>
      </c>
      <c r="G3830">
        <v>202602</v>
      </c>
      <c r="H3830" t="s">
        <v>75</v>
      </c>
      <c r="I3830" t="s">
        <v>76</v>
      </c>
      <c r="J3830" t="s">
        <v>77</v>
      </c>
      <c r="K3830" t="s">
        <v>78</v>
      </c>
      <c r="L3830" t="s">
        <v>360</v>
      </c>
      <c r="M3830" t="s">
        <v>361</v>
      </c>
      <c r="N3830" t="s">
        <v>362</v>
      </c>
      <c r="O3830" t="s">
        <v>82</v>
      </c>
      <c r="P3830" t="str">
        <f>"4170041235                    "</f>
        <v xml:space="preserve">4170041235                    </v>
      </c>
      <c r="Q3830">
        <v>0</v>
      </c>
      <c r="R3830">
        <v>0</v>
      </c>
      <c r="S3830">
        <v>0</v>
      </c>
      <c r="T3830">
        <v>0</v>
      </c>
      <c r="U3830">
        <v>0</v>
      </c>
      <c r="V3830">
        <v>0</v>
      </c>
      <c r="W3830">
        <v>0</v>
      </c>
      <c r="X3830">
        <v>0</v>
      </c>
      <c r="Y3830">
        <v>0</v>
      </c>
      <c r="Z3830">
        <v>0</v>
      </c>
      <c r="AA3830">
        <v>0</v>
      </c>
      <c r="AB3830">
        <v>0</v>
      </c>
      <c r="AC3830">
        <v>0</v>
      </c>
      <c r="AD3830">
        <v>0</v>
      </c>
      <c r="AE3830">
        <v>0</v>
      </c>
      <c r="AF3830">
        <v>0</v>
      </c>
      <c r="AG3830">
        <v>0</v>
      </c>
      <c r="AH3830">
        <v>0</v>
      </c>
      <c r="AI3830">
        <v>0</v>
      </c>
      <c r="AJ3830">
        <v>0</v>
      </c>
      <c r="AK3830">
        <v>0</v>
      </c>
      <c r="AL3830">
        <v>0</v>
      </c>
      <c r="AM3830">
        <v>0</v>
      </c>
      <c r="AN3830">
        <v>0</v>
      </c>
      <c r="AO3830">
        <v>0</v>
      </c>
      <c r="AP3830">
        <v>0</v>
      </c>
      <c r="AQ3830">
        <v>88.2</v>
      </c>
      <c r="AR3830">
        <v>0</v>
      </c>
      <c r="AS3830">
        <v>0</v>
      </c>
      <c r="AT3830">
        <v>0</v>
      </c>
      <c r="AU3830">
        <v>0</v>
      </c>
      <c r="AV3830">
        <v>0</v>
      </c>
      <c r="AW3830">
        <v>0</v>
      </c>
      <c r="AX3830">
        <v>0</v>
      </c>
      <c r="AY3830">
        <v>0</v>
      </c>
      <c r="AZ3830">
        <v>0</v>
      </c>
      <c r="BA3830">
        <v>0</v>
      </c>
      <c r="BB3830">
        <v>0</v>
      </c>
      <c r="BC3830">
        <v>0</v>
      </c>
      <c r="BD3830">
        <v>0</v>
      </c>
      <c r="BE3830">
        <v>0</v>
      </c>
      <c r="BF3830">
        <v>0</v>
      </c>
      <c r="BG3830">
        <v>0</v>
      </c>
      <c r="BH3830">
        <v>1</v>
      </c>
      <c r="BI3830">
        <v>4</v>
      </c>
      <c r="BJ3830">
        <v>4.0999999999999996</v>
      </c>
      <c r="BK3830">
        <v>4.5</v>
      </c>
      <c r="BL3830">
        <v>288.66000000000003</v>
      </c>
      <c r="BM3830">
        <v>43.3</v>
      </c>
      <c r="BN3830">
        <v>331.96</v>
      </c>
      <c r="BO3830">
        <v>331.96</v>
      </c>
      <c r="BQ3830" t="s">
        <v>363</v>
      </c>
      <c r="BR3830" t="s">
        <v>84</v>
      </c>
      <c r="BS3830" s="3">
        <v>45806</v>
      </c>
      <c r="BT3830" s="4">
        <v>0.6875</v>
      </c>
      <c r="BU3830" t="s">
        <v>3347</v>
      </c>
      <c r="BV3830" t="s">
        <v>86</v>
      </c>
      <c r="BY3830">
        <v>20358</v>
      </c>
      <c r="CA3830" t="s">
        <v>365</v>
      </c>
      <c r="CC3830" t="s">
        <v>361</v>
      </c>
      <c r="CD3830">
        <v>7300</v>
      </c>
      <c r="CE3830" t="s">
        <v>96</v>
      </c>
      <c r="CI3830">
        <v>1</v>
      </c>
      <c r="CJ3830">
        <v>1</v>
      </c>
      <c r="CK3830">
        <v>23</v>
      </c>
      <c r="CL3830" t="s">
        <v>89</v>
      </c>
    </row>
    <row r="3831" spans="1:90" x14ac:dyDescent="0.3">
      <c r="A3831" t="s">
        <v>72</v>
      </c>
      <c r="B3831" t="s">
        <v>73</v>
      </c>
      <c r="C3831" t="s">
        <v>74</v>
      </c>
      <c r="E3831" t="str">
        <f>"080065625860"</f>
        <v>080065625860</v>
      </c>
      <c r="F3831" s="3">
        <v>45805</v>
      </c>
      <c r="G3831">
        <v>202602</v>
      </c>
      <c r="H3831" t="s">
        <v>75</v>
      </c>
      <c r="I3831" t="s">
        <v>76</v>
      </c>
      <c r="J3831" t="s">
        <v>77</v>
      </c>
      <c r="K3831" t="s">
        <v>78</v>
      </c>
      <c r="L3831" t="s">
        <v>232</v>
      </c>
      <c r="M3831" t="s">
        <v>233</v>
      </c>
      <c r="N3831" t="s">
        <v>834</v>
      </c>
      <c r="O3831" t="s">
        <v>300</v>
      </c>
      <c r="P3831" t="str">
        <f>"4170041160                    "</f>
        <v xml:space="preserve">4170041160                    </v>
      </c>
      <c r="Q3831">
        <v>0</v>
      </c>
      <c r="R3831">
        <v>0</v>
      </c>
      <c r="S3831">
        <v>0</v>
      </c>
      <c r="T3831">
        <v>0</v>
      </c>
      <c r="U3831">
        <v>0</v>
      </c>
      <c r="V3831">
        <v>0</v>
      </c>
      <c r="W3831">
        <v>0</v>
      </c>
      <c r="X3831">
        <v>0</v>
      </c>
      <c r="Y3831">
        <v>0</v>
      </c>
      <c r="Z3831">
        <v>0</v>
      </c>
      <c r="AA3831">
        <v>0</v>
      </c>
      <c r="AB3831">
        <v>0</v>
      </c>
      <c r="AC3831">
        <v>0</v>
      </c>
      <c r="AD3831">
        <v>0</v>
      </c>
      <c r="AE3831">
        <v>0</v>
      </c>
      <c r="AF3831">
        <v>0</v>
      </c>
      <c r="AG3831">
        <v>0</v>
      </c>
      <c r="AH3831">
        <v>0</v>
      </c>
      <c r="AI3831">
        <v>0</v>
      </c>
      <c r="AJ3831">
        <v>0</v>
      </c>
      <c r="AK3831">
        <v>0</v>
      </c>
      <c r="AL3831">
        <v>0</v>
      </c>
      <c r="AM3831">
        <v>0</v>
      </c>
      <c r="AN3831">
        <v>0</v>
      </c>
      <c r="AO3831">
        <v>0</v>
      </c>
      <c r="AP3831">
        <v>0</v>
      </c>
      <c r="AQ3831">
        <v>41.35</v>
      </c>
      <c r="AR3831">
        <v>0</v>
      </c>
      <c r="AS3831">
        <v>0</v>
      </c>
      <c r="AT3831">
        <v>0</v>
      </c>
      <c r="AU3831">
        <v>0</v>
      </c>
      <c r="AV3831">
        <v>0</v>
      </c>
      <c r="AW3831">
        <v>0</v>
      </c>
      <c r="AX3831">
        <v>0</v>
      </c>
      <c r="AY3831">
        <v>0</v>
      </c>
      <c r="AZ3831">
        <v>0</v>
      </c>
      <c r="BA3831">
        <v>0</v>
      </c>
      <c r="BB3831">
        <v>0</v>
      </c>
      <c r="BC3831">
        <v>0</v>
      </c>
      <c r="BD3831">
        <v>0</v>
      </c>
      <c r="BE3831">
        <v>0</v>
      </c>
      <c r="BF3831">
        <v>0</v>
      </c>
      <c r="BG3831">
        <v>0</v>
      </c>
      <c r="BH3831">
        <v>1</v>
      </c>
      <c r="BI3831">
        <v>10</v>
      </c>
      <c r="BJ3831">
        <v>5</v>
      </c>
      <c r="BK3831">
        <v>10</v>
      </c>
      <c r="BL3831">
        <v>140.9</v>
      </c>
      <c r="BM3831">
        <v>21.14</v>
      </c>
      <c r="BN3831">
        <v>162.04</v>
      </c>
      <c r="BO3831">
        <v>162.04</v>
      </c>
      <c r="BQ3831" t="s">
        <v>835</v>
      </c>
      <c r="BR3831" t="s">
        <v>84</v>
      </c>
      <c r="BS3831" s="3">
        <v>45806</v>
      </c>
      <c r="BT3831" s="4">
        <v>0.29930555555555555</v>
      </c>
      <c r="BU3831" t="s">
        <v>1452</v>
      </c>
      <c r="BV3831" t="s">
        <v>86</v>
      </c>
      <c r="BY3831">
        <v>24800</v>
      </c>
      <c r="CA3831" t="s">
        <v>258</v>
      </c>
      <c r="CC3831" t="s">
        <v>233</v>
      </c>
      <c r="CD3831" s="5" t="s">
        <v>238</v>
      </c>
      <c r="CE3831" t="s">
        <v>221</v>
      </c>
      <c r="CF3831" s="3">
        <v>45806</v>
      </c>
      <c r="CI3831">
        <v>1</v>
      </c>
      <c r="CJ3831">
        <v>1</v>
      </c>
      <c r="CK3831">
        <v>41</v>
      </c>
      <c r="CL3831" t="s">
        <v>89</v>
      </c>
    </row>
    <row r="3832" spans="1:90" x14ac:dyDescent="0.3">
      <c r="A3832" t="s">
        <v>72</v>
      </c>
      <c r="B3832" t="s">
        <v>73</v>
      </c>
      <c r="C3832" t="s">
        <v>74</v>
      </c>
      <c r="E3832" t="str">
        <f>"080065625873"</f>
        <v>080065625873</v>
      </c>
      <c r="F3832" s="3">
        <v>45805</v>
      </c>
      <c r="G3832">
        <v>202602</v>
      </c>
      <c r="H3832" t="s">
        <v>75</v>
      </c>
      <c r="I3832" t="s">
        <v>76</v>
      </c>
      <c r="J3832" t="s">
        <v>77</v>
      </c>
      <c r="K3832" t="s">
        <v>78</v>
      </c>
      <c r="L3832" t="s">
        <v>123</v>
      </c>
      <c r="M3832" t="s">
        <v>123</v>
      </c>
      <c r="N3832" t="s">
        <v>317</v>
      </c>
      <c r="O3832" t="s">
        <v>82</v>
      </c>
      <c r="P3832" t="str">
        <f>"4170041156                    "</f>
        <v xml:space="preserve">4170041156                    </v>
      </c>
      <c r="Q3832">
        <v>0</v>
      </c>
      <c r="R3832">
        <v>0</v>
      </c>
      <c r="S3832">
        <v>0</v>
      </c>
      <c r="T3832">
        <v>0</v>
      </c>
      <c r="U3832">
        <v>0</v>
      </c>
      <c r="V3832">
        <v>0</v>
      </c>
      <c r="W3832">
        <v>0</v>
      </c>
      <c r="X3832">
        <v>0</v>
      </c>
      <c r="Y3832">
        <v>0</v>
      </c>
      <c r="Z3832">
        <v>0</v>
      </c>
      <c r="AA3832">
        <v>0</v>
      </c>
      <c r="AB3832">
        <v>0</v>
      </c>
      <c r="AC3832">
        <v>0</v>
      </c>
      <c r="AD3832">
        <v>0</v>
      </c>
      <c r="AE3832">
        <v>0</v>
      </c>
      <c r="AF3832">
        <v>0</v>
      </c>
      <c r="AG3832">
        <v>0</v>
      </c>
      <c r="AH3832">
        <v>0</v>
      </c>
      <c r="AI3832">
        <v>0</v>
      </c>
      <c r="AJ3832">
        <v>0</v>
      </c>
      <c r="AK3832">
        <v>0</v>
      </c>
      <c r="AL3832">
        <v>0</v>
      </c>
      <c r="AM3832">
        <v>0</v>
      </c>
      <c r="AN3832">
        <v>0</v>
      </c>
      <c r="AO3832">
        <v>0</v>
      </c>
      <c r="AP3832">
        <v>0</v>
      </c>
      <c r="AQ3832">
        <v>88.2</v>
      </c>
      <c r="AR3832">
        <v>0</v>
      </c>
      <c r="AS3832">
        <v>0</v>
      </c>
      <c r="AT3832">
        <v>0</v>
      </c>
      <c r="AU3832">
        <v>0</v>
      </c>
      <c r="AV3832">
        <v>0</v>
      </c>
      <c r="AW3832">
        <v>0</v>
      </c>
      <c r="AX3832">
        <v>0</v>
      </c>
      <c r="AY3832">
        <v>0</v>
      </c>
      <c r="AZ3832">
        <v>0</v>
      </c>
      <c r="BA3832">
        <v>0</v>
      </c>
      <c r="BB3832">
        <v>0</v>
      </c>
      <c r="BC3832">
        <v>0</v>
      </c>
      <c r="BD3832">
        <v>0</v>
      </c>
      <c r="BE3832">
        <v>0</v>
      </c>
      <c r="BF3832">
        <v>0</v>
      </c>
      <c r="BG3832">
        <v>0</v>
      </c>
      <c r="BH3832">
        <v>1</v>
      </c>
      <c r="BI3832">
        <v>3</v>
      </c>
      <c r="BJ3832">
        <v>4.5</v>
      </c>
      <c r="BK3832">
        <v>4.5</v>
      </c>
      <c r="BL3832">
        <v>288.66000000000003</v>
      </c>
      <c r="BM3832">
        <v>43.3</v>
      </c>
      <c r="BN3832">
        <v>331.96</v>
      </c>
      <c r="BO3832">
        <v>331.96</v>
      </c>
      <c r="BQ3832" t="s">
        <v>318</v>
      </c>
      <c r="BR3832" t="s">
        <v>84</v>
      </c>
      <c r="BS3832" s="3">
        <v>45806</v>
      </c>
      <c r="BT3832" s="4">
        <v>0.51249999999999996</v>
      </c>
      <c r="BU3832" t="s">
        <v>319</v>
      </c>
      <c r="BV3832" t="s">
        <v>86</v>
      </c>
      <c r="BY3832">
        <v>22620</v>
      </c>
      <c r="CA3832" t="s">
        <v>128</v>
      </c>
      <c r="CC3832" t="s">
        <v>123</v>
      </c>
      <c r="CD3832">
        <v>7646</v>
      </c>
      <c r="CE3832" t="s">
        <v>96</v>
      </c>
      <c r="CI3832">
        <v>1</v>
      </c>
      <c r="CJ3832">
        <v>1</v>
      </c>
      <c r="CK3832">
        <v>23</v>
      </c>
      <c r="CL3832" t="s">
        <v>89</v>
      </c>
    </row>
    <row r="3833" spans="1:90" x14ac:dyDescent="0.3">
      <c r="A3833" t="s">
        <v>72</v>
      </c>
      <c r="B3833" t="s">
        <v>73</v>
      </c>
      <c r="C3833" t="s">
        <v>74</v>
      </c>
      <c r="E3833" t="str">
        <f>"080065625881"</f>
        <v>080065625881</v>
      </c>
      <c r="F3833" s="3">
        <v>45805</v>
      </c>
      <c r="G3833">
        <v>202602</v>
      </c>
      <c r="H3833" t="s">
        <v>75</v>
      </c>
      <c r="I3833" t="s">
        <v>76</v>
      </c>
      <c r="J3833" t="s">
        <v>77</v>
      </c>
      <c r="K3833" t="s">
        <v>78</v>
      </c>
      <c r="L3833" t="s">
        <v>97</v>
      </c>
      <c r="M3833" t="s">
        <v>98</v>
      </c>
      <c r="N3833" t="s">
        <v>1859</v>
      </c>
      <c r="O3833" t="s">
        <v>82</v>
      </c>
      <c r="P3833" t="str">
        <f>"4170041192                    "</f>
        <v xml:space="preserve">4170041192                    </v>
      </c>
      <c r="Q3833">
        <v>0</v>
      </c>
      <c r="R3833">
        <v>0</v>
      </c>
      <c r="S3833">
        <v>0</v>
      </c>
      <c r="T3833">
        <v>0</v>
      </c>
      <c r="U3833">
        <v>0</v>
      </c>
      <c r="V3833">
        <v>0</v>
      </c>
      <c r="W3833">
        <v>0</v>
      </c>
      <c r="X3833">
        <v>0</v>
      </c>
      <c r="Y3833">
        <v>0</v>
      </c>
      <c r="Z3833">
        <v>0</v>
      </c>
      <c r="AA3833">
        <v>0</v>
      </c>
      <c r="AB3833">
        <v>0</v>
      </c>
      <c r="AC3833">
        <v>0</v>
      </c>
      <c r="AD3833">
        <v>0</v>
      </c>
      <c r="AE3833">
        <v>0</v>
      </c>
      <c r="AF3833">
        <v>0</v>
      </c>
      <c r="AG3833">
        <v>0</v>
      </c>
      <c r="AH3833">
        <v>0</v>
      </c>
      <c r="AI3833">
        <v>0</v>
      </c>
      <c r="AJ3833">
        <v>0</v>
      </c>
      <c r="AK3833">
        <v>0</v>
      </c>
      <c r="AL3833">
        <v>0</v>
      </c>
      <c r="AM3833">
        <v>0</v>
      </c>
      <c r="AN3833">
        <v>0</v>
      </c>
      <c r="AO3833">
        <v>0</v>
      </c>
      <c r="AP3833">
        <v>0</v>
      </c>
      <c r="AQ3833">
        <v>16.7</v>
      </c>
      <c r="AR3833">
        <v>0</v>
      </c>
      <c r="AS3833">
        <v>0</v>
      </c>
      <c r="AT3833">
        <v>0</v>
      </c>
      <c r="AU3833">
        <v>0</v>
      </c>
      <c r="AV3833">
        <v>0</v>
      </c>
      <c r="AW3833">
        <v>0</v>
      </c>
      <c r="AX3833">
        <v>0</v>
      </c>
      <c r="AY3833">
        <v>0</v>
      </c>
      <c r="AZ3833">
        <v>0</v>
      </c>
      <c r="BA3833">
        <v>0</v>
      </c>
      <c r="BB3833">
        <v>0</v>
      </c>
      <c r="BC3833">
        <v>0</v>
      </c>
      <c r="BD3833">
        <v>0</v>
      </c>
      <c r="BE3833">
        <v>0</v>
      </c>
      <c r="BF3833">
        <v>0</v>
      </c>
      <c r="BG3833">
        <v>0</v>
      </c>
      <c r="BH3833">
        <v>1</v>
      </c>
      <c r="BI3833">
        <v>5</v>
      </c>
      <c r="BJ3833">
        <v>3.2</v>
      </c>
      <c r="BK3833">
        <v>5</v>
      </c>
      <c r="BL3833">
        <v>54.66</v>
      </c>
      <c r="BM3833">
        <v>8.1999999999999993</v>
      </c>
      <c r="BN3833">
        <v>62.86</v>
      </c>
      <c r="BO3833">
        <v>62.86</v>
      </c>
      <c r="BQ3833" t="s">
        <v>1860</v>
      </c>
      <c r="BR3833" t="s">
        <v>84</v>
      </c>
      <c r="BS3833" s="3">
        <v>45806</v>
      </c>
      <c r="BT3833" s="4">
        <v>0.39027777777777778</v>
      </c>
      <c r="BU3833" t="s">
        <v>2283</v>
      </c>
      <c r="BV3833" t="s">
        <v>86</v>
      </c>
      <c r="BY3833">
        <v>16128</v>
      </c>
      <c r="CA3833" t="s">
        <v>175</v>
      </c>
      <c r="CC3833" t="s">
        <v>98</v>
      </c>
      <c r="CD3833">
        <v>1459</v>
      </c>
      <c r="CE3833" t="s">
        <v>221</v>
      </c>
      <c r="CF3833" s="3">
        <v>45806</v>
      </c>
      <c r="CI3833">
        <v>1</v>
      </c>
      <c r="CJ3833">
        <v>1</v>
      </c>
      <c r="CK3833">
        <v>22</v>
      </c>
      <c r="CL3833" t="s">
        <v>89</v>
      </c>
    </row>
    <row r="3834" spans="1:90" x14ac:dyDescent="0.3">
      <c r="A3834" t="s">
        <v>72</v>
      </c>
      <c r="B3834" t="s">
        <v>73</v>
      </c>
      <c r="C3834" t="s">
        <v>74</v>
      </c>
      <c r="E3834" t="str">
        <f>"080065625888"</f>
        <v>080065625888</v>
      </c>
      <c r="F3834" s="3">
        <v>45805</v>
      </c>
      <c r="G3834">
        <v>202602</v>
      </c>
      <c r="H3834" t="s">
        <v>75</v>
      </c>
      <c r="I3834" t="s">
        <v>76</v>
      </c>
      <c r="J3834" t="s">
        <v>77</v>
      </c>
      <c r="K3834" t="s">
        <v>78</v>
      </c>
      <c r="L3834" t="s">
        <v>136</v>
      </c>
      <c r="M3834" t="s">
        <v>137</v>
      </c>
      <c r="N3834" t="s">
        <v>1235</v>
      </c>
      <c r="O3834" t="s">
        <v>82</v>
      </c>
      <c r="P3834" t="str">
        <f>"4170041225                    "</f>
        <v xml:space="preserve">4170041225                    </v>
      </c>
      <c r="Q3834">
        <v>0</v>
      </c>
      <c r="R3834">
        <v>0</v>
      </c>
      <c r="S3834">
        <v>0</v>
      </c>
      <c r="T3834">
        <v>0</v>
      </c>
      <c r="U3834">
        <v>0</v>
      </c>
      <c r="V3834">
        <v>0</v>
      </c>
      <c r="W3834">
        <v>0</v>
      </c>
      <c r="X3834">
        <v>0</v>
      </c>
      <c r="Y3834">
        <v>0</v>
      </c>
      <c r="Z3834">
        <v>0</v>
      </c>
      <c r="AA3834">
        <v>0</v>
      </c>
      <c r="AB3834">
        <v>0</v>
      </c>
      <c r="AC3834">
        <v>0</v>
      </c>
      <c r="AD3834">
        <v>0</v>
      </c>
      <c r="AE3834">
        <v>0</v>
      </c>
      <c r="AF3834">
        <v>0</v>
      </c>
      <c r="AG3834">
        <v>0</v>
      </c>
      <c r="AH3834">
        <v>0</v>
      </c>
      <c r="AI3834">
        <v>0</v>
      </c>
      <c r="AJ3834">
        <v>0</v>
      </c>
      <c r="AK3834">
        <v>0</v>
      </c>
      <c r="AL3834">
        <v>0</v>
      </c>
      <c r="AM3834">
        <v>0</v>
      </c>
      <c r="AN3834">
        <v>0</v>
      </c>
      <c r="AO3834">
        <v>0</v>
      </c>
      <c r="AP3834">
        <v>0</v>
      </c>
      <c r="AQ3834">
        <v>37.409999999999997</v>
      </c>
      <c r="AR3834">
        <v>0</v>
      </c>
      <c r="AS3834">
        <v>0</v>
      </c>
      <c r="AT3834">
        <v>0</v>
      </c>
      <c r="AU3834">
        <v>0</v>
      </c>
      <c r="AV3834">
        <v>0</v>
      </c>
      <c r="AW3834">
        <v>0</v>
      </c>
      <c r="AX3834">
        <v>0</v>
      </c>
      <c r="AY3834">
        <v>0</v>
      </c>
      <c r="AZ3834">
        <v>0</v>
      </c>
      <c r="BA3834">
        <v>0</v>
      </c>
      <c r="BB3834">
        <v>0</v>
      </c>
      <c r="BC3834">
        <v>0</v>
      </c>
      <c r="BD3834">
        <v>0</v>
      </c>
      <c r="BE3834">
        <v>0</v>
      </c>
      <c r="BF3834">
        <v>0</v>
      </c>
      <c r="BG3834">
        <v>0</v>
      </c>
      <c r="BH3834">
        <v>1</v>
      </c>
      <c r="BI3834">
        <v>2</v>
      </c>
      <c r="BJ3834">
        <v>3.4</v>
      </c>
      <c r="BK3834">
        <v>3.5</v>
      </c>
      <c r="BL3834">
        <v>122.43</v>
      </c>
      <c r="BM3834">
        <v>18.36</v>
      </c>
      <c r="BN3834">
        <v>140.79</v>
      </c>
      <c r="BO3834">
        <v>140.79</v>
      </c>
      <c r="BQ3834" t="s">
        <v>1236</v>
      </c>
      <c r="BR3834" t="s">
        <v>84</v>
      </c>
      <c r="BS3834" s="3">
        <v>45806</v>
      </c>
      <c r="BT3834" s="4">
        <v>0.31666666666666665</v>
      </c>
      <c r="BU3834" t="s">
        <v>1946</v>
      </c>
      <c r="BV3834" t="s">
        <v>86</v>
      </c>
      <c r="BY3834">
        <v>17024</v>
      </c>
      <c r="CA3834" t="s">
        <v>1947</v>
      </c>
      <c r="CC3834" t="s">
        <v>137</v>
      </c>
      <c r="CD3834" s="5" t="s">
        <v>1239</v>
      </c>
      <c r="CE3834" t="s">
        <v>221</v>
      </c>
      <c r="CF3834" s="3">
        <v>45806</v>
      </c>
      <c r="CI3834">
        <v>1</v>
      </c>
      <c r="CJ3834">
        <v>1</v>
      </c>
      <c r="CK3834">
        <v>21</v>
      </c>
      <c r="CL3834" t="s">
        <v>89</v>
      </c>
    </row>
    <row r="3835" spans="1:90" x14ac:dyDescent="0.3">
      <c r="A3835" t="s">
        <v>72</v>
      </c>
      <c r="B3835" t="s">
        <v>73</v>
      </c>
      <c r="C3835" t="s">
        <v>74</v>
      </c>
      <c r="E3835" t="str">
        <f>"080065625896"</f>
        <v>080065625896</v>
      </c>
      <c r="F3835" s="3">
        <v>45805</v>
      </c>
      <c r="G3835">
        <v>202602</v>
      </c>
      <c r="H3835" t="s">
        <v>75</v>
      </c>
      <c r="I3835" t="s">
        <v>76</v>
      </c>
      <c r="J3835" t="s">
        <v>77</v>
      </c>
      <c r="K3835" t="s">
        <v>78</v>
      </c>
      <c r="L3835" t="s">
        <v>123</v>
      </c>
      <c r="M3835" t="s">
        <v>123</v>
      </c>
      <c r="N3835" t="s">
        <v>766</v>
      </c>
      <c r="O3835" t="s">
        <v>82</v>
      </c>
      <c r="P3835" t="str">
        <f>"4170041233                    "</f>
        <v xml:space="preserve">4170041233                    </v>
      </c>
      <c r="Q3835">
        <v>0</v>
      </c>
      <c r="R3835">
        <v>0</v>
      </c>
      <c r="S3835">
        <v>0</v>
      </c>
      <c r="T3835">
        <v>0</v>
      </c>
      <c r="U3835">
        <v>0</v>
      </c>
      <c r="V3835">
        <v>0</v>
      </c>
      <c r="W3835">
        <v>0</v>
      </c>
      <c r="X3835">
        <v>0</v>
      </c>
      <c r="Y3835">
        <v>0</v>
      </c>
      <c r="Z3835">
        <v>0</v>
      </c>
      <c r="AA3835">
        <v>0</v>
      </c>
      <c r="AB3835">
        <v>0</v>
      </c>
      <c r="AC3835">
        <v>0</v>
      </c>
      <c r="AD3835">
        <v>0</v>
      </c>
      <c r="AE3835">
        <v>0</v>
      </c>
      <c r="AF3835">
        <v>0</v>
      </c>
      <c r="AG3835">
        <v>0</v>
      </c>
      <c r="AH3835">
        <v>0</v>
      </c>
      <c r="AI3835">
        <v>0</v>
      </c>
      <c r="AJ3835">
        <v>0</v>
      </c>
      <c r="AK3835">
        <v>0</v>
      </c>
      <c r="AL3835">
        <v>0</v>
      </c>
      <c r="AM3835">
        <v>0</v>
      </c>
      <c r="AN3835">
        <v>0</v>
      </c>
      <c r="AO3835">
        <v>0</v>
      </c>
      <c r="AP3835">
        <v>0</v>
      </c>
      <c r="AQ3835">
        <v>41.43</v>
      </c>
      <c r="AR3835">
        <v>0</v>
      </c>
      <c r="AS3835">
        <v>0</v>
      </c>
      <c r="AT3835">
        <v>0</v>
      </c>
      <c r="AU3835">
        <v>0</v>
      </c>
      <c r="AV3835">
        <v>0</v>
      </c>
      <c r="AW3835">
        <v>0</v>
      </c>
      <c r="AX3835">
        <v>0</v>
      </c>
      <c r="AY3835">
        <v>0</v>
      </c>
      <c r="AZ3835">
        <v>0</v>
      </c>
      <c r="BA3835">
        <v>0</v>
      </c>
      <c r="BB3835">
        <v>0</v>
      </c>
      <c r="BC3835">
        <v>0</v>
      </c>
      <c r="BD3835">
        <v>0</v>
      </c>
      <c r="BE3835">
        <v>0</v>
      </c>
      <c r="BF3835">
        <v>0</v>
      </c>
      <c r="BG3835">
        <v>0</v>
      </c>
      <c r="BH3835">
        <v>1</v>
      </c>
      <c r="BI3835">
        <v>2</v>
      </c>
      <c r="BJ3835">
        <v>1.1000000000000001</v>
      </c>
      <c r="BK3835">
        <v>2</v>
      </c>
      <c r="BL3835">
        <v>135.59</v>
      </c>
      <c r="BM3835">
        <v>20.34</v>
      </c>
      <c r="BN3835">
        <v>155.93</v>
      </c>
      <c r="BO3835">
        <v>155.93</v>
      </c>
      <c r="BQ3835" t="s">
        <v>767</v>
      </c>
      <c r="BR3835" t="s">
        <v>84</v>
      </c>
      <c r="BS3835" s="3">
        <v>45806</v>
      </c>
      <c r="BT3835" s="4">
        <v>0.4861111111111111</v>
      </c>
      <c r="BU3835" t="s">
        <v>768</v>
      </c>
      <c r="BV3835" t="s">
        <v>86</v>
      </c>
      <c r="BY3835">
        <v>5320</v>
      </c>
      <c r="CA3835" t="s">
        <v>128</v>
      </c>
      <c r="CC3835" t="s">
        <v>123</v>
      </c>
      <c r="CD3835">
        <v>7646</v>
      </c>
      <c r="CE3835" t="s">
        <v>96</v>
      </c>
      <c r="CI3835">
        <v>1</v>
      </c>
      <c r="CJ3835">
        <v>1</v>
      </c>
      <c r="CK3835">
        <v>23</v>
      </c>
      <c r="CL3835" t="s">
        <v>89</v>
      </c>
    </row>
    <row r="3836" spans="1:90" x14ac:dyDescent="0.3">
      <c r="A3836" t="s">
        <v>72</v>
      </c>
      <c r="B3836" t="s">
        <v>73</v>
      </c>
      <c r="C3836" t="s">
        <v>74</v>
      </c>
      <c r="E3836" t="str">
        <f>"080065625913"</f>
        <v>080065625913</v>
      </c>
      <c r="F3836" s="3">
        <v>45805</v>
      </c>
      <c r="G3836">
        <v>202602</v>
      </c>
      <c r="H3836" t="s">
        <v>75</v>
      </c>
      <c r="I3836" t="s">
        <v>76</v>
      </c>
      <c r="J3836" t="s">
        <v>77</v>
      </c>
      <c r="K3836" t="s">
        <v>78</v>
      </c>
      <c r="L3836" t="s">
        <v>374</v>
      </c>
      <c r="M3836" t="s">
        <v>375</v>
      </c>
      <c r="N3836" t="s">
        <v>376</v>
      </c>
      <c r="O3836" t="s">
        <v>82</v>
      </c>
      <c r="P3836" t="str">
        <f>"4170041155                    "</f>
        <v xml:space="preserve">4170041155                    </v>
      </c>
      <c r="Q3836">
        <v>0</v>
      </c>
      <c r="R3836">
        <v>0</v>
      </c>
      <c r="S3836">
        <v>0</v>
      </c>
      <c r="T3836">
        <v>0</v>
      </c>
      <c r="U3836">
        <v>0</v>
      </c>
      <c r="V3836">
        <v>0</v>
      </c>
      <c r="W3836">
        <v>0</v>
      </c>
      <c r="X3836">
        <v>0</v>
      </c>
      <c r="Y3836">
        <v>0</v>
      </c>
      <c r="Z3836">
        <v>0</v>
      </c>
      <c r="AA3836">
        <v>0</v>
      </c>
      <c r="AB3836">
        <v>0</v>
      </c>
      <c r="AC3836">
        <v>0</v>
      </c>
      <c r="AD3836">
        <v>0</v>
      </c>
      <c r="AE3836">
        <v>0</v>
      </c>
      <c r="AF3836">
        <v>0</v>
      </c>
      <c r="AG3836">
        <v>0</v>
      </c>
      <c r="AH3836">
        <v>0</v>
      </c>
      <c r="AI3836">
        <v>0</v>
      </c>
      <c r="AJ3836">
        <v>0</v>
      </c>
      <c r="AK3836">
        <v>0</v>
      </c>
      <c r="AL3836">
        <v>0</v>
      </c>
      <c r="AM3836">
        <v>0</v>
      </c>
      <c r="AN3836">
        <v>0</v>
      </c>
      <c r="AO3836">
        <v>0</v>
      </c>
      <c r="AP3836">
        <v>0</v>
      </c>
      <c r="AQ3836">
        <v>50.78</v>
      </c>
      <c r="AR3836">
        <v>0</v>
      </c>
      <c r="AS3836">
        <v>0</v>
      </c>
      <c r="AT3836">
        <v>0</v>
      </c>
      <c r="AU3836">
        <v>0</v>
      </c>
      <c r="AV3836">
        <v>0</v>
      </c>
      <c r="AW3836">
        <v>0</v>
      </c>
      <c r="AX3836">
        <v>0</v>
      </c>
      <c r="AY3836">
        <v>0</v>
      </c>
      <c r="AZ3836">
        <v>0</v>
      </c>
      <c r="BA3836">
        <v>0</v>
      </c>
      <c r="BB3836">
        <v>0</v>
      </c>
      <c r="BC3836">
        <v>0</v>
      </c>
      <c r="BD3836">
        <v>0</v>
      </c>
      <c r="BE3836">
        <v>0</v>
      </c>
      <c r="BF3836">
        <v>0</v>
      </c>
      <c r="BG3836">
        <v>0</v>
      </c>
      <c r="BH3836">
        <v>1</v>
      </c>
      <c r="BI3836">
        <v>1</v>
      </c>
      <c r="BJ3836">
        <v>2.1</v>
      </c>
      <c r="BK3836">
        <v>2.5</v>
      </c>
      <c r="BL3836">
        <v>166.2</v>
      </c>
      <c r="BM3836">
        <v>24.93</v>
      </c>
      <c r="BN3836">
        <v>191.13</v>
      </c>
      <c r="BO3836">
        <v>191.13</v>
      </c>
      <c r="BQ3836" t="s">
        <v>377</v>
      </c>
      <c r="BR3836" t="s">
        <v>84</v>
      </c>
      <c r="BS3836" s="3">
        <v>45806</v>
      </c>
      <c r="BT3836" s="4">
        <v>0.43611111111111112</v>
      </c>
      <c r="BU3836" t="s">
        <v>378</v>
      </c>
      <c r="BV3836" t="s">
        <v>86</v>
      </c>
      <c r="BY3836">
        <v>10584</v>
      </c>
      <c r="CA3836" t="s">
        <v>379</v>
      </c>
      <c r="CC3836" t="s">
        <v>375</v>
      </c>
      <c r="CD3836">
        <v>7130</v>
      </c>
      <c r="CE3836" t="s">
        <v>221</v>
      </c>
      <c r="CI3836">
        <v>1</v>
      </c>
      <c r="CJ3836">
        <v>1</v>
      </c>
      <c r="CK3836">
        <v>23</v>
      </c>
      <c r="CL3836" t="s">
        <v>89</v>
      </c>
    </row>
    <row r="3837" spans="1:90" x14ac:dyDescent="0.3">
      <c r="A3837" t="s">
        <v>72</v>
      </c>
      <c r="B3837" t="s">
        <v>73</v>
      </c>
      <c r="C3837" t="s">
        <v>74</v>
      </c>
      <c r="E3837" t="str">
        <f>"080065625923"</f>
        <v>080065625923</v>
      </c>
      <c r="F3837" s="3">
        <v>45805</v>
      </c>
      <c r="G3837">
        <v>202602</v>
      </c>
      <c r="H3837" t="s">
        <v>75</v>
      </c>
      <c r="I3837" t="s">
        <v>76</v>
      </c>
      <c r="J3837" t="s">
        <v>77</v>
      </c>
      <c r="K3837" t="s">
        <v>78</v>
      </c>
      <c r="L3837" t="s">
        <v>103</v>
      </c>
      <c r="M3837" t="s">
        <v>104</v>
      </c>
      <c r="N3837" t="s">
        <v>633</v>
      </c>
      <c r="O3837" t="s">
        <v>82</v>
      </c>
      <c r="P3837" t="str">
        <f>"4170041207                    "</f>
        <v xml:space="preserve">4170041207                    </v>
      </c>
      <c r="Q3837">
        <v>0</v>
      </c>
      <c r="R3837">
        <v>0</v>
      </c>
      <c r="S3837">
        <v>0</v>
      </c>
      <c r="T3837">
        <v>0</v>
      </c>
      <c r="U3837">
        <v>0</v>
      </c>
      <c r="V3837">
        <v>0</v>
      </c>
      <c r="W3837">
        <v>0</v>
      </c>
      <c r="X3837">
        <v>0</v>
      </c>
      <c r="Y3837">
        <v>0</v>
      </c>
      <c r="Z3837">
        <v>0</v>
      </c>
      <c r="AA3837">
        <v>0</v>
      </c>
      <c r="AB3837">
        <v>0</v>
      </c>
      <c r="AC3837">
        <v>0</v>
      </c>
      <c r="AD3837">
        <v>0</v>
      </c>
      <c r="AE3837">
        <v>0</v>
      </c>
      <c r="AF3837">
        <v>0</v>
      </c>
      <c r="AG3837">
        <v>0</v>
      </c>
      <c r="AH3837">
        <v>0</v>
      </c>
      <c r="AI3837">
        <v>0</v>
      </c>
      <c r="AJ3837">
        <v>0</v>
      </c>
      <c r="AK3837">
        <v>0</v>
      </c>
      <c r="AL3837">
        <v>0</v>
      </c>
      <c r="AM3837">
        <v>0</v>
      </c>
      <c r="AN3837">
        <v>0</v>
      </c>
      <c r="AO3837">
        <v>0</v>
      </c>
      <c r="AP3837">
        <v>0</v>
      </c>
      <c r="AQ3837">
        <v>21.38</v>
      </c>
      <c r="AR3837">
        <v>0</v>
      </c>
      <c r="AS3837">
        <v>0</v>
      </c>
      <c r="AT3837">
        <v>0</v>
      </c>
      <c r="AU3837">
        <v>0</v>
      </c>
      <c r="AV3837">
        <v>0</v>
      </c>
      <c r="AW3837">
        <v>0</v>
      </c>
      <c r="AX3837">
        <v>0</v>
      </c>
      <c r="AY3837">
        <v>0</v>
      </c>
      <c r="AZ3837">
        <v>0</v>
      </c>
      <c r="BA3837">
        <v>0</v>
      </c>
      <c r="BB3837">
        <v>0</v>
      </c>
      <c r="BC3837">
        <v>0</v>
      </c>
      <c r="BD3837">
        <v>0</v>
      </c>
      <c r="BE3837">
        <v>0</v>
      </c>
      <c r="BF3837">
        <v>0</v>
      </c>
      <c r="BG3837">
        <v>0</v>
      </c>
      <c r="BH3837">
        <v>1</v>
      </c>
      <c r="BI3837">
        <v>2</v>
      </c>
      <c r="BJ3837">
        <v>1.1000000000000001</v>
      </c>
      <c r="BK3837">
        <v>2</v>
      </c>
      <c r="BL3837">
        <v>69.98</v>
      </c>
      <c r="BM3837">
        <v>10.5</v>
      </c>
      <c r="BN3837">
        <v>80.48</v>
      </c>
      <c r="BO3837">
        <v>80.48</v>
      </c>
      <c r="BQ3837" t="s">
        <v>634</v>
      </c>
      <c r="BR3837" t="s">
        <v>84</v>
      </c>
      <c r="BS3837" s="3">
        <v>45806</v>
      </c>
      <c r="BT3837" s="4">
        <v>0.41666666666666669</v>
      </c>
      <c r="BU3837" t="s">
        <v>1466</v>
      </c>
      <c r="BV3837" t="s">
        <v>86</v>
      </c>
      <c r="BY3837">
        <v>5320</v>
      </c>
      <c r="BZ3837" t="s">
        <v>127</v>
      </c>
      <c r="CA3837" t="s">
        <v>440</v>
      </c>
      <c r="CC3837" t="s">
        <v>104</v>
      </c>
      <c r="CD3837">
        <v>3212</v>
      </c>
      <c r="CE3837" t="s">
        <v>96</v>
      </c>
      <c r="CI3837">
        <v>2</v>
      </c>
      <c r="CJ3837">
        <v>1</v>
      </c>
      <c r="CK3837">
        <v>21</v>
      </c>
      <c r="CL3837" t="s">
        <v>89</v>
      </c>
    </row>
    <row r="3838" spans="1:90" x14ac:dyDescent="0.3">
      <c r="A3838" t="s">
        <v>72</v>
      </c>
      <c r="B3838" t="s">
        <v>73</v>
      </c>
      <c r="C3838" t="s">
        <v>74</v>
      </c>
      <c r="E3838" t="str">
        <f>"080065625938"</f>
        <v>080065625938</v>
      </c>
      <c r="F3838" s="3">
        <v>45805</v>
      </c>
      <c r="G3838">
        <v>202602</v>
      </c>
      <c r="H3838" t="s">
        <v>75</v>
      </c>
      <c r="I3838" t="s">
        <v>76</v>
      </c>
      <c r="J3838" t="s">
        <v>77</v>
      </c>
      <c r="K3838" t="s">
        <v>78</v>
      </c>
      <c r="L3838" t="s">
        <v>75</v>
      </c>
      <c r="M3838" t="s">
        <v>76</v>
      </c>
      <c r="N3838" t="s">
        <v>601</v>
      </c>
      <c r="O3838" t="s">
        <v>602</v>
      </c>
      <c r="P3838" t="str">
        <f>"4170041187                    "</f>
        <v xml:space="preserve">4170041187                    </v>
      </c>
      <c r="Q3838">
        <v>0</v>
      </c>
      <c r="R3838">
        <v>0</v>
      </c>
      <c r="S3838">
        <v>0</v>
      </c>
      <c r="T3838">
        <v>0</v>
      </c>
      <c r="U3838">
        <v>0</v>
      </c>
      <c r="V3838">
        <v>0</v>
      </c>
      <c r="W3838">
        <v>0</v>
      </c>
      <c r="X3838">
        <v>0</v>
      </c>
      <c r="Y3838">
        <v>0</v>
      </c>
      <c r="Z3838">
        <v>0</v>
      </c>
      <c r="AA3838">
        <v>0</v>
      </c>
      <c r="AB3838">
        <v>0</v>
      </c>
      <c r="AC3838">
        <v>0</v>
      </c>
      <c r="AD3838">
        <v>0</v>
      </c>
      <c r="AE3838">
        <v>0</v>
      </c>
      <c r="AF3838">
        <v>0</v>
      </c>
      <c r="AG3838">
        <v>0</v>
      </c>
      <c r="AH3838">
        <v>0</v>
      </c>
      <c r="AI3838">
        <v>0</v>
      </c>
      <c r="AJ3838">
        <v>0</v>
      </c>
      <c r="AK3838">
        <v>0</v>
      </c>
      <c r="AL3838">
        <v>0</v>
      </c>
      <c r="AM3838">
        <v>0</v>
      </c>
      <c r="AN3838">
        <v>0</v>
      </c>
      <c r="AO3838">
        <v>0</v>
      </c>
      <c r="AP3838">
        <v>0</v>
      </c>
      <c r="AQ3838">
        <v>24.2</v>
      </c>
      <c r="AR3838">
        <v>0</v>
      </c>
      <c r="AS3838">
        <v>0</v>
      </c>
      <c r="AT3838">
        <v>0</v>
      </c>
      <c r="AU3838">
        <v>0</v>
      </c>
      <c r="AV3838">
        <v>0</v>
      </c>
      <c r="AW3838">
        <v>0</v>
      </c>
      <c r="AX3838">
        <v>0</v>
      </c>
      <c r="AY3838">
        <v>0</v>
      </c>
      <c r="AZ3838">
        <v>0</v>
      </c>
      <c r="BA3838">
        <v>0</v>
      </c>
      <c r="BB3838">
        <v>0</v>
      </c>
      <c r="BC3838">
        <v>0</v>
      </c>
      <c r="BD3838">
        <v>0</v>
      </c>
      <c r="BE3838">
        <v>0</v>
      </c>
      <c r="BF3838">
        <v>0</v>
      </c>
      <c r="BG3838">
        <v>0</v>
      </c>
      <c r="BH3838">
        <v>1</v>
      </c>
      <c r="BI3838">
        <v>12</v>
      </c>
      <c r="BJ3838">
        <v>8.9</v>
      </c>
      <c r="BK3838">
        <v>12</v>
      </c>
      <c r="BL3838">
        <v>79.209999999999994</v>
      </c>
      <c r="BM3838">
        <v>11.88</v>
      </c>
      <c r="BN3838">
        <v>91.09</v>
      </c>
      <c r="BO3838">
        <v>91.09</v>
      </c>
      <c r="BQ3838" t="s">
        <v>603</v>
      </c>
      <c r="BR3838" t="s">
        <v>84</v>
      </c>
      <c r="BS3838" s="3">
        <v>45806</v>
      </c>
      <c r="BT3838" s="4">
        <v>0.35486111111111113</v>
      </c>
      <c r="BU3838" t="s">
        <v>3003</v>
      </c>
      <c r="BV3838" t="s">
        <v>86</v>
      </c>
      <c r="BY3838">
        <v>44640</v>
      </c>
      <c r="BZ3838" t="s">
        <v>303</v>
      </c>
      <c r="CA3838" t="s">
        <v>2929</v>
      </c>
      <c r="CC3838" t="s">
        <v>76</v>
      </c>
      <c r="CD3838">
        <v>1645</v>
      </c>
      <c r="CE3838" t="s">
        <v>96</v>
      </c>
      <c r="CF3838" s="3">
        <v>45806</v>
      </c>
      <c r="CI3838">
        <v>1</v>
      </c>
      <c r="CJ3838">
        <v>1</v>
      </c>
      <c r="CK3838">
        <v>32</v>
      </c>
      <c r="CL3838" t="s">
        <v>89</v>
      </c>
    </row>
    <row r="3839" spans="1:90" x14ac:dyDescent="0.3">
      <c r="A3839" t="s">
        <v>72</v>
      </c>
      <c r="B3839" t="s">
        <v>73</v>
      </c>
      <c r="C3839" t="s">
        <v>74</v>
      </c>
      <c r="E3839" t="str">
        <f>"080065633792"</f>
        <v>080065633792</v>
      </c>
      <c r="F3839" s="3">
        <v>45806</v>
      </c>
      <c r="G3839">
        <v>202602</v>
      </c>
      <c r="H3839" t="s">
        <v>75</v>
      </c>
      <c r="I3839" t="s">
        <v>76</v>
      </c>
      <c r="J3839" t="s">
        <v>77</v>
      </c>
      <c r="K3839" t="s">
        <v>78</v>
      </c>
      <c r="L3839" t="s">
        <v>75</v>
      </c>
      <c r="M3839" t="s">
        <v>76</v>
      </c>
      <c r="N3839" t="s">
        <v>850</v>
      </c>
      <c r="O3839" t="s">
        <v>82</v>
      </c>
      <c r="P3839" t="str">
        <f>"4170033952                    "</f>
        <v xml:space="preserve">4170033952                    </v>
      </c>
      <c r="Q3839">
        <v>0</v>
      </c>
      <c r="R3839">
        <v>0</v>
      </c>
      <c r="S3839">
        <v>0</v>
      </c>
      <c r="T3839">
        <v>0</v>
      </c>
      <c r="U3839">
        <v>0</v>
      </c>
      <c r="V3839">
        <v>0</v>
      </c>
      <c r="W3839">
        <v>0</v>
      </c>
      <c r="X3839">
        <v>0</v>
      </c>
      <c r="Y3839">
        <v>0</v>
      </c>
      <c r="Z3839">
        <v>0</v>
      </c>
      <c r="AA3839">
        <v>0</v>
      </c>
      <c r="AB3839">
        <v>0</v>
      </c>
      <c r="AC3839">
        <v>0</v>
      </c>
      <c r="AD3839">
        <v>0</v>
      </c>
      <c r="AE3839">
        <v>0</v>
      </c>
      <c r="AF3839">
        <v>0</v>
      </c>
      <c r="AG3839">
        <v>0</v>
      </c>
      <c r="AH3839">
        <v>0</v>
      </c>
      <c r="AI3839">
        <v>0</v>
      </c>
      <c r="AJ3839">
        <v>0</v>
      </c>
      <c r="AK3839">
        <v>0</v>
      </c>
      <c r="AL3839">
        <v>0</v>
      </c>
      <c r="AM3839">
        <v>0</v>
      </c>
      <c r="AN3839">
        <v>0</v>
      </c>
      <c r="AO3839">
        <v>0</v>
      </c>
      <c r="AP3839">
        <v>0</v>
      </c>
      <c r="AQ3839">
        <v>16.7</v>
      </c>
      <c r="AR3839">
        <v>0</v>
      </c>
      <c r="AS3839">
        <v>0</v>
      </c>
      <c r="AT3839">
        <v>0</v>
      </c>
      <c r="AU3839">
        <v>0</v>
      </c>
      <c r="AV3839">
        <v>0</v>
      </c>
      <c r="AW3839">
        <v>0</v>
      </c>
      <c r="AX3839">
        <v>0</v>
      </c>
      <c r="AY3839">
        <v>0</v>
      </c>
      <c r="AZ3839">
        <v>0</v>
      </c>
      <c r="BA3839">
        <v>0</v>
      </c>
      <c r="BB3839">
        <v>0</v>
      </c>
      <c r="BC3839">
        <v>0</v>
      </c>
      <c r="BD3839">
        <v>0</v>
      </c>
      <c r="BE3839">
        <v>0</v>
      </c>
      <c r="BF3839">
        <v>0</v>
      </c>
      <c r="BG3839">
        <v>0</v>
      </c>
      <c r="BH3839">
        <v>1</v>
      </c>
      <c r="BI3839">
        <v>5</v>
      </c>
      <c r="BJ3839">
        <v>1.9</v>
      </c>
      <c r="BK3839">
        <v>5</v>
      </c>
      <c r="BL3839">
        <v>54.66</v>
      </c>
      <c r="BM3839">
        <v>8.1999999999999993</v>
      </c>
      <c r="BN3839">
        <v>62.86</v>
      </c>
      <c r="BO3839">
        <v>62.86</v>
      </c>
      <c r="BQ3839" t="s">
        <v>851</v>
      </c>
      <c r="BR3839" t="s">
        <v>84</v>
      </c>
      <c r="BS3839" t="s">
        <v>1540</v>
      </c>
      <c r="BY3839">
        <v>9408</v>
      </c>
      <c r="CC3839" t="s">
        <v>76</v>
      </c>
      <c r="CD3839">
        <v>1666</v>
      </c>
      <c r="CE3839" t="s">
        <v>221</v>
      </c>
      <c r="CI3839">
        <v>1</v>
      </c>
      <c r="CJ3839" t="s">
        <v>1540</v>
      </c>
      <c r="CK3839">
        <v>22</v>
      </c>
      <c r="CL3839" t="s">
        <v>89</v>
      </c>
    </row>
    <row r="3840" spans="1:90" x14ac:dyDescent="0.3">
      <c r="A3840" t="s">
        <v>72</v>
      </c>
      <c r="B3840" t="s">
        <v>73</v>
      </c>
      <c r="C3840" t="s">
        <v>74</v>
      </c>
      <c r="E3840" t="str">
        <f>"080065638953"</f>
        <v>080065638953</v>
      </c>
      <c r="F3840" s="3">
        <v>45806</v>
      </c>
      <c r="G3840">
        <v>202602</v>
      </c>
      <c r="H3840" t="s">
        <v>75</v>
      </c>
      <c r="I3840" t="s">
        <v>76</v>
      </c>
      <c r="J3840" t="s">
        <v>77</v>
      </c>
      <c r="K3840" t="s">
        <v>78</v>
      </c>
      <c r="L3840" t="s">
        <v>871</v>
      </c>
      <c r="M3840" t="s">
        <v>872</v>
      </c>
      <c r="N3840" t="s">
        <v>873</v>
      </c>
      <c r="O3840" t="s">
        <v>82</v>
      </c>
      <c r="P3840" t="str">
        <f>"4170041305                    "</f>
        <v xml:space="preserve">4170041305                    </v>
      </c>
      <c r="Q3840">
        <v>0</v>
      </c>
      <c r="R3840">
        <v>0</v>
      </c>
      <c r="S3840">
        <v>0</v>
      </c>
      <c r="T3840">
        <v>0</v>
      </c>
      <c r="U3840">
        <v>0</v>
      </c>
      <c r="V3840">
        <v>0</v>
      </c>
      <c r="W3840">
        <v>0</v>
      </c>
      <c r="X3840">
        <v>0</v>
      </c>
      <c r="Y3840">
        <v>0</v>
      </c>
      <c r="Z3840">
        <v>0</v>
      </c>
      <c r="AA3840">
        <v>0</v>
      </c>
      <c r="AB3840">
        <v>0</v>
      </c>
      <c r="AC3840">
        <v>0</v>
      </c>
      <c r="AD3840">
        <v>0</v>
      </c>
      <c r="AE3840">
        <v>0</v>
      </c>
      <c r="AF3840">
        <v>0</v>
      </c>
      <c r="AG3840">
        <v>0</v>
      </c>
      <c r="AH3840">
        <v>0</v>
      </c>
      <c r="AI3840">
        <v>0</v>
      </c>
      <c r="AJ3840">
        <v>0</v>
      </c>
      <c r="AK3840">
        <v>0</v>
      </c>
      <c r="AL3840">
        <v>0</v>
      </c>
      <c r="AM3840">
        <v>0</v>
      </c>
      <c r="AN3840">
        <v>0</v>
      </c>
      <c r="AO3840">
        <v>0</v>
      </c>
      <c r="AP3840">
        <v>0</v>
      </c>
      <c r="AQ3840">
        <v>60.14</v>
      </c>
      <c r="AR3840">
        <v>0</v>
      </c>
      <c r="AS3840">
        <v>0</v>
      </c>
      <c r="AT3840">
        <v>0</v>
      </c>
      <c r="AU3840">
        <v>0</v>
      </c>
      <c r="AV3840">
        <v>0</v>
      </c>
      <c r="AW3840">
        <v>0</v>
      </c>
      <c r="AX3840">
        <v>0</v>
      </c>
      <c r="AY3840">
        <v>0</v>
      </c>
      <c r="AZ3840">
        <v>0</v>
      </c>
      <c r="BA3840">
        <v>0</v>
      </c>
      <c r="BB3840">
        <v>0</v>
      </c>
      <c r="BC3840">
        <v>0</v>
      </c>
      <c r="BD3840">
        <v>0</v>
      </c>
      <c r="BE3840">
        <v>0</v>
      </c>
      <c r="BF3840">
        <v>0</v>
      </c>
      <c r="BG3840">
        <v>0</v>
      </c>
      <c r="BH3840">
        <v>1</v>
      </c>
      <c r="BI3840">
        <v>3</v>
      </c>
      <c r="BJ3840">
        <v>0.6</v>
      </c>
      <c r="BK3840">
        <v>3</v>
      </c>
      <c r="BL3840">
        <v>196.82</v>
      </c>
      <c r="BM3840">
        <v>29.52</v>
      </c>
      <c r="BN3840">
        <v>226.34</v>
      </c>
      <c r="BO3840">
        <v>226.34</v>
      </c>
      <c r="BQ3840" t="s">
        <v>874</v>
      </c>
      <c r="BR3840" t="s">
        <v>84</v>
      </c>
      <c r="BS3840" t="s">
        <v>1540</v>
      </c>
      <c r="BV3840" t="s">
        <v>89</v>
      </c>
      <c r="BY3840">
        <v>3192</v>
      </c>
      <c r="CC3840" t="s">
        <v>872</v>
      </c>
      <c r="CD3840">
        <v>2302</v>
      </c>
      <c r="CE3840" t="s">
        <v>176</v>
      </c>
      <c r="CI3840">
        <v>1</v>
      </c>
      <c r="CJ3840" t="s">
        <v>1540</v>
      </c>
      <c r="CK3840">
        <v>23</v>
      </c>
      <c r="CL3840" t="s">
        <v>89</v>
      </c>
    </row>
    <row r="3841" spans="1:90" x14ac:dyDescent="0.3">
      <c r="A3841" t="s">
        <v>72</v>
      </c>
      <c r="B3841" t="s">
        <v>73</v>
      </c>
      <c r="C3841" t="s">
        <v>74</v>
      </c>
      <c r="E3841" t="str">
        <f>"080065638976"</f>
        <v>080065638976</v>
      </c>
      <c r="F3841" s="3">
        <v>45806</v>
      </c>
      <c r="G3841">
        <v>202602</v>
      </c>
      <c r="H3841" t="s">
        <v>75</v>
      </c>
      <c r="I3841" t="s">
        <v>76</v>
      </c>
      <c r="J3841" t="s">
        <v>77</v>
      </c>
      <c r="K3841" t="s">
        <v>78</v>
      </c>
      <c r="L3841" t="s">
        <v>79</v>
      </c>
      <c r="M3841" t="s">
        <v>80</v>
      </c>
      <c r="N3841" t="s">
        <v>1111</v>
      </c>
      <c r="O3841" t="s">
        <v>82</v>
      </c>
      <c r="P3841" t="str">
        <f>"4170041172                    "</f>
        <v xml:space="preserve">4170041172                    </v>
      </c>
      <c r="Q3841">
        <v>0</v>
      </c>
      <c r="R3841">
        <v>0</v>
      </c>
      <c r="S3841">
        <v>0</v>
      </c>
      <c r="T3841">
        <v>0</v>
      </c>
      <c r="U3841">
        <v>0</v>
      </c>
      <c r="V3841">
        <v>0</v>
      </c>
      <c r="W3841">
        <v>0</v>
      </c>
      <c r="X3841">
        <v>0</v>
      </c>
      <c r="Y3841">
        <v>0</v>
      </c>
      <c r="Z3841">
        <v>0</v>
      </c>
      <c r="AA3841">
        <v>0</v>
      </c>
      <c r="AB3841">
        <v>0</v>
      </c>
      <c r="AC3841">
        <v>0</v>
      </c>
      <c r="AD3841">
        <v>0</v>
      </c>
      <c r="AE3841">
        <v>0</v>
      </c>
      <c r="AF3841">
        <v>0</v>
      </c>
      <c r="AG3841">
        <v>0</v>
      </c>
      <c r="AH3841">
        <v>0</v>
      </c>
      <c r="AI3841">
        <v>0</v>
      </c>
      <c r="AJ3841">
        <v>0</v>
      </c>
      <c r="AK3841">
        <v>0</v>
      </c>
      <c r="AL3841">
        <v>0</v>
      </c>
      <c r="AM3841">
        <v>0</v>
      </c>
      <c r="AN3841">
        <v>0</v>
      </c>
      <c r="AO3841">
        <v>0</v>
      </c>
      <c r="AP3841">
        <v>0</v>
      </c>
      <c r="AQ3841">
        <v>21.38</v>
      </c>
      <c r="AR3841">
        <v>0</v>
      </c>
      <c r="AS3841">
        <v>0</v>
      </c>
      <c r="AT3841">
        <v>0</v>
      </c>
      <c r="AU3841">
        <v>0</v>
      </c>
      <c r="AV3841">
        <v>0</v>
      </c>
      <c r="AW3841">
        <v>0</v>
      </c>
      <c r="AX3841">
        <v>0</v>
      </c>
      <c r="AY3841">
        <v>0</v>
      </c>
      <c r="AZ3841">
        <v>0</v>
      </c>
      <c r="BA3841">
        <v>0</v>
      </c>
      <c r="BB3841">
        <v>0</v>
      </c>
      <c r="BC3841">
        <v>0</v>
      </c>
      <c r="BD3841">
        <v>0</v>
      </c>
      <c r="BE3841">
        <v>0</v>
      </c>
      <c r="BF3841">
        <v>0</v>
      </c>
      <c r="BG3841">
        <v>0</v>
      </c>
      <c r="BH3841">
        <v>1</v>
      </c>
      <c r="BI3841">
        <v>1</v>
      </c>
      <c r="BJ3841">
        <v>0.2</v>
      </c>
      <c r="BK3841">
        <v>1</v>
      </c>
      <c r="BL3841">
        <v>69.98</v>
      </c>
      <c r="BM3841">
        <v>10.5</v>
      </c>
      <c r="BN3841">
        <v>80.48</v>
      </c>
      <c r="BO3841">
        <v>80.48</v>
      </c>
      <c r="BQ3841" t="s">
        <v>1112</v>
      </c>
      <c r="BR3841" t="s">
        <v>84</v>
      </c>
      <c r="BS3841" t="s">
        <v>1540</v>
      </c>
      <c r="BV3841" t="s">
        <v>89</v>
      </c>
      <c r="BY3841">
        <v>1230</v>
      </c>
      <c r="CC3841" t="s">
        <v>80</v>
      </c>
      <c r="CD3841">
        <v>3610</v>
      </c>
      <c r="CE3841" t="s">
        <v>176</v>
      </c>
      <c r="CI3841">
        <v>1</v>
      </c>
      <c r="CJ3841" t="s">
        <v>1540</v>
      </c>
      <c r="CK3841">
        <v>21</v>
      </c>
      <c r="CL3841" t="s">
        <v>89</v>
      </c>
    </row>
    <row r="3842" spans="1:90" x14ac:dyDescent="0.3">
      <c r="A3842" t="s">
        <v>72</v>
      </c>
      <c r="B3842" t="s">
        <v>73</v>
      </c>
      <c r="C3842" t="s">
        <v>74</v>
      </c>
      <c r="E3842" t="str">
        <f>"080065638990"</f>
        <v>080065638990</v>
      </c>
      <c r="F3842" s="3">
        <v>45806</v>
      </c>
      <c r="G3842">
        <v>202602</v>
      </c>
      <c r="H3842" t="s">
        <v>75</v>
      </c>
      <c r="I3842" t="s">
        <v>76</v>
      </c>
      <c r="J3842" t="s">
        <v>77</v>
      </c>
      <c r="K3842" t="s">
        <v>78</v>
      </c>
      <c r="L3842" t="s">
        <v>624</v>
      </c>
      <c r="M3842" t="s">
        <v>625</v>
      </c>
      <c r="N3842" t="s">
        <v>481</v>
      </c>
      <c r="O3842" t="s">
        <v>82</v>
      </c>
      <c r="P3842" t="str">
        <f>"4170041328                    "</f>
        <v xml:space="preserve">4170041328                    </v>
      </c>
      <c r="Q3842">
        <v>0</v>
      </c>
      <c r="R3842">
        <v>0</v>
      </c>
      <c r="S3842">
        <v>0</v>
      </c>
      <c r="T3842">
        <v>0</v>
      </c>
      <c r="U3842">
        <v>0</v>
      </c>
      <c r="V3842">
        <v>0</v>
      </c>
      <c r="W3842">
        <v>0</v>
      </c>
      <c r="X3842">
        <v>0</v>
      </c>
      <c r="Y3842">
        <v>0</v>
      </c>
      <c r="Z3842">
        <v>0</v>
      </c>
      <c r="AA3842">
        <v>0</v>
      </c>
      <c r="AB3842">
        <v>0</v>
      </c>
      <c r="AC3842">
        <v>0</v>
      </c>
      <c r="AD3842">
        <v>0</v>
      </c>
      <c r="AE3842">
        <v>0</v>
      </c>
      <c r="AF3842">
        <v>0</v>
      </c>
      <c r="AG3842">
        <v>0</v>
      </c>
      <c r="AH3842">
        <v>0</v>
      </c>
      <c r="AI3842">
        <v>0</v>
      </c>
      <c r="AJ3842">
        <v>0</v>
      </c>
      <c r="AK3842">
        <v>0</v>
      </c>
      <c r="AL3842">
        <v>0</v>
      </c>
      <c r="AM3842">
        <v>0</v>
      </c>
      <c r="AN3842">
        <v>0</v>
      </c>
      <c r="AO3842">
        <v>0</v>
      </c>
      <c r="AP3842">
        <v>0</v>
      </c>
      <c r="AQ3842">
        <v>41.43</v>
      </c>
      <c r="AR3842">
        <v>0</v>
      </c>
      <c r="AS3842">
        <v>0</v>
      </c>
      <c r="AT3842">
        <v>0</v>
      </c>
      <c r="AU3842">
        <v>0</v>
      </c>
      <c r="AV3842">
        <v>0</v>
      </c>
      <c r="AW3842">
        <v>0</v>
      </c>
      <c r="AX3842">
        <v>0</v>
      </c>
      <c r="AY3842">
        <v>0</v>
      </c>
      <c r="AZ3842">
        <v>0</v>
      </c>
      <c r="BA3842">
        <v>0</v>
      </c>
      <c r="BB3842">
        <v>0</v>
      </c>
      <c r="BC3842">
        <v>0</v>
      </c>
      <c r="BD3842">
        <v>0</v>
      </c>
      <c r="BE3842">
        <v>0</v>
      </c>
      <c r="BF3842">
        <v>0</v>
      </c>
      <c r="BG3842">
        <v>0</v>
      </c>
      <c r="BH3842">
        <v>1</v>
      </c>
      <c r="BI3842">
        <v>1</v>
      </c>
      <c r="BJ3842">
        <v>0.2</v>
      </c>
      <c r="BK3842">
        <v>1</v>
      </c>
      <c r="BL3842">
        <v>135.59</v>
      </c>
      <c r="BM3842">
        <v>20.34</v>
      </c>
      <c r="BN3842">
        <v>155.93</v>
      </c>
      <c r="BO3842">
        <v>155.93</v>
      </c>
      <c r="BQ3842" t="s">
        <v>1025</v>
      </c>
      <c r="BR3842" t="s">
        <v>84</v>
      </c>
      <c r="BS3842" t="s">
        <v>1540</v>
      </c>
      <c r="BV3842" t="s">
        <v>89</v>
      </c>
      <c r="BY3842">
        <v>1200</v>
      </c>
      <c r="CC3842" t="s">
        <v>625</v>
      </c>
      <c r="CD3842">
        <v>1947</v>
      </c>
      <c r="CE3842" t="s">
        <v>176</v>
      </c>
      <c r="CI3842">
        <v>1</v>
      </c>
      <c r="CJ3842" t="s">
        <v>1540</v>
      </c>
      <c r="CK3842">
        <v>23</v>
      </c>
      <c r="CL3842" t="s">
        <v>89</v>
      </c>
    </row>
    <row r="3843" spans="1:90" x14ac:dyDescent="0.3">
      <c r="A3843" t="s">
        <v>72</v>
      </c>
      <c r="B3843" t="s">
        <v>73</v>
      </c>
      <c r="C3843" t="s">
        <v>74</v>
      </c>
      <c r="E3843" t="str">
        <f>"080065639279"</f>
        <v>080065639279</v>
      </c>
      <c r="F3843" s="3">
        <v>45806</v>
      </c>
      <c r="G3843">
        <v>202602</v>
      </c>
      <c r="H3843" t="s">
        <v>75</v>
      </c>
      <c r="I3843" t="s">
        <v>76</v>
      </c>
      <c r="J3843" t="s">
        <v>77</v>
      </c>
      <c r="K3843" t="s">
        <v>78</v>
      </c>
      <c r="L3843" t="s">
        <v>130</v>
      </c>
      <c r="M3843" t="s">
        <v>131</v>
      </c>
      <c r="N3843" t="s">
        <v>1436</v>
      </c>
      <c r="O3843" t="s">
        <v>82</v>
      </c>
      <c r="P3843" t="str">
        <f>"4170041218                    "</f>
        <v xml:space="preserve">4170041218                    </v>
      </c>
      <c r="Q3843">
        <v>0</v>
      </c>
      <c r="R3843">
        <v>0</v>
      </c>
      <c r="S3843">
        <v>0</v>
      </c>
      <c r="T3843">
        <v>0</v>
      </c>
      <c r="U3843">
        <v>0</v>
      </c>
      <c r="V3843">
        <v>0</v>
      </c>
      <c r="W3843">
        <v>0</v>
      </c>
      <c r="X3843">
        <v>0</v>
      </c>
      <c r="Y3843">
        <v>0</v>
      </c>
      <c r="Z3843">
        <v>0</v>
      </c>
      <c r="AA3843">
        <v>0</v>
      </c>
      <c r="AB3843">
        <v>0</v>
      </c>
      <c r="AC3843">
        <v>0</v>
      </c>
      <c r="AD3843">
        <v>0</v>
      </c>
      <c r="AE3843">
        <v>0</v>
      </c>
      <c r="AF3843">
        <v>0</v>
      </c>
      <c r="AG3843">
        <v>0</v>
      </c>
      <c r="AH3843">
        <v>0</v>
      </c>
      <c r="AI3843">
        <v>0</v>
      </c>
      <c r="AJ3843">
        <v>0</v>
      </c>
      <c r="AK3843">
        <v>0</v>
      </c>
      <c r="AL3843">
        <v>0</v>
      </c>
      <c r="AM3843">
        <v>0</v>
      </c>
      <c r="AN3843">
        <v>0</v>
      </c>
      <c r="AO3843">
        <v>0</v>
      </c>
      <c r="AP3843">
        <v>0</v>
      </c>
      <c r="AQ3843">
        <v>64.12</v>
      </c>
      <c r="AR3843">
        <v>0</v>
      </c>
      <c r="AS3843">
        <v>0</v>
      </c>
      <c r="AT3843">
        <v>0</v>
      </c>
      <c r="AU3843">
        <v>0</v>
      </c>
      <c r="AV3843">
        <v>0</v>
      </c>
      <c r="AW3843">
        <v>0</v>
      </c>
      <c r="AX3843">
        <v>0</v>
      </c>
      <c r="AY3843">
        <v>0</v>
      </c>
      <c r="AZ3843">
        <v>0</v>
      </c>
      <c r="BA3843">
        <v>0</v>
      </c>
      <c r="BB3843">
        <v>0</v>
      </c>
      <c r="BC3843">
        <v>0</v>
      </c>
      <c r="BD3843">
        <v>0</v>
      </c>
      <c r="BE3843">
        <v>0</v>
      </c>
      <c r="BF3843">
        <v>0</v>
      </c>
      <c r="BG3843">
        <v>0</v>
      </c>
      <c r="BH3843">
        <v>1</v>
      </c>
      <c r="BI3843">
        <v>3</v>
      </c>
      <c r="BJ3843">
        <v>5.7</v>
      </c>
      <c r="BK3843">
        <v>6</v>
      </c>
      <c r="BL3843">
        <v>209.84</v>
      </c>
      <c r="BM3843">
        <v>31.48</v>
      </c>
      <c r="BN3843">
        <v>241.32</v>
      </c>
      <c r="BO3843">
        <v>241.32</v>
      </c>
      <c r="BQ3843" t="s">
        <v>1437</v>
      </c>
      <c r="BR3843" t="s">
        <v>84</v>
      </c>
      <c r="BS3843" t="s">
        <v>1540</v>
      </c>
      <c r="BV3843" t="s">
        <v>89</v>
      </c>
      <c r="BY3843">
        <v>28512</v>
      </c>
      <c r="CC3843" t="s">
        <v>131</v>
      </c>
      <c r="CD3843">
        <v>7945</v>
      </c>
      <c r="CE3843" t="s">
        <v>221</v>
      </c>
      <c r="CI3843">
        <v>1</v>
      </c>
      <c r="CJ3843" t="s">
        <v>1540</v>
      </c>
      <c r="CK3843">
        <v>21</v>
      </c>
      <c r="CL3843" t="s">
        <v>89</v>
      </c>
    </row>
    <row r="3844" spans="1:90" x14ac:dyDescent="0.3">
      <c r="A3844" t="s">
        <v>72</v>
      </c>
      <c r="B3844" t="s">
        <v>73</v>
      </c>
      <c r="C3844" t="s">
        <v>74</v>
      </c>
      <c r="E3844" t="str">
        <f>"080065639344"</f>
        <v>080065639344</v>
      </c>
      <c r="F3844" s="3">
        <v>45806</v>
      </c>
      <c r="G3844">
        <v>202602</v>
      </c>
      <c r="H3844" t="s">
        <v>75</v>
      </c>
      <c r="I3844" t="s">
        <v>76</v>
      </c>
      <c r="J3844" t="s">
        <v>77</v>
      </c>
      <c r="K3844" t="s">
        <v>78</v>
      </c>
      <c r="L3844" t="s">
        <v>75</v>
      </c>
      <c r="M3844" t="s">
        <v>76</v>
      </c>
      <c r="N3844" t="s">
        <v>3431</v>
      </c>
      <c r="O3844" t="s">
        <v>82</v>
      </c>
      <c r="P3844" t="str">
        <f>"4170041341                    "</f>
        <v xml:space="preserve">4170041341                    </v>
      </c>
      <c r="Q3844">
        <v>0</v>
      </c>
      <c r="R3844">
        <v>0</v>
      </c>
      <c r="S3844">
        <v>0</v>
      </c>
      <c r="T3844">
        <v>0</v>
      </c>
      <c r="U3844">
        <v>0</v>
      </c>
      <c r="V3844">
        <v>0</v>
      </c>
      <c r="W3844">
        <v>0</v>
      </c>
      <c r="X3844">
        <v>0</v>
      </c>
      <c r="Y3844">
        <v>0</v>
      </c>
      <c r="Z3844">
        <v>0</v>
      </c>
      <c r="AA3844">
        <v>0</v>
      </c>
      <c r="AB3844">
        <v>0</v>
      </c>
      <c r="AC3844">
        <v>0</v>
      </c>
      <c r="AD3844">
        <v>0</v>
      </c>
      <c r="AE3844">
        <v>0</v>
      </c>
      <c r="AF3844">
        <v>0</v>
      </c>
      <c r="AG3844">
        <v>0</v>
      </c>
      <c r="AH3844">
        <v>0</v>
      </c>
      <c r="AI3844">
        <v>0</v>
      </c>
      <c r="AJ3844">
        <v>0</v>
      </c>
      <c r="AK3844">
        <v>0</v>
      </c>
      <c r="AL3844">
        <v>0</v>
      </c>
      <c r="AM3844">
        <v>0</v>
      </c>
      <c r="AN3844">
        <v>0</v>
      </c>
      <c r="AO3844">
        <v>0</v>
      </c>
      <c r="AP3844">
        <v>0</v>
      </c>
      <c r="AQ3844">
        <v>16.7</v>
      </c>
      <c r="AR3844">
        <v>0</v>
      </c>
      <c r="AS3844">
        <v>0</v>
      </c>
      <c r="AT3844">
        <v>0</v>
      </c>
      <c r="AU3844">
        <v>0</v>
      </c>
      <c r="AV3844">
        <v>0</v>
      </c>
      <c r="AW3844">
        <v>0</v>
      </c>
      <c r="AX3844">
        <v>0</v>
      </c>
      <c r="AY3844">
        <v>0</v>
      </c>
      <c r="AZ3844">
        <v>0</v>
      </c>
      <c r="BA3844">
        <v>0</v>
      </c>
      <c r="BB3844">
        <v>0</v>
      </c>
      <c r="BC3844">
        <v>0</v>
      </c>
      <c r="BD3844">
        <v>0</v>
      </c>
      <c r="BE3844">
        <v>0</v>
      </c>
      <c r="BF3844">
        <v>0</v>
      </c>
      <c r="BG3844">
        <v>0</v>
      </c>
      <c r="BH3844">
        <v>1</v>
      </c>
      <c r="BI3844">
        <v>2</v>
      </c>
      <c r="BJ3844">
        <v>0.6</v>
      </c>
      <c r="BK3844">
        <v>2</v>
      </c>
      <c r="BL3844">
        <v>54.66</v>
      </c>
      <c r="BM3844">
        <v>8.1999999999999993</v>
      </c>
      <c r="BN3844">
        <v>62.86</v>
      </c>
      <c r="BO3844">
        <v>62.86</v>
      </c>
      <c r="BQ3844" t="s">
        <v>3432</v>
      </c>
      <c r="BR3844" t="s">
        <v>84</v>
      </c>
      <c r="BS3844" t="s">
        <v>1540</v>
      </c>
      <c r="BV3844" t="s">
        <v>89</v>
      </c>
      <c r="BY3844">
        <v>3192</v>
      </c>
      <c r="CC3844" t="s">
        <v>76</v>
      </c>
      <c r="CD3844">
        <v>1609</v>
      </c>
      <c r="CE3844" t="s">
        <v>116</v>
      </c>
      <c r="CI3844">
        <v>1</v>
      </c>
      <c r="CJ3844" t="s">
        <v>1540</v>
      </c>
      <c r="CK3844">
        <v>22</v>
      </c>
      <c r="CL3844" t="s">
        <v>89</v>
      </c>
    </row>
    <row r="3845" spans="1:90" x14ac:dyDescent="0.3">
      <c r="A3845" t="s">
        <v>72</v>
      </c>
      <c r="B3845" t="s">
        <v>73</v>
      </c>
      <c r="C3845" t="s">
        <v>74</v>
      </c>
      <c r="E3845" t="str">
        <f>"080065639375"</f>
        <v>080065639375</v>
      </c>
      <c r="F3845" s="3">
        <v>45806</v>
      </c>
      <c r="G3845">
        <v>202602</v>
      </c>
      <c r="H3845" t="s">
        <v>75</v>
      </c>
      <c r="I3845" t="s">
        <v>76</v>
      </c>
      <c r="J3845" t="s">
        <v>77</v>
      </c>
      <c r="K3845" t="s">
        <v>78</v>
      </c>
      <c r="L3845" t="s">
        <v>232</v>
      </c>
      <c r="M3845" t="s">
        <v>233</v>
      </c>
      <c r="N3845" t="s">
        <v>1108</v>
      </c>
      <c r="O3845" t="s">
        <v>82</v>
      </c>
      <c r="P3845" t="str">
        <f>"4170041335                    "</f>
        <v xml:space="preserve">4170041335                    </v>
      </c>
      <c r="Q3845">
        <v>0</v>
      </c>
      <c r="R3845">
        <v>0</v>
      </c>
      <c r="S3845">
        <v>0</v>
      </c>
      <c r="T3845">
        <v>0</v>
      </c>
      <c r="U3845">
        <v>0</v>
      </c>
      <c r="V3845">
        <v>0</v>
      </c>
      <c r="W3845">
        <v>0</v>
      </c>
      <c r="X3845">
        <v>0</v>
      </c>
      <c r="Y3845">
        <v>0</v>
      </c>
      <c r="Z3845">
        <v>0</v>
      </c>
      <c r="AA3845">
        <v>0</v>
      </c>
      <c r="AB3845">
        <v>0</v>
      </c>
      <c r="AC3845">
        <v>0</v>
      </c>
      <c r="AD3845">
        <v>0</v>
      </c>
      <c r="AE3845">
        <v>0</v>
      </c>
      <c r="AF3845">
        <v>0</v>
      </c>
      <c r="AG3845">
        <v>0</v>
      </c>
      <c r="AH3845">
        <v>0</v>
      </c>
      <c r="AI3845">
        <v>0</v>
      </c>
      <c r="AJ3845">
        <v>0</v>
      </c>
      <c r="AK3845">
        <v>0</v>
      </c>
      <c r="AL3845">
        <v>0</v>
      </c>
      <c r="AM3845">
        <v>0</v>
      </c>
      <c r="AN3845">
        <v>0</v>
      </c>
      <c r="AO3845">
        <v>0</v>
      </c>
      <c r="AP3845">
        <v>0</v>
      </c>
      <c r="AQ3845">
        <v>21.38</v>
      </c>
      <c r="AR3845">
        <v>0</v>
      </c>
      <c r="AS3845">
        <v>0</v>
      </c>
      <c r="AT3845">
        <v>0</v>
      </c>
      <c r="AU3845">
        <v>0</v>
      </c>
      <c r="AV3845">
        <v>0</v>
      </c>
      <c r="AW3845">
        <v>0</v>
      </c>
      <c r="AX3845">
        <v>0</v>
      </c>
      <c r="AY3845">
        <v>0</v>
      </c>
      <c r="AZ3845">
        <v>0</v>
      </c>
      <c r="BA3845">
        <v>0</v>
      </c>
      <c r="BB3845">
        <v>0</v>
      </c>
      <c r="BC3845">
        <v>0</v>
      </c>
      <c r="BD3845">
        <v>0</v>
      </c>
      <c r="BE3845">
        <v>0</v>
      </c>
      <c r="BF3845">
        <v>0</v>
      </c>
      <c r="BG3845">
        <v>0</v>
      </c>
      <c r="BH3845">
        <v>1</v>
      </c>
      <c r="BI3845">
        <v>1</v>
      </c>
      <c r="BJ3845">
        <v>0.2</v>
      </c>
      <c r="BK3845">
        <v>1</v>
      </c>
      <c r="BL3845">
        <v>69.98</v>
      </c>
      <c r="BM3845">
        <v>10.5</v>
      </c>
      <c r="BN3845">
        <v>80.48</v>
      </c>
      <c r="BO3845">
        <v>80.48</v>
      </c>
      <c r="BQ3845" t="s">
        <v>1109</v>
      </c>
      <c r="BR3845" t="s">
        <v>84</v>
      </c>
      <c r="BS3845" t="s">
        <v>1540</v>
      </c>
      <c r="BV3845" t="s">
        <v>89</v>
      </c>
      <c r="BY3845">
        <v>1200</v>
      </c>
      <c r="CC3845" t="s">
        <v>233</v>
      </c>
      <c r="CD3845" s="5" t="s">
        <v>238</v>
      </c>
      <c r="CE3845" t="s">
        <v>88</v>
      </c>
      <c r="CI3845">
        <v>1</v>
      </c>
      <c r="CJ3845" t="s">
        <v>1540</v>
      </c>
      <c r="CK3845">
        <v>21</v>
      </c>
      <c r="CL3845" t="s">
        <v>89</v>
      </c>
    </row>
    <row r="3846" spans="1:90" x14ac:dyDescent="0.3">
      <c r="A3846" t="s">
        <v>72</v>
      </c>
      <c r="B3846" t="s">
        <v>73</v>
      </c>
      <c r="C3846" t="s">
        <v>74</v>
      </c>
      <c r="E3846" t="str">
        <f>"080065639394"</f>
        <v>080065639394</v>
      </c>
      <c r="F3846" s="3">
        <v>45806</v>
      </c>
      <c r="G3846">
        <v>202602</v>
      </c>
      <c r="H3846" t="s">
        <v>75</v>
      </c>
      <c r="I3846" t="s">
        <v>76</v>
      </c>
      <c r="J3846" t="s">
        <v>77</v>
      </c>
      <c r="K3846" t="s">
        <v>78</v>
      </c>
      <c r="L3846" t="s">
        <v>75</v>
      </c>
      <c r="M3846" t="s">
        <v>76</v>
      </c>
      <c r="N3846" t="s">
        <v>346</v>
      </c>
      <c r="O3846" t="s">
        <v>82</v>
      </c>
      <c r="P3846" t="str">
        <f>"4170041303                    "</f>
        <v xml:space="preserve">4170041303                    </v>
      </c>
      <c r="Q3846">
        <v>0</v>
      </c>
      <c r="R3846">
        <v>0</v>
      </c>
      <c r="S3846">
        <v>0</v>
      </c>
      <c r="T3846">
        <v>0</v>
      </c>
      <c r="U3846">
        <v>0</v>
      </c>
      <c r="V3846">
        <v>0</v>
      </c>
      <c r="W3846">
        <v>0</v>
      </c>
      <c r="X3846">
        <v>0</v>
      </c>
      <c r="Y3846">
        <v>0</v>
      </c>
      <c r="Z3846">
        <v>0</v>
      </c>
      <c r="AA3846">
        <v>0</v>
      </c>
      <c r="AB3846">
        <v>0</v>
      </c>
      <c r="AC3846">
        <v>0</v>
      </c>
      <c r="AD3846">
        <v>0</v>
      </c>
      <c r="AE3846">
        <v>0</v>
      </c>
      <c r="AF3846">
        <v>0</v>
      </c>
      <c r="AG3846">
        <v>0</v>
      </c>
      <c r="AH3846">
        <v>0</v>
      </c>
      <c r="AI3846">
        <v>0</v>
      </c>
      <c r="AJ3846">
        <v>0</v>
      </c>
      <c r="AK3846">
        <v>0</v>
      </c>
      <c r="AL3846">
        <v>0</v>
      </c>
      <c r="AM3846">
        <v>0</v>
      </c>
      <c r="AN3846">
        <v>0</v>
      </c>
      <c r="AO3846">
        <v>0</v>
      </c>
      <c r="AP3846">
        <v>0</v>
      </c>
      <c r="AQ3846">
        <v>16.7</v>
      </c>
      <c r="AR3846">
        <v>0</v>
      </c>
      <c r="AS3846">
        <v>0</v>
      </c>
      <c r="AT3846">
        <v>0</v>
      </c>
      <c r="AU3846">
        <v>0</v>
      </c>
      <c r="AV3846">
        <v>0</v>
      </c>
      <c r="AW3846">
        <v>0</v>
      </c>
      <c r="AX3846">
        <v>0</v>
      </c>
      <c r="AY3846">
        <v>0</v>
      </c>
      <c r="AZ3846">
        <v>0</v>
      </c>
      <c r="BA3846">
        <v>0</v>
      </c>
      <c r="BB3846">
        <v>0</v>
      </c>
      <c r="BC3846">
        <v>0</v>
      </c>
      <c r="BD3846">
        <v>0</v>
      </c>
      <c r="BE3846">
        <v>0</v>
      </c>
      <c r="BF3846">
        <v>0</v>
      </c>
      <c r="BG3846">
        <v>0</v>
      </c>
      <c r="BH3846">
        <v>1</v>
      </c>
      <c r="BI3846">
        <v>1</v>
      </c>
      <c r="BJ3846">
        <v>0.2</v>
      </c>
      <c r="BK3846">
        <v>1</v>
      </c>
      <c r="BL3846">
        <v>54.66</v>
      </c>
      <c r="BM3846">
        <v>8.1999999999999993</v>
      </c>
      <c r="BN3846">
        <v>62.86</v>
      </c>
      <c r="BO3846">
        <v>62.86</v>
      </c>
      <c r="BQ3846" t="s">
        <v>347</v>
      </c>
      <c r="BR3846" t="s">
        <v>84</v>
      </c>
      <c r="BS3846" t="s">
        <v>1540</v>
      </c>
      <c r="BV3846" t="s">
        <v>89</v>
      </c>
      <c r="BY3846">
        <v>1200</v>
      </c>
      <c r="CC3846" t="s">
        <v>76</v>
      </c>
      <c r="CD3846">
        <v>1619</v>
      </c>
      <c r="CE3846" t="s">
        <v>88</v>
      </c>
      <c r="CI3846">
        <v>1</v>
      </c>
      <c r="CJ3846" t="s">
        <v>1540</v>
      </c>
      <c r="CK3846">
        <v>22</v>
      </c>
      <c r="CL3846" t="s">
        <v>89</v>
      </c>
    </row>
    <row r="3847" spans="1:90" x14ac:dyDescent="0.3">
      <c r="A3847" t="s">
        <v>72</v>
      </c>
      <c r="B3847" t="s">
        <v>73</v>
      </c>
      <c r="C3847" t="s">
        <v>74</v>
      </c>
      <c r="E3847" t="str">
        <f>"080065639427"</f>
        <v>080065639427</v>
      </c>
      <c r="F3847" s="3">
        <v>45806</v>
      </c>
      <c r="G3847">
        <v>202602</v>
      </c>
      <c r="H3847" t="s">
        <v>75</v>
      </c>
      <c r="I3847" t="s">
        <v>76</v>
      </c>
      <c r="J3847" t="s">
        <v>77</v>
      </c>
      <c r="K3847" t="s">
        <v>78</v>
      </c>
      <c r="L3847" t="s">
        <v>222</v>
      </c>
      <c r="M3847" t="s">
        <v>223</v>
      </c>
      <c r="N3847" t="s">
        <v>3139</v>
      </c>
      <c r="O3847" t="s">
        <v>82</v>
      </c>
      <c r="P3847" t="str">
        <f>"4170041334                    "</f>
        <v xml:space="preserve">4170041334                    </v>
      </c>
      <c r="Q3847">
        <v>0</v>
      </c>
      <c r="R3847">
        <v>0</v>
      </c>
      <c r="S3847">
        <v>0</v>
      </c>
      <c r="T3847">
        <v>0</v>
      </c>
      <c r="U3847">
        <v>0</v>
      </c>
      <c r="V3847">
        <v>0</v>
      </c>
      <c r="W3847">
        <v>0</v>
      </c>
      <c r="X3847">
        <v>0</v>
      </c>
      <c r="Y3847">
        <v>0</v>
      </c>
      <c r="Z3847">
        <v>0</v>
      </c>
      <c r="AA3847">
        <v>0</v>
      </c>
      <c r="AB3847">
        <v>0</v>
      </c>
      <c r="AC3847">
        <v>0</v>
      </c>
      <c r="AD3847">
        <v>0</v>
      </c>
      <c r="AE3847">
        <v>0</v>
      </c>
      <c r="AF3847">
        <v>0</v>
      </c>
      <c r="AG3847">
        <v>0</v>
      </c>
      <c r="AH3847">
        <v>0</v>
      </c>
      <c r="AI3847">
        <v>0</v>
      </c>
      <c r="AJ3847">
        <v>0</v>
      </c>
      <c r="AK3847">
        <v>0</v>
      </c>
      <c r="AL3847">
        <v>0</v>
      </c>
      <c r="AM3847">
        <v>0</v>
      </c>
      <c r="AN3847">
        <v>0</v>
      </c>
      <c r="AO3847">
        <v>0</v>
      </c>
      <c r="AP3847">
        <v>0</v>
      </c>
      <c r="AQ3847">
        <v>30.07</v>
      </c>
      <c r="AR3847">
        <v>0</v>
      </c>
      <c r="AS3847">
        <v>0</v>
      </c>
      <c r="AT3847">
        <v>0</v>
      </c>
      <c r="AU3847">
        <v>0</v>
      </c>
      <c r="AV3847">
        <v>0</v>
      </c>
      <c r="AW3847">
        <v>16.739999999999998</v>
      </c>
      <c r="AX3847">
        <v>0</v>
      </c>
      <c r="AY3847">
        <v>0</v>
      </c>
      <c r="AZ3847">
        <v>0</v>
      </c>
      <c r="BA3847">
        <v>0</v>
      </c>
      <c r="BB3847">
        <v>0</v>
      </c>
      <c r="BC3847">
        <v>0</v>
      </c>
      <c r="BD3847">
        <v>0</v>
      </c>
      <c r="BE3847">
        <v>0</v>
      </c>
      <c r="BF3847">
        <v>0</v>
      </c>
      <c r="BG3847">
        <v>0</v>
      </c>
      <c r="BH3847">
        <v>1</v>
      </c>
      <c r="BI3847">
        <v>1</v>
      </c>
      <c r="BJ3847">
        <v>0.2</v>
      </c>
      <c r="BK3847">
        <v>1</v>
      </c>
      <c r="BL3847">
        <v>115.16</v>
      </c>
      <c r="BM3847">
        <v>17.27</v>
      </c>
      <c r="BN3847">
        <v>132.43</v>
      </c>
      <c r="BO3847">
        <v>132.43</v>
      </c>
      <c r="BQ3847" t="s">
        <v>3140</v>
      </c>
      <c r="BR3847" t="s">
        <v>84</v>
      </c>
      <c r="BS3847" t="s">
        <v>1540</v>
      </c>
      <c r="BV3847" t="s">
        <v>89</v>
      </c>
      <c r="BY3847">
        <v>1200</v>
      </c>
      <c r="BZ3847" t="s">
        <v>30</v>
      </c>
      <c r="CC3847" t="s">
        <v>223</v>
      </c>
      <c r="CD3847">
        <v>1723</v>
      </c>
      <c r="CE3847" t="s">
        <v>88</v>
      </c>
      <c r="CI3847">
        <v>1</v>
      </c>
      <c r="CJ3847" t="s">
        <v>1540</v>
      </c>
      <c r="CK3847">
        <v>24</v>
      </c>
      <c r="CL3847" t="s">
        <v>89</v>
      </c>
    </row>
    <row r="3848" spans="1:90" x14ac:dyDescent="0.3">
      <c r="A3848" t="s">
        <v>72</v>
      </c>
      <c r="B3848" t="s">
        <v>73</v>
      </c>
      <c r="C3848" t="s">
        <v>74</v>
      </c>
      <c r="E3848" t="str">
        <f>"080065639462"</f>
        <v>080065639462</v>
      </c>
      <c r="F3848" s="3">
        <v>45806</v>
      </c>
      <c r="G3848">
        <v>202602</v>
      </c>
      <c r="H3848" t="s">
        <v>75</v>
      </c>
      <c r="I3848" t="s">
        <v>76</v>
      </c>
      <c r="J3848" t="s">
        <v>77</v>
      </c>
      <c r="K3848" t="s">
        <v>78</v>
      </c>
      <c r="L3848" t="s">
        <v>90</v>
      </c>
      <c r="M3848" t="s">
        <v>91</v>
      </c>
      <c r="N3848" t="s">
        <v>563</v>
      </c>
      <c r="O3848" t="s">
        <v>82</v>
      </c>
      <c r="P3848" t="str">
        <f>"4170041138                    "</f>
        <v xml:space="preserve">4170041138                    </v>
      </c>
      <c r="Q3848">
        <v>0</v>
      </c>
      <c r="R3848">
        <v>0</v>
      </c>
      <c r="S3848">
        <v>0</v>
      </c>
      <c r="T3848">
        <v>0</v>
      </c>
      <c r="U3848">
        <v>0</v>
      </c>
      <c r="V3848">
        <v>0</v>
      </c>
      <c r="W3848">
        <v>0</v>
      </c>
      <c r="X3848">
        <v>0</v>
      </c>
      <c r="Y3848">
        <v>0</v>
      </c>
      <c r="Z3848">
        <v>0</v>
      </c>
      <c r="AA3848">
        <v>0</v>
      </c>
      <c r="AB3848">
        <v>0</v>
      </c>
      <c r="AC3848">
        <v>0</v>
      </c>
      <c r="AD3848">
        <v>0</v>
      </c>
      <c r="AE3848">
        <v>0</v>
      </c>
      <c r="AF3848">
        <v>0</v>
      </c>
      <c r="AG3848">
        <v>0</v>
      </c>
      <c r="AH3848">
        <v>0</v>
      </c>
      <c r="AI3848">
        <v>0</v>
      </c>
      <c r="AJ3848">
        <v>0</v>
      </c>
      <c r="AK3848">
        <v>0</v>
      </c>
      <c r="AL3848">
        <v>0</v>
      </c>
      <c r="AM3848">
        <v>0</v>
      </c>
      <c r="AN3848">
        <v>0</v>
      </c>
      <c r="AO3848">
        <v>0</v>
      </c>
      <c r="AP3848">
        <v>0</v>
      </c>
      <c r="AQ3848">
        <v>21.38</v>
      </c>
      <c r="AR3848">
        <v>0</v>
      </c>
      <c r="AS3848">
        <v>0</v>
      </c>
      <c r="AT3848">
        <v>0</v>
      </c>
      <c r="AU3848">
        <v>0</v>
      </c>
      <c r="AV3848">
        <v>0</v>
      </c>
      <c r="AW3848">
        <v>0</v>
      </c>
      <c r="AX3848">
        <v>0</v>
      </c>
      <c r="AY3848">
        <v>0</v>
      </c>
      <c r="AZ3848">
        <v>0</v>
      </c>
      <c r="BA3848">
        <v>0</v>
      </c>
      <c r="BB3848">
        <v>0</v>
      </c>
      <c r="BC3848">
        <v>0</v>
      </c>
      <c r="BD3848">
        <v>0</v>
      </c>
      <c r="BE3848">
        <v>0</v>
      </c>
      <c r="BF3848">
        <v>0</v>
      </c>
      <c r="BG3848">
        <v>0</v>
      </c>
      <c r="BH3848">
        <v>1</v>
      </c>
      <c r="BI3848">
        <v>1</v>
      </c>
      <c r="BJ3848">
        <v>0.2</v>
      </c>
      <c r="BK3848">
        <v>1</v>
      </c>
      <c r="BL3848">
        <v>69.98</v>
      </c>
      <c r="BM3848">
        <v>10.5</v>
      </c>
      <c r="BN3848">
        <v>80.48</v>
      </c>
      <c r="BO3848">
        <v>80.48</v>
      </c>
      <c r="BQ3848" t="s">
        <v>564</v>
      </c>
      <c r="BR3848" t="s">
        <v>84</v>
      </c>
      <c r="BS3848" t="s">
        <v>1540</v>
      </c>
      <c r="BV3848" t="s">
        <v>89</v>
      </c>
      <c r="BY3848">
        <v>1200</v>
      </c>
      <c r="CC3848" t="s">
        <v>91</v>
      </c>
      <c r="CD3848">
        <v>6001</v>
      </c>
      <c r="CE3848" t="s">
        <v>88</v>
      </c>
      <c r="CI3848">
        <v>1</v>
      </c>
      <c r="CJ3848" t="s">
        <v>1540</v>
      </c>
      <c r="CK3848">
        <v>21</v>
      </c>
      <c r="CL3848" t="s">
        <v>89</v>
      </c>
    </row>
    <row r="3849" spans="1:90" x14ac:dyDescent="0.3">
      <c r="A3849" t="s">
        <v>72</v>
      </c>
      <c r="B3849" t="s">
        <v>73</v>
      </c>
      <c r="C3849" t="s">
        <v>74</v>
      </c>
      <c r="E3849" t="str">
        <f>"080065639809"</f>
        <v>080065639809</v>
      </c>
      <c r="F3849" s="3">
        <v>45806</v>
      </c>
      <c r="G3849">
        <v>202602</v>
      </c>
      <c r="H3849" t="s">
        <v>75</v>
      </c>
      <c r="I3849" t="s">
        <v>76</v>
      </c>
      <c r="J3849" t="s">
        <v>77</v>
      </c>
      <c r="K3849" t="s">
        <v>78</v>
      </c>
      <c r="L3849" t="s">
        <v>75</v>
      </c>
      <c r="M3849" t="s">
        <v>76</v>
      </c>
      <c r="N3849" t="s">
        <v>803</v>
      </c>
      <c r="O3849" t="s">
        <v>82</v>
      </c>
      <c r="P3849" t="str">
        <f>"4170041327                    "</f>
        <v xml:space="preserve">4170041327                    </v>
      </c>
      <c r="Q3849">
        <v>0</v>
      </c>
      <c r="R3849">
        <v>0</v>
      </c>
      <c r="S3849">
        <v>0</v>
      </c>
      <c r="T3849">
        <v>0</v>
      </c>
      <c r="U3849">
        <v>0</v>
      </c>
      <c r="V3849">
        <v>0</v>
      </c>
      <c r="W3849">
        <v>0</v>
      </c>
      <c r="X3849">
        <v>0</v>
      </c>
      <c r="Y3849">
        <v>0</v>
      </c>
      <c r="Z3849">
        <v>0</v>
      </c>
      <c r="AA3849">
        <v>0</v>
      </c>
      <c r="AB3849">
        <v>0</v>
      </c>
      <c r="AC3849">
        <v>0</v>
      </c>
      <c r="AD3849">
        <v>0</v>
      </c>
      <c r="AE3849">
        <v>0</v>
      </c>
      <c r="AF3849">
        <v>0</v>
      </c>
      <c r="AG3849">
        <v>0</v>
      </c>
      <c r="AH3849">
        <v>0</v>
      </c>
      <c r="AI3849">
        <v>0</v>
      </c>
      <c r="AJ3849">
        <v>0</v>
      </c>
      <c r="AK3849">
        <v>0</v>
      </c>
      <c r="AL3849">
        <v>0</v>
      </c>
      <c r="AM3849">
        <v>0</v>
      </c>
      <c r="AN3849">
        <v>0</v>
      </c>
      <c r="AO3849">
        <v>0</v>
      </c>
      <c r="AP3849">
        <v>0</v>
      </c>
      <c r="AQ3849">
        <v>16.7</v>
      </c>
      <c r="AR3849">
        <v>0</v>
      </c>
      <c r="AS3849">
        <v>0</v>
      </c>
      <c r="AT3849">
        <v>0</v>
      </c>
      <c r="AU3849">
        <v>0</v>
      </c>
      <c r="AV3849">
        <v>0</v>
      </c>
      <c r="AW3849">
        <v>0</v>
      </c>
      <c r="AX3849">
        <v>0</v>
      </c>
      <c r="AY3849">
        <v>0</v>
      </c>
      <c r="AZ3849">
        <v>0</v>
      </c>
      <c r="BA3849">
        <v>0</v>
      </c>
      <c r="BB3849">
        <v>0</v>
      </c>
      <c r="BC3849">
        <v>0</v>
      </c>
      <c r="BD3849">
        <v>0</v>
      </c>
      <c r="BE3849">
        <v>0</v>
      </c>
      <c r="BF3849">
        <v>0</v>
      </c>
      <c r="BG3849">
        <v>0</v>
      </c>
      <c r="BH3849">
        <v>1</v>
      </c>
      <c r="BI3849">
        <v>1</v>
      </c>
      <c r="BJ3849">
        <v>0.6</v>
      </c>
      <c r="BK3849">
        <v>1</v>
      </c>
      <c r="BL3849">
        <v>54.66</v>
      </c>
      <c r="BM3849">
        <v>8.1999999999999993</v>
      </c>
      <c r="BN3849">
        <v>62.86</v>
      </c>
      <c r="BO3849">
        <v>62.86</v>
      </c>
      <c r="BQ3849" t="s">
        <v>804</v>
      </c>
      <c r="BR3849" t="s">
        <v>84</v>
      </c>
      <c r="BS3849" t="s">
        <v>1540</v>
      </c>
      <c r="BV3849" t="s">
        <v>89</v>
      </c>
      <c r="BY3849">
        <v>3192</v>
      </c>
      <c r="CC3849" t="s">
        <v>76</v>
      </c>
      <c r="CD3849">
        <v>1619</v>
      </c>
      <c r="CE3849" t="s">
        <v>116</v>
      </c>
      <c r="CI3849">
        <v>1</v>
      </c>
      <c r="CJ3849" t="s">
        <v>1540</v>
      </c>
      <c r="CK3849">
        <v>22</v>
      </c>
      <c r="CL3849" t="s">
        <v>89</v>
      </c>
    </row>
    <row r="3850" spans="1:90" x14ac:dyDescent="0.3">
      <c r="A3850" t="s">
        <v>72</v>
      </c>
      <c r="B3850" t="s">
        <v>73</v>
      </c>
      <c r="C3850" t="s">
        <v>74</v>
      </c>
      <c r="E3850" t="str">
        <f>"080065639835"</f>
        <v>080065639835</v>
      </c>
      <c r="F3850" s="3">
        <v>45806</v>
      </c>
      <c r="G3850">
        <v>202602</v>
      </c>
      <c r="H3850" t="s">
        <v>75</v>
      </c>
      <c r="I3850" t="s">
        <v>76</v>
      </c>
      <c r="J3850" t="s">
        <v>77</v>
      </c>
      <c r="K3850" t="s">
        <v>78</v>
      </c>
      <c r="L3850" t="s">
        <v>123</v>
      </c>
      <c r="M3850" t="s">
        <v>123</v>
      </c>
      <c r="N3850" t="s">
        <v>766</v>
      </c>
      <c r="O3850" t="s">
        <v>82</v>
      </c>
      <c r="P3850" t="str">
        <f>"4170041343                    "</f>
        <v xml:space="preserve">4170041343                    </v>
      </c>
      <c r="Q3850">
        <v>0</v>
      </c>
      <c r="R3850">
        <v>0</v>
      </c>
      <c r="S3850">
        <v>0</v>
      </c>
      <c r="T3850">
        <v>0</v>
      </c>
      <c r="U3850">
        <v>0</v>
      </c>
      <c r="V3850">
        <v>0</v>
      </c>
      <c r="W3850">
        <v>0</v>
      </c>
      <c r="X3850">
        <v>0</v>
      </c>
      <c r="Y3850">
        <v>0</v>
      </c>
      <c r="Z3850">
        <v>0</v>
      </c>
      <c r="AA3850">
        <v>0</v>
      </c>
      <c r="AB3850">
        <v>0</v>
      </c>
      <c r="AC3850">
        <v>0</v>
      </c>
      <c r="AD3850">
        <v>0</v>
      </c>
      <c r="AE3850">
        <v>0</v>
      </c>
      <c r="AF3850">
        <v>0</v>
      </c>
      <c r="AG3850">
        <v>0</v>
      </c>
      <c r="AH3850">
        <v>0</v>
      </c>
      <c r="AI3850">
        <v>0</v>
      </c>
      <c r="AJ3850">
        <v>0</v>
      </c>
      <c r="AK3850">
        <v>0</v>
      </c>
      <c r="AL3850">
        <v>0</v>
      </c>
      <c r="AM3850">
        <v>0</v>
      </c>
      <c r="AN3850">
        <v>0</v>
      </c>
      <c r="AO3850">
        <v>0</v>
      </c>
      <c r="AP3850">
        <v>0</v>
      </c>
      <c r="AQ3850">
        <v>41.43</v>
      </c>
      <c r="AR3850">
        <v>0</v>
      </c>
      <c r="AS3850">
        <v>0</v>
      </c>
      <c r="AT3850">
        <v>0</v>
      </c>
      <c r="AU3850">
        <v>0</v>
      </c>
      <c r="AV3850">
        <v>0</v>
      </c>
      <c r="AW3850">
        <v>0</v>
      </c>
      <c r="AX3850">
        <v>0</v>
      </c>
      <c r="AY3850">
        <v>0</v>
      </c>
      <c r="AZ3850">
        <v>0</v>
      </c>
      <c r="BA3850">
        <v>0</v>
      </c>
      <c r="BB3850">
        <v>0</v>
      </c>
      <c r="BC3850">
        <v>0</v>
      </c>
      <c r="BD3850">
        <v>0</v>
      </c>
      <c r="BE3850">
        <v>0</v>
      </c>
      <c r="BF3850">
        <v>0</v>
      </c>
      <c r="BG3850">
        <v>0</v>
      </c>
      <c r="BH3850">
        <v>1</v>
      </c>
      <c r="BI3850">
        <v>1</v>
      </c>
      <c r="BJ3850">
        <v>0.2</v>
      </c>
      <c r="BK3850">
        <v>1</v>
      </c>
      <c r="BL3850">
        <v>135.59</v>
      </c>
      <c r="BM3850">
        <v>20.34</v>
      </c>
      <c r="BN3850">
        <v>155.93</v>
      </c>
      <c r="BO3850">
        <v>155.93</v>
      </c>
      <c r="BQ3850" t="s">
        <v>767</v>
      </c>
      <c r="BR3850" t="s">
        <v>84</v>
      </c>
      <c r="BS3850" t="s">
        <v>1540</v>
      </c>
      <c r="BV3850" t="s">
        <v>89</v>
      </c>
      <c r="BY3850">
        <v>1200</v>
      </c>
      <c r="CC3850" t="s">
        <v>123</v>
      </c>
      <c r="CD3850">
        <v>7646</v>
      </c>
      <c r="CE3850" t="s">
        <v>88</v>
      </c>
      <c r="CI3850">
        <v>1</v>
      </c>
      <c r="CJ3850" t="s">
        <v>1540</v>
      </c>
      <c r="CK3850">
        <v>23</v>
      </c>
      <c r="CL3850" t="s">
        <v>89</v>
      </c>
    </row>
    <row r="3851" spans="1:90" x14ac:dyDescent="0.3">
      <c r="A3851" t="s">
        <v>72</v>
      </c>
      <c r="B3851" t="s">
        <v>73</v>
      </c>
      <c r="C3851" t="s">
        <v>74</v>
      </c>
      <c r="E3851" t="str">
        <f>"080065639846"</f>
        <v>080065639846</v>
      </c>
      <c r="F3851" s="3">
        <v>45806</v>
      </c>
      <c r="G3851">
        <v>202602</v>
      </c>
      <c r="H3851" t="s">
        <v>75</v>
      </c>
      <c r="I3851" t="s">
        <v>76</v>
      </c>
      <c r="J3851" t="s">
        <v>77</v>
      </c>
      <c r="K3851" t="s">
        <v>78</v>
      </c>
      <c r="L3851" t="s">
        <v>75</v>
      </c>
      <c r="M3851" t="s">
        <v>76</v>
      </c>
      <c r="N3851" t="s">
        <v>3433</v>
      </c>
      <c r="O3851" t="s">
        <v>82</v>
      </c>
      <c r="P3851" t="str">
        <f>"4170041309                    "</f>
        <v xml:space="preserve">4170041309                    </v>
      </c>
      <c r="Q3851">
        <v>0</v>
      </c>
      <c r="R3851">
        <v>0</v>
      </c>
      <c r="S3851">
        <v>0</v>
      </c>
      <c r="T3851">
        <v>0</v>
      </c>
      <c r="U3851">
        <v>0</v>
      </c>
      <c r="V3851">
        <v>0</v>
      </c>
      <c r="W3851">
        <v>0</v>
      </c>
      <c r="X3851">
        <v>0</v>
      </c>
      <c r="Y3851">
        <v>0</v>
      </c>
      <c r="Z3851">
        <v>0</v>
      </c>
      <c r="AA3851">
        <v>0</v>
      </c>
      <c r="AB3851">
        <v>0</v>
      </c>
      <c r="AC3851">
        <v>0</v>
      </c>
      <c r="AD3851">
        <v>0</v>
      </c>
      <c r="AE3851">
        <v>0</v>
      </c>
      <c r="AF3851">
        <v>0</v>
      </c>
      <c r="AG3851">
        <v>0</v>
      </c>
      <c r="AH3851">
        <v>0</v>
      </c>
      <c r="AI3851">
        <v>0</v>
      </c>
      <c r="AJ3851">
        <v>0</v>
      </c>
      <c r="AK3851">
        <v>0</v>
      </c>
      <c r="AL3851">
        <v>0</v>
      </c>
      <c r="AM3851">
        <v>0</v>
      </c>
      <c r="AN3851">
        <v>0</v>
      </c>
      <c r="AO3851">
        <v>0</v>
      </c>
      <c r="AP3851">
        <v>0</v>
      </c>
      <c r="AQ3851">
        <v>16.7</v>
      </c>
      <c r="AR3851">
        <v>0</v>
      </c>
      <c r="AS3851">
        <v>0</v>
      </c>
      <c r="AT3851">
        <v>0</v>
      </c>
      <c r="AU3851">
        <v>0</v>
      </c>
      <c r="AV3851">
        <v>0</v>
      </c>
      <c r="AW3851">
        <v>0</v>
      </c>
      <c r="AX3851">
        <v>0</v>
      </c>
      <c r="AY3851">
        <v>0</v>
      </c>
      <c r="AZ3851">
        <v>0</v>
      </c>
      <c r="BA3851">
        <v>0</v>
      </c>
      <c r="BB3851">
        <v>0</v>
      </c>
      <c r="BC3851">
        <v>0</v>
      </c>
      <c r="BD3851">
        <v>0</v>
      </c>
      <c r="BE3851">
        <v>0</v>
      </c>
      <c r="BF3851">
        <v>0</v>
      </c>
      <c r="BG3851">
        <v>0</v>
      </c>
      <c r="BH3851">
        <v>1</v>
      </c>
      <c r="BI3851">
        <v>1</v>
      </c>
      <c r="BJ3851">
        <v>1.4</v>
      </c>
      <c r="BK3851">
        <v>2</v>
      </c>
      <c r="BL3851">
        <v>54.66</v>
      </c>
      <c r="BM3851">
        <v>8.1999999999999993</v>
      </c>
      <c r="BN3851">
        <v>62.86</v>
      </c>
      <c r="BO3851">
        <v>62.86</v>
      </c>
      <c r="BQ3851" t="s">
        <v>3434</v>
      </c>
      <c r="BR3851" t="s">
        <v>84</v>
      </c>
      <c r="BS3851" t="s">
        <v>1540</v>
      </c>
      <c r="BV3851" t="s">
        <v>89</v>
      </c>
      <c r="BY3851">
        <v>7000</v>
      </c>
      <c r="CC3851" t="s">
        <v>76</v>
      </c>
      <c r="CD3851">
        <v>1600</v>
      </c>
      <c r="CE3851" t="s">
        <v>116</v>
      </c>
      <c r="CI3851">
        <v>1</v>
      </c>
      <c r="CJ3851" t="s">
        <v>1540</v>
      </c>
      <c r="CK3851">
        <v>22</v>
      </c>
      <c r="CL3851" t="s">
        <v>89</v>
      </c>
    </row>
    <row r="3852" spans="1:90" x14ac:dyDescent="0.3">
      <c r="A3852" t="s">
        <v>72</v>
      </c>
      <c r="B3852" t="s">
        <v>73</v>
      </c>
      <c r="C3852" t="s">
        <v>74</v>
      </c>
      <c r="E3852" t="str">
        <f>"080065639896"</f>
        <v>080065639896</v>
      </c>
      <c r="F3852" s="3">
        <v>45806</v>
      </c>
      <c r="G3852">
        <v>202602</v>
      </c>
      <c r="H3852" t="s">
        <v>75</v>
      </c>
      <c r="I3852" t="s">
        <v>76</v>
      </c>
      <c r="J3852" t="s">
        <v>77</v>
      </c>
      <c r="K3852" t="s">
        <v>78</v>
      </c>
      <c r="L3852" t="s">
        <v>350</v>
      </c>
      <c r="M3852" t="s">
        <v>351</v>
      </c>
      <c r="N3852" t="s">
        <v>459</v>
      </c>
      <c r="O3852" t="s">
        <v>82</v>
      </c>
      <c r="P3852" t="str">
        <f>"4170041290                    "</f>
        <v xml:space="preserve">4170041290                    </v>
      </c>
      <c r="Q3852">
        <v>0</v>
      </c>
      <c r="R3852">
        <v>0</v>
      </c>
      <c r="S3852">
        <v>0</v>
      </c>
      <c r="T3852">
        <v>0</v>
      </c>
      <c r="U3852">
        <v>0</v>
      </c>
      <c r="V3852">
        <v>0</v>
      </c>
      <c r="W3852">
        <v>0</v>
      </c>
      <c r="X3852">
        <v>0</v>
      </c>
      <c r="Y3852">
        <v>0</v>
      </c>
      <c r="Z3852">
        <v>0</v>
      </c>
      <c r="AA3852">
        <v>0</v>
      </c>
      <c r="AB3852">
        <v>0</v>
      </c>
      <c r="AC3852">
        <v>0</v>
      </c>
      <c r="AD3852">
        <v>0</v>
      </c>
      <c r="AE3852">
        <v>0</v>
      </c>
      <c r="AF3852">
        <v>0</v>
      </c>
      <c r="AG3852">
        <v>0</v>
      </c>
      <c r="AH3852">
        <v>0</v>
      </c>
      <c r="AI3852">
        <v>0</v>
      </c>
      <c r="AJ3852">
        <v>0</v>
      </c>
      <c r="AK3852">
        <v>0</v>
      </c>
      <c r="AL3852">
        <v>0</v>
      </c>
      <c r="AM3852">
        <v>0</v>
      </c>
      <c r="AN3852">
        <v>0</v>
      </c>
      <c r="AO3852">
        <v>0</v>
      </c>
      <c r="AP3852">
        <v>0</v>
      </c>
      <c r="AQ3852">
        <v>21.38</v>
      </c>
      <c r="AR3852">
        <v>0</v>
      </c>
      <c r="AS3852">
        <v>0</v>
      </c>
      <c r="AT3852">
        <v>0</v>
      </c>
      <c r="AU3852">
        <v>0</v>
      </c>
      <c r="AV3852">
        <v>0</v>
      </c>
      <c r="AW3852">
        <v>0</v>
      </c>
      <c r="AX3852">
        <v>0</v>
      </c>
      <c r="AY3852">
        <v>0</v>
      </c>
      <c r="AZ3852">
        <v>0</v>
      </c>
      <c r="BA3852">
        <v>0</v>
      </c>
      <c r="BB3852">
        <v>0</v>
      </c>
      <c r="BC3852">
        <v>0</v>
      </c>
      <c r="BD3852">
        <v>0</v>
      </c>
      <c r="BE3852">
        <v>0</v>
      </c>
      <c r="BF3852">
        <v>0</v>
      </c>
      <c r="BG3852">
        <v>0</v>
      </c>
      <c r="BH3852">
        <v>1</v>
      </c>
      <c r="BI3852">
        <v>1</v>
      </c>
      <c r="BJ3852">
        <v>0.2</v>
      </c>
      <c r="BK3852">
        <v>1</v>
      </c>
      <c r="BL3852">
        <v>69.98</v>
      </c>
      <c r="BM3852">
        <v>10.5</v>
      </c>
      <c r="BN3852">
        <v>80.48</v>
      </c>
      <c r="BO3852">
        <v>80.48</v>
      </c>
      <c r="BQ3852" t="s">
        <v>460</v>
      </c>
      <c r="BR3852" t="s">
        <v>84</v>
      </c>
      <c r="BS3852" s="3">
        <v>45807</v>
      </c>
      <c r="BT3852" s="4">
        <v>0.33194444444444443</v>
      </c>
      <c r="BU3852" t="s">
        <v>461</v>
      </c>
      <c r="BV3852" t="s">
        <v>86</v>
      </c>
      <c r="BY3852">
        <v>1200</v>
      </c>
      <c r="CA3852" t="s">
        <v>462</v>
      </c>
      <c r="CC3852" t="s">
        <v>351</v>
      </c>
      <c r="CD3852">
        <v>4000</v>
      </c>
      <c r="CE3852" t="s">
        <v>88</v>
      </c>
      <c r="CI3852">
        <v>1</v>
      </c>
      <c r="CJ3852">
        <v>1</v>
      </c>
      <c r="CK3852">
        <v>21</v>
      </c>
      <c r="CL3852" t="s">
        <v>89</v>
      </c>
    </row>
    <row r="3853" spans="1:90" x14ac:dyDescent="0.3">
      <c r="A3853" t="s">
        <v>72</v>
      </c>
      <c r="B3853" t="s">
        <v>73</v>
      </c>
      <c r="C3853" t="s">
        <v>74</v>
      </c>
      <c r="E3853" t="str">
        <f>"080065639924"</f>
        <v>080065639924</v>
      </c>
      <c r="F3853" s="3">
        <v>45806</v>
      </c>
      <c r="G3853">
        <v>202602</v>
      </c>
      <c r="H3853" t="s">
        <v>75</v>
      </c>
      <c r="I3853" t="s">
        <v>76</v>
      </c>
      <c r="J3853" t="s">
        <v>77</v>
      </c>
      <c r="K3853" t="s">
        <v>78</v>
      </c>
      <c r="L3853" t="s">
        <v>75</v>
      </c>
      <c r="M3853" t="s">
        <v>76</v>
      </c>
      <c r="N3853" t="s">
        <v>2696</v>
      </c>
      <c r="O3853" t="s">
        <v>82</v>
      </c>
      <c r="P3853" t="str">
        <f>"4170041360                    "</f>
        <v xml:space="preserve">4170041360                    </v>
      </c>
      <c r="Q3853">
        <v>0</v>
      </c>
      <c r="R3853">
        <v>0</v>
      </c>
      <c r="S3853">
        <v>0</v>
      </c>
      <c r="T3853">
        <v>0</v>
      </c>
      <c r="U3853">
        <v>0</v>
      </c>
      <c r="V3853">
        <v>0</v>
      </c>
      <c r="W3853">
        <v>0</v>
      </c>
      <c r="X3853">
        <v>0</v>
      </c>
      <c r="Y3853">
        <v>0</v>
      </c>
      <c r="Z3853">
        <v>0</v>
      </c>
      <c r="AA3853">
        <v>0</v>
      </c>
      <c r="AB3853">
        <v>0</v>
      </c>
      <c r="AC3853">
        <v>0</v>
      </c>
      <c r="AD3853">
        <v>0</v>
      </c>
      <c r="AE3853">
        <v>0</v>
      </c>
      <c r="AF3853">
        <v>0</v>
      </c>
      <c r="AG3853">
        <v>0</v>
      </c>
      <c r="AH3853">
        <v>0</v>
      </c>
      <c r="AI3853">
        <v>0</v>
      </c>
      <c r="AJ3853">
        <v>0</v>
      </c>
      <c r="AK3853">
        <v>0</v>
      </c>
      <c r="AL3853">
        <v>0</v>
      </c>
      <c r="AM3853">
        <v>0</v>
      </c>
      <c r="AN3853">
        <v>0</v>
      </c>
      <c r="AO3853">
        <v>0</v>
      </c>
      <c r="AP3853">
        <v>0</v>
      </c>
      <c r="AQ3853">
        <v>16.7</v>
      </c>
      <c r="AR3853">
        <v>0</v>
      </c>
      <c r="AS3853">
        <v>0</v>
      </c>
      <c r="AT3853">
        <v>0</v>
      </c>
      <c r="AU3853">
        <v>0</v>
      </c>
      <c r="AV3853">
        <v>0</v>
      </c>
      <c r="AW3853">
        <v>0</v>
      </c>
      <c r="AX3853">
        <v>0</v>
      </c>
      <c r="AY3853">
        <v>0</v>
      </c>
      <c r="AZ3853">
        <v>0</v>
      </c>
      <c r="BA3853">
        <v>0</v>
      </c>
      <c r="BB3853">
        <v>0</v>
      </c>
      <c r="BC3853">
        <v>0</v>
      </c>
      <c r="BD3853">
        <v>0</v>
      </c>
      <c r="BE3853">
        <v>0</v>
      </c>
      <c r="BF3853">
        <v>0</v>
      </c>
      <c r="BG3853">
        <v>0</v>
      </c>
      <c r="BH3853">
        <v>1</v>
      </c>
      <c r="BI3853">
        <v>1</v>
      </c>
      <c r="BJ3853">
        <v>0.2</v>
      </c>
      <c r="BK3853">
        <v>1</v>
      </c>
      <c r="BL3853">
        <v>54.66</v>
      </c>
      <c r="BM3853">
        <v>8.1999999999999993</v>
      </c>
      <c r="BN3853">
        <v>62.86</v>
      </c>
      <c r="BO3853">
        <v>62.86</v>
      </c>
      <c r="BQ3853" t="s">
        <v>2697</v>
      </c>
      <c r="BR3853" t="s">
        <v>84</v>
      </c>
      <c r="BS3853" s="3">
        <v>45807</v>
      </c>
      <c r="BT3853" s="4">
        <v>0.33750000000000002</v>
      </c>
      <c r="BU3853" t="s">
        <v>3435</v>
      </c>
      <c r="BV3853" t="s">
        <v>86</v>
      </c>
      <c r="BY3853">
        <v>1200</v>
      </c>
      <c r="CA3853" t="s">
        <v>484</v>
      </c>
      <c r="CC3853" t="s">
        <v>76</v>
      </c>
      <c r="CD3853">
        <v>1601</v>
      </c>
      <c r="CE3853" t="s">
        <v>88</v>
      </c>
      <c r="CI3853">
        <v>1</v>
      </c>
      <c r="CJ3853">
        <v>1</v>
      </c>
      <c r="CK3853">
        <v>22</v>
      </c>
      <c r="CL3853" t="s">
        <v>89</v>
      </c>
    </row>
    <row r="3854" spans="1:90" x14ac:dyDescent="0.3">
      <c r="A3854" t="s">
        <v>72</v>
      </c>
      <c r="B3854" t="s">
        <v>73</v>
      </c>
      <c r="C3854" t="s">
        <v>74</v>
      </c>
      <c r="E3854" t="str">
        <f>"080065639954"</f>
        <v>080065639954</v>
      </c>
      <c r="F3854" s="3">
        <v>45806</v>
      </c>
      <c r="G3854">
        <v>202602</v>
      </c>
      <c r="H3854" t="s">
        <v>75</v>
      </c>
      <c r="I3854" t="s">
        <v>76</v>
      </c>
      <c r="J3854" t="s">
        <v>77</v>
      </c>
      <c r="K3854" t="s">
        <v>78</v>
      </c>
      <c r="L3854" t="s">
        <v>130</v>
      </c>
      <c r="M3854" t="s">
        <v>131</v>
      </c>
      <c r="N3854" t="s">
        <v>3174</v>
      </c>
      <c r="O3854" t="s">
        <v>82</v>
      </c>
      <c r="P3854" t="str">
        <f>"4170041388                    "</f>
        <v xml:space="preserve">4170041388                    </v>
      </c>
      <c r="Q3854">
        <v>0</v>
      </c>
      <c r="R3854">
        <v>0</v>
      </c>
      <c r="S3854">
        <v>0</v>
      </c>
      <c r="T3854">
        <v>0</v>
      </c>
      <c r="U3854">
        <v>0</v>
      </c>
      <c r="V3854">
        <v>0</v>
      </c>
      <c r="W3854">
        <v>0</v>
      </c>
      <c r="X3854">
        <v>0</v>
      </c>
      <c r="Y3854">
        <v>0</v>
      </c>
      <c r="Z3854">
        <v>0</v>
      </c>
      <c r="AA3854">
        <v>0</v>
      </c>
      <c r="AB3854">
        <v>0</v>
      </c>
      <c r="AC3854">
        <v>0</v>
      </c>
      <c r="AD3854">
        <v>0</v>
      </c>
      <c r="AE3854">
        <v>0</v>
      </c>
      <c r="AF3854">
        <v>0</v>
      </c>
      <c r="AG3854">
        <v>0</v>
      </c>
      <c r="AH3854">
        <v>0</v>
      </c>
      <c r="AI3854">
        <v>0</v>
      </c>
      <c r="AJ3854">
        <v>0</v>
      </c>
      <c r="AK3854">
        <v>0</v>
      </c>
      <c r="AL3854">
        <v>0</v>
      </c>
      <c r="AM3854">
        <v>0</v>
      </c>
      <c r="AN3854">
        <v>0</v>
      </c>
      <c r="AO3854">
        <v>0</v>
      </c>
      <c r="AP3854">
        <v>0</v>
      </c>
      <c r="AQ3854">
        <v>21.38</v>
      </c>
      <c r="AR3854">
        <v>0</v>
      </c>
      <c r="AS3854">
        <v>0</v>
      </c>
      <c r="AT3854">
        <v>0</v>
      </c>
      <c r="AU3854">
        <v>0</v>
      </c>
      <c r="AV3854">
        <v>0</v>
      </c>
      <c r="AW3854">
        <v>0</v>
      </c>
      <c r="AX3854">
        <v>0</v>
      </c>
      <c r="AY3854">
        <v>0</v>
      </c>
      <c r="AZ3854">
        <v>0</v>
      </c>
      <c r="BA3854">
        <v>0</v>
      </c>
      <c r="BB3854">
        <v>0</v>
      </c>
      <c r="BC3854">
        <v>0</v>
      </c>
      <c r="BD3854">
        <v>0</v>
      </c>
      <c r="BE3854">
        <v>0</v>
      </c>
      <c r="BF3854">
        <v>0</v>
      </c>
      <c r="BG3854">
        <v>0</v>
      </c>
      <c r="BH3854">
        <v>1</v>
      </c>
      <c r="BI3854">
        <v>1</v>
      </c>
      <c r="BJ3854">
        <v>0.2</v>
      </c>
      <c r="BK3854">
        <v>1</v>
      </c>
      <c r="BL3854">
        <v>69.98</v>
      </c>
      <c r="BM3854">
        <v>10.5</v>
      </c>
      <c r="BN3854">
        <v>80.48</v>
      </c>
      <c r="BO3854">
        <v>80.48</v>
      </c>
      <c r="BQ3854" t="s">
        <v>3175</v>
      </c>
      <c r="BR3854" t="s">
        <v>84</v>
      </c>
      <c r="BS3854" t="s">
        <v>1540</v>
      </c>
      <c r="BV3854" t="s">
        <v>89</v>
      </c>
      <c r="BY3854">
        <v>1200</v>
      </c>
      <c r="CC3854" t="s">
        <v>131</v>
      </c>
      <c r="CD3854">
        <v>7441</v>
      </c>
      <c r="CE3854" t="s">
        <v>88</v>
      </c>
      <c r="CI3854">
        <v>1</v>
      </c>
      <c r="CJ3854" t="s">
        <v>1540</v>
      </c>
      <c r="CK3854">
        <v>21</v>
      </c>
      <c r="CL3854" t="s">
        <v>89</v>
      </c>
    </row>
    <row r="3855" spans="1:90" x14ac:dyDescent="0.3">
      <c r="A3855" t="s">
        <v>72</v>
      </c>
      <c r="B3855" t="s">
        <v>73</v>
      </c>
      <c r="C3855" t="s">
        <v>74</v>
      </c>
      <c r="E3855" t="str">
        <f>"080065639976"</f>
        <v>080065639976</v>
      </c>
      <c r="F3855" s="3">
        <v>45806</v>
      </c>
      <c r="G3855">
        <v>202602</v>
      </c>
      <c r="H3855" t="s">
        <v>75</v>
      </c>
      <c r="I3855" t="s">
        <v>76</v>
      </c>
      <c r="J3855" t="s">
        <v>77</v>
      </c>
      <c r="K3855" t="s">
        <v>78</v>
      </c>
      <c r="L3855" t="s">
        <v>420</v>
      </c>
      <c r="M3855" t="s">
        <v>421</v>
      </c>
      <c r="N3855" t="s">
        <v>1914</v>
      </c>
      <c r="O3855" t="s">
        <v>82</v>
      </c>
      <c r="P3855" t="str">
        <f>"4170041412                    "</f>
        <v xml:space="preserve">4170041412                    </v>
      </c>
      <c r="Q3855">
        <v>0</v>
      </c>
      <c r="R3855">
        <v>0</v>
      </c>
      <c r="S3855">
        <v>0</v>
      </c>
      <c r="T3855">
        <v>0</v>
      </c>
      <c r="U3855">
        <v>0</v>
      </c>
      <c r="V3855">
        <v>0</v>
      </c>
      <c r="W3855">
        <v>0</v>
      </c>
      <c r="X3855">
        <v>0</v>
      </c>
      <c r="Y3855">
        <v>0</v>
      </c>
      <c r="Z3855">
        <v>0</v>
      </c>
      <c r="AA3855">
        <v>0</v>
      </c>
      <c r="AB3855">
        <v>0</v>
      </c>
      <c r="AC3855">
        <v>0</v>
      </c>
      <c r="AD3855">
        <v>0</v>
      </c>
      <c r="AE3855">
        <v>0</v>
      </c>
      <c r="AF3855">
        <v>0</v>
      </c>
      <c r="AG3855">
        <v>0</v>
      </c>
      <c r="AH3855">
        <v>0</v>
      </c>
      <c r="AI3855">
        <v>0</v>
      </c>
      <c r="AJ3855">
        <v>0</v>
      </c>
      <c r="AK3855">
        <v>0</v>
      </c>
      <c r="AL3855">
        <v>0</v>
      </c>
      <c r="AM3855">
        <v>0</v>
      </c>
      <c r="AN3855">
        <v>0</v>
      </c>
      <c r="AO3855">
        <v>0</v>
      </c>
      <c r="AP3855">
        <v>0</v>
      </c>
      <c r="AQ3855">
        <v>41.43</v>
      </c>
      <c r="AR3855">
        <v>0</v>
      </c>
      <c r="AS3855">
        <v>0</v>
      </c>
      <c r="AT3855">
        <v>0</v>
      </c>
      <c r="AU3855">
        <v>0</v>
      </c>
      <c r="AV3855">
        <v>0</v>
      </c>
      <c r="AW3855">
        <v>0</v>
      </c>
      <c r="AX3855">
        <v>0</v>
      </c>
      <c r="AY3855">
        <v>0</v>
      </c>
      <c r="AZ3855">
        <v>0</v>
      </c>
      <c r="BA3855">
        <v>0</v>
      </c>
      <c r="BB3855">
        <v>0</v>
      </c>
      <c r="BC3855">
        <v>0</v>
      </c>
      <c r="BD3855">
        <v>0</v>
      </c>
      <c r="BE3855">
        <v>0</v>
      </c>
      <c r="BF3855">
        <v>0</v>
      </c>
      <c r="BG3855">
        <v>0</v>
      </c>
      <c r="BH3855">
        <v>1</v>
      </c>
      <c r="BI3855">
        <v>1</v>
      </c>
      <c r="BJ3855">
        <v>0.2</v>
      </c>
      <c r="BK3855">
        <v>1</v>
      </c>
      <c r="BL3855">
        <v>135.59</v>
      </c>
      <c r="BM3855">
        <v>20.34</v>
      </c>
      <c r="BN3855">
        <v>155.93</v>
      </c>
      <c r="BO3855">
        <v>155.93</v>
      </c>
      <c r="BQ3855" t="s">
        <v>1915</v>
      </c>
      <c r="BR3855" t="s">
        <v>84</v>
      </c>
      <c r="BS3855" t="s">
        <v>1540</v>
      </c>
      <c r="BV3855" t="s">
        <v>89</v>
      </c>
      <c r="BY3855">
        <v>1200</v>
      </c>
      <c r="CC3855" t="s">
        <v>421</v>
      </c>
      <c r="CD3855">
        <v>3290</v>
      </c>
      <c r="CE3855" t="s">
        <v>88</v>
      </c>
      <c r="CI3855">
        <v>1</v>
      </c>
      <c r="CJ3855" t="s">
        <v>1540</v>
      </c>
      <c r="CK3855">
        <v>23</v>
      </c>
      <c r="CL3855" t="s">
        <v>89</v>
      </c>
    </row>
    <row r="3856" spans="1:90" x14ac:dyDescent="0.3">
      <c r="A3856" t="s">
        <v>72</v>
      </c>
      <c r="B3856" t="s">
        <v>73</v>
      </c>
      <c r="C3856" t="s">
        <v>74</v>
      </c>
      <c r="E3856" t="str">
        <f>"080065639996"</f>
        <v>080065639996</v>
      </c>
      <c r="F3856" s="3">
        <v>45806</v>
      </c>
      <c r="G3856">
        <v>202602</v>
      </c>
      <c r="H3856" t="s">
        <v>75</v>
      </c>
      <c r="I3856" t="s">
        <v>76</v>
      </c>
      <c r="J3856" t="s">
        <v>77</v>
      </c>
      <c r="K3856" t="s">
        <v>78</v>
      </c>
      <c r="L3856" t="s">
        <v>130</v>
      </c>
      <c r="M3856" t="s">
        <v>131</v>
      </c>
      <c r="N3856" t="s">
        <v>681</v>
      </c>
      <c r="O3856" t="s">
        <v>82</v>
      </c>
      <c r="P3856" t="str">
        <f>"4170041406                    "</f>
        <v xml:space="preserve">4170041406                    </v>
      </c>
      <c r="Q3856">
        <v>0</v>
      </c>
      <c r="R3856">
        <v>0</v>
      </c>
      <c r="S3856">
        <v>0</v>
      </c>
      <c r="T3856">
        <v>0</v>
      </c>
      <c r="U3856">
        <v>0</v>
      </c>
      <c r="V3856">
        <v>0</v>
      </c>
      <c r="W3856">
        <v>0</v>
      </c>
      <c r="X3856">
        <v>0</v>
      </c>
      <c r="Y3856">
        <v>0</v>
      </c>
      <c r="Z3856">
        <v>0</v>
      </c>
      <c r="AA3856">
        <v>0</v>
      </c>
      <c r="AB3856">
        <v>0</v>
      </c>
      <c r="AC3856">
        <v>0</v>
      </c>
      <c r="AD3856">
        <v>0</v>
      </c>
      <c r="AE3856">
        <v>0</v>
      </c>
      <c r="AF3856">
        <v>0</v>
      </c>
      <c r="AG3856">
        <v>0</v>
      </c>
      <c r="AH3856">
        <v>0</v>
      </c>
      <c r="AI3856">
        <v>0</v>
      </c>
      <c r="AJ3856">
        <v>0</v>
      </c>
      <c r="AK3856">
        <v>0</v>
      </c>
      <c r="AL3856">
        <v>0</v>
      </c>
      <c r="AM3856">
        <v>0</v>
      </c>
      <c r="AN3856">
        <v>0</v>
      </c>
      <c r="AO3856">
        <v>0</v>
      </c>
      <c r="AP3856">
        <v>0</v>
      </c>
      <c r="AQ3856">
        <v>21.38</v>
      </c>
      <c r="AR3856">
        <v>0</v>
      </c>
      <c r="AS3856">
        <v>0</v>
      </c>
      <c r="AT3856">
        <v>0</v>
      </c>
      <c r="AU3856">
        <v>0</v>
      </c>
      <c r="AV3856">
        <v>0</v>
      </c>
      <c r="AW3856">
        <v>0</v>
      </c>
      <c r="AX3856">
        <v>0</v>
      </c>
      <c r="AY3856">
        <v>0</v>
      </c>
      <c r="AZ3856">
        <v>0</v>
      </c>
      <c r="BA3856">
        <v>0</v>
      </c>
      <c r="BB3856">
        <v>0</v>
      </c>
      <c r="BC3856">
        <v>0</v>
      </c>
      <c r="BD3856">
        <v>0</v>
      </c>
      <c r="BE3856">
        <v>0</v>
      </c>
      <c r="BF3856">
        <v>0</v>
      </c>
      <c r="BG3856">
        <v>0</v>
      </c>
      <c r="BH3856">
        <v>1</v>
      </c>
      <c r="BI3856">
        <v>1</v>
      </c>
      <c r="BJ3856">
        <v>0.2</v>
      </c>
      <c r="BK3856">
        <v>1</v>
      </c>
      <c r="BL3856">
        <v>69.98</v>
      </c>
      <c r="BM3856">
        <v>10.5</v>
      </c>
      <c r="BN3856">
        <v>80.48</v>
      </c>
      <c r="BO3856">
        <v>80.48</v>
      </c>
      <c r="BQ3856" t="s">
        <v>682</v>
      </c>
      <c r="BR3856" t="s">
        <v>84</v>
      </c>
      <c r="BS3856" t="s">
        <v>1540</v>
      </c>
      <c r="BV3856" t="s">
        <v>89</v>
      </c>
      <c r="BY3856">
        <v>1200</v>
      </c>
      <c r="CC3856" t="s">
        <v>131</v>
      </c>
      <c r="CD3856">
        <v>7800</v>
      </c>
      <c r="CE3856" t="s">
        <v>88</v>
      </c>
      <c r="CI3856">
        <v>1</v>
      </c>
      <c r="CJ3856" t="s">
        <v>1540</v>
      </c>
      <c r="CK3856">
        <v>21</v>
      </c>
      <c r="CL3856" t="s">
        <v>89</v>
      </c>
    </row>
    <row r="3857" spans="1:90" x14ac:dyDescent="0.3">
      <c r="A3857" t="s">
        <v>72</v>
      </c>
      <c r="B3857" t="s">
        <v>73</v>
      </c>
      <c r="C3857" t="s">
        <v>74</v>
      </c>
      <c r="E3857" t="str">
        <f>"080065640012"</f>
        <v>080065640012</v>
      </c>
      <c r="F3857" s="3">
        <v>45806</v>
      </c>
      <c r="G3857">
        <v>202602</v>
      </c>
      <c r="H3857" t="s">
        <v>75</v>
      </c>
      <c r="I3857" t="s">
        <v>76</v>
      </c>
      <c r="J3857" t="s">
        <v>77</v>
      </c>
      <c r="K3857" t="s">
        <v>78</v>
      </c>
      <c r="L3857" t="s">
        <v>79</v>
      </c>
      <c r="M3857" t="s">
        <v>80</v>
      </c>
      <c r="N3857" t="s">
        <v>357</v>
      </c>
      <c r="O3857" t="s">
        <v>82</v>
      </c>
      <c r="P3857" t="str">
        <f>"4170041438                    "</f>
        <v xml:space="preserve">4170041438                    </v>
      </c>
      <c r="Q3857">
        <v>0</v>
      </c>
      <c r="R3857">
        <v>0</v>
      </c>
      <c r="S3857">
        <v>0</v>
      </c>
      <c r="T3857">
        <v>0</v>
      </c>
      <c r="U3857">
        <v>0</v>
      </c>
      <c r="V3857">
        <v>0</v>
      </c>
      <c r="W3857">
        <v>0</v>
      </c>
      <c r="X3857">
        <v>0</v>
      </c>
      <c r="Y3857">
        <v>0</v>
      </c>
      <c r="Z3857">
        <v>0</v>
      </c>
      <c r="AA3857">
        <v>0</v>
      </c>
      <c r="AB3857">
        <v>0</v>
      </c>
      <c r="AC3857">
        <v>0</v>
      </c>
      <c r="AD3857">
        <v>0</v>
      </c>
      <c r="AE3857">
        <v>0</v>
      </c>
      <c r="AF3857">
        <v>0</v>
      </c>
      <c r="AG3857">
        <v>0</v>
      </c>
      <c r="AH3857">
        <v>0</v>
      </c>
      <c r="AI3857">
        <v>0</v>
      </c>
      <c r="AJ3857">
        <v>0</v>
      </c>
      <c r="AK3857">
        <v>0</v>
      </c>
      <c r="AL3857">
        <v>0</v>
      </c>
      <c r="AM3857">
        <v>0</v>
      </c>
      <c r="AN3857">
        <v>0</v>
      </c>
      <c r="AO3857">
        <v>0</v>
      </c>
      <c r="AP3857">
        <v>0</v>
      </c>
      <c r="AQ3857">
        <v>21.38</v>
      </c>
      <c r="AR3857">
        <v>0</v>
      </c>
      <c r="AS3857">
        <v>0</v>
      </c>
      <c r="AT3857">
        <v>0</v>
      </c>
      <c r="AU3857">
        <v>0</v>
      </c>
      <c r="AV3857">
        <v>0</v>
      </c>
      <c r="AW3857">
        <v>0</v>
      </c>
      <c r="AX3857">
        <v>0</v>
      </c>
      <c r="AY3857">
        <v>0</v>
      </c>
      <c r="AZ3857">
        <v>0</v>
      </c>
      <c r="BA3857">
        <v>0</v>
      </c>
      <c r="BB3857">
        <v>0</v>
      </c>
      <c r="BC3857">
        <v>0</v>
      </c>
      <c r="BD3857">
        <v>0</v>
      </c>
      <c r="BE3857">
        <v>0</v>
      </c>
      <c r="BF3857">
        <v>0</v>
      </c>
      <c r="BG3857">
        <v>0</v>
      </c>
      <c r="BH3857">
        <v>1</v>
      </c>
      <c r="BI3857">
        <v>1</v>
      </c>
      <c r="BJ3857">
        <v>0.2</v>
      </c>
      <c r="BK3857">
        <v>1</v>
      </c>
      <c r="BL3857">
        <v>69.98</v>
      </c>
      <c r="BM3857">
        <v>10.5</v>
      </c>
      <c r="BN3857">
        <v>80.48</v>
      </c>
      <c r="BO3857">
        <v>80.48</v>
      </c>
      <c r="BQ3857" t="s">
        <v>358</v>
      </c>
      <c r="BR3857" t="s">
        <v>84</v>
      </c>
      <c r="BS3857" t="s">
        <v>1540</v>
      </c>
      <c r="BV3857" t="s">
        <v>89</v>
      </c>
      <c r="BY3857">
        <v>1200</v>
      </c>
      <c r="CC3857" t="s">
        <v>80</v>
      </c>
      <c r="CD3857">
        <v>3608</v>
      </c>
      <c r="CE3857" t="s">
        <v>88</v>
      </c>
      <c r="CI3857">
        <v>1</v>
      </c>
      <c r="CJ3857" t="s">
        <v>1540</v>
      </c>
      <c r="CK3857">
        <v>21</v>
      </c>
      <c r="CL3857" t="s">
        <v>89</v>
      </c>
    </row>
    <row r="3858" spans="1:90" x14ac:dyDescent="0.3">
      <c r="A3858" t="s">
        <v>72</v>
      </c>
      <c r="B3858" t="s">
        <v>73</v>
      </c>
      <c r="C3858" t="s">
        <v>74</v>
      </c>
      <c r="E3858" t="str">
        <f>"080065640052"</f>
        <v>080065640052</v>
      </c>
      <c r="F3858" s="3">
        <v>45806</v>
      </c>
      <c r="G3858">
        <v>202602</v>
      </c>
      <c r="H3858" t="s">
        <v>75</v>
      </c>
      <c r="I3858" t="s">
        <v>76</v>
      </c>
      <c r="J3858" t="s">
        <v>77</v>
      </c>
      <c r="K3858" t="s">
        <v>78</v>
      </c>
      <c r="L3858" t="s">
        <v>143</v>
      </c>
      <c r="M3858" t="s">
        <v>144</v>
      </c>
      <c r="N3858" t="s">
        <v>547</v>
      </c>
      <c r="O3858" t="s">
        <v>82</v>
      </c>
      <c r="P3858" t="str">
        <f>"4170041329                    "</f>
        <v xml:space="preserve">4170041329                    </v>
      </c>
      <c r="Q3858">
        <v>0</v>
      </c>
      <c r="R3858">
        <v>0</v>
      </c>
      <c r="S3858">
        <v>0</v>
      </c>
      <c r="T3858">
        <v>0</v>
      </c>
      <c r="U3858">
        <v>0</v>
      </c>
      <c r="V3858">
        <v>0</v>
      </c>
      <c r="W3858">
        <v>0</v>
      </c>
      <c r="X3858">
        <v>0</v>
      </c>
      <c r="Y3858">
        <v>0</v>
      </c>
      <c r="Z3858">
        <v>0</v>
      </c>
      <c r="AA3858">
        <v>0</v>
      </c>
      <c r="AB3858">
        <v>0</v>
      </c>
      <c r="AC3858">
        <v>0</v>
      </c>
      <c r="AD3858">
        <v>0</v>
      </c>
      <c r="AE3858">
        <v>0</v>
      </c>
      <c r="AF3858">
        <v>0</v>
      </c>
      <c r="AG3858">
        <v>0</v>
      </c>
      <c r="AH3858">
        <v>0</v>
      </c>
      <c r="AI3858">
        <v>0</v>
      </c>
      <c r="AJ3858">
        <v>0</v>
      </c>
      <c r="AK3858">
        <v>0</v>
      </c>
      <c r="AL3858">
        <v>0</v>
      </c>
      <c r="AM3858">
        <v>0</v>
      </c>
      <c r="AN3858">
        <v>0</v>
      </c>
      <c r="AO3858">
        <v>0</v>
      </c>
      <c r="AP3858">
        <v>0</v>
      </c>
      <c r="AQ3858">
        <v>16.7</v>
      </c>
      <c r="AR3858">
        <v>0</v>
      </c>
      <c r="AS3858">
        <v>0</v>
      </c>
      <c r="AT3858">
        <v>0</v>
      </c>
      <c r="AU3858">
        <v>0</v>
      </c>
      <c r="AV3858">
        <v>0</v>
      </c>
      <c r="AW3858">
        <v>0</v>
      </c>
      <c r="AX3858">
        <v>0</v>
      </c>
      <c r="AY3858">
        <v>0</v>
      </c>
      <c r="AZ3858">
        <v>0</v>
      </c>
      <c r="BA3858">
        <v>0</v>
      </c>
      <c r="BB3858">
        <v>0</v>
      </c>
      <c r="BC3858">
        <v>0</v>
      </c>
      <c r="BD3858">
        <v>0</v>
      </c>
      <c r="BE3858">
        <v>0</v>
      </c>
      <c r="BF3858">
        <v>0</v>
      </c>
      <c r="BG3858">
        <v>0</v>
      </c>
      <c r="BH3858">
        <v>1</v>
      </c>
      <c r="BI3858">
        <v>1</v>
      </c>
      <c r="BJ3858">
        <v>0.2</v>
      </c>
      <c r="BK3858">
        <v>1</v>
      </c>
      <c r="BL3858">
        <v>54.66</v>
      </c>
      <c r="BM3858">
        <v>8.1999999999999993</v>
      </c>
      <c r="BN3858">
        <v>62.86</v>
      </c>
      <c r="BO3858">
        <v>62.86</v>
      </c>
      <c r="BQ3858" t="s">
        <v>548</v>
      </c>
      <c r="BR3858" t="s">
        <v>84</v>
      </c>
      <c r="BS3858" t="s">
        <v>1540</v>
      </c>
      <c r="BV3858" t="s">
        <v>89</v>
      </c>
      <c r="BY3858">
        <v>1200</v>
      </c>
      <c r="CC3858" t="s">
        <v>144</v>
      </c>
      <c r="CD3858">
        <v>1401</v>
      </c>
      <c r="CE3858" t="s">
        <v>88</v>
      </c>
      <c r="CI3858">
        <v>1</v>
      </c>
      <c r="CJ3858" t="s">
        <v>1540</v>
      </c>
      <c r="CK3858">
        <v>22</v>
      </c>
      <c r="CL3858" t="s">
        <v>89</v>
      </c>
    </row>
    <row r="3859" spans="1:90" x14ac:dyDescent="0.3">
      <c r="A3859" t="s">
        <v>72</v>
      </c>
      <c r="B3859" t="s">
        <v>73</v>
      </c>
      <c r="C3859" t="s">
        <v>74</v>
      </c>
      <c r="E3859" t="str">
        <f>"080065640092"</f>
        <v>080065640092</v>
      </c>
      <c r="F3859" s="3">
        <v>45806</v>
      </c>
      <c r="G3859">
        <v>202602</v>
      </c>
      <c r="H3859" t="s">
        <v>75</v>
      </c>
      <c r="I3859" t="s">
        <v>76</v>
      </c>
      <c r="J3859" t="s">
        <v>77</v>
      </c>
      <c r="K3859" t="s">
        <v>78</v>
      </c>
      <c r="L3859" t="s">
        <v>222</v>
      </c>
      <c r="M3859" t="s">
        <v>223</v>
      </c>
      <c r="N3859" t="s">
        <v>1369</v>
      </c>
      <c r="O3859" t="s">
        <v>82</v>
      </c>
      <c r="P3859" t="str">
        <f>"4170041442                    "</f>
        <v xml:space="preserve">4170041442                    </v>
      </c>
      <c r="Q3859">
        <v>0</v>
      </c>
      <c r="R3859">
        <v>0</v>
      </c>
      <c r="S3859">
        <v>0</v>
      </c>
      <c r="T3859">
        <v>0</v>
      </c>
      <c r="U3859">
        <v>0</v>
      </c>
      <c r="V3859">
        <v>0</v>
      </c>
      <c r="W3859">
        <v>0</v>
      </c>
      <c r="X3859">
        <v>0</v>
      </c>
      <c r="Y3859">
        <v>0</v>
      </c>
      <c r="Z3859">
        <v>0</v>
      </c>
      <c r="AA3859">
        <v>0</v>
      </c>
      <c r="AB3859">
        <v>0</v>
      </c>
      <c r="AC3859">
        <v>0</v>
      </c>
      <c r="AD3859">
        <v>0</v>
      </c>
      <c r="AE3859">
        <v>0</v>
      </c>
      <c r="AF3859">
        <v>0</v>
      </c>
      <c r="AG3859">
        <v>0</v>
      </c>
      <c r="AH3859">
        <v>0</v>
      </c>
      <c r="AI3859">
        <v>0</v>
      </c>
      <c r="AJ3859">
        <v>0</v>
      </c>
      <c r="AK3859">
        <v>0</v>
      </c>
      <c r="AL3859">
        <v>0</v>
      </c>
      <c r="AM3859">
        <v>0</v>
      </c>
      <c r="AN3859">
        <v>0</v>
      </c>
      <c r="AO3859">
        <v>0</v>
      </c>
      <c r="AP3859">
        <v>0</v>
      </c>
      <c r="AQ3859">
        <v>30.07</v>
      </c>
      <c r="AR3859">
        <v>0</v>
      </c>
      <c r="AS3859">
        <v>0</v>
      </c>
      <c r="AT3859">
        <v>0</v>
      </c>
      <c r="AU3859">
        <v>0</v>
      </c>
      <c r="AV3859">
        <v>0</v>
      </c>
      <c r="AW3859">
        <v>0</v>
      </c>
      <c r="AX3859">
        <v>0</v>
      </c>
      <c r="AY3859">
        <v>0</v>
      </c>
      <c r="AZ3859">
        <v>0</v>
      </c>
      <c r="BA3859">
        <v>0</v>
      </c>
      <c r="BB3859">
        <v>0</v>
      </c>
      <c r="BC3859">
        <v>0</v>
      </c>
      <c r="BD3859">
        <v>0</v>
      </c>
      <c r="BE3859">
        <v>0</v>
      </c>
      <c r="BF3859">
        <v>0</v>
      </c>
      <c r="BG3859">
        <v>0</v>
      </c>
      <c r="BH3859">
        <v>1</v>
      </c>
      <c r="BI3859">
        <v>1</v>
      </c>
      <c r="BJ3859">
        <v>0.2</v>
      </c>
      <c r="BK3859">
        <v>1</v>
      </c>
      <c r="BL3859">
        <v>98.42</v>
      </c>
      <c r="BM3859">
        <v>14.76</v>
      </c>
      <c r="BN3859">
        <v>113.18</v>
      </c>
      <c r="BO3859">
        <v>113.18</v>
      </c>
      <c r="BQ3859" t="s">
        <v>1370</v>
      </c>
      <c r="BR3859" t="s">
        <v>84</v>
      </c>
      <c r="BS3859" t="s">
        <v>1540</v>
      </c>
      <c r="BV3859" t="s">
        <v>89</v>
      </c>
      <c r="BY3859">
        <v>1200</v>
      </c>
      <c r="CC3859" t="s">
        <v>223</v>
      </c>
      <c r="CD3859">
        <v>1748</v>
      </c>
      <c r="CE3859" t="s">
        <v>88</v>
      </c>
      <c r="CI3859">
        <v>1</v>
      </c>
      <c r="CJ3859" t="s">
        <v>1540</v>
      </c>
      <c r="CK3859">
        <v>24</v>
      </c>
      <c r="CL3859" t="s">
        <v>89</v>
      </c>
    </row>
    <row r="3860" spans="1:90" x14ac:dyDescent="0.3">
      <c r="A3860" t="s">
        <v>72</v>
      </c>
      <c r="B3860" t="s">
        <v>73</v>
      </c>
      <c r="C3860" t="s">
        <v>74</v>
      </c>
      <c r="E3860" t="str">
        <f>"080065640111"</f>
        <v>080065640111</v>
      </c>
      <c r="F3860" s="3">
        <v>45806</v>
      </c>
      <c r="G3860">
        <v>202602</v>
      </c>
      <c r="H3860" t="s">
        <v>75</v>
      </c>
      <c r="I3860" t="s">
        <v>76</v>
      </c>
      <c r="J3860" t="s">
        <v>77</v>
      </c>
      <c r="K3860" t="s">
        <v>78</v>
      </c>
      <c r="L3860" t="s">
        <v>130</v>
      </c>
      <c r="M3860" t="s">
        <v>131</v>
      </c>
      <c r="N3860" t="s">
        <v>709</v>
      </c>
      <c r="O3860" t="s">
        <v>82</v>
      </c>
      <c r="P3860" t="str">
        <f>"4170041407                    "</f>
        <v xml:space="preserve">4170041407                    </v>
      </c>
      <c r="Q3860">
        <v>0</v>
      </c>
      <c r="R3860">
        <v>0</v>
      </c>
      <c r="S3860">
        <v>0</v>
      </c>
      <c r="T3860">
        <v>0</v>
      </c>
      <c r="U3860">
        <v>0</v>
      </c>
      <c r="V3860">
        <v>0</v>
      </c>
      <c r="W3860">
        <v>0</v>
      </c>
      <c r="X3860">
        <v>0</v>
      </c>
      <c r="Y3860">
        <v>0</v>
      </c>
      <c r="Z3860">
        <v>0</v>
      </c>
      <c r="AA3860">
        <v>0</v>
      </c>
      <c r="AB3860">
        <v>0</v>
      </c>
      <c r="AC3860">
        <v>0</v>
      </c>
      <c r="AD3860">
        <v>0</v>
      </c>
      <c r="AE3860">
        <v>0</v>
      </c>
      <c r="AF3860">
        <v>0</v>
      </c>
      <c r="AG3860">
        <v>0</v>
      </c>
      <c r="AH3860">
        <v>0</v>
      </c>
      <c r="AI3860">
        <v>0</v>
      </c>
      <c r="AJ3860">
        <v>0</v>
      </c>
      <c r="AK3860">
        <v>0</v>
      </c>
      <c r="AL3860">
        <v>0</v>
      </c>
      <c r="AM3860">
        <v>0</v>
      </c>
      <c r="AN3860">
        <v>0</v>
      </c>
      <c r="AO3860">
        <v>0</v>
      </c>
      <c r="AP3860">
        <v>0</v>
      </c>
      <c r="AQ3860">
        <v>21.38</v>
      </c>
      <c r="AR3860">
        <v>0</v>
      </c>
      <c r="AS3860">
        <v>0</v>
      </c>
      <c r="AT3860">
        <v>0</v>
      </c>
      <c r="AU3860">
        <v>0</v>
      </c>
      <c r="AV3860">
        <v>0</v>
      </c>
      <c r="AW3860">
        <v>0</v>
      </c>
      <c r="AX3860">
        <v>0</v>
      </c>
      <c r="AY3860">
        <v>0</v>
      </c>
      <c r="AZ3860">
        <v>0</v>
      </c>
      <c r="BA3860">
        <v>0</v>
      </c>
      <c r="BB3860">
        <v>0</v>
      </c>
      <c r="BC3860">
        <v>0</v>
      </c>
      <c r="BD3860">
        <v>0</v>
      </c>
      <c r="BE3860">
        <v>0</v>
      </c>
      <c r="BF3860">
        <v>0</v>
      </c>
      <c r="BG3860">
        <v>0</v>
      </c>
      <c r="BH3860">
        <v>1</v>
      </c>
      <c r="BI3860">
        <v>1</v>
      </c>
      <c r="BJ3860">
        <v>0.2</v>
      </c>
      <c r="BK3860">
        <v>1</v>
      </c>
      <c r="BL3860">
        <v>69.98</v>
      </c>
      <c r="BM3860">
        <v>10.5</v>
      </c>
      <c r="BN3860">
        <v>80.48</v>
      </c>
      <c r="BO3860">
        <v>80.48</v>
      </c>
      <c r="BQ3860" t="s">
        <v>710</v>
      </c>
      <c r="BR3860" t="s">
        <v>84</v>
      </c>
      <c r="BS3860" t="s">
        <v>1540</v>
      </c>
      <c r="BV3860" t="s">
        <v>89</v>
      </c>
      <c r="BY3860">
        <v>1200</v>
      </c>
      <c r="CC3860" t="s">
        <v>131</v>
      </c>
      <c r="CD3860">
        <v>7530</v>
      </c>
      <c r="CE3860" t="s">
        <v>88</v>
      </c>
      <c r="CI3860">
        <v>1</v>
      </c>
      <c r="CJ3860" t="s">
        <v>1540</v>
      </c>
      <c r="CK3860">
        <v>21</v>
      </c>
      <c r="CL3860" t="s">
        <v>89</v>
      </c>
    </row>
    <row r="3861" spans="1:90" x14ac:dyDescent="0.3">
      <c r="A3861" t="s">
        <v>72</v>
      </c>
      <c r="B3861" t="s">
        <v>73</v>
      </c>
      <c r="C3861" t="s">
        <v>74</v>
      </c>
      <c r="E3861" t="str">
        <f>"080065640115"</f>
        <v>080065640115</v>
      </c>
      <c r="F3861" s="3">
        <v>45806</v>
      </c>
      <c r="G3861">
        <v>202602</v>
      </c>
      <c r="H3861" t="s">
        <v>75</v>
      </c>
      <c r="I3861" t="s">
        <v>76</v>
      </c>
      <c r="J3861" t="s">
        <v>77</v>
      </c>
      <c r="K3861" t="s">
        <v>78</v>
      </c>
      <c r="L3861" t="s">
        <v>75</v>
      </c>
      <c r="M3861" t="s">
        <v>76</v>
      </c>
      <c r="N3861" t="s">
        <v>346</v>
      </c>
      <c r="O3861" t="s">
        <v>82</v>
      </c>
      <c r="P3861" t="str">
        <f>"4170041348                    "</f>
        <v xml:space="preserve">4170041348                    </v>
      </c>
      <c r="Q3861">
        <v>0</v>
      </c>
      <c r="R3861">
        <v>0</v>
      </c>
      <c r="S3861">
        <v>0</v>
      </c>
      <c r="T3861">
        <v>0</v>
      </c>
      <c r="U3861">
        <v>0</v>
      </c>
      <c r="V3861">
        <v>0</v>
      </c>
      <c r="W3861">
        <v>0</v>
      </c>
      <c r="X3861">
        <v>0</v>
      </c>
      <c r="Y3861">
        <v>0</v>
      </c>
      <c r="Z3861">
        <v>0</v>
      </c>
      <c r="AA3861">
        <v>0</v>
      </c>
      <c r="AB3861">
        <v>0</v>
      </c>
      <c r="AC3861">
        <v>0</v>
      </c>
      <c r="AD3861">
        <v>0</v>
      </c>
      <c r="AE3861">
        <v>0</v>
      </c>
      <c r="AF3861">
        <v>0</v>
      </c>
      <c r="AG3861">
        <v>0</v>
      </c>
      <c r="AH3861">
        <v>0</v>
      </c>
      <c r="AI3861">
        <v>0</v>
      </c>
      <c r="AJ3861">
        <v>0</v>
      </c>
      <c r="AK3861">
        <v>0</v>
      </c>
      <c r="AL3861">
        <v>0</v>
      </c>
      <c r="AM3861">
        <v>0</v>
      </c>
      <c r="AN3861">
        <v>0</v>
      </c>
      <c r="AO3861">
        <v>0</v>
      </c>
      <c r="AP3861">
        <v>0</v>
      </c>
      <c r="AQ3861">
        <v>16.7</v>
      </c>
      <c r="AR3861">
        <v>0</v>
      </c>
      <c r="AS3861">
        <v>0</v>
      </c>
      <c r="AT3861">
        <v>0</v>
      </c>
      <c r="AU3861">
        <v>0</v>
      </c>
      <c r="AV3861">
        <v>0</v>
      </c>
      <c r="AW3861">
        <v>0</v>
      </c>
      <c r="AX3861">
        <v>0</v>
      </c>
      <c r="AY3861">
        <v>0</v>
      </c>
      <c r="AZ3861">
        <v>0</v>
      </c>
      <c r="BA3861">
        <v>0</v>
      </c>
      <c r="BB3861">
        <v>0</v>
      </c>
      <c r="BC3861">
        <v>0</v>
      </c>
      <c r="BD3861">
        <v>0</v>
      </c>
      <c r="BE3861">
        <v>0</v>
      </c>
      <c r="BF3861">
        <v>0</v>
      </c>
      <c r="BG3861">
        <v>0</v>
      </c>
      <c r="BH3861">
        <v>1</v>
      </c>
      <c r="BI3861">
        <v>4</v>
      </c>
      <c r="BJ3861">
        <v>3.4</v>
      </c>
      <c r="BK3861">
        <v>4</v>
      </c>
      <c r="BL3861">
        <v>54.66</v>
      </c>
      <c r="BM3861">
        <v>8.1999999999999993</v>
      </c>
      <c r="BN3861">
        <v>62.86</v>
      </c>
      <c r="BO3861">
        <v>62.86</v>
      </c>
      <c r="BQ3861" t="s">
        <v>347</v>
      </c>
      <c r="BR3861" t="s">
        <v>84</v>
      </c>
      <c r="BS3861" t="s">
        <v>1540</v>
      </c>
      <c r="BV3861" t="s">
        <v>89</v>
      </c>
      <c r="BY3861">
        <v>16965</v>
      </c>
      <c r="CC3861" t="s">
        <v>76</v>
      </c>
      <c r="CD3861">
        <v>1619</v>
      </c>
      <c r="CE3861" t="s">
        <v>96</v>
      </c>
      <c r="CI3861">
        <v>1</v>
      </c>
      <c r="CJ3861" t="s">
        <v>1540</v>
      </c>
      <c r="CK3861">
        <v>22</v>
      </c>
      <c r="CL3861" t="s">
        <v>89</v>
      </c>
    </row>
    <row r="3862" spans="1:90" x14ac:dyDescent="0.3">
      <c r="A3862" t="s">
        <v>72</v>
      </c>
      <c r="B3862" t="s">
        <v>73</v>
      </c>
      <c r="C3862" t="s">
        <v>74</v>
      </c>
      <c r="E3862" t="str">
        <f>"080065640132"</f>
        <v>080065640132</v>
      </c>
      <c r="F3862" s="3">
        <v>45806</v>
      </c>
      <c r="G3862">
        <v>202602</v>
      </c>
      <c r="H3862" t="s">
        <v>75</v>
      </c>
      <c r="I3862" t="s">
        <v>76</v>
      </c>
      <c r="J3862" t="s">
        <v>77</v>
      </c>
      <c r="K3862" t="s">
        <v>78</v>
      </c>
      <c r="L3862" t="s">
        <v>90</v>
      </c>
      <c r="M3862" t="s">
        <v>91</v>
      </c>
      <c r="N3862" t="s">
        <v>2348</v>
      </c>
      <c r="O3862" t="s">
        <v>82</v>
      </c>
      <c r="P3862" t="str">
        <f>"4170041365                    "</f>
        <v xml:space="preserve">4170041365                    </v>
      </c>
      <c r="Q3862">
        <v>0</v>
      </c>
      <c r="R3862">
        <v>0</v>
      </c>
      <c r="S3862">
        <v>0</v>
      </c>
      <c r="T3862">
        <v>0</v>
      </c>
      <c r="U3862">
        <v>0</v>
      </c>
      <c r="V3862">
        <v>0</v>
      </c>
      <c r="W3862">
        <v>0</v>
      </c>
      <c r="X3862">
        <v>0</v>
      </c>
      <c r="Y3862">
        <v>0</v>
      </c>
      <c r="Z3862">
        <v>0</v>
      </c>
      <c r="AA3862">
        <v>0</v>
      </c>
      <c r="AB3862">
        <v>0</v>
      </c>
      <c r="AC3862">
        <v>0</v>
      </c>
      <c r="AD3862">
        <v>0</v>
      </c>
      <c r="AE3862">
        <v>0</v>
      </c>
      <c r="AF3862">
        <v>0</v>
      </c>
      <c r="AG3862">
        <v>0</v>
      </c>
      <c r="AH3862">
        <v>0</v>
      </c>
      <c r="AI3862">
        <v>0</v>
      </c>
      <c r="AJ3862">
        <v>0</v>
      </c>
      <c r="AK3862">
        <v>0</v>
      </c>
      <c r="AL3862">
        <v>0</v>
      </c>
      <c r="AM3862">
        <v>0</v>
      </c>
      <c r="AN3862">
        <v>0</v>
      </c>
      <c r="AO3862">
        <v>0</v>
      </c>
      <c r="AP3862">
        <v>0</v>
      </c>
      <c r="AQ3862">
        <v>21.38</v>
      </c>
      <c r="AR3862">
        <v>0</v>
      </c>
      <c r="AS3862">
        <v>0</v>
      </c>
      <c r="AT3862">
        <v>0</v>
      </c>
      <c r="AU3862">
        <v>0</v>
      </c>
      <c r="AV3862">
        <v>0</v>
      </c>
      <c r="AW3862">
        <v>0</v>
      </c>
      <c r="AX3862">
        <v>0</v>
      </c>
      <c r="AY3862">
        <v>0</v>
      </c>
      <c r="AZ3862">
        <v>0</v>
      </c>
      <c r="BA3862">
        <v>0</v>
      </c>
      <c r="BB3862">
        <v>0</v>
      </c>
      <c r="BC3862">
        <v>0</v>
      </c>
      <c r="BD3862">
        <v>0</v>
      </c>
      <c r="BE3862">
        <v>0</v>
      </c>
      <c r="BF3862">
        <v>0</v>
      </c>
      <c r="BG3862">
        <v>0</v>
      </c>
      <c r="BH3862">
        <v>1</v>
      </c>
      <c r="BI3862">
        <v>1</v>
      </c>
      <c r="BJ3862">
        <v>0.2</v>
      </c>
      <c r="BK3862">
        <v>1</v>
      </c>
      <c r="BL3862">
        <v>69.98</v>
      </c>
      <c r="BM3862">
        <v>10.5</v>
      </c>
      <c r="BN3862">
        <v>80.48</v>
      </c>
      <c r="BO3862">
        <v>80.48</v>
      </c>
      <c r="BQ3862" t="s">
        <v>2349</v>
      </c>
      <c r="BR3862" t="s">
        <v>84</v>
      </c>
      <c r="BS3862" t="s">
        <v>1540</v>
      </c>
      <c r="BV3862" t="s">
        <v>89</v>
      </c>
      <c r="BY3862">
        <v>1200</v>
      </c>
      <c r="CC3862" t="s">
        <v>91</v>
      </c>
      <c r="CD3862">
        <v>6056</v>
      </c>
      <c r="CE3862" t="s">
        <v>88</v>
      </c>
      <c r="CI3862">
        <v>1</v>
      </c>
      <c r="CJ3862" t="s">
        <v>1540</v>
      </c>
      <c r="CK3862">
        <v>21</v>
      </c>
      <c r="CL3862" t="s">
        <v>89</v>
      </c>
    </row>
    <row r="3863" spans="1:90" x14ac:dyDescent="0.3">
      <c r="A3863" t="s">
        <v>72</v>
      </c>
      <c r="B3863" t="s">
        <v>73</v>
      </c>
      <c r="C3863" t="s">
        <v>74</v>
      </c>
      <c r="E3863" t="str">
        <f>"080065640152"</f>
        <v>080065640152</v>
      </c>
      <c r="F3863" s="3">
        <v>45806</v>
      </c>
      <c r="G3863">
        <v>202602</v>
      </c>
      <c r="H3863" t="s">
        <v>75</v>
      </c>
      <c r="I3863" t="s">
        <v>76</v>
      </c>
      <c r="J3863" t="s">
        <v>77</v>
      </c>
      <c r="K3863" t="s">
        <v>78</v>
      </c>
      <c r="L3863" t="s">
        <v>136</v>
      </c>
      <c r="M3863" t="s">
        <v>137</v>
      </c>
      <c r="N3863" t="s">
        <v>3436</v>
      </c>
      <c r="O3863" t="s">
        <v>82</v>
      </c>
      <c r="P3863" t="str">
        <f>"4170041306                    "</f>
        <v xml:space="preserve">4170041306                    </v>
      </c>
      <c r="Q3863">
        <v>0</v>
      </c>
      <c r="R3863">
        <v>0</v>
      </c>
      <c r="S3863">
        <v>0</v>
      </c>
      <c r="T3863">
        <v>0</v>
      </c>
      <c r="U3863">
        <v>0</v>
      </c>
      <c r="V3863">
        <v>0</v>
      </c>
      <c r="W3863">
        <v>0</v>
      </c>
      <c r="X3863">
        <v>0</v>
      </c>
      <c r="Y3863">
        <v>0</v>
      </c>
      <c r="Z3863">
        <v>0</v>
      </c>
      <c r="AA3863">
        <v>0</v>
      </c>
      <c r="AB3863">
        <v>0</v>
      </c>
      <c r="AC3863">
        <v>0</v>
      </c>
      <c r="AD3863">
        <v>0</v>
      </c>
      <c r="AE3863">
        <v>0</v>
      </c>
      <c r="AF3863">
        <v>0</v>
      </c>
      <c r="AG3863">
        <v>0</v>
      </c>
      <c r="AH3863">
        <v>0</v>
      </c>
      <c r="AI3863">
        <v>0</v>
      </c>
      <c r="AJ3863">
        <v>0</v>
      </c>
      <c r="AK3863">
        <v>0</v>
      </c>
      <c r="AL3863">
        <v>0</v>
      </c>
      <c r="AM3863">
        <v>0</v>
      </c>
      <c r="AN3863">
        <v>0</v>
      </c>
      <c r="AO3863">
        <v>0</v>
      </c>
      <c r="AP3863">
        <v>0</v>
      </c>
      <c r="AQ3863">
        <v>21.38</v>
      </c>
      <c r="AR3863">
        <v>0</v>
      </c>
      <c r="AS3863">
        <v>0</v>
      </c>
      <c r="AT3863">
        <v>0</v>
      </c>
      <c r="AU3863">
        <v>0</v>
      </c>
      <c r="AV3863">
        <v>0</v>
      </c>
      <c r="AW3863">
        <v>0</v>
      </c>
      <c r="AX3863">
        <v>0</v>
      </c>
      <c r="AY3863">
        <v>0</v>
      </c>
      <c r="AZ3863">
        <v>0</v>
      </c>
      <c r="BA3863">
        <v>0</v>
      </c>
      <c r="BB3863">
        <v>0</v>
      </c>
      <c r="BC3863">
        <v>0</v>
      </c>
      <c r="BD3863">
        <v>0</v>
      </c>
      <c r="BE3863">
        <v>0</v>
      </c>
      <c r="BF3863">
        <v>0</v>
      </c>
      <c r="BG3863">
        <v>0</v>
      </c>
      <c r="BH3863">
        <v>1</v>
      </c>
      <c r="BI3863">
        <v>2</v>
      </c>
      <c r="BJ3863">
        <v>0.7</v>
      </c>
      <c r="BK3863">
        <v>2</v>
      </c>
      <c r="BL3863">
        <v>69.98</v>
      </c>
      <c r="BM3863">
        <v>10.5</v>
      </c>
      <c r="BN3863">
        <v>80.48</v>
      </c>
      <c r="BO3863">
        <v>80.48</v>
      </c>
      <c r="BQ3863" t="s">
        <v>3437</v>
      </c>
      <c r="BR3863" t="s">
        <v>84</v>
      </c>
      <c r="BS3863" t="s">
        <v>1540</v>
      </c>
      <c r="BV3863" t="s">
        <v>89</v>
      </c>
      <c r="BY3863">
        <v>3744</v>
      </c>
      <c r="CC3863" t="s">
        <v>137</v>
      </c>
      <c r="CD3863" s="5" t="s">
        <v>738</v>
      </c>
      <c r="CE3863" t="s">
        <v>221</v>
      </c>
      <c r="CI3863">
        <v>1</v>
      </c>
      <c r="CJ3863" t="s">
        <v>1540</v>
      </c>
      <c r="CK3863">
        <v>21</v>
      </c>
      <c r="CL3863" t="s">
        <v>89</v>
      </c>
    </row>
    <row r="3864" spans="1:90" x14ac:dyDescent="0.3">
      <c r="A3864" t="s">
        <v>72</v>
      </c>
      <c r="B3864" t="s">
        <v>73</v>
      </c>
      <c r="C3864" t="s">
        <v>74</v>
      </c>
      <c r="E3864" t="str">
        <f>"080065640153"</f>
        <v>080065640153</v>
      </c>
      <c r="F3864" s="3">
        <v>45806</v>
      </c>
      <c r="G3864">
        <v>202602</v>
      </c>
      <c r="H3864" t="s">
        <v>75</v>
      </c>
      <c r="I3864" t="s">
        <v>76</v>
      </c>
      <c r="J3864" t="s">
        <v>77</v>
      </c>
      <c r="K3864" t="s">
        <v>78</v>
      </c>
      <c r="L3864" t="s">
        <v>103</v>
      </c>
      <c r="M3864" t="s">
        <v>104</v>
      </c>
      <c r="N3864" t="s">
        <v>633</v>
      </c>
      <c r="O3864" t="s">
        <v>82</v>
      </c>
      <c r="P3864" t="str">
        <f>"4170041317                    "</f>
        <v xml:space="preserve">4170041317                    </v>
      </c>
      <c r="Q3864">
        <v>0</v>
      </c>
      <c r="R3864">
        <v>0</v>
      </c>
      <c r="S3864">
        <v>0</v>
      </c>
      <c r="T3864">
        <v>0</v>
      </c>
      <c r="U3864">
        <v>0</v>
      </c>
      <c r="V3864">
        <v>0</v>
      </c>
      <c r="W3864">
        <v>0</v>
      </c>
      <c r="X3864">
        <v>0</v>
      </c>
      <c r="Y3864">
        <v>0</v>
      </c>
      <c r="Z3864">
        <v>0</v>
      </c>
      <c r="AA3864">
        <v>0</v>
      </c>
      <c r="AB3864">
        <v>0</v>
      </c>
      <c r="AC3864">
        <v>0</v>
      </c>
      <c r="AD3864">
        <v>0</v>
      </c>
      <c r="AE3864">
        <v>0</v>
      </c>
      <c r="AF3864">
        <v>0</v>
      </c>
      <c r="AG3864">
        <v>0</v>
      </c>
      <c r="AH3864">
        <v>0</v>
      </c>
      <c r="AI3864">
        <v>0</v>
      </c>
      <c r="AJ3864">
        <v>0</v>
      </c>
      <c r="AK3864">
        <v>0</v>
      </c>
      <c r="AL3864">
        <v>0</v>
      </c>
      <c r="AM3864">
        <v>0</v>
      </c>
      <c r="AN3864">
        <v>0</v>
      </c>
      <c r="AO3864">
        <v>0</v>
      </c>
      <c r="AP3864">
        <v>0</v>
      </c>
      <c r="AQ3864">
        <v>21.38</v>
      </c>
      <c r="AR3864">
        <v>0</v>
      </c>
      <c r="AS3864">
        <v>0</v>
      </c>
      <c r="AT3864">
        <v>0</v>
      </c>
      <c r="AU3864">
        <v>0</v>
      </c>
      <c r="AV3864">
        <v>0</v>
      </c>
      <c r="AW3864">
        <v>0</v>
      </c>
      <c r="AX3864">
        <v>0</v>
      </c>
      <c r="AY3864">
        <v>0</v>
      </c>
      <c r="AZ3864">
        <v>0</v>
      </c>
      <c r="BA3864">
        <v>0</v>
      </c>
      <c r="BB3864">
        <v>0</v>
      </c>
      <c r="BC3864">
        <v>0</v>
      </c>
      <c r="BD3864">
        <v>0</v>
      </c>
      <c r="BE3864">
        <v>0</v>
      </c>
      <c r="BF3864">
        <v>0</v>
      </c>
      <c r="BG3864">
        <v>0</v>
      </c>
      <c r="BH3864">
        <v>1</v>
      </c>
      <c r="BI3864">
        <v>1</v>
      </c>
      <c r="BJ3864">
        <v>0.2</v>
      </c>
      <c r="BK3864">
        <v>1</v>
      </c>
      <c r="BL3864">
        <v>69.98</v>
      </c>
      <c r="BM3864">
        <v>10.5</v>
      </c>
      <c r="BN3864">
        <v>80.48</v>
      </c>
      <c r="BO3864">
        <v>80.48</v>
      </c>
      <c r="BQ3864" t="s">
        <v>634</v>
      </c>
      <c r="BR3864" t="s">
        <v>84</v>
      </c>
      <c r="BS3864" t="s">
        <v>1540</v>
      </c>
      <c r="BV3864" t="s">
        <v>89</v>
      </c>
      <c r="BY3864">
        <v>1200</v>
      </c>
      <c r="CC3864" t="s">
        <v>104</v>
      </c>
      <c r="CD3864">
        <v>3212</v>
      </c>
      <c r="CE3864" t="s">
        <v>88</v>
      </c>
      <c r="CI3864">
        <v>2</v>
      </c>
      <c r="CJ3864" t="s">
        <v>1540</v>
      </c>
      <c r="CK3864">
        <v>21</v>
      </c>
      <c r="CL3864" t="s">
        <v>89</v>
      </c>
    </row>
    <row r="3865" spans="1:90" x14ac:dyDescent="0.3">
      <c r="A3865" t="s">
        <v>72</v>
      </c>
      <c r="B3865" t="s">
        <v>73</v>
      </c>
      <c r="C3865" t="s">
        <v>74</v>
      </c>
      <c r="E3865" t="str">
        <f>"080065640212"</f>
        <v>080065640212</v>
      </c>
      <c r="F3865" s="3">
        <v>45806</v>
      </c>
      <c r="G3865">
        <v>202602</v>
      </c>
      <c r="H3865" t="s">
        <v>75</v>
      </c>
      <c r="I3865" t="s">
        <v>76</v>
      </c>
      <c r="J3865" t="s">
        <v>77</v>
      </c>
      <c r="K3865" t="s">
        <v>78</v>
      </c>
      <c r="L3865" t="s">
        <v>350</v>
      </c>
      <c r="M3865" t="s">
        <v>351</v>
      </c>
      <c r="N3865" t="s">
        <v>3438</v>
      </c>
      <c r="O3865" t="s">
        <v>82</v>
      </c>
      <c r="P3865" t="str">
        <f>"4170041354                    "</f>
        <v xml:space="preserve">4170041354                    </v>
      </c>
      <c r="Q3865">
        <v>0</v>
      </c>
      <c r="R3865">
        <v>0</v>
      </c>
      <c r="S3865">
        <v>0</v>
      </c>
      <c r="T3865">
        <v>0</v>
      </c>
      <c r="U3865">
        <v>0</v>
      </c>
      <c r="V3865">
        <v>0</v>
      </c>
      <c r="W3865">
        <v>0</v>
      </c>
      <c r="X3865">
        <v>0</v>
      </c>
      <c r="Y3865">
        <v>0</v>
      </c>
      <c r="Z3865">
        <v>0</v>
      </c>
      <c r="AA3865">
        <v>0</v>
      </c>
      <c r="AB3865">
        <v>0</v>
      </c>
      <c r="AC3865">
        <v>0</v>
      </c>
      <c r="AD3865">
        <v>0</v>
      </c>
      <c r="AE3865">
        <v>0</v>
      </c>
      <c r="AF3865">
        <v>0</v>
      </c>
      <c r="AG3865">
        <v>0</v>
      </c>
      <c r="AH3865">
        <v>0</v>
      </c>
      <c r="AI3865">
        <v>0</v>
      </c>
      <c r="AJ3865">
        <v>0</v>
      </c>
      <c r="AK3865">
        <v>0</v>
      </c>
      <c r="AL3865">
        <v>0</v>
      </c>
      <c r="AM3865">
        <v>0</v>
      </c>
      <c r="AN3865">
        <v>0</v>
      </c>
      <c r="AO3865">
        <v>0</v>
      </c>
      <c r="AP3865">
        <v>0</v>
      </c>
      <c r="AQ3865">
        <v>21.38</v>
      </c>
      <c r="AR3865">
        <v>0</v>
      </c>
      <c r="AS3865">
        <v>0</v>
      </c>
      <c r="AT3865">
        <v>0</v>
      </c>
      <c r="AU3865">
        <v>0</v>
      </c>
      <c r="AV3865">
        <v>0</v>
      </c>
      <c r="AW3865">
        <v>0</v>
      </c>
      <c r="AX3865">
        <v>0</v>
      </c>
      <c r="AY3865">
        <v>0</v>
      </c>
      <c r="AZ3865">
        <v>0</v>
      </c>
      <c r="BA3865">
        <v>0</v>
      </c>
      <c r="BB3865">
        <v>0</v>
      </c>
      <c r="BC3865">
        <v>0</v>
      </c>
      <c r="BD3865">
        <v>0</v>
      </c>
      <c r="BE3865">
        <v>0</v>
      </c>
      <c r="BF3865">
        <v>0</v>
      </c>
      <c r="BG3865">
        <v>0</v>
      </c>
      <c r="BH3865">
        <v>1</v>
      </c>
      <c r="BI3865">
        <v>1</v>
      </c>
      <c r="BJ3865">
        <v>0.2</v>
      </c>
      <c r="BK3865">
        <v>1</v>
      </c>
      <c r="BL3865">
        <v>69.98</v>
      </c>
      <c r="BM3865">
        <v>10.5</v>
      </c>
      <c r="BN3865">
        <v>80.48</v>
      </c>
      <c r="BO3865">
        <v>80.48</v>
      </c>
      <c r="BQ3865" t="s">
        <v>3439</v>
      </c>
      <c r="BR3865" t="s">
        <v>84</v>
      </c>
      <c r="BS3865" t="s">
        <v>1540</v>
      </c>
      <c r="BV3865" t="s">
        <v>89</v>
      </c>
      <c r="BY3865">
        <v>1200</v>
      </c>
      <c r="CC3865" t="s">
        <v>351</v>
      </c>
      <c r="CD3865">
        <v>4060</v>
      </c>
      <c r="CE3865" t="s">
        <v>88</v>
      </c>
      <c r="CI3865">
        <v>1</v>
      </c>
      <c r="CJ3865" t="s">
        <v>1540</v>
      </c>
      <c r="CK3865">
        <v>21</v>
      </c>
      <c r="CL3865" t="s">
        <v>89</v>
      </c>
    </row>
    <row r="3866" spans="1:90" x14ac:dyDescent="0.3">
      <c r="A3866" t="s">
        <v>72</v>
      </c>
      <c r="B3866" t="s">
        <v>73</v>
      </c>
      <c r="C3866" t="s">
        <v>74</v>
      </c>
      <c r="E3866" t="str">
        <f>"080065640234"</f>
        <v>080065640234</v>
      </c>
      <c r="F3866" s="3">
        <v>45806</v>
      </c>
      <c r="G3866">
        <v>202602</v>
      </c>
      <c r="H3866" t="s">
        <v>75</v>
      </c>
      <c r="I3866" t="s">
        <v>76</v>
      </c>
      <c r="J3866" t="s">
        <v>77</v>
      </c>
      <c r="K3866" t="s">
        <v>78</v>
      </c>
      <c r="L3866" t="s">
        <v>350</v>
      </c>
      <c r="M3866" t="s">
        <v>351</v>
      </c>
      <c r="N3866" t="s">
        <v>876</v>
      </c>
      <c r="O3866" t="s">
        <v>82</v>
      </c>
      <c r="P3866" t="str">
        <f>"4170041291                    "</f>
        <v xml:space="preserve">4170041291                    </v>
      </c>
      <c r="Q3866">
        <v>0</v>
      </c>
      <c r="R3866">
        <v>0</v>
      </c>
      <c r="S3866">
        <v>0</v>
      </c>
      <c r="T3866">
        <v>0</v>
      </c>
      <c r="U3866">
        <v>0</v>
      </c>
      <c r="V3866">
        <v>0</v>
      </c>
      <c r="W3866">
        <v>0</v>
      </c>
      <c r="X3866">
        <v>0</v>
      </c>
      <c r="Y3866">
        <v>0</v>
      </c>
      <c r="Z3866">
        <v>0</v>
      </c>
      <c r="AA3866">
        <v>0</v>
      </c>
      <c r="AB3866">
        <v>0</v>
      </c>
      <c r="AC3866">
        <v>0</v>
      </c>
      <c r="AD3866">
        <v>0</v>
      </c>
      <c r="AE3866">
        <v>0</v>
      </c>
      <c r="AF3866">
        <v>0</v>
      </c>
      <c r="AG3866">
        <v>0</v>
      </c>
      <c r="AH3866">
        <v>0</v>
      </c>
      <c r="AI3866">
        <v>0</v>
      </c>
      <c r="AJ3866">
        <v>0</v>
      </c>
      <c r="AK3866">
        <v>0</v>
      </c>
      <c r="AL3866">
        <v>0</v>
      </c>
      <c r="AM3866">
        <v>0</v>
      </c>
      <c r="AN3866">
        <v>0</v>
      </c>
      <c r="AO3866">
        <v>0</v>
      </c>
      <c r="AP3866">
        <v>0</v>
      </c>
      <c r="AQ3866">
        <v>21.38</v>
      </c>
      <c r="AR3866">
        <v>0</v>
      </c>
      <c r="AS3866">
        <v>0</v>
      </c>
      <c r="AT3866">
        <v>0</v>
      </c>
      <c r="AU3866">
        <v>0</v>
      </c>
      <c r="AV3866">
        <v>0</v>
      </c>
      <c r="AW3866">
        <v>0</v>
      </c>
      <c r="AX3866">
        <v>0</v>
      </c>
      <c r="AY3866">
        <v>0</v>
      </c>
      <c r="AZ3866">
        <v>0</v>
      </c>
      <c r="BA3866">
        <v>0</v>
      </c>
      <c r="BB3866">
        <v>0</v>
      </c>
      <c r="BC3866">
        <v>0</v>
      </c>
      <c r="BD3866">
        <v>0</v>
      </c>
      <c r="BE3866">
        <v>0</v>
      </c>
      <c r="BF3866">
        <v>0</v>
      </c>
      <c r="BG3866">
        <v>0</v>
      </c>
      <c r="BH3866">
        <v>1</v>
      </c>
      <c r="BI3866">
        <v>1</v>
      </c>
      <c r="BJ3866">
        <v>0.2</v>
      </c>
      <c r="BK3866">
        <v>1</v>
      </c>
      <c r="BL3866">
        <v>69.98</v>
      </c>
      <c r="BM3866">
        <v>10.5</v>
      </c>
      <c r="BN3866">
        <v>80.48</v>
      </c>
      <c r="BO3866">
        <v>80.48</v>
      </c>
      <c r="BQ3866" t="s">
        <v>877</v>
      </c>
      <c r="BR3866" t="s">
        <v>84</v>
      </c>
      <c r="BS3866" t="s">
        <v>1540</v>
      </c>
      <c r="BV3866" t="s">
        <v>89</v>
      </c>
      <c r="BY3866">
        <v>1200</v>
      </c>
      <c r="CC3866" t="s">
        <v>351</v>
      </c>
      <c r="CD3866">
        <v>4001</v>
      </c>
      <c r="CE3866" t="s">
        <v>88</v>
      </c>
      <c r="CI3866">
        <v>1</v>
      </c>
      <c r="CJ3866" t="s">
        <v>1540</v>
      </c>
      <c r="CK3866">
        <v>21</v>
      </c>
      <c r="CL3866" t="s">
        <v>89</v>
      </c>
    </row>
    <row r="3867" spans="1:90" x14ac:dyDescent="0.3">
      <c r="A3867" t="s">
        <v>72</v>
      </c>
      <c r="B3867" t="s">
        <v>73</v>
      </c>
      <c r="C3867" t="s">
        <v>74</v>
      </c>
      <c r="E3867" t="str">
        <f>"080065640259"</f>
        <v>080065640259</v>
      </c>
      <c r="F3867" s="3">
        <v>45806</v>
      </c>
      <c r="G3867">
        <v>202602</v>
      </c>
      <c r="H3867" t="s">
        <v>75</v>
      </c>
      <c r="I3867" t="s">
        <v>76</v>
      </c>
      <c r="J3867" t="s">
        <v>77</v>
      </c>
      <c r="K3867" t="s">
        <v>78</v>
      </c>
      <c r="L3867" t="s">
        <v>103</v>
      </c>
      <c r="M3867" t="s">
        <v>104</v>
      </c>
      <c r="N3867" t="s">
        <v>105</v>
      </c>
      <c r="O3867" t="s">
        <v>82</v>
      </c>
      <c r="P3867" t="str">
        <f>"4170041299                    "</f>
        <v xml:space="preserve">4170041299                    </v>
      </c>
      <c r="Q3867">
        <v>0</v>
      </c>
      <c r="R3867">
        <v>0</v>
      </c>
      <c r="S3867">
        <v>0</v>
      </c>
      <c r="T3867">
        <v>0</v>
      </c>
      <c r="U3867">
        <v>0</v>
      </c>
      <c r="V3867">
        <v>0</v>
      </c>
      <c r="W3867">
        <v>0</v>
      </c>
      <c r="X3867">
        <v>0</v>
      </c>
      <c r="Y3867">
        <v>0</v>
      </c>
      <c r="Z3867">
        <v>0</v>
      </c>
      <c r="AA3867">
        <v>0</v>
      </c>
      <c r="AB3867">
        <v>0</v>
      </c>
      <c r="AC3867">
        <v>0</v>
      </c>
      <c r="AD3867">
        <v>0</v>
      </c>
      <c r="AE3867">
        <v>0</v>
      </c>
      <c r="AF3867">
        <v>0</v>
      </c>
      <c r="AG3867">
        <v>0</v>
      </c>
      <c r="AH3867">
        <v>0</v>
      </c>
      <c r="AI3867">
        <v>0</v>
      </c>
      <c r="AJ3867">
        <v>0</v>
      </c>
      <c r="AK3867">
        <v>0</v>
      </c>
      <c r="AL3867">
        <v>0</v>
      </c>
      <c r="AM3867">
        <v>0</v>
      </c>
      <c r="AN3867">
        <v>0</v>
      </c>
      <c r="AO3867">
        <v>0</v>
      </c>
      <c r="AP3867">
        <v>0</v>
      </c>
      <c r="AQ3867">
        <v>21.38</v>
      </c>
      <c r="AR3867">
        <v>0</v>
      </c>
      <c r="AS3867">
        <v>0</v>
      </c>
      <c r="AT3867">
        <v>0</v>
      </c>
      <c r="AU3867">
        <v>0</v>
      </c>
      <c r="AV3867">
        <v>0</v>
      </c>
      <c r="AW3867">
        <v>0</v>
      </c>
      <c r="AX3867">
        <v>0</v>
      </c>
      <c r="AY3867">
        <v>0</v>
      </c>
      <c r="AZ3867">
        <v>0</v>
      </c>
      <c r="BA3867">
        <v>0</v>
      </c>
      <c r="BB3867">
        <v>0</v>
      </c>
      <c r="BC3867">
        <v>0</v>
      </c>
      <c r="BD3867">
        <v>0</v>
      </c>
      <c r="BE3867">
        <v>0</v>
      </c>
      <c r="BF3867">
        <v>0</v>
      </c>
      <c r="BG3867">
        <v>0</v>
      </c>
      <c r="BH3867">
        <v>1</v>
      </c>
      <c r="BI3867">
        <v>1</v>
      </c>
      <c r="BJ3867">
        <v>0.2</v>
      </c>
      <c r="BK3867">
        <v>1</v>
      </c>
      <c r="BL3867">
        <v>69.98</v>
      </c>
      <c r="BM3867">
        <v>10.5</v>
      </c>
      <c r="BN3867">
        <v>80.48</v>
      </c>
      <c r="BO3867">
        <v>80.48</v>
      </c>
      <c r="BQ3867" t="s">
        <v>106</v>
      </c>
      <c r="BR3867" t="s">
        <v>84</v>
      </c>
      <c r="BS3867" t="s">
        <v>1540</v>
      </c>
      <c r="BV3867" t="s">
        <v>89</v>
      </c>
      <c r="BY3867">
        <v>1200</v>
      </c>
      <c r="CC3867" t="s">
        <v>104</v>
      </c>
      <c r="CD3867">
        <v>3201</v>
      </c>
      <c r="CE3867" t="s">
        <v>88</v>
      </c>
      <c r="CI3867">
        <v>1</v>
      </c>
      <c r="CJ3867" t="s">
        <v>1540</v>
      </c>
      <c r="CK3867">
        <v>21</v>
      </c>
      <c r="CL3867" t="s">
        <v>89</v>
      </c>
    </row>
    <row r="3868" spans="1:90" x14ac:dyDescent="0.3">
      <c r="A3868" t="s">
        <v>72</v>
      </c>
      <c r="B3868" t="s">
        <v>73</v>
      </c>
      <c r="C3868" t="s">
        <v>74</v>
      </c>
      <c r="E3868" t="str">
        <f>"080065640314"</f>
        <v>080065640314</v>
      </c>
      <c r="F3868" s="3">
        <v>45806</v>
      </c>
      <c r="G3868">
        <v>202602</v>
      </c>
      <c r="H3868" t="s">
        <v>75</v>
      </c>
      <c r="I3868" t="s">
        <v>76</v>
      </c>
      <c r="J3868" t="s">
        <v>1791</v>
      </c>
      <c r="K3868" t="s">
        <v>78</v>
      </c>
      <c r="L3868" t="s">
        <v>90</v>
      </c>
      <c r="M3868" t="s">
        <v>91</v>
      </c>
      <c r="N3868" t="s">
        <v>3440</v>
      </c>
      <c r="O3868" t="s">
        <v>3441</v>
      </c>
      <c r="P3868" t="str">
        <f>"4170041460                    "</f>
        <v xml:space="preserve">4170041460                    </v>
      </c>
      <c r="Q3868">
        <v>0</v>
      </c>
      <c r="R3868">
        <v>0</v>
      </c>
      <c r="S3868">
        <v>0</v>
      </c>
      <c r="T3868">
        <v>0</v>
      </c>
      <c r="U3868">
        <v>0</v>
      </c>
      <c r="V3868">
        <v>0</v>
      </c>
      <c r="W3868">
        <v>0</v>
      </c>
      <c r="X3868">
        <v>0</v>
      </c>
      <c r="Y3868">
        <v>0</v>
      </c>
      <c r="Z3868">
        <v>0</v>
      </c>
      <c r="AA3868">
        <v>0</v>
      </c>
      <c r="AB3868">
        <v>0</v>
      </c>
      <c r="AC3868">
        <v>0</v>
      </c>
      <c r="AD3868">
        <v>0</v>
      </c>
      <c r="AE3868">
        <v>0</v>
      </c>
      <c r="AF3868">
        <v>0</v>
      </c>
      <c r="AG3868">
        <v>0</v>
      </c>
      <c r="AH3868">
        <v>0</v>
      </c>
      <c r="AI3868">
        <v>0</v>
      </c>
      <c r="AJ3868">
        <v>0</v>
      </c>
      <c r="AK3868">
        <v>507.86</v>
      </c>
      <c r="AL3868">
        <v>0</v>
      </c>
      <c r="AM3868">
        <v>0</v>
      </c>
      <c r="AN3868">
        <v>0</v>
      </c>
      <c r="AO3868">
        <v>0</v>
      </c>
      <c r="AP3868">
        <v>0</v>
      </c>
      <c r="AQ3868">
        <v>244.84</v>
      </c>
      <c r="AR3868">
        <v>0</v>
      </c>
      <c r="AS3868">
        <v>0</v>
      </c>
      <c r="AT3868">
        <v>0</v>
      </c>
      <c r="AU3868">
        <v>0</v>
      </c>
      <c r="AV3868">
        <v>0</v>
      </c>
      <c r="AW3868">
        <v>0</v>
      </c>
      <c r="AX3868">
        <v>0</v>
      </c>
      <c r="AY3868">
        <v>0</v>
      </c>
      <c r="AZ3868">
        <v>0</v>
      </c>
      <c r="BA3868">
        <v>0</v>
      </c>
      <c r="BB3868">
        <v>0</v>
      </c>
      <c r="BC3868">
        <v>0</v>
      </c>
      <c r="BD3868">
        <v>0</v>
      </c>
      <c r="BE3868">
        <v>0</v>
      </c>
      <c r="BF3868">
        <v>0</v>
      </c>
      <c r="BG3868">
        <v>0</v>
      </c>
      <c r="BH3868">
        <v>1</v>
      </c>
      <c r="BI3868">
        <v>1</v>
      </c>
      <c r="BJ3868">
        <v>0.2</v>
      </c>
      <c r="BK3868">
        <v>1</v>
      </c>
      <c r="BL3868">
        <v>801.3</v>
      </c>
      <c r="BM3868">
        <v>120.2</v>
      </c>
      <c r="BN3868">
        <v>921.5</v>
      </c>
      <c r="BO3868">
        <v>921.5</v>
      </c>
      <c r="BQ3868" t="s">
        <v>3442</v>
      </c>
      <c r="BR3868" t="s">
        <v>1793</v>
      </c>
      <c r="BS3868" t="s">
        <v>1540</v>
      </c>
      <c r="BV3868" t="s">
        <v>89</v>
      </c>
      <c r="BY3868">
        <v>1200</v>
      </c>
      <c r="BZ3868" t="s">
        <v>3443</v>
      </c>
      <c r="CC3868" t="s">
        <v>91</v>
      </c>
      <c r="CD3868">
        <v>6001</v>
      </c>
      <c r="CE3868" t="s">
        <v>129</v>
      </c>
      <c r="CI3868">
        <v>0</v>
      </c>
      <c r="CJ3868" t="s">
        <v>1540</v>
      </c>
      <c r="CK3868">
        <v>21</v>
      </c>
      <c r="CL3868" t="s">
        <v>89</v>
      </c>
    </row>
    <row r="3869" spans="1:90" x14ac:dyDescent="0.3">
      <c r="A3869" t="s">
        <v>72</v>
      </c>
      <c r="B3869" t="s">
        <v>73</v>
      </c>
      <c r="C3869" t="s">
        <v>74</v>
      </c>
      <c r="E3869" t="str">
        <f>"080065640366"</f>
        <v>080065640366</v>
      </c>
      <c r="F3869" s="3">
        <v>45806</v>
      </c>
      <c r="G3869">
        <v>202602</v>
      </c>
      <c r="H3869" t="s">
        <v>75</v>
      </c>
      <c r="I3869" t="s">
        <v>76</v>
      </c>
      <c r="J3869" t="s">
        <v>77</v>
      </c>
      <c r="K3869" t="s">
        <v>78</v>
      </c>
      <c r="L3869" t="s">
        <v>648</v>
      </c>
      <c r="M3869" t="s">
        <v>649</v>
      </c>
      <c r="N3869" t="s">
        <v>3444</v>
      </c>
      <c r="O3869" t="s">
        <v>82</v>
      </c>
      <c r="P3869" t="str">
        <f>"4170041302                    "</f>
        <v xml:space="preserve">4170041302                    </v>
      </c>
      <c r="Q3869">
        <v>0</v>
      </c>
      <c r="R3869">
        <v>0</v>
      </c>
      <c r="S3869">
        <v>0</v>
      </c>
      <c r="T3869">
        <v>0</v>
      </c>
      <c r="U3869">
        <v>0</v>
      </c>
      <c r="V3869">
        <v>0</v>
      </c>
      <c r="W3869">
        <v>0</v>
      </c>
      <c r="X3869">
        <v>0</v>
      </c>
      <c r="Y3869">
        <v>0</v>
      </c>
      <c r="Z3869">
        <v>0</v>
      </c>
      <c r="AA3869">
        <v>0</v>
      </c>
      <c r="AB3869">
        <v>0</v>
      </c>
      <c r="AC3869">
        <v>0</v>
      </c>
      <c r="AD3869">
        <v>0</v>
      </c>
      <c r="AE3869">
        <v>0</v>
      </c>
      <c r="AF3869">
        <v>0</v>
      </c>
      <c r="AG3869">
        <v>0</v>
      </c>
      <c r="AH3869">
        <v>0</v>
      </c>
      <c r="AI3869">
        <v>0</v>
      </c>
      <c r="AJ3869">
        <v>0</v>
      </c>
      <c r="AK3869">
        <v>0</v>
      </c>
      <c r="AL3869">
        <v>0</v>
      </c>
      <c r="AM3869">
        <v>0</v>
      </c>
      <c r="AN3869">
        <v>0</v>
      </c>
      <c r="AO3869">
        <v>0</v>
      </c>
      <c r="AP3869">
        <v>0</v>
      </c>
      <c r="AQ3869">
        <v>16.7</v>
      </c>
      <c r="AR3869">
        <v>0</v>
      </c>
      <c r="AS3869">
        <v>0</v>
      </c>
      <c r="AT3869">
        <v>0</v>
      </c>
      <c r="AU3869">
        <v>0</v>
      </c>
      <c r="AV3869">
        <v>0</v>
      </c>
      <c r="AW3869">
        <v>0</v>
      </c>
      <c r="AX3869">
        <v>0</v>
      </c>
      <c r="AY3869">
        <v>0</v>
      </c>
      <c r="AZ3869">
        <v>0</v>
      </c>
      <c r="BA3869">
        <v>0</v>
      </c>
      <c r="BB3869">
        <v>0</v>
      </c>
      <c r="BC3869">
        <v>0</v>
      </c>
      <c r="BD3869">
        <v>0</v>
      </c>
      <c r="BE3869">
        <v>0</v>
      </c>
      <c r="BF3869">
        <v>0</v>
      </c>
      <c r="BG3869">
        <v>0</v>
      </c>
      <c r="BH3869">
        <v>1</v>
      </c>
      <c r="BI3869">
        <v>1</v>
      </c>
      <c r="BJ3869">
        <v>0.2</v>
      </c>
      <c r="BK3869">
        <v>1</v>
      </c>
      <c r="BL3869">
        <v>54.66</v>
      </c>
      <c r="BM3869">
        <v>8.1999999999999993</v>
      </c>
      <c r="BN3869">
        <v>62.86</v>
      </c>
      <c r="BO3869">
        <v>62.86</v>
      </c>
      <c r="BQ3869" t="s">
        <v>3445</v>
      </c>
      <c r="BR3869" t="s">
        <v>84</v>
      </c>
      <c r="BS3869" t="s">
        <v>1540</v>
      </c>
      <c r="BV3869" t="s">
        <v>89</v>
      </c>
      <c r="BY3869">
        <v>1200</v>
      </c>
      <c r="CC3869" t="s">
        <v>649</v>
      </c>
      <c r="CD3869">
        <v>1559</v>
      </c>
      <c r="CE3869" t="s">
        <v>88</v>
      </c>
      <c r="CI3869">
        <v>1</v>
      </c>
      <c r="CJ3869" t="s">
        <v>1540</v>
      </c>
      <c r="CK3869">
        <v>22</v>
      </c>
      <c r="CL3869" t="s">
        <v>89</v>
      </c>
    </row>
    <row r="3870" spans="1:90" x14ac:dyDescent="0.3">
      <c r="A3870" t="s">
        <v>72</v>
      </c>
      <c r="B3870" t="s">
        <v>73</v>
      </c>
      <c r="C3870" t="s">
        <v>74</v>
      </c>
      <c r="E3870" t="str">
        <f>"080065640391"</f>
        <v>080065640391</v>
      </c>
      <c r="F3870" s="3">
        <v>45806</v>
      </c>
      <c r="G3870">
        <v>202602</v>
      </c>
      <c r="H3870" t="s">
        <v>75</v>
      </c>
      <c r="I3870" t="s">
        <v>76</v>
      </c>
      <c r="J3870" t="s">
        <v>77</v>
      </c>
      <c r="K3870" t="s">
        <v>78</v>
      </c>
      <c r="L3870" t="s">
        <v>215</v>
      </c>
      <c r="M3870" t="s">
        <v>216</v>
      </c>
      <c r="N3870" t="s">
        <v>217</v>
      </c>
      <c r="O3870" t="s">
        <v>82</v>
      </c>
      <c r="P3870" t="str">
        <f>"4170041300                    "</f>
        <v xml:space="preserve">4170041300                    </v>
      </c>
      <c r="Q3870">
        <v>0</v>
      </c>
      <c r="R3870">
        <v>0</v>
      </c>
      <c r="S3870">
        <v>0</v>
      </c>
      <c r="T3870">
        <v>0</v>
      </c>
      <c r="U3870">
        <v>0</v>
      </c>
      <c r="V3870">
        <v>0</v>
      </c>
      <c r="W3870">
        <v>0</v>
      </c>
      <c r="X3870">
        <v>0</v>
      </c>
      <c r="Y3870">
        <v>0</v>
      </c>
      <c r="Z3870">
        <v>0</v>
      </c>
      <c r="AA3870">
        <v>0</v>
      </c>
      <c r="AB3870">
        <v>0</v>
      </c>
      <c r="AC3870">
        <v>0</v>
      </c>
      <c r="AD3870">
        <v>0</v>
      </c>
      <c r="AE3870">
        <v>0</v>
      </c>
      <c r="AF3870">
        <v>0</v>
      </c>
      <c r="AG3870">
        <v>0</v>
      </c>
      <c r="AH3870">
        <v>0</v>
      </c>
      <c r="AI3870">
        <v>0</v>
      </c>
      <c r="AJ3870">
        <v>0</v>
      </c>
      <c r="AK3870">
        <v>0</v>
      </c>
      <c r="AL3870">
        <v>0</v>
      </c>
      <c r="AM3870">
        <v>0</v>
      </c>
      <c r="AN3870">
        <v>0</v>
      </c>
      <c r="AO3870">
        <v>0</v>
      </c>
      <c r="AP3870">
        <v>0</v>
      </c>
      <c r="AQ3870">
        <v>41.43</v>
      </c>
      <c r="AR3870">
        <v>0</v>
      </c>
      <c r="AS3870">
        <v>0</v>
      </c>
      <c r="AT3870">
        <v>0</v>
      </c>
      <c r="AU3870">
        <v>0</v>
      </c>
      <c r="AV3870">
        <v>0</v>
      </c>
      <c r="AW3870">
        <v>0</v>
      </c>
      <c r="AX3870">
        <v>0</v>
      </c>
      <c r="AY3870">
        <v>0</v>
      </c>
      <c r="AZ3870">
        <v>0</v>
      </c>
      <c r="BA3870">
        <v>0</v>
      </c>
      <c r="BB3870">
        <v>0</v>
      </c>
      <c r="BC3870">
        <v>0</v>
      </c>
      <c r="BD3870">
        <v>0</v>
      </c>
      <c r="BE3870">
        <v>0</v>
      </c>
      <c r="BF3870">
        <v>0</v>
      </c>
      <c r="BG3870">
        <v>0</v>
      </c>
      <c r="BH3870">
        <v>1</v>
      </c>
      <c r="BI3870">
        <v>1</v>
      </c>
      <c r="BJ3870">
        <v>0.2</v>
      </c>
      <c r="BK3870">
        <v>1</v>
      </c>
      <c r="BL3870">
        <v>135.59</v>
      </c>
      <c r="BM3870">
        <v>20.34</v>
      </c>
      <c r="BN3870">
        <v>155.93</v>
      </c>
      <c r="BO3870">
        <v>155.93</v>
      </c>
      <c r="BQ3870" t="s">
        <v>218</v>
      </c>
      <c r="BR3870" t="s">
        <v>84</v>
      </c>
      <c r="BS3870" t="s">
        <v>1540</v>
      </c>
      <c r="BV3870" t="s">
        <v>89</v>
      </c>
      <c r="BY3870">
        <v>1200</v>
      </c>
      <c r="CC3870" t="s">
        <v>216</v>
      </c>
      <c r="CD3870">
        <v>4449</v>
      </c>
      <c r="CE3870" t="s">
        <v>88</v>
      </c>
      <c r="CI3870">
        <v>1</v>
      </c>
      <c r="CJ3870" t="s">
        <v>1540</v>
      </c>
      <c r="CK3870">
        <v>23</v>
      </c>
      <c r="CL3870" t="s">
        <v>89</v>
      </c>
    </row>
    <row r="3871" spans="1:90" x14ac:dyDescent="0.3">
      <c r="A3871" t="s">
        <v>72</v>
      </c>
      <c r="B3871" t="s">
        <v>73</v>
      </c>
      <c r="C3871" t="s">
        <v>74</v>
      </c>
      <c r="E3871" t="str">
        <f>"080065640419"</f>
        <v>080065640419</v>
      </c>
      <c r="F3871" s="3">
        <v>45806</v>
      </c>
      <c r="G3871">
        <v>202602</v>
      </c>
      <c r="H3871" t="s">
        <v>75</v>
      </c>
      <c r="I3871" t="s">
        <v>76</v>
      </c>
      <c r="J3871" t="s">
        <v>77</v>
      </c>
      <c r="K3871" t="s">
        <v>78</v>
      </c>
      <c r="L3871" t="s">
        <v>130</v>
      </c>
      <c r="M3871" t="s">
        <v>131</v>
      </c>
      <c r="N3871" t="s">
        <v>343</v>
      </c>
      <c r="O3871" t="s">
        <v>82</v>
      </c>
      <c r="P3871" t="str">
        <f>"4170041298                    "</f>
        <v xml:space="preserve">4170041298                    </v>
      </c>
      <c r="Q3871">
        <v>0</v>
      </c>
      <c r="R3871">
        <v>0</v>
      </c>
      <c r="S3871">
        <v>0</v>
      </c>
      <c r="T3871">
        <v>0</v>
      </c>
      <c r="U3871">
        <v>0</v>
      </c>
      <c r="V3871">
        <v>0</v>
      </c>
      <c r="W3871">
        <v>0</v>
      </c>
      <c r="X3871">
        <v>0</v>
      </c>
      <c r="Y3871">
        <v>0</v>
      </c>
      <c r="Z3871">
        <v>0</v>
      </c>
      <c r="AA3871">
        <v>0</v>
      </c>
      <c r="AB3871">
        <v>0</v>
      </c>
      <c r="AC3871">
        <v>0</v>
      </c>
      <c r="AD3871">
        <v>0</v>
      </c>
      <c r="AE3871">
        <v>0</v>
      </c>
      <c r="AF3871">
        <v>0</v>
      </c>
      <c r="AG3871">
        <v>0</v>
      </c>
      <c r="AH3871">
        <v>0</v>
      </c>
      <c r="AI3871">
        <v>0</v>
      </c>
      <c r="AJ3871">
        <v>0</v>
      </c>
      <c r="AK3871">
        <v>0</v>
      </c>
      <c r="AL3871">
        <v>0</v>
      </c>
      <c r="AM3871">
        <v>0</v>
      </c>
      <c r="AN3871">
        <v>0</v>
      </c>
      <c r="AO3871">
        <v>0</v>
      </c>
      <c r="AP3871">
        <v>0</v>
      </c>
      <c r="AQ3871">
        <v>21.38</v>
      </c>
      <c r="AR3871">
        <v>0</v>
      </c>
      <c r="AS3871">
        <v>0</v>
      </c>
      <c r="AT3871">
        <v>0</v>
      </c>
      <c r="AU3871">
        <v>0</v>
      </c>
      <c r="AV3871">
        <v>0</v>
      </c>
      <c r="AW3871">
        <v>0</v>
      </c>
      <c r="AX3871">
        <v>0</v>
      </c>
      <c r="AY3871">
        <v>0</v>
      </c>
      <c r="AZ3871">
        <v>0</v>
      </c>
      <c r="BA3871">
        <v>0</v>
      </c>
      <c r="BB3871">
        <v>0</v>
      </c>
      <c r="BC3871">
        <v>0</v>
      </c>
      <c r="BD3871">
        <v>0</v>
      </c>
      <c r="BE3871">
        <v>0</v>
      </c>
      <c r="BF3871">
        <v>0</v>
      </c>
      <c r="BG3871">
        <v>0</v>
      </c>
      <c r="BH3871">
        <v>1</v>
      </c>
      <c r="BI3871">
        <v>1</v>
      </c>
      <c r="BJ3871">
        <v>0.2</v>
      </c>
      <c r="BK3871">
        <v>1</v>
      </c>
      <c r="BL3871">
        <v>69.98</v>
      </c>
      <c r="BM3871">
        <v>10.5</v>
      </c>
      <c r="BN3871">
        <v>80.48</v>
      </c>
      <c r="BO3871">
        <v>80.48</v>
      </c>
      <c r="BQ3871" t="s">
        <v>344</v>
      </c>
      <c r="BR3871" t="s">
        <v>84</v>
      </c>
      <c r="BS3871" t="s">
        <v>1540</v>
      </c>
      <c r="BV3871" t="s">
        <v>89</v>
      </c>
      <c r="BY3871">
        <v>1200</v>
      </c>
      <c r="CC3871" t="s">
        <v>131</v>
      </c>
      <c r="CD3871">
        <v>7441</v>
      </c>
      <c r="CE3871" t="s">
        <v>1193</v>
      </c>
      <c r="CI3871">
        <v>1</v>
      </c>
      <c r="CJ3871" t="s">
        <v>1540</v>
      </c>
      <c r="CK3871">
        <v>21</v>
      </c>
      <c r="CL3871" t="s">
        <v>89</v>
      </c>
    </row>
    <row r="3872" spans="1:90" x14ac:dyDescent="0.3">
      <c r="A3872" t="s">
        <v>72</v>
      </c>
      <c r="B3872" t="s">
        <v>73</v>
      </c>
      <c r="C3872" t="s">
        <v>74</v>
      </c>
      <c r="E3872" t="str">
        <f>"080065640437"</f>
        <v>080065640437</v>
      </c>
      <c r="F3872" s="3">
        <v>45806</v>
      </c>
      <c r="G3872">
        <v>202602</v>
      </c>
      <c r="H3872" t="s">
        <v>75</v>
      </c>
      <c r="I3872" t="s">
        <v>76</v>
      </c>
      <c r="J3872" t="s">
        <v>77</v>
      </c>
      <c r="K3872" t="s">
        <v>78</v>
      </c>
      <c r="L3872" t="s">
        <v>130</v>
      </c>
      <c r="M3872" t="s">
        <v>131</v>
      </c>
      <c r="N3872" t="s">
        <v>343</v>
      </c>
      <c r="O3872" t="s">
        <v>82</v>
      </c>
      <c r="P3872" t="str">
        <f>"4170041379                    "</f>
        <v xml:space="preserve">4170041379                    </v>
      </c>
      <c r="Q3872">
        <v>0</v>
      </c>
      <c r="R3872">
        <v>0</v>
      </c>
      <c r="S3872">
        <v>0</v>
      </c>
      <c r="T3872">
        <v>0</v>
      </c>
      <c r="U3872">
        <v>0</v>
      </c>
      <c r="V3872">
        <v>0</v>
      </c>
      <c r="W3872">
        <v>0</v>
      </c>
      <c r="X3872">
        <v>0</v>
      </c>
      <c r="Y3872">
        <v>0</v>
      </c>
      <c r="Z3872">
        <v>0</v>
      </c>
      <c r="AA3872">
        <v>0</v>
      </c>
      <c r="AB3872">
        <v>0</v>
      </c>
      <c r="AC3872">
        <v>0</v>
      </c>
      <c r="AD3872">
        <v>0</v>
      </c>
      <c r="AE3872">
        <v>0</v>
      </c>
      <c r="AF3872">
        <v>0</v>
      </c>
      <c r="AG3872">
        <v>0</v>
      </c>
      <c r="AH3872">
        <v>0</v>
      </c>
      <c r="AI3872">
        <v>0</v>
      </c>
      <c r="AJ3872">
        <v>0</v>
      </c>
      <c r="AK3872">
        <v>0</v>
      </c>
      <c r="AL3872">
        <v>0</v>
      </c>
      <c r="AM3872">
        <v>0</v>
      </c>
      <c r="AN3872">
        <v>0</v>
      </c>
      <c r="AO3872">
        <v>0</v>
      </c>
      <c r="AP3872">
        <v>0</v>
      </c>
      <c r="AQ3872">
        <v>21.38</v>
      </c>
      <c r="AR3872">
        <v>0</v>
      </c>
      <c r="AS3872">
        <v>0</v>
      </c>
      <c r="AT3872">
        <v>0</v>
      </c>
      <c r="AU3872">
        <v>0</v>
      </c>
      <c r="AV3872">
        <v>0</v>
      </c>
      <c r="AW3872">
        <v>0</v>
      </c>
      <c r="AX3872">
        <v>0</v>
      </c>
      <c r="AY3872">
        <v>0</v>
      </c>
      <c r="AZ3872">
        <v>0</v>
      </c>
      <c r="BA3872">
        <v>0</v>
      </c>
      <c r="BB3872">
        <v>0</v>
      </c>
      <c r="BC3872">
        <v>0</v>
      </c>
      <c r="BD3872">
        <v>0</v>
      </c>
      <c r="BE3872">
        <v>0</v>
      </c>
      <c r="BF3872">
        <v>0</v>
      </c>
      <c r="BG3872">
        <v>0</v>
      </c>
      <c r="BH3872">
        <v>1</v>
      </c>
      <c r="BI3872">
        <v>1</v>
      </c>
      <c r="BJ3872">
        <v>0.2</v>
      </c>
      <c r="BK3872">
        <v>1</v>
      </c>
      <c r="BL3872">
        <v>69.98</v>
      </c>
      <c r="BM3872">
        <v>10.5</v>
      </c>
      <c r="BN3872">
        <v>80.48</v>
      </c>
      <c r="BO3872">
        <v>80.48</v>
      </c>
      <c r="BQ3872" t="s">
        <v>344</v>
      </c>
      <c r="BR3872" t="s">
        <v>84</v>
      </c>
      <c r="BS3872" t="s">
        <v>1540</v>
      </c>
      <c r="BV3872" t="s">
        <v>89</v>
      </c>
      <c r="BY3872">
        <v>1200</v>
      </c>
      <c r="CC3872" t="s">
        <v>131</v>
      </c>
      <c r="CD3872">
        <v>7441</v>
      </c>
      <c r="CE3872" t="s">
        <v>88</v>
      </c>
      <c r="CI3872">
        <v>1</v>
      </c>
      <c r="CJ3872" t="s">
        <v>1540</v>
      </c>
      <c r="CK3872">
        <v>21</v>
      </c>
      <c r="CL3872" t="s">
        <v>89</v>
      </c>
    </row>
    <row r="3873" spans="1:90" x14ac:dyDescent="0.3">
      <c r="A3873" t="s">
        <v>72</v>
      </c>
      <c r="B3873" t="s">
        <v>73</v>
      </c>
      <c r="C3873" t="s">
        <v>74</v>
      </c>
      <c r="E3873" t="str">
        <f>"080065640455"</f>
        <v>080065640455</v>
      </c>
      <c r="F3873" s="3">
        <v>45806</v>
      </c>
      <c r="G3873">
        <v>202602</v>
      </c>
      <c r="H3873" t="s">
        <v>75</v>
      </c>
      <c r="I3873" t="s">
        <v>76</v>
      </c>
      <c r="J3873" t="s">
        <v>77</v>
      </c>
      <c r="K3873" t="s">
        <v>78</v>
      </c>
      <c r="L3873" t="s">
        <v>463</v>
      </c>
      <c r="M3873" t="s">
        <v>464</v>
      </c>
      <c r="N3873" t="s">
        <v>744</v>
      </c>
      <c r="O3873" t="s">
        <v>82</v>
      </c>
      <c r="P3873" t="str">
        <f>"4170041433                    "</f>
        <v xml:space="preserve">4170041433                    </v>
      </c>
      <c r="Q3873">
        <v>0</v>
      </c>
      <c r="R3873">
        <v>0</v>
      </c>
      <c r="S3873">
        <v>0</v>
      </c>
      <c r="T3873">
        <v>0</v>
      </c>
      <c r="U3873">
        <v>0</v>
      </c>
      <c r="V3873">
        <v>0</v>
      </c>
      <c r="W3873">
        <v>0</v>
      </c>
      <c r="X3873">
        <v>0</v>
      </c>
      <c r="Y3873">
        <v>0</v>
      </c>
      <c r="Z3873">
        <v>0</v>
      </c>
      <c r="AA3873">
        <v>0</v>
      </c>
      <c r="AB3873">
        <v>0</v>
      </c>
      <c r="AC3873">
        <v>0</v>
      </c>
      <c r="AD3873">
        <v>0</v>
      </c>
      <c r="AE3873">
        <v>0</v>
      </c>
      <c r="AF3873">
        <v>0</v>
      </c>
      <c r="AG3873">
        <v>0</v>
      </c>
      <c r="AH3873">
        <v>0</v>
      </c>
      <c r="AI3873">
        <v>0</v>
      </c>
      <c r="AJ3873">
        <v>0</v>
      </c>
      <c r="AK3873">
        <v>0</v>
      </c>
      <c r="AL3873">
        <v>0</v>
      </c>
      <c r="AM3873">
        <v>0</v>
      </c>
      <c r="AN3873">
        <v>0</v>
      </c>
      <c r="AO3873">
        <v>0</v>
      </c>
      <c r="AP3873">
        <v>0</v>
      </c>
      <c r="AQ3873">
        <v>21.38</v>
      </c>
      <c r="AR3873">
        <v>0</v>
      </c>
      <c r="AS3873">
        <v>0</v>
      </c>
      <c r="AT3873">
        <v>0</v>
      </c>
      <c r="AU3873">
        <v>0</v>
      </c>
      <c r="AV3873">
        <v>0</v>
      </c>
      <c r="AW3873">
        <v>0</v>
      </c>
      <c r="AX3873">
        <v>0</v>
      </c>
      <c r="AY3873">
        <v>0</v>
      </c>
      <c r="AZ3873">
        <v>0</v>
      </c>
      <c r="BA3873">
        <v>0</v>
      </c>
      <c r="BB3873">
        <v>0</v>
      </c>
      <c r="BC3873">
        <v>0</v>
      </c>
      <c r="BD3873">
        <v>0</v>
      </c>
      <c r="BE3873">
        <v>0</v>
      </c>
      <c r="BF3873">
        <v>0</v>
      </c>
      <c r="BG3873">
        <v>0</v>
      </c>
      <c r="BH3873">
        <v>1</v>
      </c>
      <c r="BI3873">
        <v>1</v>
      </c>
      <c r="BJ3873">
        <v>0.2</v>
      </c>
      <c r="BK3873">
        <v>1</v>
      </c>
      <c r="BL3873">
        <v>69.98</v>
      </c>
      <c r="BM3873">
        <v>10.5</v>
      </c>
      <c r="BN3873">
        <v>80.48</v>
      </c>
      <c r="BO3873">
        <v>80.48</v>
      </c>
      <c r="BQ3873" t="s">
        <v>745</v>
      </c>
      <c r="BR3873" t="s">
        <v>84</v>
      </c>
      <c r="BS3873" t="s">
        <v>1540</v>
      </c>
      <c r="BV3873" t="s">
        <v>89</v>
      </c>
      <c r="BY3873">
        <v>1200</v>
      </c>
      <c r="CC3873" t="s">
        <v>464</v>
      </c>
      <c r="CD3873">
        <v>5201</v>
      </c>
      <c r="CE3873" t="s">
        <v>1193</v>
      </c>
      <c r="CI3873">
        <v>1</v>
      </c>
      <c r="CJ3873" t="s">
        <v>1540</v>
      </c>
      <c r="CK3873">
        <v>21</v>
      </c>
      <c r="CL3873" t="s">
        <v>89</v>
      </c>
    </row>
    <row r="3874" spans="1:90" x14ac:dyDescent="0.3">
      <c r="A3874" t="s">
        <v>72</v>
      </c>
      <c r="B3874" t="s">
        <v>73</v>
      </c>
      <c r="C3874" t="s">
        <v>74</v>
      </c>
      <c r="E3874" t="str">
        <f>"080065640471"</f>
        <v>080065640471</v>
      </c>
      <c r="F3874" s="3">
        <v>45806</v>
      </c>
      <c r="G3874">
        <v>202602</v>
      </c>
      <c r="H3874" t="s">
        <v>75</v>
      </c>
      <c r="I3874" t="s">
        <v>76</v>
      </c>
      <c r="J3874" t="s">
        <v>77</v>
      </c>
      <c r="K3874" t="s">
        <v>78</v>
      </c>
      <c r="L3874" t="s">
        <v>130</v>
      </c>
      <c r="M3874" t="s">
        <v>131</v>
      </c>
      <c r="N3874" t="s">
        <v>897</v>
      </c>
      <c r="O3874" t="s">
        <v>82</v>
      </c>
      <c r="P3874" t="str">
        <f>"4170041340                    "</f>
        <v xml:space="preserve">4170041340                    </v>
      </c>
      <c r="Q3874">
        <v>0</v>
      </c>
      <c r="R3874">
        <v>0</v>
      </c>
      <c r="S3874">
        <v>0</v>
      </c>
      <c r="T3874">
        <v>0</v>
      </c>
      <c r="U3874">
        <v>0</v>
      </c>
      <c r="V3874">
        <v>0</v>
      </c>
      <c r="W3874">
        <v>0</v>
      </c>
      <c r="X3874">
        <v>0</v>
      </c>
      <c r="Y3874">
        <v>0</v>
      </c>
      <c r="Z3874">
        <v>0</v>
      </c>
      <c r="AA3874">
        <v>0</v>
      </c>
      <c r="AB3874">
        <v>0</v>
      </c>
      <c r="AC3874">
        <v>0</v>
      </c>
      <c r="AD3874">
        <v>0</v>
      </c>
      <c r="AE3874">
        <v>0</v>
      </c>
      <c r="AF3874">
        <v>0</v>
      </c>
      <c r="AG3874">
        <v>0</v>
      </c>
      <c r="AH3874">
        <v>0</v>
      </c>
      <c r="AI3874">
        <v>0</v>
      </c>
      <c r="AJ3874">
        <v>0</v>
      </c>
      <c r="AK3874">
        <v>0</v>
      </c>
      <c r="AL3874">
        <v>0</v>
      </c>
      <c r="AM3874">
        <v>0</v>
      </c>
      <c r="AN3874">
        <v>0</v>
      </c>
      <c r="AO3874">
        <v>0</v>
      </c>
      <c r="AP3874">
        <v>0</v>
      </c>
      <c r="AQ3874">
        <v>21.38</v>
      </c>
      <c r="AR3874">
        <v>0</v>
      </c>
      <c r="AS3874">
        <v>0</v>
      </c>
      <c r="AT3874">
        <v>0</v>
      </c>
      <c r="AU3874">
        <v>0</v>
      </c>
      <c r="AV3874">
        <v>0</v>
      </c>
      <c r="AW3874">
        <v>0</v>
      </c>
      <c r="AX3874">
        <v>0</v>
      </c>
      <c r="AY3874">
        <v>0</v>
      </c>
      <c r="AZ3874">
        <v>0</v>
      </c>
      <c r="BA3874">
        <v>0</v>
      </c>
      <c r="BB3874">
        <v>0</v>
      </c>
      <c r="BC3874">
        <v>0</v>
      </c>
      <c r="BD3874">
        <v>0</v>
      </c>
      <c r="BE3874">
        <v>0</v>
      </c>
      <c r="BF3874">
        <v>0</v>
      </c>
      <c r="BG3874">
        <v>0</v>
      </c>
      <c r="BH3874">
        <v>1</v>
      </c>
      <c r="BI3874">
        <v>1</v>
      </c>
      <c r="BJ3874">
        <v>0.2</v>
      </c>
      <c r="BK3874">
        <v>1</v>
      </c>
      <c r="BL3874">
        <v>69.98</v>
      </c>
      <c r="BM3874">
        <v>10.5</v>
      </c>
      <c r="BN3874">
        <v>80.48</v>
      </c>
      <c r="BO3874">
        <v>80.48</v>
      </c>
      <c r="BQ3874" t="s">
        <v>898</v>
      </c>
      <c r="BR3874" t="s">
        <v>84</v>
      </c>
      <c r="BS3874" t="s">
        <v>1540</v>
      </c>
      <c r="BV3874" t="s">
        <v>89</v>
      </c>
      <c r="BY3874">
        <v>1200</v>
      </c>
      <c r="CC3874" t="s">
        <v>131</v>
      </c>
      <c r="CD3874">
        <v>7550</v>
      </c>
      <c r="CE3874" t="s">
        <v>88</v>
      </c>
      <c r="CI3874">
        <v>1</v>
      </c>
      <c r="CJ3874" t="s">
        <v>1540</v>
      </c>
      <c r="CK3874">
        <v>21</v>
      </c>
      <c r="CL3874" t="s">
        <v>89</v>
      </c>
    </row>
    <row r="3875" spans="1:90" x14ac:dyDescent="0.3">
      <c r="A3875" t="s">
        <v>72</v>
      </c>
      <c r="B3875" t="s">
        <v>73</v>
      </c>
      <c r="C3875" t="s">
        <v>74</v>
      </c>
      <c r="E3875" t="str">
        <f>"080065640506"</f>
        <v>080065640506</v>
      </c>
      <c r="F3875" s="3">
        <v>45806</v>
      </c>
      <c r="G3875">
        <v>202602</v>
      </c>
      <c r="H3875" t="s">
        <v>75</v>
      </c>
      <c r="I3875" t="s">
        <v>76</v>
      </c>
      <c r="J3875" t="s">
        <v>77</v>
      </c>
      <c r="K3875" t="s">
        <v>78</v>
      </c>
      <c r="L3875" t="s">
        <v>136</v>
      </c>
      <c r="M3875" t="s">
        <v>137</v>
      </c>
      <c r="N3875" t="s">
        <v>499</v>
      </c>
      <c r="O3875" t="s">
        <v>82</v>
      </c>
      <c r="P3875" t="str">
        <f>"4170041295                    "</f>
        <v xml:space="preserve">4170041295                    </v>
      </c>
      <c r="Q3875">
        <v>0</v>
      </c>
      <c r="R3875">
        <v>0</v>
      </c>
      <c r="S3875">
        <v>0</v>
      </c>
      <c r="T3875">
        <v>0</v>
      </c>
      <c r="U3875">
        <v>0</v>
      </c>
      <c r="V3875">
        <v>0</v>
      </c>
      <c r="W3875">
        <v>0</v>
      </c>
      <c r="X3875">
        <v>0</v>
      </c>
      <c r="Y3875">
        <v>0</v>
      </c>
      <c r="Z3875">
        <v>0</v>
      </c>
      <c r="AA3875">
        <v>0</v>
      </c>
      <c r="AB3875">
        <v>0</v>
      </c>
      <c r="AC3875">
        <v>0</v>
      </c>
      <c r="AD3875">
        <v>0</v>
      </c>
      <c r="AE3875">
        <v>0</v>
      </c>
      <c r="AF3875">
        <v>0</v>
      </c>
      <c r="AG3875">
        <v>0</v>
      </c>
      <c r="AH3875">
        <v>0</v>
      </c>
      <c r="AI3875">
        <v>0</v>
      </c>
      <c r="AJ3875">
        <v>0</v>
      </c>
      <c r="AK3875">
        <v>0</v>
      </c>
      <c r="AL3875">
        <v>0</v>
      </c>
      <c r="AM3875">
        <v>0</v>
      </c>
      <c r="AN3875">
        <v>0</v>
      </c>
      <c r="AO3875">
        <v>0</v>
      </c>
      <c r="AP3875">
        <v>0</v>
      </c>
      <c r="AQ3875">
        <v>21.38</v>
      </c>
      <c r="AR3875">
        <v>0</v>
      </c>
      <c r="AS3875">
        <v>0</v>
      </c>
      <c r="AT3875">
        <v>0</v>
      </c>
      <c r="AU3875">
        <v>0</v>
      </c>
      <c r="AV3875">
        <v>0</v>
      </c>
      <c r="AW3875">
        <v>0</v>
      </c>
      <c r="AX3875">
        <v>0</v>
      </c>
      <c r="AY3875">
        <v>0</v>
      </c>
      <c r="AZ3875">
        <v>0</v>
      </c>
      <c r="BA3875">
        <v>0</v>
      </c>
      <c r="BB3875">
        <v>0</v>
      </c>
      <c r="BC3875">
        <v>0</v>
      </c>
      <c r="BD3875">
        <v>0</v>
      </c>
      <c r="BE3875">
        <v>0</v>
      </c>
      <c r="BF3875">
        <v>0</v>
      </c>
      <c r="BG3875">
        <v>0</v>
      </c>
      <c r="BH3875">
        <v>1</v>
      </c>
      <c r="BI3875">
        <v>1</v>
      </c>
      <c r="BJ3875">
        <v>0.2</v>
      </c>
      <c r="BK3875">
        <v>1</v>
      </c>
      <c r="BL3875">
        <v>69.98</v>
      </c>
      <c r="BM3875">
        <v>10.5</v>
      </c>
      <c r="BN3875">
        <v>80.48</v>
      </c>
      <c r="BO3875">
        <v>80.48</v>
      </c>
      <c r="BQ3875" t="s">
        <v>500</v>
      </c>
      <c r="BR3875" t="s">
        <v>84</v>
      </c>
      <c r="BS3875" t="s">
        <v>1540</v>
      </c>
      <c r="BV3875" t="s">
        <v>89</v>
      </c>
      <c r="BY3875">
        <v>1200</v>
      </c>
      <c r="CC3875" t="s">
        <v>137</v>
      </c>
      <c r="CD3875" s="5" t="s">
        <v>1490</v>
      </c>
      <c r="CE3875" t="s">
        <v>88</v>
      </c>
      <c r="CI3875">
        <v>1</v>
      </c>
      <c r="CJ3875" t="s">
        <v>1540</v>
      </c>
      <c r="CK3875">
        <v>21</v>
      </c>
      <c r="CL3875" t="s">
        <v>89</v>
      </c>
    </row>
    <row r="3876" spans="1:90" x14ac:dyDescent="0.3">
      <c r="A3876" t="s">
        <v>72</v>
      </c>
      <c r="B3876" t="s">
        <v>73</v>
      </c>
      <c r="C3876" t="s">
        <v>74</v>
      </c>
      <c r="E3876" t="str">
        <f>"080065640603"</f>
        <v>080065640603</v>
      </c>
      <c r="F3876" s="3">
        <v>45806</v>
      </c>
      <c r="G3876">
        <v>202602</v>
      </c>
      <c r="H3876" t="s">
        <v>75</v>
      </c>
      <c r="I3876" t="s">
        <v>76</v>
      </c>
      <c r="J3876" t="s">
        <v>77</v>
      </c>
      <c r="K3876" t="s">
        <v>78</v>
      </c>
      <c r="L3876" t="s">
        <v>1099</v>
      </c>
      <c r="M3876" t="s">
        <v>1100</v>
      </c>
      <c r="N3876" t="s">
        <v>1101</v>
      </c>
      <c r="O3876" t="s">
        <v>82</v>
      </c>
      <c r="P3876" t="str">
        <f>"4170041322                    "</f>
        <v xml:space="preserve">4170041322                    </v>
      </c>
      <c r="Q3876">
        <v>0</v>
      </c>
      <c r="R3876">
        <v>0</v>
      </c>
      <c r="S3876">
        <v>0</v>
      </c>
      <c r="T3876">
        <v>0</v>
      </c>
      <c r="U3876">
        <v>0</v>
      </c>
      <c r="V3876">
        <v>0</v>
      </c>
      <c r="W3876">
        <v>0</v>
      </c>
      <c r="X3876">
        <v>0</v>
      </c>
      <c r="Y3876">
        <v>0</v>
      </c>
      <c r="Z3876">
        <v>0</v>
      </c>
      <c r="AA3876">
        <v>0</v>
      </c>
      <c r="AB3876">
        <v>0</v>
      </c>
      <c r="AC3876">
        <v>0</v>
      </c>
      <c r="AD3876">
        <v>0</v>
      </c>
      <c r="AE3876">
        <v>0</v>
      </c>
      <c r="AF3876">
        <v>0</v>
      </c>
      <c r="AG3876">
        <v>0</v>
      </c>
      <c r="AH3876">
        <v>0</v>
      </c>
      <c r="AI3876">
        <v>0</v>
      </c>
      <c r="AJ3876">
        <v>0</v>
      </c>
      <c r="AK3876">
        <v>0</v>
      </c>
      <c r="AL3876">
        <v>0</v>
      </c>
      <c r="AM3876">
        <v>0</v>
      </c>
      <c r="AN3876">
        <v>0</v>
      </c>
      <c r="AO3876">
        <v>0</v>
      </c>
      <c r="AP3876">
        <v>0</v>
      </c>
      <c r="AQ3876">
        <v>41.43</v>
      </c>
      <c r="AR3876">
        <v>0</v>
      </c>
      <c r="AS3876">
        <v>0</v>
      </c>
      <c r="AT3876">
        <v>0</v>
      </c>
      <c r="AU3876">
        <v>0</v>
      </c>
      <c r="AV3876">
        <v>0</v>
      </c>
      <c r="AW3876">
        <v>0</v>
      </c>
      <c r="AX3876">
        <v>0</v>
      </c>
      <c r="AY3876">
        <v>0</v>
      </c>
      <c r="AZ3876">
        <v>0</v>
      </c>
      <c r="BA3876">
        <v>0</v>
      </c>
      <c r="BB3876">
        <v>0</v>
      </c>
      <c r="BC3876">
        <v>0</v>
      </c>
      <c r="BD3876">
        <v>0</v>
      </c>
      <c r="BE3876">
        <v>0</v>
      </c>
      <c r="BF3876">
        <v>0</v>
      </c>
      <c r="BG3876">
        <v>0</v>
      </c>
      <c r="BH3876">
        <v>1</v>
      </c>
      <c r="BI3876">
        <v>1</v>
      </c>
      <c r="BJ3876">
        <v>0.2</v>
      </c>
      <c r="BK3876">
        <v>1</v>
      </c>
      <c r="BL3876">
        <v>135.59</v>
      </c>
      <c r="BM3876">
        <v>20.34</v>
      </c>
      <c r="BN3876">
        <v>155.93</v>
      </c>
      <c r="BO3876">
        <v>155.93</v>
      </c>
      <c r="BQ3876" t="s">
        <v>1102</v>
      </c>
      <c r="BR3876" t="s">
        <v>84</v>
      </c>
      <c r="BS3876" t="s">
        <v>1540</v>
      </c>
      <c r="BV3876" t="s">
        <v>89</v>
      </c>
      <c r="BY3876">
        <v>1200</v>
      </c>
      <c r="CC3876" t="s">
        <v>1100</v>
      </c>
      <c r="CD3876" s="5" t="s">
        <v>1105</v>
      </c>
      <c r="CE3876" t="s">
        <v>88</v>
      </c>
      <c r="CI3876">
        <v>1</v>
      </c>
      <c r="CJ3876" t="s">
        <v>1540</v>
      </c>
      <c r="CK3876">
        <v>23</v>
      </c>
      <c r="CL3876" t="s">
        <v>89</v>
      </c>
    </row>
    <row r="3877" spans="1:90" x14ac:dyDescent="0.3">
      <c r="A3877" t="s">
        <v>72</v>
      </c>
      <c r="B3877" t="s">
        <v>73</v>
      </c>
      <c r="C3877" t="s">
        <v>74</v>
      </c>
      <c r="E3877" t="str">
        <f>"080065640627"</f>
        <v>080065640627</v>
      </c>
      <c r="F3877" s="3">
        <v>45806</v>
      </c>
      <c r="G3877">
        <v>202602</v>
      </c>
      <c r="H3877" t="s">
        <v>75</v>
      </c>
      <c r="I3877" t="s">
        <v>76</v>
      </c>
      <c r="J3877" t="s">
        <v>77</v>
      </c>
      <c r="K3877" t="s">
        <v>78</v>
      </c>
      <c r="L3877" t="s">
        <v>75</v>
      </c>
      <c r="M3877" t="s">
        <v>76</v>
      </c>
      <c r="N3877" t="s">
        <v>3433</v>
      </c>
      <c r="O3877" t="s">
        <v>82</v>
      </c>
      <c r="P3877" t="str">
        <f>"4170041316                    "</f>
        <v xml:space="preserve">4170041316                    </v>
      </c>
      <c r="Q3877">
        <v>0</v>
      </c>
      <c r="R3877">
        <v>0</v>
      </c>
      <c r="S3877">
        <v>0</v>
      </c>
      <c r="T3877">
        <v>0</v>
      </c>
      <c r="U3877">
        <v>0</v>
      </c>
      <c r="V3877">
        <v>0</v>
      </c>
      <c r="W3877">
        <v>0</v>
      </c>
      <c r="X3877">
        <v>0</v>
      </c>
      <c r="Y3877">
        <v>0</v>
      </c>
      <c r="Z3877">
        <v>0</v>
      </c>
      <c r="AA3877">
        <v>0</v>
      </c>
      <c r="AB3877">
        <v>0</v>
      </c>
      <c r="AC3877">
        <v>0</v>
      </c>
      <c r="AD3877">
        <v>0</v>
      </c>
      <c r="AE3877">
        <v>0</v>
      </c>
      <c r="AF3877">
        <v>0</v>
      </c>
      <c r="AG3877">
        <v>0</v>
      </c>
      <c r="AH3877">
        <v>0</v>
      </c>
      <c r="AI3877">
        <v>0</v>
      </c>
      <c r="AJ3877">
        <v>0</v>
      </c>
      <c r="AK3877">
        <v>0</v>
      </c>
      <c r="AL3877">
        <v>0</v>
      </c>
      <c r="AM3877">
        <v>0</v>
      </c>
      <c r="AN3877">
        <v>0</v>
      </c>
      <c r="AO3877">
        <v>0</v>
      </c>
      <c r="AP3877">
        <v>0</v>
      </c>
      <c r="AQ3877">
        <v>16.7</v>
      </c>
      <c r="AR3877">
        <v>0</v>
      </c>
      <c r="AS3877">
        <v>0</v>
      </c>
      <c r="AT3877">
        <v>0</v>
      </c>
      <c r="AU3877">
        <v>0</v>
      </c>
      <c r="AV3877">
        <v>0</v>
      </c>
      <c r="AW3877">
        <v>0</v>
      </c>
      <c r="AX3877">
        <v>0</v>
      </c>
      <c r="AY3877">
        <v>0</v>
      </c>
      <c r="AZ3877">
        <v>0</v>
      </c>
      <c r="BA3877">
        <v>0</v>
      </c>
      <c r="BB3877">
        <v>0</v>
      </c>
      <c r="BC3877">
        <v>0</v>
      </c>
      <c r="BD3877">
        <v>0</v>
      </c>
      <c r="BE3877">
        <v>0</v>
      </c>
      <c r="BF3877">
        <v>0</v>
      </c>
      <c r="BG3877">
        <v>0</v>
      </c>
      <c r="BH3877">
        <v>1</v>
      </c>
      <c r="BI3877">
        <v>1</v>
      </c>
      <c r="BJ3877">
        <v>0.2</v>
      </c>
      <c r="BK3877">
        <v>1</v>
      </c>
      <c r="BL3877">
        <v>54.66</v>
      </c>
      <c r="BM3877">
        <v>8.1999999999999993</v>
      </c>
      <c r="BN3877">
        <v>62.86</v>
      </c>
      <c r="BO3877">
        <v>62.86</v>
      </c>
      <c r="BQ3877" t="s">
        <v>3434</v>
      </c>
      <c r="BR3877" t="s">
        <v>84</v>
      </c>
      <c r="BS3877" t="s">
        <v>1540</v>
      </c>
      <c r="BV3877" t="s">
        <v>89</v>
      </c>
      <c r="BY3877">
        <v>1200</v>
      </c>
      <c r="CC3877" t="s">
        <v>76</v>
      </c>
      <c r="CD3877">
        <v>1600</v>
      </c>
      <c r="CE3877" t="s">
        <v>88</v>
      </c>
      <c r="CI3877">
        <v>1</v>
      </c>
      <c r="CJ3877" t="s">
        <v>1540</v>
      </c>
      <c r="CK3877">
        <v>22</v>
      </c>
      <c r="CL3877" t="s">
        <v>89</v>
      </c>
    </row>
    <row r="3878" spans="1:90" x14ac:dyDescent="0.3">
      <c r="A3878" t="s">
        <v>72</v>
      </c>
      <c r="B3878" t="s">
        <v>73</v>
      </c>
      <c r="C3878" t="s">
        <v>74</v>
      </c>
      <c r="E3878" t="str">
        <f>"080065640653"</f>
        <v>080065640653</v>
      </c>
      <c r="F3878" s="3">
        <v>45806</v>
      </c>
      <c r="G3878">
        <v>202602</v>
      </c>
      <c r="H3878" t="s">
        <v>75</v>
      </c>
      <c r="I3878" t="s">
        <v>76</v>
      </c>
      <c r="J3878" t="s">
        <v>77</v>
      </c>
      <c r="K3878" t="s">
        <v>78</v>
      </c>
      <c r="L3878" t="s">
        <v>136</v>
      </c>
      <c r="M3878" t="s">
        <v>137</v>
      </c>
      <c r="N3878" t="s">
        <v>735</v>
      </c>
      <c r="O3878" t="s">
        <v>82</v>
      </c>
      <c r="P3878" t="str">
        <f>"4170041339                    "</f>
        <v xml:space="preserve">4170041339                    </v>
      </c>
      <c r="Q3878">
        <v>0</v>
      </c>
      <c r="R3878">
        <v>0</v>
      </c>
      <c r="S3878">
        <v>0</v>
      </c>
      <c r="T3878">
        <v>0</v>
      </c>
      <c r="U3878">
        <v>0</v>
      </c>
      <c r="V3878">
        <v>0</v>
      </c>
      <c r="W3878">
        <v>0</v>
      </c>
      <c r="X3878">
        <v>0</v>
      </c>
      <c r="Y3878">
        <v>0</v>
      </c>
      <c r="Z3878">
        <v>0</v>
      </c>
      <c r="AA3878">
        <v>0</v>
      </c>
      <c r="AB3878">
        <v>0</v>
      </c>
      <c r="AC3878">
        <v>0</v>
      </c>
      <c r="AD3878">
        <v>0</v>
      </c>
      <c r="AE3878">
        <v>0</v>
      </c>
      <c r="AF3878">
        <v>0</v>
      </c>
      <c r="AG3878">
        <v>0</v>
      </c>
      <c r="AH3878">
        <v>0</v>
      </c>
      <c r="AI3878">
        <v>0</v>
      </c>
      <c r="AJ3878">
        <v>0</v>
      </c>
      <c r="AK3878">
        <v>0</v>
      </c>
      <c r="AL3878">
        <v>0</v>
      </c>
      <c r="AM3878">
        <v>0</v>
      </c>
      <c r="AN3878">
        <v>0</v>
      </c>
      <c r="AO3878">
        <v>0</v>
      </c>
      <c r="AP3878">
        <v>0</v>
      </c>
      <c r="AQ3878">
        <v>21.38</v>
      </c>
      <c r="AR3878">
        <v>0</v>
      </c>
      <c r="AS3878">
        <v>0</v>
      </c>
      <c r="AT3878">
        <v>0</v>
      </c>
      <c r="AU3878">
        <v>0</v>
      </c>
      <c r="AV3878">
        <v>0</v>
      </c>
      <c r="AW3878">
        <v>0</v>
      </c>
      <c r="AX3878">
        <v>0</v>
      </c>
      <c r="AY3878">
        <v>0</v>
      </c>
      <c r="AZ3878">
        <v>0</v>
      </c>
      <c r="BA3878">
        <v>0</v>
      </c>
      <c r="BB3878">
        <v>0</v>
      </c>
      <c r="BC3878">
        <v>0</v>
      </c>
      <c r="BD3878">
        <v>0</v>
      </c>
      <c r="BE3878">
        <v>0</v>
      </c>
      <c r="BF3878">
        <v>0</v>
      </c>
      <c r="BG3878">
        <v>0</v>
      </c>
      <c r="BH3878">
        <v>1</v>
      </c>
      <c r="BI3878">
        <v>1</v>
      </c>
      <c r="BJ3878">
        <v>0.2</v>
      </c>
      <c r="BK3878">
        <v>1</v>
      </c>
      <c r="BL3878">
        <v>69.98</v>
      </c>
      <c r="BM3878">
        <v>10.5</v>
      </c>
      <c r="BN3878">
        <v>80.48</v>
      </c>
      <c r="BO3878">
        <v>80.48</v>
      </c>
      <c r="BQ3878" t="s">
        <v>736</v>
      </c>
      <c r="BR3878" t="s">
        <v>84</v>
      </c>
      <c r="BS3878" t="s">
        <v>1540</v>
      </c>
      <c r="BV3878" t="s">
        <v>89</v>
      </c>
      <c r="BY3878">
        <v>1200</v>
      </c>
      <c r="CC3878" t="s">
        <v>137</v>
      </c>
      <c r="CD3878" s="5" t="s">
        <v>738</v>
      </c>
      <c r="CE3878" t="s">
        <v>88</v>
      </c>
      <c r="CI3878">
        <v>1</v>
      </c>
      <c r="CJ3878" t="s">
        <v>1540</v>
      </c>
      <c r="CK3878">
        <v>21</v>
      </c>
      <c r="CL3878" t="s">
        <v>89</v>
      </c>
    </row>
    <row r="3879" spans="1:90" x14ac:dyDescent="0.3">
      <c r="A3879" t="s">
        <v>72</v>
      </c>
      <c r="B3879" t="s">
        <v>73</v>
      </c>
      <c r="C3879" t="s">
        <v>74</v>
      </c>
      <c r="E3879" t="str">
        <f>"080065640683"</f>
        <v>080065640683</v>
      </c>
      <c r="F3879" s="3">
        <v>45806</v>
      </c>
      <c r="G3879">
        <v>202602</v>
      </c>
      <c r="H3879" t="s">
        <v>75</v>
      </c>
      <c r="I3879" t="s">
        <v>76</v>
      </c>
      <c r="J3879" t="s">
        <v>77</v>
      </c>
      <c r="K3879" t="s">
        <v>78</v>
      </c>
      <c r="L3879" t="s">
        <v>75</v>
      </c>
      <c r="M3879" t="s">
        <v>76</v>
      </c>
      <c r="N3879" t="s">
        <v>183</v>
      </c>
      <c r="O3879" t="s">
        <v>82</v>
      </c>
      <c r="P3879" t="str">
        <f>"4170041371                    "</f>
        <v xml:space="preserve">4170041371                    </v>
      </c>
      <c r="Q3879">
        <v>0</v>
      </c>
      <c r="R3879">
        <v>0</v>
      </c>
      <c r="S3879">
        <v>0</v>
      </c>
      <c r="T3879">
        <v>0</v>
      </c>
      <c r="U3879">
        <v>0</v>
      </c>
      <c r="V3879">
        <v>0</v>
      </c>
      <c r="W3879">
        <v>0</v>
      </c>
      <c r="X3879">
        <v>0</v>
      </c>
      <c r="Y3879">
        <v>0</v>
      </c>
      <c r="Z3879">
        <v>0</v>
      </c>
      <c r="AA3879">
        <v>0</v>
      </c>
      <c r="AB3879">
        <v>0</v>
      </c>
      <c r="AC3879">
        <v>0</v>
      </c>
      <c r="AD3879">
        <v>0</v>
      </c>
      <c r="AE3879">
        <v>0</v>
      </c>
      <c r="AF3879">
        <v>0</v>
      </c>
      <c r="AG3879">
        <v>0</v>
      </c>
      <c r="AH3879">
        <v>0</v>
      </c>
      <c r="AI3879">
        <v>0</v>
      </c>
      <c r="AJ3879">
        <v>0</v>
      </c>
      <c r="AK3879">
        <v>0</v>
      </c>
      <c r="AL3879">
        <v>0</v>
      </c>
      <c r="AM3879">
        <v>0</v>
      </c>
      <c r="AN3879">
        <v>0</v>
      </c>
      <c r="AO3879">
        <v>0</v>
      </c>
      <c r="AP3879">
        <v>0</v>
      </c>
      <c r="AQ3879">
        <v>16.7</v>
      </c>
      <c r="AR3879">
        <v>0</v>
      </c>
      <c r="AS3879">
        <v>0</v>
      </c>
      <c r="AT3879">
        <v>0</v>
      </c>
      <c r="AU3879">
        <v>0</v>
      </c>
      <c r="AV3879">
        <v>0</v>
      </c>
      <c r="AW3879">
        <v>0</v>
      </c>
      <c r="AX3879">
        <v>0</v>
      </c>
      <c r="AY3879">
        <v>0</v>
      </c>
      <c r="AZ3879">
        <v>0</v>
      </c>
      <c r="BA3879">
        <v>0</v>
      </c>
      <c r="BB3879">
        <v>0</v>
      </c>
      <c r="BC3879">
        <v>0</v>
      </c>
      <c r="BD3879">
        <v>0</v>
      </c>
      <c r="BE3879">
        <v>0</v>
      </c>
      <c r="BF3879">
        <v>0</v>
      </c>
      <c r="BG3879">
        <v>0</v>
      </c>
      <c r="BH3879">
        <v>1</v>
      </c>
      <c r="BI3879">
        <v>1</v>
      </c>
      <c r="BJ3879">
        <v>0.2</v>
      </c>
      <c r="BK3879">
        <v>1</v>
      </c>
      <c r="BL3879">
        <v>54.66</v>
      </c>
      <c r="BM3879">
        <v>8.1999999999999993</v>
      </c>
      <c r="BN3879">
        <v>62.86</v>
      </c>
      <c r="BO3879">
        <v>62.86</v>
      </c>
      <c r="BQ3879" t="s">
        <v>184</v>
      </c>
      <c r="BR3879" t="s">
        <v>84</v>
      </c>
      <c r="BS3879" s="3">
        <v>45807</v>
      </c>
      <c r="BT3879" s="4">
        <v>0.2986111111111111</v>
      </c>
      <c r="BU3879" t="s">
        <v>185</v>
      </c>
      <c r="BV3879" t="s">
        <v>86</v>
      </c>
      <c r="BY3879">
        <v>1200</v>
      </c>
      <c r="CA3879" t="s">
        <v>115</v>
      </c>
      <c r="CC3879" t="s">
        <v>76</v>
      </c>
      <c r="CD3879">
        <v>1600</v>
      </c>
      <c r="CE3879" t="s">
        <v>88</v>
      </c>
      <c r="CI3879">
        <v>1</v>
      </c>
      <c r="CJ3879">
        <v>1</v>
      </c>
      <c r="CK3879">
        <v>22</v>
      </c>
      <c r="CL3879" t="s">
        <v>89</v>
      </c>
    </row>
    <row r="3880" spans="1:90" x14ac:dyDescent="0.3">
      <c r="A3880" t="s">
        <v>72</v>
      </c>
      <c r="B3880" t="s">
        <v>73</v>
      </c>
      <c r="C3880" t="s">
        <v>74</v>
      </c>
      <c r="E3880" t="str">
        <f>"080065640703"</f>
        <v>080065640703</v>
      </c>
      <c r="F3880" s="3">
        <v>45806</v>
      </c>
      <c r="G3880">
        <v>202602</v>
      </c>
      <c r="H3880" t="s">
        <v>75</v>
      </c>
      <c r="I3880" t="s">
        <v>76</v>
      </c>
      <c r="J3880" t="s">
        <v>77</v>
      </c>
      <c r="K3880" t="s">
        <v>78</v>
      </c>
      <c r="L3880" t="s">
        <v>103</v>
      </c>
      <c r="M3880" t="s">
        <v>104</v>
      </c>
      <c r="N3880" t="s">
        <v>686</v>
      </c>
      <c r="O3880" t="s">
        <v>82</v>
      </c>
      <c r="P3880" t="str">
        <f>"4170041352                    "</f>
        <v xml:space="preserve">4170041352                    </v>
      </c>
      <c r="Q3880">
        <v>0</v>
      </c>
      <c r="R3880">
        <v>0</v>
      </c>
      <c r="S3880">
        <v>0</v>
      </c>
      <c r="T3880">
        <v>0</v>
      </c>
      <c r="U3880">
        <v>0</v>
      </c>
      <c r="V3880">
        <v>0</v>
      </c>
      <c r="W3880">
        <v>0</v>
      </c>
      <c r="X3880">
        <v>0</v>
      </c>
      <c r="Y3880">
        <v>0</v>
      </c>
      <c r="Z3880">
        <v>0</v>
      </c>
      <c r="AA3880">
        <v>0</v>
      </c>
      <c r="AB3880">
        <v>0</v>
      </c>
      <c r="AC3880">
        <v>0</v>
      </c>
      <c r="AD3880">
        <v>0</v>
      </c>
      <c r="AE3880">
        <v>0</v>
      </c>
      <c r="AF3880">
        <v>0</v>
      </c>
      <c r="AG3880">
        <v>0</v>
      </c>
      <c r="AH3880">
        <v>0</v>
      </c>
      <c r="AI3880">
        <v>0</v>
      </c>
      <c r="AJ3880">
        <v>0</v>
      </c>
      <c r="AK3880">
        <v>0</v>
      </c>
      <c r="AL3880">
        <v>0</v>
      </c>
      <c r="AM3880">
        <v>0</v>
      </c>
      <c r="AN3880">
        <v>0</v>
      </c>
      <c r="AO3880">
        <v>0</v>
      </c>
      <c r="AP3880">
        <v>0</v>
      </c>
      <c r="AQ3880">
        <v>21.38</v>
      </c>
      <c r="AR3880">
        <v>0</v>
      </c>
      <c r="AS3880">
        <v>0</v>
      </c>
      <c r="AT3880">
        <v>0</v>
      </c>
      <c r="AU3880">
        <v>0</v>
      </c>
      <c r="AV3880">
        <v>0</v>
      </c>
      <c r="AW3880">
        <v>0</v>
      </c>
      <c r="AX3880">
        <v>0</v>
      </c>
      <c r="AY3880">
        <v>0</v>
      </c>
      <c r="AZ3880">
        <v>0</v>
      </c>
      <c r="BA3880">
        <v>0</v>
      </c>
      <c r="BB3880">
        <v>0</v>
      </c>
      <c r="BC3880">
        <v>0</v>
      </c>
      <c r="BD3880">
        <v>0</v>
      </c>
      <c r="BE3880">
        <v>0</v>
      </c>
      <c r="BF3880">
        <v>0</v>
      </c>
      <c r="BG3880">
        <v>0</v>
      </c>
      <c r="BH3880">
        <v>1</v>
      </c>
      <c r="BI3880">
        <v>1</v>
      </c>
      <c r="BJ3880">
        <v>0.2</v>
      </c>
      <c r="BK3880">
        <v>1</v>
      </c>
      <c r="BL3880">
        <v>69.98</v>
      </c>
      <c r="BM3880">
        <v>10.5</v>
      </c>
      <c r="BN3880">
        <v>80.48</v>
      </c>
      <c r="BO3880">
        <v>80.48</v>
      </c>
      <c r="BQ3880" t="s">
        <v>687</v>
      </c>
      <c r="BR3880" t="s">
        <v>84</v>
      </c>
      <c r="BS3880" t="s">
        <v>1540</v>
      </c>
      <c r="BV3880" t="s">
        <v>89</v>
      </c>
      <c r="BY3880">
        <v>1200</v>
      </c>
      <c r="CC3880" t="s">
        <v>104</v>
      </c>
      <c r="CD3880">
        <v>3201</v>
      </c>
      <c r="CE3880" t="s">
        <v>88</v>
      </c>
      <c r="CI3880">
        <v>1</v>
      </c>
      <c r="CJ3880" t="s">
        <v>1540</v>
      </c>
      <c r="CK3880">
        <v>21</v>
      </c>
      <c r="CL3880" t="s">
        <v>89</v>
      </c>
    </row>
    <row r="3881" spans="1:90" x14ac:dyDescent="0.3">
      <c r="A3881" t="s">
        <v>72</v>
      </c>
      <c r="B3881" t="s">
        <v>73</v>
      </c>
      <c r="C3881" t="s">
        <v>74</v>
      </c>
      <c r="E3881" t="str">
        <f>"080065640716"</f>
        <v>080065640716</v>
      </c>
      <c r="F3881" s="3">
        <v>45806</v>
      </c>
      <c r="G3881">
        <v>202602</v>
      </c>
      <c r="H3881" t="s">
        <v>75</v>
      </c>
      <c r="I3881" t="s">
        <v>76</v>
      </c>
      <c r="J3881" t="s">
        <v>77</v>
      </c>
      <c r="K3881" t="s">
        <v>78</v>
      </c>
      <c r="L3881" t="s">
        <v>75</v>
      </c>
      <c r="M3881" t="s">
        <v>76</v>
      </c>
      <c r="N3881" t="s">
        <v>390</v>
      </c>
      <c r="O3881" t="s">
        <v>82</v>
      </c>
      <c r="P3881" t="str">
        <f>"4170041297                    "</f>
        <v xml:space="preserve">4170041297                    </v>
      </c>
      <c r="Q3881">
        <v>0</v>
      </c>
      <c r="R3881">
        <v>0</v>
      </c>
      <c r="S3881">
        <v>0</v>
      </c>
      <c r="T3881">
        <v>0</v>
      </c>
      <c r="U3881">
        <v>0</v>
      </c>
      <c r="V3881">
        <v>0</v>
      </c>
      <c r="W3881">
        <v>0</v>
      </c>
      <c r="X3881">
        <v>0</v>
      </c>
      <c r="Y3881">
        <v>0</v>
      </c>
      <c r="Z3881">
        <v>0</v>
      </c>
      <c r="AA3881">
        <v>0</v>
      </c>
      <c r="AB3881">
        <v>0</v>
      </c>
      <c r="AC3881">
        <v>0</v>
      </c>
      <c r="AD3881">
        <v>0</v>
      </c>
      <c r="AE3881">
        <v>0</v>
      </c>
      <c r="AF3881">
        <v>0</v>
      </c>
      <c r="AG3881">
        <v>0</v>
      </c>
      <c r="AH3881">
        <v>0</v>
      </c>
      <c r="AI3881">
        <v>0</v>
      </c>
      <c r="AJ3881">
        <v>0</v>
      </c>
      <c r="AK3881">
        <v>0</v>
      </c>
      <c r="AL3881">
        <v>0</v>
      </c>
      <c r="AM3881">
        <v>0</v>
      </c>
      <c r="AN3881">
        <v>0</v>
      </c>
      <c r="AO3881">
        <v>0</v>
      </c>
      <c r="AP3881">
        <v>0</v>
      </c>
      <c r="AQ3881">
        <v>16.7</v>
      </c>
      <c r="AR3881">
        <v>0</v>
      </c>
      <c r="AS3881">
        <v>0</v>
      </c>
      <c r="AT3881">
        <v>0</v>
      </c>
      <c r="AU3881">
        <v>0</v>
      </c>
      <c r="AV3881">
        <v>0</v>
      </c>
      <c r="AW3881">
        <v>0</v>
      </c>
      <c r="AX3881">
        <v>0</v>
      </c>
      <c r="AY3881">
        <v>0</v>
      </c>
      <c r="AZ3881">
        <v>0</v>
      </c>
      <c r="BA3881">
        <v>0</v>
      </c>
      <c r="BB3881">
        <v>0</v>
      </c>
      <c r="BC3881">
        <v>0</v>
      </c>
      <c r="BD3881">
        <v>0</v>
      </c>
      <c r="BE3881">
        <v>0</v>
      </c>
      <c r="BF3881">
        <v>0</v>
      </c>
      <c r="BG3881">
        <v>0</v>
      </c>
      <c r="BH3881">
        <v>1</v>
      </c>
      <c r="BI3881">
        <v>1</v>
      </c>
      <c r="BJ3881">
        <v>0.2</v>
      </c>
      <c r="BK3881">
        <v>1</v>
      </c>
      <c r="BL3881">
        <v>54.66</v>
      </c>
      <c r="BM3881">
        <v>8.1999999999999993</v>
      </c>
      <c r="BN3881">
        <v>62.86</v>
      </c>
      <c r="BO3881">
        <v>62.86</v>
      </c>
      <c r="BQ3881" t="s">
        <v>391</v>
      </c>
      <c r="BR3881" t="s">
        <v>84</v>
      </c>
      <c r="BS3881" t="s">
        <v>1540</v>
      </c>
      <c r="BV3881" t="s">
        <v>89</v>
      </c>
      <c r="BY3881">
        <v>1200</v>
      </c>
      <c r="CC3881" t="s">
        <v>76</v>
      </c>
      <c r="CD3881">
        <v>1600</v>
      </c>
      <c r="CE3881" t="s">
        <v>88</v>
      </c>
      <c r="CI3881">
        <v>1</v>
      </c>
      <c r="CJ3881" t="s">
        <v>1540</v>
      </c>
      <c r="CK3881">
        <v>22</v>
      </c>
      <c r="CL3881" t="s">
        <v>89</v>
      </c>
    </row>
    <row r="3882" spans="1:90" x14ac:dyDescent="0.3">
      <c r="A3882" t="s">
        <v>72</v>
      </c>
      <c r="B3882" t="s">
        <v>73</v>
      </c>
      <c r="C3882" t="s">
        <v>74</v>
      </c>
      <c r="E3882" t="str">
        <f>"080065640735"</f>
        <v>080065640735</v>
      </c>
      <c r="F3882" s="3">
        <v>45806</v>
      </c>
      <c r="G3882">
        <v>202602</v>
      </c>
      <c r="H3882" t="s">
        <v>75</v>
      </c>
      <c r="I3882" t="s">
        <v>76</v>
      </c>
      <c r="J3882" t="s">
        <v>77</v>
      </c>
      <c r="K3882" t="s">
        <v>78</v>
      </c>
      <c r="L3882" t="s">
        <v>136</v>
      </c>
      <c r="M3882" t="s">
        <v>137</v>
      </c>
      <c r="N3882" t="s">
        <v>735</v>
      </c>
      <c r="O3882" t="s">
        <v>82</v>
      </c>
      <c r="P3882" t="str">
        <f>"4170041308                    "</f>
        <v xml:space="preserve">4170041308                    </v>
      </c>
      <c r="Q3882">
        <v>0</v>
      </c>
      <c r="R3882">
        <v>0</v>
      </c>
      <c r="S3882">
        <v>0</v>
      </c>
      <c r="T3882">
        <v>0</v>
      </c>
      <c r="U3882">
        <v>0</v>
      </c>
      <c r="V3882">
        <v>0</v>
      </c>
      <c r="W3882">
        <v>0</v>
      </c>
      <c r="X3882">
        <v>0</v>
      </c>
      <c r="Y3882">
        <v>0</v>
      </c>
      <c r="Z3882">
        <v>0</v>
      </c>
      <c r="AA3882">
        <v>0</v>
      </c>
      <c r="AB3882">
        <v>0</v>
      </c>
      <c r="AC3882">
        <v>0</v>
      </c>
      <c r="AD3882">
        <v>0</v>
      </c>
      <c r="AE3882">
        <v>0</v>
      </c>
      <c r="AF3882">
        <v>0</v>
      </c>
      <c r="AG3882">
        <v>0</v>
      </c>
      <c r="AH3882">
        <v>0</v>
      </c>
      <c r="AI3882">
        <v>0</v>
      </c>
      <c r="AJ3882">
        <v>0</v>
      </c>
      <c r="AK3882">
        <v>0</v>
      </c>
      <c r="AL3882">
        <v>0</v>
      </c>
      <c r="AM3882">
        <v>0</v>
      </c>
      <c r="AN3882">
        <v>0</v>
      </c>
      <c r="AO3882">
        <v>0</v>
      </c>
      <c r="AP3882">
        <v>0</v>
      </c>
      <c r="AQ3882">
        <v>21.38</v>
      </c>
      <c r="AR3882">
        <v>0</v>
      </c>
      <c r="AS3882">
        <v>0</v>
      </c>
      <c r="AT3882">
        <v>0</v>
      </c>
      <c r="AU3882">
        <v>0</v>
      </c>
      <c r="AV3882">
        <v>0</v>
      </c>
      <c r="AW3882">
        <v>0</v>
      </c>
      <c r="AX3882">
        <v>0</v>
      </c>
      <c r="AY3882">
        <v>0</v>
      </c>
      <c r="AZ3882">
        <v>0</v>
      </c>
      <c r="BA3882">
        <v>0</v>
      </c>
      <c r="BB3882">
        <v>0</v>
      </c>
      <c r="BC3882">
        <v>0</v>
      </c>
      <c r="BD3882">
        <v>0</v>
      </c>
      <c r="BE3882">
        <v>0</v>
      </c>
      <c r="BF3882">
        <v>0</v>
      </c>
      <c r="BG3882">
        <v>0</v>
      </c>
      <c r="BH3882">
        <v>1</v>
      </c>
      <c r="BI3882">
        <v>1</v>
      </c>
      <c r="BJ3882">
        <v>0.2</v>
      </c>
      <c r="BK3882">
        <v>1</v>
      </c>
      <c r="BL3882">
        <v>69.98</v>
      </c>
      <c r="BM3882">
        <v>10.5</v>
      </c>
      <c r="BN3882">
        <v>80.48</v>
      </c>
      <c r="BO3882">
        <v>80.48</v>
      </c>
      <c r="BQ3882" t="s">
        <v>736</v>
      </c>
      <c r="BR3882" t="s">
        <v>84</v>
      </c>
      <c r="BS3882" t="s">
        <v>1540</v>
      </c>
      <c r="BV3882" t="s">
        <v>89</v>
      </c>
      <c r="BY3882">
        <v>1200</v>
      </c>
      <c r="CC3882" t="s">
        <v>137</v>
      </c>
      <c r="CD3882" s="5" t="s">
        <v>738</v>
      </c>
      <c r="CE3882" t="s">
        <v>88</v>
      </c>
      <c r="CI3882">
        <v>1</v>
      </c>
      <c r="CJ3882" t="s">
        <v>1540</v>
      </c>
      <c r="CK3882">
        <v>21</v>
      </c>
      <c r="CL3882" t="s">
        <v>89</v>
      </c>
    </row>
    <row r="3883" spans="1:90" x14ac:dyDescent="0.3">
      <c r="A3883" t="s">
        <v>72</v>
      </c>
      <c r="B3883" t="s">
        <v>73</v>
      </c>
      <c r="C3883" t="s">
        <v>74</v>
      </c>
      <c r="E3883" t="str">
        <f>"080065640743"</f>
        <v>080065640743</v>
      </c>
      <c r="F3883" s="3">
        <v>45806</v>
      </c>
      <c r="G3883">
        <v>202602</v>
      </c>
      <c r="H3883" t="s">
        <v>75</v>
      </c>
      <c r="I3883" t="s">
        <v>76</v>
      </c>
      <c r="J3883" t="s">
        <v>77</v>
      </c>
      <c r="K3883" t="s">
        <v>78</v>
      </c>
      <c r="L3883" t="s">
        <v>232</v>
      </c>
      <c r="M3883" t="s">
        <v>233</v>
      </c>
      <c r="N3883" t="s">
        <v>1108</v>
      </c>
      <c r="O3883" t="s">
        <v>82</v>
      </c>
      <c r="P3883" t="str">
        <f>"4170041296                    "</f>
        <v xml:space="preserve">4170041296                    </v>
      </c>
      <c r="Q3883">
        <v>0</v>
      </c>
      <c r="R3883">
        <v>0</v>
      </c>
      <c r="S3883">
        <v>0</v>
      </c>
      <c r="T3883">
        <v>0</v>
      </c>
      <c r="U3883">
        <v>0</v>
      </c>
      <c r="V3883">
        <v>0</v>
      </c>
      <c r="W3883">
        <v>0</v>
      </c>
      <c r="X3883">
        <v>0</v>
      </c>
      <c r="Y3883">
        <v>0</v>
      </c>
      <c r="Z3883">
        <v>0</v>
      </c>
      <c r="AA3883">
        <v>0</v>
      </c>
      <c r="AB3883">
        <v>0</v>
      </c>
      <c r="AC3883">
        <v>0</v>
      </c>
      <c r="AD3883">
        <v>0</v>
      </c>
      <c r="AE3883">
        <v>0</v>
      </c>
      <c r="AF3883">
        <v>0</v>
      </c>
      <c r="AG3883">
        <v>0</v>
      </c>
      <c r="AH3883">
        <v>0</v>
      </c>
      <c r="AI3883">
        <v>0</v>
      </c>
      <c r="AJ3883">
        <v>0</v>
      </c>
      <c r="AK3883">
        <v>0</v>
      </c>
      <c r="AL3883">
        <v>0</v>
      </c>
      <c r="AM3883">
        <v>0</v>
      </c>
      <c r="AN3883">
        <v>0</v>
      </c>
      <c r="AO3883">
        <v>0</v>
      </c>
      <c r="AP3883">
        <v>0</v>
      </c>
      <c r="AQ3883">
        <v>21.38</v>
      </c>
      <c r="AR3883">
        <v>0</v>
      </c>
      <c r="AS3883">
        <v>0</v>
      </c>
      <c r="AT3883">
        <v>0</v>
      </c>
      <c r="AU3883">
        <v>0</v>
      </c>
      <c r="AV3883">
        <v>0</v>
      </c>
      <c r="AW3883">
        <v>0</v>
      </c>
      <c r="AX3883">
        <v>0</v>
      </c>
      <c r="AY3883">
        <v>0</v>
      </c>
      <c r="AZ3883">
        <v>0</v>
      </c>
      <c r="BA3883">
        <v>0</v>
      </c>
      <c r="BB3883">
        <v>0</v>
      </c>
      <c r="BC3883">
        <v>0</v>
      </c>
      <c r="BD3883">
        <v>0</v>
      </c>
      <c r="BE3883">
        <v>0</v>
      </c>
      <c r="BF3883">
        <v>0</v>
      </c>
      <c r="BG3883">
        <v>0</v>
      </c>
      <c r="BH3883">
        <v>1</v>
      </c>
      <c r="BI3883">
        <v>1</v>
      </c>
      <c r="BJ3883">
        <v>0.2</v>
      </c>
      <c r="BK3883">
        <v>1</v>
      </c>
      <c r="BL3883">
        <v>69.98</v>
      </c>
      <c r="BM3883">
        <v>10.5</v>
      </c>
      <c r="BN3883">
        <v>80.48</v>
      </c>
      <c r="BO3883">
        <v>80.48</v>
      </c>
      <c r="BQ3883" t="s">
        <v>1109</v>
      </c>
      <c r="BR3883" t="s">
        <v>84</v>
      </c>
      <c r="BS3883" t="s">
        <v>1540</v>
      </c>
      <c r="BV3883" t="s">
        <v>89</v>
      </c>
      <c r="BY3883">
        <v>1200</v>
      </c>
      <c r="CC3883" t="s">
        <v>233</v>
      </c>
      <c r="CD3883" s="5" t="s">
        <v>238</v>
      </c>
      <c r="CE3883" t="s">
        <v>88</v>
      </c>
      <c r="CI3883">
        <v>1</v>
      </c>
      <c r="CJ3883" t="s">
        <v>1540</v>
      </c>
      <c r="CK3883">
        <v>21</v>
      </c>
      <c r="CL3883" t="s">
        <v>89</v>
      </c>
    </row>
    <row r="3884" spans="1:90" x14ac:dyDescent="0.3">
      <c r="A3884" t="s">
        <v>72</v>
      </c>
      <c r="B3884" t="s">
        <v>73</v>
      </c>
      <c r="C3884" t="s">
        <v>74</v>
      </c>
      <c r="E3884" t="str">
        <f>"080065640969"</f>
        <v>080065640969</v>
      </c>
      <c r="F3884" s="3">
        <v>45806</v>
      </c>
      <c r="G3884">
        <v>202602</v>
      </c>
      <c r="H3884" t="s">
        <v>75</v>
      </c>
      <c r="I3884" t="s">
        <v>76</v>
      </c>
      <c r="J3884" t="s">
        <v>77</v>
      </c>
      <c r="K3884" t="s">
        <v>78</v>
      </c>
      <c r="L3884" t="s">
        <v>1214</v>
      </c>
      <c r="M3884" t="s">
        <v>1215</v>
      </c>
      <c r="N3884" t="s">
        <v>1216</v>
      </c>
      <c r="O3884" t="s">
        <v>82</v>
      </c>
      <c r="P3884" t="str">
        <f>"4170041399                    "</f>
        <v xml:space="preserve">4170041399                    </v>
      </c>
      <c r="Q3884">
        <v>0</v>
      </c>
      <c r="R3884">
        <v>0</v>
      </c>
      <c r="S3884">
        <v>0</v>
      </c>
      <c r="T3884">
        <v>0</v>
      </c>
      <c r="U3884">
        <v>0</v>
      </c>
      <c r="V3884">
        <v>0</v>
      </c>
      <c r="W3884">
        <v>0</v>
      </c>
      <c r="X3884">
        <v>0</v>
      </c>
      <c r="Y3884">
        <v>0</v>
      </c>
      <c r="Z3884">
        <v>0</v>
      </c>
      <c r="AA3884">
        <v>0</v>
      </c>
      <c r="AB3884">
        <v>0</v>
      </c>
      <c r="AC3884">
        <v>0</v>
      </c>
      <c r="AD3884">
        <v>0</v>
      </c>
      <c r="AE3884">
        <v>0</v>
      </c>
      <c r="AF3884">
        <v>0</v>
      </c>
      <c r="AG3884">
        <v>0</v>
      </c>
      <c r="AH3884">
        <v>0</v>
      </c>
      <c r="AI3884">
        <v>0</v>
      </c>
      <c r="AJ3884">
        <v>0</v>
      </c>
      <c r="AK3884">
        <v>0</v>
      </c>
      <c r="AL3884">
        <v>0</v>
      </c>
      <c r="AM3884">
        <v>0</v>
      </c>
      <c r="AN3884">
        <v>0</v>
      </c>
      <c r="AO3884">
        <v>0</v>
      </c>
      <c r="AP3884">
        <v>0</v>
      </c>
      <c r="AQ3884">
        <v>21.38</v>
      </c>
      <c r="AR3884">
        <v>0</v>
      </c>
      <c r="AS3884">
        <v>0</v>
      </c>
      <c r="AT3884">
        <v>0</v>
      </c>
      <c r="AU3884">
        <v>0</v>
      </c>
      <c r="AV3884">
        <v>0</v>
      </c>
      <c r="AW3884">
        <v>0</v>
      </c>
      <c r="AX3884">
        <v>0</v>
      </c>
      <c r="AY3884">
        <v>0</v>
      </c>
      <c r="AZ3884">
        <v>0</v>
      </c>
      <c r="BA3884">
        <v>0</v>
      </c>
      <c r="BB3884">
        <v>0</v>
      </c>
      <c r="BC3884">
        <v>0</v>
      </c>
      <c r="BD3884">
        <v>0</v>
      </c>
      <c r="BE3884">
        <v>0</v>
      </c>
      <c r="BF3884">
        <v>0</v>
      </c>
      <c r="BG3884">
        <v>0</v>
      </c>
      <c r="BH3884">
        <v>1</v>
      </c>
      <c r="BI3884">
        <v>1</v>
      </c>
      <c r="BJ3884">
        <v>0.2</v>
      </c>
      <c r="BK3884">
        <v>1</v>
      </c>
      <c r="BL3884">
        <v>69.98</v>
      </c>
      <c r="BM3884">
        <v>10.5</v>
      </c>
      <c r="BN3884">
        <v>80.48</v>
      </c>
      <c r="BO3884">
        <v>80.48</v>
      </c>
      <c r="BQ3884" t="s">
        <v>1217</v>
      </c>
      <c r="BR3884" t="s">
        <v>84</v>
      </c>
      <c r="BS3884" t="s">
        <v>1540</v>
      </c>
      <c r="BV3884" t="s">
        <v>89</v>
      </c>
      <c r="BY3884">
        <v>1200</v>
      </c>
      <c r="CC3884" t="s">
        <v>1215</v>
      </c>
      <c r="CD3884">
        <v>4302</v>
      </c>
      <c r="CE3884" t="s">
        <v>88</v>
      </c>
      <c r="CI3884">
        <v>1</v>
      </c>
      <c r="CJ3884" t="s">
        <v>1540</v>
      </c>
      <c r="CK3884">
        <v>21</v>
      </c>
      <c r="CL3884" t="s">
        <v>89</v>
      </c>
    </row>
    <row r="3885" spans="1:90" x14ac:dyDescent="0.3">
      <c r="A3885" t="s">
        <v>72</v>
      </c>
      <c r="B3885" t="s">
        <v>73</v>
      </c>
      <c r="C3885" t="s">
        <v>74</v>
      </c>
      <c r="E3885" t="str">
        <f>"080065640989"</f>
        <v>080065640989</v>
      </c>
      <c r="F3885" s="3">
        <v>45806</v>
      </c>
      <c r="G3885">
        <v>202602</v>
      </c>
      <c r="H3885" t="s">
        <v>75</v>
      </c>
      <c r="I3885" t="s">
        <v>76</v>
      </c>
      <c r="J3885" t="s">
        <v>77</v>
      </c>
      <c r="K3885" t="s">
        <v>78</v>
      </c>
      <c r="L3885" t="s">
        <v>143</v>
      </c>
      <c r="M3885" t="s">
        <v>144</v>
      </c>
      <c r="N3885" t="s">
        <v>547</v>
      </c>
      <c r="O3885" t="s">
        <v>82</v>
      </c>
      <c r="P3885" t="str">
        <f>"4170041301                    "</f>
        <v xml:space="preserve">4170041301                    </v>
      </c>
      <c r="Q3885">
        <v>0</v>
      </c>
      <c r="R3885">
        <v>0</v>
      </c>
      <c r="S3885">
        <v>0</v>
      </c>
      <c r="T3885">
        <v>0</v>
      </c>
      <c r="U3885">
        <v>0</v>
      </c>
      <c r="V3885">
        <v>0</v>
      </c>
      <c r="W3885">
        <v>0</v>
      </c>
      <c r="X3885">
        <v>0</v>
      </c>
      <c r="Y3885">
        <v>0</v>
      </c>
      <c r="Z3885">
        <v>0</v>
      </c>
      <c r="AA3885">
        <v>0</v>
      </c>
      <c r="AB3885">
        <v>0</v>
      </c>
      <c r="AC3885">
        <v>0</v>
      </c>
      <c r="AD3885">
        <v>0</v>
      </c>
      <c r="AE3885">
        <v>0</v>
      </c>
      <c r="AF3885">
        <v>0</v>
      </c>
      <c r="AG3885">
        <v>0</v>
      </c>
      <c r="AH3885">
        <v>0</v>
      </c>
      <c r="AI3885">
        <v>0</v>
      </c>
      <c r="AJ3885">
        <v>0</v>
      </c>
      <c r="AK3885">
        <v>0</v>
      </c>
      <c r="AL3885">
        <v>0</v>
      </c>
      <c r="AM3885">
        <v>0</v>
      </c>
      <c r="AN3885">
        <v>0</v>
      </c>
      <c r="AO3885">
        <v>0</v>
      </c>
      <c r="AP3885">
        <v>0</v>
      </c>
      <c r="AQ3885">
        <v>16.7</v>
      </c>
      <c r="AR3885">
        <v>0</v>
      </c>
      <c r="AS3885">
        <v>0</v>
      </c>
      <c r="AT3885">
        <v>0</v>
      </c>
      <c r="AU3885">
        <v>0</v>
      </c>
      <c r="AV3885">
        <v>0</v>
      </c>
      <c r="AW3885">
        <v>0</v>
      </c>
      <c r="AX3885">
        <v>0</v>
      </c>
      <c r="AY3885">
        <v>0</v>
      </c>
      <c r="AZ3885">
        <v>0</v>
      </c>
      <c r="BA3885">
        <v>0</v>
      </c>
      <c r="BB3885">
        <v>0</v>
      </c>
      <c r="BC3885">
        <v>0</v>
      </c>
      <c r="BD3885">
        <v>0</v>
      </c>
      <c r="BE3885">
        <v>0</v>
      </c>
      <c r="BF3885">
        <v>0</v>
      </c>
      <c r="BG3885">
        <v>0</v>
      </c>
      <c r="BH3885">
        <v>1</v>
      </c>
      <c r="BI3885">
        <v>1</v>
      </c>
      <c r="BJ3885">
        <v>0.2</v>
      </c>
      <c r="BK3885">
        <v>1</v>
      </c>
      <c r="BL3885">
        <v>54.66</v>
      </c>
      <c r="BM3885">
        <v>8.1999999999999993</v>
      </c>
      <c r="BN3885">
        <v>62.86</v>
      </c>
      <c r="BO3885">
        <v>62.86</v>
      </c>
      <c r="BQ3885" t="s">
        <v>548</v>
      </c>
      <c r="BR3885" t="s">
        <v>84</v>
      </c>
      <c r="BS3885" t="s">
        <v>1540</v>
      </c>
      <c r="BV3885" t="s">
        <v>89</v>
      </c>
      <c r="BY3885">
        <v>1200</v>
      </c>
      <c r="CC3885" t="s">
        <v>144</v>
      </c>
      <c r="CD3885">
        <v>1401</v>
      </c>
      <c r="CE3885" t="s">
        <v>88</v>
      </c>
      <c r="CI3885">
        <v>1</v>
      </c>
      <c r="CJ3885" t="s">
        <v>1540</v>
      </c>
      <c r="CK3885">
        <v>22</v>
      </c>
      <c r="CL3885" t="s">
        <v>89</v>
      </c>
    </row>
    <row r="3886" spans="1:90" x14ac:dyDescent="0.3">
      <c r="A3886" t="s">
        <v>72</v>
      </c>
      <c r="B3886" t="s">
        <v>73</v>
      </c>
      <c r="C3886" t="s">
        <v>74</v>
      </c>
      <c r="E3886" t="str">
        <f>"080065641007"</f>
        <v>080065641007</v>
      </c>
      <c r="F3886" s="3">
        <v>45806</v>
      </c>
      <c r="G3886">
        <v>202602</v>
      </c>
      <c r="H3886" t="s">
        <v>75</v>
      </c>
      <c r="I3886" t="s">
        <v>76</v>
      </c>
      <c r="J3886" t="s">
        <v>77</v>
      </c>
      <c r="K3886" t="s">
        <v>78</v>
      </c>
      <c r="L3886" t="s">
        <v>103</v>
      </c>
      <c r="M3886" t="s">
        <v>104</v>
      </c>
      <c r="N3886" t="s">
        <v>105</v>
      </c>
      <c r="O3886" t="s">
        <v>82</v>
      </c>
      <c r="P3886" t="str">
        <f>"4170041389                    "</f>
        <v xml:space="preserve">4170041389                    </v>
      </c>
      <c r="Q3886">
        <v>0</v>
      </c>
      <c r="R3886">
        <v>0</v>
      </c>
      <c r="S3886">
        <v>0</v>
      </c>
      <c r="T3886">
        <v>0</v>
      </c>
      <c r="U3886">
        <v>0</v>
      </c>
      <c r="V3886">
        <v>0</v>
      </c>
      <c r="W3886">
        <v>0</v>
      </c>
      <c r="X3886">
        <v>0</v>
      </c>
      <c r="Y3886">
        <v>0</v>
      </c>
      <c r="Z3886">
        <v>0</v>
      </c>
      <c r="AA3886">
        <v>0</v>
      </c>
      <c r="AB3886">
        <v>0</v>
      </c>
      <c r="AC3886">
        <v>0</v>
      </c>
      <c r="AD3886">
        <v>0</v>
      </c>
      <c r="AE3886">
        <v>0</v>
      </c>
      <c r="AF3886">
        <v>0</v>
      </c>
      <c r="AG3886">
        <v>0</v>
      </c>
      <c r="AH3886">
        <v>0</v>
      </c>
      <c r="AI3886">
        <v>0</v>
      </c>
      <c r="AJ3886">
        <v>0</v>
      </c>
      <c r="AK3886">
        <v>0</v>
      </c>
      <c r="AL3886">
        <v>0</v>
      </c>
      <c r="AM3886">
        <v>0</v>
      </c>
      <c r="AN3886">
        <v>0</v>
      </c>
      <c r="AO3886">
        <v>0</v>
      </c>
      <c r="AP3886">
        <v>0</v>
      </c>
      <c r="AQ3886">
        <v>21.38</v>
      </c>
      <c r="AR3886">
        <v>0</v>
      </c>
      <c r="AS3886">
        <v>0</v>
      </c>
      <c r="AT3886">
        <v>0</v>
      </c>
      <c r="AU3886">
        <v>0</v>
      </c>
      <c r="AV3886">
        <v>0</v>
      </c>
      <c r="AW3886">
        <v>0</v>
      </c>
      <c r="AX3886">
        <v>0</v>
      </c>
      <c r="AY3886">
        <v>0</v>
      </c>
      <c r="AZ3886">
        <v>0</v>
      </c>
      <c r="BA3886">
        <v>0</v>
      </c>
      <c r="BB3886">
        <v>0</v>
      </c>
      <c r="BC3886">
        <v>0</v>
      </c>
      <c r="BD3886">
        <v>0</v>
      </c>
      <c r="BE3886">
        <v>0</v>
      </c>
      <c r="BF3886">
        <v>0</v>
      </c>
      <c r="BG3886">
        <v>0</v>
      </c>
      <c r="BH3886">
        <v>1</v>
      </c>
      <c r="BI3886">
        <v>1</v>
      </c>
      <c r="BJ3886">
        <v>0.2</v>
      </c>
      <c r="BK3886">
        <v>1</v>
      </c>
      <c r="BL3886">
        <v>69.98</v>
      </c>
      <c r="BM3886">
        <v>10.5</v>
      </c>
      <c r="BN3886">
        <v>80.48</v>
      </c>
      <c r="BO3886">
        <v>80.48</v>
      </c>
      <c r="BQ3886" t="s">
        <v>106</v>
      </c>
      <c r="BR3886" t="s">
        <v>84</v>
      </c>
      <c r="BS3886" t="s">
        <v>1540</v>
      </c>
      <c r="BV3886" t="s">
        <v>89</v>
      </c>
      <c r="BY3886">
        <v>1200</v>
      </c>
      <c r="CC3886" t="s">
        <v>104</v>
      </c>
      <c r="CD3886">
        <v>3201</v>
      </c>
      <c r="CE3886" t="s">
        <v>88</v>
      </c>
      <c r="CI3886">
        <v>1</v>
      </c>
      <c r="CJ3886" t="s">
        <v>1540</v>
      </c>
      <c r="CK3886">
        <v>21</v>
      </c>
      <c r="CL3886" t="s">
        <v>89</v>
      </c>
    </row>
    <row r="3887" spans="1:90" x14ac:dyDescent="0.3">
      <c r="A3887" t="s">
        <v>72</v>
      </c>
      <c r="B3887" t="s">
        <v>73</v>
      </c>
      <c r="C3887" t="s">
        <v>74</v>
      </c>
      <c r="E3887" t="str">
        <f>"080065641023"</f>
        <v>080065641023</v>
      </c>
      <c r="F3887" s="3">
        <v>45806</v>
      </c>
      <c r="G3887">
        <v>202602</v>
      </c>
      <c r="H3887" t="s">
        <v>75</v>
      </c>
      <c r="I3887" t="s">
        <v>76</v>
      </c>
      <c r="J3887" t="s">
        <v>77</v>
      </c>
      <c r="K3887" t="s">
        <v>78</v>
      </c>
      <c r="L3887" t="s">
        <v>123</v>
      </c>
      <c r="M3887" t="s">
        <v>123</v>
      </c>
      <c r="N3887" t="s">
        <v>2378</v>
      </c>
      <c r="O3887" t="s">
        <v>82</v>
      </c>
      <c r="P3887" t="str">
        <f>"4170041440                    "</f>
        <v xml:space="preserve">4170041440                    </v>
      </c>
      <c r="Q3887">
        <v>0</v>
      </c>
      <c r="R3887">
        <v>0</v>
      </c>
      <c r="S3887">
        <v>0</v>
      </c>
      <c r="T3887">
        <v>0</v>
      </c>
      <c r="U3887">
        <v>0</v>
      </c>
      <c r="V3887">
        <v>0</v>
      </c>
      <c r="W3887">
        <v>0</v>
      </c>
      <c r="X3887">
        <v>0</v>
      </c>
      <c r="Y3887">
        <v>0</v>
      </c>
      <c r="Z3887">
        <v>0</v>
      </c>
      <c r="AA3887">
        <v>0</v>
      </c>
      <c r="AB3887">
        <v>0</v>
      </c>
      <c r="AC3887">
        <v>0</v>
      </c>
      <c r="AD3887">
        <v>0</v>
      </c>
      <c r="AE3887">
        <v>0</v>
      </c>
      <c r="AF3887">
        <v>0</v>
      </c>
      <c r="AG3887">
        <v>0</v>
      </c>
      <c r="AH3887">
        <v>0</v>
      </c>
      <c r="AI3887">
        <v>0</v>
      </c>
      <c r="AJ3887">
        <v>0</v>
      </c>
      <c r="AK3887">
        <v>0</v>
      </c>
      <c r="AL3887">
        <v>0</v>
      </c>
      <c r="AM3887">
        <v>0</v>
      </c>
      <c r="AN3887">
        <v>0</v>
      </c>
      <c r="AO3887">
        <v>0</v>
      </c>
      <c r="AP3887">
        <v>0</v>
      </c>
      <c r="AQ3887">
        <v>41.43</v>
      </c>
      <c r="AR3887">
        <v>0</v>
      </c>
      <c r="AS3887">
        <v>0</v>
      </c>
      <c r="AT3887">
        <v>0</v>
      </c>
      <c r="AU3887">
        <v>0</v>
      </c>
      <c r="AV3887">
        <v>0</v>
      </c>
      <c r="AW3887">
        <v>0</v>
      </c>
      <c r="AX3887">
        <v>0</v>
      </c>
      <c r="AY3887">
        <v>0</v>
      </c>
      <c r="AZ3887">
        <v>0</v>
      </c>
      <c r="BA3887">
        <v>0</v>
      </c>
      <c r="BB3887">
        <v>0</v>
      </c>
      <c r="BC3887">
        <v>0</v>
      </c>
      <c r="BD3887">
        <v>0</v>
      </c>
      <c r="BE3887">
        <v>0</v>
      </c>
      <c r="BF3887">
        <v>0</v>
      </c>
      <c r="BG3887">
        <v>0</v>
      </c>
      <c r="BH3887">
        <v>1</v>
      </c>
      <c r="BI3887">
        <v>1</v>
      </c>
      <c r="BJ3887">
        <v>0.2</v>
      </c>
      <c r="BK3887">
        <v>1</v>
      </c>
      <c r="BL3887">
        <v>135.59</v>
      </c>
      <c r="BM3887">
        <v>20.34</v>
      </c>
      <c r="BN3887">
        <v>155.93</v>
      </c>
      <c r="BO3887">
        <v>155.93</v>
      </c>
      <c r="BQ3887" t="s">
        <v>2379</v>
      </c>
      <c r="BR3887" t="s">
        <v>84</v>
      </c>
      <c r="BS3887" t="s">
        <v>1540</v>
      </c>
      <c r="BV3887" t="s">
        <v>89</v>
      </c>
      <c r="BY3887">
        <v>1200</v>
      </c>
      <c r="CC3887" t="s">
        <v>123</v>
      </c>
      <c r="CD3887">
        <v>7654</v>
      </c>
      <c r="CE3887" t="s">
        <v>88</v>
      </c>
      <c r="CI3887">
        <v>1</v>
      </c>
      <c r="CJ3887" t="s">
        <v>1540</v>
      </c>
      <c r="CK3887">
        <v>23</v>
      </c>
      <c r="CL3887" t="s">
        <v>89</v>
      </c>
    </row>
    <row r="3888" spans="1:90" x14ac:dyDescent="0.3">
      <c r="A3888" t="s">
        <v>72</v>
      </c>
      <c r="B3888" t="s">
        <v>73</v>
      </c>
      <c r="C3888" t="s">
        <v>74</v>
      </c>
      <c r="E3888" t="str">
        <f>"080065641042"</f>
        <v>080065641042</v>
      </c>
      <c r="F3888" s="3">
        <v>45806</v>
      </c>
      <c r="G3888">
        <v>202602</v>
      </c>
      <c r="H3888" t="s">
        <v>75</v>
      </c>
      <c r="I3888" t="s">
        <v>76</v>
      </c>
      <c r="J3888" t="s">
        <v>77</v>
      </c>
      <c r="K3888" t="s">
        <v>78</v>
      </c>
      <c r="L3888" t="s">
        <v>90</v>
      </c>
      <c r="M3888" t="s">
        <v>91</v>
      </c>
      <c r="N3888" t="s">
        <v>865</v>
      </c>
      <c r="O3888" t="s">
        <v>82</v>
      </c>
      <c r="P3888" t="str">
        <f>"4170041439                    "</f>
        <v xml:space="preserve">4170041439                    </v>
      </c>
      <c r="Q3888">
        <v>0</v>
      </c>
      <c r="R3888">
        <v>0</v>
      </c>
      <c r="S3888">
        <v>0</v>
      </c>
      <c r="T3888">
        <v>0</v>
      </c>
      <c r="U3888">
        <v>0</v>
      </c>
      <c r="V3888">
        <v>0</v>
      </c>
      <c r="W3888">
        <v>0</v>
      </c>
      <c r="X3888">
        <v>0</v>
      </c>
      <c r="Y3888">
        <v>0</v>
      </c>
      <c r="Z3888">
        <v>0</v>
      </c>
      <c r="AA3888">
        <v>0</v>
      </c>
      <c r="AB3888">
        <v>0</v>
      </c>
      <c r="AC3888">
        <v>0</v>
      </c>
      <c r="AD3888">
        <v>0</v>
      </c>
      <c r="AE3888">
        <v>0</v>
      </c>
      <c r="AF3888">
        <v>0</v>
      </c>
      <c r="AG3888">
        <v>0</v>
      </c>
      <c r="AH3888">
        <v>0</v>
      </c>
      <c r="AI3888">
        <v>0</v>
      </c>
      <c r="AJ3888">
        <v>0</v>
      </c>
      <c r="AK3888">
        <v>0</v>
      </c>
      <c r="AL3888">
        <v>0</v>
      </c>
      <c r="AM3888">
        <v>0</v>
      </c>
      <c r="AN3888">
        <v>0</v>
      </c>
      <c r="AO3888">
        <v>0</v>
      </c>
      <c r="AP3888">
        <v>0</v>
      </c>
      <c r="AQ3888">
        <v>21.38</v>
      </c>
      <c r="AR3888">
        <v>0</v>
      </c>
      <c r="AS3888">
        <v>0</v>
      </c>
      <c r="AT3888">
        <v>0</v>
      </c>
      <c r="AU3888">
        <v>0</v>
      </c>
      <c r="AV3888">
        <v>0</v>
      </c>
      <c r="AW3888">
        <v>0</v>
      </c>
      <c r="AX3888">
        <v>0</v>
      </c>
      <c r="AY3888">
        <v>0</v>
      </c>
      <c r="AZ3888">
        <v>0</v>
      </c>
      <c r="BA3888">
        <v>0</v>
      </c>
      <c r="BB3888">
        <v>0</v>
      </c>
      <c r="BC3888">
        <v>0</v>
      </c>
      <c r="BD3888">
        <v>0</v>
      </c>
      <c r="BE3888">
        <v>0</v>
      </c>
      <c r="BF3888">
        <v>0</v>
      </c>
      <c r="BG3888">
        <v>0</v>
      </c>
      <c r="BH3888">
        <v>1</v>
      </c>
      <c r="BI3888">
        <v>1</v>
      </c>
      <c r="BJ3888">
        <v>0.2</v>
      </c>
      <c r="BK3888">
        <v>1</v>
      </c>
      <c r="BL3888">
        <v>69.98</v>
      </c>
      <c r="BM3888">
        <v>10.5</v>
      </c>
      <c r="BN3888">
        <v>80.48</v>
      </c>
      <c r="BO3888">
        <v>80.48</v>
      </c>
      <c r="BQ3888" t="s">
        <v>866</v>
      </c>
      <c r="BR3888" t="s">
        <v>84</v>
      </c>
      <c r="BS3888" t="s">
        <v>1540</v>
      </c>
      <c r="BV3888" t="s">
        <v>89</v>
      </c>
      <c r="BY3888">
        <v>1200</v>
      </c>
      <c r="CC3888" t="s">
        <v>91</v>
      </c>
      <c r="CD3888">
        <v>6001</v>
      </c>
      <c r="CE3888" t="s">
        <v>88</v>
      </c>
      <c r="CI3888">
        <v>1</v>
      </c>
      <c r="CJ3888" t="s">
        <v>1540</v>
      </c>
      <c r="CK3888">
        <v>21</v>
      </c>
      <c r="CL3888" t="s">
        <v>89</v>
      </c>
    </row>
    <row r="3889" spans="1:90" x14ac:dyDescent="0.3">
      <c r="A3889" t="s">
        <v>72</v>
      </c>
      <c r="B3889" t="s">
        <v>73</v>
      </c>
      <c r="C3889" t="s">
        <v>74</v>
      </c>
      <c r="E3889" t="str">
        <f>"080065641053"</f>
        <v>080065641053</v>
      </c>
      <c r="F3889" s="3">
        <v>45806</v>
      </c>
      <c r="G3889">
        <v>202602</v>
      </c>
      <c r="H3889" t="s">
        <v>75</v>
      </c>
      <c r="I3889" t="s">
        <v>76</v>
      </c>
      <c r="J3889" t="s">
        <v>77</v>
      </c>
      <c r="K3889" t="s">
        <v>78</v>
      </c>
      <c r="L3889" t="s">
        <v>97</v>
      </c>
      <c r="M3889" t="s">
        <v>98</v>
      </c>
      <c r="N3889" t="s">
        <v>1061</v>
      </c>
      <c r="O3889" t="s">
        <v>82</v>
      </c>
      <c r="P3889" t="str">
        <f>"4170041310                    "</f>
        <v xml:space="preserve">4170041310                    </v>
      </c>
      <c r="Q3889">
        <v>0</v>
      </c>
      <c r="R3889">
        <v>0</v>
      </c>
      <c r="S3889">
        <v>0</v>
      </c>
      <c r="T3889">
        <v>0</v>
      </c>
      <c r="U3889">
        <v>0</v>
      </c>
      <c r="V3889">
        <v>0</v>
      </c>
      <c r="W3889">
        <v>0</v>
      </c>
      <c r="X3889">
        <v>0</v>
      </c>
      <c r="Y3889">
        <v>0</v>
      </c>
      <c r="Z3889">
        <v>0</v>
      </c>
      <c r="AA3889">
        <v>0</v>
      </c>
      <c r="AB3889">
        <v>0</v>
      </c>
      <c r="AC3889">
        <v>0</v>
      </c>
      <c r="AD3889">
        <v>0</v>
      </c>
      <c r="AE3889">
        <v>0</v>
      </c>
      <c r="AF3889">
        <v>0</v>
      </c>
      <c r="AG3889">
        <v>0</v>
      </c>
      <c r="AH3889">
        <v>0</v>
      </c>
      <c r="AI3889">
        <v>0</v>
      </c>
      <c r="AJ3889">
        <v>0</v>
      </c>
      <c r="AK3889">
        <v>0</v>
      </c>
      <c r="AL3889">
        <v>0</v>
      </c>
      <c r="AM3889">
        <v>0</v>
      </c>
      <c r="AN3889">
        <v>0</v>
      </c>
      <c r="AO3889">
        <v>0</v>
      </c>
      <c r="AP3889">
        <v>0</v>
      </c>
      <c r="AQ3889">
        <v>16.7</v>
      </c>
      <c r="AR3889">
        <v>0</v>
      </c>
      <c r="AS3889">
        <v>0</v>
      </c>
      <c r="AT3889">
        <v>0</v>
      </c>
      <c r="AU3889">
        <v>0</v>
      </c>
      <c r="AV3889">
        <v>0</v>
      </c>
      <c r="AW3889">
        <v>0</v>
      </c>
      <c r="AX3889">
        <v>0</v>
      </c>
      <c r="AY3889">
        <v>0</v>
      </c>
      <c r="AZ3889">
        <v>0</v>
      </c>
      <c r="BA3889">
        <v>0</v>
      </c>
      <c r="BB3889">
        <v>0</v>
      </c>
      <c r="BC3889">
        <v>0</v>
      </c>
      <c r="BD3889">
        <v>0</v>
      </c>
      <c r="BE3889">
        <v>0</v>
      </c>
      <c r="BF3889">
        <v>0</v>
      </c>
      <c r="BG3889">
        <v>0</v>
      </c>
      <c r="BH3889">
        <v>1</v>
      </c>
      <c r="BI3889">
        <v>1</v>
      </c>
      <c r="BJ3889">
        <v>0.2</v>
      </c>
      <c r="BK3889">
        <v>1</v>
      </c>
      <c r="BL3889">
        <v>54.66</v>
      </c>
      <c r="BM3889">
        <v>8.1999999999999993</v>
      </c>
      <c r="BN3889">
        <v>62.86</v>
      </c>
      <c r="BO3889">
        <v>62.86</v>
      </c>
      <c r="BQ3889" t="s">
        <v>1062</v>
      </c>
      <c r="BR3889" t="s">
        <v>84</v>
      </c>
      <c r="BS3889" t="s">
        <v>1540</v>
      </c>
      <c r="BV3889" t="s">
        <v>89</v>
      </c>
      <c r="BY3889">
        <v>1200</v>
      </c>
      <c r="CC3889" t="s">
        <v>98</v>
      </c>
      <c r="CD3889">
        <v>1459</v>
      </c>
      <c r="CE3889" t="s">
        <v>88</v>
      </c>
      <c r="CI3889">
        <v>1</v>
      </c>
      <c r="CJ3889" t="s">
        <v>1540</v>
      </c>
      <c r="CK3889">
        <v>22</v>
      </c>
      <c r="CL3889" t="s">
        <v>89</v>
      </c>
    </row>
    <row r="3890" spans="1:90" x14ac:dyDescent="0.3">
      <c r="A3890" t="s">
        <v>72</v>
      </c>
      <c r="B3890" t="s">
        <v>73</v>
      </c>
      <c r="C3890" t="s">
        <v>74</v>
      </c>
      <c r="E3890" t="str">
        <f>"080065641080"</f>
        <v>080065641080</v>
      </c>
      <c r="F3890" s="3">
        <v>45806</v>
      </c>
      <c r="G3890">
        <v>202602</v>
      </c>
      <c r="H3890" t="s">
        <v>75</v>
      </c>
      <c r="I3890" t="s">
        <v>76</v>
      </c>
      <c r="J3890" t="s">
        <v>77</v>
      </c>
      <c r="K3890" t="s">
        <v>78</v>
      </c>
      <c r="L3890" t="s">
        <v>463</v>
      </c>
      <c r="M3890" t="s">
        <v>464</v>
      </c>
      <c r="N3890" t="s">
        <v>1325</v>
      </c>
      <c r="O3890" t="s">
        <v>82</v>
      </c>
      <c r="P3890" t="str">
        <f>"4170041402                    "</f>
        <v xml:space="preserve">4170041402                    </v>
      </c>
      <c r="Q3890">
        <v>0</v>
      </c>
      <c r="R3890">
        <v>0</v>
      </c>
      <c r="S3890">
        <v>0</v>
      </c>
      <c r="T3890">
        <v>0</v>
      </c>
      <c r="U3890">
        <v>0</v>
      </c>
      <c r="V3890">
        <v>0</v>
      </c>
      <c r="W3890">
        <v>0</v>
      </c>
      <c r="X3890">
        <v>0</v>
      </c>
      <c r="Y3890">
        <v>0</v>
      </c>
      <c r="Z3890">
        <v>0</v>
      </c>
      <c r="AA3890">
        <v>0</v>
      </c>
      <c r="AB3890">
        <v>0</v>
      </c>
      <c r="AC3890">
        <v>0</v>
      </c>
      <c r="AD3890">
        <v>0</v>
      </c>
      <c r="AE3890">
        <v>0</v>
      </c>
      <c r="AF3890">
        <v>0</v>
      </c>
      <c r="AG3890">
        <v>0</v>
      </c>
      <c r="AH3890">
        <v>0</v>
      </c>
      <c r="AI3890">
        <v>0</v>
      </c>
      <c r="AJ3890">
        <v>0</v>
      </c>
      <c r="AK3890">
        <v>0</v>
      </c>
      <c r="AL3890">
        <v>0</v>
      </c>
      <c r="AM3890">
        <v>0</v>
      </c>
      <c r="AN3890">
        <v>0</v>
      </c>
      <c r="AO3890">
        <v>0</v>
      </c>
      <c r="AP3890">
        <v>0</v>
      </c>
      <c r="AQ3890">
        <v>21.38</v>
      </c>
      <c r="AR3890">
        <v>0</v>
      </c>
      <c r="AS3890">
        <v>0</v>
      </c>
      <c r="AT3890">
        <v>0</v>
      </c>
      <c r="AU3890">
        <v>0</v>
      </c>
      <c r="AV3890">
        <v>0</v>
      </c>
      <c r="AW3890">
        <v>0</v>
      </c>
      <c r="AX3890">
        <v>0</v>
      </c>
      <c r="AY3890">
        <v>0</v>
      </c>
      <c r="AZ3890">
        <v>0</v>
      </c>
      <c r="BA3890">
        <v>0</v>
      </c>
      <c r="BB3890">
        <v>0</v>
      </c>
      <c r="BC3890">
        <v>0</v>
      </c>
      <c r="BD3890">
        <v>0</v>
      </c>
      <c r="BE3890">
        <v>0</v>
      </c>
      <c r="BF3890">
        <v>0</v>
      </c>
      <c r="BG3890">
        <v>0</v>
      </c>
      <c r="BH3890">
        <v>1</v>
      </c>
      <c r="BI3890">
        <v>1</v>
      </c>
      <c r="BJ3890">
        <v>0.2</v>
      </c>
      <c r="BK3890">
        <v>1</v>
      </c>
      <c r="BL3890">
        <v>69.98</v>
      </c>
      <c r="BM3890">
        <v>10.5</v>
      </c>
      <c r="BN3890">
        <v>80.48</v>
      </c>
      <c r="BO3890">
        <v>80.48</v>
      </c>
      <c r="BQ3890" t="s">
        <v>1326</v>
      </c>
      <c r="BR3890" t="s">
        <v>84</v>
      </c>
      <c r="BS3890" t="s">
        <v>1540</v>
      </c>
      <c r="BV3890" t="s">
        <v>89</v>
      </c>
      <c r="BY3890">
        <v>1200</v>
      </c>
      <c r="CC3890" t="s">
        <v>464</v>
      </c>
      <c r="CD3890">
        <v>5201</v>
      </c>
      <c r="CE3890" t="s">
        <v>88</v>
      </c>
      <c r="CI3890">
        <v>5</v>
      </c>
      <c r="CJ3890" t="s">
        <v>1540</v>
      </c>
      <c r="CK3890">
        <v>21</v>
      </c>
      <c r="CL3890" t="s">
        <v>89</v>
      </c>
    </row>
    <row r="3891" spans="1:90" x14ac:dyDescent="0.3">
      <c r="A3891" t="s">
        <v>72</v>
      </c>
      <c r="B3891" t="s">
        <v>73</v>
      </c>
      <c r="C3891" t="s">
        <v>74</v>
      </c>
      <c r="E3891" t="str">
        <f>"080065641114"</f>
        <v>080065641114</v>
      </c>
      <c r="F3891" s="3">
        <v>45806</v>
      </c>
      <c r="G3891">
        <v>202602</v>
      </c>
      <c r="H3891" t="s">
        <v>75</v>
      </c>
      <c r="I3891" t="s">
        <v>76</v>
      </c>
      <c r="J3891" t="s">
        <v>77</v>
      </c>
      <c r="K3891" t="s">
        <v>78</v>
      </c>
      <c r="L3891" t="s">
        <v>1864</v>
      </c>
      <c r="M3891" t="s">
        <v>1865</v>
      </c>
      <c r="N3891" t="s">
        <v>1866</v>
      </c>
      <c r="O3891" t="s">
        <v>82</v>
      </c>
      <c r="P3891" t="str">
        <f>"4170041338                    "</f>
        <v xml:space="preserve">4170041338                    </v>
      </c>
      <c r="Q3891">
        <v>0</v>
      </c>
      <c r="R3891">
        <v>0</v>
      </c>
      <c r="S3891">
        <v>0</v>
      </c>
      <c r="T3891">
        <v>0</v>
      </c>
      <c r="U3891">
        <v>0</v>
      </c>
      <c r="V3891">
        <v>0</v>
      </c>
      <c r="W3891">
        <v>0</v>
      </c>
      <c r="X3891">
        <v>0</v>
      </c>
      <c r="Y3891">
        <v>0</v>
      </c>
      <c r="Z3891">
        <v>0</v>
      </c>
      <c r="AA3891">
        <v>0</v>
      </c>
      <c r="AB3891">
        <v>0</v>
      </c>
      <c r="AC3891">
        <v>0</v>
      </c>
      <c r="AD3891">
        <v>0</v>
      </c>
      <c r="AE3891">
        <v>0</v>
      </c>
      <c r="AF3891">
        <v>0</v>
      </c>
      <c r="AG3891">
        <v>0</v>
      </c>
      <c r="AH3891">
        <v>0</v>
      </c>
      <c r="AI3891">
        <v>0</v>
      </c>
      <c r="AJ3891">
        <v>0</v>
      </c>
      <c r="AK3891">
        <v>0</v>
      </c>
      <c r="AL3891">
        <v>0</v>
      </c>
      <c r="AM3891">
        <v>0</v>
      </c>
      <c r="AN3891">
        <v>0</v>
      </c>
      <c r="AO3891">
        <v>0</v>
      </c>
      <c r="AP3891">
        <v>0</v>
      </c>
      <c r="AQ3891">
        <v>41.43</v>
      </c>
      <c r="AR3891">
        <v>0</v>
      </c>
      <c r="AS3891">
        <v>0</v>
      </c>
      <c r="AT3891">
        <v>0</v>
      </c>
      <c r="AU3891">
        <v>0</v>
      </c>
      <c r="AV3891">
        <v>0</v>
      </c>
      <c r="AW3891">
        <v>0</v>
      </c>
      <c r="AX3891">
        <v>0</v>
      </c>
      <c r="AY3891">
        <v>0</v>
      </c>
      <c r="AZ3891">
        <v>0</v>
      </c>
      <c r="BA3891">
        <v>0</v>
      </c>
      <c r="BB3891">
        <v>0</v>
      </c>
      <c r="BC3891">
        <v>0</v>
      </c>
      <c r="BD3891">
        <v>0</v>
      </c>
      <c r="BE3891">
        <v>0</v>
      </c>
      <c r="BF3891">
        <v>0</v>
      </c>
      <c r="BG3891">
        <v>0</v>
      </c>
      <c r="BH3891">
        <v>1</v>
      </c>
      <c r="BI3891">
        <v>1</v>
      </c>
      <c r="BJ3891">
        <v>0.2</v>
      </c>
      <c r="BK3891">
        <v>1</v>
      </c>
      <c r="BL3891">
        <v>135.59</v>
      </c>
      <c r="BM3891">
        <v>20.34</v>
      </c>
      <c r="BN3891">
        <v>155.93</v>
      </c>
      <c r="BO3891">
        <v>155.93</v>
      </c>
      <c r="BQ3891" t="s">
        <v>1867</v>
      </c>
      <c r="BR3891" t="s">
        <v>84</v>
      </c>
      <c r="BS3891" t="s">
        <v>1540</v>
      </c>
      <c r="BV3891" t="s">
        <v>89</v>
      </c>
      <c r="BY3891">
        <v>1200</v>
      </c>
      <c r="CC3891" t="s">
        <v>1865</v>
      </c>
      <c r="CD3891">
        <v>8801</v>
      </c>
      <c r="CE3891" t="s">
        <v>88</v>
      </c>
      <c r="CI3891">
        <v>2</v>
      </c>
      <c r="CJ3891" t="s">
        <v>1540</v>
      </c>
      <c r="CK3891">
        <v>23</v>
      </c>
      <c r="CL3891" t="s">
        <v>89</v>
      </c>
    </row>
    <row r="3892" spans="1:90" x14ac:dyDescent="0.3">
      <c r="A3892" t="s">
        <v>72</v>
      </c>
      <c r="B3892" t="s">
        <v>73</v>
      </c>
      <c r="C3892" t="s">
        <v>74</v>
      </c>
      <c r="E3892" t="str">
        <f>"080065641117"</f>
        <v>080065641117</v>
      </c>
      <c r="F3892" s="3">
        <v>45806</v>
      </c>
      <c r="G3892">
        <v>202602</v>
      </c>
      <c r="H3892" t="s">
        <v>75</v>
      </c>
      <c r="I3892" t="s">
        <v>76</v>
      </c>
      <c r="J3892" t="s">
        <v>77</v>
      </c>
      <c r="K3892" t="s">
        <v>78</v>
      </c>
      <c r="L3892" t="s">
        <v>90</v>
      </c>
      <c r="M3892" t="s">
        <v>91</v>
      </c>
      <c r="N3892" t="s">
        <v>92</v>
      </c>
      <c r="O3892" t="s">
        <v>82</v>
      </c>
      <c r="P3892" t="str">
        <f>"4170041350                    "</f>
        <v xml:space="preserve">4170041350                    </v>
      </c>
      <c r="Q3892">
        <v>0</v>
      </c>
      <c r="R3892">
        <v>0</v>
      </c>
      <c r="S3892">
        <v>0</v>
      </c>
      <c r="T3892">
        <v>0</v>
      </c>
      <c r="U3892">
        <v>0</v>
      </c>
      <c r="V3892">
        <v>0</v>
      </c>
      <c r="W3892">
        <v>0</v>
      </c>
      <c r="X3892">
        <v>0</v>
      </c>
      <c r="Y3892">
        <v>0</v>
      </c>
      <c r="Z3892">
        <v>0</v>
      </c>
      <c r="AA3892">
        <v>0</v>
      </c>
      <c r="AB3892">
        <v>0</v>
      </c>
      <c r="AC3892">
        <v>0</v>
      </c>
      <c r="AD3892">
        <v>0</v>
      </c>
      <c r="AE3892">
        <v>0</v>
      </c>
      <c r="AF3892">
        <v>0</v>
      </c>
      <c r="AG3892">
        <v>0</v>
      </c>
      <c r="AH3892">
        <v>0</v>
      </c>
      <c r="AI3892">
        <v>0</v>
      </c>
      <c r="AJ3892">
        <v>0</v>
      </c>
      <c r="AK3892">
        <v>0</v>
      </c>
      <c r="AL3892">
        <v>0</v>
      </c>
      <c r="AM3892">
        <v>0</v>
      </c>
      <c r="AN3892">
        <v>0</v>
      </c>
      <c r="AO3892">
        <v>0</v>
      </c>
      <c r="AP3892">
        <v>0</v>
      </c>
      <c r="AQ3892">
        <v>21.38</v>
      </c>
      <c r="AR3892">
        <v>0</v>
      </c>
      <c r="AS3892">
        <v>0</v>
      </c>
      <c r="AT3892">
        <v>0</v>
      </c>
      <c r="AU3892">
        <v>0</v>
      </c>
      <c r="AV3892">
        <v>0</v>
      </c>
      <c r="AW3892">
        <v>0</v>
      </c>
      <c r="AX3892">
        <v>0</v>
      </c>
      <c r="AY3892">
        <v>0</v>
      </c>
      <c r="AZ3892">
        <v>0</v>
      </c>
      <c r="BA3892">
        <v>0</v>
      </c>
      <c r="BB3892">
        <v>0</v>
      </c>
      <c r="BC3892">
        <v>0</v>
      </c>
      <c r="BD3892">
        <v>0</v>
      </c>
      <c r="BE3892">
        <v>0</v>
      </c>
      <c r="BF3892">
        <v>0</v>
      </c>
      <c r="BG3892">
        <v>0</v>
      </c>
      <c r="BH3892">
        <v>1</v>
      </c>
      <c r="BI3892">
        <v>1</v>
      </c>
      <c r="BJ3892">
        <v>0.2</v>
      </c>
      <c r="BK3892">
        <v>1</v>
      </c>
      <c r="BL3892">
        <v>69.98</v>
      </c>
      <c r="BM3892">
        <v>10.5</v>
      </c>
      <c r="BN3892">
        <v>80.48</v>
      </c>
      <c r="BO3892">
        <v>80.48</v>
      </c>
      <c r="BQ3892" t="s">
        <v>93</v>
      </c>
      <c r="BR3892" t="s">
        <v>84</v>
      </c>
      <c r="BS3892" t="s">
        <v>1540</v>
      </c>
      <c r="BV3892" t="s">
        <v>89</v>
      </c>
      <c r="BY3892">
        <v>1200</v>
      </c>
      <c r="CC3892" t="s">
        <v>91</v>
      </c>
      <c r="CD3892">
        <v>6001</v>
      </c>
      <c r="CE3892" t="s">
        <v>88</v>
      </c>
      <c r="CI3892">
        <v>1</v>
      </c>
      <c r="CJ3892" t="s">
        <v>1540</v>
      </c>
      <c r="CK3892">
        <v>21</v>
      </c>
      <c r="CL3892" t="s">
        <v>89</v>
      </c>
    </row>
    <row r="3893" spans="1:90" x14ac:dyDescent="0.3">
      <c r="A3893" t="s">
        <v>72</v>
      </c>
      <c r="B3893" t="s">
        <v>73</v>
      </c>
      <c r="C3893" t="s">
        <v>74</v>
      </c>
      <c r="E3893" t="str">
        <f>"080065641134"</f>
        <v>080065641134</v>
      </c>
      <c r="F3893" s="3">
        <v>45806</v>
      </c>
      <c r="G3893">
        <v>202602</v>
      </c>
      <c r="H3893" t="s">
        <v>75</v>
      </c>
      <c r="I3893" t="s">
        <v>76</v>
      </c>
      <c r="J3893" t="s">
        <v>77</v>
      </c>
      <c r="K3893" t="s">
        <v>78</v>
      </c>
      <c r="L3893" t="s">
        <v>463</v>
      </c>
      <c r="M3893" t="s">
        <v>464</v>
      </c>
      <c r="N3893" t="s">
        <v>744</v>
      </c>
      <c r="O3893" t="s">
        <v>82</v>
      </c>
      <c r="P3893" t="str">
        <f>"4170041408                    "</f>
        <v xml:space="preserve">4170041408                    </v>
      </c>
      <c r="Q3893">
        <v>0</v>
      </c>
      <c r="R3893">
        <v>0</v>
      </c>
      <c r="S3893">
        <v>0</v>
      </c>
      <c r="T3893">
        <v>0</v>
      </c>
      <c r="U3893">
        <v>0</v>
      </c>
      <c r="V3893">
        <v>0</v>
      </c>
      <c r="W3893">
        <v>0</v>
      </c>
      <c r="X3893">
        <v>0</v>
      </c>
      <c r="Y3893">
        <v>0</v>
      </c>
      <c r="Z3893">
        <v>0</v>
      </c>
      <c r="AA3893">
        <v>0</v>
      </c>
      <c r="AB3893">
        <v>0</v>
      </c>
      <c r="AC3893">
        <v>0</v>
      </c>
      <c r="AD3893">
        <v>0</v>
      </c>
      <c r="AE3893">
        <v>0</v>
      </c>
      <c r="AF3893">
        <v>0</v>
      </c>
      <c r="AG3893">
        <v>0</v>
      </c>
      <c r="AH3893">
        <v>0</v>
      </c>
      <c r="AI3893">
        <v>0</v>
      </c>
      <c r="AJ3893">
        <v>0</v>
      </c>
      <c r="AK3893">
        <v>0</v>
      </c>
      <c r="AL3893">
        <v>0</v>
      </c>
      <c r="AM3893">
        <v>0</v>
      </c>
      <c r="AN3893">
        <v>0</v>
      </c>
      <c r="AO3893">
        <v>0</v>
      </c>
      <c r="AP3893">
        <v>0</v>
      </c>
      <c r="AQ3893">
        <v>21.38</v>
      </c>
      <c r="AR3893">
        <v>0</v>
      </c>
      <c r="AS3893">
        <v>0</v>
      </c>
      <c r="AT3893">
        <v>0</v>
      </c>
      <c r="AU3893">
        <v>0</v>
      </c>
      <c r="AV3893">
        <v>0</v>
      </c>
      <c r="AW3893">
        <v>0</v>
      </c>
      <c r="AX3893">
        <v>0</v>
      </c>
      <c r="AY3893">
        <v>0</v>
      </c>
      <c r="AZ3893">
        <v>0</v>
      </c>
      <c r="BA3893">
        <v>0</v>
      </c>
      <c r="BB3893">
        <v>0</v>
      </c>
      <c r="BC3893">
        <v>0</v>
      </c>
      <c r="BD3893">
        <v>0</v>
      </c>
      <c r="BE3893">
        <v>0</v>
      </c>
      <c r="BF3893">
        <v>0</v>
      </c>
      <c r="BG3893">
        <v>0</v>
      </c>
      <c r="BH3893">
        <v>1</v>
      </c>
      <c r="BI3893">
        <v>1</v>
      </c>
      <c r="BJ3893">
        <v>0.2</v>
      </c>
      <c r="BK3893">
        <v>1</v>
      </c>
      <c r="BL3893">
        <v>69.98</v>
      </c>
      <c r="BM3893">
        <v>10.5</v>
      </c>
      <c r="BN3893">
        <v>80.48</v>
      </c>
      <c r="BO3893">
        <v>80.48</v>
      </c>
      <c r="BQ3893" t="s">
        <v>745</v>
      </c>
      <c r="BR3893" t="s">
        <v>84</v>
      </c>
      <c r="BS3893" t="s">
        <v>1540</v>
      </c>
      <c r="BV3893" t="s">
        <v>89</v>
      </c>
      <c r="BY3893">
        <v>1200</v>
      </c>
      <c r="CC3893" t="s">
        <v>464</v>
      </c>
      <c r="CD3893">
        <v>5201</v>
      </c>
      <c r="CE3893" t="s">
        <v>88</v>
      </c>
      <c r="CI3893">
        <v>1</v>
      </c>
      <c r="CJ3893" t="s">
        <v>1540</v>
      </c>
      <c r="CK3893">
        <v>21</v>
      </c>
      <c r="CL3893" t="s">
        <v>89</v>
      </c>
    </row>
    <row r="3894" spans="1:90" x14ac:dyDescent="0.3">
      <c r="A3894" t="s">
        <v>72</v>
      </c>
      <c r="B3894" t="s">
        <v>73</v>
      </c>
      <c r="C3894" t="s">
        <v>74</v>
      </c>
      <c r="E3894" t="str">
        <f>"080065641142"</f>
        <v>080065641142</v>
      </c>
      <c r="F3894" s="3">
        <v>45806</v>
      </c>
      <c r="G3894">
        <v>202602</v>
      </c>
      <c r="H3894" t="s">
        <v>75</v>
      </c>
      <c r="I3894" t="s">
        <v>76</v>
      </c>
      <c r="J3894" t="s">
        <v>77</v>
      </c>
      <c r="K3894" t="s">
        <v>78</v>
      </c>
      <c r="L3894" t="s">
        <v>130</v>
      </c>
      <c r="M3894" t="s">
        <v>131</v>
      </c>
      <c r="N3894" t="s">
        <v>3174</v>
      </c>
      <c r="O3894" t="s">
        <v>82</v>
      </c>
      <c r="P3894" t="str">
        <f>"4170041284                    "</f>
        <v xml:space="preserve">4170041284                    </v>
      </c>
      <c r="Q3894">
        <v>0</v>
      </c>
      <c r="R3894">
        <v>0</v>
      </c>
      <c r="S3894">
        <v>0</v>
      </c>
      <c r="T3894">
        <v>0</v>
      </c>
      <c r="U3894">
        <v>0</v>
      </c>
      <c r="V3894">
        <v>0</v>
      </c>
      <c r="W3894">
        <v>0</v>
      </c>
      <c r="X3894">
        <v>0</v>
      </c>
      <c r="Y3894">
        <v>0</v>
      </c>
      <c r="Z3894">
        <v>0</v>
      </c>
      <c r="AA3894">
        <v>0</v>
      </c>
      <c r="AB3894">
        <v>0</v>
      </c>
      <c r="AC3894">
        <v>0</v>
      </c>
      <c r="AD3894">
        <v>0</v>
      </c>
      <c r="AE3894">
        <v>0</v>
      </c>
      <c r="AF3894">
        <v>0</v>
      </c>
      <c r="AG3894">
        <v>0</v>
      </c>
      <c r="AH3894">
        <v>0</v>
      </c>
      <c r="AI3894">
        <v>0</v>
      </c>
      <c r="AJ3894">
        <v>0</v>
      </c>
      <c r="AK3894">
        <v>0</v>
      </c>
      <c r="AL3894">
        <v>0</v>
      </c>
      <c r="AM3894">
        <v>0</v>
      </c>
      <c r="AN3894">
        <v>0</v>
      </c>
      <c r="AO3894">
        <v>0</v>
      </c>
      <c r="AP3894">
        <v>0</v>
      </c>
      <c r="AQ3894">
        <v>21.38</v>
      </c>
      <c r="AR3894">
        <v>0</v>
      </c>
      <c r="AS3894">
        <v>0</v>
      </c>
      <c r="AT3894">
        <v>0</v>
      </c>
      <c r="AU3894">
        <v>0</v>
      </c>
      <c r="AV3894">
        <v>0</v>
      </c>
      <c r="AW3894">
        <v>0</v>
      </c>
      <c r="AX3894">
        <v>0</v>
      </c>
      <c r="AY3894">
        <v>0</v>
      </c>
      <c r="AZ3894">
        <v>0</v>
      </c>
      <c r="BA3894">
        <v>0</v>
      </c>
      <c r="BB3894">
        <v>0</v>
      </c>
      <c r="BC3894">
        <v>0</v>
      </c>
      <c r="BD3894">
        <v>0</v>
      </c>
      <c r="BE3894">
        <v>0</v>
      </c>
      <c r="BF3894">
        <v>0</v>
      </c>
      <c r="BG3894">
        <v>0</v>
      </c>
      <c r="BH3894">
        <v>1</v>
      </c>
      <c r="BI3894">
        <v>1</v>
      </c>
      <c r="BJ3894">
        <v>0.2</v>
      </c>
      <c r="BK3894">
        <v>1</v>
      </c>
      <c r="BL3894">
        <v>69.98</v>
      </c>
      <c r="BM3894">
        <v>10.5</v>
      </c>
      <c r="BN3894">
        <v>80.48</v>
      </c>
      <c r="BO3894">
        <v>80.48</v>
      </c>
      <c r="BQ3894" t="s">
        <v>3175</v>
      </c>
      <c r="BR3894" t="s">
        <v>84</v>
      </c>
      <c r="BS3894" t="s">
        <v>1540</v>
      </c>
      <c r="BV3894" t="s">
        <v>89</v>
      </c>
      <c r="BY3894">
        <v>1200</v>
      </c>
      <c r="CC3894" t="s">
        <v>131</v>
      </c>
      <c r="CD3894">
        <v>7441</v>
      </c>
      <c r="CE3894" t="s">
        <v>88</v>
      </c>
      <c r="CI3894">
        <v>1</v>
      </c>
      <c r="CJ3894" t="s">
        <v>1540</v>
      </c>
      <c r="CK3894">
        <v>21</v>
      </c>
      <c r="CL3894" t="s">
        <v>89</v>
      </c>
    </row>
    <row r="3895" spans="1:90" x14ac:dyDescent="0.3">
      <c r="A3895" t="s">
        <v>72</v>
      </c>
      <c r="B3895" t="s">
        <v>73</v>
      </c>
      <c r="C3895" t="s">
        <v>74</v>
      </c>
      <c r="E3895" t="str">
        <f>"080065641145"</f>
        <v>080065641145</v>
      </c>
      <c r="F3895" s="3">
        <v>45806</v>
      </c>
      <c r="G3895">
        <v>202602</v>
      </c>
      <c r="H3895" t="s">
        <v>75</v>
      </c>
      <c r="I3895" t="s">
        <v>76</v>
      </c>
      <c r="J3895" t="s">
        <v>77</v>
      </c>
      <c r="K3895" t="s">
        <v>78</v>
      </c>
      <c r="L3895" t="s">
        <v>90</v>
      </c>
      <c r="M3895" t="s">
        <v>91</v>
      </c>
      <c r="N3895" t="s">
        <v>371</v>
      </c>
      <c r="O3895" t="s">
        <v>82</v>
      </c>
      <c r="P3895" t="str">
        <f>"4170041351                    "</f>
        <v xml:space="preserve">4170041351                    </v>
      </c>
      <c r="Q3895">
        <v>0</v>
      </c>
      <c r="R3895">
        <v>0</v>
      </c>
      <c r="S3895">
        <v>0</v>
      </c>
      <c r="T3895">
        <v>0</v>
      </c>
      <c r="U3895">
        <v>0</v>
      </c>
      <c r="V3895">
        <v>0</v>
      </c>
      <c r="W3895">
        <v>0</v>
      </c>
      <c r="X3895">
        <v>0</v>
      </c>
      <c r="Y3895">
        <v>0</v>
      </c>
      <c r="Z3895">
        <v>0</v>
      </c>
      <c r="AA3895">
        <v>0</v>
      </c>
      <c r="AB3895">
        <v>0</v>
      </c>
      <c r="AC3895">
        <v>0</v>
      </c>
      <c r="AD3895">
        <v>0</v>
      </c>
      <c r="AE3895">
        <v>0</v>
      </c>
      <c r="AF3895">
        <v>0</v>
      </c>
      <c r="AG3895">
        <v>0</v>
      </c>
      <c r="AH3895">
        <v>0</v>
      </c>
      <c r="AI3895">
        <v>0</v>
      </c>
      <c r="AJ3895">
        <v>0</v>
      </c>
      <c r="AK3895">
        <v>0</v>
      </c>
      <c r="AL3895">
        <v>0</v>
      </c>
      <c r="AM3895">
        <v>0</v>
      </c>
      <c r="AN3895">
        <v>0</v>
      </c>
      <c r="AO3895">
        <v>0</v>
      </c>
      <c r="AP3895">
        <v>0</v>
      </c>
      <c r="AQ3895">
        <v>21.38</v>
      </c>
      <c r="AR3895">
        <v>0</v>
      </c>
      <c r="AS3895">
        <v>0</v>
      </c>
      <c r="AT3895">
        <v>0</v>
      </c>
      <c r="AU3895">
        <v>0</v>
      </c>
      <c r="AV3895">
        <v>0</v>
      </c>
      <c r="AW3895">
        <v>0</v>
      </c>
      <c r="AX3895">
        <v>0</v>
      </c>
      <c r="AY3895">
        <v>0</v>
      </c>
      <c r="AZ3895">
        <v>0</v>
      </c>
      <c r="BA3895">
        <v>0</v>
      </c>
      <c r="BB3895">
        <v>0</v>
      </c>
      <c r="BC3895">
        <v>0</v>
      </c>
      <c r="BD3895">
        <v>0</v>
      </c>
      <c r="BE3895">
        <v>0</v>
      </c>
      <c r="BF3895">
        <v>0</v>
      </c>
      <c r="BG3895">
        <v>0</v>
      </c>
      <c r="BH3895">
        <v>1</v>
      </c>
      <c r="BI3895">
        <v>1</v>
      </c>
      <c r="BJ3895">
        <v>0.2</v>
      </c>
      <c r="BK3895">
        <v>1</v>
      </c>
      <c r="BL3895">
        <v>69.98</v>
      </c>
      <c r="BM3895">
        <v>10.5</v>
      </c>
      <c r="BN3895">
        <v>80.48</v>
      </c>
      <c r="BO3895">
        <v>80.48</v>
      </c>
      <c r="BQ3895" t="s">
        <v>372</v>
      </c>
      <c r="BR3895" t="s">
        <v>84</v>
      </c>
      <c r="BS3895" t="s">
        <v>1540</v>
      </c>
      <c r="BV3895" t="s">
        <v>89</v>
      </c>
      <c r="BY3895">
        <v>1200</v>
      </c>
      <c r="CC3895" t="s">
        <v>91</v>
      </c>
      <c r="CD3895">
        <v>6001</v>
      </c>
      <c r="CE3895" t="s">
        <v>88</v>
      </c>
      <c r="CI3895">
        <v>1</v>
      </c>
      <c r="CJ3895" t="s">
        <v>1540</v>
      </c>
      <c r="CK3895">
        <v>21</v>
      </c>
      <c r="CL3895" t="s">
        <v>89</v>
      </c>
    </row>
    <row r="3896" spans="1:90" x14ac:dyDescent="0.3">
      <c r="A3896" t="s">
        <v>72</v>
      </c>
      <c r="B3896" t="s">
        <v>73</v>
      </c>
      <c r="C3896" t="s">
        <v>74</v>
      </c>
      <c r="E3896" t="str">
        <f>"080065641160"</f>
        <v>080065641160</v>
      </c>
      <c r="F3896" s="3">
        <v>45806</v>
      </c>
      <c r="G3896">
        <v>202602</v>
      </c>
      <c r="H3896" t="s">
        <v>75</v>
      </c>
      <c r="I3896" t="s">
        <v>76</v>
      </c>
      <c r="J3896" t="s">
        <v>77</v>
      </c>
      <c r="K3896" t="s">
        <v>78</v>
      </c>
      <c r="L3896" t="s">
        <v>123</v>
      </c>
      <c r="M3896" t="s">
        <v>123</v>
      </c>
      <c r="N3896" t="s">
        <v>1700</v>
      </c>
      <c r="O3896" t="s">
        <v>82</v>
      </c>
      <c r="P3896" t="str">
        <f>"4170041432                    "</f>
        <v xml:space="preserve">4170041432                    </v>
      </c>
      <c r="Q3896">
        <v>0</v>
      </c>
      <c r="R3896">
        <v>0</v>
      </c>
      <c r="S3896">
        <v>0</v>
      </c>
      <c r="T3896">
        <v>0</v>
      </c>
      <c r="U3896">
        <v>0</v>
      </c>
      <c r="V3896">
        <v>0</v>
      </c>
      <c r="W3896">
        <v>0</v>
      </c>
      <c r="X3896">
        <v>0</v>
      </c>
      <c r="Y3896">
        <v>0</v>
      </c>
      <c r="Z3896">
        <v>0</v>
      </c>
      <c r="AA3896">
        <v>0</v>
      </c>
      <c r="AB3896">
        <v>0</v>
      </c>
      <c r="AC3896">
        <v>0</v>
      </c>
      <c r="AD3896">
        <v>0</v>
      </c>
      <c r="AE3896">
        <v>0</v>
      </c>
      <c r="AF3896">
        <v>0</v>
      </c>
      <c r="AG3896">
        <v>0</v>
      </c>
      <c r="AH3896">
        <v>0</v>
      </c>
      <c r="AI3896">
        <v>0</v>
      </c>
      <c r="AJ3896">
        <v>0</v>
      </c>
      <c r="AK3896">
        <v>0</v>
      </c>
      <c r="AL3896">
        <v>0</v>
      </c>
      <c r="AM3896">
        <v>0</v>
      </c>
      <c r="AN3896">
        <v>0</v>
      </c>
      <c r="AO3896">
        <v>0</v>
      </c>
      <c r="AP3896">
        <v>0</v>
      </c>
      <c r="AQ3896">
        <v>41.43</v>
      </c>
      <c r="AR3896">
        <v>0</v>
      </c>
      <c r="AS3896">
        <v>0</v>
      </c>
      <c r="AT3896">
        <v>0</v>
      </c>
      <c r="AU3896">
        <v>0</v>
      </c>
      <c r="AV3896">
        <v>0</v>
      </c>
      <c r="AW3896">
        <v>0</v>
      </c>
      <c r="AX3896">
        <v>0</v>
      </c>
      <c r="AY3896">
        <v>0</v>
      </c>
      <c r="AZ3896">
        <v>0</v>
      </c>
      <c r="BA3896">
        <v>0</v>
      </c>
      <c r="BB3896">
        <v>0</v>
      </c>
      <c r="BC3896">
        <v>0</v>
      </c>
      <c r="BD3896">
        <v>0</v>
      </c>
      <c r="BE3896">
        <v>0</v>
      </c>
      <c r="BF3896">
        <v>0</v>
      </c>
      <c r="BG3896">
        <v>0</v>
      </c>
      <c r="BH3896">
        <v>1</v>
      </c>
      <c r="BI3896">
        <v>1</v>
      </c>
      <c r="BJ3896">
        <v>0.2</v>
      </c>
      <c r="BK3896">
        <v>1</v>
      </c>
      <c r="BL3896">
        <v>135.59</v>
      </c>
      <c r="BM3896">
        <v>20.34</v>
      </c>
      <c r="BN3896">
        <v>155.93</v>
      </c>
      <c r="BO3896">
        <v>155.93</v>
      </c>
      <c r="BQ3896" t="s">
        <v>1701</v>
      </c>
      <c r="BR3896" t="s">
        <v>84</v>
      </c>
      <c r="BS3896" t="s">
        <v>1540</v>
      </c>
      <c r="BV3896" t="s">
        <v>89</v>
      </c>
      <c r="BY3896">
        <v>1200</v>
      </c>
      <c r="CC3896" t="s">
        <v>123</v>
      </c>
      <c r="CD3896">
        <v>7646</v>
      </c>
      <c r="CE3896" t="s">
        <v>88</v>
      </c>
      <c r="CI3896">
        <v>1</v>
      </c>
      <c r="CJ3896" t="s">
        <v>1540</v>
      </c>
      <c r="CK3896">
        <v>23</v>
      </c>
      <c r="CL3896" t="s">
        <v>89</v>
      </c>
    </row>
    <row r="3897" spans="1:90" x14ac:dyDescent="0.3">
      <c r="A3897" t="s">
        <v>72</v>
      </c>
      <c r="B3897" t="s">
        <v>73</v>
      </c>
      <c r="C3897" t="s">
        <v>74</v>
      </c>
      <c r="E3897" t="str">
        <f>"080065641163"</f>
        <v>080065641163</v>
      </c>
      <c r="F3897" s="3">
        <v>45806</v>
      </c>
      <c r="G3897">
        <v>202602</v>
      </c>
      <c r="H3897" t="s">
        <v>75</v>
      </c>
      <c r="I3897" t="s">
        <v>76</v>
      </c>
      <c r="J3897" t="s">
        <v>77</v>
      </c>
      <c r="K3897" t="s">
        <v>78</v>
      </c>
      <c r="L3897" t="s">
        <v>117</v>
      </c>
      <c r="M3897" t="s">
        <v>118</v>
      </c>
      <c r="N3897" t="s">
        <v>1189</v>
      </c>
      <c r="O3897" t="s">
        <v>82</v>
      </c>
      <c r="P3897" t="str">
        <f>"4170041312                    "</f>
        <v xml:space="preserve">4170041312                    </v>
      </c>
      <c r="Q3897">
        <v>0</v>
      </c>
      <c r="R3897">
        <v>0</v>
      </c>
      <c r="S3897">
        <v>0</v>
      </c>
      <c r="T3897">
        <v>0</v>
      </c>
      <c r="U3897">
        <v>0</v>
      </c>
      <c r="V3897">
        <v>0</v>
      </c>
      <c r="W3897">
        <v>0</v>
      </c>
      <c r="X3897">
        <v>0</v>
      </c>
      <c r="Y3897">
        <v>0</v>
      </c>
      <c r="Z3897">
        <v>0</v>
      </c>
      <c r="AA3897">
        <v>0</v>
      </c>
      <c r="AB3897">
        <v>0</v>
      </c>
      <c r="AC3897">
        <v>0</v>
      </c>
      <c r="AD3897">
        <v>0</v>
      </c>
      <c r="AE3897">
        <v>0</v>
      </c>
      <c r="AF3897">
        <v>0</v>
      </c>
      <c r="AG3897">
        <v>0</v>
      </c>
      <c r="AH3897">
        <v>0</v>
      </c>
      <c r="AI3897">
        <v>0</v>
      </c>
      <c r="AJ3897">
        <v>0</v>
      </c>
      <c r="AK3897">
        <v>0</v>
      </c>
      <c r="AL3897">
        <v>0</v>
      </c>
      <c r="AM3897">
        <v>0</v>
      </c>
      <c r="AN3897">
        <v>0</v>
      </c>
      <c r="AO3897">
        <v>0</v>
      </c>
      <c r="AP3897">
        <v>0</v>
      </c>
      <c r="AQ3897">
        <v>16.7</v>
      </c>
      <c r="AR3897">
        <v>0</v>
      </c>
      <c r="AS3897">
        <v>0</v>
      </c>
      <c r="AT3897">
        <v>0</v>
      </c>
      <c r="AU3897">
        <v>0</v>
      </c>
      <c r="AV3897">
        <v>0</v>
      </c>
      <c r="AW3897">
        <v>0</v>
      </c>
      <c r="AX3897">
        <v>0</v>
      </c>
      <c r="AY3897">
        <v>0</v>
      </c>
      <c r="AZ3897">
        <v>0</v>
      </c>
      <c r="BA3897">
        <v>0</v>
      </c>
      <c r="BB3897">
        <v>0</v>
      </c>
      <c r="BC3897">
        <v>0</v>
      </c>
      <c r="BD3897">
        <v>0</v>
      </c>
      <c r="BE3897">
        <v>0</v>
      </c>
      <c r="BF3897">
        <v>0</v>
      </c>
      <c r="BG3897">
        <v>0</v>
      </c>
      <c r="BH3897">
        <v>1</v>
      </c>
      <c r="BI3897">
        <v>1</v>
      </c>
      <c r="BJ3897">
        <v>0.2</v>
      </c>
      <c r="BK3897">
        <v>1</v>
      </c>
      <c r="BL3897">
        <v>54.66</v>
      </c>
      <c r="BM3897">
        <v>8.1999999999999993</v>
      </c>
      <c r="BN3897">
        <v>62.86</v>
      </c>
      <c r="BO3897">
        <v>62.86</v>
      </c>
      <c r="BQ3897" t="s">
        <v>1190</v>
      </c>
      <c r="BR3897" t="s">
        <v>84</v>
      </c>
      <c r="BS3897" t="s">
        <v>1540</v>
      </c>
      <c r="BV3897" t="s">
        <v>89</v>
      </c>
      <c r="BY3897">
        <v>1200</v>
      </c>
      <c r="CC3897" t="s">
        <v>118</v>
      </c>
      <c r="CD3897">
        <v>2169</v>
      </c>
      <c r="CE3897" t="s">
        <v>1193</v>
      </c>
      <c r="CI3897">
        <v>1</v>
      </c>
      <c r="CJ3897" t="s">
        <v>1540</v>
      </c>
      <c r="CK3897">
        <v>22</v>
      </c>
      <c r="CL3897" t="s">
        <v>89</v>
      </c>
    </row>
    <row r="3898" spans="1:90" x14ac:dyDescent="0.3">
      <c r="A3898" t="s">
        <v>72</v>
      </c>
      <c r="B3898" t="s">
        <v>73</v>
      </c>
      <c r="C3898" t="s">
        <v>74</v>
      </c>
      <c r="E3898" t="str">
        <f>"080065641185"</f>
        <v>080065641185</v>
      </c>
      <c r="F3898" s="3">
        <v>45806</v>
      </c>
      <c r="G3898">
        <v>202602</v>
      </c>
      <c r="H3898" t="s">
        <v>75</v>
      </c>
      <c r="I3898" t="s">
        <v>76</v>
      </c>
      <c r="J3898" t="s">
        <v>77</v>
      </c>
      <c r="K3898" t="s">
        <v>78</v>
      </c>
      <c r="L3898" t="s">
        <v>97</v>
      </c>
      <c r="M3898" t="s">
        <v>98</v>
      </c>
      <c r="N3898" t="s">
        <v>3446</v>
      </c>
      <c r="O3898" t="s">
        <v>82</v>
      </c>
      <c r="P3898" t="str">
        <f>"4170041419                    "</f>
        <v xml:space="preserve">4170041419                    </v>
      </c>
      <c r="Q3898">
        <v>0</v>
      </c>
      <c r="R3898">
        <v>0</v>
      </c>
      <c r="S3898">
        <v>0</v>
      </c>
      <c r="T3898">
        <v>0</v>
      </c>
      <c r="U3898">
        <v>0</v>
      </c>
      <c r="V3898">
        <v>0</v>
      </c>
      <c r="W3898">
        <v>0</v>
      </c>
      <c r="X3898">
        <v>0</v>
      </c>
      <c r="Y3898">
        <v>0</v>
      </c>
      <c r="Z3898">
        <v>0</v>
      </c>
      <c r="AA3898">
        <v>0</v>
      </c>
      <c r="AB3898">
        <v>0</v>
      </c>
      <c r="AC3898">
        <v>0</v>
      </c>
      <c r="AD3898">
        <v>0</v>
      </c>
      <c r="AE3898">
        <v>0</v>
      </c>
      <c r="AF3898">
        <v>0</v>
      </c>
      <c r="AG3898">
        <v>0</v>
      </c>
      <c r="AH3898">
        <v>0</v>
      </c>
      <c r="AI3898">
        <v>0</v>
      </c>
      <c r="AJ3898">
        <v>0</v>
      </c>
      <c r="AK3898">
        <v>0</v>
      </c>
      <c r="AL3898">
        <v>0</v>
      </c>
      <c r="AM3898">
        <v>0</v>
      </c>
      <c r="AN3898">
        <v>0</v>
      </c>
      <c r="AO3898">
        <v>0</v>
      </c>
      <c r="AP3898">
        <v>0</v>
      </c>
      <c r="AQ3898">
        <v>16.7</v>
      </c>
      <c r="AR3898">
        <v>0</v>
      </c>
      <c r="AS3898">
        <v>0</v>
      </c>
      <c r="AT3898">
        <v>0</v>
      </c>
      <c r="AU3898">
        <v>0</v>
      </c>
      <c r="AV3898">
        <v>0</v>
      </c>
      <c r="AW3898">
        <v>0</v>
      </c>
      <c r="AX3898">
        <v>0</v>
      </c>
      <c r="AY3898">
        <v>0</v>
      </c>
      <c r="AZ3898">
        <v>0</v>
      </c>
      <c r="BA3898">
        <v>0</v>
      </c>
      <c r="BB3898">
        <v>0</v>
      </c>
      <c r="BC3898">
        <v>0</v>
      </c>
      <c r="BD3898">
        <v>0</v>
      </c>
      <c r="BE3898">
        <v>0</v>
      </c>
      <c r="BF3898">
        <v>0</v>
      </c>
      <c r="BG3898">
        <v>0</v>
      </c>
      <c r="BH3898">
        <v>1</v>
      </c>
      <c r="BI3898">
        <v>2</v>
      </c>
      <c r="BJ3898">
        <v>1.7</v>
      </c>
      <c r="BK3898">
        <v>2</v>
      </c>
      <c r="BL3898">
        <v>54.66</v>
      </c>
      <c r="BM3898">
        <v>8.1999999999999993</v>
      </c>
      <c r="BN3898">
        <v>62.86</v>
      </c>
      <c r="BO3898">
        <v>62.86</v>
      </c>
      <c r="BQ3898" t="s">
        <v>3447</v>
      </c>
      <c r="BR3898" t="s">
        <v>84</v>
      </c>
      <c r="BS3898" t="s">
        <v>1540</v>
      </c>
      <c r="BV3898" t="s">
        <v>89</v>
      </c>
      <c r="BY3898">
        <v>8550</v>
      </c>
      <c r="CC3898" t="s">
        <v>98</v>
      </c>
      <c r="CD3898">
        <v>1469</v>
      </c>
      <c r="CE3898" t="s">
        <v>116</v>
      </c>
      <c r="CI3898">
        <v>1</v>
      </c>
      <c r="CJ3898" t="s">
        <v>1540</v>
      </c>
      <c r="CK3898">
        <v>22</v>
      </c>
      <c r="CL3898" t="s">
        <v>89</v>
      </c>
    </row>
    <row r="3899" spans="1:90" x14ac:dyDescent="0.3">
      <c r="A3899" t="s">
        <v>72</v>
      </c>
      <c r="B3899" t="s">
        <v>73</v>
      </c>
      <c r="C3899" t="s">
        <v>74</v>
      </c>
      <c r="E3899" t="str">
        <f>"080065641189"</f>
        <v>080065641189</v>
      </c>
      <c r="F3899" s="3">
        <v>45806</v>
      </c>
      <c r="G3899">
        <v>202602</v>
      </c>
      <c r="H3899" t="s">
        <v>75</v>
      </c>
      <c r="I3899" t="s">
        <v>76</v>
      </c>
      <c r="J3899" t="s">
        <v>77</v>
      </c>
      <c r="K3899" t="s">
        <v>78</v>
      </c>
      <c r="L3899" t="s">
        <v>463</v>
      </c>
      <c r="M3899" t="s">
        <v>464</v>
      </c>
      <c r="N3899" t="s">
        <v>1325</v>
      </c>
      <c r="O3899" t="s">
        <v>82</v>
      </c>
      <c r="P3899" t="str">
        <f>"4170041313                    "</f>
        <v xml:space="preserve">4170041313                    </v>
      </c>
      <c r="Q3899">
        <v>0</v>
      </c>
      <c r="R3899">
        <v>0</v>
      </c>
      <c r="S3899">
        <v>0</v>
      </c>
      <c r="T3899">
        <v>0</v>
      </c>
      <c r="U3899">
        <v>0</v>
      </c>
      <c r="V3899">
        <v>0</v>
      </c>
      <c r="W3899">
        <v>0</v>
      </c>
      <c r="X3899">
        <v>0</v>
      </c>
      <c r="Y3899">
        <v>0</v>
      </c>
      <c r="Z3899">
        <v>0</v>
      </c>
      <c r="AA3899">
        <v>0</v>
      </c>
      <c r="AB3899">
        <v>0</v>
      </c>
      <c r="AC3899">
        <v>0</v>
      </c>
      <c r="AD3899">
        <v>0</v>
      </c>
      <c r="AE3899">
        <v>0</v>
      </c>
      <c r="AF3899">
        <v>0</v>
      </c>
      <c r="AG3899">
        <v>0</v>
      </c>
      <c r="AH3899">
        <v>0</v>
      </c>
      <c r="AI3899">
        <v>0</v>
      </c>
      <c r="AJ3899">
        <v>0</v>
      </c>
      <c r="AK3899">
        <v>0</v>
      </c>
      <c r="AL3899">
        <v>0</v>
      </c>
      <c r="AM3899">
        <v>0</v>
      </c>
      <c r="AN3899">
        <v>0</v>
      </c>
      <c r="AO3899">
        <v>0</v>
      </c>
      <c r="AP3899">
        <v>0</v>
      </c>
      <c r="AQ3899">
        <v>21.38</v>
      </c>
      <c r="AR3899">
        <v>0</v>
      </c>
      <c r="AS3899">
        <v>0</v>
      </c>
      <c r="AT3899">
        <v>0</v>
      </c>
      <c r="AU3899">
        <v>0</v>
      </c>
      <c r="AV3899">
        <v>0</v>
      </c>
      <c r="AW3899">
        <v>0</v>
      </c>
      <c r="AX3899">
        <v>0</v>
      </c>
      <c r="AY3899">
        <v>0</v>
      </c>
      <c r="AZ3899">
        <v>0</v>
      </c>
      <c r="BA3899">
        <v>0</v>
      </c>
      <c r="BB3899">
        <v>0</v>
      </c>
      <c r="BC3899">
        <v>0</v>
      </c>
      <c r="BD3899">
        <v>0</v>
      </c>
      <c r="BE3899">
        <v>0</v>
      </c>
      <c r="BF3899">
        <v>0</v>
      </c>
      <c r="BG3899">
        <v>0</v>
      </c>
      <c r="BH3899">
        <v>1</v>
      </c>
      <c r="BI3899">
        <v>1</v>
      </c>
      <c r="BJ3899">
        <v>0.2</v>
      </c>
      <c r="BK3899">
        <v>1</v>
      </c>
      <c r="BL3899">
        <v>69.98</v>
      </c>
      <c r="BM3899">
        <v>10.5</v>
      </c>
      <c r="BN3899">
        <v>80.48</v>
      </c>
      <c r="BO3899">
        <v>80.48</v>
      </c>
      <c r="BQ3899" t="s">
        <v>1326</v>
      </c>
      <c r="BR3899" t="s">
        <v>84</v>
      </c>
      <c r="BS3899" t="s">
        <v>1540</v>
      </c>
      <c r="BV3899" t="s">
        <v>89</v>
      </c>
      <c r="BY3899">
        <v>1200</v>
      </c>
      <c r="CC3899" t="s">
        <v>464</v>
      </c>
      <c r="CD3899">
        <v>5201</v>
      </c>
      <c r="CE3899" t="s">
        <v>88</v>
      </c>
      <c r="CI3899">
        <v>5</v>
      </c>
      <c r="CJ3899" t="s">
        <v>1540</v>
      </c>
      <c r="CK3899">
        <v>21</v>
      </c>
      <c r="CL3899" t="s">
        <v>89</v>
      </c>
    </row>
    <row r="3900" spans="1:90" x14ac:dyDescent="0.3">
      <c r="A3900" t="s">
        <v>72</v>
      </c>
      <c r="B3900" t="s">
        <v>73</v>
      </c>
      <c r="C3900" t="s">
        <v>74</v>
      </c>
      <c r="E3900" t="str">
        <f>"080065641221"</f>
        <v>080065641221</v>
      </c>
      <c r="F3900" s="3">
        <v>45806</v>
      </c>
      <c r="G3900">
        <v>202602</v>
      </c>
      <c r="H3900" t="s">
        <v>75</v>
      </c>
      <c r="I3900" t="s">
        <v>76</v>
      </c>
      <c r="J3900" t="s">
        <v>77</v>
      </c>
      <c r="K3900" t="s">
        <v>78</v>
      </c>
      <c r="L3900" t="s">
        <v>320</v>
      </c>
      <c r="M3900" t="s">
        <v>321</v>
      </c>
      <c r="N3900" t="s">
        <v>499</v>
      </c>
      <c r="O3900" t="s">
        <v>82</v>
      </c>
      <c r="P3900" t="str">
        <f>"4170041403                    "</f>
        <v xml:space="preserve">4170041403                    </v>
      </c>
      <c r="Q3900">
        <v>0</v>
      </c>
      <c r="R3900">
        <v>0</v>
      </c>
      <c r="S3900">
        <v>0</v>
      </c>
      <c r="T3900">
        <v>0</v>
      </c>
      <c r="U3900">
        <v>0</v>
      </c>
      <c r="V3900">
        <v>0</v>
      </c>
      <c r="W3900">
        <v>0</v>
      </c>
      <c r="X3900">
        <v>0</v>
      </c>
      <c r="Y3900">
        <v>0</v>
      </c>
      <c r="Z3900">
        <v>0</v>
      </c>
      <c r="AA3900">
        <v>0</v>
      </c>
      <c r="AB3900">
        <v>0</v>
      </c>
      <c r="AC3900">
        <v>0</v>
      </c>
      <c r="AD3900">
        <v>0</v>
      </c>
      <c r="AE3900">
        <v>0</v>
      </c>
      <c r="AF3900">
        <v>0</v>
      </c>
      <c r="AG3900">
        <v>0</v>
      </c>
      <c r="AH3900">
        <v>0</v>
      </c>
      <c r="AI3900">
        <v>0</v>
      </c>
      <c r="AJ3900">
        <v>0</v>
      </c>
      <c r="AK3900">
        <v>0</v>
      </c>
      <c r="AL3900">
        <v>0</v>
      </c>
      <c r="AM3900">
        <v>0</v>
      </c>
      <c r="AN3900">
        <v>0</v>
      </c>
      <c r="AO3900">
        <v>0</v>
      </c>
      <c r="AP3900">
        <v>0</v>
      </c>
      <c r="AQ3900">
        <v>21.38</v>
      </c>
      <c r="AR3900">
        <v>0</v>
      </c>
      <c r="AS3900">
        <v>0</v>
      </c>
      <c r="AT3900">
        <v>0</v>
      </c>
      <c r="AU3900">
        <v>0</v>
      </c>
      <c r="AV3900">
        <v>0</v>
      </c>
      <c r="AW3900">
        <v>0</v>
      </c>
      <c r="AX3900">
        <v>0</v>
      </c>
      <c r="AY3900">
        <v>0</v>
      </c>
      <c r="AZ3900">
        <v>0</v>
      </c>
      <c r="BA3900">
        <v>0</v>
      </c>
      <c r="BB3900">
        <v>0</v>
      </c>
      <c r="BC3900">
        <v>0</v>
      </c>
      <c r="BD3900">
        <v>0</v>
      </c>
      <c r="BE3900">
        <v>0</v>
      </c>
      <c r="BF3900">
        <v>0</v>
      </c>
      <c r="BG3900">
        <v>0</v>
      </c>
      <c r="BH3900">
        <v>1</v>
      </c>
      <c r="BI3900">
        <v>1</v>
      </c>
      <c r="BJ3900">
        <v>0.2</v>
      </c>
      <c r="BK3900">
        <v>1</v>
      </c>
      <c r="BL3900">
        <v>69.98</v>
      </c>
      <c r="BM3900">
        <v>10.5</v>
      </c>
      <c r="BN3900">
        <v>80.48</v>
      </c>
      <c r="BO3900">
        <v>80.48</v>
      </c>
      <c r="BQ3900" t="s">
        <v>500</v>
      </c>
      <c r="BR3900" t="s">
        <v>84</v>
      </c>
      <c r="BS3900" t="s">
        <v>1540</v>
      </c>
      <c r="BV3900" t="s">
        <v>89</v>
      </c>
      <c r="BY3900">
        <v>1200</v>
      </c>
      <c r="CC3900" t="s">
        <v>321</v>
      </c>
      <c r="CD3900">
        <v>4133</v>
      </c>
      <c r="CE3900" t="s">
        <v>88</v>
      </c>
      <c r="CI3900">
        <v>1</v>
      </c>
      <c r="CJ3900" t="s">
        <v>1540</v>
      </c>
      <c r="CK3900">
        <v>21</v>
      </c>
      <c r="CL3900" t="s">
        <v>89</v>
      </c>
    </row>
    <row r="3901" spans="1:90" x14ac:dyDescent="0.3">
      <c r="A3901" t="s">
        <v>72</v>
      </c>
      <c r="B3901" t="s">
        <v>73</v>
      </c>
      <c r="C3901" t="s">
        <v>74</v>
      </c>
      <c r="E3901" t="str">
        <f>"080065641235"</f>
        <v>080065641235</v>
      </c>
      <c r="F3901" s="3">
        <v>45806</v>
      </c>
      <c r="G3901">
        <v>202602</v>
      </c>
      <c r="H3901" t="s">
        <v>75</v>
      </c>
      <c r="I3901" t="s">
        <v>76</v>
      </c>
      <c r="J3901" t="s">
        <v>77</v>
      </c>
      <c r="K3901" t="s">
        <v>78</v>
      </c>
      <c r="L3901" t="s">
        <v>967</v>
      </c>
      <c r="M3901" t="s">
        <v>967</v>
      </c>
      <c r="N3901" t="s">
        <v>3448</v>
      </c>
      <c r="O3901" t="s">
        <v>82</v>
      </c>
      <c r="P3901" t="str">
        <f>"4170041425                    "</f>
        <v xml:space="preserve">4170041425                    </v>
      </c>
      <c r="Q3901">
        <v>0</v>
      </c>
      <c r="R3901">
        <v>0</v>
      </c>
      <c r="S3901">
        <v>0</v>
      </c>
      <c r="T3901">
        <v>0</v>
      </c>
      <c r="U3901">
        <v>0</v>
      </c>
      <c r="V3901">
        <v>0</v>
      </c>
      <c r="W3901">
        <v>0</v>
      </c>
      <c r="X3901">
        <v>0</v>
      </c>
      <c r="Y3901">
        <v>0</v>
      </c>
      <c r="Z3901">
        <v>0</v>
      </c>
      <c r="AA3901">
        <v>0</v>
      </c>
      <c r="AB3901">
        <v>0</v>
      </c>
      <c r="AC3901">
        <v>0</v>
      </c>
      <c r="AD3901">
        <v>0</v>
      </c>
      <c r="AE3901">
        <v>0</v>
      </c>
      <c r="AF3901">
        <v>0</v>
      </c>
      <c r="AG3901">
        <v>0</v>
      </c>
      <c r="AH3901">
        <v>0</v>
      </c>
      <c r="AI3901">
        <v>0</v>
      </c>
      <c r="AJ3901">
        <v>0</v>
      </c>
      <c r="AK3901">
        <v>0</v>
      </c>
      <c r="AL3901">
        <v>0</v>
      </c>
      <c r="AM3901">
        <v>0</v>
      </c>
      <c r="AN3901">
        <v>0</v>
      </c>
      <c r="AO3901">
        <v>0</v>
      </c>
      <c r="AP3901">
        <v>0</v>
      </c>
      <c r="AQ3901">
        <v>74</v>
      </c>
      <c r="AR3901">
        <v>0</v>
      </c>
      <c r="AS3901">
        <v>0</v>
      </c>
      <c r="AT3901">
        <v>0</v>
      </c>
      <c r="AU3901">
        <v>0</v>
      </c>
      <c r="AV3901">
        <v>0</v>
      </c>
      <c r="AW3901">
        <v>0</v>
      </c>
      <c r="AX3901">
        <v>0</v>
      </c>
      <c r="AY3901">
        <v>0</v>
      </c>
      <c r="AZ3901">
        <v>0</v>
      </c>
      <c r="BA3901">
        <v>0</v>
      </c>
      <c r="BB3901">
        <v>0</v>
      </c>
      <c r="BC3901">
        <v>0</v>
      </c>
      <c r="BD3901">
        <v>0</v>
      </c>
      <c r="BE3901">
        <v>0</v>
      </c>
      <c r="BF3901">
        <v>0</v>
      </c>
      <c r="BG3901">
        <v>0</v>
      </c>
      <c r="BH3901">
        <v>1</v>
      </c>
      <c r="BI3901">
        <v>5</v>
      </c>
      <c r="BJ3901">
        <v>3.6</v>
      </c>
      <c r="BK3901">
        <v>5</v>
      </c>
      <c r="BL3901">
        <v>242.19</v>
      </c>
      <c r="BM3901">
        <v>36.33</v>
      </c>
      <c r="BN3901">
        <v>278.52</v>
      </c>
      <c r="BO3901">
        <v>278.52</v>
      </c>
      <c r="BQ3901" t="s">
        <v>3449</v>
      </c>
      <c r="BR3901" t="s">
        <v>84</v>
      </c>
      <c r="BS3901" t="s">
        <v>1540</v>
      </c>
      <c r="BV3901" t="s">
        <v>89</v>
      </c>
      <c r="BY3901">
        <v>18172</v>
      </c>
      <c r="CC3901" t="s">
        <v>967</v>
      </c>
      <c r="CD3901">
        <v>1490</v>
      </c>
      <c r="CE3901" t="s">
        <v>221</v>
      </c>
      <c r="CI3901">
        <v>1</v>
      </c>
      <c r="CJ3901" t="s">
        <v>1540</v>
      </c>
      <c r="CK3901">
        <v>24</v>
      </c>
      <c r="CL3901" t="s">
        <v>89</v>
      </c>
    </row>
    <row r="3902" spans="1:90" x14ac:dyDescent="0.3">
      <c r="A3902" t="s">
        <v>72</v>
      </c>
      <c r="B3902" t="s">
        <v>73</v>
      </c>
      <c r="C3902" t="s">
        <v>74</v>
      </c>
      <c r="E3902" t="str">
        <f>"080065641238"</f>
        <v>080065641238</v>
      </c>
      <c r="F3902" s="3">
        <v>45806</v>
      </c>
      <c r="G3902">
        <v>202602</v>
      </c>
      <c r="H3902" t="s">
        <v>75</v>
      </c>
      <c r="I3902" t="s">
        <v>76</v>
      </c>
      <c r="J3902" t="s">
        <v>77</v>
      </c>
      <c r="K3902" t="s">
        <v>78</v>
      </c>
      <c r="L3902" t="s">
        <v>79</v>
      </c>
      <c r="M3902" t="s">
        <v>80</v>
      </c>
      <c r="N3902" t="s">
        <v>357</v>
      </c>
      <c r="O3902" t="s">
        <v>82</v>
      </c>
      <c r="P3902" t="str">
        <f>"4170041446                    "</f>
        <v xml:space="preserve">4170041446                    </v>
      </c>
      <c r="Q3902">
        <v>0</v>
      </c>
      <c r="R3902">
        <v>0</v>
      </c>
      <c r="S3902">
        <v>0</v>
      </c>
      <c r="T3902">
        <v>0</v>
      </c>
      <c r="U3902">
        <v>0</v>
      </c>
      <c r="V3902">
        <v>0</v>
      </c>
      <c r="W3902">
        <v>0</v>
      </c>
      <c r="X3902">
        <v>0</v>
      </c>
      <c r="Y3902">
        <v>0</v>
      </c>
      <c r="Z3902">
        <v>0</v>
      </c>
      <c r="AA3902">
        <v>0</v>
      </c>
      <c r="AB3902">
        <v>0</v>
      </c>
      <c r="AC3902">
        <v>0</v>
      </c>
      <c r="AD3902">
        <v>0</v>
      </c>
      <c r="AE3902">
        <v>0</v>
      </c>
      <c r="AF3902">
        <v>0</v>
      </c>
      <c r="AG3902">
        <v>0</v>
      </c>
      <c r="AH3902">
        <v>0</v>
      </c>
      <c r="AI3902">
        <v>0</v>
      </c>
      <c r="AJ3902">
        <v>0</v>
      </c>
      <c r="AK3902">
        <v>0</v>
      </c>
      <c r="AL3902">
        <v>0</v>
      </c>
      <c r="AM3902">
        <v>0</v>
      </c>
      <c r="AN3902">
        <v>0</v>
      </c>
      <c r="AO3902">
        <v>0</v>
      </c>
      <c r="AP3902">
        <v>0</v>
      </c>
      <c r="AQ3902">
        <v>21.38</v>
      </c>
      <c r="AR3902">
        <v>0</v>
      </c>
      <c r="AS3902">
        <v>0</v>
      </c>
      <c r="AT3902">
        <v>0</v>
      </c>
      <c r="AU3902">
        <v>0</v>
      </c>
      <c r="AV3902">
        <v>0</v>
      </c>
      <c r="AW3902">
        <v>0</v>
      </c>
      <c r="AX3902">
        <v>0</v>
      </c>
      <c r="AY3902">
        <v>0</v>
      </c>
      <c r="AZ3902">
        <v>0</v>
      </c>
      <c r="BA3902">
        <v>0</v>
      </c>
      <c r="BB3902">
        <v>0</v>
      </c>
      <c r="BC3902">
        <v>0</v>
      </c>
      <c r="BD3902">
        <v>0</v>
      </c>
      <c r="BE3902">
        <v>0</v>
      </c>
      <c r="BF3902">
        <v>0</v>
      </c>
      <c r="BG3902">
        <v>0</v>
      </c>
      <c r="BH3902">
        <v>1</v>
      </c>
      <c r="BI3902">
        <v>1</v>
      </c>
      <c r="BJ3902">
        <v>0.2</v>
      </c>
      <c r="BK3902">
        <v>1</v>
      </c>
      <c r="BL3902">
        <v>69.98</v>
      </c>
      <c r="BM3902">
        <v>10.5</v>
      </c>
      <c r="BN3902">
        <v>80.48</v>
      </c>
      <c r="BO3902">
        <v>80.48</v>
      </c>
      <c r="BQ3902" t="s">
        <v>358</v>
      </c>
      <c r="BR3902" t="s">
        <v>84</v>
      </c>
      <c r="BS3902" t="s">
        <v>1540</v>
      </c>
      <c r="BV3902" t="s">
        <v>89</v>
      </c>
      <c r="BY3902">
        <v>1200</v>
      </c>
      <c r="CC3902" t="s">
        <v>80</v>
      </c>
      <c r="CD3902">
        <v>3608</v>
      </c>
      <c r="CE3902" t="s">
        <v>88</v>
      </c>
      <c r="CI3902">
        <v>1</v>
      </c>
      <c r="CJ3902" t="s">
        <v>1540</v>
      </c>
      <c r="CK3902">
        <v>21</v>
      </c>
      <c r="CL3902" t="s">
        <v>89</v>
      </c>
    </row>
    <row r="3903" spans="1:90" x14ac:dyDescent="0.3">
      <c r="A3903" t="s">
        <v>72</v>
      </c>
      <c r="B3903" t="s">
        <v>73</v>
      </c>
      <c r="C3903" t="s">
        <v>74</v>
      </c>
      <c r="E3903" t="str">
        <f>"080065641255"</f>
        <v>080065641255</v>
      </c>
      <c r="F3903" s="3">
        <v>45806</v>
      </c>
      <c r="G3903">
        <v>202602</v>
      </c>
      <c r="H3903" t="s">
        <v>75</v>
      </c>
      <c r="I3903" t="s">
        <v>76</v>
      </c>
      <c r="J3903" t="s">
        <v>77</v>
      </c>
      <c r="K3903" t="s">
        <v>78</v>
      </c>
      <c r="L3903" t="s">
        <v>143</v>
      </c>
      <c r="M3903" t="s">
        <v>144</v>
      </c>
      <c r="N3903" t="s">
        <v>762</v>
      </c>
      <c r="O3903" t="s">
        <v>82</v>
      </c>
      <c r="P3903" t="str">
        <f>"4170041333                    "</f>
        <v xml:space="preserve">4170041333                    </v>
      </c>
      <c r="Q3903">
        <v>0</v>
      </c>
      <c r="R3903">
        <v>0</v>
      </c>
      <c r="S3903">
        <v>0</v>
      </c>
      <c r="T3903">
        <v>0</v>
      </c>
      <c r="U3903">
        <v>0</v>
      </c>
      <c r="V3903">
        <v>0</v>
      </c>
      <c r="W3903">
        <v>0</v>
      </c>
      <c r="X3903">
        <v>0</v>
      </c>
      <c r="Y3903">
        <v>0</v>
      </c>
      <c r="Z3903">
        <v>0</v>
      </c>
      <c r="AA3903">
        <v>0</v>
      </c>
      <c r="AB3903">
        <v>0</v>
      </c>
      <c r="AC3903">
        <v>0</v>
      </c>
      <c r="AD3903">
        <v>0</v>
      </c>
      <c r="AE3903">
        <v>0</v>
      </c>
      <c r="AF3903">
        <v>0</v>
      </c>
      <c r="AG3903">
        <v>0</v>
      </c>
      <c r="AH3903">
        <v>0</v>
      </c>
      <c r="AI3903">
        <v>0</v>
      </c>
      <c r="AJ3903">
        <v>0</v>
      </c>
      <c r="AK3903">
        <v>0</v>
      </c>
      <c r="AL3903">
        <v>0</v>
      </c>
      <c r="AM3903">
        <v>0</v>
      </c>
      <c r="AN3903">
        <v>0</v>
      </c>
      <c r="AO3903">
        <v>0</v>
      </c>
      <c r="AP3903">
        <v>0</v>
      </c>
      <c r="AQ3903">
        <v>16.7</v>
      </c>
      <c r="AR3903">
        <v>0</v>
      </c>
      <c r="AS3903">
        <v>0</v>
      </c>
      <c r="AT3903">
        <v>0</v>
      </c>
      <c r="AU3903">
        <v>0</v>
      </c>
      <c r="AV3903">
        <v>0</v>
      </c>
      <c r="AW3903">
        <v>0</v>
      </c>
      <c r="AX3903">
        <v>0</v>
      </c>
      <c r="AY3903">
        <v>0</v>
      </c>
      <c r="AZ3903">
        <v>0</v>
      </c>
      <c r="BA3903">
        <v>0</v>
      </c>
      <c r="BB3903">
        <v>0</v>
      </c>
      <c r="BC3903">
        <v>0</v>
      </c>
      <c r="BD3903">
        <v>0</v>
      </c>
      <c r="BE3903">
        <v>0</v>
      </c>
      <c r="BF3903">
        <v>0</v>
      </c>
      <c r="BG3903">
        <v>0</v>
      </c>
      <c r="BH3903">
        <v>1</v>
      </c>
      <c r="BI3903">
        <v>1</v>
      </c>
      <c r="BJ3903">
        <v>0.2</v>
      </c>
      <c r="BK3903">
        <v>1</v>
      </c>
      <c r="BL3903">
        <v>54.66</v>
      </c>
      <c r="BM3903">
        <v>8.1999999999999993</v>
      </c>
      <c r="BN3903">
        <v>62.86</v>
      </c>
      <c r="BO3903">
        <v>62.86</v>
      </c>
      <c r="BQ3903" t="s">
        <v>763</v>
      </c>
      <c r="BR3903" t="s">
        <v>84</v>
      </c>
      <c r="BS3903" t="s">
        <v>1540</v>
      </c>
      <c r="BV3903" t="s">
        <v>89</v>
      </c>
      <c r="BY3903">
        <v>1200</v>
      </c>
      <c r="CC3903" t="s">
        <v>144</v>
      </c>
      <c r="CD3903">
        <v>1428</v>
      </c>
      <c r="CE3903" t="s">
        <v>88</v>
      </c>
      <c r="CI3903">
        <v>1</v>
      </c>
      <c r="CJ3903" t="s">
        <v>1540</v>
      </c>
      <c r="CK3903">
        <v>22</v>
      </c>
      <c r="CL3903" t="s">
        <v>89</v>
      </c>
    </row>
    <row r="3904" spans="1:90" x14ac:dyDescent="0.3">
      <c r="A3904" t="s">
        <v>72</v>
      </c>
      <c r="B3904" t="s">
        <v>73</v>
      </c>
      <c r="C3904" t="s">
        <v>74</v>
      </c>
      <c r="E3904" t="str">
        <f>"080065641260"</f>
        <v>080065641260</v>
      </c>
      <c r="F3904" s="3">
        <v>45806</v>
      </c>
      <c r="G3904">
        <v>202602</v>
      </c>
      <c r="H3904" t="s">
        <v>75</v>
      </c>
      <c r="I3904" t="s">
        <v>76</v>
      </c>
      <c r="J3904" t="s">
        <v>77</v>
      </c>
      <c r="K3904" t="s">
        <v>78</v>
      </c>
      <c r="L3904" t="s">
        <v>75</v>
      </c>
      <c r="M3904" t="s">
        <v>76</v>
      </c>
      <c r="N3904" t="s">
        <v>390</v>
      </c>
      <c r="O3904" t="s">
        <v>602</v>
      </c>
      <c r="P3904" t="str">
        <f>"4170041349                    "</f>
        <v xml:space="preserve">4170041349                    </v>
      </c>
      <c r="Q3904">
        <v>0</v>
      </c>
      <c r="R3904">
        <v>0</v>
      </c>
      <c r="S3904">
        <v>0</v>
      </c>
      <c r="T3904">
        <v>0</v>
      </c>
      <c r="U3904">
        <v>0</v>
      </c>
      <c r="V3904">
        <v>0</v>
      </c>
      <c r="W3904">
        <v>0</v>
      </c>
      <c r="X3904">
        <v>0</v>
      </c>
      <c r="Y3904">
        <v>0</v>
      </c>
      <c r="Z3904">
        <v>0</v>
      </c>
      <c r="AA3904">
        <v>0</v>
      </c>
      <c r="AB3904">
        <v>0</v>
      </c>
      <c r="AC3904">
        <v>0</v>
      </c>
      <c r="AD3904">
        <v>0</v>
      </c>
      <c r="AE3904">
        <v>0</v>
      </c>
      <c r="AF3904">
        <v>0</v>
      </c>
      <c r="AG3904">
        <v>0</v>
      </c>
      <c r="AH3904">
        <v>0</v>
      </c>
      <c r="AI3904">
        <v>0</v>
      </c>
      <c r="AJ3904">
        <v>0</v>
      </c>
      <c r="AK3904">
        <v>0</v>
      </c>
      <c r="AL3904">
        <v>0</v>
      </c>
      <c r="AM3904">
        <v>0</v>
      </c>
      <c r="AN3904">
        <v>0</v>
      </c>
      <c r="AO3904">
        <v>0</v>
      </c>
      <c r="AP3904">
        <v>0</v>
      </c>
      <c r="AQ3904">
        <v>16.71</v>
      </c>
      <c r="AR3904">
        <v>0</v>
      </c>
      <c r="AS3904">
        <v>0</v>
      </c>
      <c r="AT3904">
        <v>0</v>
      </c>
      <c r="AU3904">
        <v>0</v>
      </c>
      <c r="AV3904">
        <v>0</v>
      </c>
      <c r="AW3904">
        <v>0</v>
      </c>
      <c r="AX3904">
        <v>0</v>
      </c>
      <c r="AY3904">
        <v>0</v>
      </c>
      <c r="AZ3904">
        <v>0</v>
      </c>
      <c r="BA3904">
        <v>0</v>
      </c>
      <c r="BB3904">
        <v>0</v>
      </c>
      <c r="BC3904">
        <v>0</v>
      </c>
      <c r="BD3904">
        <v>0</v>
      </c>
      <c r="BE3904">
        <v>0</v>
      </c>
      <c r="BF3904">
        <v>0</v>
      </c>
      <c r="BG3904">
        <v>0</v>
      </c>
      <c r="BH3904">
        <v>1</v>
      </c>
      <c r="BI3904">
        <v>4</v>
      </c>
      <c r="BJ3904">
        <v>6.5</v>
      </c>
      <c r="BK3904">
        <v>7</v>
      </c>
      <c r="BL3904">
        <v>54.68</v>
      </c>
      <c r="BM3904">
        <v>8.1999999999999993</v>
      </c>
      <c r="BN3904">
        <v>62.88</v>
      </c>
      <c r="BO3904">
        <v>62.88</v>
      </c>
      <c r="BQ3904" t="s">
        <v>391</v>
      </c>
      <c r="BR3904" t="s">
        <v>84</v>
      </c>
      <c r="BS3904" t="s">
        <v>1540</v>
      </c>
      <c r="BV3904" t="s">
        <v>89</v>
      </c>
      <c r="BY3904">
        <v>32256</v>
      </c>
      <c r="CC3904" t="s">
        <v>76</v>
      </c>
      <c r="CD3904">
        <v>1600</v>
      </c>
      <c r="CE3904" t="s">
        <v>221</v>
      </c>
      <c r="CI3904">
        <v>1</v>
      </c>
      <c r="CJ3904" t="s">
        <v>1540</v>
      </c>
      <c r="CK3904">
        <v>32</v>
      </c>
      <c r="CL3904" t="s">
        <v>89</v>
      </c>
    </row>
    <row r="3905" spans="1:90" x14ac:dyDescent="0.3">
      <c r="A3905" t="s">
        <v>72</v>
      </c>
      <c r="B3905" t="s">
        <v>73</v>
      </c>
      <c r="C3905" t="s">
        <v>74</v>
      </c>
      <c r="E3905" t="str">
        <f>"080065641273"</f>
        <v>080065641273</v>
      </c>
      <c r="F3905" s="3">
        <v>45806</v>
      </c>
      <c r="G3905">
        <v>202602</v>
      </c>
      <c r="H3905" t="s">
        <v>75</v>
      </c>
      <c r="I3905" t="s">
        <v>76</v>
      </c>
      <c r="J3905" t="s">
        <v>77</v>
      </c>
      <c r="K3905" t="s">
        <v>78</v>
      </c>
      <c r="L3905" t="s">
        <v>130</v>
      </c>
      <c r="M3905" t="s">
        <v>131</v>
      </c>
      <c r="N3905" t="s">
        <v>897</v>
      </c>
      <c r="O3905" t="s">
        <v>82</v>
      </c>
      <c r="P3905" t="str">
        <f>"4170041330                    "</f>
        <v xml:space="preserve">4170041330                    </v>
      </c>
      <c r="Q3905">
        <v>0</v>
      </c>
      <c r="R3905">
        <v>0</v>
      </c>
      <c r="S3905">
        <v>0</v>
      </c>
      <c r="T3905">
        <v>0</v>
      </c>
      <c r="U3905">
        <v>0</v>
      </c>
      <c r="V3905">
        <v>0</v>
      </c>
      <c r="W3905">
        <v>0</v>
      </c>
      <c r="X3905">
        <v>0</v>
      </c>
      <c r="Y3905">
        <v>0</v>
      </c>
      <c r="Z3905">
        <v>0</v>
      </c>
      <c r="AA3905">
        <v>0</v>
      </c>
      <c r="AB3905">
        <v>0</v>
      </c>
      <c r="AC3905">
        <v>0</v>
      </c>
      <c r="AD3905">
        <v>0</v>
      </c>
      <c r="AE3905">
        <v>0</v>
      </c>
      <c r="AF3905">
        <v>0</v>
      </c>
      <c r="AG3905">
        <v>0</v>
      </c>
      <c r="AH3905">
        <v>0</v>
      </c>
      <c r="AI3905">
        <v>0</v>
      </c>
      <c r="AJ3905">
        <v>0</v>
      </c>
      <c r="AK3905">
        <v>0</v>
      </c>
      <c r="AL3905">
        <v>0</v>
      </c>
      <c r="AM3905">
        <v>0</v>
      </c>
      <c r="AN3905">
        <v>0</v>
      </c>
      <c r="AO3905">
        <v>0</v>
      </c>
      <c r="AP3905">
        <v>0</v>
      </c>
      <c r="AQ3905">
        <v>21.38</v>
      </c>
      <c r="AR3905">
        <v>0</v>
      </c>
      <c r="AS3905">
        <v>0</v>
      </c>
      <c r="AT3905">
        <v>0</v>
      </c>
      <c r="AU3905">
        <v>0</v>
      </c>
      <c r="AV3905">
        <v>0</v>
      </c>
      <c r="AW3905">
        <v>0</v>
      </c>
      <c r="AX3905">
        <v>0</v>
      </c>
      <c r="AY3905">
        <v>0</v>
      </c>
      <c r="AZ3905">
        <v>0</v>
      </c>
      <c r="BA3905">
        <v>0</v>
      </c>
      <c r="BB3905">
        <v>0</v>
      </c>
      <c r="BC3905">
        <v>0</v>
      </c>
      <c r="BD3905">
        <v>0</v>
      </c>
      <c r="BE3905">
        <v>0</v>
      </c>
      <c r="BF3905">
        <v>0</v>
      </c>
      <c r="BG3905">
        <v>0</v>
      </c>
      <c r="BH3905">
        <v>1</v>
      </c>
      <c r="BI3905">
        <v>1</v>
      </c>
      <c r="BJ3905">
        <v>0.2</v>
      </c>
      <c r="BK3905">
        <v>1</v>
      </c>
      <c r="BL3905">
        <v>69.98</v>
      </c>
      <c r="BM3905">
        <v>10.5</v>
      </c>
      <c r="BN3905">
        <v>80.48</v>
      </c>
      <c r="BO3905">
        <v>80.48</v>
      </c>
      <c r="BQ3905" t="s">
        <v>898</v>
      </c>
      <c r="BR3905" t="s">
        <v>84</v>
      </c>
      <c r="BS3905" t="s">
        <v>1540</v>
      </c>
      <c r="BV3905" t="s">
        <v>89</v>
      </c>
      <c r="BY3905">
        <v>1200</v>
      </c>
      <c r="CC3905" t="s">
        <v>131</v>
      </c>
      <c r="CD3905">
        <v>7550</v>
      </c>
      <c r="CE3905" t="s">
        <v>88</v>
      </c>
      <c r="CI3905">
        <v>1</v>
      </c>
      <c r="CJ3905" t="s">
        <v>1540</v>
      </c>
      <c r="CK3905">
        <v>21</v>
      </c>
      <c r="CL3905" t="s">
        <v>89</v>
      </c>
    </row>
    <row r="3906" spans="1:90" x14ac:dyDescent="0.3">
      <c r="A3906" t="s">
        <v>72</v>
      </c>
      <c r="B3906" t="s">
        <v>73</v>
      </c>
      <c r="C3906" t="s">
        <v>74</v>
      </c>
      <c r="E3906" t="str">
        <f>"080065641280"</f>
        <v>080065641280</v>
      </c>
      <c r="F3906" s="3">
        <v>45806</v>
      </c>
      <c r="G3906">
        <v>202602</v>
      </c>
      <c r="H3906" t="s">
        <v>75</v>
      </c>
      <c r="I3906" t="s">
        <v>76</v>
      </c>
      <c r="J3906" t="s">
        <v>77</v>
      </c>
      <c r="K3906" t="s">
        <v>78</v>
      </c>
      <c r="L3906" t="s">
        <v>130</v>
      </c>
      <c r="M3906" t="s">
        <v>131</v>
      </c>
      <c r="N3906" t="s">
        <v>250</v>
      </c>
      <c r="O3906" t="s">
        <v>82</v>
      </c>
      <c r="P3906" t="str">
        <f>"4170041342                    "</f>
        <v xml:space="preserve">4170041342                    </v>
      </c>
      <c r="Q3906">
        <v>0</v>
      </c>
      <c r="R3906">
        <v>0</v>
      </c>
      <c r="S3906">
        <v>0</v>
      </c>
      <c r="T3906">
        <v>0</v>
      </c>
      <c r="U3906">
        <v>0</v>
      </c>
      <c r="V3906">
        <v>0</v>
      </c>
      <c r="W3906">
        <v>0</v>
      </c>
      <c r="X3906">
        <v>0</v>
      </c>
      <c r="Y3906">
        <v>0</v>
      </c>
      <c r="Z3906">
        <v>0</v>
      </c>
      <c r="AA3906">
        <v>0</v>
      </c>
      <c r="AB3906">
        <v>0</v>
      </c>
      <c r="AC3906">
        <v>0</v>
      </c>
      <c r="AD3906">
        <v>0</v>
      </c>
      <c r="AE3906">
        <v>0</v>
      </c>
      <c r="AF3906">
        <v>0</v>
      </c>
      <c r="AG3906">
        <v>0</v>
      </c>
      <c r="AH3906">
        <v>0</v>
      </c>
      <c r="AI3906">
        <v>0</v>
      </c>
      <c r="AJ3906">
        <v>0</v>
      </c>
      <c r="AK3906">
        <v>0</v>
      </c>
      <c r="AL3906">
        <v>0</v>
      </c>
      <c r="AM3906">
        <v>0</v>
      </c>
      <c r="AN3906">
        <v>0</v>
      </c>
      <c r="AO3906">
        <v>0</v>
      </c>
      <c r="AP3906">
        <v>0</v>
      </c>
      <c r="AQ3906">
        <v>48.09</v>
      </c>
      <c r="AR3906">
        <v>0</v>
      </c>
      <c r="AS3906">
        <v>0</v>
      </c>
      <c r="AT3906">
        <v>0</v>
      </c>
      <c r="AU3906">
        <v>0</v>
      </c>
      <c r="AV3906">
        <v>0</v>
      </c>
      <c r="AW3906">
        <v>0</v>
      </c>
      <c r="AX3906">
        <v>0</v>
      </c>
      <c r="AY3906">
        <v>0</v>
      </c>
      <c r="AZ3906">
        <v>0</v>
      </c>
      <c r="BA3906">
        <v>0</v>
      </c>
      <c r="BB3906">
        <v>0</v>
      </c>
      <c r="BC3906">
        <v>0</v>
      </c>
      <c r="BD3906">
        <v>0</v>
      </c>
      <c r="BE3906">
        <v>0</v>
      </c>
      <c r="BF3906">
        <v>0</v>
      </c>
      <c r="BG3906">
        <v>0</v>
      </c>
      <c r="BH3906">
        <v>1</v>
      </c>
      <c r="BI3906">
        <v>3</v>
      </c>
      <c r="BJ3906">
        <v>4.0999999999999996</v>
      </c>
      <c r="BK3906">
        <v>4.5</v>
      </c>
      <c r="BL3906">
        <v>157.38999999999999</v>
      </c>
      <c r="BM3906">
        <v>23.61</v>
      </c>
      <c r="BN3906">
        <v>181</v>
      </c>
      <c r="BO3906">
        <v>181</v>
      </c>
      <c r="BQ3906" t="s">
        <v>251</v>
      </c>
      <c r="BR3906" t="s">
        <v>84</v>
      </c>
      <c r="BS3906" t="s">
        <v>1540</v>
      </c>
      <c r="BV3906" t="s">
        <v>89</v>
      </c>
      <c r="BY3906">
        <v>20720</v>
      </c>
      <c r="CC3906" t="s">
        <v>131</v>
      </c>
      <c r="CD3906">
        <v>7530</v>
      </c>
      <c r="CE3906" t="s">
        <v>221</v>
      </c>
      <c r="CI3906">
        <v>1</v>
      </c>
      <c r="CJ3906" t="s">
        <v>1540</v>
      </c>
      <c r="CK3906">
        <v>21</v>
      </c>
      <c r="CL3906" t="s">
        <v>89</v>
      </c>
    </row>
    <row r="3907" spans="1:90" x14ac:dyDescent="0.3">
      <c r="A3907" t="s">
        <v>72</v>
      </c>
      <c r="B3907" t="s">
        <v>73</v>
      </c>
      <c r="C3907" t="s">
        <v>74</v>
      </c>
      <c r="E3907" t="str">
        <f>"080065641285"</f>
        <v>080065641285</v>
      </c>
      <c r="F3907" s="3">
        <v>45806</v>
      </c>
      <c r="G3907">
        <v>202602</v>
      </c>
      <c r="H3907" t="s">
        <v>75</v>
      </c>
      <c r="I3907" t="s">
        <v>76</v>
      </c>
      <c r="J3907" t="s">
        <v>77</v>
      </c>
      <c r="K3907" t="s">
        <v>78</v>
      </c>
      <c r="L3907" t="s">
        <v>1328</v>
      </c>
      <c r="M3907" t="s">
        <v>1329</v>
      </c>
      <c r="N3907" t="s">
        <v>1330</v>
      </c>
      <c r="O3907" t="s">
        <v>82</v>
      </c>
      <c r="P3907" t="str">
        <f>"4170041357                    "</f>
        <v xml:space="preserve">4170041357                    </v>
      </c>
      <c r="Q3907">
        <v>0</v>
      </c>
      <c r="R3907">
        <v>0</v>
      </c>
      <c r="S3907">
        <v>0</v>
      </c>
      <c r="T3907">
        <v>0</v>
      </c>
      <c r="U3907">
        <v>0</v>
      </c>
      <c r="V3907">
        <v>0</v>
      </c>
      <c r="W3907">
        <v>0</v>
      </c>
      <c r="X3907">
        <v>0</v>
      </c>
      <c r="Y3907">
        <v>0</v>
      </c>
      <c r="Z3907">
        <v>0</v>
      </c>
      <c r="AA3907">
        <v>0</v>
      </c>
      <c r="AB3907">
        <v>0</v>
      </c>
      <c r="AC3907">
        <v>0</v>
      </c>
      <c r="AD3907">
        <v>0</v>
      </c>
      <c r="AE3907">
        <v>0</v>
      </c>
      <c r="AF3907">
        <v>0</v>
      </c>
      <c r="AG3907">
        <v>0</v>
      </c>
      <c r="AH3907">
        <v>0</v>
      </c>
      <c r="AI3907">
        <v>0</v>
      </c>
      <c r="AJ3907">
        <v>0</v>
      </c>
      <c r="AK3907">
        <v>0</v>
      </c>
      <c r="AL3907">
        <v>0</v>
      </c>
      <c r="AM3907">
        <v>0</v>
      </c>
      <c r="AN3907">
        <v>0</v>
      </c>
      <c r="AO3907">
        <v>0</v>
      </c>
      <c r="AP3907">
        <v>0</v>
      </c>
      <c r="AQ3907">
        <v>30.07</v>
      </c>
      <c r="AR3907">
        <v>0</v>
      </c>
      <c r="AS3907">
        <v>0</v>
      </c>
      <c r="AT3907">
        <v>0</v>
      </c>
      <c r="AU3907">
        <v>0</v>
      </c>
      <c r="AV3907">
        <v>0</v>
      </c>
      <c r="AW3907">
        <v>0</v>
      </c>
      <c r="AX3907">
        <v>0</v>
      </c>
      <c r="AY3907">
        <v>0</v>
      </c>
      <c r="AZ3907">
        <v>0</v>
      </c>
      <c r="BA3907">
        <v>0</v>
      </c>
      <c r="BB3907">
        <v>0</v>
      </c>
      <c r="BC3907">
        <v>0</v>
      </c>
      <c r="BD3907">
        <v>0</v>
      </c>
      <c r="BE3907">
        <v>0</v>
      </c>
      <c r="BF3907">
        <v>0</v>
      </c>
      <c r="BG3907">
        <v>0</v>
      </c>
      <c r="BH3907">
        <v>1</v>
      </c>
      <c r="BI3907">
        <v>1</v>
      </c>
      <c r="BJ3907">
        <v>0.2</v>
      </c>
      <c r="BK3907">
        <v>1</v>
      </c>
      <c r="BL3907">
        <v>98.42</v>
      </c>
      <c r="BM3907">
        <v>14.76</v>
      </c>
      <c r="BN3907">
        <v>113.18</v>
      </c>
      <c r="BO3907">
        <v>113.18</v>
      </c>
      <c r="BQ3907" t="s">
        <v>1331</v>
      </c>
      <c r="BR3907" t="s">
        <v>84</v>
      </c>
      <c r="BS3907" s="3">
        <v>45807</v>
      </c>
      <c r="BT3907" s="4">
        <v>0.29375000000000001</v>
      </c>
      <c r="BU3907" t="s">
        <v>3450</v>
      </c>
      <c r="BV3907" t="s">
        <v>86</v>
      </c>
      <c r="BY3907">
        <v>1200</v>
      </c>
      <c r="CA3907" t="s">
        <v>1332</v>
      </c>
      <c r="CC3907" t="s">
        <v>1329</v>
      </c>
      <c r="CD3907">
        <v>2210</v>
      </c>
      <c r="CE3907" t="s">
        <v>88</v>
      </c>
      <c r="CI3907">
        <v>1</v>
      </c>
      <c r="CJ3907">
        <v>1</v>
      </c>
      <c r="CK3907">
        <v>24</v>
      </c>
      <c r="CL3907" t="s">
        <v>89</v>
      </c>
    </row>
    <row r="3908" spans="1:90" x14ac:dyDescent="0.3">
      <c r="A3908" t="s">
        <v>72</v>
      </c>
      <c r="B3908" t="s">
        <v>73</v>
      </c>
      <c r="C3908" t="s">
        <v>74</v>
      </c>
      <c r="E3908" t="str">
        <f>"080065641311"</f>
        <v>080065641311</v>
      </c>
      <c r="F3908" s="3">
        <v>45806</v>
      </c>
      <c r="G3908">
        <v>202602</v>
      </c>
      <c r="H3908" t="s">
        <v>75</v>
      </c>
      <c r="I3908" t="s">
        <v>76</v>
      </c>
      <c r="J3908" t="s">
        <v>77</v>
      </c>
      <c r="K3908" t="s">
        <v>78</v>
      </c>
      <c r="L3908" t="s">
        <v>90</v>
      </c>
      <c r="M3908" t="s">
        <v>91</v>
      </c>
      <c r="N3908" t="s">
        <v>563</v>
      </c>
      <c r="O3908" t="s">
        <v>82</v>
      </c>
      <c r="P3908" t="str">
        <f>"4170041311                    "</f>
        <v xml:space="preserve">4170041311                    </v>
      </c>
      <c r="Q3908">
        <v>0</v>
      </c>
      <c r="R3908">
        <v>0</v>
      </c>
      <c r="S3908">
        <v>0</v>
      </c>
      <c r="T3908">
        <v>0</v>
      </c>
      <c r="U3908">
        <v>0</v>
      </c>
      <c r="V3908">
        <v>0</v>
      </c>
      <c r="W3908">
        <v>0</v>
      </c>
      <c r="X3908">
        <v>0</v>
      </c>
      <c r="Y3908">
        <v>0</v>
      </c>
      <c r="Z3908">
        <v>0</v>
      </c>
      <c r="AA3908">
        <v>0</v>
      </c>
      <c r="AB3908">
        <v>0</v>
      </c>
      <c r="AC3908">
        <v>0</v>
      </c>
      <c r="AD3908">
        <v>0</v>
      </c>
      <c r="AE3908">
        <v>0</v>
      </c>
      <c r="AF3908">
        <v>0</v>
      </c>
      <c r="AG3908">
        <v>0</v>
      </c>
      <c r="AH3908">
        <v>0</v>
      </c>
      <c r="AI3908">
        <v>0</v>
      </c>
      <c r="AJ3908">
        <v>0</v>
      </c>
      <c r="AK3908">
        <v>0</v>
      </c>
      <c r="AL3908">
        <v>0</v>
      </c>
      <c r="AM3908">
        <v>0</v>
      </c>
      <c r="AN3908">
        <v>0</v>
      </c>
      <c r="AO3908">
        <v>0</v>
      </c>
      <c r="AP3908">
        <v>0</v>
      </c>
      <c r="AQ3908">
        <v>37.409999999999997</v>
      </c>
      <c r="AR3908">
        <v>0</v>
      </c>
      <c r="AS3908">
        <v>0</v>
      </c>
      <c r="AT3908">
        <v>0</v>
      </c>
      <c r="AU3908">
        <v>0</v>
      </c>
      <c r="AV3908">
        <v>0</v>
      </c>
      <c r="AW3908">
        <v>0</v>
      </c>
      <c r="AX3908">
        <v>0</v>
      </c>
      <c r="AY3908">
        <v>0</v>
      </c>
      <c r="AZ3908">
        <v>0</v>
      </c>
      <c r="BA3908">
        <v>0</v>
      </c>
      <c r="BB3908">
        <v>0</v>
      </c>
      <c r="BC3908">
        <v>0</v>
      </c>
      <c r="BD3908">
        <v>0</v>
      </c>
      <c r="BE3908">
        <v>0</v>
      </c>
      <c r="BF3908">
        <v>0</v>
      </c>
      <c r="BG3908">
        <v>0</v>
      </c>
      <c r="BH3908">
        <v>1</v>
      </c>
      <c r="BI3908">
        <v>2</v>
      </c>
      <c r="BJ3908">
        <v>3.4</v>
      </c>
      <c r="BK3908">
        <v>3.5</v>
      </c>
      <c r="BL3908">
        <v>122.43</v>
      </c>
      <c r="BM3908">
        <v>18.36</v>
      </c>
      <c r="BN3908">
        <v>140.79</v>
      </c>
      <c r="BO3908">
        <v>140.79</v>
      </c>
      <c r="BQ3908" t="s">
        <v>564</v>
      </c>
      <c r="BR3908" t="s">
        <v>84</v>
      </c>
      <c r="BS3908" t="s">
        <v>1540</v>
      </c>
      <c r="BV3908" t="s">
        <v>89</v>
      </c>
      <c r="BY3908">
        <v>17136</v>
      </c>
      <c r="CC3908" t="s">
        <v>91</v>
      </c>
      <c r="CD3908">
        <v>6001</v>
      </c>
      <c r="CE3908" t="s">
        <v>221</v>
      </c>
      <c r="CI3908">
        <v>1</v>
      </c>
      <c r="CJ3908" t="s">
        <v>1540</v>
      </c>
      <c r="CK3908">
        <v>21</v>
      </c>
      <c r="CL3908" t="s">
        <v>89</v>
      </c>
    </row>
    <row r="3909" spans="1:90" x14ac:dyDescent="0.3">
      <c r="A3909" t="s">
        <v>72</v>
      </c>
      <c r="B3909" t="s">
        <v>73</v>
      </c>
      <c r="C3909" t="s">
        <v>74</v>
      </c>
      <c r="E3909" t="str">
        <f>"080065641312"</f>
        <v>080065641312</v>
      </c>
      <c r="F3909" s="3">
        <v>45806</v>
      </c>
      <c r="G3909">
        <v>202602</v>
      </c>
      <c r="H3909" t="s">
        <v>75</v>
      </c>
      <c r="I3909" t="s">
        <v>76</v>
      </c>
      <c r="J3909" t="s">
        <v>77</v>
      </c>
      <c r="K3909" t="s">
        <v>78</v>
      </c>
      <c r="L3909" t="s">
        <v>130</v>
      </c>
      <c r="M3909" t="s">
        <v>131</v>
      </c>
      <c r="N3909" t="s">
        <v>239</v>
      </c>
      <c r="O3909" t="s">
        <v>82</v>
      </c>
      <c r="P3909" t="str">
        <f>"4170041190                    "</f>
        <v xml:space="preserve">4170041190                    </v>
      </c>
      <c r="Q3909">
        <v>0</v>
      </c>
      <c r="R3909">
        <v>0</v>
      </c>
      <c r="S3909">
        <v>0</v>
      </c>
      <c r="T3909">
        <v>0</v>
      </c>
      <c r="U3909">
        <v>0</v>
      </c>
      <c r="V3909">
        <v>0</v>
      </c>
      <c r="W3909">
        <v>0</v>
      </c>
      <c r="X3909">
        <v>0</v>
      </c>
      <c r="Y3909">
        <v>0</v>
      </c>
      <c r="Z3909">
        <v>0</v>
      </c>
      <c r="AA3909">
        <v>0</v>
      </c>
      <c r="AB3909">
        <v>0</v>
      </c>
      <c r="AC3909">
        <v>0</v>
      </c>
      <c r="AD3909">
        <v>0</v>
      </c>
      <c r="AE3909">
        <v>0</v>
      </c>
      <c r="AF3909">
        <v>0</v>
      </c>
      <c r="AG3909">
        <v>0</v>
      </c>
      <c r="AH3909">
        <v>0</v>
      </c>
      <c r="AI3909">
        <v>0</v>
      </c>
      <c r="AJ3909">
        <v>0</v>
      </c>
      <c r="AK3909">
        <v>0</v>
      </c>
      <c r="AL3909">
        <v>0</v>
      </c>
      <c r="AM3909">
        <v>0</v>
      </c>
      <c r="AN3909">
        <v>0</v>
      </c>
      <c r="AO3909">
        <v>0</v>
      </c>
      <c r="AP3909">
        <v>0</v>
      </c>
      <c r="AQ3909">
        <v>21.38</v>
      </c>
      <c r="AR3909">
        <v>0</v>
      </c>
      <c r="AS3909">
        <v>0</v>
      </c>
      <c r="AT3909">
        <v>0</v>
      </c>
      <c r="AU3909">
        <v>0</v>
      </c>
      <c r="AV3909">
        <v>0</v>
      </c>
      <c r="AW3909">
        <v>0</v>
      </c>
      <c r="AX3909">
        <v>0</v>
      </c>
      <c r="AY3909">
        <v>0</v>
      </c>
      <c r="AZ3909">
        <v>0</v>
      </c>
      <c r="BA3909">
        <v>0</v>
      </c>
      <c r="BB3909">
        <v>0</v>
      </c>
      <c r="BC3909">
        <v>0</v>
      </c>
      <c r="BD3909">
        <v>0</v>
      </c>
      <c r="BE3909">
        <v>0</v>
      </c>
      <c r="BF3909">
        <v>0</v>
      </c>
      <c r="BG3909">
        <v>0</v>
      </c>
      <c r="BH3909">
        <v>1</v>
      </c>
      <c r="BI3909">
        <v>1</v>
      </c>
      <c r="BJ3909">
        <v>0.2</v>
      </c>
      <c r="BK3909">
        <v>1</v>
      </c>
      <c r="BL3909">
        <v>69.98</v>
      </c>
      <c r="BM3909">
        <v>10.5</v>
      </c>
      <c r="BN3909">
        <v>80.48</v>
      </c>
      <c r="BO3909">
        <v>80.48</v>
      </c>
      <c r="BQ3909" t="s">
        <v>240</v>
      </c>
      <c r="BR3909" t="s">
        <v>84</v>
      </c>
      <c r="BS3909" t="s">
        <v>1540</v>
      </c>
      <c r="BV3909" t="s">
        <v>89</v>
      </c>
      <c r="BY3909">
        <v>1200</v>
      </c>
      <c r="CC3909" t="s">
        <v>131</v>
      </c>
      <c r="CD3909">
        <v>7441</v>
      </c>
      <c r="CE3909" t="s">
        <v>88</v>
      </c>
      <c r="CI3909">
        <v>1</v>
      </c>
      <c r="CJ3909" t="s">
        <v>1540</v>
      </c>
      <c r="CK3909">
        <v>21</v>
      </c>
      <c r="CL3909" t="s">
        <v>89</v>
      </c>
    </row>
    <row r="3910" spans="1:90" x14ac:dyDescent="0.3">
      <c r="A3910" t="s">
        <v>72</v>
      </c>
      <c r="B3910" t="s">
        <v>73</v>
      </c>
      <c r="C3910" t="s">
        <v>74</v>
      </c>
      <c r="E3910" t="str">
        <f>"080065641325"</f>
        <v>080065641325</v>
      </c>
      <c r="F3910" s="3">
        <v>45806</v>
      </c>
      <c r="G3910">
        <v>202602</v>
      </c>
      <c r="H3910" t="s">
        <v>75</v>
      </c>
      <c r="I3910" t="s">
        <v>76</v>
      </c>
      <c r="J3910" t="s">
        <v>77</v>
      </c>
      <c r="K3910" t="s">
        <v>78</v>
      </c>
      <c r="L3910" t="s">
        <v>136</v>
      </c>
      <c r="M3910" t="s">
        <v>137</v>
      </c>
      <c r="N3910" t="s">
        <v>2603</v>
      </c>
      <c r="O3910" t="s">
        <v>82</v>
      </c>
      <c r="P3910" t="str">
        <f>"4170041359                    "</f>
        <v xml:space="preserve">4170041359                    </v>
      </c>
      <c r="Q3910">
        <v>0</v>
      </c>
      <c r="R3910">
        <v>0</v>
      </c>
      <c r="S3910">
        <v>0</v>
      </c>
      <c r="T3910">
        <v>0</v>
      </c>
      <c r="U3910">
        <v>0</v>
      </c>
      <c r="V3910">
        <v>0</v>
      </c>
      <c r="W3910">
        <v>0</v>
      </c>
      <c r="X3910">
        <v>0</v>
      </c>
      <c r="Y3910">
        <v>0</v>
      </c>
      <c r="Z3910">
        <v>0</v>
      </c>
      <c r="AA3910">
        <v>0</v>
      </c>
      <c r="AB3910">
        <v>0</v>
      </c>
      <c r="AC3910">
        <v>0</v>
      </c>
      <c r="AD3910">
        <v>0</v>
      </c>
      <c r="AE3910">
        <v>0</v>
      </c>
      <c r="AF3910">
        <v>0</v>
      </c>
      <c r="AG3910">
        <v>0</v>
      </c>
      <c r="AH3910">
        <v>0</v>
      </c>
      <c r="AI3910">
        <v>0</v>
      </c>
      <c r="AJ3910">
        <v>0</v>
      </c>
      <c r="AK3910">
        <v>0</v>
      </c>
      <c r="AL3910">
        <v>0</v>
      </c>
      <c r="AM3910">
        <v>0</v>
      </c>
      <c r="AN3910">
        <v>0</v>
      </c>
      <c r="AO3910">
        <v>0</v>
      </c>
      <c r="AP3910">
        <v>0</v>
      </c>
      <c r="AQ3910">
        <v>21.38</v>
      </c>
      <c r="AR3910">
        <v>0</v>
      </c>
      <c r="AS3910">
        <v>0</v>
      </c>
      <c r="AT3910">
        <v>0</v>
      </c>
      <c r="AU3910">
        <v>0</v>
      </c>
      <c r="AV3910">
        <v>0</v>
      </c>
      <c r="AW3910">
        <v>0</v>
      </c>
      <c r="AX3910">
        <v>0</v>
      </c>
      <c r="AY3910">
        <v>0</v>
      </c>
      <c r="AZ3910">
        <v>0</v>
      </c>
      <c r="BA3910">
        <v>0</v>
      </c>
      <c r="BB3910">
        <v>0</v>
      </c>
      <c r="BC3910">
        <v>0</v>
      </c>
      <c r="BD3910">
        <v>0</v>
      </c>
      <c r="BE3910">
        <v>0</v>
      </c>
      <c r="BF3910">
        <v>0</v>
      </c>
      <c r="BG3910">
        <v>0</v>
      </c>
      <c r="BH3910">
        <v>1</v>
      </c>
      <c r="BI3910">
        <v>1</v>
      </c>
      <c r="BJ3910">
        <v>0.2</v>
      </c>
      <c r="BK3910">
        <v>1</v>
      </c>
      <c r="BL3910">
        <v>69.98</v>
      </c>
      <c r="BM3910">
        <v>10.5</v>
      </c>
      <c r="BN3910">
        <v>80.48</v>
      </c>
      <c r="BO3910">
        <v>80.48</v>
      </c>
      <c r="BQ3910" t="s">
        <v>2668</v>
      </c>
      <c r="BR3910" t="s">
        <v>84</v>
      </c>
      <c r="BS3910" t="s">
        <v>1540</v>
      </c>
      <c r="BV3910" t="s">
        <v>89</v>
      </c>
      <c r="BY3910">
        <v>1200</v>
      </c>
      <c r="CC3910" t="s">
        <v>137</v>
      </c>
      <c r="CD3910" s="5" t="s">
        <v>1786</v>
      </c>
      <c r="CE3910" t="s">
        <v>88</v>
      </c>
      <c r="CI3910">
        <v>1</v>
      </c>
      <c r="CJ3910" t="s">
        <v>1540</v>
      </c>
      <c r="CK3910">
        <v>21</v>
      </c>
      <c r="CL3910" t="s">
        <v>89</v>
      </c>
    </row>
    <row r="3911" spans="1:90" x14ac:dyDescent="0.3">
      <c r="A3911" t="s">
        <v>72</v>
      </c>
      <c r="B3911" t="s">
        <v>73</v>
      </c>
      <c r="C3911" t="s">
        <v>74</v>
      </c>
      <c r="E3911" t="str">
        <f>"080065641330"</f>
        <v>080065641330</v>
      </c>
      <c r="F3911" s="3">
        <v>45806</v>
      </c>
      <c r="G3911">
        <v>202602</v>
      </c>
      <c r="H3911" t="s">
        <v>75</v>
      </c>
      <c r="I3911" t="s">
        <v>76</v>
      </c>
      <c r="J3911" t="s">
        <v>77</v>
      </c>
      <c r="K3911" t="s">
        <v>78</v>
      </c>
      <c r="L3911" t="s">
        <v>331</v>
      </c>
      <c r="M3911" t="s">
        <v>332</v>
      </c>
      <c r="N3911" t="s">
        <v>3451</v>
      </c>
      <c r="O3911" t="s">
        <v>82</v>
      </c>
      <c r="P3911" t="str">
        <f>"4170041304                    "</f>
        <v xml:space="preserve">4170041304                    </v>
      </c>
      <c r="Q3911">
        <v>0</v>
      </c>
      <c r="R3911">
        <v>0</v>
      </c>
      <c r="S3911">
        <v>0</v>
      </c>
      <c r="T3911">
        <v>0</v>
      </c>
      <c r="U3911">
        <v>0</v>
      </c>
      <c r="V3911">
        <v>0</v>
      </c>
      <c r="W3911">
        <v>0</v>
      </c>
      <c r="X3911">
        <v>0</v>
      </c>
      <c r="Y3911">
        <v>0</v>
      </c>
      <c r="Z3911">
        <v>0</v>
      </c>
      <c r="AA3911">
        <v>0</v>
      </c>
      <c r="AB3911">
        <v>0</v>
      </c>
      <c r="AC3911">
        <v>0</v>
      </c>
      <c r="AD3911">
        <v>0</v>
      </c>
      <c r="AE3911">
        <v>0</v>
      </c>
      <c r="AF3911">
        <v>0</v>
      </c>
      <c r="AG3911">
        <v>0</v>
      </c>
      <c r="AH3911">
        <v>0</v>
      </c>
      <c r="AI3911">
        <v>0</v>
      </c>
      <c r="AJ3911">
        <v>0</v>
      </c>
      <c r="AK3911">
        <v>0</v>
      </c>
      <c r="AL3911">
        <v>0</v>
      </c>
      <c r="AM3911">
        <v>0</v>
      </c>
      <c r="AN3911">
        <v>0</v>
      </c>
      <c r="AO3911">
        <v>0</v>
      </c>
      <c r="AP3911">
        <v>0</v>
      </c>
      <c r="AQ3911">
        <v>16.7</v>
      </c>
      <c r="AR3911">
        <v>0</v>
      </c>
      <c r="AS3911">
        <v>0</v>
      </c>
      <c r="AT3911">
        <v>0</v>
      </c>
      <c r="AU3911">
        <v>0</v>
      </c>
      <c r="AV3911">
        <v>0</v>
      </c>
      <c r="AW3911">
        <v>0</v>
      </c>
      <c r="AX3911">
        <v>0</v>
      </c>
      <c r="AY3911">
        <v>0</v>
      </c>
      <c r="AZ3911">
        <v>0</v>
      </c>
      <c r="BA3911">
        <v>0</v>
      </c>
      <c r="BB3911">
        <v>0</v>
      </c>
      <c r="BC3911">
        <v>0</v>
      </c>
      <c r="BD3911">
        <v>0</v>
      </c>
      <c r="BE3911">
        <v>0</v>
      </c>
      <c r="BF3911">
        <v>0</v>
      </c>
      <c r="BG3911">
        <v>0</v>
      </c>
      <c r="BH3911">
        <v>1</v>
      </c>
      <c r="BI3911">
        <v>3</v>
      </c>
      <c r="BJ3911">
        <v>4.2</v>
      </c>
      <c r="BK3911">
        <v>5</v>
      </c>
      <c r="BL3911">
        <v>54.66</v>
      </c>
      <c r="BM3911">
        <v>8.1999999999999993</v>
      </c>
      <c r="BN3911">
        <v>62.86</v>
      </c>
      <c r="BO3911">
        <v>62.86</v>
      </c>
      <c r="BQ3911" t="s">
        <v>3452</v>
      </c>
      <c r="BR3911" t="s">
        <v>84</v>
      </c>
      <c r="BS3911" t="s">
        <v>1540</v>
      </c>
      <c r="BV3911" t="s">
        <v>89</v>
      </c>
      <c r="BY3911">
        <v>21120</v>
      </c>
      <c r="CC3911" t="s">
        <v>332</v>
      </c>
      <c r="CD3911">
        <v>1451</v>
      </c>
      <c r="CE3911" t="s">
        <v>221</v>
      </c>
      <c r="CI3911">
        <v>1</v>
      </c>
      <c r="CJ3911" t="s">
        <v>1540</v>
      </c>
      <c r="CK3911">
        <v>22</v>
      </c>
      <c r="CL3911" t="s">
        <v>89</v>
      </c>
    </row>
    <row r="3912" spans="1:90" x14ac:dyDescent="0.3">
      <c r="A3912" t="s">
        <v>72</v>
      </c>
      <c r="B3912" t="s">
        <v>73</v>
      </c>
      <c r="C3912" t="s">
        <v>74</v>
      </c>
      <c r="E3912" t="str">
        <f>"080065641339"</f>
        <v>080065641339</v>
      </c>
      <c r="F3912" s="3">
        <v>45806</v>
      </c>
      <c r="G3912">
        <v>202602</v>
      </c>
      <c r="H3912" t="s">
        <v>75</v>
      </c>
      <c r="I3912" t="s">
        <v>76</v>
      </c>
      <c r="J3912" t="s">
        <v>77</v>
      </c>
      <c r="K3912" t="s">
        <v>78</v>
      </c>
      <c r="L3912" t="s">
        <v>409</v>
      </c>
      <c r="M3912" t="s">
        <v>410</v>
      </c>
      <c r="N3912" t="s">
        <v>411</v>
      </c>
      <c r="O3912" t="s">
        <v>82</v>
      </c>
      <c r="P3912" t="str">
        <f>"4170041444                    "</f>
        <v xml:space="preserve">4170041444                    </v>
      </c>
      <c r="Q3912">
        <v>0</v>
      </c>
      <c r="R3912">
        <v>0</v>
      </c>
      <c r="S3912">
        <v>0</v>
      </c>
      <c r="T3912">
        <v>0</v>
      </c>
      <c r="U3912">
        <v>0</v>
      </c>
      <c r="V3912">
        <v>0</v>
      </c>
      <c r="W3912">
        <v>0</v>
      </c>
      <c r="X3912">
        <v>0</v>
      </c>
      <c r="Y3912">
        <v>0</v>
      </c>
      <c r="Z3912">
        <v>0</v>
      </c>
      <c r="AA3912">
        <v>0</v>
      </c>
      <c r="AB3912">
        <v>0</v>
      </c>
      <c r="AC3912">
        <v>0</v>
      </c>
      <c r="AD3912">
        <v>0</v>
      </c>
      <c r="AE3912">
        <v>0</v>
      </c>
      <c r="AF3912">
        <v>0</v>
      </c>
      <c r="AG3912">
        <v>0</v>
      </c>
      <c r="AH3912">
        <v>0</v>
      </c>
      <c r="AI3912">
        <v>0</v>
      </c>
      <c r="AJ3912">
        <v>0</v>
      </c>
      <c r="AK3912">
        <v>0</v>
      </c>
      <c r="AL3912">
        <v>0</v>
      </c>
      <c r="AM3912">
        <v>0</v>
      </c>
      <c r="AN3912">
        <v>0</v>
      </c>
      <c r="AO3912">
        <v>0</v>
      </c>
      <c r="AP3912">
        <v>0</v>
      </c>
      <c r="AQ3912">
        <v>41.43</v>
      </c>
      <c r="AR3912">
        <v>0</v>
      </c>
      <c r="AS3912">
        <v>0</v>
      </c>
      <c r="AT3912">
        <v>0</v>
      </c>
      <c r="AU3912">
        <v>0</v>
      </c>
      <c r="AV3912">
        <v>0</v>
      </c>
      <c r="AW3912">
        <v>0</v>
      </c>
      <c r="AX3912">
        <v>0</v>
      </c>
      <c r="AY3912">
        <v>0</v>
      </c>
      <c r="AZ3912">
        <v>0</v>
      </c>
      <c r="BA3912">
        <v>0</v>
      </c>
      <c r="BB3912">
        <v>0</v>
      </c>
      <c r="BC3912">
        <v>0</v>
      </c>
      <c r="BD3912">
        <v>0</v>
      </c>
      <c r="BE3912">
        <v>0</v>
      </c>
      <c r="BF3912">
        <v>0</v>
      </c>
      <c r="BG3912">
        <v>0</v>
      </c>
      <c r="BH3912">
        <v>1</v>
      </c>
      <c r="BI3912">
        <v>1</v>
      </c>
      <c r="BJ3912">
        <v>0.2</v>
      </c>
      <c r="BK3912">
        <v>1</v>
      </c>
      <c r="BL3912">
        <v>135.59</v>
      </c>
      <c r="BM3912">
        <v>20.34</v>
      </c>
      <c r="BN3912">
        <v>155.93</v>
      </c>
      <c r="BO3912">
        <v>155.93</v>
      </c>
      <c r="BQ3912" t="s">
        <v>412</v>
      </c>
      <c r="BR3912" t="s">
        <v>84</v>
      </c>
      <c r="BS3912" t="s">
        <v>1540</v>
      </c>
      <c r="BV3912" t="s">
        <v>89</v>
      </c>
      <c r="BY3912">
        <v>1200</v>
      </c>
      <c r="CC3912" t="s">
        <v>410</v>
      </c>
      <c r="CD3912">
        <v>6850</v>
      </c>
      <c r="CE3912" t="s">
        <v>88</v>
      </c>
      <c r="CI3912">
        <v>2</v>
      </c>
      <c r="CJ3912" t="s">
        <v>1540</v>
      </c>
      <c r="CK3912">
        <v>23</v>
      </c>
      <c r="CL3912" t="s">
        <v>89</v>
      </c>
    </row>
    <row r="3913" spans="1:90" x14ac:dyDescent="0.3">
      <c r="A3913" t="s">
        <v>72</v>
      </c>
      <c r="B3913" t="s">
        <v>73</v>
      </c>
      <c r="C3913" t="s">
        <v>74</v>
      </c>
      <c r="E3913" t="str">
        <f>"080065641364"</f>
        <v>080065641364</v>
      </c>
      <c r="F3913" s="3">
        <v>45806</v>
      </c>
      <c r="G3913">
        <v>202602</v>
      </c>
      <c r="H3913" t="s">
        <v>75</v>
      </c>
      <c r="I3913" t="s">
        <v>76</v>
      </c>
      <c r="J3913" t="s">
        <v>77</v>
      </c>
      <c r="K3913" t="s">
        <v>78</v>
      </c>
      <c r="L3913" t="s">
        <v>624</v>
      </c>
      <c r="M3913" t="s">
        <v>625</v>
      </c>
      <c r="N3913" t="s">
        <v>481</v>
      </c>
      <c r="O3913" t="s">
        <v>82</v>
      </c>
      <c r="P3913" t="str">
        <f>"4170041409                    "</f>
        <v xml:space="preserve">4170041409                    </v>
      </c>
      <c r="Q3913">
        <v>0</v>
      </c>
      <c r="R3913">
        <v>0</v>
      </c>
      <c r="S3913">
        <v>0</v>
      </c>
      <c r="T3913">
        <v>0</v>
      </c>
      <c r="U3913">
        <v>0</v>
      </c>
      <c r="V3913">
        <v>0</v>
      </c>
      <c r="W3913">
        <v>0</v>
      </c>
      <c r="X3913">
        <v>0</v>
      </c>
      <c r="Y3913">
        <v>0</v>
      </c>
      <c r="Z3913">
        <v>0</v>
      </c>
      <c r="AA3913">
        <v>0</v>
      </c>
      <c r="AB3913">
        <v>0</v>
      </c>
      <c r="AC3913">
        <v>0</v>
      </c>
      <c r="AD3913">
        <v>0</v>
      </c>
      <c r="AE3913">
        <v>0</v>
      </c>
      <c r="AF3913">
        <v>0</v>
      </c>
      <c r="AG3913">
        <v>0</v>
      </c>
      <c r="AH3913">
        <v>0</v>
      </c>
      <c r="AI3913">
        <v>0</v>
      </c>
      <c r="AJ3913">
        <v>0</v>
      </c>
      <c r="AK3913">
        <v>0</v>
      </c>
      <c r="AL3913">
        <v>0</v>
      </c>
      <c r="AM3913">
        <v>0</v>
      </c>
      <c r="AN3913">
        <v>0</v>
      </c>
      <c r="AO3913">
        <v>0</v>
      </c>
      <c r="AP3913">
        <v>0</v>
      </c>
      <c r="AQ3913">
        <v>172.39</v>
      </c>
      <c r="AR3913">
        <v>0</v>
      </c>
      <c r="AS3913">
        <v>0</v>
      </c>
      <c r="AT3913">
        <v>0</v>
      </c>
      <c r="AU3913">
        <v>0</v>
      </c>
      <c r="AV3913">
        <v>0</v>
      </c>
      <c r="AW3913">
        <v>0</v>
      </c>
      <c r="AX3913">
        <v>0</v>
      </c>
      <c r="AY3913">
        <v>0</v>
      </c>
      <c r="AZ3913">
        <v>0</v>
      </c>
      <c r="BA3913">
        <v>0</v>
      </c>
      <c r="BB3913">
        <v>0</v>
      </c>
      <c r="BC3913">
        <v>0</v>
      </c>
      <c r="BD3913">
        <v>0</v>
      </c>
      <c r="BE3913">
        <v>0</v>
      </c>
      <c r="BF3913">
        <v>0</v>
      </c>
      <c r="BG3913">
        <v>0</v>
      </c>
      <c r="BH3913">
        <v>1</v>
      </c>
      <c r="BI3913">
        <v>9</v>
      </c>
      <c r="BJ3913">
        <v>3.4</v>
      </c>
      <c r="BK3913">
        <v>9</v>
      </c>
      <c r="BL3913">
        <v>564.19000000000005</v>
      </c>
      <c r="BM3913">
        <v>84.63</v>
      </c>
      <c r="BN3913">
        <v>648.82000000000005</v>
      </c>
      <c r="BO3913">
        <v>648.82000000000005</v>
      </c>
      <c r="BQ3913" t="s">
        <v>1025</v>
      </c>
      <c r="BR3913" t="s">
        <v>84</v>
      </c>
      <c r="BS3913" t="s">
        <v>1540</v>
      </c>
      <c r="BV3913" t="s">
        <v>89</v>
      </c>
      <c r="BY3913">
        <v>16965</v>
      </c>
      <c r="CC3913" t="s">
        <v>625</v>
      </c>
      <c r="CD3913">
        <v>1947</v>
      </c>
      <c r="CE3913" t="s">
        <v>96</v>
      </c>
      <c r="CI3913">
        <v>1</v>
      </c>
      <c r="CJ3913" t="s">
        <v>1540</v>
      </c>
      <c r="CK3913">
        <v>23</v>
      </c>
      <c r="CL3913" t="s">
        <v>89</v>
      </c>
    </row>
    <row r="3914" spans="1:90" x14ac:dyDescent="0.3">
      <c r="A3914" t="s">
        <v>72</v>
      </c>
      <c r="B3914" t="s">
        <v>73</v>
      </c>
      <c r="C3914" t="s">
        <v>74</v>
      </c>
      <c r="E3914" t="str">
        <f>"080065641382"</f>
        <v>080065641382</v>
      </c>
      <c r="F3914" s="3">
        <v>45806</v>
      </c>
      <c r="G3914">
        <v>202602</v>
      </c>
      <c r="H3914" t="s">
        <v>75</v>
      </c>
      <c r="I3914" t="s">
        <v>76</v>
      </c>
      <c r="J3914" t="s">
        <v>77</v>
      </c>
      <c r="K3914" t="s">
        <v>78</v>
      </c>
      <c r="L3914" t="s">
        <v>97</v>
      </c>
      <c r="M3914" t="s">
        <v>98</v>
      </c>
      <c r="N3914" t="s">
        <v>2056</v>
      </c>
      <c r="O3914" t="s">
        <v>82</v>
      </c>
      <c r="P3914" t="str">
        <f>"4170041448                    "</f>
        <v xml:space="preserve">4170041448                    </v>
      </c>
      <c r="Q3914">
        <v>0</v>
      </c>
      <c r="R3914">
        <v>0</v>
      </c>
      <c r="S3914">
        <v>0</v>
      </c>
      <c r="T3914">
        <v>0</v>
      </c>
      <c r="U3914">
        <v>0</v>
      </c>
      <c r="V3914">
        <v>0</v>
      </c>
      <c r="W3914">
        <v>0</v>
      </c>
      <c r="X3914">
        <v>0</v>
      </c>
      <c r="Y3914">
        <v>0</v>
      </c>
      <c r="Z3914">
        <v>0</v>
      </c>
      <c r="AA3914">
        <v>0</v>
      </c>
      <c r="AB3914">
        <v>0</v>
      </c>
      <c r="AC3914">
        <v>0</v>
      </c>
      <c r="AD3914">
        <v>0</v>
      </c>
      <c r="AE3914">
        <v>0</v>
      </c>
      <c r="AF3914">
        <v>0</v>
      </c>
      <c r="AG3914">
        <v>0</v>
      </c>
      <c r="AH3914">
        <v>0</v>
      </c>
      <c r="AI3914">
        <v>0</v>
      </c>
      <c r="AJ3914">
        <v>0</v>
      </c>
      <c r="AK3914">
        <v>0</v>
      </c>
      <c r="AL3914">
        <v>0</v>
      </c>
      <c r="AM3914">
        <v>0</v>
      </c>
      <c r="AN3914">
        <v>0</v>
      </c>
      <c r="AO3914">
        <v>0</v>
      </c>
      <c r="AP3914">
        <v>0</v>
      </c>
      <c r="AQ3914">
        <v>16.7</v>
      </c>
      <c r="AR3914">
        <v>0</v>
      </c>
      <c r="AS3914">
        <v>0</v>
      </c>
      <c r="AT3914">
        <v>0</v>
      </c>
      <c r="AU3914">
        <v>0</v>
      </c>
      <c r="AV3914">
        <v>0</v>
      </c>
      <c r="AW3914">
        <v>0</v>
      </c>
      <c r="AX3914">
        <v>0</v>
      </c>
      <c r="AY3914">
        <v>0</v>
      </c>
      <c r="AZ3914">
        <v>0</v>
      </c>
      <c r="BA3914">
        <v>0</v>
      </c>
      <c r="BB3914">
        <v>0</v>
      </c>
      <c r="BC3914">
        <v>0</v>
      </c>
      <c r="BD3914">
        <v>0</v>
      </c>
      <c r="BE3914">
        <v>0</v>
      </c>
      <c r="BF3914">
        <v>0</v>
      </c>
      <c r="BG3914">
        <v>0</v>
      </c>
      <c r="BH3914">
        <v>1</v>
      </c>
      <c r="BI3914">
        <v>4</v>
      </c>
      <c r="BJ3914">
        <v>3.4</v>
      </c>
      <c r="BK3914">
        <v>4</v>
      </c>
      <c r="BL3914">
        <v>54.66</v>
      </c>
      <c r="BM3914">
        <v>8.1999999999999993</v>
      </c>
      <c r="BN3914">
        <v>62.86</v>
      </c>
      <c r="BO3914">
        <v>62.86</v>
      </c>
      <c r="BQ3914" t="s">
        <v>2057</v>
      </c>
      <c r="BR3914" t="s">
        <v>84</v>
      </c>
      <c r="BS3914" t="s">
        <v>1540</v>
      </c>
      <c r="BV3914" t="s">
        <v>89</v>
      </c>
      <c r="BY3914">
        <v>16965</v>
      </c>
      <c r="CC3914" t="s">
        <v>98</v>
      </c>
      <c r="CD3914">
        <v>1459</v>
      </c>
      <c r="CE3914" t="s">
        <v>96</v>
      </c>
      <c r="CI3914">
        <v>1</v>
      </c>
      <c r="CJ3914" t="s">
        <v>1540</v>
      </c>
      <c r="CK3914">
        <v>22</v>
      </c>
      <c r="CL3914" t="s">
        <v>89</v>
      </c>
    </row>
    <row r="3915" spans="1:90" x14ac:dyDescent="0.3">
      <c r="A3915" t="s">
        <v>72</v>
      </c>
      <c r="B3915" t="s">
        <v>73</v>
      </c>
      <c r="C3915" t="s">
        <v>74</v>
      </c>
      <c r="E3915" t="str">
        <f>"080065641396"</f>
        <v>080065641396</v>
      </c>
      <c r="F3915" s="3">
        <v>45806</v>
      </c>
      <c r="G3915">
        <v>202602</v>
      </c>
      <c r="H3915" t="s">
        <v>75</v>
      </c>
      <c r="I3915" t="s">
        <v>76</v>
      </c>
      <c r="J3915" t="s">
        <v>77</v>
      </c>
      <c r="K3915" t="s">
        <v>78</v>
      </c>
      <c r="L3915" t="s">
        <v>463</v>
      </c>
      <c r="M3915" t="s">
        <v>464</v>
      </c>
      <c r="N3915" t="s">
        <v>1325</v>
      </c>
      <c r="O3915" t="s">
        <v>82</v>
      </c>
      <c r="P3915" t="str">
        <f>"4170041294                    "</f>
        <v xml:space="preserve">4170041294                    </v>
      </c>
      <c r="Q3915">
        <v>0</v>
      </c>
      <c r="R3915">
        <v>0</v>
      </c>
      <c r="S3915">
        <v>0</v>
      </c>
      <c r="T3915">
        <v>0</v>
      </c>
      <c r="U3915">
        <v>0</v>
      </c>
      <c r="V3915">
        <v>0</v>
      </c>
      <c r="W3915">
        <v>0</v>
      </c>
      <c r="X3915">
        <v>0</v>
      </c>
      <c r="Y3915">
        <v>0</v>
      </c>
      <c r="Z3915">
        <v>0</v>
      </c>
      <c r="AA3915">
        <v>0</v>
      </c>
      <c r="AB3915">
        <v>0</v>
      </c>
      <c r="AC3915">
        <v>0</v>
      </c>
      <c r="AD3915">
        <v>0</v>
      </c>
      <c r="AE3915">
        <v>0</v>
      </c>
      <c r="AF3915">
        <v>0</v>
      </c>
      <c r="AG3915">
        <v>0</v>
      </c>
      <c r="AH3915">
        <v>0</v>
      </c>
      <c r="AI3915">
        <v>0</v>
      </c>
      <c r="AJ3915">
        <v>0</v>
      </c>
      <c r="AK3915">
        <v>0</v>
      </c>
      <c r="AL3915">
        <v>0</v>
      </c>
      <c r="AM3915">
        <v>0</v>
      </c>
      <c r="AN3915">
        <v>0</v>
      </c>
      <c r="AO3915">
        <v>0</v>
      </c>
      <c r="AP3915">
        <v>0</v>
      </c>
      <c r="AQ3915">
        <v>21.38</v>
      </c>
      <c r="AR3915">
        <v>0</v>
      </c>
      <c r="AS3915">
        <v>0</v>
      </c>
      <c r="AT3915">
        <v>0</v>
      </c>
      <c r="AU3915">
        <v>0</v>
      </c>
      <c r="AV3915">
        <v>0</v>
      </c>
      <c r="AW3915">
        <v>0</v>
      </c>
      <c r="AX3915">
        <v>0</v>
      </c>
      <c r="AY3915">
        <v>0</v>
      </c>
      <c r="AZ3915">
        <v>0</v>
      </c>
      <c r="BA3915">
        <v>0</v>
      </c>
      <c r="BB3915">
        <v>0</v>
      </c>
      <c r="BC3915">
        <v>0</v>
      </c>
      <c r="BD3915">
        <v>0</v>
      </c>
      <c r="BE3915">
        <v>0</v>
      </c>
      <c r="BF3915">
        <v>0</v>
      </c>
      <c r="BG3915">
        <v>0</v>
      </c>
      <c r="BH3915">
        <v>1</v>
      </c>
      <c r="BI3915">
        <v>2</v>
      </c>
      <c r="BJ3915">
        <v>1.7</v>
      </c>
      <c r="BK3915">
        <v>2</v>
      </c>
      <c r="BL3915">
        <v>69.98</v>
      </c>
      <c r="BM3915">
        <v>10.5</v>
      </c>
      <c r="BN3915">
        <v>80.48</v>
      </c>
      <c r="BO3915">
        <v>80.48</v>
      </c>
      <c r="BQ3915" t="s">
        <v>1326</v>
      </c>
      <c r="BR3915" t="s">
        <v>84</v>
      </c>
      <c r="BS3915" t="s">
        <v>1540</v>
      </c>
      <c r="BV3915" t="s">
        <v>89</v>
      </c>
      <c r="BY3915">
        <v>8512</v>
      </c>
      <c r="CC3915" t="s">
        <v>464</v>
      </c>
      <c r="CD3915">
        <v>5201</v>
      </c>
      <c r="CE3915" t="s">
        <v>96</v>
      </c>
      <c r="CI3915">
        <v>5</v>
      </c>
      <c r="CJ3915" t="s">
        <v>1540</v>
      </c>
      <c r="CK3915">
        <v>21</v>
      </c>
      <c r="CL3915" t="s">
        <v>89</v>
      </c>
    </row>
    <row r="3916" spans="1:90" x14ac:dyDescent="0.3">
      <c r="A3916" t="s">
        <v>72</v>
      </c>
      <c r="B3916" t="s">
        <v>73</v>
      </c>
      <c r="C3916" t="s">
        <v>74</v>
      </c>
      <c r="E3916" t="str">
        <f>"080065641413"</f>
        <v>080065641413</v>
      </c>
      <c r="F3916" s="3">
        <v>45806</v>
      </c>
      <c r="G3916">
        <v>202602</v>
      </c>
      <c r="H3916" t="s">
        <v>75</v>
      </c>
      <c r="I3916" t="s">
        <v>76</v>
      </c>
      <c r="J3916" t="s">
        <v>77</v>
      </c>
      <c r="K3916" t="s">
        <v>78</v>
      </c>
      <c r="L3916" t="s">
        <v>75</v>
      </c>
      <c r="M3916" t="s">
        <v>76</v>
      </c>
      <c r="N3916" t="s">
        <v>3433</v>
      </c>
      <c r="O3916" t="s">
        <v>82</v>
      </c>
      <c r="P3916" t="str">
        <f>"4170041286                    "</f>
        <v xml:space="preserve">4170041286                    </v>
      </c>
      <c r="Q3916">
        <v>0</v>
      </c>
      <c r="R3916">
        <v>0</v>
      </c>
      <c r="S3916">
        <v>0</v>
      </c>
      <c r="T3916">
        <v>0</v>
      </c>
      <c r="U3916">
        <v>0</v>
      </c>
      <c r="V3916">
        <v>0</v>
      </c>
      <c r="W3916">
        <v>0</v>
      </c>
      <c r="X3916">
        <v>0</v>
      </c>
      <c r="Y3916">
        <v>0</v>
      </c>
      <c r="Z3916">
        <v>0</v>
      </c>
      <c r="AA3916">
        <v>0</v>
      </c>
      <c r="AB3916">
        <v>0</v>
      </c>
      <c r="AC3916">
        <v>0</v>
      </c>
      <c r="AD3916">
        <v>0</v>
      </c>
      <c r="AE3916">
        <v>0</v>
      </c>
      <c r="AF3916">
        <v>0</v>
      </c>
      <c r="AG3916">
        <v>0</v>
      </c>
      <c r="AH3916">
        <v>0</v>
      </c>
      <c r="AI3916">
        <v>0</v>
      </c>
      <c r="AJ3916">
        <v>0</v>
      </c>
      <c r="AK3916">
        <v>0</v>
      </c>
      <c r="AL3916">
        <v>0</v>
      </c>
      <c r="AM3916">
        <v>0</v>
      </c>
      <c r="AN3916">
        <v>0</v>
      </c>
      <c r="AO3916">
        <v>0</v>
      </c>
      <c r="AP3916">
        <v>0</v>
      </c>
      <c r="AQ3916">
        <v>16.7</v>
      </c>
      <c r="AR3916">
        <v>0</v>
      </c>
      <c r="AS3916">
        <v>0</v>
      </c>
      <c r="AT3916">
        <v>0</v>
      </c>
      <c r="AU3916">
        <v>0</v>
      </c>
      <c r="AV3916">
        <v>0</v>
      </c>
      <c r="AW3916">
        <v>0</v>
      </c>
      <c r="AX3916">
        <v>0</v>
      </c>
      <c r="AY3916">
        <v>0</v>
      </c>
      <c r="AZ3916">
        <v>0</v>
      </c>
      <c r="BA3916">
        <v>0</v>
      </c>
      <c r="BB3916">
        <v>0</v>
      </c>
      <c r="BC3916">
        <v>0</v>
      </c>
      <c r="BD3916">
        <v>0</v>
      </c>
      <c r="BE3916">
        <v>0</v>
      </c>
      <c r="BF3916">
        <v>0</v>
      </c>
      <c r="BG3916">
        <v>0</v>
      </c>
      <c r="BH3916">
        <v>1</v>
      </c>
      <c r="BI3916">
        <v>3</v>
      </c>
      <c r="BJ3916">
        <v>1.7</v>
      </c>
      <c r="BK3916">
        <v>3</v>
      </c>
      <c r="BL3916">
        <v>54.66</v>
      </c>
      <c r="BM3916">
        <v>8.1999999999999993</v>
      </c>
      <c r="BN3916">
        <v>62.86</v>
      </c>
      <c r="BO3916">
        <v>62.86</v>
      </c>
      <c r="BQ3916" t="s">
        <v>3434</v>
      </c>
      <c r="BR3916" t="s">
        <v>84</v>
      </c>
      <c r="BS3916" t="s">
        <v>1540</v>
      </c>
      <c r="BV3916" t="s">
        <v>89</v>
      </c>
      <c r="BY3916">
        <v>8512</v>
      </c>
      <c r="CC3916" t="s">
        <v>76</v>
      </c>
      <c r="CD3916">
        <v>1600</v>
      </c>
      <c r="CE3916" t="s">
        <v>96</v>
      </c>
      <c r="CI3916">
        <v>1</v>
      </c>
      <c r="CJ3916" t="s">
        <v>1540</v>
      </c>
      <c r="CK3916">
        <v>22</v>
      </c>
      <c r="CL3916" t="s">
        <v>89</v>
      </c>
    </row>
    <row r="3917" spans="1:90" x14ac:dyDescent="0.3">
      <c r="A3917" t="s">
        <v>72</v>
      </c>
      <c r="B3917" t="s">
        <v>73</v>
      </c>
      <c r="C3917" t="s">
        <v>74</v>
      </c>
      <c r="E3917" t="str">
        <f>"080065641423"</f>
        <v>080065641423</v>
      </c>
      <c r="F3917" s="3">
        <v>45806</v>
      </c>
      <c r="G3917">
        <v>202602</v>
      </c>
      <c r="H3917" t="s">
        <v>75</v>
      </c>
      <c r="I3917" t="s">
        <v>76</v>
      </c>
      <c r="J3917" t="s">
        <v>77</v>
      </c>
      <c r="K3917" t="s">
        <v>78</v>
      </c>
      <c r="L3917" t="s">
        <v>90</v>
      </c>
      <c r="M3917" t="s">
        <v>91</v>
      </c>
      <c r="N3917" t="s">
        <v>280</v>
      </c>
      <c r="O3917" t="s">
        <v>82</v>
      </c>
      <c r="P3917" t="str">
        <f>"4170041344                    "</f>
        <v xml:space="preserve">4170041344                    </v>
      </c>
      <c r="Q3917">
        <v>0</v>
      </c>
      <c r="R3917">
        <v>0</v>
      </c>
      <c r="S3917">
        <v>0</v>
      </c>
      <c r="T3917">
        <v>0</v>
      </c>
      <c r="U3917">
        <v>0</v>
      </c>
      <c r="V3917">
        <v>0</v>
      </c>
      <c r="W3917">
        <v>0</v>
      </c>
      <c r="X3917">
        <v>0</v>
      </c>
      <c r="Y3917">
        <v>0</v>
      </c>
      <c r="Z3917">
        <v>0</v>
      </c>
      <c r="AA3917">
        <v>0</v>
      </c>
      <c r="AB3917">
        <v>0</v>
      </c>
      <c r="AC3917">
        <v>0</v>
      </c>
      <c r="AD3917">
        <v>0</v>
      </c>
      <c r="AE3917">
        <v>0</v>
      </c>
      <c r="AF3917">
        <v>0</v>
      </c>
      <c r="AG3917">
        <v>0</v>
      </c>
      <c r="AH3917">
        <v>0</v>
      </c>
      <c r="AI3917">
        <v>0</v>
      </c>
      <c r="AJ3917">
        <v>0</v>
      </c>
      <c r="AK3917">
        <v>0</v>
      </c>
      <c r="AL3917">
        <v>0</v>
      </c>
      <c r="AM3917">
        <v>0</v>
      </c>
      <c r="AN3917">
        <v>0</v>
      </c>
      <c r="AO3917">
        <v>0</v>
      </c>
      <c r="AP3917">
        <v>0</v>
      </c>
      <c r="AQ3917">
        <v>21.38</v>
      </c>
      <c r="AR3917">
        <v>0</v>
      </c>
      <c r="AS3917">
        <v>0</v>
      </c>
      <c r="AT3917">
        <v>0</v>
      </c>
      <c r="AU3917">
        <v>0</v>
      </c>
      <c r="AV3917">
        <v>0</v>
      </c>
      <c r="AW3917">
        <v>0</v>
      </c>
      <c r="AX3917">
        <v>0</v>
      </c>
      <c r="AY3917">
        <v>0</v>
      </c>
      <c r="AZ3917">
        <v>0</v>
      </c>
      <c r="BA3917">
        <v>0</v>
      </c>
      <c r="BB3917">
        <v>0</v>
      </c>
      <c r="BC3917">
        <v>0</v>
      </c>
      <c r="BD3917">
        <v>0</v>
      </c>
      <c r="BE3917">
        <v>0</v>
      </c>
      <c r="BF3917">
        <v>0</v>
      </c>
      <c r="BG3917">
        <v>0</v>
      </c>
      <c r="BH3917">
        <v>1</v>
      </c>
      <c r="BI3917">
        <v>2</v>
      </c>
      <c r="BJ3917">
        <v>0.6</v>
      </c>
      <c r="BK3917">
        <v>2</v>
      </c>
      <c r="BL3917">
        <v>69.98</v>
      </c>
      <c r="BM3917">
        <v>10.5</v>
      </c>
      <c r="BN3917">
        <v>80.48</v>
      </c>
      <c r="BO3917">
        <v>80.48</v>
      </c>
      <c r="BQ3917" t="s">
        <v>281</v>
      </c>
      <c r="BR3917" t="s">
        <v>84</v>
      </c>
      <c r="BS3917" t="s">
        <v>1540</v>
      </c>
      <c r="BV3917" t="s">
        <v>89</v>
      </c>
      <c r="BY3917">
        <v>3192</v>
      </c>
      <c r="CC3917" t="s">
        <v>91</v>
      </c>
      <c r="CD3917">
        <v>6012</v>
      </c>
      <c r="CE3917" t="s">
        <v>116</v>
      </c>
      <c r="CI3917">
        <v>1</v>
      </c>
      <c r="CJ3917" t="s">
        <v>1540</v>
      </c>
      <c r="CK3917">
        <v>21</v>
      </c>
      <c r="CL3917" t="s">
        <v>89</v>
      </c>
    </row>
    <row r="3918" spans="1:90" x14ac:dyDescent="0.3">
      <c r="A3918" t="s">
        <v>72</v>
      </c>
      <c r="B3918" t="s">
        <v>73</v>
      </c>
      <c r="C3918" t="s">
        <v>74</v>
      </c>
      <c r="E3918" t="str">
        <f>"080065641457"</f>
        <v>080065641457</v>
      </c>
      <c r="F3918" s="3">
        <v>45806</v>
      </c>
      <c r="G3918">
        <v>202602</v>
      </c>
      <c r="H3918" t="s">
        <v>75</v>
      </c>
      <c r="I3918" t="s">
        <v>76</v>
      </c>
      <c r="J3918" t="s">
        <v>77</v>
      </c>
      <c r="K3918" t="s">
        <v>78</v>
      </c>
      <c r="L3918" t="s">
        <v>130</v>
      </c>
      <c r="M3918" t="s">
        <v>131</v>
      </c>
      <c r="N3918" t="s">
        <v>239</v>
      </c>
      <c r="O3918" t="s">
        <v>82</v>
      </c>
      <c r="P3918" t="str">
        <f>"4170041363                    "</f>
        <v xml:space="preserve">4170041363                    </v>
      </c>
      <c r="Q3918">
        <v>0</v>
      </c>
      <c r="R3918">
        <v>0</v>
      </c>
      <c r="S3918">
        <v>0</v>
      </c>
      <c r="T3918">
        <v>0</v>
      </c>
      <c r="U3918">
        <v>0</v>
      </c>
      <c r="V3918">
        <v>0</v>
      </c>
      <c r="W3918">
        <v>0</v>
      </c>
      <c r="X3918">
        <v>0</v>
      </c>
      <c r="Y3918">
        <v>0</v>
      </c>
      <c r="Z3918">
        <v>0</v>
      </c>
      <c r="AA3918">
        <v>0</v>
      </c>
      <c r="AB3918">
        <v>0</v>
      </c>
      <c r="AC3918">
        <v>0</v>
      </c>
      <c r="AD3918">
        <v>0</v>
      </c>
      <c r="AE3918">
        <v>0</v>
      </c>
      <c r="AF3918">
        <v>0</v>
      </c>
      <c r="AG3918">
        <v>0</v>
      </c>
      <c r="AH3918">
        <v>0</v>
      </c>
      <c r="AI3918">
        <v>0</v>
      </c>
      <c r="AJ3918">
        <v>0</v>
      </c>
      <c r="AK3918">
        <v>0</v>
      </c>
      <c r="AL3918">
        <v>0</v>
      </c>
      <c r="AM3918">
        <v>0</v>
      </c>
      <c r="AN3918">
        <v>0</v>
      </c>
      <c r="AO3918">
        <v>0</v>
      </c>
      <c r="AP3918">
        <v>0</v>
      </c>
      <c r="AQ3918">
        <v>85.48</v>
      </c>
      <c r="AR3918">
        <v>0</v>
      </c>
      <c r="AS3918">
        <v>0</v>
      </c>
      <c r="AT3918">
        <v>0</v>
      </c>
      <c r="AU3918">
        <v>0</v>
      </c>
      <c r="AV3918">
        <v>0</v>
      </c>
      <c r="AW3918">
        <v>0</v>
      </c>
      <c r="AX3918">
        <v>0</v>
      </c>
      <c r="AY3918">
        <v>0</v>
      </c>
      <c r="AZ3918">
        <v>0</v>
      </c>
      <c r="BA3918">
        <v>0</v>
      </c>
      <c r="BB3918">
        <v>0</v>
      </c>
      <c r="BC3918">
        <v>0</v>
      </c>
      <c r="BD3918">
        <v>0</v>
      </c>
      <c r="BE3918">
        <v>0</v>
      </c>
      <c r="BF3918">
        <v>0</v>
      </c>
      <c r="BG3918">
        <v>0</v>
      </c>
      <c r="BH3918">
        <v>1</v>
      </c>
      <c r="BI3918">
        <v>8</v>
      </c>
      <c r="BJ3918">
        <v>3.4</v>
      </c>
      <c r="BK3918">
        <v>8</v>
      </c>
      <c r="BL3918">
        <v>279.76</v>
      </c>
      <c r="BM3918">
        <v>41.96</v>
      </c>
      <c r="BN3918">
        <v>321.72000000000003</v>
      </c>
      <c r="BO3918">
        <v>321.72000000000003</v>
      </c>
      <c r="BQ3918" t="s">
        <v>240</v>
      </c>
      <c r="BR3918" t="s">
        <v>84</v>
      </c>
      <c r="BS3918" t="s">
        <v>1540</v>
      </c>
      <c r="BV3918" t="s">
        <v>89</v>
      </c>
      <c r="BY3918">
        <v>16965</v>
      </c>
      <c r="CC3918" t="s">
        <v>131</v>
      </c>
      <c r="CD3918">
        <v>7441</v>
      </c>
      <c r="CE3918" t="s">
        <v>96</v>
      </c>
      <c r="CI3918">
        <v>1</v>
      </c>
      <c r="CJ3918" t="s">
        <v>1540</v>
      </c>
      <c r="CK3918">
        <v>21</v>
      </c>
      <c r="CL3918" t="s">
        <v>89</v>
      </c>
    </row>
    <row r="3919" spans="1:90" x14ac:dyDescent="0.3">
      <c r="A3919" t="s">
        <v>72</v>
      </c>
      <c r="B3919" t="s">
        <v>73</v>
      </c>
      <c r="C3919" t="s">
        <v>74</v>
      </c>
      <c r="E3919" t="str">
        <f>"080065641493"</f>
        <v>080065641493</v>
      </c>
      <c r="F3919" s="3">
        <v>45806</v>
      </c>
      <c r="G3919">
        <v>202602</v>
      </c>
      <c r="H3919" t="s">
        <v>75</v>
      </c>
      <c r="I3919" t="s">
        <v>76</v>
      </c>
      <c r="J3919" t="s">
        <v>77</v>
      </c>
      <c r="K3919" t="s">
        <v>78</v>
      </c>
      <c r="L3919" t="s">
        <v>136</v>
      </c>
      <c r="M3919" t="s">
        <v>137</v>
      </c>
      <c r="N3919" t="s">
        <v>3453</v>
      </c>
      <c r="O3919" t="s">
        <v>300</v>
      </c>
      <c r="P3919" t="str">
        <f>"4170041325                    "</f>
        <v xml:space="preserve">4170041325                    </v>
      </c>
      <c r="Q3919">
        <v>0</v>
      </c>
      <c r="R3919">
        <v>0</v>
      </c>
      <c r="S3919">
        <v>0</v>
      </c>
      <c r="T3919">
        <v>0</v>
      </c>
      <c r="U3919">
        <v>0</v>
      </c>
      <c r="V3919">
        <v>0</v>
      </c>
      <c r="W3919">
        <v>0</v>
      </c>
      <c r="X3919">
        <v>0</v>
      </c>
      <c r="Y3919">
        <v>0</v>
      </c>
      <c r="Z3919">
        <v>0</v>
      </c>
      <c r="AA3919">
        <v>0</v>
      </c>
      <c r="AB3919">
        <v>0</v>
      </c>
      <c r="AC3919">
        <v>0</v>
      </c>
      <c r="AD3919">
        <v>0</v>
      </c>
      <c r="AE3919">
        <v>0</v>
      </c>
      <c r="AF3919">
        <v>0</v>
      </c>
      <c r="AG3919">
        <v>0</v>
      </c>
      <c r="AH3919">
        <v>0</v>
      </c>
      <c r="AI3919">
        <v>0</v>
      </c>
      <c r="AJ3919">
        <v>0</v>
      </c>
      <c r="AK3919">
        <v>0</v>
      </c>
      <c r="AL3919">
        <v>0</v>
      </c>
      <c r="AM3919">
        <v>0</v>
      </c>
      <c r="AN3919">
        <v>0</v>
      </c>
      <c r="AO3919">
        <v>0</v>
      </c>
      <c r="AP3919">
        <v>0</v>
      </c>
      <c r="AQ3919">
        <v>41.35</v>
      </c>
      <c r="AR3919">
        <v>0</v>
      </c>
      <c r="AS3919">
        <v>0</v>
      </c>
      <c r="AT3919">
        <v>0</v>
      </c>
      <c r="AU3919">
        <v>0</v>
      </c>
      <c r="AV3919">
        <v>0</v>
      </c>
      <c r="AW3919">
        <v>0</v>
      </c>
      <c r="AX3919">
        <v>0</v>
      </c>
      <c r="AY3919">
        <v>0</v>
      </c>
      <c r="AZ3919">
        <v>0</v>
      </c>
      <c r="BA3919">
        <v>0</v>
      </c>
      <c r="BB3919">
        <v>0</v>
      </c>
      <c r="BC3919">
        <v>0</v>
      </c>
      <c r="BD3919">
        <v>0</v>
      </c>
      <c r="BE3919">
        <v>0</v>
      </c>
      <c r="BF3919">
        <v>0</v>
      </c>
      <c r="BG3919">
        <v>0</v>
      </c>
      <c r="BH3919">
        <v>1</v>
      </c>
      <c r="BI3919">
        <v>5</v>
      </c>
      <c r="BJ3919">
        <v>0.9</v>
      </c>
      <c r="BK3919">
        <v>5</v>
      </c>
      <c r="BL3919">
        <v>140.9</v>
      </c>
      <c r="BM3919">
        <v>21.14</v>
      </c>
      <c r="BN3919">
        <v>162.04</v>
      </c>
      <c r="BO3919">
        <v>162.04</v>
      </c>
      <c r="BQ3919" t="s">
        <v>3454</v>
      </c>
      <c r="BR3919" t="s">
        <v>84</v>
      </c>
      <c r="BS3919" t="s">
        <v>1540</v>
      </c>
      <c r="BV3919" t="s">
        <v>89</v>
      </c>
      <c r="BY3919">
        <v>4275</v>
      </c>
      <c r="BZ3919" t="s">
        <v>303</v>
      </c>
      <c r="CC3919" t="s">
        <v>137</v>
      </c>
      <c r="CD3919" s="5" t="s">
        <v>1786</v>
      </c>
      <c r="CE3919" t="s">
        <v>408</v>
      </c>
      <c r="CI3919">
        <v>1</v>
      </c>
      <c r="CJ3919" t="s">
        <v>1540</v>
      </c>
      <c r="CK3919">
        <v>41</v>
      </c>
      <c r="CL3919" t="s">
        <v>89</v>
      </c>
    </row>
    <row r="3920" spans="1:90" x14ac:dyDescent="0.3">
      <c r="A3920" t="s">
        <v>72</v>
      </c>
      <c r="B3920" t="s">
        <v>73</v>
      </c>
      <c r="C3920" t="s">
        <v>74</v>
      </c>
      <c r="E3920" t="str">
        <f>"080065641511"</f>
        <v>080065641511</v>
      </c>
      <c r="F3920" s="3">
        <v>45806</v>
      </c>
      <c r="G3920">
        <v>202602</v>
      </c>
      <c r="H3920" t="s">
        <v>75</v>
      </c>
      <c r="I3920" t="s">
        <v>76</v>
      </c>
      <c r="J3920" t="s">
        <v>77</v>
      </c>
      <c r="K3920" t="s">
        <v>78</v>
      </c>
      <c r="L3920" t="s">
        <v>75</v>
      </c>
      <c r="M3920" t="s">
        <v>76</v>
      </c>
      <c r="N3920" t="s">
        <v>390</v>
      </c>
      <c r="O3920" t="s">
        <v>82</v>
      </c>
      <c r="P3920" t="str">
        <f>"4170041315                    "</f>
        <v xml:space="preserve">4170041315                    </v>
      </c>
      <c r="Q3920">
        <v>0</v>
      </c>
      <c r="R3920">
        <v>0</v>
      </c>
      <c r="S3920">
        <v>0</v>
      </c>
      <c r="T3920">
        <v>0</v>
      </c>
      <c r="U3920">
        <v>0</v>
      </c>
      <c r="V3920">
        <v>0</v>
      </c>
      <c r="W3920">
        <v>0</v>
      </c>
      <c r="X3920">
        <v>0</v>
      </c>
      <c r="Y3920">
        <v>0</v>
      </c>
      <c r="Z3920">
        <v>0</v>
      </c>
      <c r="AA3920">
        <v>0</v>
      </c>
      <c r="AB3920">
        <v>0</v>
      </c>
      <c r="AC3920">
        <v>0</v>
      </c>
      <c r="AD3920">
        <v>0</v>
      </c>
      <c r="AE3920">
        <v>0</v>
      </c>
      <c r="AF3920">
        <v>0</v>
      </c>
      <c r="AG3920">
        <v>0</v>
      </c>
      <c r="AH3920">
        <v>0</v>
      </c>
      <c r="AI3920">
        <v>0</v>
      </c>
      <c r="AJ3920">
        <v>0</v>
      </c>
      <c r="AK3920">
        <v>0</v>
      </c>
      <c r="AL3920">
        <v>0</v>
      </c>
      <c r="AM3920">
        <v>0</v>
      </c>
      <c r="AN3920">
        <v>0</v>
      </c>
      <c r="AO3920">
        <v>0</v>
      </c>
      <c r="AP3920">
        <v>0</v>
      </c>
      <c r="AQ3920">
        <v>16.7</v>
      </c>
      <c r="AR3920">
        <v>0</v>
      </c>
      <c r="AS3920">
        <v>0</v>
      </c>
      <c r="AT3920">
        <v>0</v>
      </c>
      <c r="AU3920">
        <v>0</v>
      </c>
      <c r="AV3920">
        <v>0</v>
      </c>
      <c r="AW3920">
        <v>0</v>
      </c>
      <c r="AX3920">
        <v>0</v>
      </c>
      <c r="AY3920">
        <v>0</v>
      </c>
      <c r="AZ3920">
        <v>0</v>
      </c>
      <c r="BA3920">
        <v>0</v>
      </c>
      <c r="BB3920">
        <v>0</v>
      </c>
      <c r="BC3920">
        <v>0</v>
      </c>
      <c r="BD3920">
        <v>0</v>
      </c>
      <c r="BE3920">
        <v>0</v>
      </c>
      <c r="BF3920">
        <v>0</v>
      </c>
      <c r="BG3920">
        <v>0</v>
      </c>
      <c r="BH3920">
        <v>1</v>
      </c>
      <c r="BI3920">
        <v>5</v>
      </c>
      <c r="BJ3920">
        <v>1.7</v>
      </c>
      <c r="BK3920">
        <v>5</v>
      </c>
      <c r="BL3920">
        <v>54.66</v>
      </c>
      <c r="BM3920">
        <v>8.1999999999999993</v>
      </c>
      <c r="BN3920">
        <v>62.86</v>
      </c>
      <c r="BO3920">
        <v>62.86</v>
      </c>
      <c r="BQ3920" t="s">
        <v>391</v>
      </c>
      <c r="BR3920" t="s">
        <v>84</v>
      </c>
      <c r="BS3920" t="s">
        <v>1540</v>
      </c>
      <c r="BV3920" t="s">
        <v>89</v>
      </c>
      <c r="BY3920">
        <v>8512</v>
      </c>
      <c r="BZ3920" t="s">
        <v>127</v>
      </c>
      <c r="CC3920" t="s">
        <v>76</v>
      </c>
      <c r="CD3920">
        <v>1600</v>
      </c>
      <c r="CE3920" t="s">
        <v>408</v>
      </c>
      <c r="CI3920">
        <v>1</v>
      </c>
      <c r="CJ3920" t="s">
        <v>1540</v>
      </c>
      <c r="CK3920">
        <v>22</v>
      </c>
      <c r="CL3920" t="s">
        <v>89</v>
      </c>
    </row>
    <row r="3921" spans="1:90" x14ac:dyDescent="0.3">
      <c r="A3921" t="s">
        <v>72</v>
      </c>
      <c r="B3921" t="s">
        <v>73</v>
      </c>
      <c r="C3921" t="s">
        <v>74</v>
      </c>
      <c r="E3921" t="str">
        <f>"080065641596"</f>
        <v>080065641596</v>
      </c>
      <c r="F3921" s="3">
        <v>45806</v>
      </c>
      <c r="G3921">
        <v>202602</v>
      </c>
      <c r="H3921" t="s">
        <v>75</v>
      </c>
      <c r="I3921" t="s">
        <v>76</v>
      </c>
      <c r="J3921" t="s">
        <v>77</v>
      </c>
      <c r="K3921" t="s">
        <v>78</v>
      </c>
      <c r="L3921" t="s">
        <v>79</v>
      </c>
      <c r="M3921" t="s">
        <v>80</v>
      </c>
      <c r="N3921" t="s">
        <v>357</v>
      </c>
      <c r="O3921" t="s">
        <v>82</v>
      </c>
      <c r="P3921" t="str">
        <f>"4170041326                    "</f>
        <v xml:space="preserve">4170041326                    </v>
      </c>
      <c r="Q3921">
        <v>0</v>
      </c>
      <c r="R3921">
        <v>0</v>
      </c>
      <c r="S3921">
        <v>0</v>
      </c>
      <c r="T3921">
        <v>0</v>
      </c>
      <c r="U3921">
        <v>0</v>
      </c>
      <c r="V3921">
        <v>0</v>
      </c>
      <c r="W3921">
        <v>0</v>
      </c>
      <c r="X3921">
        <v>0</v>
      </c>
      <c r="Y3921">
        <v>0</v>
      </c>
      <c r="Z3921">
        <v>0</v>
      </c>
      <c r="AA3921">
        <v>0</v>
      </c>
      <c r="AB3921">
        <v>0</v>
      </c>
      <c r="AC3921">
        <v>0</v>
      </c>
      <c r="AD3921">
        <v>0</v>
      </c>
      <c r="AE3921">
        <v>0</v>
      </c>
      <c r="AF3921">
        <v>0</v>
      </c>
      <c r="AG3921">
        <v>0</v>
      </c>
      <c r="AH3921">
        <v>0</v>
      </c>
      <c r="AI3921">
        <v>0</v>
      </c>
      <c r="AJ3921">
        <v>0</v>
      </c>
      <c r="AK3921">
        <v>0</v>
      </c>
      <c r="AL3921">
        <v>0</v>
      </c>
      <c r="AM3921">
        <v>0</v>
      </c>
      <c r="AN3921">
        <v>0</v>
      </c>
      <c r="AO3921">
        <v>0</v>
      </c>
      <c r="AP3921">
        <v>0</v>
      </c>
      <c r="AQ3921">
        <v>21.38</v>
      </c>
      <c r="AR3921">
        <v>0</v>
      </c>
      <c r="AS3921">
        <v>0</v>
      </c>
      <c r="AT3921">
        <v>0</v>
      </c>
      <c r="AU3921">
        <v>0</v>
      </c>
      <c r="AV3921">
        <v>0</v>
      </c>
      <c r="AW3921">
        <v>0</v>
      </c>
      <c r="AX3921">
        <v>0</v>
      </c>
      <c r="AY3921">
        <v>0</v>
      </c>
      <c r="AZ3921">
        <v>0</v>
      </c>
      <c r="BA3921">
        <v>0</v>
      </c>
      <c r="BB3921">
        <v>0</v>
      </c>
      <c r="BC3921">
        <v>0</v>
      </c>
      <c r="BD3921">
        <v>0</v>
      </c>
      <c r="BE3921">
        <v>0</v>
      </c>
      <c r="BF3921">
        <v>0</v>
      </c>
      <c r="BG3921">
        <v>0</v>
      </c>
      <c r="BH3921">
        <v>1</v>
      </c>
      <c r="BI3921">
        <v>1</v>
      </c>
      <c r="BJ3921">
        <v>0.2</v>
      </c>
      <c r="BK3921">
        <v>1</v>
      </c>
      <c r="BL3921">
        <v>69.98</v>
      </c>
      <c r="BM3921">
        <v>10.5</v>
      </c>
      <c r="BN3921">
        <v>80.48</v>
      </c>
      <c r="BO3921">
        <v>80.48</v>
      </c>
      <c r="BQ3921" t="s">
        <v>358</v>
      </c>
      <c r="BR3921" t="s">
        <v>84</v>
      </c>
      <c r="BS3921" t="s">
        <v>1540</v>
      </c>
      <c r="BV3921" t="s">
        <v>89</v>
      </c>
      <c r="BY3921">
        <v>1200</v>
      </c>
      <c r="CC3921" t="s">
        <v>80</v>
      </c>
      <c r="CD3921">
        <v>3608</v>
      </c>
      <c r="CE3921" t="s">
        <v>88</v>
      </c>
      <c r="CI3921">
        <v>1</v>
      </c>
      <c r="CJ3921" t="s">
        <v>1540</v>
      </c>
      <c r="CK3921">
        <v>21</v>
      </c>
      <c r="CL3921" t="s">
        <v>89</v>
      </c>
    </row>
    <row r="3922" spans="1:90" x14ac:dyDescent="0.3">
      <c r="A3922" t="s">
        <v>72</v>
      </c>
      <c r="B3922" t="s">
        <v>73</v>
      </c>
      <c r="C3922" t="s">
        <v>74</v>
      </c>
      <c r="E3922" t="str">
        <f>"080065641655"</f>
        <v>080065641655</v>
      </c>
      <c r="F3922" s="3">
        <v>45806</v>
      </c>
      <c r="G3922">
        <v>202602</v>
      </c>
      <c r="H3922" t="s">
        <v>75</v>
      </c>
      <c r="I3922" t="s">
        <v>76</v>
      </c>
      <c r="J3922" t="s">
        <v>77</v>
      </c>
      <c r="K3922" t="s">
        <v>78</v>
      </c>
      <c r="L3922" t="s">
        <v>374</v>
      </c>
      <c r="M3922" t="s">
        <v>375</v>
      </c>
      <c r="N3922" t="s">
        <v>376</v>
      </c>
      <c r="O3922" t="s">
        <v>82</v>
      </c>
      <c r="P3922" t="str">
        <f>"4170041455                    "</f>
        <v xml:space="preserve">4170041455                    </v>
      </c>
      <c r="Q3922">
        <v>0</v>
      </c>
      <c r="R3922">
        <v>0</v>
      </c>
      <c r="S3922">
        <v>0</v>
      </c>
      <c r="T3922">
        <v>0</v>
      </c>
      <c r="U3922">
        <v>0</v>
      </c>
      <c r="V3922">
        <v>0</v>
      </c>
      <c r="W3922">
        <v>0</v>
      </c>
      <c r="X3922">
        <v>0</v>
      </c>
      <c r="Y3922">
        <v>0</v>
      </c>
      <c r="Z3922">
        <v>0</v>
      </c>
      <c r="AA3922">
        <v>0</v>
      </c>
      <c r="AB3922">
        <v>0</v>
      </c>
      <c r="AC3922">
        <v>0</v>
      </c>
      <c r="AD3922">
        <v>0</v>
      </c>
      <c r="AE3922">
        <v>0</v>
      </c>
      <c r="AF3922">
        <v>0</v>
      </c>
      <c r="AG3922">
        <v>0</v>
      </c>
      <c r="AH3922">
        <v>0</v>
      </c>
      <c r="AI3922">
        <v>0</v>
      </c>
      <c r="AJ3922">
        <v>0</v>
      </c>
      <c r="AK3922">
        <v>0</v>
      </c>
      <c r="AL3922">
        <v>0</v>
      </c>
      <c r="AM3922">
        <v>0</v>
      </c>
      <c r="AN3922">
        <v>0</v>
      </c>
      <c r="AO3922">
        <v>0</v>
      </c>
      <c r="AP3922">
        <v>0</v>
      </c>
      <c r="AQ3922">
        <v>41.43</v>
      </c>
      <c r="AR3922">
        <v>0</v>
      </c>
      <c r="AS3922">
        <v>0</v>
      </c>
      <c r="AT3922">
        <v>0</v>
      </c>
      <c r="AU3922">
        <v>0</v>
      </c>
      <c r="AV3922">
        <v>0</v>
      </c>
      <c r="AW3922">
        <v>0</v>
      </c>
      <c r="AX3922">
        <v>0</v>
      </c>
      <c r="AY3922">
        <v>0</v>
      </c>
      <c r="AZ3922">
        <v>0</v>
      </c>
      <c r="BA3922">
        <v>0</v>
      </c>
      <c r="BB3922">
        <v>0</v>
      </c>
      <c r="BC3922">
        <v>0</v>
      </c>
      <c r="BD3922">
        <v>0</v>
      </c>
      <c r="BE3922">
        <v>0</v>
      </c>
      <c r="BF3922">
        <v>0</v>
      </c>
      <c r="BG3922">
        <v>0</v>
      </c>
      <c r="BH3922">
        <v>1</v>
      </c>
      <c r="BI3922">
        <v>1</v>
      </c>
      <c r="BJ3922">
        <v>0.2</v>
      </c>
      <c r="BK3922">
        <v>1</v>
      </c>
      <c r="BL3922">
        <v>135.59</v>
      </c>
      <c r="BM3922">
        <v>20.34</v>
      </c>
      <c r="BN3922">
        <v>155.93</v>
      </c>
      <c r="BO3922">
        <v>155.93</v>
      </c>
      <c r="BQ3922" t="s">
        <v>377</v>
      </c>
      <c r="BR3922" t="s">
        <v>84</v>
      </c>
      <c r="BS3922" t="s">
        <v>1540</v>
      </c>
      <c r="BV3922" t="s">
        <v>89</v>
      </c>
      <c r="BY3922">
        <v>1200</v>
      </c>
      <c r="CC3922" t="s">
        <v>375</v>
      </c>
      <c r="CD3922">
        <v>7130</v>
      </c>
      <c r="CE3922" t="s">
        <v>88</v>
      </c>
      <c r="CI3922">
        <v>1</v>
      </c>
      <c r="CJ3922" t="s">
        <v>1540</v>
      </c>
      <c r="CK3922">
        <v>23</v>
      </c>
      <c r="CL3922" t="s">
        <v>89</v>
      </c>
    </row>
    <row r="3923" spans="1:90" x14ac:dyDescent="0.3">
      <c r="A3923" t="s">
        <v>72</v>
      </c>
      <c r="B3923" t="s">
        <v>73</v>
      </c>
      <c r="C3923" t="s">
        <v>74</v>
      </c>
      <c r="E3923" t="str">
        <f>"080065641707"</f>
        <v>080065641707</v>
      </c>
      <c r="F3923" s="3">
        <v>45806</v>
      </c>
      <c r="G3923">
        <v>202602</v>
      </c>
      <c r="H3923" t="s">
        <v>75</v>
      </c>
      <c r="I3923" t="s">
        <v>76</v>
      </c>
      <c r="J3923" t="s">
        <v>77</v>
      </c>
      <c r="K3923" t="s">
        <v>78</v>
      </c>
      <c r="L3923" t="s">
        <v>624</v>
      </c>
      <c r="M3923" t="s">
        <v>625</v>
      </c>
      <c r="N3923" t="s">
        <v>626</v>
      </c>
      <c r="O3923" t="s">
        <v>82</v>
      </c>
      <c r="P3923" t="str">
        <f>"4170040971                    "</f>
        <v xml:space="preserve">4170040971                    </v>
      </c>
      <c r="Q3923">
        <v>0</v>
      </c>
      <c r="R3923">
        <v>0</v>
      </c>
      <c r="S3923">
        <v>0</v>
      </c>
      <c r="T3923">
        <v>0</v>
      </c>
      <c r="U3923">
        <v>0</v>
      </c>
      <c r="V3923">
        <v>0</v>
      </c>
      <c r="W3923">
        <v>0</v>
      </c>
      <c r="X3923">
        <v>0</v>
      </c>
      <c r="Y3923">
        <v>0</v>
      </c>
      <c r="Z3923">
        <v>0</v>
      </c>
      <c r="AA3923">
        <v>0</v>
      </c>
      <c r="AB3923">
        <v>0</v>
      </c>
      <c r="AC3923">
        <v>0</v>
      </c>
      <c r="AD3923">
        <v>0</v>
      </c>
      <c r="AE3923">
        <v>0</v>
      </c>
      <c r="AF3923">
        <v>0</v>
      </c>
      <c r="AG3923">
        <v>0</v>
      </c>
      <c r="AH3923">
        <v>0</v>
      </c>
      <c r="AI3923">
        <v>0</v>
      </c>
      <c r="AJ3923">
        <v>0</v>
      </c>
      <c r="AK3923">
        <v>0</v>
      </c>
      <c r="AL3923">
        <v>0</v>
      </c>
      <c r="AM3923">
        <v>0</v>
      </c>
      <c r="AN3923">
        <v>0</v>
      </c>
      <c r="AO3923">
        <v>0</v>
      </c>
      <c r="AP3923">
        <v>0</v>
      </c>
      <c r="AQ3923">
        <v>41.43</v>
      </c>
      <c r="AR3923">
        <v>0</v>
      </c>
      <c r="AS3923">
        <v>0</v>
      </c>
      <c r="AT3923">
        <v>0</v>
      </c>
      <c r="AU3923">
        <v>0</v>
      </c>
      <c r="AV3923">
        <v>0</v>
      </c>
      <c r="AW3923">
        <v>0</v>
      </c>
      <c r="AX3923">
        <v>0</v>
      </c>
      <c r="AY3923">
        <v>0</v>
      </c>
      <c r="AZ3923">
        <v>0</v>
      </c>
      <c r="BA3923">
        <v>0</v>
      </c>
      <c r="BB3923">
        <v>0</v>
      </c>
      <c r="BC3923">
        <v>0</v>
      </c>
      <c r="BD3923">
        <v>0</v>
      </c>
      <c r="BE3923">
        <v>0</v>
      </c>
      <c r="BF3923">
        <v>0</v>
      </c>
      <c r="BG3923">
        <v>0</v>
      </c>
      <c r="BH3923">
        <v>1</v>
      </c>
      <c r="BI3923">
        <v>1</v>
      </c>
      <c r="BJ3923">
        <v>0.2</v>
      </c>
      <c r="BK3923">
        <v>1</v>
      </c>
      <c r="BL3923">
        <v>135.59</v>
      </c>
      <c r="BM3923">
        <v>20.34</v>
      </c>
      <c r="BN3923">
        <v>155.93</v>
      </c>
      <c r="BO3923">
        <v>155.93</v>
      </c>
      <c r="BQ3923" t="s">
        <v>627</v>
      </c>
      <c r="BR3923" t="s">
        <v>84</v>
      </c>
      <c r="BS3923" t="s">
        <v>1540</v>
      </c>
      <c r="BV3923" t="s">
        <v>89</v>
      </c>
      <c r="BY3923">
        <v>1200</v>
      </c>
      <c r="CC3923" t="s">
        <v>625</v>
      </c>
      <c r="CD3923">
        <v>1947</v>
      </c>
      <c r="CE3923" t="s">
        <v>88</v>
      </c>
      <c r="CI3923">
        <v>1</v>
      </c>
      <c r="CJ3923" t="s">
        <v>1540</v>
      </c>
      <c r="CK3923">
        <v>23</v>
      </c>
      <c r="CL3923" t="s">
        <v>89</v>
      </c>
    </row>
    <row r="3924" spans="1:90" x14ac:dyDescent="0.3">
      <c r="A3924" t="s">
        <v>72</v>
      </c>
      <c r="B3924" t="s">
        <v>73</v>
      </c>
      <c r="C3924" t="s">
        <v>74</v>
      </c>
      <c r="E3924" t="str">
        <f>"080065641756"</f>
        <v>080065641756</v>
      </c>
      <c r="F3924" s="3">
        <v>45806</v>
      </c>
      <c r="G3924">
        <v>202602</v>
      </c>
      <c r="H3924" t="s">
        <v>75</v>
      </c>
      <c r="I3924" t="s">
        <v>76</v>
      </c>
      <c r="J3924" t="s">
        <v>77</v>
      </c>
      <c r="K3924" t="s">
        <v>78</v>
      </c>
      <c r="L3924" t="s">
        <v>123</v>
      </c>
      <c r="M3924" t="s">
        <v>123</v>
      </c>
      <c r="N3924" t="s">
        <v>2378</v>
      </c>
      <c r="O3924" t="s">
        <v>82</v>
      </c>
      <c r="P3924" t="str">
        <f>"4170041324                    "</f>
        <v xml:space="preserve">4170041324                    </v>
      </c>
      <c r="Q3924">
        <v>0</v>
      </c>
      <c r="R3924">
        <v>0</v>
      </c>
      <c r="S3924">
        <v>0</v>
      </c>
      <c r="T3924">
        <v>0</v>
      </c>
      <c r="U3924">
        <v>0</v>
      </c>
      <c r="V3924">
        <v>0</v>
      </c>
      <c r="W3924">
        <v>0</v>
      </c>
      <c r="X3924">
        <v>0</v>
      </c>
      <c r="Y3924">
        <v>0</v>
      </c>
      <c r="Z3924">
        <v>0</v>
      </c>
      <c r="AA3924">
        <v>0</v>
      </c>
      <c r="AB3924">
        <v>0</v>
      </c>
      <c r="AC3924">
        <v>0</v>
      </c>
      <c r="AD3924">
        <v>0</v>
      </c>
      <c r="AE3924">
        <v>0</v>
      </c>
      <c r="AF3924">
        <v>0</v>
      </c>
      <c r="AG3924">
        <v>0</v>
      </c>
      <c r="AH3924">
        <v>0</v>
      </c>
      <c r="AI3924">
        <v>0</v>
      </c>
      <c r="AJ3924">
        <v>0</v>
      </c>
      <c r="AK3924">
        <v>0</v>
      </c>
      <c r="AL3924">
        <v>0</v>
      </c>
      <c r="AM3924">
        <v>0</v>
      </c>
      <c r="AN3924">
        <v>0</v>
      </c>
      <c r="AO3924">
        <v>0</v>
      </c>
      <c r="AP3924">
        <v>0</v>
      </c>
      <c r="AQ3924">
        <v>41.43</v>
      </c>
      <c r="AR3924">
        <v>0</v>
      </c>
      <c r="AS3924">
        <v>0</v>
      </c>
      <c r="AT3924">
        <v>0</v>
      </c>
      <c r="AU3924">
        <v>0</v>
      </c>
      <c r="AV3924">
        <v>0</v>
      </c>
      <c r="AW3924">
        <v>0</v>
      </c>
      <c r="AX3924">
        <v>0</v>
      </c>
      <c r="AY3924">
        <v>0</v>
      </c>
      <c r="AZ3924">
        <v>0</v>
      </c>
      <c r="BA3924">
        <v>0</v>
      </c>
      <c r="BB3924">
        <v>0</v>
      </c>
      <c r="BC3924">
        <v>0</v>
      </c>
      <c r="BD3924">
        <v>0</v>
      </c>
      <c r="BE3924">
        <v>0</v>
      </c>
      <c r="BF3924">
        <v>0</v>
      </c>
      <c r="BG3924">
        <v>0</v>
      </c>
      <c r="BH3924">
        <v>1</v>
      </c>
      <c r="BI3924">
        <v>1</v>
      </c>
      <c r="BJ3924">
        <v>0.2</v>
      </c>
      <c r="BK3924">
        <v>1</v>
      </c>
      <c r="BL3924">
        <v>135.59</v>
      </c>
      <c r="BM3924">
        <v>20.34</v>
      </c>
      <c r="BN3924">
        <v>155.93</v>
      </c>
      <c r="BO3924">
        <v>155.93</v>
      </c>
      <c r="BQ3924" t="s">
        <v>2379</v>
      </c>
      <c r="BR3924" t="s">
        <v>84</v>
      </c>
      <c r="BS3924" t="s">
        <v>1540</v>
      </c>
      <c r="BV3924" t="s">
        <v>89</v>
      </c>
      <c r="BY3924">
        <v>1200</v>
      </c>
      <c r="CC3924" t="s">
        <v>123</v>
      </c>
      <c r="CD3924">
        <v>7654</v>
      </c>
      <c r="CE3924" t="s">
        <v>88</v>
      </c>
      <c r="CI3924">
        <v>1</v>
      </c>
      <c r="CJ3924" t="s">
        <v>1540</v>
      </c>
      <c r="CK3924">
        <v>23</v>
      </c>
      <c r="CL3924" t="s">
        <v>89</v>
      </c>
    </row>
    <row r="3925" spans="1:90" x14ac:dyDescent="0.3">
      <c r="A3925" t="s">
        <v>72</v>
      </c>
      <c r="B3925" t="s">
        <v>73</v>
      </c>
      <c r="C3925" t="s">
        <v>74</v>
      </c>
      <c r="E3925" t="str">
        <f>"080065641818"</f>
        <v>080065641818</v>
      </c>
      <c r="F3925" s="3">
        <v>45806</v>
      </c>
      <c r="G3925">
        <v>202602</v>
      </c>
      <c r="H3925" t="s">
        <v>75</v>
      </c>
      <c r="I3925" t="s">
        <v>76</v>
      </c>
      <c r="J3925" t="s">
        <v>77</v>
      </c>
      <c r="K3925" t="s">
        <v>78</v>
      </c>
      <c r="L3925" t="s">
        <v>350</v>
      </c>
      <c r="M3925" t="s">
        <v>351</v>
      </c>
      <c r="N3925" t="s">
        <v>352</v>
      </c>
      <c r="O3925" t="s">
        <v>82</v>
      </c>
      <c r="P3925" t="str">
        <f>"4170041456                    "</f>
        <v xml:space="preserve">4170041456                    </v>
      </c>
      <c r="Q3925">
        <v>0</v>
      </c>
      <c r="R3925">
        <v>0</v>
      </c>
      <c r="S3925">
        <v>0</v>
      </c>
      <c r="T3925">
        <v>0</v>
      </c>
      <c r="U3925">
        <v>0</v>
      </c>
      <c r="V3925">
        <v>0</v>
      </c>
      <c r="W3925">
        <v>0</v>
      </c>
      <c r="X3925">
        <v>0</v>
      </c>
      <c r="Y3925">
        <v>0</v>
      </c>
      <c r="Z3925">
        <v>0</v>
      </c>
      <c r="AA3925">
        <v>0</v>
      </c>
      <c r="AB3925">
        <v>0</v>
      </c>
      <c r="AC3925">
        <v>0</v>
      </c>
      <c r="AD3925">
        <v>0</v>
      </c>
      <c r="AE3925">
        <v>0</v>
      </c>
      <c r="AF3925">
        <v>0</v>
      </c>
      <c r="AG3925">
        <v>0</v>
      </c>
      <c r="AH3925">
        <v>0</v>
      </c>
      <c r="AI3925">
        <v>0</v>
      </c>
      <c r="AJ3925">
        <v>0</v>
      </c>
      <c r="AK3925">
        <v>0</v>
      </c>
      <c r="AL3925">
        <v>0</v>
      </c>
      <c r="AM3925">
        <v>0</v>
      </c>
      <c r="AN3925">
        <v>0</v>
      </c>
      <c r="AO3925">
        <v>0</v>
      </c>
      <c r="AP3925">
        <v>0</v>
      </c>
      <c r="AQ3925">
        <v>21.38</v>
      </c>
      <c r="AR3925">
        <v>0</v>
      </c>
      <c r="AS3925">
        <v>0</v>
      </c>
      <c r="AT3925">
        <v>0</v>
      </c>
      <c r="AU3925">
        <v>0</v>
      </c>
      <c r="AV3925">
        <v>0</v>
      </c>
      <c r="AW3925">
        <v>0</v>
      </c>
      <c r="AX3925">
        <v>0</v>
      </c>
      <c r="AY3925">
        <v>0</v>
      </c>
      <c r="AZ3925">
        <v>0</v>
      </c>
      <c r="BA3925">
        <v>0</v>
      </c>
      <c r="BB3925">
        <v>0</v>
      </c>
      <c r="BC3925">
        <v>0</v>
      </c>
      <c r="BD3925">
        <v>0</v>
      </c>
      <c r="BE3925">
        <v>0</v>
      </c>
      <c r="BF3925">
        <v>0</v>
      </c>
      <c r="BG3925">
        <v>0</v>
      </c>
      <c r="BH3925">
        <v>1</v>
      </c>
      <c r="BI3925">
        <v>1</v>
      </c>
      <c r="BJ3925">
        <v>0.2</v>
      </c>
      <c r="BK3925">
        <v>1</v>
      </c>
      <c r="BL3925">
        <v>69.98</v>
      </c>
      <c r="BM3925">
        <v>10.5</v>
      </c>
      <c r="BN3925">
        <v>80.48</v>
      </c>
      <c r="BO3925">
        <v>80.48</v>
      </c>
      <c r="BQ3925" t="s">
        <v>353</v>
      </c>
      <c r="BR3925" t="s">
        <v>84</v>
      </c>
      <c r="BS3925" t="s">
        <v>1540</v>
      </c>
      <c r="BV3925" t="s">
        <v>89</v>
      </c>
      <c r="BY3925">
        <v>1200</v>
      </c>
      <c r="CC3925" t="s">
        <v>351</v>
      </c>
      <c r="CD3925">
        <v>4000</v>
      </c>
      <c r="CE3925" t="s">
        <v>88</v>
      </c>
      <c r="CI3925">
        <v>1</v>
      </c>
      <c r="CJ3925" t="s">
        <v>1540</v>
      </c>
      <c r="CK3925">
        <v>21</v>
      </c>
      <c r="CL3925" t="s">
        <v>89</v>
      </c>
    </row>
    <row r="3926" spans="1:90" x14ac:dyDescent="0.3">
      <c r="A3926" t="s">
        <v>72</v>
      </c>
      <c r="B3926" t="s">
        <v>73</v>
      </c>
      <c r="C3926" t="s">
        <v>74</v>
      </c>
      <c r="E3926" t="str">
        <f>"080065641875"</f>
        <v>080065641875</v>
      </c>
      <c r="F3926" s="3">
        <v>45806</v>
      </c>
      <c r="G3926">
        <v>202602</v>
      </c>
      <c r="H3926" t="s">
        <v>75</v>
      </c>
      <c r="I3926" t="s">
        <v>76</v>
      </c>
      <c r="J3926" t="s">
        <v>77</v>
      </c>
      <c r="K3926" t="s">
        <v>78</v>
      </c>
      <c r="L3926" t="s">
        <v>90</v>
      </c>
      <c r="M3926" t="s">
        <v>91</v>
      </c>
      <c r="N3926" t="s">
        <v>543</v>
      </c>
      <c r="O3926" t="s">
        <v>82</v>
      </c>
      <c r="P3926" t="str">
        <f>"4170041182                    "</f>
        <v xml:space="preserve">4170041182                    </v>
      </c>
      <c r="Q3926">
        <v>0</v>
      </c>
      <c r="R3926">
        <v>0</v>
      </c>
      <c r="S3926">
        <v>0</v>
      </c>
      <c r="T3926">
        <v>0</v>
      </c>
      <c r="U3926">
        <v>0</v>
      </c>
      <c r="V3926">
        <v>0</v>
      </c>
      <c r="W3926">
        <v>0</v>
      </c>
      <c r="X3926">
        <v>0</v>
      </c>
      <c r="Y3926">
        <v>0</v>
      </c>
      <c r="Z3926">
        <v>0</v>
      </c>
      <c r="AA3926">
        <v>0</v>
      </c>
      <c r="AB3926">
        <v>0</v>
      </c>
      <c r="AC3926">
        <v>0</v>
      </c>
      <c r="AD3926">
        <v>0</v>
      </c>
      <c r="AE3926">
        <v>0</v>
      </c>
      <c r="AF3926">
        <v>0</v>
      </c>
      <c r="AG3926">
        <v>0</v>
      </c>
      <c r="AH3926">
        <v>0</v>
      </c>
      <c r="AI3926">
        <v>0</v>
      </c>
      <c r="AJ3926">
        <v>0</v>
      </c>
      <c r="AK3926">
        <v>0</v>
      </c>
      <c r="AL3926">
        <v>0</v>
      </c>
      <c r="AM3926">
        <v>0</v>
      </c>
      <c r="AN3926">
        <v>0</v>
      </c>
      <c r="AO3926">
        <v>0</v>
      </c>
      <c r="AP3926">
        <v>0</v>
      </c>
      <c r="AQ3926">
        <v>21.38</v>
      </c>
      <c r="AR3926">
        <v>0</v>
      </c>
      <c r="AS3926">
        <v>0</v>
      </c>
      <c r="AT3926">
        <v>0</v>
      </c>
      <c r="AU3926">
        <v>0</v>
      </c>
      <c r="AV3926">
        <v>0</v>
      </c>
      <c r="AW3926">
        <v>0</v>
      </c>
      <c r="AX3926">
        <v>0</v>
      </c>
      <c r="AY3926">
        <v>0</v>
      </c>
      <c r="AZ3926">
        <v>0</v>
      </c>
      <c r="BA3926">
        <v>0</v>
      </c>
      <c r="BB3926">
        <v>0</v>
      </c>
      <c r="BC3926">
        <v>0</v>
      </c>
      <c r="BD3926">
        <v>0</v>
      </c>
      <c r="BE3926">
        <v>0</v>
      </c>
      <c r="BF3926">
        <v>0</v>
      </c>
      <c r="BG3926">
        <v>0</v>
      </c>
      <c r="BH3926">
        <v>1</v>
      </c>
      <c r="BI3926">
        <v>1</v>
      </c>
      <c r="BJ3926">
        <v>0.2</v>
      </c>
      <c r="BK3926">
        <v>1</v>
      </c>
      <c r="BL3926">
        <v>69.98</v>
      </c>
      <c r="BM3926">
        <v>10.5</v>
      </c>
      <c r="BN3926">
        <v>80.48</v>
      </c>
      <c r="BO3926">
        <v>80.48</v>
      </c>
      <c r="BQ3926" t="s">
        <v>544</v>
      </c>
      <c r="BR3926" t="s">
        <v>84</v>
      </c>
      <c r="BS3926" t="s">
        <v>1540</v>
      </c>
      <c r="BV3926" t="s">
        <v>89</v>
      </c>
      <c r="BY3926">
        <v>1200</v>
      </c>
      <c r="CC3926" t="s">
        <v>91</v>
      </c>
      <c r="CD3926">
        <v>6001</v>
      </c>
      <c r="CE3926" t="s">
        <v>88</v>
      </c>
      <c r="CI3926">
        <v>1</v>
      </c>
      <c r="CJ3926" t="s">
        <v>1540</v>
      </c>
      <c r="CK3926">
        <v>21</v>
      </c>
      <c r="CL3926" t="s">
        <v>89</v>
      </c>
    </row>
    <row r="3927" spans="1:90" x14ac:dyDescent="0.3">
      <c r="A3927" t="s">
        <v>72</v>
      </c>
      <c r="B3927" t="s">
        <v>73</v>
      </c>
      <c r="C3927" t="s">
        <v>74</v>
      </c>
      <c r="E3927" t="str">
        <f>"080065641952"</f>
        <v>080065641952</v>
      </c>
      <c r="F3927" s="3">
        <v>45806</v>
      </c>
      <c r="G3927">
        <v>202602</v>
      </c>
      <c r="H3927" t="s">
        <v>75</v>
      </c>
      <c r="I3927" t="s">
        <v>76</v>
      </c>
      <c r="J3927" t="s">
        <v>77</v>
      </c>
      <c r="K3927" t="s">
        <v>78</v>
      </c>
      <c r="L3927" t="s">
        <v>97</v>
      </c>
      <c r="M3927" t="s">
        <v>98</v>
      </c>
      <c r="N3927" t="s">
        <v>1061</v>
      </c>
      <c r="O3927" t="s">
        <v>82</v>
      </c>
      <c r="P3927" t="str">
        <f>"4170041323                    "</f>
        <v xml:space="preserve">4170041323                    </v>
      </c>
      <c r="Q3927">
        <v>0</v>
      </c>
      <c r="R3927">
        <v>0</v>
      </c>
      <c r="S3927">
        <v>0</v>
      </c>
      <c r="T3927">
        <v>0</v>
      </c>
      <c r="U3927">
        <v>0</v>
      </c>
      <c r="V3927">
        <v>0</v>
      </c>
      <c r="W3927">
        <v>0</v>
      </c>
      <c r="X3927">
        <v>0</v>
      </c>
      <c r="Y3927">
        <v>0</v>
      </c>
      <c r="Z3927">
        <v>0</v>
      </c>
      <c r="AA3927">
        <v>0</v>
      </c>
      <c r="AB3927">
        <v>0</v>
      </c>
      <c r="AC3927">
        <v>0</v>
      </c>
      <c r="AD3927">
        <v>0</v>
      </c>
      <c r="AE3927">
        <v>0</v>
      </c>
      <c r="AF3927">
        <v>0</v>
      </c>
      <c r="AG3927">
        <v>0</v>
      </c>
      <c r="AH3927">
        <v>0</v>
      </c>
      <c r="AI3927">
        <v>0</v>
      </c>
      <c r="AJ3927">
        <v>0</v>
      </c>
      <c r="AK3927">
        <v>0</v>
      </c>
      <c r="AL3927">
        <v>0</v>
      </c>
      <c r="AM3927">
        <v>0</v>
      </c>
      <c r="AN3927">
        <v>0</v>
      </c>
      <c r="AO3927">
        <v>0</v>
      </c>
      <c r="AP3927">
        <v>0</v>
      </c>
      <c r="AQ3927">
        <v>16.7</v>
      </c>
      <c r="AR3927">
        <v>0</v>
      </c>
      <c r="AS3927">
        <v>0</v>
      </c>
      <c r="AT3927">
        <v>0</v>
      </c>
      <c r="AU3927">
        <v>0</v>
      </c>
      <c r="AV3927">
        <v>0</v>
      </c>
      <c r="AW3927">
        <v>0</v>
      </c>
      <c r="AX3927">
        <v>0</v>
      </c>
      <c r="AY3927">
        <v>0</v>
      </c>
      <c r="AZ3927">
        <v>0</v>
      </c>
      <c r="BA3927">
        <v>0</v>
      </c>
      <c r="BB3927">
        <v>0</v>
      </c>
      <c r="BC3927">
        <v>0</v>
      </c>
      <c r="BD3927">
        <v>0</v>
      </c>
      <c r="BE3927">
        <v>0</v>
      </c>
      <c r="BF3927">
        <v>0</v>
      </c>
      <c r="BG3927">
        <v>0</v>
      </c>
      <c r="BH3927">
        <v>1</v>
      </c>
      <c r="BI3927">
        <v>1</v>
      </c>
      <c r="BJ3927">
        <v>0.2</v>
      </c>
      <c r="BK3927">
        <v>1</v>
      </c>
      <c r="BL3927">
        <v>54.66</v>
      </c>
      <c r="BM3927">
        <v>8.1999999999999993</v>
      </c>
      <c r="BN3927">
        <v>62.86</v>
      </c>
      <c r="BO3927">
        <v>62.86</v>
      </c>
      <c r="BQ3927" t="s">
        <v>1062</v>
      </c>
      <c r="BR3927" t="s">
        <v>84</v>
      </c>
      <c r="BS3927" t="s">
        <v>1540</v>
      </c>
      <c r="BV3927" t="s">
        <v>89</v>
      </c>
      <c r="BY3927">
        <v>1200</v>
      </c>
      <c r="CC3927" t="s">
        <v>98</v>
      </c>
      <c r="CD3927">
        <v>1459</v>
      </c>
      <c r="CE3927" t="s">
        <v>88</v>
      </c>
      <c r="CI3927">
        <v>1</v>
      </c>
      <c r="CJ3927" t="s">
        <v>1540</v>
      </c>
      <c r="CK3927">
        <v>22</v>
      </c>
      <c r="CL3927" t="s">
        <v>89</v>
      </c>
    </row>
    <row r="3928" spans="1:90" x14ac:dyDescent="0.3">
      <c r="A3928" t="s">
        <v>72</v>
      </c>
      <c r="B3928" t="s">
        <v>73</v>
      </c>
      <c r="C3928" t="s">
        <v>74</v>
      </c>
      <c r="E3928" t="str">
        <f>"080065642017"</f>
        <v>080065642017</v>
      </c>
      <c r="F3928" s="3">
        <v>45806</v>
      </c>
      <c r="G3928">
        <v>202602</v>
      </c>
      <c r="H3928" t="s">
        <v>75</v>
      </c>
      <c r="I3928" t="s">
        <v>76</v>
      </c>
      <c r="J3928" t="s">
        <v>77</v>
      </c>
      <c r="K3928" t="s">
        <v>78</v>
      </c>
      <c r="L3928" t="s">
        <v>79</v>
      </c>
      <c r="M3928" t="s">
        <v>80</v>
      </c>
      <c r="N3928" t="s">
        <v>862</v>
      </c>
      <c r="O3928" t="s">
        <v>82</v>
      </c>
      <c r="P3928" t="str">
        <f>"4170041395                    "</f>
        <v xml:space="preserve">4170041395                    </v>
      </c>
      <c r="Q3928">
        <v>0</v>
      </c>
      <c r="R3928">
        <v>0</v>
      </c>
      <c r="S3928">
        <v>0</v>
      </c>
      <c r="T3928">
        <v>0</v>
      </c>
      <c r="U3928">
        <v>0</v>
      </c>
      <c r="V3928">
        <v>0</v>
      </c>
      <c r="W3928">
        <v>0</v>
      </c>
      <c r="X3928">
        <v>0</v>
      </c>
      <c r="Y3928">
        <v>0</v>
      </c>
      <c r="Z3928">
        <v>0</v>
      </c>
      <c r="AA3928">
        <v>0</v>
      </c>
      <c r="AB3928">
        <v>0</v>
      </c>
      <c r="AC3928">
        <v>0</v>
      </c>
      <c r="AD3928">
        <v>0</v>
      </c>
      <c r="AE3928">
        <v>0</v>
      </c>
      <c r="AF3928">
        <v>0</v>
      </c>
      <c r="AG3928">
        <v>0</v>
      </c>
      <c r="AH3928">
        <v>0</v>
      </c>
      <c r="AI3928">
        <v>0</v>
      </c>
      <c r="AJ3928">
        <v>0</v>
      </c>
      <c r="AK3928">
        <v>0</v>
      </c>
      <c r="AL3928">
        <v>0</v>
      </c>
      <c r="AM3928">
        <v>0</v>
      </c>
      <c r="AN3928">
        <v>0</v>
      </c>
      <c r="AO3928">
        <v>0</v>
      </c>
      <c r="AP3928">
        <v>0</v>
      </c>
      <c r="AQ3928">
        <v>21.38</v>
      </c>
      <c r="AR3928">
        <v>0</v>
      </c>
      <c r="AS3928">
        <v>0</v>
      </c>
      <c r="AT3928">
        <v>0</v>
      </c>
      <c r="AU3928">
        <v>0</v>
      </c>
      <c r="AV3928">
        <v>0</v>
      </c>
      <c r="AW3928">
        <v>0</v>
      </c>
      <c r="AX3928">
        <v>0</v>
      </c>
      <c r="AY3928">
        <v>0</v>
      </c>
      <c r="AZ3928">
        <v>0</v>
      </c>
      <c r="BA3928">
        <v>0</v>
      </c>
      <c r="BB3928">
        <v>0</v>
      </c>
      <c r="BC3928">
        <v>0</v>
      </c>
      <c r="BD3928">
        <v>0</v>
      </c>
      <c r="BE3928">
        <v>0</v>
      </c>
      <c r="BF3928">
        <v>0</v>
      </c>
      <c r="BG3928">
        <v>0</v>
      </c>
      <c r="BH3928">
        <v>1</v>
      </c>
      <c r="BI3928">
        <v>1</v>
      </c>
      <c r="BJ3928">
        <v>0.2</v>
      </c>
      <c r="BK3928">
        <v>1</v>
      </c>
      <c r="BL3928">
        <v>69.98</v>
      </c>
      <c r="BM3928">
        <v>10.5</v>
      </c>
      <c r="BN3928">
        <v>80.48</v>
      </c>
      <c r="BO3928">
        <v>80.48</v>
      </c>
      <c r="BQ3928" t="s">
        <v>863</v>
      </c>
      <c r="BR3928" t="s">
        <v>84</v>
      </c>
      <c r="BS3928" t="s">
        <v>1540</v>
      </c>
      <c r="BV3928" t="s">
        <v>89</v>
      </c>
      <c r="BY3928">
        <v>1200</v>
      </c>
      <c r="CC3928" t="s">
        <v>80</v>
      </c>
      <c r="CD3928">
        <v>3610</v>
      </c>
      <c r="CE3928" t="s">
        <v>88</v>
      </c>
      <c r="CI3928">
        <v>1</v>
      </c>
      <c r="CJ3928" t="s">
        <v>1540</v>
      </c>
      <c r="CK3928">
        <v>21</v>
      </c>
      <c r="CL3928" t="s">
        <v>89</v>
      </c>
    </row>
    <row r="3929" spans="1:90" x14ac:dyDescent="0.3">
      <c r="A3929" t="s">
        <v>72</v>
      </c>
      <c r="B3929" t="s">
        <v>73</v>
      </c>
      <c r="C3929" t="s">
        <v>74</v>
      </c>
      <c r="E3929" t="str">
        <f>"080065642085"</f>
        <v>080065642085</v>
      </c>
      <c r="F3929" s="3">
        <v>45806</v>
      </c>
      <c r="G3929">
        <v>202602</v>
      </c>
      <c r="H3929" t="s">
        <v>75</v>
      </c>
      <c r="I3929" t="s">
        <v>76</v>
      </c>
      <c r="J3929" t="s">
        <v>77</v>
      </c>
      <c r="K3929" t="s">
        <v>78</v>
      </c>
      <c r="L3929" t="s">
        <v>463</v>
      </c>
      <c r="M3929" t="s">
        <v>464</v>
      </c>
      <c r="N3929" t="s">
        <v>1325</v>
      </c>
      <c r="O3929" t="s">
        <v>82</v>
      </c>
      <c r="P3929" t="str">
        <f>"4170041314                    "</f>
        <v xml:space="preserve">4170041314                    </v>
      </c>
      <c r="Q3929">
        <v>0</v>
      </c>
      <c r="R3929">
        <v>0</v>
      </c>
      <c r="S3929">
        <v>0</v>
      </c>
      <c r="T3929">
        <v>0</v>
      </c>
      <c r="U3929">
        <v>0</v>
      </c>
      <c r="V3929">
        <v>0</v>
      </c>
      <c r="W3929">
        <v>0</v>
      </c>
      <c r="X3929">
        <v>0</v>
      </c>
      <c r="Y3929">
        <v>0</v>
      </c>
      <c r="Z3929">
        <v>0</v>
      </c>
      <c r="AA3929">
        <v>0</v>
      </c>
      <c r="AB3929">
        <v>0</v>
      </c>
      <c r="AC3929">
        <v>0</v>
      </c>
      <c r="AD3929">
        <v>0</v>
      </c>
      <c r="AE3929">
        <v>0</v>
      </c>
      <c r="AF3929">
        <v>0</v>
      </c>
      <c r="AG3929">
        <v>0</v>
      </c>
      <c r="AH3929">
        <v>0</v>
      </c>
      <c r="AI3929">
        <v>0</v>
      </c>
      <c r="AJ3929">
        <v>0</v>
      </c>
      <c r="AK3929">
        <v>0</v>
      </c>
      <c r="AL3929">
        <v>0</v>
      </c>
      <c r="AM3929">
        <v>0</v>
      </c>
      <c r="AN3929">
        <v>0</v>
      </c>
      <c r="AO3929">
        <v>0</v>
      </c>
      <c r="AP3929">
        <v>0</v>
      </c>
      <c r="AQ3929">
        <v>21.38</v>
      </c>
      <c r="AR3929">
        <v>0</v>
      </c>
      <c r="AS3929">
        <v>0</v>
      </c>
      <c r="AT3929">
        <v>0</v>
      </c>
      <c r="AU3929">
        <v>0</v>
      </c>
      <c r="AV3929">
        <v>0</v>
      </c>
      <c r="AW3929">
        <v>0</v>
      </c>
      <c r="AX3929">
        <v>0</v>
      </c>
      <c r="AY3929">
        <v>0</v>
      </c>
      <c r="AZ3929">
        <v>0</v>
      </c>
      <c r="BA3929">
        <v>0</v>
      </c>
      <c r="BB3929">
        <v>0</v>
      </c>
      <c r="BC3929">
        <v>0</v>
      </c>
      <c r="BD3929">
        <v>0</v>
      </c>
      <c r="BE3929">
        <v>0</v>
      </c>
      <c r="BF3929">
        <v>0</v>
      </c>
      <c r="BG3929">
        <v>0</v>
      </c>
      <c r="BH3929">
        <v>1</v>
      </c>
      <c r="BI3929">
        <v>1</v>
      </c>
      <c r="BJ3929">
        <v>0.2</v>
      </c>
      <c r="BK3929">
        <v>1</v>
      </c>
      <c r="BL3929">
        <v>69.98</v>
      </c>
      <c r="BM3929">
        <v>10.5</v>
      </c>
      <c r="BN3929">
        <v>80.48</v>
      </c>
      <c r="BO3929">
        <v>80.48</v>
      </c>
      <c r="BQ3929" t="s">
        <v>1326</v>
      </c>
      <c r="BR3929" t="s">
        <v>84</v>
      </c>
      <c r="BS3929" t="s">
        <v>1540</v>
      </c>
      <c r="BV3929" t="s">
        <v>89</v>
      </c>
      <c r="BY3929">
        <v>1200</v>
      </c>
      <c r="CC3929" t="s">
        <v>464</v>
      </c>
      <c r="CD3929">
        <v>5201</v>
      </c>
      <c r="CE3929" t="s">
        <v>88</v>
      </c>
      <c r="CI3929">
        <v>5</v>
      </c>
      <c r="CJ3929" t="s">
        <v>1540</v>
      </c>
      <c r="CK3929">
        <v>21</v>
      </c>
      <c r="CL3929" t="s">
        <v>89</v>
      </c>
    </row>
    <row r="3930" spans="1:90" x14ac:dyDescent="0.3">
      <c r="A3930" t="s">
        <v>72</v>
      </c>
      <c r="B3930" t="s">
        <v>73</v>
      </c>
      <c r="C3930" t="s">
        <v>74</v>
      </c>
      <c r="E3930" t="str">
        <f>"080065642134"</f>
        <v>080065642134</v>
      </c>
      <c r="F3930" s="3">
        <v>45806</v>
      </c>
      <c r="G3930">
        <v>202602</v>
      </c>
      <c r="H3930" t="s">
        <v>75</v>
      </c>
      <c r="I3930" t="s">
        <v>76</v>
      </c>
      <c r="J3930" t="s">
        <v>77</v>
      </c>
      <c r="K3930" t="s">
        <v>78</v>
      </c>
      <c r="L3930" t="s">
        <v>350</v>
      </c>
      <c r="M3930" t="s">
        <v>351</v>
      </c>
      <c r="N3930" t="s">
        <v>678</v>
      </c>
      <c r="O3930" t="s">
        <v>82</v>
      </c>
      <c r="P3930" t="str">
        <f>"4170041384                    "</f>
        <v xml:space="preserve">4170041384                    </v>
      </c>
      <c r="Q3930">
        <v>0</v>
      </c>
      <c r="R3930">
        <v>0</v>
      </c>
      <c r="S3930">
        <v>0</v>
      </c>
      <c r="T3930">
        <v>0</v>
      </c>
      <c r="U3930">
        <v>0</v>
      </c>
      <c r="V3930">
        <v>0</v>
      </c>
      <c r="W3930">
        <v>0</v>
      </c>
      <c r="X3930">
        <v>0</v>
      </c>
      <c r="Y3930">
        <v>0</v>
      </c>
      <c r="Z3930">
        <v>0</v>
      </c>
      <c r="AA3930">
        <v>0</v>
      </c>
      <c r="AB3930">
        <v>0</v>
      </c>
      <c r="AC3930">
        <v>0</v>
      </c>
      <c r="AD3930">
        <v>0</v>
      </c>
      <c r="AE3930">
        <v>0</v>
      </c>
      <c r="AF3930">
        <v>0</v>
      </c>
      <c r="AG3930">
        <v>0</v>
      </c>
      <c r="AH3930">
        <v>0</v>
      </c>
      <c r="AI3930">
        <v>0</v>
      </c>
      <c r="AJ3930">
        <v>0</v>
      </c>
      <c r="AK3930">
        <v>0</v>
      </c>
      <c r="AL3930">
        <v>0</v>
      </c>
      <c r="AM3930">
        <v>0</v>
      </c>
      <c r="AN3930">
        <v>0</v>
      </c>
      <c r="AO3930">
        <v>0</v>
      </c>
      <c r="AP3930">
        <v>0</v>
      </c>
      <c r="AQ3930">
        <v>48.09</v>
      </c>
      <c r="AR3930">
        <v>0</v>
      </c>
      <c r="AS3930">
        <v>0</v>
      </c>
      <c r="AT3930">
        <v>0</v>
      </c>
      <c r="AU3930">
        <v>0</v>
      </c>
      <c r="AV3930">
        <v>0</v>
      </c>
      <c r="AW3930">
        <v>0</v>
      </c>
      <c r="AX3930">
        <v>0</v>
      </c>
      <c r="AY3930">
        <v>0</v>
      </c>
      <c r="AZ3930">
        <v>0</v>
      </c>
      <c r="BA3930">
        <v>0</v>
      </c>
      <c r="BB3930">
        <v>0</v>
      </c>
      <c r="BC3930">
        <v>0</v>
      </c>
      <c r="BD3930">
        <v>0</v>
      </c>
      <c r="BE3930">
        <v>0</v>
      </c>
      <c r="BF3930">
        <v>0</v>
      </c>
      <c r="BG3930">
        <v>0</v>
      </c>
      <c r="BH3930">
        <v>1</v>
      </c>
      <c r="BI3930">
        <v>4</v>
      </c>
      <c r="BJ3930">
        <v>4.0999999999999996</v>
      </c>
      <c r="BK3930">
        <v>4.5</v>
      </c>
      <c r="BL3930">
        <v>157.38999999999999</v>
      </c>
      <c r="BM3930">
        <v>23.61</v>
      </c>
      <c r="BN3930">
        <v>181</v>
      </c>
      <c r="BO3930">
        <v>181</v>
      </c>
      <c r="BQ3930" t="s">
        <v>679</v>
      </c>
      <c r="BR3930" t="s">
        <v>84</v>
      </c>
      <c r="BS3930" t="s">
        <v>1540</v>
      </c>
      <c r="BV3930" t="s">
        <v>89</v>
      </c>
      <c r="BY3930">
        <v>20358</v>
      </c>
      <c r="CC3930" t="s">
        <v>351</v>
      </c>
      <c r="CD3930">
        <v>4052</v>
      </c>
      <c r="CE3930" t="s">
        <v>96</v>
      </c>
      <c r="CI3930">
        <v>1</v>
      </c>
      <c r="CJ3930" t="s">
        <v>1540</v>
      </c>
      <c r="CK3930">
        <v>21</v>
      </c>
      <c r="CL3930" t="s">
        <v>89</v>
      </c>
    </row>
    <row r="3931" spans="1:90" x14ac:dyDescent="0.3">
      <c r="A3931" t="s">
        <v>72</v>
      </c>
      <c r="B3931" t="s">
        <v>73</v>
      </c>
      <c r="C3931" t="s">
        <v>74</v>
      </c>
      <c r="E3931" t="str">
        <f>"080065642156"</f>
        <v>080065642156</v>
      </c>
      <c r="F3931" s="3">
        <v>45806</v>
      </c>
      <c r="G3931">
        <v>202602</v>
      </c>
      <c r="H3931" t="s">
        <v>75</v>
      </c>
      <c r="I3931" t="s">
        <v>76</v>
      </c>
      <c r="J3931" t="s">
        <v>77</v>
      </c>
      <c r="K3931" t="s">
        <v>78</v>
      </c>
      <c r="L3931" t="s">
        <v>79</v>
      </c>
      <c r="M3931" t="s">
        <v>80</v>
      </c>
      <c r="N3931" t="s">
        <v>797</v>
      </c>
      <c r="O3931" t="s">
        <v>82</v>
      </c>
      <c r="P3931" t="str">
        <f>"4170041285                    "</f>
        <v xml:space="preserve">4170041285                    </v>
      </c>
      <c r="Q3931">
        <v>0</v>
      </c>
      <c r="R3931">
        <v>0</v>
      </c>
      <c r="S3931">
        <v>0</v>
      </c>
      <c r="T3931">
        <v>0</v>
      </c>
      <c r="U3931">
        <v>0</v>
      </c>
      <c r="V3931">
        <v>0</v>
      </c>
      <c r="W3931">
        <v>0</v>
      </c>
      <c r="X3931">
        <v>0</v>
      </c>
      <c r="Y3931">
        <v>0</v>
      </c>
      <c r="Z3931">
        <v>0</v>
      </c>
      <c r="AA3931">
        <v>0</v>
      </c>
      <c r="AB3931">
        <v>0</v>
      </c>
      <c r="AC3931">
        <v>0</v>
      </c>
      <c r="AD3931">
        <v>0</v>
      </c>
      <c r="AE3931">
        <v>0</v>
      </c>
      <c r="AF3931">
        <v>0</v>
      </c>
      <c r="AG3931">
        <v>0</v>
      </c>
      <c r="AH3931">
        <v>0</v>
      </c>
      <c r="AI3931">
        <v>0</v>
      </c>
      <c r="AJ3931">
        <v>0</v>
      </c>
      <c r="AK3931">
        <v>0</v>
      </c>
      <c r="AL3931">
        <v>0</v>
      </c>
      <c r="AM3931">
        <v>0</v>
      </c>
      <c r="AN3931">
        <v>0</v>
      </c>
      <c r="AO3931">
        <v>0</v>
      </c>
      <c r="AP3931">
        <v>0</v>
      </c>
      <c r="AQ3931">
        <v>21.38</v>
      </c>
      <c r="AR3931">
        <v>0</v>
      </c>
      <c r="AS3931">
        <v>0</v>
      </c>
      <c r="AT3931">
        <v>0</v>
      </c>
      <c r="AU3931">
        <v>0</v>
      </c>
      <c r="AV3931">
        <v>0</v>
      </c>
      <c r="AW3931">
        <v>0</v>
      </c>
      <c r="AX3931">
        <v>0</v>
      </c>
      <c r="AY3931">
        <v>0</v>
      </c>
      <c r="AZ3931">
        <v>0</v>
      </c>
      <c r="BA3931">
        <v>0</v>
      </c>
      <c r="BB3931">
        <v>0</v>
      </c>
      <c r="BC3931">
        <v>0</v>
      </c>
      <c r="BD3931">
        <v>0</v>
      </c>
      <c r="BE3931">
        <v>0</v>
      </c>
      <c r="BF3931">
        <v>0</v>
      </c>
      <c r="BG3931">
        <v>0</v>
      </c>
      <c r="BH3931">
        <v>1</v>
      </c>
      <c r="BI3931">
        <v>1</v>
      </c>
      <c r="BJ3931">
        <v>1.8</v>
      </c>
      <c r="BK3931">
        <v>2</v>
      </c>
      <c r="BL3931">
        <v>69.98</v>
      </c>
      <c r="BM3931">
        <v>10.5</v>
      </c>
      <c r="BN3931">
        <v>80.48</v>
      </c>
      <c r="BO3931">
        <v>80.48</v>
      </c>
      <c r="BQ3931" t="s">
        <v>798</v>
      </c>
      <c r="BR3931" t="s">
        <v>84</v>
      </c>
      <c r="BS3931" t="s">
        <v>1540</v>
      </c>
      <c r="BV3931" t="s">
        <v>89</v>
      </c>
      <c r="BY3931">
        <v>8775</v>
      </c>
      <c r="CC3931" t="s">
        <v>80</v>
      </c>
      <c r="CD3931">
        <v>3610</v>
      </c>
      <c r="CE3931" t="s">
        <v>96</v>
      </c>
      <c r="CI3931">
        <v>1</v>
      </c>
      <c r="CJ3931" t="s">
        <v>1540</v>
      </c>
      <c r="CK3931">
        <v>21</v>
      </c>
      <c r="CL3931" t="s">
        <v>89</v>
      </c>
    </row>
    <row r="3932" spans="1:90" x14ac:dyDescent="0.3">
      <c r="A3932" t="s">
        <v>72</v>
      </c>
      <c r="B3932" t="s">
        <v>73</v>
      </c>
      <c r="C3932" t="s">
        <v>74</v>
      </c>
      <c r="E3932" t="str">
        <f>"080065642186"</f>
        <v>080065642186</v>
      </c>
      <c r="F3932" s="3">
        <v>45806</v>
      </c>
      <c r="G3932">
        <v>202602</v>
      </c>
      <c r="H3932" t="s">
        <v>75</v>
      </c>
      <c r="I3932" t="s">
        <v>76</v>
      </c>
      <c r="J3932" t="s">
        <v>77</v>
      </c>
      <c r="K3932" t="s">
        <v>78</v>
      </c>
      <c r="L3932" t="s">
        <v>136</v>
      </c>
      <c r="M3932" t="s">
        <v>137</v>
      </c>
      <c r="N3932" t="s">
        <v>2603</v>
      </c>
      <c r="O3932" t="s">
        <v>300</v>
      </c>
      <c r="P3932" t="str">
        <f>"4170041319                    "</f>
        <v xml:space="preserve">4170041319                    </v>
      </c>
      <c r="Q3932">
        <v>0</v>
      </c>
      <c r="R3932">
        <v>0</v>
      </c>
      <c r="S3932">
        <v>0</v>
      </c>
      <c r="T3932">
        <v>0</v>
      </c>
      <c r="U3932">
        <v>0</v>
      </c>
      <c r="V3932">
        <v>0</v>
      </c>
      <c r="W3932">
        <v>0</v>
      </c>
      <c r="X3932">
        <v>0</v>
      </c>
      <c r="Y3932">
        <v>0</v>
      </c>
      <c r="Z3932">
        <v>0</v>
      </c>
      <c r="AA3932">
        <v>0</v>
      </c>
      <c r="AB3932">
        <v>0</v>
      </c>
      <c r="AC3932">
        <v>0</v>
      </c>
      <c r="AD3932">
        <v>0</v>
      </c>
      <c r="AE3932">
        <v>0</v>
      </c>
      <c r="AF3932">
        <v>0</v>
      </c>
      <c r="AG3932">
        <v>0</v>
      </c>
      <c r="AH3932">
        <v>0</v>
      </c>
      <c r="AI3932">
        <v>0</v>
      </c>
      <c r="AJ3932">
        <v>0</v>
      </c>
      <c r="AK3932">
        <v>0</v>
      </c>
      <c r="AL3932">
        <v>0</v>
      </c>
      <c r="AM3932">
        <v>0</v>
      </c>
      <c r="AN3932">
        <v>0</v>
      </c>
      <c r="AO3932">
        <v>0</v>
      </c>
      <c r="AP3932">
        <v>0</v>
      </c>
      <c r="AQ3932">
        <v>41.35</v>
      </c>
      <c r="AR3932">
        <v>0</v>
      </c>
      <c r="AS3932">
        <v>0</v>
      </c>
      <c r="AT3932">
        <v>0</v>
      </c>
      <c r="AU3932">
        <v>0</v>
      </c>
      <c r="AV3932">
        <v>0</v>
      </c>
      <c r="AW3932">
        <v>0</v>
      </c>
      <c r="AX3932">
        <v>0</v>
      </c>
      <c r="AY3932">
        <v>0</v>
      </c>
      <c r="AZ3932">
        <v>0</v>
      </c>
      <c r="BA3932">
        <v>0</v>
      </c>
      <c r="BB3932">
        <v>0</v>
      </c>
      <c r="BC3932">
        <v>0</v>
      </c>
      <c r="BD3932">
        <v>0</v>
      </c>
      <c r="BE3932">
        <v>0</v>
      </c>
      <c r="BF3932">
        <v>0</v>
      </c>
      <c r="BG3932">
        <v>0</v>
      </c>
      <c r="BH3932">
        <v>1</v>
      </c>
      <c r="BI3932">
        <v>9</v>
      </c>
      <c r="BJ3932">
        <v>2</v>
      </c>
      <c r="BK3932">
        <v>9</v>
      </c>
      <c r="BL3932">
        <v>140.9</v>
      </c>
      <c r="BM3932">
        <v>21.14</v>
      </c>
      <c r="BN3932">
        <v>162.04</v>
      </c>
      <c r="BO3932">
        <v>162.04</v>
      </c>
      <c r="BQ3932" t="s">
        <v>2668</v>
      </c>
      <c r="BR3932" t="s">
        <v>84</v>
      </c>
      <c r="BS3932" t="s">
        <v>1540</v>
      </c>
      <c r="BV3932" t="s">
        <v>89</v>
      </c>
      <c r="BY3932">
        <v>9918</v>
      </c>
      <c r="CC3932" t="s">
        <v>137</v>
      </c>
      <c r="CD3932" s="5" t="s">
        <v>1786</v>
      </c>
      <c r="CE3932" t="s">
        <v>96</v>
      </c>
      <c r="CI3932">
        <v>1</v>
      </c>
      <c r="CJ3932" t="s">
        <v>1540</v>
      </c>
      <c r="CK3932">
        <v>41</v>
      </c>
      <c r="CL3932" t="s">
        <v>89</v>
      </c>
    </row>
    <row r="3933" spans="1:90" x14ac:dyDescent="0.3">
      <c r="A3933" t="s">
        <v>72</v>
      </c>
      <c r="B3933" t="s">
        <v>73</v>
      </c>
      <c r="C3933" t="s">
        <v>74</v>
      </c>
      <c r="E3933" t="str">
        <f>"080065642322"</f>
        <v>080065642322</v>
      </c>
      <c r="F3933" s="3">
        <v>45806</v>
      </c>
      <c r="G3933">
        <v>202602</v>
      </c>
      <c r="H3933" t="s">
        <v>75</v>
      </c>
      <c r="I3933" t="s">
        <v>76</v>
      </c>
      <c r="J3933" t="s">
        <v>77</v>
      </c>
      <c r="K3933" t="s">
        <v>78</v>
      </c>
      <c r="L3933" t="s">
        <v>136</v>
      </c>
      <c r="M3933" t="s">
        <v>137</v>
      </c>
      <c r="N3933" t="s">
        <v>161</v>
      </c>
      <c r="O3933" t="s">
        <v>82</v>
      </c>
      <c r="P3933" t="str">
        <f>"4170041362                    "</f>
        <v xml:space="preserve">4170041362                    </v>
      </c>
      <c r="Q3933">
        <v>0</v>
      </c>
      <c r="R3933">
        <v>0</v>
      </c>
      <c r="S3933">
        <v>0</v>
      </c>
      <c r="T3933">
        <v>0</v>
      </c>
      <c r="U3933">
        <v>0</v>
      </c>
      <c r="V3933">
        <v>0</v>
      </c>
      <c r="W3933">
        <v>0</v>
      </c>
      <c r="X3933">
        <v>0</v>
      </c>
      <c r="Y3933">
        <v>0</v>
      </c>
      <c r="Z3933">
        <v>0</v>
      </c>
      <c r="AA3933">
        <v>0</v>
      </c>
      <c r="AB3933">
        <v>0</v>
      </c>
      <c r="AC3933">
        <v>0</v>
      </c>
      <c r="AD3933">
        <v>0</v>
      </c>
      <c r="AE3933">
        <v>0</v>
      </c>
      <c r="AF3933">
        <v>0</v>
      </c>
      <c r="AG3933">
        <v>0</v>
      </c>
      <c r="AH3933">
        <v>0</v>
      </c>
      <c r="AI3933">
        <v>0</v>
      </c>
      <c r="AJ3933">
        <v>0</v>
      </c>
      <c r="AK3933">
        <v>0</v>
      </c>
      <c r="AL3933">
        <v>0</v>
      </c>
      <c r="AM3933">
        <v>0</v>
      </c>
      <c r="AN3933">
        <v>0</v>
      </c>
      <c r="AO3933">
        <v>0</v>
      </c>
      <c r="AP3933">
        <v>0</v>
      </c>
      <c r="AQ3933">
        <v>21.38</v>
      </c>
      <c r="AR3933">
        <v>0</v>
      </c>
      <c r="AS3933">
        <v>0</v>
      </c>
      <c r="AT3933">
        <v>0</v>
      </c>
      <c r="AU3933">
        <v>0</v>
      </c>
      <c r="AV3933">
        <v>0</v>
      </c>
      <c r="AW3933">
        <v>0</v>
      </c>
      <c r="AX3933">
        <v>0</v>
      </c>
      <c r="AY3933">
        <v>0</v>
      </c>
      <c r="AZ3933">
        <v>0</v>
      </c>
      <c r="BA3933">
        <v>0</v>
      </c>
      <c r="BB3933">
        <v>0</v>
      </c>
      <c r="BC3933">
        <v>0</v>
      </c>
      <c r="BD3933">
        <v>0</v>
      </c>
      <c r="BE3933">
        <v>0</v>
      </c>
      <c r="BF3933">
        <v>0</v>
      </c>
      <c r="BG3933">
        <v>0</v>
      </c>
      <c r="BH3933">
        <v>1</v>
      </c>
      <c r="BI3933">
        <v>1</v>
      </c>
      <c r="BJ3933">
        <v>0.9</v>
      </c>
      <c r="BK3933">
        <v>1</v>
      </c>
      <c r="BL3933">
        <v>69.98</v>
      </c>
      <c r="BM3933">
        <v>10.5</v>
      </c>
      <c r="BN3933">
        <v>80.48</v>
      </c>
      <c r="BO3933">
        <v>80.48</v>
      </c>
      <c r="BQ3933" t="s">
        <v>162</v>
      </c>
      <c r="BR3933" t="s">
        <v>84</v>
      </c>
      <c r="BS3933" t="s">
        <v>1540</v>
      </c>
      <c r="BV3933" t="s">
        <v>89</v>
      </c>
      <c r="BY3933">
        <v>4275</v>
      </c>
      <c r="CC3933" t="s">
        <v>137</v>
      </c>
      <c r="CD3933" s="5" t="s">
        <v>2197</v>
      </c>
      <c r="CE3933" t="s">
        <v>96</v>
      </c>
      <c r="CI3933">
        <v>1</v>
      </c>
      <c r="CJ3933" t="s">
        <v>1540</v>
      </c>
      <c r="CK3933">
        <v>21</v>
      </c>
      <c r="CL3933" t="s">
        <v>89</v>
      </c>
    </row>
    <row r="3934" spans="1:90" x14ac:dyDescent="0.3">
      <c r="A3934" t="s">
        <v>72</v>
      </c>
      <c r="B3934" t="s">
        <v>73</v>
      </c>
      <c r="C3934" t="s">
        <v>74</v>
      </c>
      <c r="E3934" t="str">
        <f>"080065642233"</f>
        <v>080065642233</v>
      </c>
      <c r="F3934" s="3">
        <v>45806</v>
      </c>
      <c r="G3934">
        <v>202602</v>
      </c>
      <c r="H3934" t="s">
        <v>75</v>
      </c>
      <c r="I3934" t="s">
        <v>76</v>
      </c>
      <c r="J3934" t="s">
        <v>77</v>
      </c>
      <c r="K3934" t="s">
        <v>78</v>
      </c>
      <c r="L3934" t="s">
        <v>90</v>
      </c>
      <c r="M3934" t="s">
        <v>91</v>
      </c>
      <c r="N3934" t="s">
        <v>371</v>
      </c>
      <c r="O3934" t="s">
        <v>82</v>
      </c>
      <c r="P3934" t="str">
        <f>"4170041382                    "</f>
        <v xml:space="preserve">4170041382                    </v>
      </c>
      <c r="Q3934">
        <v>0</v>
      </c>
      <c r="R3934">
        <v>0</v>
      </c>
      <c r="S3934">
        <v>0</v>
      </c>
      <c r="T3934">
        <v>0</v>
      </c>
      <c r="U3934">
        <v>0</v>
      </c>
      <c r="V3934">
        <v>0</v>
      </c>
      <c r="W3934">
        <v>0</v>
      </c>
      <c r="X3934">
        <v>0</v>
      </c>
      <c r="Y3934">
        <v>0</v>
      </c>
      <c r="Z3934">
        <v>0</v>
      </c>
      <c r="AA3934">
        <v>0</v>
      </c>
      <c r="AB3934">
        <v>0</v>
      </c>
      <c r="AC3934">
        <v>0</v>
      </c>
      <c r="AD3934">
        <v>0</v>
      </c>
      <c r="AE3934">
        <v>0</v>
      </c>
      <c r="AF3934">
        <v>0</v>
      </c>
      <c r="AG3934">
        <v>0</v>
      </c>
      <c r="AH3934">
        <v>0</v>
      </c>
      <c r="AI3934">
        <v>0</v>
      </c>
      <c r="AJ3934">
        <v>0</v>
      </c>
      <c r="AK3934">
        <v>0</v>
      </c>
      <c r="AL3934">
        <v>0</v>
      </c>
      <c r="AM3934">
        <v>0</v>
      </c>
      <c r="AN3934">
        <v>0</v>
      </c>
      <c r="AO3934">
        <v>0</v>
      </c>
      <c r="AP3934">
        <v>0</v>
      </c>
      <c r="AQ3934">
        <v>64.12</v>
      </c>
      <c r="AR3934">
        <v>0</v>
      </c>
      <c r="AS3934">
        <v>0</v>
      </c>
      <c r="AT3934">
        <v>0</v>
      </c>
      <c r="AU3934">
        <v>0</v>
      </c>
      <c r="AV3934">
        <v>0</v>
      </c>
      <c r="AW3934">
        <v>0</v>
      </c>
      <c r="AX3934">
        <v>0</v>
      </c>
      <c r="AY3934">
        <v>0</v>
      </c>
      <c r="AZ3934">
        <v>0</v>
      </c>
      <c r="BA3934">
        <v>0</v>
      </c>
      <c r="BB3934">
        <v>0</v>
      </c>
      <c r="BC3934">
        <v>0</v>
      </c>
      <c r="BD3934">
        <v>0</v>
      </c>
      <c r="BE3934">
        <v>0</v>
      </c>
      <c r="BF3934">
        <v>0</v>
      </c>
      <c r="BG3934">
        <v>0</v>
      </c>
      <c r="BH3934">
        <v>1</v>
      </c>
      <c r="BI3934">
        <v>4</v>
      </c>
      <c r="BJ3934">
        <v>5.8</v>
      </c>
      <c r="BK3934">
        <v>6</v>
      </c>
      <c r="BL3934">
        <v>209.84</v>
      </c>
      <c r="BM3934">
        <v>31.48</v>
      </c>
      <c r="BN3934">
        <v>241.32</v>
      </c>
      <c r="BO3934">
        <v>241.32</v>
      </c>
      <c r="BQ3934" t="s">
        <v>372</v>
      </c>
      <c r="BR3934" t="s">
        <v>84</v>
      </c>
      <c r="BS3934" t="s">
        <v>1540</v>
      </c>
      <c r="BV3934" t="s">
        <v>89</v>
      </c>
      <c r="BY3934">
        <v>28830</v>
      </c>
      <c r="CC3934" t="s">
        <v>91</v>
      </c>
      <c r="CD3934">
        <v>6001</v>
      </c>
      <c r="CE3934" t="s">
        <v>1296</v>
      </c>
      <c r="CI3934">
        <v>1</v>
      </c>
      <c r="CJ3934" t="s">
        <v>1540</v>
      </c>
      <c r="CK3934">
        <v>21</v>
      </c>
      <c r="CL3934" t="s">
        <v>89</v>
      </c>
    </row>
    <row r="3935" spans="1:90" x14ac:dyDescent="0.3">
      <c r="A3935" t="s">
        <v>72</v>
      </c>
      <c r="B3935" t="s">
        <v>73</v>
      </c>
      <c r="C3935" t="s">
        <v>74</v>
      </c>
      <c r="E3935" t="str">
        <f>"080065642353"</f>
        <v>080065642353</v>
      </c>
      <c r="F3935" s="3">
        <v>45806</v>
      </c>
      <c r="G3935">
        <v>202602</v>
      </c>
      <c r="H3935" t="s">
        <v>75</v>
      </c>
      <c r="I3935" t="s">
        <v>76</v>
      </c>
      <c r="J3935" t="s">
        <v>77</v>
      </c>
      <c r="K3935" t="s">
        <v>78</v>
      </c>
      <c r="L3935" t="s">
        <v>75</v>
      </c>
      <c r="M3935" t="s">
        <v>76</v>
      </c>
      <c r="N3935" t="s">
        <v>3433</v>
      </c>
      <c r="O3935" t="s">
        <v>602</v>
      </c>
      <c r="P3935" t="str">
        <f>"4170041332                    "</f>
        <v xml:space="preserve">4170041332                    </v>
      </c>
      <c r="Q3935">
        <v>0</v>
      </c>
      <c r="R3935">
        <v>0</v>
      </c>
      <c r="S3935">
        <v>0</v>
      </c>
      <c r="T3935">
        <v>0</v>
      </c>
      <c r="U3935">
        <v>0</v>
      </c>
      <c r="V3935">
        <v>0</v>
      </c>
      <c r="W3935">
        <v>0</v>
      </c>
      <c r="X3935">
        <v>0</v>
      </c>
      <c r="Y3935">
        <v>0</v>
      </c>
      <c r="Z3935">
        <v>0</v>
      </c>
      <c r="AA3935">
        <v>0</v>
      </c>
      <c r="AB3935">
        <v>0</v>
      </c>
      <c r="AC3935">
        <v>0</v>
      </c>
      <c r="AD3935">
        <v>0</v>
      </c>
      <c r="AE3935">
        <v>0</v>
      </c>
      <c r="AF3935">
        <v>0</v>
      </c>
      <c r="AG3935">
        <v>0</v>
      </c>
      <c r="AH3935">
        <v>0</v>
      </c>
      <c r="AI3935">
        <v>0</v>
      </c>
      <c r="AJ3935">
        <v>0</v>
      </c>
      <c r="AK3935">
        <v>0</v>
      </c>
      <c r="AL3935">
        <v>0</v>
      </c>
      <c r="AM3935">
        <v>0</v>
      </c>
      <c r="AN3935">
        <v>0</v>
      </c>
      <c r="AO3935">
        <v>0</v>
      </c>
      <c r="AP3935">
        <v>0</v>
      </c>
      <c r="AQ3935">
        <v>16.71</v>
      </c>
      <c r="AR3935">
        <v>0</v>
      </c>
      <c r="AS3935">
        <v>0</v>
      </c>
      <c r="AT3935">
        <v>0</v>
      </c>
      <c r="AU3935">
        <v>0</v>
      </c>
      <c r="AV3935">
        <v>0</v>
      </c>
      <c r="AW3935">
        <v>0</v>
      </c>
      <c r="AX3935">
        <v>0</v>
      </c>
      <c r="AY3935">
        <v>0</v>
      </c>
      <c r="AZ3935">
        <v>0</v>
      </c>
      <c r="BA3935">
        <v>0</v>
      </c>
      <c r="BB3935">
        <v>0</v>
      </c>
      <c r="BC3935">
        <v>0</v>
      </c>
      <c r="BD3935">
        <v>0</v>
      </c>
      <c r="BE3935">
        <v>0</v>
      </c>
      <c r="BF3935">
        <v>0</v>
      </c>
      <c r="BG3935">
        <v>0</v>
      </c>
      <c r="BH3935">
        <v>1</v>
      </c>
      <c r="BI3935">
        <v>5</v>
      </c>
      <c r="BJ3935">
        <v>7.8</v>
      </c>
      <c r="BK3935">
        <v>8</v>
      </c>
      <c r="BL3935">
        <v>54.68</v>
      </c>
      <c r="BM3935">
        <v>8.1999999999999993</v>
      </c>
      <c r="BN3935">
        <v>62.88</v>
      </c>
      <c r="BO3935">
        <v>62.88</v>
      </c>
      <c r="BQ3935" t="s">
        <v>3434</v>
      </c>
      <c r="BR3935" t="s">
        <v>84</v>
      </c>
      <c r="BS3935" t="s">
        <v>1540</v>
      </c>
      <c r="BV3935" t="s">
        <v>89</v>
      </c>
      <c r="BY3935">
        <v>38988</v>
      </c>
      <c r="CC3935" t="s">
        <v>76</v>
      </c>
      <c r="CD3935">
        <v>1600</v>
      </c>
      <c r="CE3935" t="s">
        <v>221</v>
      </c>
      <c r="CI3935">
        <v>1</v>
      </c>
      <c r="CJ3935" t="s">
        <v>1540</v>
      </c>
      <c r="CK3935">
        <v>32</v>
      </c>
      <c r="CL3935" t="s">
        <v>89</v>
      </c>
    </row>
    <row r="3936" spans="1:90" x14ac:dyDescent="0.3">
      <c r="A3936" t="s">
        <v>72</v>
      </c>
      <c r="B3936" t="s">
        <v>73</v>
      </c>
      <c r="C3936" t="s">
        <v>74</v>
      </c>
      <c r="E3936" t="str">
        <f>"080065642376"</f>
        <v>080065642376</v>
      </c>
      <c r="F3936" s="3">
        <v>45806</v>
      </c>
      <c r="G3936">
        <v>202602</v>
      </c>
      <c r="H3936" t="s">
        <v>75</v>
      </c>
      <c r="I3936" t="s">
        <v>76</v>
      </c>
      <c r="J3936" t="s">
        <v>77</v>
      </c>
      <c r="K3936" t="s">
        <v>78</v>
      </c>
      <c r="L3936" t="s">
        <v>177</v>
      </c>
      <c r="M3936" t="s">
        <v>178</v>
      </c>
      <c r="N3936" t="s">
        <v>393</v>
      </c>
      <c r="O3936" t="s">
        <v>82</v>
      </c>
      <c r="P3936" t="str">
        <f>"4170041292                    "</f>
        <v xml:space="preserve">4170041292                    </v>
      </c>
      <c r="Q3936">
        <v>0</v>
      </c>
      <c r="R3936">
        <v>0</v>
      </c>
      <c r="S3936">
        <v>0</v>
      </c>
      <c r="T3936">
        <v>0</v>
      </c>
      <c r="U3936">
        <v>0</v>
      </c>
      <c r="V3936">
        <v>0</v>
      </c>
      <c r="W3936">
        <v>0</v>
      </c>
      <c r="X3936">
        <v>0</v>
      </c>
      <c r="Y3936">
        <v>0</v>
      </c>
      <c r="Z3936">
        <v>0</v>
      </c>
      <c r="AA3936">
        <v>0</v>
      </c>
      <c r="AB3936">
        <v>0</v>
      </c>
      <c r="AC3936">
        <v>0</v>
      </c>
      <c r="AD3936">
        <v>0</v>
      </c>
      <c r="AE3936">
        <v>0</v>
      </c>
      <c r="AF3936">
        <v>0</v>
      </c>
      <c r="AG3936">
        <v>0</v>
      </c>
      <c r="AH3936">
        <v>0</v>
      </c>
      <c r="AI3936">
        <v>0</v>
      </c>
      <c r="AJ3936">
        <v>0</v>
      </c>
      <c r="AK3936">
        <v>0</v>
      </c>
      <c r="AL3936">
        <v>0</v>
      </c>
      <c r="AM3936">
        <v>0</v>
      </c>
      <c r="AN3936">
        <v>0</v>
      </c>
      <c r="AO3936">
        <v>0</v>
      </c>
      <c r="AP3936">
        <v>0</v>
      </c>
      <c r="AQ3936">
        <v>21.38</v>
      </c>
      <c r="AR3936">
        <v>0</v>
      </c>
      <c r="AS3936">
        <v>0</v>
      </c>
      <c r="AT3936">
        <v>0</v>
      </c>
      <c r="AU3936">
        <v>0</v>
      </c>
      <c r="AV3936">
        <v>0</v>
      </c>
      <c r="AW3936">
        <v>0</v>
      </c>
      <c r="AX3936">
        <v>0</v>
      </c>
      <c r="AY3936">
        <v>0</v>
      </c>
      <c r="AZ3936">
        <v>0</v>
      </c>
      <c r="BA3936">
        <v>0</v>
      </c>
      <c r="BB3936">
        <v>0</v>
      </c>
      <c r="BC3936">
        <v>0</v>
      </c>
      <c r="BD3936">
        <v>0</v>
      </c>
      <c r="BE3936">
        <v>0</v>
      </c>
      <c r="BF3936">
        <v>0</v>
      </c>
      <c r="BG3936">
        <v>0</v>
      </c>
      <c r="BH3936">
        <v>1</v>
      </c>
      <c r="BI3936">
        <v>2</v>
      </c>
      <c r="BJ3936">
        <v>2</v>
      </c>
      <c r="BK3936">
        <v>2</v>
      </c>
      <c r="BL3936">
        <v>69.98</v>
      </c>
      <c r="BM3936">
        <v>10.5</v>
      </c>
      <c r="BN3936">
        <v>80.48</v>
      </c>
      <c r="BO3936">
        <v>80.48</v>
      </c>
      <c r="BQ3936" t="s">
        <v>394</v>
      </c>
      <c r="BR3936" t="s">
        <v>84</v>
      </c>
      <c r="BS3936" t="s">
        <v>1540</v>
      </c>
      <c r="BV3936" t="s">
        <v>89</v>
      </c>
      <c r="BY3936">
        <v>9918</v>
      </c>
      <c r="CC3936" t="s">
        <v>178</v>
      </c>
      <c r="CD3936">
        <v>6230</v>
      </c>
      <c r="CE3936" t="s">
        <v>96</v>
      </c>
      <c r="CI3936">
        <v>1</v>
      </c>
      <c r="CJ3936" t="s">
        <v>1540</v>
      </c>
      <c r="CK3936">
        <v>21</v>
      </c>
      <c r="CL3936" t="s">
        <v>89</v>
      </c>
    </row>
    <row r="3937" spans="1:90" x14ac:dyDescent="0.3">
      <c r="A3937" t="s">
        <v>72</v>
      </c>
      <c r="B3937" t="s">
        <v>73</v>
      </c>
      <c r="C3937" t="s">
        <v>74</v>
      </c>
      <c r="E3937" t="str">
        <f>"080065642410"</f>
        <v>080065642410</v>
      </c>
      <c r="F3937" s="3">
        <v>45806</v>
      </c>
      <c r="G3937">
        <v>202602</v>
      </c>
      <c r="H3937" t="s">
        <v>75</v>
      </c>
      <c r="I3937" t="s">
        <v>76</v>
      </c>
      <c r="J3937" t="s">
        <v>77</v>
      </c>
      <c r="K3937" t="s">
        <v>78</v>
      </c>
      <c r="L3937" t="s">
        <v>130</v>
      </c>
      <c r="M3937" t="s">
        <v>131</v>
      </c>
      <c r="N3937" t="s">
        <v>239</v>
      </c>
      <c r="O3937" t="s">
        <v>82</v>
      </c>
      <c r="P3937" t="str">
        <f>"4170041318                    "</f>
        <v xml:space="preserve">4170041318                    </v>
      </c>
      <c r="Q3937">
        <v>0</v>
      </c>
      <c r="R3937">
        <v>0</v>
      </c>
      <c r="S3937">
        <v>0</v>
      </c>
      <c r="T3937">
        <v>0</v>
      </c>
      <c r="U3937">
        <v>0</v>
      </c>
      <c r="V3937">
        <v>0</v>
      </c>
      <c r="W3937">
        <v>0</v>
      </c>
      <c r="X3937">
        <v>0</v>
      </c>
      <c r="Y3937">
        <v>0</v>
      </c>
      <c r="Z3937">
        <v>0</v>
      </c>
      <c r="AA3937">
        <v>0</v>
      </c>
      <c r="AB3937">
        <v>0</v>
      </c>
      <c r="AC3937">
        <v>0</v>
      </c>
      <c r="AD3937">
        <v>0</v>
      </c>
      <c r="AE3937">
        <v>0</v>
      </c>
      <c r="AF3937">
        <v>0</v>
      </c>
      <c r="AG3937">
        <v>0</v>
      </c>
      <c r="AH3937">
        <v>0</v>
      </c>
      <c r="AI3937">
        <v>0</v>
      </c>
      <c r="AJ3937">
        <v>0</v>
      </c>
      <c r="AK3937">
        <v>0</v>
      </c>
      <c r="AL3937">
        <v>0</v>
      </c>
      <c r="AM3937">
        <v>0</v>
      </c>
      <c r="AN3937">
        <v>0</v>
      </c>
      <c r="AO3937">
        <v>0</v>
      </c>
      <c r="AP3937">
        <v>0</v>
      </c>
      <c r="AQ3937">
        <v>21.38</v>
      </c>
      <c r="AR3937">
        <v>0</v>
      </c>
      <c r="AS3937">
        <v>0</v>
      </c>
      <c r="AT3937">
        <v>0</v>
      </c>
      <c r="AU3937">
        <v>0</v>
      </c>
      <c r="AV3937">
        <v>0</v>
      </c>
      <c r="AW3937">
        <v>0</v>
      </c>
      <c r="AX3937">
        <v>0</v>
      </c>
      <c r="AY3937">
        <v>0</v>
      </c>
      <c r="AZ3937">
        <v>0</v>
      </c>
      <c r="BA3937">
        <v>0</v>
      </c>
      <c r="BB3937">
        <v>0</v>
      </c>
      <c r="BC3937">
        <v>0</v>
      </c>
      <c r="BD3937">
        <v>0</v>
      </c>
      <c r="BE3937">
        <v>0</v>
      </c>
      <c r="BF3937">
        <v>0</v>
      </c>
      <c r="BG3937">
        <v>0</v>
      </c>
      <c r="BH3937">
        <v>1</v>
      </c>
      <c r="BI3937">
        <v>2</v>
      </c>
      <c r="BJ3937">
        <v>0.6</v>
      </c>
      <c r="BK3937">
        <v>2</v>
      </c>
      <c r="BL3937">
        <v>69.98</v>
      </c>
      <c r="BM3937">
        <v>10.5</v>
      </c>
      <c r="BN3937">
        <v>80.48</v>
      </c>
      <c r="BO3937">
        <v>80.48</v>
      </c>
      <c r="BQ3937" t="s">
        <v>240</v>
      </c>
      <c r="BR3937" t="s">
        <v>84</v>
      </c>
      <c r="BS3937" t="s">
        <v>1540</v>
      </c>
      <c r="BV3937" t="s">
        <v>89</v>
      </c>
      <c r="BY3937">
        <v>3192</v>
      </c>
      <c r="CC3937" t="s">
        <v>131</v>
      </c>
      <c r="CD3937">
        <v>7441</v>
      </c>
      <c r="CE3937" t="s">
        <v>116</v>
      </c>
      <c r="CF3937" s="3">
        <v>45797</v>
      </c>
      <c r="CI3937">
        <v>1</v>
      </c>
      <c r="CJ3937" t="s">
        <v>1540</v>
      </c>
      <c r="CK3937">
        <v>21</v>
      </c>
      <c r="CL3937" t="s">
        <v>89</v>
      </c>
    </row>
    <row r="3938" spans="1:90" x14ac:dyDescent="0.3">
      <c r="A3938" t="s">
        <v>72</v>
      </c>
      <c r="B3938" t="s">
        <v>73</v>
      </c>
      <c r="C3938" t="s">
        <v>74</v>
      </c>
      <c r="E3938" t="str">
        <f>"080065642417"</f>
        <v>080065642417</v>
      </c>
      <c r="F3938" s="3">
        <v>45806</v>
      </c>
      <c r="G3938">
        <v>202602</v>
      </c>
      <c r="H3938" t="s">
        <v>75</v>
      </c>
      <c r="I3938" t="s">
        <v>76</v>
      </c>
      <c r="J3938" t="s">
        <v>77</v>
      </c>
      <c r="K3938" t="s">
        <v>78</v>
      </c>
      <c r="L3938" t="s">
        <v>75</v>
      </c>
      <c r="M3938" t="s">
        <v>76</v>
      </c>
      <c r="N3938" t="s">
        <v>601</v>
      </c>
      <c r="O3938" t="s">
        <v>82</v>
      </c>
      <c r="P3938" t="str">
        <f>"4170041287                    "</f>
        <v xml:space="preserve">4170041287                    </v>
      </c>
      <c r="Q3938">
        <v>0</v>
      </c>
      <c r="R3938">
        <v>0</v>
      </c>
      <c r="S3938">
        <v>0</v>
      </c>
      <c r="T3938">
        <v>0</v>
      </c>
      <c r="U3938">
        <v>0</v>
      </c>
      <c r="V3938">
        <v>0</v>
      </c>
      <c r="W3938">
        <v>0</v>
      </c>
      <c r="X3938">
        <v>0</v>
      </c>
      <c r="Y3938">
        <v>0</v>
      </c>
      <c r="Z3938">
        <v>0</v>
      </c>
      <c r="AA3938">
        <v>0</v>
      </c>
      <c r="AB3938">
        <v>0</v>
      </c>
      <c r="AC3938">
        <v>0</v>
      </c>
      <c r="AD3938">
        <v>0</v>
      </c>
      <c r="AE3938">
        <v>0</v>
      </c>
      <c r="AF3938">
        <v>0</v>
      </c>
      <c r="AG3938">
        <v>0</v>
      </c>
      <c r="AH3938">
        <v>0</v>
      </c>
      <c r="AI3938">
        <v>0</v>
      </c>
      <c r="AJ3938">
        <v>0</v>
      </c>
      <c r="AK3938">
        <v>0</v>
      </c>
      <c r="AL3938">
        <v>0</v>
      </c>
      <c r="AM3938">
        <v>0</v>
      </c>
      <c r="AN3938">
        <v>0</v>
      </c>
      <c r="AO3938">
        <v>0</v>
      </c>
      <c r="AP3938">
        <v>0</v>
      </c>
      <c r="AQ3938">
        <v>16.7</v>
      </c>
      <c r="AR3938">
        <v>0</v>
      </c>
      <c r="AS3938">
        <v>0</v>
      </c>
      <c r="AT3938">
        <v>0</v>
      </c>
      <c r="AU3938">
        <v>0</v>
      </c>
      <c r="AV3938">
        <v>0</v>
      </c>
      <c r="AW3938">
        <v>0</v>
      </c>
      <c r="AX3938">
        <v>0</v>
      </c>
      <c r="AY3938">
        <v>0</v>
      </c>
      <c r="AZ3938">
        <v>0</v>
      </c>
      <c r="BA3938">
        <v>0</v>
      </c>
      <c r="BB3938">
        <v>0</v>
      </c>
      <c r="BC3938">
        <v>0</v>
      </c>
      <c r="BD3938">
        <v>0</v>
      </c>
      <c r="BE3938">
        <v>0</v>
      </c>
      <c r="BF3938">
        <v>0</v>
      </c>
      <c r="BG3938">
        <v>0</v>
      </c>
      <c r="BH3938">
        <v>1</v>
      </c>
      <c r="BI3938">
        <v>1</v>
      </c>
      <c r="BJ3938">
        <v>2</v>
      </c>
      <c r="BK3938">
        <v>2</v>
      </c>
      <c r="BL3938">
        <v>54.66</v>
      </c>
      <c r="BM3938">
        <v>8.1999999999999993</v>
      </c>
      <c r="BN3938">
        <v>62.86</v>
      </c>
      <c r="BO3938">
        <v>62.86</v>
      </c>
      <c r="BQ3938" t="s">
        <v>603</v>
      </c>
      <c r="BR3938" t="s">
        <v>84</v>
      </c>
      <c r="BS3938" t="s">
        <v>1540</v>
      </c>
      <c r="BV3938" t="s">
        <v>89</v>
      </c>
      <c r="BY3938">
        <v>9900</v>
      </c>
      <c r="CC3938" t="s">
        <v>76</v>
      </c>
      <c r="CD3938">
        <v>1645</v>
      </c>
      <c r="CE3938" t="s">
        <v>96</v>
      </c>
      <c r="CI3938">
        <v>1</v>
      </c>
      <c r="CJ3938" t="s">
        <v>1540</v>
      </c>
      <c r="CK3938">
        <v>22</v>
      </c>
      <c r="CL3938" t="s">
        <v>89</v>
      </c>
    </row>
    <row r="3939" spans="1:90" x14ac:dyDescent="0.3">
      <c r="A3939" t="s">
        <v>72</v>
      </c>
      <c r="B3939" t="s">
        <v>73</v>
      </c>
      <c r="C3939" t="s">
        <v>74</v>
      </c>
      <c r="E3939" t="str">
        <f>"080065642434"</f>
        <v>080065642434</v>
      </c>
      <c r="F3939" s="3">
        <v>45806</v>
      </c>
      <c r="G3939">
        <v>202602</v>
      </c>
      <c r="H3939" t="s">
        <v>75</v>
      </c>
      <c r="I3939" t="s">
        <v>76</v>
      </c>
      <c r="J3939" t="s">
        <v>77</v>
      </c>
      <c r="K3939" t="s">
        <v>78</v>
      </c>
      <c r="L3939" t="s">
        <v>177</v>
      </c>
      <c r="M3939" t="s">
        <v>178</v>
      </c>
      <c r="N3939" t="s">
        <v>1232</v>
      </c>
      <c r="O3939" t="s">
        <v>82</v>
      </c>
      <c r="P3939" t="str">
        <f>"4170041426                    "</f>
        <v xml:space="preserve">4170041426                    </v>
      </c>
      <c r="Q3939">
        <v>0</v>
      </c>
      <c r="R3939">
        <v>0</v>
      </c>
      <c r="S3939">
        <v>0</v>
      </c>
      <c r="T3939">
        <v>0</v>
      </c>
      <c r="U3939">
        <v>0</v>
      </c>
      <c r="V3939">
        <v>0</v>
      </c>
      <c r="W3939">
        <v>0</v>
      </c>
      <c r="X3939">
        <v>0</v>
      </c>
      <c r="Y3939">
        <v>0</v>
      </c>
      <c r="Z3939">
        <v>0</v>
      </c>
      <c r="AA3939">
        <v>0</v>
      </c>
      <c r="AB3939">
        <v>0</v>
      </c>
      <c r="AC3939">
        <v>0</v>
      </c>
      <c r="AD3939">
        <v>0</v>
      </c>
      <c r="AE3939">
        <v>0</v>
      </c>
      <c r="AF3939">
        <v>0</v>
      </c>
      <c r="AG3939">
        <v>0</v>
      </c>
      <c r="AH3939">
        <v>0</v>
      </c>
      <c r="AI3939">
        <v>0</v>
      </c>
      <c r="AJ3939">
        <v>0</v>
      </c>
      <c r="AK3939">
        <v>0</v>
      </c>
      <c r="AL3939">
        <v>0</v>
      </c>
      <c r="AM3939">
        <v>0</v>
      </c>
      <c r="AN3939">
        <v>0</v>
      </c>
      <c r="AO3939">
        <v>0</v>
      </c>
      <c r="AP3939">
        <v>0</v>
      </c>
      <c r="AQ3939">
        <v>21.38</v>
      </c>
      <c r="AR3939">
        <v>0</v>
      </c>
      <c r="AS3939">
        <v>0</v>
      </c>
      <c r="AT3939">
        <v>0</v>
      </c>
      <c r="AU3939">
        <v>0</v>
      </c>
      <c r="AV3939">
        <v>0</v>
      </c>
      <c r="AW3939">
        <v>0</v>
      </c>
      <c r="AX3939">
        <v>0</v>
      </c>
      <c r="AY3939">
        <v>0</v>
      </c>
      <c r="AZ3939">
        <v>0</v>
      </c>
      <c r="BA3939">
        <v>0</v>
      </c>
      <c r="BB3939">
        <v>0</v>
      </c>
      <c r="BC3939">
        <v>0</v>
      </c>
      <c r="BD3939">
        <v>0</v>
      </c>
      <c r="BE3939">
        <v>0</v>
      </c>
      <c r="BF3939">
        <v>0</v>
      </c>
      <c r="BG3939">
        <v>0</v>
      </c>
      <c r="BH3939">
        <v>1</v>
      </c>
      <c r="BI3939">
        <v>1</v>
      </c>
      <c r="BJ3939">
        <v>1.7</v>
      </c>
      <c r="BK3939">
        <v>2</v>
      </c>
      <c r="BL3939">
        <v>69.98</v>
      </c>
      <c r="BM3939">
        <v>10.5</v>
      </c>
      <c r="BN3939">
        <v>80.48</v>
      </c>
      <c r="BO3939">
        <v>80.48</v>
      </c>
      <c r="BQ3939" t="s">
        <v>1233</v>
      </c>
      <c r="BR3939" t="s">
        <v>84</v>
      </c>
      <c r="BS3939" t="s">
        <v>1540</v>
      </c>
      <c r="BV3939" t="s">
        <v>89</v>
      </c>
      <c r="BY3939">
        <v>8512</v>
      </c>
      <c r="CC3939" t="s">
        <v>178</v>
      </c>
      <c r="CD3939">
        <v>6229</v>
      </c>
      <c r="CE3939" t="s">
        <v>116</v>
      </c>
      <c r="CI3939">
        <v>1</v>
      </c>
      <c r="CJ3939" t="s">
        <v>1540</v>
      </c>
      <c r="CK3939">
        <v>21</v>
      </c>
      <c r="CL3939" t="s">
        <v>89</v>
      </c>
    </row>
    <row r="3940" spans="1:90" x14ac:dyDescent="0.3">
      <c r="A3940" t="s">
        <v>72</v>
      </c>
      <c r="B3940" t="s">
        <v>73</v>
      </c>
      <c r="C3940" t="s">
        <v>74</v>
      </c>
      <c r="E3940" t="str">
        <f>"080065642444"</f>
        <v>080065642444</v>
      </c>
      <c r="F3940" s="3">
        <v>45806</v>
      </c>
      <c r="G3940">
        <v>202602</v>
      </c>
      <c r="H3940" t="s">
        <v>75</v>
      </c>
      <c r="I3940" t="s">
        <v>76</v>
      </c>
      <c r="J3940" t="s">
        <v>77</v>
      </c>
      <c r="K3940" t="s">
        <v>78</v>
      </c>
      <c r="L3940" t="s">
        <v>75</v>
      </c>
      <c r="M3940" t="s">
        <v>76</v>
      </c>
      <c r="N3940" t="s">
        <v>850</v>
      </c>
      <c r="O3940" t="s">
        <v>82</v>
      </c>
      <c r="P3940" t="str">
        <f>"4170041358                    "</f>
        <v xml:space="preserve">4170041358                    </v>
      </c>
      <c r="Q3940">
        <v>0</v>
      </c>
      <c r="R3940">
        <v>0</v>
      </c>
      <c r="S3940">
        <v>0</v>
      </c>
      <c r="T3940">
        <v>0</v>
      </c>
      <c r="U3940">
        <v>0</v>
      </c>
      <c r="V3940">
        <v>0</v>
      </c>
      <c r="W3940">
        <v>0</v>
      </c>
      <c r="X3940">
        <v>0</v>
      </c>
      <c r="Y3940">
        <v>0</v>
      </c>
      <c r="Z3940">
        <v>0</v>
      </c>
      <c r="AA3940">
        <v>0</v>
      </c>
      <c r="AB3940">
        <v>0</v>
      </c>
      <c r="AC3940">
        <v>0</v>
      </c>
      <c r="AD3940">
        <v>0</v>
      </c>
      <c r="AE3940">
        <v>0</v>
      </c>
      <c r="AF3940">
        <v>0</v>
      </c>
      <c r="AG3940">
        <v>0</v>
      </c>
      <c r="AH3940">
        <v>0</v>
      </c>
      <c r="AI3940">
        <v>0</v>
      </c>
      <c r="AJ3940">
        <v>0</v>
      </c>
      <c r="AK3940">
        <v>0</v>
      </c>
      <c r="AL3940">
        <v>0</v>
      </c>
      <c r="AM3940">
        <v>0</v>
      </c>
      <c r="AN3940">
        <v>0</v>
      </c>
      <c r="AO3940">
        <v>0</v>
      </c>
      <c r="AP3940">
        <v>0</v>
      </c>
      <c r="AQ3940">
        <v>16.7</v>
      </c>
      <c r="AR3940">
        <v>0</v>
      </c>
      <c r="AS3940">
        <v>0</v>
      </c>
      <c r="AT3940">
        <v>0</v>
      </c>
      <c r="AU3940">
        <v>0</v>
      </c>
      <c r="AV3940">
        <v>0</v>
      </c>
      <c r="AW3940">
        <v>0</v>
      </c>
      <c r="AX3940">
        <v>0</v>
      </c>
      <c r="AY3940">
        <v>0</v>
      </c>
      <c r="AZ3940">
        <v>0</v>
      </c>
      <c r="BA3940">
        <v>0</v>
      </c>
      <c r="BB3940">
        <v>0</v>
      </c>
      <c r="BC3940">
        <v>0</v>
      </c>
      <c r="BD3940">
        <v>0</v>
      </c>
      <c r="BE3940">
        <v>0</v>
      </c>
      <c r="BF3940">
        <v>0</v>
      </c>
      <c r="BG3940">
        <v>0</v>
      </c>
      <c r="BH3940">
        <v>1</v>
      </c>
      <c r="BI3940">
        <v>2</v>
      </c>
      <c r="BJ3940">
        <v>0.9</v>
      </c>
      <c r="BK3940">
        <v>2</v>
      </c>
      <c r="BL3940">
        <v>54.66</v>
      </c>
      <c r="BM3940">
        <v>8.1999999999999993</v>
      </c>
      <c r="BN3940">
        <v>62.86</v>
      </c>
      <c r="BO3940">
        <v>62.86</v>
      </c>
      <c r="BQ3940" t="s">
        <v>851</v>
      </c>
      <c r="BR3940" t="s">
        <v>84</v>
      </c>
      <c r="BS3940" t="s">
        <v>1540</v>
      </c>
      <c r="BV3940" t="s">
        <v>89</v>
      </c>
      <c r="BY3940">
        <v>4275</v>
      </c>
      <c r="CC3940" t="s">
        <v>76</v>
      </c>
      <c r="CD3940">
        <v>1666</v>
      </c>
      <c r="CE3940" t="s">
        <v>96</v>
      </c>
      <c r="CI3940">
        <v>1</v>
      </c>
      <c r="CJ3940" t="s">
        <v>1540</v>
      </c>
      <c r="CK3940">
        <v>22</v>
      </c>
      <c r="CL3940" t="s">
        <v>89</v>
      </c>
    </row>
    <row r="3941" spans="1:90" x14ac:dyDescent="0.3">
      <c r="A3941" t="s">
        <v>72</v>
      </c>
      <c r="B3941" t="s">
        <v>73</v>
      </c>
      <c r="C3941" t="s">
        <v>74</v>
      </c>
      <c r="E3941" t="str">
        <f>"080065642471"</f>
        <v>080065642471</v>
      </c>
      <c r="F3941" s="3">
        <v>45806</v>
      </c>
      <c r="G3941">
        <v>202602</v>
      </c>
      <c r="H3941" t="s">
        <v>75</v>
      </c>
      <c r="I3941" t="s">
        <v>76</v>
      </c>
      <c r="J3941" t="s">
        <v>77</v>
      </c>
      <c r="K3941" t="s">
        <v>78</v>
      </c>
      <c r="L3941" t="s">
        <v>90</v>
      </c>
      <c r="M3941" t="s">
        <v>91</v>
      </c>
      <c r="N3941" t="s">
        <v>865</v>
      </c>
      <c r="O3941" t="s">
        <v>82</v>
      </c>
      <c r="P3941" t="str">
        <f>"4170041445                    "</f>
        <v xml:space="preserve">4170041445                    </v>
      </c>
      <c r="Q3941">
        <v>0</v>
      </c>
      <c r="R3941">
        <v>0</v>
      </c>
      <c r="S3941">
        <v>0</v>
      </c>
      <c r="T3941">
        <v>0</v>
      </c>
      <c r="U3941">
        <v>0</v>
      </c>
      <c r="V3941">
        <v>0</v>
      </c>
      <c r="W3941">
        <v>0</v>
      </c>
      <c r="X3941">
        <v>0</v>
      </c>
      <c r="Y3941">
        <v>0</v>
      </c>
      <c r="Z3941">
        <v>0</v>
      </c>
      <c r="AA3941">
        <v>0</v>
      </c>
      <c r="AB3941">
        <v>0</v>
      </c>
      <c r="AC3941">
        <v>0</v>
      </c>
      <c r="AD3941">
        <v>0</v>
      </c>
      <c r="AE3941">
        <v>0</v>
      </c>
      <c r="AF3941">
        <v>0</v>
      </c>
      <c r="AG3941">
        <v>0</v>
      </c>
      <c r="AH3941">
        <v>0</v>
      </c>
      <c r="AI3941">
        <v>0</v>
      </c>
      <c r="AJ3941">
        <v>0</v>
      </c>
      <c r="AK3941">
        <v>0</v>
      </c>
      <c r="AL3941">
        <v>0</v>
      </c>
      <c r="AM3941">
        <v>0</v>
      </c>
      <c r="AN3941">
        <v>0</v>
      </c>
      <c r="AO3941">
        <v>0</v>
      </c>
      <c r="AP3941">
        <v>0</v>
      </c>
      <c r="AQ3941">
        <v>21.38</v>
      </c>
      <c r="AR3941">
        <v>0</v>
      </c>
      <c r="AS3941">
        <v>0</v>
      </c>
      <c r="AT3941">
        <v>0</v>
      </c>
      <c r="AU3941">
        <v>0</v>
      </c>
      <c r="AV3941">
        <v>0</v>
      </c>
      <c r="AW3941">
        <v>0</v>
      </c>
      <c r="AX3941">
        <v>0</v>
      </c>
      <c r="AY3941">
        <v>0</v>
      </c>
      <c r="AZ3941">
        <v>0</v>
      </c>
      <c r="BA3941">
        <v>0</v>
      </c>
      <c r="BB3941">
        <v>0</v>
      </c>
      <c r="BC3941">
        <v>0</v>
      </c>
      <c r="BD3941">
        <v>0</v>
      </c>
      <c r="BE3941">
        <v>0</v>
      </c>
      <c r="BF3941">
        <v>0</v>
      </c>
      <c r="BG3941">
        <v>0</v>
      </c>
      <c r="BH3941">
        <v>1</v>
      </c>
      <c r="BI3941">
        <v>1</v>
      </c>
      <c r="BJ3941">
        <v>0.2</v>
      </c>
      <c r="BK3941">
        <v>1</v>
      </c>
      <c r="BL3941">
        <v>69.98</v>
      </c>
      <c r="BM3941">
        <v>10.5</v>
      </c>
      <c r="BN3941">
        <v>80.48</v>
      </c>
      <c r="BO3941">
        <v>80.48</v>
      </c>
      <c r="BQ3941" t="s">
        <v>866</v>
      </c>
      <c r="BR3941" t="s">
        <v>84</v>
      </c>
      <c r="BS3941" t="s">
        <v>1540</v>
      </c>
      <c r="BV3941" t="s">
        <v>89</v>
      </c>
      <c r="BY3941">
        <v>1200</v>
      </c>
      <c r="CC3941" t="s">
        <v>91</v>
      </c>
      <c r="CD3941">
        <v>6001</v>
      </c>
      <c r="CE3941" t="s">
        <v>88</v>
      </c>
      <c r="CI3941">
        <v>1</v>
      </c>
      <c r="CJ3941" t="s">
        <v>1540</v>
      </c>
      <c r="CK3941">
        <v>21</v>
      </c>
      <c r="CL3941" t="s">
        <v>89</v>
      </c>
    </row>
    <row r="3942" spans="1:90" x14ac:dyDescent="0.3">
      <c r="A3942" t="s">
        <v>72</v>
      </c>
      <c r="B3942" t="s">
        <v>73</v>
      </c>
      <c r="C3942" t="s">
        <v>74</v>
      </c>
      <c r="E3942" t="str">
        <f>"080065642493"</f>
        <v>080065642493</v>
      </c>
      <c r="F3942" s="3">
        <v>45806</v>
      </c>
      <c r="G3942">
        <v>202602</v>
      </c>
      <c r="H3942" t="s">
        <v>75</v>
      </c>
      <c r="I3942" t="s">
        <v>76</v>
      </c>
      <c r="J3942" t="s">
        <v>77</v>
      </c>
      <c r="K3942" t="s">
        <v>78</v>
      </c>
      <c r="L3942" t="s">
        <v>103</v>
      </c>
      <c r="M3942" t="s">
        <v>104</v>
      </c>
      <c r="N3942" t="s">
        <v>686</v>
      </c>
      <c r="O3942" t="s">
        <v>82</v>
      </c>
      <c r="P3942" t="str">
        <f>"4170041347                    "</f>
        <v xml:space="preserve">4170041347                    </v>
      </c>
      <c r="Q3942">
        <v>0</v>
      </c>
      <c r="R3942">
        <v>0</v>
      </c>
      <c r="S3942">
        <v>0</v>
      </c>
      <c r="T3942">
        <v>0</v>
      </c>
      <c r="U3942">
        <v>0</v>
      </c>
      <c r="V3942">
        <v>0</v>
      </c>
      <c r="W3942">
        <v>0</v>
      </c>
      <c r="X3942">
        <v>0</v>
      </c>
      <c r="Y3942">
        <v>0</v>
      </c>
      <c r="Z3942">
        <v>0</v>
      </c>
      <c r="AA3942">
        <v>0</v>
      </c>
      <c r="AB3942">
        <v>0</v>
      </c>
      <c r="AC3942">
        <v>0</v>
      </c>
      <c r="AD3942">
        <v>0</v>
      </c>
      <c r="AE3942">
        <v>0</v>
      </c>
      <c r="AF3942">
        <v>0</v>
      </c>
      <c r="AG3942">
        <v>0</v>
      </c>
      <c r="AH3942">
        <v>0</v>
      </c>
      <c r="AI3942">
        <v>0</v>
      </c>
      <c r="AJ3942">
        <v>0</v>
      </c>
      <c r="AK3942">
        <v>0</v>
      </c>
      <c r="AL3942">
        <v>0</v>
      </c>
      <c r="AM3942">
        <v>0</v>
      </c>
      <c r="AN3942">
        <v>0</v>
      </c>
      <c r="AO3942">
        <v>0</v>
      </c>
      <c r="AP3942">
        <v>0</v>
      </c>
      <c r="AQ3942">
        <v>112.19</v>
      </c>
      <c r="AR3942">
        <v>0</v>
      </c>
      <c r="AS3942">
        <v>0</v>
      </c>
      <c r="AT3942">
        <v>0</v>
      </c>
      <c r="AU3942">
        <v>0</v>
      </c>
      <c r="AV3942">
        <v>0</v>
      </c>
      <c r="AW3942">
        <v>0</v>
      </c>
      <c r="AX3942">
        <v>0</v>
      </c>
      <c r="AY3942">
        <v>0</v>
      </c>
      <c r="AZ3942">
        <v>0</v>
      </c>
      <c r="BA3942">
        <v>0</v>
      </c>
      <c r="BB3942">
        <v>0</v>
      </c>
      <c r="BC3942">
        <v>0</v>
      </c>
      <c r="BD3942">
        <v>0</v>
      </c>
      <c r="BE3942">
        <v>0</v>
      </c>
      <c r="BF3942">
        <v>0</v>
      </c>
      <c r="BG3942">
        <v>0</v>
      </c>
      <c r="BH3942">
        <v>1</v>
      </c>
      <c r="BI3942">
        <v>10</v>
      </c>
      <c r="BJ3942">
        <v>10.199999999999999</v>
      </c>
      <c r="BK3942">
        <v>10.5</v>
      </c>
      <c r="BL3942">
        <v>367.17</v>
      </c>
      <c r="BM3942">
        <v>55.08</v>
      </c>
      <c r="BN3942">
        <v>422.25</v>
      </c>
      <c r="BO3942">
        <v>422.25</v>
      </c>
      <c r="BQ3942" t="s">
        <v>687</v>
      </c>
      <c r="BR3942" t="s">
        <v>84</v>
      </c>
      <c r="BS3942" t="s">
        <v>1540</v>
      </c>
      <c r="BV3942" t="s">
        <v>89</v>
      </c>
      <c r="BY3942">
        <v>51072</v>
      </c>
      <c r="CC3942" t="s">
        <v>104</v>
      </c>
      <c r="CD3942">
        <v>3201</v>
      </c>
      <c r="CE3942" t="s">
        <v>96</v>
      </c>
      <c r="CI3942">
        <v>1</v>
      </c>
      <c r="CJ3942" t="s">
        <v>1540</v>
      </c>
      <c r="CK3942">
        <v>21</v>
      </c>
      <c r="CL3942" t="s">
        <v>89</v>
      </c>
    </row>
    <row r="3943" spans="1:90" x14ac:dyDescent="0.3">
      <c r="A3943" t="s">
        <v>72</v>
      </c>
      <c r="B3943" t="s">
        <v>73</v>
      </c>
      <c r="C3943" t="s">
        <v>74</v>
      </c>
      <c r="E3943" t="str">
        <f>"080065642499"</f>
        <v>080065642499</v>
      </c>
      <c r="F3943" s="3">
        <v>45806</v>
      </c>
      <c r="G3943">
        <v>202602</v>
      </c>
      <c r="H3943" t="s">
        <v>75</v>
      </c>
      <c r="I3943" t="s">
        <v>76</v>
      </c>
      <c r="J3943" t="s">
        <v>77</v>
      </c>
      <c r="K3943" t="s">
        <v>78</v>
      </c>
      <c r="L3943" t="s">
        <v>90</v>
      </c>
      <c r="M3943" t="s">
        <v>91</v>
      </c>
      <c r="N3943" t="s">
        <v>865</v>
      </c>
      <c r="O3943" t="s">
        <v>82</v>
      </c>
      <c r="P3943" t="str">
        <f>"4170041437                    "</f>
        <v xml:space="preserve">4170041437                    </v>
      </c>
      <c r="Q3943">
        <v>0</v>
      </c>
      <c r="R3943">
        <v>0</v>
      </c>
      <c r="S3943">
        <v>0</v>
      </c>
      <c r="T3943">
        <v>0</v>
      </c>
      <c r="U3943">
        <v>0</v>
      </c>
      <c r="V3943">
        <v>0</v>
      </c>
      <c r="W3943">
        <v>0</v>
      </c>
      <c r="X3943">
        <v>0</v>
      </c>
      <c r="Y3943">
        <v>0</v>
      </c>
      <c r="Z3943">
        <v>0</v>
      </c>
      <c r="AA3943">
        <v>0</v>
      </c>
      <c r="AB3943">
        <v>0</v>
      </c>
      <c r="AC3943">
        <v>0</v>
      </c>
      <c r="AD3943">
        <v>0</v>
      </c>
      <c r="AE3943">
        <v>0</v>
      </c>
      <c r="AF3943">
        <v>0</v>
      </c>
      <c r="AG3943">
        <v>0</v>
      </c>
      <c r="AH3943">
        <v>0</v>
      </c>
      <c r="AI3943">
        <v>0</v>
      </c>
      <c r="AJ3943">
        <v>0</v>
      </c>
      <c r="AK3943">
        <v>0</v>
      </c>
      <c r="AL3943">
        <v>0</v>
      </c>
      <c r="AM3943">
        <v>0</v>
      </c>
      <c r="AN3943">
        <v>0</v>
      </c>
      <c r="AO3943">
        <v>0</v>
      </c>
      <c r="AP3943">
        <v>0</v>
      </c>
      <c r="AQ3943">
        <v>21.38</v>
      </c>
      <c r="AR3943">
        <v>0</v>
      </c>
      <c r="AS3943">
        <v>0</v>
      </c>
      <c r="AT3943">
        <v>0</v>
      </c>
      <c r="AU3943">
        <v>0</v>
      </c>
      <c r="AV3943">
        <v>0</v>
      </c>
      <c r="AW3943">
        <v>0</v>
      </c>
      <c r="AX3943">
        <v>0</v>
      </c>
      <c r="AY3943">
        <v>0</v>
      </c>
      <c r="AZ3943">
        <v>0</v>
      </c>
      <c r="BA3943">
        <v>0</v>
      </c>
      <c r="BB3943">
        <v>0</v>
      </c>
      <c r="BC3943">
        <v>0</v>
      </c>
      <c r="BD3943">
        <v>0</v>
      </c>
      <c r="BE3943">
        <v>0</v>
      </c>
      <c r="BF3943">
        <v>0</v>
      </c>
      <c r="BG3943">
        <v>0</v>
      </c>
      <c r="BH3943">
        <v>1</v>
      </c>
      <c r="BI3943">
        <v>1</v>
      </c>
      <c r="BJ3943">
        <v>0.2</v>
      </c>
      <c r="BK3943">
        <v>1</v>
      </c>
      <c r="BL3943">
        <v>69.98</v>
      </c>
      <c r="BM3943">
        <v>10.5</v>
      </c>
      <c r="BN3943">
        <v>80.48</v>
      </c>
      <c r="BO3943">
        <v>80.48</v>
      </c>
      <c r="BQ3943" t="s">
        <v>866</v>
      </c>
      <c r="BR3943" t="s">
        <v>84</v>
      </c>
      <c r="BS3943" t="s">
        <v>1540</v>
      </c>
      <c r="BV3943" t="s">
        <v>89</v>
      </c>
      <c r="BY3943">
        <v>1200</v>
      </c>
      <c r="CC3943" t="s">
        <v>91</v>
      </c>
      <c r="CD3943">
        <v>6001</v>
      </c>
      <c r="CE3943" t="s">
        <v>88</v>
      </c>
      <c r="CI3943">
        <v>1</v>
      </c>
      <c r="CJ3943" t="s">
        <v>1540</v>
      </c>
      <c r="CK3943">
        <v>21</v>
      </c>
      <c r="CL3943" t="s">
        <v>89</v>
      </c>
    </row>
    <row r="3944" spans="1:90" x14ac:dyDescent="0.3">
      <c r="A3944" t="s">
        <v>72</v>
      </c>
      <c r="B3944" t="s">
        <v>73</v>
      </c>
      <c r="C3944" t="s">
        <v>74</v>
      </c>
      <c r="E3944" t="str">
        <f>"080065642524"</f>
        <v>080065642524</v>
      </c>
      <c r="F3944" s="3">
        <v>45806</v>
      </c>
      <c r="G3944">
        <v>202602</v>
      </c>
      <c r="H3944" t="s">
        <v>75</v>
      </c>
      <c r="I3944" t="s">
        <v>76</v>
      </c>
      <c r="J3944" t="s">
        <v>77</v>
      </c>
      <c r="K3944" t="s">
        <v>78</v>
      </c>
      <c r="L3944" t="s">
        <v>130</v>
      </c>
      <c r="M3944" t="s">
        <v>131</v>
      </c>
      <c r="N3944" t="s">
        <v>909</v>
      </c>
      <c r="O3944" t="s">
        <v>82</v>
      </c>
      <c r="P3944" t="str">
        <f>"4170041364                    "</f>
        <v xml:space="preserve">4170041364                    </v>
      </c>
      <c r="Q3944">
        <v>0</v>
      </c>
      <c r="R3944">
        <v>0</v>
      </c>
      <c r="S3944">
        <v>0</v>
      </c>
      <c r="T3944">
        <v>0</v>
      </c>
      <c r="U3944">
        <v>0</v>
      </c>
      <c r="V3944">
        <v>0</v>
      </c>
      <c r="W3944">
        <v>0</v>
      </c>
      <c r="X3944">
        <v>0</v>
      </c>
      <c r="Y3944">
        <v>0</v>
      </c>
      <c r="Z3944">
        <v>0</v>
      </c>
      <c r="AA3944">
        <v>0</v>
      </c>
      <c r="AB3944">
        <v>0</v>
      </c>
      <c r="AC3944">
        <v>0</v>
      </c>
      <c r="AD3944">
        <v>0</v>
      </c>
      <c r="AE3944">
        <v>0</v>
      </c>
      <c r="AF3944">
        <v>0</v>
      </c>
      <c r="AG3944">
        <v>0</v>
      </c>
      <c r="AH3944">
        <v>0</v>
      </c>
      <c r="AI3944">
        <v>0</v>
      </c>
      <c r="AJ3944">
        <v>0</v>
      </c>
      <c r="AK3944">
        <v>0</v>
      </c>
      <c r="AL3944">
        <v>0</v>
      </c>
      <c r="AM3944">
        <v>0</v>
      </c>
      <c r="AN3944">
        <v>0</v>
      </c>
      <c r="AO3944">
        <v>0</v>
      </c>
      <c r="AP3944">
        <v>0</v>
      </c>
      <c r="AQ3944">
        <v>21.38</v>
      </c>
      <c r="AR3944">
        <v>0</v>
      </c>
      <c r="AS3944">
        <v>0</v>
      </c>
      <c r="AT3944">
        <v>0</v>
      </c>
      <c r="AU3944">
        <v>0</v>
      </c>
      <c r="AV3944">
        <v>0</v>
      </c>
      <c r="AW3944">
        <v>0</v>
      </c>
      <c r="AX3944">
        <v>0</v>
      </c>
      <c r="AY3944">
        <v>0</v>
      </c>
      <c r="AZ3944">
        <v>0</v>
      </c>
      <c r="BA3944">
        <v>0</v>
      </c>
      <c r="BB3944">
        <v>0</v>
      </c>
      <c r="BC3944">
        <v>0</v>
      </c>
      <c r="BD3944">
        <v>0</v>
      </c>
      <c r="BE3944">
        <v>0</v>
      </c>
      <c r="BF3944">
        <v>0</v>
      </c>
      <c r="BG3944">
        <v>0</v>
      </c>
      <c r="BH3944">
        <v>1</v>
      </c>
      <c r="BI3944">
        <v>1</v>
      </c>
      <c r="BJ3944">
        <v>0.2</v>
      </c>
      <c r="BK3944">
        <v>1</v>
      </c>
      <c r="BL3944">
        <v>69.98</v>
      </c>
      <c r="BM3944">
        <v>10.5</v>
      </c>
      <c r="BN3944">
        <v>80.48</v>
      </c>
      <c r="BO3944">
        <v>80.48</v>
      </c>
      <c r="BQ3944" t="s">
        <v>910</v>
      </c>
      <c r="BR3944" t="s">
        <v>84</v>
      </c>
      <c r="BS3944" s="3">
        <v>45807</v>
      </c>
      <c r="BT3944" s="4">
        <v>0.33333333333333331</v>
      </c>
      <c r="BU3944" t="s">
        <v>938</v>
      </c>
      <c r="BV3944" t="s">
        <v>86</v>
      </c>
      <c r="BY3944">
        <v>1200</v>
      </c>
      <c r="CA3944" t="s">
        <v>712</v>
      </c>
      <c r="CC3944" t="s">
        <v>131</v>
      </c>
      <c r="CD3944">
        <v>7530</v>
      </c>
      <c r="CE3944" t="s">
        <v>1193</v>
      </c>
      <c r="CI3944">
        <v>1</v>
      </c>
      <c r="CJ3944">
        <v>1</v>
      </c>
      <c r="CK3944">
        <v>21</v>
      </c>
      <c r="CL3944" t="s">
        <v>89</v>
      </c>
    </row>
    <row r="3945" spans="1:90" x14ac:dyDescent="0.3">
      <c r="A3945" t="s">
        <v>72</v>
      </c>
      <c r="B3945" t="s">
        <v>73</v>
      </c>
      <c r="C3945" t="s">
        <v>74</v>
      </c>
      <c r="E3945" t="str">
        <f>"080065642863"</f>
        <v>080065642863</v>
      </c>
      <c r="F3945" s="3">
        <v>45806</v>
      </c>
      <c r="G3945">
        <v>202602</v>
      </c>
      <c r="H3945" t="s">
        <v>75</v>
      </c>
      <c r="I3945" t="s">
        <v>76</v>
      </c>
      <c r="J3945" t="s">
        <v>77</v>
      </c>
      <c r="K3945" t="s">
        <v>78</v>
      </c>
      <c r="L3945" t="s">
        <v>117</v>
      </c>
      <c r="M3945" t="s">
        <v>118</v>
      </c>
      <c r="N3945" t="s">
        <v>2924</v>
      </c>
      <c r="O3945" t="s">
        <v>82</v>
      </c>
      <c r="P3945" t="str">
        <f>"4170041451                    "</f>
        <v xml:space="preserve">4170041451                    </v>
      </c>
      <c r="Q3945">
        <v>0</v>
      </c>
      <c r="R3945">
        <v>0</v>
      </c>
      <c r="S3945">
        <v>0</v>
      </c>
      <c r="T3945">
        <v>0</v>
      </c>
      <c r="U3945">
        <v>0</v>
      </c>
      <c r="V3945">
        <v>0</v>
      </c>
      <c r="W3945">
        <v>0</v>
      </c>
      <c r="X3945">
        <v>0</v>
      </c>
      <c r="Y3945">
        <v>0</v>
      </c>
      <c r="Z3945">
        <v>0</v>
      </c>
      <c r="AA3945">
        <v>0</v>
      </c>
      <c r="AB3945">
        <v>0</v>
      </c>
      <c r="AC3945">
        <v>0</v>
      </c>
      <c r="AD3945">
        <v>0</v>
      </c>
      <c r="AE3945">
        <v>0</v>
      </c>
      <c r="AF3945">
        <v>0</v>
      </c>
      <c r="AG3945">
        <v>0</v>
      </c>
      <c r="AH3945">
        <v>0</v>
      </c>
      <c r="AI3945">
        <v>0</v>
      </c>
      <c r="AJ3945">
        <v>0</v>
      </c>
      <c r="AK3945">
        <v>0</v>
      </c>
      <c r="AL3945">
        <v>0</v>
      </c>
      <c r="AM3945">
        <v>0</v>
      </c>
      <c r="AN3945">
        <v>0</v>
      </c>
      <c r="AO3945">
        <v>0</v>
      </c>
      <c r="AP3945">
        <v>0</v>
      </c>
      <c r="AQ3945">
        <v>16.7</v>
      </c>
      <c r="AR3945">
        <v>0</v>
      </c>
      <c r="AS3945">
        <v>0</v>
      </c>
      <c r="AT3945">
        <v>0</v>
      </c>
      <c r="AU3945">
        <v>0</v>
      </c>
      <c r="AV3945">
        <v>0</v>
      </c>
      <c r="AW3945">
        <v>0</v>
      </c>
      <c r="AX3945">
        <v>0</v>
      </c>
      <c r="AY3945">
        <v>0</v>
      </c>
      <c r="AZ3945">
        <v>0</v>
      </c>
      <c r="BA3945">
        <v>0</v>
      </c>
      <c r="BB3945">
        <v>0</v>
      </c>
      <c r="BC3945">
        <v>0</v>
      </c>
      <c r="BD3945">
        <v>0</v>
      </c>
      <c r="BE3945">
        <v>0</v>
      </c>
      <c r="BF3945">
        <v>0</v>
      </c>
      <c r="BG3945">
        <v>0</v>
      </c>
      <c r="BH3945">
        <v>1</v>
      </c>
      <c r="BI3945">
        <v>1</v>
      </c>
      <c r="BJ3945">
        <v>0.2</v>
      </c>
      <c r="BK3945">
        <v>1</v>
      </c>
      <c r="BL3945">
        <v>54.66</v>
      </c>
      <c r="BM3945">
        <v>8.1999999999999993</v>
      </c>
      <c r="BN3945">
        <v>62.86</v>
      </c>
      <c r="BO3945">
        <v>62.86</v>
      </c>
      <c r="BQ3945" t="s">
        <v>2925</v>
      </c>
      <c r="BR3945" t="s">
        <v>84</v>
      </c>
      <c r="BS3945" t="s">
        <v>1540</v>
      </c>
      <c r="BV3945" t="s">
        <v>89</v>
      </c>
      <c r="BY3945">
        <v>1200</v>
      </c>
      <c r="CC3945" t="s">
        <v>118</v>
      </c>
      <c r="CD3945">
        <v>2190</v>
      </c>
      <c r="CE3945" t="s">
        <v>88</v>
      </c>
      <c r="CI3945">
        <v>1</v>
      </c>
      <c r="CJ3945" t="s">
        <v>1540</v>
      </c>
      <c r="CK3945">
        <v>22</v>
      </c>
      <c r="CL3945" t="s">
        <v>89</v>
      </c>
    </row>
    <row r="3946" spans="1:90" x14ac:dyDescent="0.3">
      <c r="A3946" t="s">
        <v>72</v>
      </c>
      <c r="B3946" t="s">
        <v>73</v>
      </c>
      <c r="C3946" t="s">
        <v>74</v>
      </c>
      <c r="E3946" t="str">
        <f>"080065642903"</f>
        <v>080065642903</v>
      </c>
      <c r="F3946" s="3">
        <v>45806</v>
      </c>
      <c r="G3946">
        <v>202602</v>
      </c>
      <c r="H3946" t="s">
        <v>75</v>
      </c>
      <c r="I3946" t="s">
        <v>76</v>
      </c>
      <c r="J3946" t="s">
        <v>77</v>
      </c>
      <c r="K3946" t="s">
        <v>78</v>
      </c>
      <c r="L3946" t="s">
        <v>117</v>
      </c>
      <c r="M3946" t="s">
        <v>118</v>
      </c>
      <c r="N3946" t="s">
        <v>1635</v>
      </c>
      <c r="O3946" t="s">
        <v>82</v>
      </c>
      <c r="P3946" t="str">
        <f>"4170041424                    "</f>
        <v xml:space="preserve">4170041424                    </v>
      </c>
      <c r="Q3946">
        <v>0</v>
      </c>
      <c r="R3946">
        <v>0</v>
      </c>
      <c r="S3946">
        <v>0</v>
      </c>
      <c r="T3946">
        <v>0</v>
      </c>
      <c r="U3946">
        <v>0</v>
      </c>
      <c r="V3946">
        <v>0</v>
      </c>
      <c r="W3946">
        <v>0</v>
      </c>
      <c r="X3946">
        <v>0</v>
      </c>
      <c r="Y3946">
        <v>0</v>
      </c>
      <c r="Z3946">
        <v>0</v>
      </c>
      <c r="AA3946">
        <v>0</v>
      </c>
      <c r="AB3946">
        <v>0</v>
      </c>
      <c r="AC3946">
        <v>0</v>
      </c>
      <c r="AD3946">
        <v>0</v>
      </c>
      <c r="AE3946">
        <v>0</v>
      </c>
      <c r="AF3946">
        <v>0</v>
      </c>
      <c r="AG3946">
        <v>0</v>
      </c>
      <c r="AH3946">
        <v>0</v>
      </c>
      <c r="AI3946">
        <v>0</v>
      </c>
      <c r="AJ3946">
        <v>0</v>
      </c>
      <c r="AK3946">
        <v>0</v>
      </c>
      <c r="AL3946">
        <v>0</v>
      </c>
      <c r="AM3946">
        <v>0</v>
      </c>
      <c r="AN3946">
        <v>0</v>
      </c>
      <c r="AO3946">
        <v>0</v>
      </c>
      <c r="AP3946">
        <v>0</v>
      </c>
      <c r="AQ3946">
        <v>16.7</v>
      </c>
      <c r="AR3946">
        <v>0</v>
      </c>
      <c r="AS3946">
        <v>0</v>
      </c>
      <c r="AT3946">
        <v>0</v>
      </c>
      <c r="AU3946">
        <v>0</v>
      </c>
      <c r="AV3946">
        <v>0</v>
      </c>
      <c r="AW3946">
        <v>0</v>
      </c>
      <c r="AX3946">
        <v>0</v>
      </c>
      <c r="AY3946">
        <v>0</v>
      </c>
      <c r="AZ3946">
        <v>0</v>
      </c>
      <c r="BA3946">
        <v>0</v>
      </c>
      <c r="BB3946">
        <v>0</v>
      </c>
      <c r="BC3946">
        <v>0</v>
      </c>
      <c r="BD3946">
        <v>0</v>
      </c>
      <c r="BE3946">
        <v>0</v>
      </c>
      <c r="BF3946">
        <v>0</v>
      </c>
      <c r="BG3946">
        <v>0</v>
      </c>
      <c r="BH3946">
        <v>1</v>
      </c>
      <c r="BI3946">
        <v>1</v>
      </c>
      <c r="BJ3946">
        <v>0.2</v>
      </c>
      <c r="BK3946">
        <v>1</v>
      </c>
      <c r="BL3946">
        <v>54.66</v>
      </c>
      <c r="BM3946">
        <v>8.1999999999999993</v>
      </c>
      <c r="BN3946">
        <v>62.86</v>
      </c>
      <c r="BO3946">
        <v>62.86</v>
      </c>
      <c r="BQ3946" t="s">
        <v>1636</v>
      </c>
      <c r="BR3946" t="s">
        <v>84</v>
      </c>
      <c r="BS3946" t="s">
        <v>1540</v>
      </c>
      <c r="BV3946" t="s">
        <v>89</v>
      </c>
      <c r="BY3946">
        <v>1200</v>
      </c>
      <c r="CC3946" t="s">
        <v>118</v>
      </c>
      <c r="CD3946">
        <v>2094</v>
      </c>
      <c r="CE3946" t="s">
        <v>88</v>
      </c>
      <c r="CI3946">
        <v>1</v>
      </c>
      <c r="CJ3946" t="s">
        <v>1540</v>
      </c>
      <c r="CK3946">
        <v>22</v>
      </c>
      <c r="CL3946" t="s">
        <v>89</v>
      </c>
    </row>
    <row r="3947" spans="1:90" x14ac:dyDescent="0.3">
      <c r="A3947" t="s">
        <v>72</v>
      </c>
      <c r="B3947" t="s">
        <v>73</v>
      </c>
      <c r="C3947" t="s">
        <v>74</v>
      </c>
      <c r="E3947" t="str">
        <f>"080065642920"</f>
        <v>080065642920</v>
      </c>
      <c r="F3947" s="3">
        <v>45806</v>
      </c>
      <c r="G3947">
        <v>202602</v>
      </c>
      <c r="H3947" t="s">
        <v>75</v>
      </c>
      <c r="I3947" t="s">
        <v>76</v>
      </c>
      <c r="J3947" t="s">
        <v>77</v>
      </c>
      <c r="K3947" t="s">
        <v>78</v>
      </c>
      <c r="L3947" t="s">
        <v>130</v>
      </c>
      <c r="M3947" t="s">
        <v>131</v>
      </c>
      <c r="N3947" t="s">
        <v>709</v>
      </c>
      <c r="O3947" t="s">
        <v>82</v>
      </c>
      <c r="P3947" t="str">
        <f>"4170041464                    "</f>
        <v xml:space="preserve">4170041464                    </v>
      </c>
      <c r="Q3947">
        <v>0</v>
      </c>
      <c r="R3947">
        <v>0</v>
      </c>
      <c r="S3947">
        <v>0</v>
      </c>
      <c r="T3947">
        <v>0</v>
      </c>
      <c r="U3947">
        <v>0</v>
      </c>
      <c r="V3947">
        <v>0</v>
      </c>
      <c r="W3947">
        <v>0</v>
      </c>
      <c r="X3947">
        <v>0</v>
      </c>
      <c r="Y3947">
        <v>0</v>
      </c>
      <c r="Z3947">
        <v>0</v>
      </c>
      <c r="AA3947">
        <v>0</v>
      </c>
      <c r="AB3947">
        <v>0</v>
      </c>
      <c r="AC3947">
        <v>0</v>
      </c>
      <c r="AD3947">
        <v>0</v>
      </c>
      <c r="AE3947">
        <v>0</v>
      </c>
      <c r="AF3947">
        <v>0</v>
      </c>
      <c r="AG3947">
        <v>0</v>
      </c>
      <c r="AH3947">
        <v>0</v>
      </c>
      <c r="AI3947">
        <v>0</v>
      </c>
      <c r="AJ3947">
        <v>0</v>
      </c>
      <c r="AK3947">
        <v>0</v>
      </c>
      <c r="AL3947">
        <v>0</v>
      </c>
      <c r="AM3947">
        <v>0</v>
      </c>
      <c r="AN3947">
        <v>0</v>
      </c>
      <c r="AO3947">
        <v>0</v>
      </c>
      <c r="AP3947">
        <v>0</v>
      </c>
      <c r="AQ3947">
        <v>21.38</v>
      </c>
      <c r="AR3947">
        <v>0</v>
      </c>
      <c r="AS3947">
        <v>0</v>
      </c>
      <c r="AT3947">
        <v>0</v>
      </c>
      <c r="AU3947">
        <v>0</v>
      </c>
      <c r="AV3947">
        <v>0</v>
      </c>
      <c r="AW3947">
        <v>0</v>
      </c>
      <c r="AX3947">
        <v>0</v>
      </c>
      <c r="AY3947">
        <v>0</v>
      </c>
      <c r="AZ3947">
        <v>0</v>
      </c>
      <c r="BA3947">
        <v>0</v>
      </c>
      <c r="BB3947">
        <v>0</v>
      </c>
      <c r="BC3947">
        <v>0</v>
      </c>
      <c r="BD3947">
        <v>0</v>
      </c>
      <c r="BE3947">
        <v>0</v>
      </c>
      <c r="BF3947">
        <v>0</v>
      </c>
      <c r="BG3947">
        <v>0</v>
      </c>
      <c r="BH3947">
        <v>1</v>
      </c>
      <c r="BI3947">
        <v>1</v>
      </c>
      <c r="BJ3947">
        <v>0.2</v>
      </c>
      <c r="BK3947">
        <v>1</v>
      </c>
      <c r="BL3947">
        <v>69.98</v>
      </c>
      <c r="BM3947">
        <v>10.5</v>
      </c>
      <c r="BN3947">
        <v>80.48</v>
      </c>
      <c r="BO3947">
        <v>80.48</v>
      </c>
      <c r="BQ3947" t="s">
        <v>710</v>
      </c>
      <c r="BR3947" t="s">
        <v>84</v>
      </c>
      <c r="BS3947" s="3">
        <v>45807</v>
      </c>
      <c r="BT3947" s="4">
        <v>0.32500000000000001</v>
      </c>
      <c r="BU3947" t="s">
        <v>3455</v>
      </c>
      <c r="BV3947" t="s">
        <v>86</v>
      </c>
      <c r="BY3947">
        <v>1200</v>
      </c>
      <c r="CA3947" t="s">
        <v>3456</v>
      </c>
      <c r="CC3947" t="s">
        <v>131</v>
      </c>
      <c r="CD3947">
        <v>7530</v>
      </c>
      <c r="CE3947" t="s">
        <v>88</v>
      </c>
      <c r="CI3947">
        <v>1</v>
      </c>
      <c r="CJ3947">
        <v>1</v>
      </c>
      <c r="CK3947">
        <v>21</v>
      </c>
      <c r="CL3947" t="s">
        <v>89</v>
      </c>
    </row>
    <row r="3948" spans="1:90" x14ac:dyDescent="0.3">
      <c r="A3948" t="s">
        <v>72</v>
      </c>
      <c r="B3948" t="s">
        <v>73</v>
      </c>
      <c r="C3948" t="s">
        <v>74</v>
      </c>
      <c r="E3948" t="str">
        <f>"080065642941"</f>
        <v>080065642941</v>
      </c>
      <c r="F3948" s="3">
        <v>45806</v>
      </c>
      <c r="G3948">
        <v>202602</v>
      </c>
      <c r="H3948" t="s">
        <v>75</v>
      </c>
      <c r="I3948" t="s">
        <v>76</v>
      </c>
      <c r="J3948" t="s">
        <v>77</v>
      </c>
      <c r="K3948" t="s">
        <v>78</v>
      </c>
      <c r="L3948" t="s">
        <v>79</v>
      </c>
      <c r="M3948" t="s">
        <v>80</v>
      </c>
      <c r="N3948" t="s">
        <v>797</v>
      </c>
      <c r="O3948" t="s">
        <v>82</v>
      </c>
      <c r="P3948" t="str">
        <f>"4170041367                    "</f>
        <v xml:space="preserve">4170041367                    </v>
      </c>
      <c r="Q3948">
        <v>0</v>
      </c>
      <c r="R3948">
        <v>0</v>
      </c>
      <c r="S3948">
        <v>0</v>
      </c>
      <c r="T3948">
        <v>0</v>
      </c>
      <c r="U3948">
        <v>0</v>
      </c>
      <c r="V3948">
        <v>0</v>
      </c>
      <c r="W3948">
        <v>0</v>
      </c>
      <c r="X3948">
        <v>0</v>
      </c>
      <c r="Y3948">
        <v>0</v>
      </c>
      <c r="Z3948">
        <v>0</v>
      </c>
      <c r="AA3948">
        <v>0</v>
      </c>
      <c r="AB3948">
        <v>0</v>
      </c>
      <c r="AC3948">
        <v>0</v>
      </c>
      <c r="AD3948">
        <v>0</v>
      </c>
      <c r="AE3948">
        <v>0</v>
      </c>
      <c r="AF3948">
        <v>0</v>
      </c>
      <c r="AG3948">
        <v>0</v>
      </c>
      <c r="AH3948">
        <v>0</v>
      </c>
      <c r="AI3948">
        <v>0</v>
      </c>
      <c r="AJ3948">
        <v>0</v>
      </c>
      <c r="AK3948">
        <v>0</v>
      </c>
      <c r="AL3948">
        <v>0</v>
      </c>
      <c r="AM3948">
        <v>0</v>
      </c>
      <c r="AN3948">
        <v>0</v>
      </c>
      <c r="AO3948">
        <v>0</v>
      </c>
      <c r="AP3948">
        <v>0</v>
      </c>
      <c r="AQ3948">
        <v>21.38</v>
      </c>
      <c r="AR3948">
        <v>0</v>
      </c>
      <c r="AS3948">
        <v>0</v>
      </c>
      <c r="AT3948">
        <v>0</v>
      </c>
      <c r="AU3948">
        <v>0</v>
      </c>
      <c r="AV3948">
        <v>0</v>
      </c>
      <c r="AW3948">
        <v>0</v>
      </c>
      <c r="AX3948">
        <v>0</v>
      </c>
      <c r="AY3948">
        <v>0</v>
      </c>
      <c r="AZ3948">
        <v>0</v>
      </c>
      <c r="BA3948">
        <v>0</v>
      </c>
      <c r="BB3948">
        <v>0</v>
      </c>
      <c r="BC3948">
        <v>0</v>
      </c>
      <c r="BD3948">
        <v>0</v>
      </c>
      <c r="BE3948">
        <v>0</v>
      </c>
      <c r="BF3948">
        <v>0</v>
      </c>
      <c r="BG3948">
        <v>0</v>
      </c>
      <c r="BH3948">
        <v>1</v>
      </c>
      <c r="BI3948">
        <v>1</v>
      </c>
      <c r="BJ3948">
        <v>0.2</v>
      </c>
      <c r="BK3948">
        <v>1</v>
      </c>
      <c r="BL3948">
        <v>69.98</v>
      </c>
      <c r="BM3948">
        <v>10.5</v>
      </c>
      <c r="BN3948">
        <v>80.48</v>
      </c>
      <c r="BO3948">
        <v>80.48</v>
      </c>
      <c r="BQ3948" t="s">
        <v>798</v>
      </c>
      <c r="BR3948" t="s">
        <v>84</v>
      </c>
      <c r="BS3948" t="s">
        <v>1540</v>
      </c>
      <c r="BV3948" t="s">
        <v>89</v>
      </c>
      <c r="BY3948">
        <v>1200</v>
      </c>
      <c r="CC3948" t="s">
        <v>80</v>
      </c>
      <c r="CD3948">
        <v>3610</v>
      </c>
      <c r="CE3948" t="s">
        <v>88</v>
      </c>
      <c r="CI3948">
        <v>1</v>
      </c>
      <c r="CJ3948" t="s">
        <v>1540</v>
      </c>
      <c r="CK3948">
        <v>21</v>
      </c>
      <c r="CL3948" t="s">
        <v>89</v>
      </c>
    </row>
    <row r="3949" spans="1:90" x14ac:dyDescent="0.3">
      <c r="A3949" t="s">
        <v>72</v>
      </c>
      <c r="B3949" t="s">
        <v>73</v>
      </c>
      <c r="C3949" t="s">
        <v>74</v>
      </c>
      <c r="E3949" t="str">
        <f>"080065642958"</f>
        <v>080065642958</v>
      </c>
      <c r="F3949" s="3">
        <v>45806</v>
      </c>
      <c r="G3949">
        <v>202602</v>
      </c>
      <c r="H3949" t="s">
        <v>75</v>
      </c>
      <c r="I3949" t="s">
        <v>76</v>
      </c>
      <c r="J3949" t="s">
        <v>77</v>
      </c>
      <c r="K3949" t="s">
        <v>78</v>
      </c>
      <c r="L3949" t="s">
        <v>130</v>
      </c>
      <c r="M3949" t="s">
        <v>131</v>
      </c>
      <c r="N3949" t="s">
        <v>343</v>
      </c>
      <c r="O3949" t="s">
        <v>82</v>
      </c>
      <c r="P3949" t="str">
        <f>"4170041353                    "</f>
        <v xml:space="preserve">4170041353                    </v>
      </c>
      <c r="Q3949">
        <v>0</v>
      </c>
      <c r="R3949">
        <v>0</v>
      </c>
      <c r="S3949">
        <v>0</v>
      </c>
      <c r="T3949">
        <v>0</v>
      </c>
      <c r="U3949">
        <v>0</v>
      </c>
      <c r="V3949">
        <v>0</v>
      </c>
      <c r="W3949">
        <v>0</v>
      </c>
      <c r="X3949">
        <v>0</v>
      </c>
      <c r="Y3949">
        <v>0</v>
      </c>
      <c r="Z3949">
        <v>0</v>
      </c>
      <c r="AA3949">
        <v>0</v>
      </c>
      <c r="AB3949">
        <v>0</v>
      </c>
      <c r="AC3949">
        <v>0</v>
      </c>
      <c r="AD3949">
        <v>0</v>
      </c>
      <c r="AE3949">
        <v>0</v>
      </c>
      <c r="AF3949">
        <v>0</v>
      </c>
      <c r="AG3949">
        <v>0</v>
      </c>
      <c r="AH3949">
        <v>0</v>
      </c>
      <c r="AI3949">
        <v>0</v>
      </c>
      <c r="AJ3949">
        <v>0</v>
      </c>
      <c r="AK3949">
        <v>0</v>
      </c>
      <c r="AL3949">
        <v>0</v>
      </c>
      <c r="AM3949">
        <v>0</v>
      </c>
      <c r="AN3949">
        <v>0</v>
      </c>
      <c r="AO3949">
        <v>0</v>
      </c>
      <c r="AP3949">
        <v>0</v>
      </c>
      <c r="AQ3949">
        <v>42.75</v>
      </c>
      <c r="AR3949">
        <v>0</v>
      </c>
      <c r="AS3949">
        <v>0</v>
      </c>
      <c r="AT3949">
        <v>0</v>
      </c>
      <c r="AU3949">
        <v>0</v>
      </c>
      <c r="AV3949">
        <v>0</v>
      </c>
      <c r="AW3949">
        <v>0</v>
      </c>
      <c r="AX3949">
        <v>0</v>
      </c>
      <c r="AY3949">
        <v>0</v>
      </c>
      <c r="AZ3949">
        <v>0</v>
      </c>
      <c r="BA3949">
        <v>0</v>
      </c>
      <c r="BB3949">
        <v>0</v>
      </c>
      <c r="BC3949">
        <v>0</v>
      </c>
      <c r="BD3949">
        <v>0</v>
      </c>
      <c r="BE3949">
        <v>0</v>
      </c>
      <c r="BF3949">
        <v>0</v>
      </c>
      <c r="BG3949">
        <v>0</v>
      </c>
      <c r="BH3949">
        <v>1</v>
      </c>
      <c r="BI3949">
        <v>4</v>
      </c>
      <c r="BJ3949">
        <v>3.4</v>
      </c>
      <c r="BK3949">
        <v>4</v>
      </c>
      <c r="BL3949">
        <v>139.91</v>
      </c>
      <c r="BM3949">
        <v>20.99</v>
      </c>
      <c r="BN3949">
        <v>160.9</v>
      </c>
      <c r="BO3949">
        <v>160.9</v>
      </c>
      <c r="BQ3949" t="s">
        <v>344</v>
      </c>
      <c r="BR3949" t="s">
        <v>84</v>
      </c>
      <c r="BS3949" t="s">
        <v>1540</v>
      </c>
      <c r="BV3949" t="s">
        <v>89</v>
      </c>
      <c r="BY3949">
        <v>16965</v>
      </c>
      <c r="CC3949" t="s">
        <v>131</v>
      </c>
      <c r="CD3949">
        <v>7441</v>
      </c>
      <c r="CE3949" t="s">
        <v>96</v>
      </c>
      <c r="CI3949">
        <v>1</v>
      </c>
      <c r="CJ3949" t="s">
        <v>1540</v>
      </c>
      <c r="CK3949">
        <v>21</v>
      </c>
      <c r="CL3949" t="s">
        <v>89</v>
      </c>
    </row>
    <row r="3950" spans="1:90" x14ac:dyDescent="0.3">
      <c r="A3950" t="s">
        <v>72</v>
      </c>
      <c r="B3950" t="s">
        <v>73</v>
      </c>
      <c r="C3950" t="s">
        <v>74</v>
      </c>
      <c r="E3950" t="str">
        <f>"080065643004"</f>
        <v>080065643004</v>
      </c>
      <c r="F3950" s="3">
        <v>45806</v>
      </c>
      <c r="G3950">
        <v>202602</v>
      </c>
      <c r="H3950" t="s">
        <v>75</v>
      </c>
      <c r="I3950" t="s">
        <v>76</v>
      </c>
      <c r="J3950" t="s">
        <v>77</v>
      </c>
      <c r="K3950" t="s">
        <v>78</v>
      </c>
      <c r="L3950" t="s">
        <v>1503</v>
      </c>
      <c r="M3950" t="s">
        <v>1504</v>
      </c>
      <c r="N3950" t="s">
        <v>1505</v>
      </c>
      <c r="O3950" t="s">
        <v>82</v>
      </c>
      <c r="P3950" t="str">
        <f>"4170041376                    "</f>
        <v xml:space="preserve">4170041376                    </v>
      </c>
      <c r="Q3950">
        <v>0</v>
      </c>
      <c r="R3950">
        <v>0</v>
      </c>
      <c r="S3950">
        <v>0</v>
      </c>
      <c r="T3950">
        <v>0</v>
      </c>
      <c r="U3950">
        <v>0</v>
      </c>
      <c r="V3950">
        <v>0</v>
      </c>
      <c r="W3950">
        <v>0</v>
      </c>
      <c r="X3950">
        <v>0</v>
      </c>
      <c r="Y3950">
        <v>0</v>
      </c>
      <c r="Z3950">
        <v>0</v>
      </c>
      <c r="AA3950">
        <v>0</v>
      </c>
      <c r="AB3950">
        <v>0</v>
      </c>
      <c r="AC3950">
        <v>0</v>
      </c>
      <c r="AD3950">
        <v>0</v>
      </c>
      <c r="AE3950">
        <v>0</v>
      </c>
      <c r="AF3950">
        <v>0</v>
      </c>
      <c r="AG3950">
        <v>0</v>
      </c>
      <c r="AH3950">
        <v>0</v>
      </c>
      <c r="AI3950">
        <v>0</v>
      </c>
      <c r="AJ3950">
        <v>0</v>
      </c>
      <c r="AK3950">
        <v>0</v>
      </c>
      <c r="AL3950">
        <v>0</v>
      </c>
      <c r="AM3950">
        <v>0</v>
      </c>
      <c r="AN3950">
        <v>0</v>
      </c>
      <c r="AO3950">
        <v>0</v>
      </c>
      <c r="AP3950">
        <v>0</v>
      </c>
      <c r="AQ3950">
        <v>41.43</v>
      </c>
      <c r="AR3950">
        <v>0</v>
      </c>
      <c r="AS3950">
        <v>0</v>
      </c>
      <c r="AT3950">
        <v>0</v>
      </c>
      <c r="AU3950">
        <v>0</v>
      </c>
      <c r="AV3950">
        <v>0</v>
      </c>
      <c r="AW3950">
        <v>0</v>
      </c>
      <c r="AX3950">
        <v>0</v>
      </c>
      <c r="AY3950">
        <v>0</v>
      </c>
      <c r="AZ3950">
        <v>0</v>
      </c>
      <c r="BA3950">
        <v>0</v>
      </c>
      <c r="BB3950">
        <v>0</v>
      </c>
      <c r="BC3950">
        <v>0</v>
      </c>
      <c r="BD3950">
        <v>0</v>
      </c>
      <c r="BE3950">
        <v>0</v>
      </c>
      <c r="BF3950">
        <v>0</v>
      </c>
      <c r="BG3950">
        <v>0</v>
      </c>
      <c r="BH3950">
        <v>1</v>
      </c>
      <c r="BI3950">
        <v>1</v>
      </c>
      <c r="BJ3950">
        <v>0.6</v>
      </c>
      <c r="BK3950">
        <v>1</v>
      </c>
      <c r="BL3950">
        <v>135.59</v>
      </c>
      <c r="BM3950">
        <v>20.34</v>
      </c>
      <c r="BN3950">
        <v>155.93</v>
      </c>
      <c r="BO3950">
        <v>155.93</v>
      </c>
      <c r="BQ3950" t="s">
        <v>1506</v>
      </c>
      <c r="BR3950" t="s">
        <v>84</v>
      </c>
      <c r="BS3950" t="s">
        <v>1540</v>
      </c>
      <c r="BV3950" t="s">
        <v>89</v>
      </c>
      <c r="BY3950">
        <v>3192</v>
      </c>
      <c r="CC3950" t="s">
        <v>1504</v>
      </c>
      <c r="CD3950">
        <v>4339</v>
      </c>
      <c r="CE3950" t="s">
        <v>116</v>
      </c>
      <c r="CI3950">
        <v>1</v>
      </c>
      <c r="CJ3950" t="s">
        <v>1540</v>
      </c>
      <c r="CK3950">
        <v>23</v>
      </c>
      <c r="CL3950" t="s">
        <v>89</v>
      </c>
    </row>
    <row r="3951" spans="1:90" x14ac:dyDescent="0.3">
      <c r="A3951" t="s">
        <v>72</v>
      </c>
      <c r="B3951" t="s">
        <v>73</v>
      </c>
      <c r="C3951" t="s">
        <v>74</v>
      </c>
      <c r="E3951" t="str">
        <f>"080065643036"</f>
        <v>080065643036</v>
      </c>
      <c r="F3951" s="3">
        <v>45806</v>
      </c>
      <c r="G3951">
        <v>202602</v>
      </c>
      <c r="H3951" t="s">
        <v>75</v>
      </c>
      <c r="I3951" t="s">
        <v>76</v>
      </c>
      <c r="J3951" t="s">
        <v>77</v>
      </c>
      <c r="K3951" t="s">
        <v>78</v>
      </c>
      <c r="L3951" t="s">
        <v>374</v>
      </c>
      <c r="M3951" t="s">
        <v>375</v>
      </c>
      <c r="N3951" t="s">
        <v>2130</v>
      </c>
      <c r="O3951" t="s">
        <v>82</v>
      </c>
      <c r="P3951" t="str">
        <f>"4170041434                    "</f>
        <v xml:space="preserve">4170041434                    </v>
      </c>
      <c r="Q3951">
        <v>0</v>
      </c>
      <c r="R3951">
        <v>0</v>
      </c>
      <c r="S3951">
        <v>0</v>
      </c>
      <c r="T3951">
        <v>0</v>
      </c>
      <c r="U3951">
        <v>0</v>
      </c>
      <c r="V3951">
        <v>0</v>
      </c>
      <c r="W3951">
        <v>0</v>
      </c>
      <c r="X3951">
        <v>0</v>
      </c>
      <c r="Y3951">
        <v>0</v>
      </c>
      <c r="Z3951">
        <v>0</v>
      </c>
      <c r="AA3951">
        <v>0</v>
      </c>
      <c r="AB3951">
        <v>0</v>
      </c>
      <c r="AC3951">
        <v>0</v>
      </c>
      <c r="AD3951">
        <v>0</v>
      </c>
      <c r="AE3951">
        <v>0</v>
      </c>
      <c r="AF3951">
        <v>0</v>
      </c>
      <c r="AG3951">
        <v>0</v>
      </c>
      <c r="AH3951">
        <v>0</v>
      </c>
      <c r="AI3951">
        <v>0</v>
      </c>
      <c r="AJ3951">
        <v>0</v>
      </c>
      <c r="AK3951">
        <v>0</v>
      </c>
      <c r="AL3951">
        <v>0</v>
      </c>
      <c r="AM3951">
        <v>0</v>
      </c>
      <c r="AN3951">
        <v>0</v>
      </c>
      <c r="AO3951">
        <v>0</v>
      </c>
      <c r="AP3951">
        <v>0</v>
      </c>
      <c r="AQ3951">
        <v>41.43</v>
      </c>
      <c r="AR3951">
        <v>0</v>
      </c>
      <c r="AS3951">
        <v>0</v>
      </c>
      <c r="AT3951">
        <v>0</v>
      </c>
      <c r="AU3951">
        <v>0</v>
      </c>
      <c r="AV3951">
        <v>0</v>
      </c>
      <c r="AW3951">
        <v>0</v>
      </c>
      <c r="AX3951">
        <v>0</v>
      </c>
      <c r="AY3951">
        <v>0</v>
      </c>
      <c r="AZ3951">
        <v>0</v>
      </c>
      <c r="BA3951">
        <v>0</v>
      </c>
      <c r="BB3951">
        <v>0</v>
      </c>
      <c r="BC3951">
        <v>0</v>
      </c>
      <c r="BD3951">
        <v>0</v>
      </c>
      <c r="BE3951">
        <v>0</v>
      </c>
      <c r="BF3951">
        <v>0</v>
      </c>
      <c r="BG3951">
        <v>0</v>
      </c>
      <c r="BH3951">
        <v>1</v>
      </c>
      <c r="BI3951">
        <v>1</v>
      </c>
      <c r="BJ3951">
        <v>0.6</v>
      </c>
      <c r="BK3951">
        <v>1</v>
      </c>
      <c r="BL3951">
        <v>135.59</v>
      </c>
      <c r="BM3951">
        <v>20.34</v>
      </c>
      <c r="BN3951">
        <v>155.93</v>
      </c>
      <c r="BO3951">
        <v>155.93</v>
      </c>
      <c r="BQ3951" t="s">
        <v>2131</v>
      </c>
      <c r="BR3951" t="s">
        <v>84</v>
      </c>
      <c r="BS3951" t="s">
        <v>1540</v>
      </c>
      <c r="BV3951" t="s">
        <v>89</v>
      </c>
      <c r="BY3951">
        <v>3192</v>
      </c>
      <c r="CC3951" t="s">
        <v>375</v>
      </c>
      <c r="CD3951">
        <v>7130</v>
      </c>
      <c r="CE3951" t="s">
        <v>116</v>
      </c>
      <c r="CI3951">
        <v>1</v>
      </c>
      <c r="CJ3951" t="s">
        <v>1540</v>
      </c>
      <c r="CK3951">
        <v>23</v>
      </c>
      <c r="CL3951" t="s">
        <v>89</v>
      </c>
    </row>
    <row r="3952" spans="1:90" x14ac:dyDescent="0.3">
      <c r="A3952" t="s">
        <v>72</v>
      </c>
      <c r="B3952" t="s">
        <v>73</v>
      </c>
      <c r="C3952" t="s">
        <v>74</v>
      </c>
      <c r="E3952" t="str">
        <f>"080065643085"</f>
        <v>080065643085</v>
      </c>
      <c r="F3952" s="3">
        <v>45806</v>
      </c>
      <c r="G3952">
        <v>202602</v>
      </c>
      <c r="H3952" t="s">
        <v>75</v>
      </c>
      <c r="I3952" t="s">
        <v>76</v>
      </c>
      <c r="J3952" t="s">
        <v>77</v>
      </c>
      <c r="K3952" t="s">
        <v>78</v>
      </c>
      <c r="L3952" t="s">
        <v>489</v>
      </c>
      <c r="M3952" t="s">
        <v>490</v>
      </c>
      <c r="N3952" t="s">
        <v>491</v>
      </c>
      <c r="O3952" t="s">
        <v>82</v>
      </c>
      <c r="P3952" t="str">
        <f>"4170041404                    "</f>
        <v xml:space="preserve">4170041404                    </v>
      </c>
      <c r="Q3952">
        <v>0</v>
      </c>
      <c r="R3952">
        <v>0</v>
      </c>
      <c r="S3952">
        <v>0</v>
      </c>
      <c r="T3952">
        <v>0</v>
      </c>
      <c r="U3952">
        <v>0</v>
      </c>
      <c r="V3952">
        <v>0</v>
      </c>
      <c r="W3952">
        <v>0</v>
      </c>
      <c r="X3952">
        <v>0</v>
      </c>
      <c r="Y3952">
        <v>0</v>
      </c>
      <c r="Z3952">
        <v>0</v>
      </c>
      <c r="AA3952">
        <v>0</v>
      </c>
      <c r="AB3952">
        <v>0</v>
      </c>
      <c r="AC3952">
        <v>0</v>
      </c>
      <c r="AD3952">
        <v>0</v>
      </c>
      <c r="AE3952">
        <v>0</v>
      </c>
      <c r="AF3952">
        <v>0</v>
      </c>
      <c r="AG3952">
        <v>0</v>
      </c>
      <c r="AH3952">
        <v>0</v>
      </c>
      <c r="AI3952">
        <v>0</v>
      </c>
      <c r="AJ3952">
        <v>0</v>
      </c>
      <c r="AK3952">
        <v>0</v>
      </c>
      <c r="AL3952">
        <v>0</v>
      </c>
      <c r="AM3952">
        <v>0</v>
      </c>
      <c r="AN3952">
        <v>0</v>
      </c>
      <c r="AO3952">
        <v>0</v>
      </c>
      <c r="AP3952">
        <v>0</v>
      </c>
      <c r="AQ3952">
        <v>228.52</v>
      </c>
      <c r="AR3952">
        <v>0</v>
      </c>
      <c r="AS3952">
        <v>0</v>
      </c>
      <c r="AT3952">
        <v>0</v>
      </c>
      <c r="AU3952">
        <v>0</v>
      </c>
      <c r="AV3952">
        <v>0</v>
      </c>
      <c r="AW3952">
        <v>0</v>
      </c>
      <c r="AX3952">
        <v>0</v>
      </c>
      <c r="AY3952">
        <v>0</v>
      </c>
      <c r="AZ3952">
        <v>0</v>
      </c>
      <c r="BA3952">
        <v>0</v>
      </c>
      <c r="BB3952">
        <v>0</v>
      </c>
      <c r="BC3952">
        <v>0</v>
      </c>
      <c r="BD3952">
        <v>0</v>
      </c>
      <c r="BE3952">
        <v>0</v>
      </c>
      <c r="BF3952">
        <v>0</v>
      </c>
      <c r="BG3952">
        <v>0</v>
      </c>
      <c r="BH3952">
        <v>1</v>
      </c>
      <c r="BI3952">
        <v>12</v>
      </c>
      <c r="BJ3952">
        <v>3.8</v>
      </c>
      <c r="BK3952">
        <v>12</v>
      </c>
      <c r="BL3952">
        <v>747.88</v>
      </c>
      <c r="BM3952">
        <v>112.18</v>
      </c>
      <c r="BN3952">
        <v>860.06</v>
      </c>
      <c r="BO3952">
        <v>860.06</v>
      </c>
      <c r="BQ3952" t="s">
        <v>492</v>
      </c>
      <c r="BR3952" t="s">
        <v>84</v>
      </c>
      <c r="BS3952" t="s">
        <v>1540</v>
      </c>
      <c r="BV3952" t="s">
        <v>89</v>
      </c>
      <c r="BY3952">
        <v>18810</v>
      </c>
      <c r="CC3952" t="s">
        <v>490</v>
      </c>
      <c r="CD3952">
        <v>2740</v>
      </c>
      <c r="CE3952" t="s">
        <v>221</v>
      </c>
      <c r="CI3952">
        <v>1</v>
      </c>
      <c r="CJ3952" t="s">
        <v>1540</v>
      </c>
      <c r="CK3952">
        <v>23</v>
      </c>
      <c r="CL3952" t="s">
        <v>89</v>
      </c>
    </row>
    <row r="3953" spans="1:90" x14ac:dyDescent="0.3">
      <c r="A3953" t="s">
        <v>72</v>
      </c>
      <c r="B3953" t="s">
        <v>73</v>
      </c>
      <c r="C3953" t="s">
        <v>74</v>
      </c>
      <c r="E3953" t="str">
        <f>"080065643112"</f>
        <v>080065643112</v>
      </c>
      <c r="F3953" s="3">
        <v>45806</v>
      </c>
      <c r="G3953">
        <v>202602</v>
      </c>
      <c r="H3953" t="s">
        <v>75</v>
      </c>
      <c r="I3953" t="s">
        <v>76</v>
      </c>
      <c r="J3953" t="s">
        <v>77</v>
      </c>
      <c r="K3953" t="s">
        <v>78</v>
      </c>
      <c r="L3953" t="s">
        <v>136</v>
      </c>
      <c r="M3953" t="s">
        <v>137</v>
      </c>
      <c r="N3953" t="s">
        <v>3211</v>
      </c>
      <c r="O3953" t="s">
        <v>82</v>
      </c>
      <c r="P3953" t="str">
        <f>"4170041421                    "</f>
        <v xml:space="preserve">4170041421                    </v>
      </c>
      <c r="Q3953">
        <v>0</v>
      </c>
      <c r="R3953">
        <v>0</v>
      </c>
      <c r="S3953">
        <v>0</v>
      </c>
      <c r="T3953">
        <v>0</v>
      </c>
      <c r="U3953">
        <v>0</v>
      </c>
      <c r="V3953">
        <v>0</v>
      </c>
      <c r="W3953">
        <v>0</v>
      </c>
      <c r="X3953">
        <v>0</v>
      </c>
      <c r="Y3953">
        <v>0</v>
      </c>
      <c r="Z3953">
        <v>0</v>
      </c>
      <c r="AA3953">
        <v>0</v>
      </c>
      <c r="AB3953">
        <v>0</v>
      </c>
      <c r="AC3953">
        <v>0</v>
      </c>
      <c r="AD3953">
        <v>0</v>
      </c>
      <c r="AE3953">
        <v>0</v>
      </c>
      <c r="AF3953">
        <v>0</v>
      </c>
      <c r="AG3953">
        <v>0</v>
      </c>
      <c r="AH3953">
        <v>0</v>
      </c>
      <c r="AI3953">
        <v>0</v>
      </c>
      <c r="AJ3953">
        <v>0</v>
      </c>
      <c r="AK3953">
        <v>0</v>
      </c>
      <c r="AL3953">
        <v>0</v>
      </c>
      <c r="AM3953">
        <v>0</v>
      </c>
      <c r="AN3953">
        <v>0</v>
      </c>
      <c r="AO3953">
        <v>0</v>
      </c>
      <c r="AP3953">
        <v>0</v>
      </c>
      <c r="AQ3953">
        <v>32.07</v>
      </c>
      <c r="AR3953">
        <v>0</v>
      </c>
      <c r="AS3953">
        <v>0</v>
      </c>
      <c r="AT3953">
        <v>0</v>
      </c>
      <c r="AU3953">
        <v>0</v>
      </c>
      <c r="AV3953">
        <v>0</v>
      </c>
      <c r="AW3953">
        <v>0</v>
      </c>
      <c r="AX3953">
        <v>0</v>
      </c>
      <c r="AY3953">
        <v>0</v>
      </c>
      <c r="AZ3953">
        <v>0</v>
      </c>
      <c r="BA3953">
        <v>0</v>
      </c>
      <c r="BB3953">
        <v>0</v>
      </c>
      <c r="BC3953">
        <v>0</v>
      </c>
      <c r="BD3953">
        <v>0</v>
      </c>
      <c r="BE3953">
        <v>0</v>
      </c>
      <c r="BF3953">
        <v>0</v>
      </c>
      <c r="BG3953">
        <v>0</v>
      </c>
      <c r="BH3953">
        <v>1</v>
      </c>
      <c r="BI3953">
        <v>3</v>
      </c>
      <c r="BJ3953">
        <v>1.7</v>
      </c>
      <c r="BK3953">
        <v>3</v>
      </c>
      <c r="BL3953">
        <v>104.95</v>
      </c>
      <c r="BM3953">
        <v>15.74</v>
      </c>
      <c r="BN3953">
        <v>120.69</v>
      </c>
      <c r="BO3953">
        <v>120.69</v>
      </c>
      <c r="BQ3953" t="s">
        <v>3212</v>
      </c>
      <c r="BR3953" t="s">
        <v>84</v>
      </c>
      <c r="BS3953" t="s">
        <v>1540</v>
      </c>
      <c r="BV3953" t="s">
        <v>89</v>
      </c>
      <c r="BY3953">
        <v>8512</v>
      </c>
      <c r="CC3953" t="s">
        <v>137</v>
      </c>
      <c r="CD3953" s="5" t="s">
        <v>142</v>
      </c>
      <c r="CE3953" t="s">
        <v>116</v>
      </c>
      <c r="CI3953">
        <v>1</v>
      </c>
      <c r="CJ3953" t="s">
        <v>1540</v>
      </c>
      <c r="CK3953">
        <v>21</v>
      </c>
      <c r="CL3953" t="s">
        <v>89</v>
      </c>
    </row>
    <row r="3954" spans="1:90" x14ac:dyDescent="0.3">
      <c r="A3954" t="s">
        <v>72</v>
      </c>
      <c r="B3954" t="s">
        <v>73</v>
      </c>
      <c r="C3954" t="s">
        <v>74</v>
      </c>
      <c r="E3954" t="str">
        <f>"080065643887"</f>
        <v>080065643887</v>
      </c>
      <c r="F3954" s="3">
        <v>45806</v>
      </c>
      <c r="G3954">
        <v>202602</v>
      </c>
      <c r="H3954" t="s">
        <v>75</v>
      </c>
      <c r="I3954" t="s">
        <v>76</v>
      </c>
      <c r="J3954" t="s">
        <v>77</v>
      </c>
      <c r="K3954" t="s">
        <v>78</v>
      </c>
      <c r="L3954" t="s">
        <v>79</v>
      </c>
      <c r="M3954" t="s">
        <v>80</v>
      </c>
      <c r="N3954" t="s">
        <v>862</v>
      </c>
      <c r="O3954" t="s">
        <v>82</v>
      </c>
      <c r="P3954" t="str">
        <f>"4170041420                    "</f>
        <v xml:space="preserve">4170041420                    </v>
      </c>
      <c r="Q3954">
        <v>0</v>
      </c>
      <c r="R3954">
        <v>0</v>
      </c>
      <c r="S3954">
        <v>0</v>
      </c>
      <c r="T3954">
        <v>0</v>
      </c>
      <c r="U3954">
        <v>0</v>
      </c>
      <c r="V3954">
        <v>0</v>
      </c>
      <c r="W3954">
        <v>0</v>
      </c>
      <c r="X3954">
        <v>0</v>
      </c>
      <c r="Y3954">
        <v>0</v>
      </c>
      <c r="Z3954">
        <v>0</v>
      </c>
      <c r="AA3954">
        <v>0</v>
      </c>
      <c r="AB3954">
        <v>0</v>
      </c>
      <c r="AC3954">
        <v>0</v>
      </c>
      <c r="AD3954">
        <v>0</v>
      </c>
      <c r="AE3954">
        <v>0</v>
      </c>
      <c r="AF3954">
        <v>0</v>
      </c>
      <c r="AG3954">
        <v>0</v>
      </c>
      <c r="AH3954">
        <v>0</v>
      </c>
      <c r="AI3954">
        <v>0</v>
      </c>
      <c r="AJ3954">
        <v>0</v>
      </c>
      <c r="AK3954">
        <v>0</v>
      </c>
      <c r="AL3954">
        <v>0</v>
      </c>
      <c r="AM3954">
        <v>0</v>
      </c>
      <c r="AN3954">
        <v>0</v>
      </c>
      <c r="AO3954">
        <v>0</v>
      </c>
      <c r="AP3954">
        <v>0</v>
      </c>
      <c r="AQ3954">
        <v>128.22</v>
      </c>
      <c r="AR3954">
        <v>0</v>
      </c>
      <c r="AS3954">
        <v>0</v>
      </c>
      <c r="AT3954">
        <v>0</v>
      </c>
      <c r="AU3954">
        <v>0</v>
      </c>
      <c r="AV3954">
        <v>0</v>
      </c>
      <c r="AW3954">
        <v>0</v>
      </c>
      <c r="AX3954">
        <v>0</v>
      </c>
      <c r="AY3954">
        <v>0</v>
      </c>
      <c r="AZ3954">
        <v>0</v>
      </c>
      <c r="BA3954">
        <v>0</v>
      </c>
      <c r="BB3954">
        <v>0</v>
      </c>
      <c r="BC3954">
        <v>0</v>
      </c>
      <c r="BD3954">
        <v>0</v>
      </c>
      <c r="BE3954">
        <v>0</v>
      </c>
      <c r="BF3954">
        <v>0</v>
      </c>
      <c r="BG3954">
        <v>0</v>
      </c>
      <c r="BH3954">
        <v>1</v>
      </c>
      <c r="BI3954">
        <v>12</v>
      </c>
      <c r="BJ3954">
        <v>8.9</v>
      </c>
      <c r="BK3954">
        <v>12</v>
      </c>
      <c r="BL3954">
        <v>419.62</v>
      </c>
      <c r="BM3954">
        <v>62.94</v>
      </c>
      <c r="BN3954">
        <v>482.56</v>
      </c>
      <c r="BO3954">
        <v>482.56</v>
      </c>
      <c r="BQ3954" t="s">
        <v>863</v>
      </c>
      <c r="BR3954" t="s">
        <v>84</v>
      </c>
      <c r="BS3954" t="s">
        <v>1540</v>
      </c>
      <c r="BV3954" t="s">
        <v>89</v>
      </c>
      <c r="BY3954">
        <v>44640</v>
      </c>
      <c r="CC3954" t="s">
        <v>80</v>
      </c>
      <c r="CD3954">
        <v>3610</v>
      </c>
      <c r="CE3954" t="s">
        <v>96</v>
      </c>
      <c r="CI3954">
        <v>1</v>
      </c>
      <c r="CJ3954" t="s">
        <v>1540</v>
      </c>
      <c r="CK3954">
        <v>21</v>
      </c>
      <c r="CL3954" t="s">
        <v>89</v>
      </c>
    </row>
    <row r="3955" spans="1:90" x14ac:dyDescent="0.3">
      <c r="A3955" t="s">
        <v>72</v>
      </c>
      <c r="B3955" t="s">
        <v>73</v>
      </c>
      <c r="C3955" t="s">
        <v>74</v>
      </c>
      <c r="E3955" t="str">
        <f>"080065643932"</f>
        <v>080065643932</v>
      </c>
      <c r="F3955" s="3">
        <v>45806</v>
      </c>
      <c r="G3955">
        <v>202602</v>
      </c>
      <c r="H3955" t="s">
        <v>75</v>
      </c>
      <c r="I3955" t="s">
        <v>76</v>
      </c>
      <c r="J3955" t="s">
        <v>77</v>
      </c>
      <c r="K3955" t="s">
        <v>78</v>
      </c>
      <c r="L3955" t="s">
        <v>526</v>
      </c>
      <c r="M3955" t="s">
        <v>527</v>
      </c>
      <c r="N3955" t="s">
        <v>3457</v>
      </c>
      <c r="O3955" t="s">
        <v>82</v>
      </c>
      <c r="P3955" t="str">
        <f>"4170041436                    "</f>
        <v xml:space="preserve">4170041436                    </v>
      </c>
      <c r="Q3955">
        <v>0</v>
      </c>
      <c r="R3955">
        <v>0</v>
      </c>
      <c r="S3955">
        <v>0</v>
      </c>
      <c r="T3955">
        <v>0</v>
      </c>
      <c r="U3955">
        <v>0</v>
      </c>
      <c r="V3955">
        <v>0</v>
      </c>
      <c r="W3955">
        <v>0</v>
      </c>
      <c r="X3955">
        <v>0</v>
      </c>
      <c r="Y3955">
        <v>0</v>
      </c>
      <c r="Z3955">
        <v>0</v>
      </c>
      <c r="AA3955">
        <v>0</v>
      </c>
      <c r="AB3955">
        <v>0</v>
      </c>
      <c r="AC3955">
        <v>0</v>
      </c>
      <c r="AD3955">
        <v>0</v>
      </c>
      <c r="AE3955">
        <v>0</v>
      </c>
      <c r="AF3955">
        <v>0</v>
      </c>
      <c r="AG3955">
        <v>0</v>
      </c>
      <c r="AH3955">
        <v>0</v>
      </c>
      <c r="AI3955">
        <v>0</v>
      </c>
      <c r="AJ3955">
        <v>0</v>
      </c>
      <c r="AK3955">
        <v>0</v>
      </c>
      <c r="AL3955">
        <v>0</v>
      </c>
      <c r="AM3955">
        <v>0</v>
      </c>
      <c r="AN3955">
        <v>0</v>
      </c>
      <c r="AO3955">
        <v>0</v>
      </c>
      <c r="AP3955">
        <v>0</v>
      </c>
      <c r="AQ3955">
        <v>30.07</v>
      </c>
      <c r="AR3955">
        <v>0</v>
      </c>
      <c r="AS3955">
        <v>0</v>
      </c>
      <c r="AT3955">
        <v>0</v>
      </c>
      <c r="AU3955">
        <v>0</v>
      </c>
      <c r="AV3955">
        <v>0</v>
      </c>
      <c r="AW3955">
        <v>0</v>
      </c>
      <c r="AX3955">
        <v>0</v>
      </c>
      <c r="AY3955">
        <v>0</v>
      </c>
      <c r="AZ3955">
        <v>0</v>
      </c>
      <c r="BA3955">
        <v>0</v>
      </c>
      <c r="BB3955">
        <v>0</v>
      </c>
      <c r="BC3955">
        <v>0</v>
      </c>
      <c r="BD3955">
        <v>0</v>
      </c>
      <c r="BE3955">
        <v>0</v>
      </c>
      <c r="BF3955">
        <v>0</v>
      </c>
      <c r="BG3955">
        <v>0</v>
      </c>
      <c r="BH3955">
        <v>1</v>
      </c>
      <c r="BI3955">
        <v>1</v>
      </c>
      <c r="BJ3955">
        <v>0.2</v>
      </c>
      <c r="BK3955">
        <v>1</v>
      </c>
      <c r="BL3955">
        <v>98.42</v>
      </c>
      <c r="BM3955">
        <v>14.76</v>
      </c>
      <c r="BN3955">
        <v>113.18</v>
      </c>
      <c r="BO3955">
        <v>113.18</v>
      </c>
      <c r="BQ3955" t="s">
        <v>3458</v>
      </c>
      <c r="BR3955" t="s">
        <v>84</v>
      </c>
      <c r="BS3955" t="s">
        <v>1540</v>
      </c>
      <c r="BV3955" t="s">
        <v>89</v>
      </c>
      <c r="BY3955">
        <v>1200</v>
      </c>
      <c r="CC3955" t="s">
        <v>527</v>
      </c>
      <c r="CD3955">
        <v>1759</v>
      </c>
      <c r="CE3955" t="s">
        <v>88</v>
      </c>
      <c r="CI3955">
        <v>1</v>
      </c>
      <c r="CJ3955" t="s">
        <v>1540</v>
      </c>
      <c r="CK3955">
        <v>24</v>
      </c>
      <c r="CL3955" t="s">
        <v>89</v>
      </c>
    </row>
    <row r="3956" spans="1:90" x14ac:dyDescent="0.3">
      <c r="A3956" t="s">
        <v>72</v>
      </c>
      <c r="B3956" t="s">
        <v>73</v>
      </c>
      <c r="C3956" t="s">
        <v>74</v>
      </c>
      <c r="E3956" t="str">
        <f>"080065643935"</f>
        <v>080065643935</v>
      </c>
      <c r="F3956" s="3">
        <v>45806</v>
      </c>
      <c r="G3956">
        <v>202602</v>
      </c>
      <c r="H3956" t="s">
        <v>75</v>
      </c>
      <c r="I3956" t="s">
        <v>76</v>
      </c>
      <c r="J3956" t="s">
        <v>77</v>
      </c>
      <c r="K3956" t="s">
        <v>78</v>
      </c>
      <c r="L3956" t="s">
        <v>130</v>
      </c>
      <c r="M3956" t="s">
        <v>131</v>
      </c>
      <c r="N3956" t="s">
        <v>343</v>
      </c>
      <c r="O3956" t="s">
        <v>82</v>
      </c>
      <c r="P3956" t="str">
        <f>"4170041163                    "</f>
        <v xml:space="preserve">4170041163                    </v>
      </c>
      <c r="Q3956">
        <v>0</v>
      </c>
      <c r="R3956">
        <v>0</v>
      </c>
      <c r="S3956">
        <v>0</v>
      </c>
      <c r="T3956">
        <v>0</v>
      </c>
      <c r="U3956">
        <v>0</v>
      </c>
      <c r="V3956">
        <v>0</v>
      </c>
      <c r="W3956">
        <v>0</v>
      </c>
      <c r="X3956">
        <v>0</v>
      </c>
      <c r="Y3956">
        <v>0</v>
      </c>
      <c r="Z3956">
        <v>0</v>
      </c>
      <c r="AA3956">
        <v>0</v>
      </c>
      <c r="AB3956">
        <v>0</v>
      </c>
      <c r="AC3956">
        <v>0</v>
      </c>
      <c r="AD3956">
        <v>0</v>
      </c>
      <c r="AE3956">
        <v>0</v>
      </c>
      <c r="AF3956">
        <v>0</v>
      </c>
      <c r="AG3956">
        <v>0</v>
      </c>
      <c r="AH3956">
        <v>0</v>
      </c>
      <c r="AI3956">
        <v>0</v>
      </c>
      <c r="AJ3956">
        <v>0</v>
      </c>
      <c r="AK3956">
        <v>0</v>
      </c>
      <c r="AL3956">
        <v>0</v>
      </c>
      <c r="AM3956">
        <v>0</v>
      </c>
      <c r="AN3956">
        <v>0</v>
      </c>
      <c r="AO3956">
        <v>0</v>
      </c>
      <c r="AP3956">
        <v>0</v>
      </c>
      <c r="AQ3956">
        <v>96.17</v>
      </c>
      <c r="AR3956">
        <v>0</v>
      </c>
      <c r="AS3956">
        <v>0</v>
      </c>
      <c r="AT3956">
        <v>0</v>
      </c>
      <c r="AU3956">
        <v>0</v>
      </c>
      <c r="AV3956">
        <v>0</v>
      </c>
      <c r="AW3956">
        <v>0</v>
      </c>
      <c r="AX3956">
        <v>0</v>
      </c>
      <c r="AY3956">
        <v>0</v>
      </c>
      <c r="AZ3956">
        <v>0</v>
      </c>
      <c r="BA3956">
        <v>0</v>
      </c>
      <c r="BB3956">
        <v>0</v>
      </c>
      <c r="BC3956">
        <v>0</v>
      </c>
      <c r="BD3956">
        <v>0</v>
      </c>
      <c r="BE3956">
        <v>0</v>
      </c>
      <c r="BF3956">
        <v>0</v>
      </c>
      <c r="BG3956">
        <v>0</v>
      </c>
      <c r="BH3956">
        <v>1</v>
      </c>
      <c r="BI3956">
        <v>9</v>
      </c>
      <c r="BJ3956">
        <v>4.3</v>
      </c>
      <c r="BK3956">
        <v>9</v>
      </c>
      <c r="BL3956">
        <v>314.73</v>
      </c>
      <c r="BM3956">
        <v>47.21</v>
      </c>
      <c r="BN3956">
        <v>361.94</v>
      </c>
      <c r="BO3956">
        <v>361.94</v>
      </c>
      <c r="BQ3956" t="s">
        <v>344</v>
      </c>
      <c r="BR3956" t="s">
        <v>84</v>
      </c>
      <c r="BS3956" t="s">
        <v>1540</v>
      </c>
      <c r="BV3956" t="s">
        <v>89</v>
      </c>
      <c r="BY3956">
        <v>21489</v>
      </c>
      <c r="CC3956" t="s">
        <v>131</v>
      </c>
      <c r="CD3956">
        <v>7441</v>
      </c>
      <c r="CE3956" t="s">
        <v>96</v>
      </c>
      <c r="CI3956">
        <v>1</v>
      </c>
      <c r="CJ3956" t="s">
        <v>1540</v>
      </c>
      <c r="CK3956">
        <v>21</v>
      </c>
      <c r="CL3956" t="s">
        <v>89</v>
      </c>
    </row>
    <row r="3957" spans="1:90" x14ac:dyDescent="0.3">
      <c r="A3957" t="s">
        <v>72</v>
      </c>
      <c r="B3957" t="s">
        <v>73</v>
      </c>
      <c r="C3957" t="s">
        <v>74</v>
      </c>
      <c r="E3957" t="str">
        <f>"080065643955"</f>
        <v>080065643955</v>
      </c>
      <c r="F3957" s="3">
        <v>45806</v>
      </c>
      <c r="G3957">
        <v>202602</v>
      </c>
      <c r="H3957" t="s">
        <v>75</v>
      </c>
      <c r="I3957" t="s">
        <v>76</v>
      </c>
      <c r="J3957" t="s">
        <v>77</v>
      </c>
      <c r="K3957" t="s">
        <v>78</v>
      </c>
      <c r="L3957" t="s">
        <v>350</v>
      </c>
      <c r="M3957" t="s">
        <v>351</v>
      </c>
      <c r="N3957" t="s">
        <v>876</v>
      </c>
      <c r="O3957" t="s">
        <v>82</v>
      </c>
      <c r="P3957" t="str">
        <f>"4170041386                    "</f>
        <v xml:space="preserve">4170041386                    </v>
      </c>
      <c r="Q3957">
        <v>0</v>
      </c>
      <c r="R3957">
        <v>0</v>
      </c>
      <c r="S3957">
        <v>0</v>
      </c>
      <c r="T3957">
        <v>0</v>
      </c>
      <c r="U3957">
        <v>0</v>
      </c>
      <c r="V3957">
        <v>0</v>
      </c>
      <c r="W3957">
        <v>0</v>
      </c>
      <c r="X3957">
        <v>0</v>
      </c>
      <c r="Y3957">
        <v>0</v>
      </c>
      <c r="Z3957">
        <v>0</v>
      </c>
      <c r="AA3957">
        <v>0</v>
      </c>
      <c r="AB3957">
        <v>0</v>
      </c>
      <c r="AC3957">
        <v>0</v>
      </c>
      <c r="AD3957">
        <v>0</v>
      </c>
      <c r="AE3957">
        <v>0</v>
      </c>
      <c r="AF3957">
        <v>0</v>
      </c>
      <c r="AG3957">
        <v>0</v>
      </c>
      <c r="AH3957">
        <v>0</v>
      </c>
      <c r="AI3957">
        <v>0</v>
      </c>
      <c r="AJ3957">
        <v>0</v>
      </c>
      <c r="AK3957">
        <v>0</v>
      </c>
      <c r="AL3957">
        <v>0</v>
      </c>
      <c r="AM3957">
        <v>0</v>
      </c>
      <c r="AN3957">
        <v>0</v>
      </c>
      <c r="AO3957">
        <v>0</v>
      </c>
      <c r="AP3957">
        <v>0</v>
      </c>
      <c r="AQ3957">
        <v>21.38</v>
      </c>
      <c r="AR3957">
        <v>0</v>
      </c>
      <c r="AS3957">
        <v>0</v>
      </c>
      <c r="AT3957">
        <v>0</v>
      </c>
      <c r="AU3957">
        <v>0</v>
      </c>
      <c r="AV3957">
        <v>0</v>
      </c>
      <c r="AW3957">
        <v>0</v>
      </c>
      <c r="AX3957">
        <v>0</v>
      </c>
      <c r="AY3957">
        <v>0</v>
      </c>
      <c r="AZ3957">
        <v>0</v>
      </c>
      <c r="BA3957">
        <v>0</v>
      </c>
      <c r="BB3957">
        <v>0</v>
      </c>
      <c r="BC3957">
        <v>0</v>
      </c>
      <c r="BD3957">
        <v>0</v>
      </c>
      <c r="BE3957">
        <v>0</v>
      </c>
      <c r="BF3957">
        <v>0</v>
      </c>
      <c r="BG3957">
        <v>0</v>
      </c>
      <c r="BH3957">
        <v>1</v>
      </c>
      <c r="BI3957">
        <v>1</v>
      </c>
      <c r="BJ3957">
        <v>0.2</v>
      </c>
      <c r="BK3957">
        <v>1</v>
      </c>
      <c r="BL3957">
        <v>69.98</v>
      </c>
      <c r="BM3957">
        <v>10.5</v>
      </c>
      <c r="BN3957">
        <v>80.48</v>
      </c>
      <c r="BO3957">
        <v>80.48</v>
      </c>
      <c r="BQ3957" t="s">
        <v>877</v>
      </c>
      <c r="BR3957" t="s">
        <v>84</v>
      </c>
      <c r="BS3957" t="s">
        <v>1540</v>
      </c>
      <c r="BV3957" t="s">
        <v>89</v>
      </c>
      <c r="BY3957">
        <v>1200</v>
      </c>
      <c r="CC3957" t="s">
        <v>351</v>
      </c>
      <c r="CD3957">
        <v>4001</v>
      </c>
      <c r="CE3957" t="s">
        <v>88</v>
      </c>
      <c r="CI3957">
        <v>1</v>
      </c>
      <c r="CJ3957" t="s">
        <v>1540</v>
      </c>
      <c r="CK3957">
        <v>21</v>
      </c>
      <c r="CL3957" t="s">
        <v>89</v>
      </c>
    </row>
    <row r="3958" spans="1:90" x14ac:dyDescent="0.3">
      <c r="A3958" t="s">
        <v>72</v>
      </c>
      <c r="B3958" t="s">
        <v>73</v>
      </c>
      <c r="C3958" t="s">
        <v>74</v>
      </c>
      <c r="E3958" t="str">
        <f>"080065643984"</f>
        <v>080065643984</v>
      </c>
      <c r="F3958" s="3">
        <v>45806</v>
      </c>
      <c r="G3958">
        <v>202602</v>
      </c>
      <c r="H3958" t="s">
        <v>75</v>
      </c>
      <c r="I3958" t="s">
        <v>76</v>
      </c>
      <c r="J3958" t="s">
        <v>77</v>
      </c>
      <c r="K3958" t="s">
        <v>78</v>
      </c>
      <c r="L3958" t="s">
        <v>117</v>
      </c>
      <c r="M3958" t="s">
        <v>118</v>
      </c>
      <c r="N3958" t="s">
        <v>1228</v>
      </c>
      <c r="O3958" t="s">
        <v>82</v>
      </c>
      <c r="P3958" t="str">
        <f>"4170041392                    "</f>
        <v xml:space="preserve">4170041392                    </v>
      </c>
      <c r="Q3958">
        <v>0</v>
      </c>
      <c r="R3958">
        <v>0</v>
      </c>
      <c r="S3958">
        <v>0</v>
      </c>
      <c r="T3958">
        <v>0</v>
      </c>
      <c r="U3958">
        <v>0</v>
      </c>
      <c r="V3958">
        <v>0</v>
      </c>
      <c r="W3958">
        <v>0</v>
      </c>
      <c r="X3958">
        <v>0</v>
      </c>
      <c r="Y3958">
        <v>0</v>
      </c>
      <c r="Z3958">
        <v>0</v>
      </c>
      <c r="AA3958">
        <v>0</v>
      </c>
      <c r="AB3958">
        <v>0</v>
      </c>
      <c r="AC3958">
        <v>0</v>
      </c>
      <c r="AD3958">
        <v>0</v>
      </c>
      <c r="AE3958">
        <v>0</v>
      </c>
      <c r="AF3958">
        <v>0</v>
      </c>
      <c r="AG3958">
        <v>0</v>
      </c>
      <c r="AH3958">
        <v>0</v>
      </c>
      <c r="AI3958">
        <v>0</v>
      </c>
      <c r="AJ3958">
        <v>0</v>
      </c>
      <c r="AK3958">
        <v>0</v>
      </c>
      <c r="AL3958">
        <v>0</v>
      </c>
      <c r="AM3958">
        <v>0</v>
      </c>
      <c r="AN3958">
        <v>0</v>
      </c>
      <c r="AO3958">
        <v>0</v>
      </c>
      <c r="AP3958">
        <v>0</v>
      </c>
      <c r="AQ3958">
        <v>16.7</v>
      </c>
      <c r="AR3958">
        <v>0</v>
      </c>
      <c r="AS3958">
        <v>0</v>
      </c>
      <c r="AT3958">
        <v>0</v>
      </c>
      <c r="AU3958">
        <v>0</v>
      </c>
      <c r="AV3958">
        <v>0</v>
      </c>
      <c r="AW3958">
        <v>0</v>
      </c>
      <c r="AX3958">
        <v>0</v>
      </c>
      <c r="AY3958">
        <v>0</v>
      </c>
      <c r="AZ3958">
        <v>0</v>
      </c>
      <c r="BA3958">
        <v>0</v>
      </c>
      <c r="BB3958">
        <v>0</v>
      </c>
      <c r="BC3958">
        <v>0</v>
      </c>
      <c r="BD3958">
        <v>0</v>
      </c>
      <c r="BE3958">
        <v>0</v>
      </c>
      <c r="BF3958">
        <v>0</v>
      </c>
      <c r="BG3958">
        <v>0</v>
      </c>
      <c r="BH3958">
        <v>1</v>
      </c>
      <c r="BI3958">
        <v>1</v>
      </c>
      <c r="BJ3958">
        <v>0.2</v>
      </c>
      <c r="BK3958">
        <v>1</v>
      </c>
      <c r="BL3958">
        <v>54.66</v>
      </c>
      <c r="BM3958">
        <v>8.1999999999999993</v>
      </c>
      <c r="BN3958">
        <v>62.86</v>
      </c>
      <c r="BO3958">
        <v>62.86</v>
      </c>
      <c r="BQ3958" t="s">
        <v>1229</v>
      </c>
      <c r="BR3958" t="s">
        <v>84</v>
      </c>
      <c r="BS3958" t="s">
        <v>1540</v>
      </c>
      <c r="BV3958" t="s">
        <v>89</v>
      </c>
      <c r="BY3958">
        <v>1200</v>
      </c>
      <c r="CC3958" t="s">
        <v>118</v>
      </c>
      <c r="CD3958">
        <v>2190</v>
      </c>
      <c r="CE3958" t="s">
        <v>88</v>
      </c>
      <c r="CI3958">
        <v>1</v>
      </c>
      <c r="CJ3958" t="s">
        <v>1540</v>
      </c>
      <c r="CK3958">
        <v>22</v>
      </c>
      <c r="CL3958" t="s">
        <v>89</v>
      </c>
    </row>
    <row r="3959" spans="1:90" x14ac:dyDescent="0.3">
      <c r="A3959" t="s">
        <v>72</v>
      </c>
      <c r="B3959" t="s">
        <v>73</v>
      </c>
      <c r="C3959" t="s">
        <v>74</v>
      </c>
      <c r="E3959" t="str">
        <f>"080065644000"</f>
        <v>080065644000</v>
      </c>
      <c r="F3959" s="3">
        <v>45806</v>
      </c>
      <c r="G3959">
        <v>202602</v>
      </c>
      <c r="H3959" t="s">
        <v>75</v>
      </c>
      <c r="I3959" t="s">
        <v>76</v>
      </c>
      <c r="J3959" t="s">
        <v>77</v>
      </c>
      <c r="K3959" t="s">
        <v>78</v>
      </c>
      <c r="L3959" t="s">
        <v>259</v>
      </c>
      <c r="M3959" t="s">
        <v>260</v>
      </c>
      <c r="N3959" t="s">
        <v>3038</v>
      </c>
      <c r="O3959" t="s">
        <v>82</v>
      </c>
      <c r="P3959" t="str">
        <f>"4170041405                    "</f>
        <v xml:space="preserve">4170041405                    </v>
      </c>
      <c r="Q3959">
        <v>0</v>
      </c>
      <c r="R3959">
        <v>0</v>
      </c>
      <c r="S3959">
        <v>0</v>
      </c>
      <c r="T3959">
        <v>0</v>
      </c>
      <c r="U3959">
        <v>0</v>
      </c>
      <c r="V3959">
        <v>0</v>
      </c>
      <c r="W3959">
        <v>0</v>
      </c>
      <c r="X3959">
        <v>0</v>
      </c>
      <c r="Y3959">
        <v>0</v>
      </c>
      <c r="Z3959">
        <v>0</v>
      </c>
      <c r="AA3959">
        <v>0</v>
      </c>
      <c r="AB3959">
        <v>0</v>
      </c>
      <c r="AC3959">
        <v>0</v>
      </c>
      <c r="AD3959">
        <v>0</v>
      </c>
      <c r="AE3959">
        <v>0</v>
      </c>
      <c r="AF3959">
        <v>0</v>
      </c>
      <c r="AG3959">
        <v>0</v>
      </c>
      <c r="AH3959">
        <v>0</v>
      </c>
      <c r="AI3959">
        <v>0</v>
      </c>
      <c r="AJ3959">
        <v>0</v>
      </c>
      <c r="AK3959">
        <v>0</v>
      </c>
      <c r="AL3959">
        <v>0</v>
      </c>
      <c r="AM3959">
        <v>0</v>
      </c>
      <c r="AN3959">
        <v>0</v>
      </c>
      <c r="AO3959">
        <v>0</v>
      </c>
      <c r="AP3959">
        <v>0</v>
      </c>
      <c r="AQ3959">
        <v>41.43</v>
      </c>
      <c r="AR3959">
        <v>0</v>
      </c>
      <c r="AS3959">
        <v>0</v>
      </c>
      <c r="AT3959">
        <v>0</v>
      </c>
      <c r="AU3959">
        <v>0</v>
      </c>
      <c r="AV3959">
        <v>0</v>
      </c>
      <c r="AW3959">
        <v>16.739999999999998</v>
      </c>
      <c r="AX3959">
        <v>0</v>
      </c>
      <c r="AY3959">
        <v>0</v>
      </c>
      <c r="AZ3959">
        <v>0</v>
      </c>
      <c r="BA3959">
        <v>0</v>
      </c>
      <c r="BB3959">
        <v>0</v>
      </c>
      <c r="BC3959">
        <v>0</v>
      </c>
      <c r="BD3959">
        <v>0</v>
      </c>
      <c r="BE3959">
        <v>0</v>
      </c>
      <c r="BF3959">
        <v>0</v>
      </c>
      <c r="BG3959">
        <v>0</v>
      </c>
      <c r="BH3959">
        <v>1</v>
      </c>
      <c r="BI3959">
        <v>2</v>
      </c>
      <c r="BJ3959">
        <v>0.9</v>
      </c>
      <c r="BK3959">
        <v>2</v>
      </c>
      <c r="BL3959">
        <v>152.33000000000001</v>
      </c>
      <c r="BM3959">
        <v>22.85</v>
      </c>
      <c r="BN3959">
        <v>175.18</v>
      </c>
      <c r="BO3959">
        <v>175.18</v>
      </c>
      <c r="BQ3959" t="s">
        <v>3039</v>
      </c>
      <c r="BR3959" t="s">
        <v>84</v>
      </c>
      <c r="BS3959" t="s">
        <v>1540</v>
      </c>
      <c r="BV3959" t="s">
        <v>89</v>
      </c>
      <c r="BY3959">
        <v>4275</v>
      </c>
      <c r="BZ3959" t="s">
        <v>30</v>
      </c>
      <c r="CC3959" t="s">
        <v>260</v>
      </c>
      <c r="CD3959" s="5" t="s">
        <v>3042</v>
      </c>
      <c r="CE3959" t="s">
        <v>116</v>
      </c>
      <c r="CI3959">
        <v>1</v>
      </c>
      <c r="CJ3959" t="s">
        <v>1540</v>
      </c>
      <c r="CK3959">
        <v>23</v>
      </c>
      <c r="CL3959" t="s">
        <v>89</v>
      </c>
    </row>
    <row r="3960" spans="1:90" x14ac:dyDescent="0.3">
      <c r="A3960" t="s">
        <v>72</v>
      </c>
      <c r="B3960" t="s">
        <v>73</v>
      </c>
      <c r="C3960" t="s">
        <v>74</v>
      </c>
      <c r="E3960" t="str">
        <f>"080065644011"</f>
        <v>080065644011</v>
      </c>
      <c r="F3960" s="3">
        <v>45806</v>
      </c>
      <c r="G3960">
        <v>202602</v>
      </c>
      <c r="H3960" t="s">
        <v>75</v>
      </c>
      <c r="I3960" t="s">
        <v>76</v>
      </c>
      <c r="J3960" t="s">
        <v>77</v>
      </c>
      <c r="K3960" t="s">
        <v>78</v>
      </c>
      <c r="L3960" t="s">
        <v>103</v>
      </c>
      <c r="M3960" t="s">
        <v>104</v>
      </c>
      <c r="N3960" t="s">
        <v>686</v>
      </c>
      <c r="O3960" t="s">
        <v>82</v>
      </c>
      <c r="P3960" t="str">
        <f>"4170041397                    "</f>
        <v xml:space="preserve">4170041397                    </v>
      </c>
      <c r="Q3960">
        <v>0</v>
      </c>
      <c r="R3960">
        <v>0</v>
      </c>
      <c r="S3960">
        <v>0</v>
      </c>
      <c r="T3960">
        <v>0</v>
      </c>
      <c r="U3960">
        <v>0</v>
      </c>
      <c r="V3960">
        <v>0</v>
      </c>
      <c r="W3960">
        <v>0</v>
      </c>
      <c r="X3960">
        <v>0</v>
      </c>
      <c r="Y3960">
        <v>0</v>
      </c>
      <c r="Z3960">
        <v>0</v>
      </c>
      <c r="AA3960">
        <v>0</v>
      </c>
      <c r="AB3960">
        <v>0</v>
      </c>
      <c r="AC3960">
        <v>0</v>
      </c>
      <c r="AD3960">
        <v>0</v>
      </c>
      <c r="AE3960">
        <v>0</v>
      </c>
      <c r="AF3960">
        <v>0</v>
      </c>
      <c r="AG3960">
        <v>0</v>
      </c>
      <c r="AH3960">
        <v>0</v>
      </c>
      <c r="AI3960">
        <v>0</v>
      </c>
      <c r="AJ3960">
        <v>0</v>
      </c>
      <c r="AK3960">
        <v>0</v>
      </c>
      <c r="AL3960">
        <v>0</v>
      </c>
      <c r="AM3960">
        <v>0</v>
      </c>
      <c r="AN3960">
        <v>0</v>
      </c>
      <c r="AO3960">
        <v>0</v>
      </c>
      <c r="AP3960">
        <v>0</v>
      </c>
      <c r="AQ3960">
        <v>21.38</v>
      </c>
      <c r="AR3960">
        <v>0</v>
      </c>
      <c r="AS3960">
        <v>0</v>
      </c>
      <c r="AT3960">
        <v>0</v>
      </c>
      <c r="AU3960">
        <v>0</v>
      </c>
      <c r="AV3960">
        <v>0</v>
      </c>
      <c r="AW3960">
        <v>0</v>
      </c>
      <c r="AX3960">
        <v>0</v>
      </c>
      <c r="AY3960">
        <v>0</v>
      </c>
      <c r="AZ3960">
        <v>0</v>
      </c>
      <c r="BA3960">
        <v>0</v>
      </c>
      <c r="BB3960">
        <v>0</v>
      </c>
      <c r="BC3960">
        <v>0</v>
      </c>
      <c r="BD3960">
        <v>0</v>
      </c>
      <c r="BE3960">
        <v>0</v>
      </c>
      <c r="BF3960">
        <v>0</v>
      </c>
      <c r="BG3960">
        <v>0</v>
      </c>
      <c r="BH3960">
        <v>1</v>
      </c>
      <c r="BI3960">
        <v>1</v>
      </c>
      <c r="BJ3960">
        <v>0.2</v>
      </c>
      <c r="BK3960">
        <v>1</v>
      </c>
      <c r="BL3960">
        <v>69.98</v>
      </c>
      <c r="BM3960">
        <v>10.5</v>
      </c>
      <c r="BN3960">
        <v>80.48</v>
      </c>
      <c r="BO3960">
        <v>80.48</v>
      </c>
      <c r="BQ3960" t="s">
        <v>687</v>
      </c>
      <c r="BR3960" t="s">
        <v>84</v>
      </c>
      <c r="BS3960" t="s">
        <v>1540</v>
      </c>
      <c r="BV3960" t="s">
        <v>89</v>
      </c>
      <c r="BY3960">
        <v>1200</v>
      </c>
      <c r="CC3960" t="s">
        <v>104</v>
      </c>
      <c r="CD3960">
        <v>3201</v>
      </c>
      <c r="CE3960" t="s">
        <v>88</v>
      </c>
      <c r="CI3960">
        <v>1</v>
      </c>
      <c r="CJ3960" t="s">
        <v>1540</v>
      </c>
      <c r="CK3960">
        <v>21</v>
      </c>
      <c r="CL3960" t="s">
        <v>89</v>
      </c>
    </row>
    <row r="3961" spans="1:90" x14ac:dyDescent="0.3">
      <c r="A3961" t="s">
        <v>72</v>
      </c>
      <c r="B3961" t="s">
        <v>73</v>
      </c>
      <c r="C3961" t="s">
        <v>74</v>
      </c>
      <c r="E3961" t="str">
        <f>"080065644041"</f>
        <v>080065644041</v>
      </c>
      <c r="F3961" s="3">
        <v>45806</v>
      </c>
      <c r="G3961">
        <v>202602</v>
      </c>
      <c r="H3961" t="s">
        <v>75</v>
      </c>
      <c r="I3961" t="s">
        <v>76</v>
      </c>
      <c r="J3961" t="s">
        <v>77</v>
      </c>
      <c r="K3961" t="s">
        <v>78</v>
      </c>
      <c r="L3961" t="s">
        <v>103</v>
      </c>
      <c r="M3961" t="s">
        <v>104</v>
      </c>
      <c r="N3961" t="s">
        <v>105</v>
      </c>
      <c r="O3961" t="s">
        <v>82</v>
      </c>
      <c r="P3961" t="str">
        <f>"4170041410                    "</f>
        <v xml:space="preserve">4170041410                    </v>
      </c>
      <c r="Q3961">
        <v>0</v>
      </c>
      <c r="R3961">
        <v>0</v>
      </c>
      <c r="S3961">
        <v>0</v>
      </c>
      <c r="T3961">
        <v>0</v>
      </c>
      <c r="U3961">
        <v>0</v>
      </c>
      <c r="V3961">
        <v>0</v>
      </c>
      <c r="W3961">
        <v>0</v>
      </c>
      <c r="X3961">
        <v>0</v>
      </c>
      <c r="Y3961">
        <v>0</v>
      </c>
      <c r="Z3961">
        <v>0</v>
      </c>
      <c r="AA3961">
        <v>0</v>
      </c>
      <c r="AB3961">
        <v>0</v>
      </c>
      <c r="AC3961">
        <v>0</v>
      </c>
      <c r="AD3961">
        <v>0</v>
      </c>
      <c r="AE3961">
        <v>0</v>
      </c>
      <c r="AF3961">
        <v>0</v>
      </c>
      <c r="AG3961">
        <v>0</v>
      </c>
      <c r="AH3961">
        <v>0</v>
      </c>
      <c r="AI3961">
        <v>0</v>
      </c>
      <c r="AJ3961">
        <v>0</v>
      </c>
      <c r="AK3961">
        <v>0</v>
      </c>
      <c r="AL3961">
        <v>0</v>
      </c>
      <c r="AM3961">
        <v>0</v>
      </c>
      <c r="AN3961">
        <v>0</v>
      </c>
      <c r="AO3961">
        <v>0</v>
      </c>
      <c r="AP3961">
        <v>0</v>
      </c>
      <c r="AQ3961">
        <v>32.07</v>
      </c>
      <c r="AR3961">
        <v>0</v>
      </c>
      <c r="AS3961">
        <v>0</v>
      </c>
      <c r="AT3961">
        <v>0</v>
      </c>
      <c r="AU3961">
        <v>0</v>
      </c>
      <c r="AV3961">
        <v>0</v>
      </c>
      <c r="AW3961">
        <v>0</v>
      </c>
      <c r="AX3961">
        <v>0</v>
      </c>
      <c r="AY3961">
        <v>0</v>
      </c>
      <c r="AZ3961">
        <v>0</v>
      </c>
      <c r="BA3961">
        <v>0</v>
      </c>
      <c r="BB3961">
        <v>0</v>
      </c>
      <c r="BC3961">
        <v>0</v>
      </c>
      <c r="BD3961">
        <v>0</v>
      </c>
      <c r="BE3961">
        <v>0</v>
      </c>
      <c r="BF3961">
        <v>0</v>
      </c>
      <c r="BG3961">
        <v>0</v>
      </c>
      <c r="BH3961">
        <v>1</v>
      </c>
      <c r="BI3961">
        <v>3</v>
      </c>
      <c r="BJ3961">
        <v>1.7</v>
      </c>
      <c r="BK3961">
        <v>3</v>
      </c>
      <c r="BL3961">
        <v>104.95</v>
      </c>
      <c r="BM3961">
        <v>15.74</v>
      </c>
      <c r="BN3961">
        <v>120.69</v>
      </c>
      <c r="BO3961">
        <v>120.69</v>
      </c>
      <c r="BQ3961" t="s">
        <v>106</v>
      </c>
      <c r="BR3961" t="s">
        <v>84</v>
      </c>
      <c r="BS3961" t="s">
        <v>1540</v>
      </c>
      <c r="BV3961" t="s">
        <v>89</v>
      </c>
      <c r="BY3961">
        <v>8512</v>
      </c>
      <c r="CC3961" t="s">
        <v>104</v>
      </c>
      <c r="CD3961">
        <v>3201</v>
      </c>
      <c r="CE3961" t="s">
        <v>116</v>
      </c>
      <c r="CI3961">
        <v>1</v>
      </c>
      <c r="CJ3961" t="s">
        <v>1540</v>
      </c>
      <c r="CK3961">
        <v>21</v>
      </c>
      <c r="CL3961" t="s">
        <v>89</v>
      </c>
    </row>
    <row r="3962" spans="1:90" x14ac:dyDescent="0.3">
      <c r="A3962" t="s">
        <v>72</v>
      </c>
      <c r="B3962" t="s">
        <v>73</v>
      </c>
      <c r="C3962" t="s">
        <v>74</v>
      </c>
      <c r="E3962" t="str">
        <f>"080065644042"</f>
        <v>080065644042</v>
      </c>
      <c r="F3962" s="3">
        <v>45806</v>
      </c>
      <c r="G3962">
        <v>202602</v>
      </c>
      <c r="H3962" t="s">
        <v>75</v>
      </c>
      <c r="I3962" t="s">
        <v>76</v>
      </c>
      <c r="J3962" t="s">
        <v>77</v>
      </c>
      <c r="K3962" t="s">
        <v>78</v>
      </c>
      <c r="L3962" t="s">
        <v>3459</v>
      </c>
      <c r="M3962" t="s">
        <v>3460</v>
      </c>
      <c r="N3962" t="s">
        <v>3461</v>
      </c>
      <c r="O3962" t="s">
        <v>82</v>
      </c>
      <c r="P3962" t="str">
        <f>"4170041450                    "</f>
        <v xml:space="preserve">4170041450                    </v>
      </c>
      <c r="Q3962">
        <v>0</v>
      </c>
      <c r="R3962">
        <v>0</v>
      </c>
      <c r="S3962">
        <v>0</v>
      </c>
      <c r="T3962">
        <v>0</v>
      </c>
      <c r="U3962">
        <v>0</v>
      </c>
      <c r="V3962">
        <v>0</v>
      </c>
      <c r="W3962">
        <v>0</v>
      </c>
      <c r="X3962">
        <v>0</v>
      </c>
      <c r="Y3962">
        <v>0</v>
      </c>
      <c r="Z3962">
        <v>0</v>
      </c>
      <c r="AA3962">
        <v>0</v>
      </c>
      <c r="AB3962">
        <v>0</v>
      </c>
      <c r="AC3962">
        <v>0</v>
      </c>
      <c r="AD3962">
        <v>0</v>
      </c>
      <c r="AE3962">
        <v>0</v>
      </c>
      <c r="AF3962">
        <v>0</v>
      </c>
      <c r="AG3962">
        <v>0</v>
      </c>
      <c r="AH3962">
        <v>0</v>
      </c>
      <c r="AI3962">
        <v>0</v>
      </c>
      <c r="AJ3962">
        <v>0</v>
      </c>
      <c r="AK3962">
        <v>0</v>
      </c>
      <c r="AL3962">
        <v>0</v>
      </c>
      <c r="AM3962">
        <v>0</v>
      </c>
      <c r="AN3962">
        <v>0</v>
      </c>
      <c r="AO3962">
        <v>0</v>
      </c>
      <c r="AP3962">
        <v>0</v>
      </c>
      <c r="AQ3962">
        <v>41.43</v>
      </c>
      <c r="AR3962">
        <v>0</v>
      </c>
      <c r="AS3962">
        <v>0</v>
      </c>
      <c r="AT3962">
        <v>0</v>
      </c>
      <c r="AU3962">
        <v>0</v>
      </c>
      <c r="AV3962">
        <v>0</v>
      </c>
      <c r="AW3962">
        <v>0</v>
      </c>
      <c r="AX3962">
        <v>0</v>
      </c>
      <c r="AY3962">
        <v>0</v>
      </c>
      <c r="AZ3962">
        <v>0</v>
      </c>
      <c r="BA3962">
        <v>0</v>
      </c>
      <c r="BB3962">
        <v>0</v>
      </c>
      <c r="BC3962">
        <v>0</v>
      </c>
      <c r="BD3962">
        <v>0</v>
      </c>
      <c r="BE3962">
        <v>0</v>
      </c>
      <c r="BF3962">
        <v>0</v>
      </c>
      <c r="BG3962">
        <v>0</v>
      </c>
      <c r="BH3962">
        <v>1</v>
      </c>
      <c r="BI3962">
        <v>1</v>
      </c>
      <c r="BJ3962">
        <v>0.2</v>
      </c>
      <c r="BK3962">
        <v>1</v>
      </c>
      <c r="BL3962">
        <v>135.59</v>
      </c>
      <c r="BM3962">
        <v>20.34</v>
      </c>
      <c r="BN3962">
        <v>155.93</v>
      </c>
      <c r="BO3962">
        <v>155.93</v>
      </c>
      <c r="BQ3962" t="s">
        <v>3462</v>
      </c>
      <c r="BR3962" t="s">
        <v>84</v>
      </c>
      <c r="BS3962" t="s">
        <v>1540</v>
      </c>
      <c r="BV3962" t="s">
        <v>89</v>
      </c>
      <c r="BY3962">
        <v>1200</v>
      </c>
      <c r="CC3962" t="s">
        <v>3460</v>
      </c>
      <c r="CD3962">
        <v>2309</v>
      </c>
      <c r="CE3962" t="s">
        <v>88</v>
      </c>
      <c r="CI3962">
        <v>1</v>
      </c>
      <c r="CJ3962" t="s">
        <v>1540</v>
      </c>
      <c r="CK3962">
        <v>23</v>
      </c>
      <c r="CL3962" t="s">
        <v>89</v>
      </c>
    </row>
    <row r="3963" spans="1:90" x14ac:dyDescent="0.3">
      <c r="A3963" t="s">
        <v>72</v>
      </c>
      <c r="B3963" t="s">
        <v>73</v>
      </c>
      <c r="C3963" t="s">
        <v>74</v>
      </c>
      <c r="E3963" t="str">
        <f>"080065644101"</f>
        <v>080065644101</v>
      </c>
      <c r="F3963" s="3">
        <v>45806</v>
      </c>
      <c r="G3963">
        <v>202602</v>
      </c>
      <c r="H3963" t="s">
        <v>75</v>
      </c>
      <c r="I3963" t="s">
        <v>76</v>
      </c>
      <c r="J3963" t="s">
        <v>77</v>
      </c>
      <c r="K3963" t="s">
        <v>78</v>
      </c>
      <c r="L3963" t="s">
        <v>117</v>
      </c>
      <c r="M3963" t="s">
        <v>118</v>
      </c>
      <c r="N3963" t="s">
        <v>532</v>
      </c>
      <c r="O3963" t="s">
        <v>82</v>
      </c>
      <c r="P3963" t="str">
        <f>"4170041422                    "</f>
        <v xml:space="preserve">4170041422                    </v>
      </c>
      <c r="Q3963">
        <v>0</v>
      </c>
      <c r="R3963">
        <v>0</v>
      </c>
      <c r="S3963">
        <v>0</v>
      </c>
      <c r="T3963">
        <v>0</v>
      </c>
      <c r="U3963">
        <v>0</v>
      </c>
      <c r="V3963">
        <v>0</v>
      </c>
      <c r="W3963">
        <v>0</v>
      </c>
      <c r="X3963">
        <v>0</v>
      </c>
      <c r="Y3963">
        <v>0</v>
      </c>
      <c r="Z3963">
        <v>0</v>
      </c>
      <c r="AA3963">
        <v>0</v>
      </c>
      <c r="AB3963">
        <v>0</v>
      </c>
      <c r="AC3963">
        <v>0</v>
      </c>
      <c r="AD3963">
        <v>0</v>
      </c>
      <c r="AE3963">
        <v>0</v>
      </c>
      <c r="AF3963">
        <v>0</v>
      </c>
      <c r="AG3963">
        <v>0</v>
      </c>
      <c r="AH3963">
        <v>0</v>
      </c>
      <c r="AI3963">
        <v>0</v>
      </c>
      <c r="AJ3963">
        <v>0</v>
      </c>
      <c r="AK3963">
        <v>0</v>
      </c>
      <c r="AL3963">
        <v>0</v>
      </c>
      <c r="AM3963">
        <v>0</v>
      </c>
      <c r="AN3963">
        <v>0</v>
      </c>
      <c r="AO3963">
        <v>0</v>
      </c>
      <c r="AP3963">
        <v>0</v>
      </c>
      <c r="AQ3963">
        <v>16.7</v>
      </c>
      <c r="AR3963">
        <v>0</v>
      </c>
      <c r="AS3963">
        <v>0</v>
      </c>
      <c r="AT3963">
        <v>0</v>
      </c>
      <c r="AU3963">
        <v>0</v>
      </c>
      <c r="AV3963">
        <v>0</v>
      </c>
      <c r="AW3963">
        <v>0</v>
      </c>
      <c r="AX3963">
        <v>0</v>
      </c>
      <c r="AY3963">
        <v>0</v>
      </c>
      <c r="AZ3963">
        <v>0</v>
      </c>
      <c r="BA3963">
        <v>0</v>
      </c>
      <c r="BB3963">
        <v>0</v>
      </c>
      <c r="BC3963">
        <v>0</v>
      </c>
      <c r="BD3963">
        <v>0</v>
      </c>
      <c r="BE3963">
        <v>0</v>
      </c>
      <c r="BF3963">
        <v>0</v>
      </c>
      <c r="BG3963">
        <v>0</v>
      </c>
      <c r="BH3963">
        <v>1</v>
      </c>
      <c r="BI3963">
        <v>1</v>
      </c>
      <c r="BJ3963">
        <v>0.2</v>
      </c>
      <c r="BK3963">
        <v>1</v>
      </c>
      <c r="BL3963">
        <v>54.66</v>
      </c>
      <c r="BM3963">
        <v>8.1999999999999993</v>
      </c>
      <c r="BN3963">
        <v>62.86</v>
      </c>
      <c r="BO3963">
        <v>62.86</v>
      </c>
      <c r="BQ3963" t="s">
        <v>533</v>
      </c>
      <c r="BR3963" t="s">
        <v>84</v>
      </c>
      <c r="BS3963" t="s">
        <v>1540</v>
      </c>
      <c r="BV3963" t="s">
        <v>89</v>
      </c>
      <c r="BY3963">
        <v>1200</v>
      </c>
      <c r="CC3963" t="s">
        <v>118</v>
      </c>
      <c r="CD3963">
        <v>2094</v>
      </c>
      <c r="CE3963" t="s">
        <v>176</v>
      </c>
      <c r="CI3963">
        <v>1</v>
      </c>
      <c r="CJ3963" t="s">
        <v>1540</v>
      </c>
      <c r="CK3963">
        <v>22</v>
      </c>
      <c r="CL3963" t="s">
        <v>89</v>
      </c>
    </row>
    <row r="3964" spans="1:90" x14ac:dyDescent="0.3">
      <c r="A3964" t="s">
        <v>72</v>
      </c>
      <c r="B3964" t="s">
        <v>73</v>
      </c>
      <c r="C3964" t="s">
        <v>74</v>
      </c>
      <c r="E3964" t="str">
        <f>"080065644120"</f>
        <v>080065644120</v>
      </c>
      <c r="F3964" s="3">
        <v>45806</v>
      </c>
      <c r="G3964">
        <v>202602</v>
      </c>
      <c r="H3964" t="s">
        <v>75</v>
      </c>
      <c r="I3964" t="s">
        <v>76</v>
      </c>
      <c r="J3964" t="s">
        <v>77</v>
      </c>
      <c r="K3964" t="s">
        <v>78</v>
      </c>
      <c r="L3964" t="s">
        <v>90</v>
      </c>
      <c r="M3964" t="s">
        <v>91</v>
      </c>
      <c r="N3964" t="s">
        <v>543</v>
      </c>
      <c r="O3964" t="s">
        <v>82</v>
      </c>
      <c r="P3964" t="str">
        <f>"4170041366                    "</f>
        <v xml:space="preserve">4170041366                    </v>
      </c>
      <c r="Q3964">
        <v>0</v>
      </c>
      <c r="R3964">
        <v>0</v>
      </c>
      <c r="S3964">
        <v>0</v>
      </c>
      <c r="T3964">
        <v>0</v>
      </c>
      <c r="U3964">
        <v>0</v>
      </c>
      <c r="V3964">
        <v>0</v>
      </c>
      <c r="W3964">
        <v>0</v>
      </c>
      <c r="X3964">
        <v>0</v>
      </c>
      <c r="Y3964">
        <v>0</v>
      </c>
      <c r="Z3964">
        <v>0</v>
      </c>
      <c r="AA3964">
        <v>0</v>
      </c>
      <c r="AB3964">
        <v>0</v>
      </c>
      <c r="AC3964">
        <v>0</v>
      </c>
      <c r="AD3964">
        <v>0</v>
      </c>
      <c r="AE3964">
        <v>0</v>
      </c>
      <c r="AF3964">
        <v>0</v>
      </c>
      <c r="AG3964">
        <v>0</v>
      </c>
      <c r="AH3964">
        <v>0</v>
      </c>
      <c r="AI3964">
        <v>0</v>
      </c>
      <c r="AJ3964">
        <v>0</v>
      </c>
      <c r="AK3964">
        <v>0</v>
      </c>
      <c r="AL3964">
        <v>0</v>
      </c>
      <c r="AM3964">
        <v>0</v>
      </c>
      <c r="AN3964">
        <v>0</v>
      </c>
      <c r="AO3964">
        <v>0</v>
      </c>
      <c r="AP3964">
        <v>0</v>
      </c>
      <c r="AQ3964">
        <v>21.38</v>
      </c>
      <c r="AR3964">
        <v>0</v>
      </c>
      <c r="AS3964">
        <v>0</v>
      </c>
      <c r="AT3964">
        <v>0</v>
      </c>
      <c r="AU3964">
        <v>0</v>
      </c>
      <c r="AV3964">
        <v>0</v>
      </c>
      <c r="AW3964">
        <v>0</v>
      </c>
      <c r="AX3964">
        <v>0</v>
      </c>
      <c r="AY3964">
        <v>0</v>
      </c>
      <c r="AZ3964">
        <v>0</v>
      </c>
      <c r="BA3964">
        <v>0</v>
      </c>
      <c r="BB3964">
        <v>0</v>
      </c>
      <c r="BC3964">
        <v>0</v>
      </c>
      <c r="BD3964">
        <v>0</v>
      </c>
      <c r="BE3964">
        <v>0</v>
      </c>
      <c r="BF3964">
        <v>0</v>
      </c>
      <c r="BG3964">
        <v>0</v>
      </c>
      <c r="BH3964">
        <v>1</v>
      </c>
      <c r="BI3964">
        <v>1</v>
      </c>
      <c r="BJ3964">
        <v>1.9</v>
      </c>
      <c r="BK3964">
        <v>2</v>
      </c>
      <c r="BL3964">
        <v>69.98</v>
      </c>
      <c r="BM3964">
        <v>10.5</v>
      </c>
      <c r="BN3964">
        <v>80.48</v>
      </c>
      <c r="BO3964">
        <v>80.48</v>
      </c>
      <c r="BQ3964" t="s">
        <v>544</v>
      </c>
      <c r="BR3964" t="s">
        <v>84</v>
      </c>
      <c r="BS3964" t="s">
        <v>1540</v>
      </c>
      <c r="BV3964" t="s">
        <v>89</v>
      </c>
      <c r="BY3964">
        <v>9600</v>
      </c>
      <c r="CC3964" t="s">
        <v>91</v>
      </c>
      <c r="CD3964">
        <v>6001</v>
      </c>
      <c r="CE3964" t="s">
        <v>176</v>
      </c>
      <c r="CI3964">
        <v>1</v>
      </c>
      <c r="CJ3964" t="s">
        <v>1540</v>
      </c>
      <c r="CK3964">
        <v>21</v>
      </c>
      <c r="CL3964" t="s">
        <v>89</v>
      </c>
    </row>
    <row r="3965" spans="1:90" x14ac:dyDescent="0.3">
      <c r="A3965" t="s">
        <v>72</v>
      </c>
      <c r="B3965" t="s">
        <v>73</v>
      </c>
      <c r="C3965" t="s">
        <v>74</v>
      </c>
      <c r="E3965" t="str">
        <f>"080065644175"</f>
        <v>080065644175</v>
      </c>
      <c r="F3965" s="3">
        <v>45806</v>
      </c>
      <c r="G3965">
        <v>202602</v>
      </c>
      <c r="H3965" t="s">
        <v>75</v>
      </c>
      <c r="I3965" t="s">
        <v>76</v>
      </c>
      <c r="J3965" t="s">
        <v>77</v>
      </c>
      <c r="K3965" t="s">
        <v>78</v>
      </c>
      <c r="L3965" t="s">
        <v>320</v>
      </c>
      <c r="M3965" t="s">
        <v>321</v>
      </c>
      <c r="N3965" t="s">
        <v>1607</v>
      </c>
      <c r="O3965" t="s">
        <v>82</v>
      </c>
      <c r="P3965" t="str">
        <f>"4170041468                    "</f>
        <v xml:space="preserve">4170041468                    </v>
      </c>
      <c r="Q3965">
        <v>0</v>
      </c>
      <c r="R3965">
        <v>0</v>
      </c>
      <c r="S3965">
        <v>0</v>
      </c>
      <c r="T3965">
        <v>0</v>
      </c>
      <c r="U3965">
        <v>0</v>
      </c>
      <c r="V3965">
        <v>0</v>
      </c>
      <c r="W3965">
        <v>0</v>
      </c>
      <c r="X3965">
        <v>0</v>
      </c>
      <c r="Y3965">
        <v>0</v>
      </c>
      <c r="Z3965">
        <v>0</v>
      </c>
      <c r="AA3965">
        <v>0</v>
      </c>
      <c r="AB3965">
        <v>0</v>
      </c>
      <c r="AC3965">
        <v>0</v>
      </c>
      <c r="AD3965">
        <v>0</v>
      </c>
      <c r="AE3965">
        <v>0</v>
      </c>
      <c r="AF3965">
        <v>0</v>
      </c>
      <c r="AG3965">
        <v>0</v>
      </c>
      <c r="AH3965">
        <v>0</v>
      </c>
      <c r="AI3965">
        <v>0</v>
      </c>
      <c r="AJ3965">
        <v>0</v>
      </c>
      <c r="AK3965">
        <v>0</v>
      </c>
      <c r="AL3965">
        <v>0</v>
      </c>
      <c r="AM3965">
        <v>0</v>
      </c>
      <c r="AN3965">
        <v>0</v>
      </c>
      <c r="AO3965">
        <v>0</v>
      </c>
      <c r="AP3965">
        <v>0</v>
      </c>
      <c r="AQ3965">
        <v>21.38</v>
      </c>
      <c r="AR3965">
        <v>0</v>
      </c>
      <c r="AS3965">
        <v>0</v>
      </c>
      <c r="AT3965">
        <v>0</v>
      </c>
      <c r="AU3965">
        <v>0</v>
      </c>
      <c r="AV3965">
        <v>0</v>
      </c>
      <c r="AW3965">
        <v>0</v>
      </c>
      <c r="AX3965">
        <v>0</v>
      </c>
      <c r="AY3965">
        <v>0</v>
      </c>
      <c r="AZ3965">
        <v>0</v>
      </c>
      <c r="BA3965">
        <v>0</v>
      </c>
      <c r="BB3965">
        <v>0</v>
      </c>
      <c r="BC3965">
        <v>0</v>
      </c>
      <c r="BD3965">
        <v>0</v>
      </c>
      <c r="BE3965">
        <v>0</v>
      </c>
      <c r="BF3965">
        <v>0</v>
      </c>
      <c r="BG3965">
        <v>0</v>
      </c>
      <c r="BH3965">
        <v>1</v>
      </c>
      <c r="BI3965">
        <v>1</v>
      </c>
      <c r="BJ3965">
        <v>0.2</v>
      </c>
      <c r="BK3965">
        <v>1</v>
      </c>
      <c r="BL3965">
        <v>69.98</v>
      </c>
      <c r="BM3965">
        <v>10.5</v>
      </c>
      <c r="BN3965">
        <v>80.48</v>
      </c>
      <c r="BO3965">
        <v>80.48</v>
      </c>
      <c r="BQ3965" t="s">
        <v>1608</v>
      </c>
      <c r="BR3965" t="s">
        <v>84</v>
      </c>
      <c r="BS3965" t="s">
        <v>1540</v>
      </c>
      <c r="BV3965" t="s">
        <v>89</v>
      </c>
      <c r="BY3965">
        <v>1200</v>
      </c>
      <c r="CC3965" t="s">
        <v>321</v>
      </c>
      <c r="CD3965">
        <v>4113</v>
      </c>
      <c r="CE3965" t="s">
        <v>176</v>
      </c>
      <c r="CI3965">
        <v>1</v>
      </c>
      <c r="CJ3965" t="s">
        <v>1540</v>
      </c>
      <c r="CK3965">
        <v>21</v>
      </c>
      <c r="CL3965" t="s">
        <v>89</v>
      </c>
    </row>
    <row r="3966" spans="1:90" x14ac:dyDescent="0.3">
      <c r="A3966" t="s">
        <v>72</v>
      </c>
      <c r="B3966" t="s">
        <v>73</v>
      </c>
      <c r="C3966" t="s">
        <v>74</v>
      </c>
      <c r="E3966" t="str">
        <f>"080065644223"</f>
        <v>080065644223</v>
      </c>
      <c r="F3966" s="3">
        <v>45806</v>
      </c>
      <c r="G3966">
        <v>202602</v>
      </c>
      <c r="H3966" t="s">
        <v>75</v>
      </c>
      <c r="I3966" t="s">
        <v>76</v>
      </c>
      <c r="J3966" t="s">
        <v>77</v>
      </c>
      <c r="K3966" t="s">
        <v>78</v>
      </c>
      <c r="L3966" t="s">
        <v>79</v>
      </c>
      <c r="M3966" t="s">
        <v>80</v>
      </c>
      <c r="N3966" t="s">
        <v>452</v>
      </c>
      <c r="O3966" t="s">
        <v>82</v>
      </c>
      <c r="P3966" t="str">
        <f>"4170041368                    "</f>
        <v xml:space="preserve">4170041368                    </v>
      </c>
      <c r="Q3966">
        <v>0</v>
      </c>
      <c r="R3966">
        <v>0</v>
      </c>
      <c r="S3966">
        <v>0</v>
      </c>
      <c r="T3966">
        <v>0</v>
      </c>
      <c r="U3966">
        <v>0</v>
      </c>
      <c r="V3966">
        <v>0</v>
      </c>
      <c r="W3966">
        <v>0</v>
      </c>
      <c r="X3966">
        <v>0</v>
      </c>
      <c r="Y3966">
        <v>0</v>
      </c>
      <c r="Z3966">
        <v>0</v>
      </c>
      <c r="AA3966">
        <v>0</v>
      </c>
      <c r="AB3966">
        <v>0</v>
      </c>
      <c r="AC3966">
        <v>0</v>
      </c>
      <c r="AD3966">
        <v>0</v>
      </c>
      <c r="AE3966">
        <v>0</v>
      </c>
      <c r="AF3966">
        <v>0</v>
      </c>
      <c r="AG3966">
        <v>0</v>
      </c>
      <c r="AH3966">
        <v>0</v>
      </c>
      <c r="AI3966">
        <v>0</v>
      </c>
      <c r="AJ3966">
        <v>0</v>
      </c>
      <c r="AK3966">
        <v>0</v>
      </c>
      <c r="AL3966">
        <v>0</v>
      </c>
      <c r="AM3966">
        <v>0</v>
      </c>
      <c r="AN3966">
        <v>0</v>
      </c>
      <c r="AO3966">
        <v>0</v>
      </c>
      <c r="AP3966">
        <v>0</v>
      </c>
      <c r="AQ3966">
        <v>21.38</v>
      </c>
      <c r="AR3966">
        <v>0</v>
      </c>
      <c r="AS3966">
        <v>0</v>
      </c>
      <c r="AT3966">
        <v>0</v>
      </c>
      <c r="AU3966">
        <v>0</v>
      </c>
      <c r="AV3966">
        <v>0</v>
      </c>
      <c r="AW3966">
        <v>0</v>
      </c>
      <c r="AX3966">
        <v>0</v>
      </c>
      <c r="AY3966">
        <v>0</v>
      </c>
      <c r="AZ3966">
        <v>0</v>
      </c>
      <c r="BA3966">
        <v>0</v>
      </c>
      <c r="BB3966">
        <v>0</v>
      </c>
      <c r="BC3966">
        <v>0</v>
      </c>
      <c r="BD3966">
        <v>0</v>
      </c>
      <c r="BE3966">
        <v>0</v>
      </c>
      <c r="BF3966">
        <v>0</v>
      </c>
      <c r="BG3966">
        <v>0</v>
      </c>
      <c r="BH3966">
        <v>1</v>
      </c>
      <c r="BI3966">
        <v>1</v>
      </c>
      <c r="BJ3966">
        <v>0.2</v>
      </c>
      <c r="BK3966">
        <v>1</v>
      </c>
      <c r="BL3966">
        <v>69.98</v>
      </c>
      <c r="BM3966">
        <v>10.5</v>
      </c>
      <c r="BN3966">
        <v>80.48</v>
      </c>
      <c r="BO3966">
        <v>80.48</v>
      </c>
      <c r="BQ3966" t="s">
        <v>453</v>
      </c>
      <c r="BR3966" t="s">
        <v>84</v>
      </c>
      <c r="BS3966" t="s">
        <v>1540</v>
      </c>
      <c r="BV3966" t="s">
        <v>89</v>
      </c>
      <c r="BY3966">
        <v>1200</v>
      </c>
      <c r="CC3966" t="s">
        <v>80</v>
      </c>
      <c r="CD3966">
        <v>3610</v>
      </c>
      <c r="CE3966" t="s">
        <v>176</v>
      </c>
      <c r="CI3966">
        <v>1</v>
      </c>
      <c r="CJ3966" t="s">
        <v>1540</v>
      </c>
      <c r="CK3966">
        <v>21</v>
      </c>
      <c r="CL3966" t="s">
        <v>89</v>
      </c>
    </row>
    <row r="3967" spans="1:90" x14ac:dyDescent="0.3">
      <c r="A3967" t="s">
        <v>72</v>
      </c>
      <c r="B3967" t="s">
        <v>73</v>
      </c>
      <c r="C3967" t="s">
        <v>74</v>
      </c>
      <c r="E3967" t="str">
        <f>"080065644266"</f>
        <v>080065644266</v>
      </c>
      <c r="F3967" s="3">
        <v>45806</v>
      </c>
      <c r="G3967">
        <v>202602</v>
      </c>
      <c r="H3967" t="s">
        <v>75</v>
      </c>
      <c r="I3967" t="s">
        <v>76</v>
      </c>
      <c r="J3967" t="s">
        <v>77</v>
      </c>
      <c r="K3967" t="s">
        <v>78</v>
      </c>
      <c r="L3967" t="s">
        <v>117</v>
      </c>
      <c r="M3967" t="s">
        <v>118</v>
      </c>
      <c r="N3967" t="s">
        <v>1533</v>
      </c>
      <c r="O3967" t="s">
        <v>82</v>
      </c>
      <c r="P3967" t="str">
        <f>"4170041430                    "</f>
        <v xml:space="preserve">4170041430                    </v>
      </c>
      <c r="Q3967">
        <v>0</v>
      </c>
      <c r="R3967">
        <v>0</v>
      </c>
      <c r="S3967">
        <v>0</v>
      </c>
      <c r="T3967">
        <v>0</v>
      </c>
      <c r="U3967">
        <v>0</v>
      </c>
      <c r="V3967">
        <v>0</v>
      </c>
      <c r="W3967">
        <v>0</v>
      </c>
      <c r="X3967">
        <v>0</v>
      </c>
      <c r="Y3967">
        <v>0</v>
      </c>
      <c r="Z3967">
        <v>0</v>
      </c>
      <c r="AA3967">
        <v>0</v>
      </c>
      <c r="AB3967">
        <v>0</v>
      </c>
      <c r="AC3967">
        <v>0</v>
      </c>
      <c r="AD3967">
        <v>0</v>
      </c>
      <c r="AE3967">
        <v>0</v>
      </c>
      <c r="AF3967">
        <v>0</v>
      </c>
      <c r="AG3967">
        <v>0</v>
      </c>
      <c r="AH3967">
        <v>0</v>
      </c>
      <c r="AI3967">
        <v>0</v>
      </c>
      <c r="AJ3967">
        <v>0</v>
      </c>
      <c r="AK3967">
        <v>0</v>
      </c>
      <c r="AL3967">
        <v>0</v>
      </c>
      <c r="AM3967">
        <v>0</v>
      </c>
      <c r="AN3967">
        <v>0</v>
      </c>
      <c r="AO3967">
        <v>0</v>
      </c>
      <c r="AP3967">
        <v>0</v>
      </c>
      <c r="AQ3967">
        <v>16.7</v>
      </c>
      <c r="AR3967">
        <v>0</v>
      </c>
      <c r="AS3967">
        <v>0</v>
      </c>
      <c r="AT3967">
        <v>0</v>
      </c>
      <c r="AU3967">
        <v>0</v>
      </c>
      <c r="AV3967">
        <v>0</v>
      </c>
      <c r="AW3967">
        <v>0</v>
      </c>
      <c r="AX3967">
        <v>0</v>
      </c>
      <c r="AY3967">
        <v>0</v>
      </c>
      <c r="AZ3967">
        <v>0</v>
      </c>
      <c r="BA3967">
        <v>0</v>
      </c>
      <c r="BB3967">
        <v>0</v>
      </c>
      <c r="BC3967">
        <v>0</v>
      </c>
      <c r="BD3967">
        <v>0</v>
      </c>
      <c r="BE3967">
        <v>0</v>
      </c>
      <c r="BF3967">
        <v>0</v>
      </c>
      <c r="BG3967">
        <v>0</v>
      </c>
      <c r="BH3967">
        <v>1</v>
      </c>
      <c r="BI3967">
        <v>1</v>
      </c>
      <c r="BJ3967">
        <v>0.2</v>
      </c>
      <c r="BK3967">
        <v>1</v>
      </c>
      <c r="BL3967">
        <v>54.66</v>
      </c>
      <c r="BM3967">
        <v>8.1999999999999993</v>
      </c>
      <c r="BN3967">
        <v>62.86</v>
      </c>
      <c r="BO3967">
        <v>62.86</v>
      </c>
      <c r="BQ3967" t="s">
        <v>1534</v>
      </c>
      <c r="BR3967" t="s">
        <v>84</v>
      </c>
      <c r="BS3967" t="s">
        <v>1540</v>
      </c>
      <c r="BV3967" t="s">
        <v>89</v>
      </c>
      <c r="BY3967">
        <v>1200</v>
      </c>
      <c r="CC3967" t="s">
        <v>118</v>
      </c>
      <c r="CD3967">
        <v>2091</v>
      </c>
      <c r="CE3967" t="s">
        <v>176</v>
      </c>
      <c r="CI3967">
        <v>1</v>
      </c>
      <c r="CJ3967" t="s">
        <v>1540</v>
      </c>
      <c r="CK3967">
        <v>22</v>
      </c>
      <c r="CL3967" t="s">
        <v>89</v>
      </c>
    </row>
    <row r="3968" spans="1:90" x14ac:dyDescent="0.3">
      <c r="A3968" t="s">
        <v>72</v>
      </c>
      <c r="B3968" t="s">
        <v>73</v>
      </c>
      <c r="C3968" t="s">
        <v>74</v>
      </c>
      <c r="E3968" t="str">
        <f>"080065644457"</f>
        <v>080065644457</v>
      </c>
      <c r="F3968" s="3">
        <v>45806</v>
      </c>
      <c r="G3968">
        <v>202602</v>
      </c>
      <c r="H3968" t="s">
        <v>75</v>
      </c>
      <c r="I3968" t="s">
        <v>76</v>
      </c>
      <c r="J3968" t="s">
        <v>77</v>
      </c>
      <c r="K3968" t="s">
        <v>78</v>
      </c>
      <c r="L3968" t="s">
        <v>117</v>
      </c>
      <c r="M3968" t="s">
        <v>118</v>
      </c>
      <c r="N3968" t="s">
        <v>1533</v>
      </c>
      <c r="O3968" t="s">
        <v>82</v>
      </c>
      <c r="P3968" t="str">
        <f>"4170041369                    "</f>
        <v xml:space="preserve">4170041369                    </v>
      </c>
      <c r="Q3968">
        <v>0</v>
      </c>
      <c r="R3968">
        <v>0</v>
      </c>
      <c r="S3968">
        <v>0</v>
      </c>
      <c r="T3968">
        <v>0</v>
      </c>
      <c r="U3968">
        <v>0</v>
      </c>
      <c r="V3968">
        <v>0</v>
      </c>
      <c r="W3968">
        <v>0</v>
      </c>
      <c r="X3968">
        <v>0</v>
      </c>
      <c r="Y3968">
        <v>0</v>
      </c>
      <c r="Z3968">
        <v>0</v>
      </c>
      <c r="AA3968">
        <v>0</v>
      </c>
      <c r="AB3968">
        <v>0</v>
      </c>
      <c r="AC3968">
        <v>0</v>
      </c>
      <c r="AD3968">
        <v>0</v>
      </c>
      <c r="AE3968">
        <v>0</v>
      </c>
      <c r="AF3968">
        <v>0</v>
      </c>
      <c r="AG3968">
        <v>0</v>
      </c>
      <c r="AH3968">
        <v>0</v>
      </c>
      <c r="AI3968">
        <v>0</v>
      </c>
      <c r="AJ3968">
        <v>0</v>
      </c>
      <c r="AK3968">
        <v>0</v>
      </c>
      <c r="AL3968">
        <v>0</v>
      </c>
      <c r="AM3968">
        <v>0</v>
      </c>
      <c r="AN3968">
        <v>0</v>
      </c>
      <c r="AO3968">
        <v>0</v>
      </c>
      <c r="AP3968">
        <v>0</v>
      </c>
      <c r="AQ3968">
        <v>16.7</v>
      </c>
      <c r="AR3968">
        <v>0</v>
      </c>
      <c r="AS3968">
        <v>0</v>
      </c>
      <c r="AT3968">
        <v>0</v>
      </c>
      <c r="AU3968">
        <v>0</v>
      </c>
      <c r="AV3968">
        <v>0</v>
      </c>
      <c r="AW3968">
        <v>0</v>
      </c>
      <c r="AX3968">
        <v>0</v>
      </c>
      <c r="AY3968">
        <v>0</v>
      </c>
      <c r="AZ3968">
        <v>0</v>
      </c>
      <c r="BA3968">
        <v>0</v>
      </c>
      <c r="BB3968">
        <v>0</v>
      </c>
      <c r="BC3968">
        <v>0</v>
      </c>
      <c r="BD3968">
        <v>0</v>
      </c>
      <c r="BE3968">
        <v>0</v>
      </c>
      <c r="BF3968">
        <v>0</v>
      </c>
      <c r="BG3968">
        <v>0</v>
      </c>
      <c r="BH3968">
        <v>1</v>
      </c>
      <c r="BI3968">
        <v>1</v>
      </c>
      <c r="BJ3968">
        <v>0.2</v>
      </c>
      <c r="BK3968">
        <v>1</v>
      </c>
      <c r="BL3968">
        <v>54.66</v>
      </c>
      <c r="BM3968">
        <v>8.1999999999999993</v>
      </c>
      <c r="BN3968">
        <v>62.86</v>
      </c>
      <c r="BO3968">
        <v>62.86</v>
      </c>
      <c r="BQ3968" t="s">
        <v>1534</v>
      </c>
      <c r="BR3968" t="s">
        <v>84</v>
      </c>
      <c r="BS3968" t="s">
        <v>1540</v>
      </c>
      <c r="BV3968" t="s">
        <v>89</v>
      </c>
      <c r="BY3968">
        <v>1200</v>
      </c>
      <c r="CC3968" t="s">
        <v>118</v>
      </c>
      <c r="CD3968">
        <v>2091</v>
      </c>
      <c r="CE3968" t="s">
        <v>88</v>
      </c>
      <c r="CI3968">
        <v>1</v>
      </c>
      <c r="CJ3968" t="s">
        <v>1540</v>
      </c>
      <c r="CK3968">
        <v>22</v>
      </c>
      <c r="CL3968" t="s">
        <v>89</v>
      </c>
    </row>
    <row r="3969" spans="1:90" x14ac:dyDescent="0.3">
      <c r="A3969" t="s">
        <v>72</v>
      </c>
      <c r="B3969" t="s">
        <v>73</v>
      </c>
      <c r="C3969" t="s">
        <v>74</v>
      </c>
      <c r="E3969" t="str">
        <f>"080065644466"</f>
        <v>080065644466</v>
      </c>
      <c r="F3969" s="3">
        <v>45806</v>
      </c>
      <c r="G3969">
        <v>202602</v>
      </c>
      <c r="H3969" t="s">
        <v>75</v>
      </c>
      <c r="I3969" t="s">
        <v>76</v>
      </c>
      <c r="J3969" t="s">
        <v>77</v>
      </c>
      <c r="K3969" t="s">
        <v>78</v>
      </c>
      <c r="L3969" t="s">
        <v>222</v>
      </c>
      <c r="M3969" t="s">
        <v>223</v>
      </c>
      <c r="N3969" t="s">
        <v>1369</v>
      </c>
      <c r="O3969" t="s">
        <v>82</v>
      </c>
      <c r="P3969" t="str">
        <f>"4170041458                    "</f>
        <v xml:space="preserve">4170041458                    </v>
      </c>
      <c r="Q3969">
        <v>0</v>
      </c>
      <c r="R3969">
        <v>0</v>
      </c>
      <c r="S3969">
        <v>0</v>
      </c>
      <c r="T3969">
        <v>0</v>
      </c>
      <c r="U3969">
        <v>0</v>
      </c>
      <c r="V3969">
        <v>0</v>
      </c>
      <c r="W3969">
        <v>0</v>
      </c>
      <c r="X3969">
        <v>0</v>
      </c>
      <c r="Y3969">
        <v>0</v>
      </c>
      <c r="Z3969">
        <v>0</v>
      </c>
      <c r="AA3969">
        <v>0</v>
      </c>
      <c r="AB3969">
        <v>0</v>
      </c>
      <c r="AC3969">
        <v>0</v>
      </c>
      <c r="AD3969">
        <v>0</v>
      </c>
      <c r="AE3969">
        <v>0</v>
      </c>
      <c r="AF3969">
        <v>0</v>
      </c>
      <c r="AG3969">
        <v>0</v>
      </c>
      <c r="AH3969">
        <v>0</v>
      </c>
      <c r="AI3969">
        <v>0</v>
      </c>
      <c r="AJ3969">
        <v>0</v>
      </c>
      <c r="AK3969">
        <v>0</v>
      </c>
      <c r="AL3969">
        <v>0</v>
      </c>
      <c r="AM3969">
        <v>0</v>
      </c>
      <c r="AN3969">
        <v>0</v>
      </c>
      <c r="AO3969">
        <v>0</v>
      </c>
      <c r="AP3969">
        <v>0</v>
      </c>
      <c r="AQ3969">
        <v>59.36</v>
      </c>
      <c r="AR3969">
        <v>0</v>
      </c>
      <c r="AS3969">
        <v>0</v>
      </c>
      <c r="AT3969">
        <v>0</v>
      </c>
      <c r="AU3969">
        <v>0</v>
      </c>
      <c r="AV3969">
        <v>0</v>
      </c>
      <c r="AW3969">
        <v>0</v>
      </c>
      <c r="AX3969">
        <v>0</v>
      </c>
      <c r="AY3969">
        <v>0</v>
      </c>
      <c r="AZ3969">
        <v>0</v>
      </c>
      <c r="BA3969">
        <v>0</v>
      </c>
      <c r="BB3969">
        <v>0</v>
      </c>
      <c r="BC3969">
        <v>0</v>
      </c>
      <c r="BD3969">
        <v>0</v>
      </c>
      <c r="BE3969">
        <v>0</v>
      </c>
      <c r="BF3969">
        <v>0</v>
      </c>
      <c r="BG3969">
        <v>0</v>
      </c>
      <c r="BH3969">
        <v>1</v>
      </c>
      <c r="BI3969">
        <v>4</v>
      </c>
      <c r="BJ3969">
        <v>3.4</v>
      </c>
      <c r="BK3969">
        <v>4</v>
      </c>
      <c r="BL3969">
        <v>194.27</v>
      </c>
      <c r="BM3969">
        <v>29.14</v>
      </c>
      <c r="BN3969">
        <v>223.41</v>
      </c>
      <c r="BO3969">
        <v>223.41</v>
      </c>
      <c r="BQ3969" t="s">
        <v>1370</v>
      </c>
      <c r="BR3969" t="s">
        <v>84</v>
      </c>
      <c r="BS3969" t="s">
        <v>1540</v>
      </c>
      <c r="BV3969" t="s">
        <v>89</v>
      </c>
      <c r="BY3969">
        <v>16965</v>
      </c>
      <c r="CC3969" t="s">
        <v>223</v>
      </c>
      <c r="CD3969">
        <v>1748</v>
      </c>
      <c r="CE3969" t="s">
        <v>96</v>
      </c>
      <c r="CI3969">
        <v>1</v>
      </c>
      <c r="CJ3969" t="s">
        <v>1540</v>
      </c>
      <c r="CK3969">
        <v>24</v>
      </c>
      <c r="CL3969" t="s">
        <v>89</v>
      </c>
    </row>
    <row r="3970" spans="1:90" x14ac:dyDescent="0.3">
      <c r="A3970" t="s">
        <v>72</v>
      </c>
      <c r="B3970" t="s">
        <v>73</v>
      </c>
      <c r="C3970" t="s">
        <v>74</v>
      </c>
      <c r="E3970" t="str">
        <f>"080065644473"</f>
        <v>080065644473</v>
      </c>
      <c r="F3970" s="3">
        <v>45806</v>
      </c>
      <c r="G3970">
        <v>202602</v>
      </c>
      <c r="H3970" t="s">
        <v>75</v>
      </c>
      <c r="I3970" t="s">
        <v>76</v>
      </c>
      <c r="J3970" t="s">
        <v>77</v>
      </c>
      <c r="K3970" t="s">
        <v>78</v>
      </c>
      <c r="L3970" t="s">
        <v>97</v>
      </c>
      <c r="M3970" t="s">
        <v>98</v>
      </c>
      <c r="N3970" t="s">
        <v>1705</v>
      </c>
      <c r="O3970" t="s">
        <v>82</v>
      </c>
      <c r="P3970" t="str">
        <f>"4170041383                    "</f>
        <v xml:space="preserve">4170041383                    </v>
      </c>
      <c r="Q3970">
        <v>0</v>
      </c>
      <c r="R3970">
        <v>0</v>
      </c>
      <c r="S3970">
        <v>0</v>
      </c>
      <c r="T3970">
        <v>0</v>
      </c>
      <c r="U3970">
        <v>0</v>
      </c>
      <c r="V3970">
        <v>0</v>
      </c>
      <c r="W3970">
        <v>0</v>
      </c>
      <c r="X3970">
        <v>0</v>
      </c>
      <c r="Y3970">
        <v>0</v>
      </c>
      <c r="Z3970">
        <v>0</v>
      </c>
      <c r="AA3970">
        <v>0</v>
      </c>
      <c r="AB3970">
        <v>0</v>
      </c>
      <c r="AC3970">
        <v>0</v>
      </c>
      <c r="AD3970">
        <v>0</v>
      </c>
      <c r="AE3970">
        <v>0</v>
      </c>
      <c r="AF3970">
        <v>0</v>
      </c>
      <c r="AG3970">
        <v>0</v>
      </c>
      <c r="AH3970">
        <v>0</v>
      </c>
      <c r="AI3970">
        <v>0</v>
      </c>
      <c r="AJ3970">
        <v>0</v>
      </c>
      <c r="AK3970">
        <v>0</v>
      </c>
      <c r="AL3970">
        <v>0</v>
      </c>
      <c r="AM3970">
        <v>0</v>
      </c>
      <c r="AN3970">
        <v>0</v>
      </c>
      <c r="AO3970">
        <v>0</v>
      </c>
      <c r="AP3970">
        <v>0</v>
      </c>
      <c r="AQ3970">
        <v>16.7</v>
      </c>
      <c r="AR3970">
        <v>0</v>
      </c>
      <c r="AS3970">
        <v>0</v>
      </c>
      <c r="AT3970">
        <v>0</v>
      </c>
      <c r="AU3970">
        <v>0</v>
      </c>
      <c r="AV3970">
        <v>0</v>
      </c>
      <c r="AW3970">
        <v>0</v>
      </c>
      <c r="AX3970">
        <v>0</v>
      </c>
      <c r="AY3970">
        <v>0</v>
      </c>
      <c r="AZ3970">
        <v>0</v>
      </c>
      <c r="BA3970">
        <v>0</v>
      </c>
      <c r="BB3970">
        <v>0</v>
      </c>
      <c r="BC3970">
        <v>0</v>
      </c>
      <c r="BD3970">
        <v>0</v>
      </c>
      <c r="BE3970">
        <v>0</v>
      </c>
      <c r="BF3970">
        <v>0</v>
      </c>
      <c r="BG3970">
        <v>0</v>
      </c>
      <c r="BH3970">
        <v>1</v>
      </c>
      <c r="BI3970">
        <v>1</v>
      </c>
      <c r="BJ3970">
        <v>0.2</v>
      </c>
      <c r="BK3970">
        <v>1</v>
      </c>
      <c r="BL3970">
        <v>54.66</v>
      </c>
      <c r="BM3970">
        <v>8.1999999999999993</v>
      </c>
      <c r="BN3970">
        <v>62.86</v>
      </c>
      <c r="BO3970">
        <v>62.86</v>
      </c>
      <c r="BQ3970" t="s">
        <v>1706</v>
      </c>
      <c r="BR3970" t="s">
        <v>84</v>
      </c>
      <c r="BS3970" t="s">
        <v>1540</v>
      </c>
      <c r="BV3970" t="s">
        <v>89</v>
      </c>
      <c r="BY3970">
        <v>1200</v>
      </c>
      <c r="CC3970" t="s">
        <v>98</v>
      </c>
      <c r="CD3970">
        <v>1459</v>
      </c>
      <c r="CE3970" t="s">
        <v>88</v>
      </c>
      <c r="CI3970">
        <v>1</v>
      </c>
      <c r="CJ3970" t="s">
        <v>1540</v>
      </c>
      <c r="CK3970">
        <v>22</v>
      </c>
      <c r="CL3970" t="s">
        <v>89</v>
      </c>
    </row>
    <row r="3971" spans="1:90" x14ac:dyDescent="0.3">
      <c r="A3971" t="s">
        <v>72</v>
      </c>
      <c r="B3971" t="s">
        <v>73</v>
      </c>
      <c r="C3971" t="s">
        <v>74</v>
      </c>
      <c r="E3971" t="str">
        <f>"080065644486"</f>
        <v>080065644486</v>
      </c>
      <c r="F3971" s="3">
        <v>45806</v>
      </c>
      <c r="G3971">
        <v>202602</v>
      </c>
      <c r="H3971" t="s">
        <v>75</v>
      </c>
      <c r="I3971" t="s">
        <v>76</v>
      </c>
      <c r="J3971" t="s">
        <v>77</v>
      </c>
      <c r="K3971" t="s">
        <v>78</v>
      </c>
      <c r="L3971" t="s">
        <v>143</v>
      </c>
      <c r="M3971" t="s">
        <v>144</v>
      </c>
      <c r="N3971" t="s">
        <v>1312</v>
      </c>
      <c r="O3971" t="s">
        <v>82</v>
      </c>
      <c r="P3971" t="str">
        <f>"4170041423                    "</f>
        <v xml:space="preserve">4170041423                    </v>
      </c>
      <c r="Q3971">
        <v>0</v>
      </c>
      <c r="R3971">
        <v>0</v>
      </c>
      <c r="S3971">
        <v>0</v>
      </c>
      <c r="T3971">
        <v>0</v>
      </c>
      <c r="U3971">
        <v>0</v>
      </c>
      <c r="V3971">
        <v>0</v>
      </c>
      <c r="W3971">
        <v>0</v>
      </c>
      <c r="X3971">
        <v>0</v>
      </c>
      <c r="Y3971">
        <v>0</v>
      </c>
      <c r="Z3971">
        <v>0</v>
      </c>
      <c r="AA3971">
        <v>0</v>
      </c>
      <c r="AB3971">
        <v>0</v>
      </c>
      <c r="AC3971">
        <v>0</v>
      </c>
      <c r="AD3971">
        <v>0</v>
      </c>
      <c r="AE3971">
        <v>0</v>
      </c>
      <c r="AF3971">
        <v>0</v>
      </c>
      <c r="AG3971">
        <v>0</v>
      </c>
      <c r="AH3971">
        <v>0</v>
      </c>
      <c r="AI3971">
        <v>0</v>
      </c>
      <c r="AJ3971">
        <v>0</v>
      </c>
      <c r="AK3971">
        <v>0</v>
      </c>
      <c r="AL3971">
        <v>0</v>
      </c>
      <c r="AM3971">
        <v>0</v>
      </c>
      <c r="AN3971">
        <v>0</v>
      </c>
      <c r="AO3971">
        <v>0</v>
      </c>
      <c r="AP3971">
        <v>0</v>
      </c>
      <c r="AQ3971">
        <v>16.7</v>
      </c>
      <c r="AR3971">
        <v>0</v>
      </c>
      <c r="AS3971">
        <v>0</v>
      </c>
      <c r="AT3971">
        <v>0</v>
      </c>
      <c r="AU3971">
        <v>0</v>
      </c>
      <c r="AV3971">
        <v>0</v>
      </c>
      <c r="AW3971">
        <v>0</v>
      </c>
      <c r="AX3971">
        <v>0</v>
      </c>
      <c r="AY3971">
        <v>0</v>
      </c>
      <c r="AZ3971">
        <v>0</v>
      </c>
      <c r="BA3971">
        <v>0</v>
      </c>
      <c r="BB3971">
        <v>0</v>
      </c>
      <c r="BC3971">
        <v>0</v>
      </c>
      <c r="BD3971">
        <v>0</v>
      </c>
      <c r="BE3971">
        <v>0</v>
      </c>
      <c r="BF3971">
        <v>0</v>
      </c>
      <c r="BG3971">
        <v>0</v>
      </c>
      <c r="BH3971">
        <v>1</v>
      </c>
      <c r="BI3971">
        <v>1</v>
      </c>
      <c r="BJ3971">
        <v>0.6</v>
      </c>
      <c r="BK3971">
        <v>1</v>
      </c>
      <c r="BL3971">
        <v>54.66</v>
      </c>
      <c r="BM3971">
        <v>8.1999999999999993</v>
      </c>
      <c r="BN3971">
        <v>62.86</v>
      </c>
      <c r="BO3971">
        <v>62.86</v>
      </c>
      <c r="BQ3971" t="s">
        <v>1313</v>
      </c>
      <c r="BR3971" t="s">
        <v>84</v>
      </c>
      <c r="BS3971" t="s">
        <v>1540</v>
      </c>
      <c r="BV3971" t="s">
        <v>89</v>
      </c>
      <c r="BY3971">
        <v>3192</v>
      </c>
      <c r="CC3971" t="s">
        <v>144</v>
      </c>
      <c r="CD3971">
        <v>1429</v>
      </c>
      <c r="CE3971" t="s">
        <v>116</v>
      </c>
      <c r="CI3971">
        <v>1</v>
      </c>
      <c r="CJ3971" t="s">
        <v>1540</v>
      </c>
      <c r="CK3971">
        <v>22</v>
      </c>
      <c r="CL3971" t="s">
        <v>89</v>
      </c>
    </row>
    <row r="3972" spans="1:90" x14ac:dyDescent="0.3">
      <c r="A3972" t="s">
        <v>72</v>
      </c>
      <c r="B3972" t="s">
        <v>73</v>
      </c>
      <c r="C3972" t="s">
        <v>74</v>
      </c>
      <c r="E3972" t="str">
        <f>"080065644491"</f>
        <v>080065644491</v>
      </c>
      <c r="F3972" s="3">
        <v>45806</v>
      </c>
      <c r="G3972">
        <v>202602</v>
      </c>
      <c r="H3972" t="s">
        <v>75</v>
      </c>
      <c r="I3972" t="s">
        <v>76</v>
      </c>
      <c r="J3972" t="s">
        <v>77</v>
      </c>
      <c r="K3972" t="s">
        <v>78</v>
      </c>
      <c r="L3972" t="s">
        <v>136</v>
      </c>
      <c r="M3972" t="s">
        <v>137</v>
      </c>
      <c r="N3972" t="s">
        <v>776</v>
      </c>
      <c r="O3972" t="s">
        <v>82</v>
      </c>
      <c r="P3972" t="str">
        <f>"4170041381                    "</f>
        <v xml:space="preserve">4170041381                    </v>
      </c>
      <c r="Q3972">
        <v>0</v>
      </c>
      <c r="R3972">
        <v>0</v>
      </c>
      <c r="S3972">
        <v>0</v>
      </c>
      <c r="T3972">
        <v>0</v>
      </c>
      <c r="U3972">
        <v>0</v>
      </c>
      <c r="V3972">
        <v>0</v>
      </c>
      <c r="W3972">
        <v>0</v>
      </c>
      <c r="X3972">
        <v>0</v>
      </c>
      <c r="Y3972">
        <v>0</v>
      </c>
      <c r="Z3972">
        <v>0</v>
      </c>
      <c r="AA3972">
        <v>0</v>
      </c>
      <c r="AB3972">
        <v>0</v>
      </c>
      <c r="AC3972">
        <v>0</v>
      </c>
      <c r="AD3972">
        <v>0</v>
      </c>
      <c r="AE3972">
        <v>0</v>
      </c>
      <c r="AF3972">
        <v>0</v>
      </c>
      <c r="AG3972">
        <v>0</v>
      </c>
      <c r="AH3972">
        <v>0</v>
      </c>
      <c r="AI3972">
        <v>0</v>
      </c>
      <c r="AJ3972">
        <v>0</v>
      </c>
      <c r="AK3972">
        <v>0</v>
      </c>
      <c r="AL3972">
        <v>0</v>
      </c>
      <c r="AM3972">
        <v>0</v>
      </c>
      <c r="AN3972">
        <v>0</v>
      </c>
      <c r="AO3972">
        <v>0</v>
      </c>
      <c r="AP3972">
        <v>0</v>
      </c>
      <c r="AQ3972">
        <v>21.38</v>
      </c>
      <c r="AR3972">
        <v>0</v>
      </c>
      <c r="AS3972">
        <v>0</v>
      </c>
      <c r="AT3972">
        <v>0</v>
      </c>
      <c r="AU3972">
        <v>0</v>
      </c>
      <c r="AV3972">
        <v>0</v>
      </c>
      <c r="AW3972">
        <v>0</v>
      </c>
      <c r="AX3972">
        <v>0</v>
      </c>
      <c r="AY3972">
        <v>0</v>
      </c>
      <c r="AZ3972">
        <v>0</v>
      </c>
      <c r="BA3972">
        <v>0</v>
      </c>
      <c r="BB3972">
        <v>0</v>
      </c>
      <c r="BC3972">
        <v>0</v>
      </c>
      <c r="BD3972">
        <v>0</v>
      </c>
      <c r="BE3972">
        <v>0</v>
      </c>
      <c r="BF3972">
        <v>0</v>
      </c>
      <c r="BG3972">
        <v>0</v>
      </c>
      <c r="BH3972">
        <v>1</v>
      </c>
      <c r="BI3972">
        <v>1</v>
      </c>
      <c r="BJ3972">
        <v>0.2</v>
      </c>
      <c r="BK3972">
        <v>1</v>
      </c>
      <c r="BL3972">
        <v>69.98</v>
      </c>
      <c r="BM3972">
        <v>10.5</v>
      </c>
      <c r="BN3972">
        <v>80.48</v>
      </c>
      <c r="BO3972">
        <v>80.48</v>
      </c>
      <c r="BQ3972" t="s">
        <v>777</v>
      </c>
      <c r="BR3972" t="s">
        <v>84</v>
      </c>
      <c r="BS3972" s="3">
        <v>45807</v>
      </c>
      <c r="BT3972" s="4">
        <v>0.32430555555555557</v>
      </c>
      <c r="BU3972" t="s">
        <v>2422</v>
      </c>
      <c r="BV3972" t="s">
        <v>86</v>
      </c>
      <c r="BY3972">
        <v>1200</v>
      </c>
      <c r="CA3972" t="s">
        <v>3463</v>
      </c>
      <c r="CC3972" t="s">
        <v>137</v>
      </c>
      <c r="CD3972" s="5" t="s">
        <v>738</v>
      </c>
      <c r="CE3972" t="s">
        <v>88</v>
      </c>
      <c r="CI3972">
        <v>1</v>
      </c>
      <c r="CJ3972">
        <v>1</v>
      </c>
      <c r="CK3972">
        <v>21</v>
      </c>
      <c r="CL3972" t="s">
        <v>89</v>
      </c>
    </row>
    <row r="3973" spans="1:90" x14ac:dyDescent="0.3">
      <c r="A3973" t="s">
        <v>72</v>
      </c>
      <c r="B3973" t="s">
        <v>73</v>
      </c>
      <c r="C3973" t="s">
        <v>74</v>
      </c>
      <c r="E3973" t="str">
        <f>"080065644514"</f>
        <v>080065644514</v>
      </c>
      <c r="F3973" s="3">
        <v>45806</v>
      </c>
      <c r="G3973">
        <v>202602</v>
      </c>
      <c r="H3973" t="s">
        <v>75</v>
      </c>
      <c r="I3973" t="s">
        <v>76</v>
      </c>
      <c r="J3973" t="s">
        <v>77</v>
      </c>
      <c r="K3973" t="s">
        <v>78</v>
      </c>
      <c r="L3973" t="s">
        <v>331</v>
      </c>
      <c r="M3973" t="s">
        <v>332</v>
      </c>
      <c r="N3973" t="s">
        <v>3464</v>
      </c>
      <c r="O3973" t="s">
        <v>82</v>
      </c>
      <c r="P3973" t="str">
        <f>"4170041393                    "</f>
        <v xml:space="preserve">4170041393                    </v>
      </c>
      <c r="Q3973">
        <v>0</v>
      </c>
      <c r="R3973">
        <v>0</v>
      </c>
      <c r="S3973">
        <v>0</v>
      </c>
      <c r="T3973">
        <v>0</v>
      </c>
      <c r="U3973">
        <v>0</v>
      </c>
      <c r="V3973">
        <v>0</v>
      </c>
      <c r="W3973">
        <v>0</v>
      </c>
      <c r="X3973">
        <v>0</v>
      </c>
      <c r="Y3973">
        <v>0</v>
      </c>
      <c r="Z3973">
        <v>0</v>
      </c>
      <c r="AA3973">
        <v>0</v>
      </c>
      <c r="AB3973">
        <v>0</v>
      </c>
      <c r="AC3973">
        <v>0</v>
      </c>
      <c r="AD3973">
        <v>0</v>
      </c>
      <c r="AE3973">
        <v>0</v>
      </c>
      <c r="AF3973">
        <v>0</v>
      </c>
      <c r="AG3973">
        <v>0</v>
      </c>
      <c r="AH3973">
        <v>0</v>
      </c>
      <c r="AI3973">
        <v>0</v>
      </c>
      <c r="AJ3973">
        <v>0</v>
      </c>
      <c r="AK3973">
        <v>0</v>
      </c>
      <c r="AL3973">
        <v>0</v>
      </c>
      <c r="AM3973">
        <v>0</v>
      </c>
      <c r="AN3973">
        <v>0</v>
      </c>
      <c r="AO3973">
        <v>0</v>
      </c>
      <c r="AP3973">
        <v>0</v>
      </c>
      <c r="AQ3973">
        <v>16.7</v>
      </c>
      <c r="AR3973">
        <v>0</v>
      </c>
      <c r="AS3973">
        <v>0</v>
      </c>
      <c r="AT3973">
        <v>0</v>
      </c>
      <c r="AU3973">
        <v>0</v>
      </c>
      <c r="AV3973">
        <v>0</v>
      </c>
      <c r="AW3973">
        <v>0</v>
      </c>
      <c r="AX3973">
        <v>0</v>
      </c>
      <c r="AY3973">
        <v>0</v>
      </c>
      <c r="AZ3973">
        <v>0</v>
      </c>
      <c r="BA3973">
        <v>0</v>
      </c>
      <c r="BB3973">
        <v>0</v>
      </c>
      <c r="BC3973">
        <v>0</v>
      </c>
      <c r="BD3973">
        <v>0</v>
      </c>
      <c r="BE3973">
        <v>0</v>
      </c>
      <c r="BF3973">
        <v>0</v>
      </c>
      <c r="BG3973">
        <v>0</v>
      </c>
      <c r="BH3973">
        <v>1</v>
      </c>
      <c r="BI3973">
        <v>1</v>
      </c>
      <c r="BJ3973">
        <v>0.2</v>
      </c>
      <c r="BK3973">
        <v>1</v>
      </c>
      <c r="BL3973">
        <v>54.66</v>
      </c>
      <c r="BM3973">
        <v>8.1999999999999993</v>
      </c>
      <c r="BN3973">
        <v>62.86</v>
      </c>
      <c r="BO3973">
        <v>62.86</v>
      </c>
      <c r="BQ3973" t="s">
        <v>3465</v>
      </c>
      <c r="BR3973" t="s">
        <v>84</v>
      </c>
      <c r="BS3973" t="s">
        <v>1540</v>
      </c>
      <c r="BV3973" t="s">
        <v>89</v>
      </c>
      <c r="BY3973">
        <v>1200</v>
      </c>
      <c r="CC3973" t="s">
        <v>332</v>
      </c>
      <c r="CD3973">
        <v>1451</v>
      </c>
      <c r="CE3973" t="s">
        <v>88</v>
      </c>
      <c r="CI3973">
        <v>1</v>
      </c>
      <c r="CJ3973" t="s">
        <v>1540</v>
      </c>
      <c r="CK3973">
        <v>22</v>
      </c>
      <c r="CL3973" t="s">
        <v>89</v>
      </c>
    </row>
    <row r="3974" spans="1:90" x14ac:dyDescent="0.3">
      <c r="A3974" t="s">
        <v>72</v>
      </c>
      <c r="B3974" t="s">
        <v>73</v>
      </c>
      <c r="C3974" t="s">
        <v>74</v>
      </c>
      <c r="E3974" t="str">
        <f>"080065644527"</f>
        <v>080065644527</v>
      </c>
      <c r="F3974" s="3">
        <v>45806</v>
      </c>
      <c r="G3974">
        <v>202602</v>
      </c>
      <c r="H3974" t="s">
        <v>75</v>
      </c>
      <c r="I3974" t="s">
        <v>76</v>
      </c>
      <c r="J3974" t="s">
        <v>77</v>
      </c>
      <c r="K3974" t="s">
        <v>78</v>
      </c>
      <c r="L3974" t="s">
        <v>902</v>
      </c>
      <c r="M3974" t="s">
        <v>903</v>
      </c>
      <c r="N3974" t="s">
        <v>2527</v>
      </c>
      <c r="O3974" t="s">
        <v>300</v>
      </c>
      <c r="P3974" t="str">
        <f>"4170041373                    "</f>
        <v xml:space="preserve">4170041373                    </v>
      </c>
      <c r="Q3974">
        <v>0</v>
      </c>
      <c r="R3974">
        <v>0</v>
      </c>
      <c r="S3974">
        <v>0</v>
      </c>
      <c r="T3974">
        <v>0</v>
      </c>
      <c r="U3974">
        <v>0</v>
      </c>
      <c r="V3974">
        <v>0</v>
      </c>
      <c r="W3974">
        <v>0</v>
      </c>
      <c r="X3974">
        <v>0</v>
      </c>
      <c r="Y3974">
        <v>0</v>
      </c>
      <c r="Z3974">
        <v>0</v>
      </c>
      <c r="AA3974">
        <v>0</v>
      </c>
      <c r="AB3974">
        <v>0</v>
      </c>
      <c r="AC3974">
        <v>0</v>
      </c>
      <c r="AD3974">
        <v>0</v>
      </c>
      <c r="AE3974">
        <v>0</v>
      </c>
      <c r="AF3974">
        <v>0</v>
      </c>
      <c r="AG3974">
        <v>0</v>
      </c>
      <c r="AH3974">
        <v>0</v>
      </c>
      <c r="AI3974">
        <v>0</v>
      </c>
      <c r="AJ3974">
        <v>0</v>
      </c>
      <c r="AK3974">
        <v>0</v>
      </c>
      <c r="AL3974">
        <v>0</v>
      </c>
      <c r="AM3974">
        <v>0</v>
      </c>
      <c r="AN3974">
        <v>0</v>
      </c>
      <c r="AO3974">
        <v>0</v>
      </c>
      <c r="AP3974">
        <v>0</v>
      </c>
      <c r="AQ3974">
        <v>58.32</v>
      </c>
      <c r="AR3974">
        <v>0</v>
      </c>
      <c r="AS3974">
        <v>0</v>
      </c>
      <c r="AT3974">
        <v>0</v>
      </c>
      <c r="AU3974">
        <v>0</v>
      </c>
      <c r="AV3974">
        <v>0</v>
      </c>
      <c r="AW3974">
        <v>0</v>
      </c>
      <c r="AX3974">
        <v>0</v>
      </c>
      <c r="AY3974">
        <v>0</v>
      </c>
      <c r="AZ3974">
        <v>0</v>
      </c>
      <c r="BA3974">
        <v>0</v>
      </c>
      <c r="BB3974">
        <v>0</v>
      </c>
      <c r="BC3974">
        <v>0</v>
      </c>
      <c r="BD3974">
        <v>0</v>
      </c>
      <c r="BE3974">
        <v>0</v>
      </c>
      <c r="BF3974">
        <v>0</v>
      </c>
      <c r="BG3974">
        <v>0</v>
      </c>
      <c r="BH3974">
        <v>1</v>
      </c>
      <c r="BI3974">
        <v>4</v>
      </c>
      <c r="BJ3974">
        <v>0.6</v>
      </c>
      <c r="BK3974">
        <v>4</v>
      </c>
      <c r="BL3974">
        <v>196.44</v>
      </c>
      <c r="BM3974">
        <v>29.47</v>
      </c>
      <c r="BN3974">
        <v>225.91</v>
      </c>
      <c r="BO3974">
        <v>225.91</v>
      </c>
      <c r="BQ3974" t="s">
        <v>2528</v>
      </c>
      <c r="BR3974" t="s">
        <v>84</v>
      </c>
      <c r="BS3974" t="s">
        <v>1540</v>
      </c>
      <c r="BV3974" t="s">
        <v>89</v>
      </c>
      <c r="BY3974">
        <v>3192</v>
      </c>
      <c r="CC3974" t="s">
        <v>903</v>
      </c>
      <c r="CD3974">
        <v>1020</v>
      </c>
      <c r="CE3974" t="s">
        <v>116</v>
      </c>
      <c r="CI3974">
        <v>1</v>
      </c>
      <c r="CJ3974" t="s">
        <v>1540</v>
      </c>
      <c r="CK3974">
        <v>43</v>
      </c>
      <c r="CL3974" t="s">
        <v>89</v>
      </c>
    </row>
    <row r="3975" spans="1:90" x14ac:dyDescent="0.3">
      <c r="A3975" t="s">
        <v>72</v>
      </c>
      <c r="B3975" t="s">
        <v>73</v>
      </c>
      <c r="C3975" t="s">
        <v>74</v>
      </c>
      <c r="E3975" t="str">
        <f>"080065644539"</f>
        <v>080065644539</v>
      </c>
      <c r="F3975" s="3">
        <v>45806</v>
      </c>
      <c r="G3975">
        <v>202602</v>
      </c>
      <c r="H3975" t="s">
        <v>75</v>
      </c>
      <c r="I3975" t="s">
        <v>76</v>
      </c>
      <c r="J3975" t="s">
        <v>77</v>
      </c>
      <c r="K3975" t="s">
        <v>78</v>
      </c>
      <c r="L3975" t="s">
        <v>350</v>
      </c>
      <c r="M3975" t="s">
        <v>351</v>
      </c>
      <c r="N3975" t="s">
        <v>352</v>
      </c>
      <c r="O3975" t="s">
        <v>82</v>
      </c>
      <c r="P3975" t="str">
        <f>"4170041457                    "</f>
        <v xml:space="preserve">4170041457                    </v>
      </c>
      <c r="Q3975">
        <v>0</v>
      </c>
      <c r="R3975">
        <v>0</v>
      </c>
      <c r="S3975">
        <v>0</v>
      </c>
      <c r="T3975">
        <v>0</v>
      </c>
      <c r="U3975">
        <v>0</v>
      </c>
      <c r="V3975">
        <v>0</v>
      </c>
      <c r="W3975">
        <v>0</v>
      </c>
      <c r="X3975">
        <v>0</v>
      </c>
      <c r="Y3975">
        <v>0</v>
      </c>
      <c r="Z3975">
        <v>0</v>
      </c>
      <c r="AA3975">
        <v>0</v>
      </c>
      <c r="AB3975">
        <v>0</v>
      </c>
      <c r="AC3975">
        <v>0</v>
      </c>
      <c r="AD3975">
        <v>0</v>
      </c>
      <c r="AE3975">
        <v>0</v>
      </c>
      <c r="AF3975">
        <v>0</v>
      </c>
      <c r="AG3975">
        <v>0</v>
      </c>
      <c r="AH3975">
        <v>0</v>
      </c>
      <c r="AI3975">
        <v>0</v>
      </c>
      <c r="AJ3975">
        <v>0</v>
      </c>
      <c r="AK3975">
        <v>0</v>
      </c>
      <c r="AL3975">
        <v>0</v>
      </c>
      <c r="AM3975">
        <v>0</v>
      </c>
      <c r="AN3975">
        <v>0</v>
      </c>
      <c r="AO3975">
        <v>0</v>
      </c>
      <c r="AP3975">
        <v>0</v>
      </c>
      <c r="AQ3975">
        <v>21.38</v>
      </c>
      <c r="AR3975">
        <v>0</v>
      </c>
      <c r="AS3975">
        <v>0</v>
      </c>
      <c r="AT3975">
        <v>0</v>
      </c>
      <c r="AU3975">
        <v>0</v>
      </c>
      <c r="AV3975">
        <v>0</v>
      </c>
      <c r="AW3975">
        <v>0</v>
      </c>
      <c r="AX3975">
        <v>0</v>
      </c>
      <c r="AY3975">
        <v>0</v>
      </c>
      <c r="AZ3975">
        <v>0</v>
      </c>
      <c r="BA3975">
        <v>0</v>
      </c>
      <c r="BB3975">
        <v>0</v>
      </c>
      <c r="BC3975">
        <v>0</v>
      </c>
      <c r="BD3975">
        <v>0</v>
      </c>
      <c r="BE3975">
        <v>0</v>
      </c>
      <c r="BF3975">
        <v>0</v>
      </c>
      <c r="BG3975">
        <v>0</v>
      </c>
      <c r="BH3975">
        <v>1</v>
      </c>
      <c r="BI3975">
        <v>1</v>
      </c>
      <c r="BJ3975">
        <v>0.2</v>
      </c>
      <c r="BK3975">
        <v>1</v>
      </c>
      <c r="BL3975">
        <v>69.98</v>
      </c>
      <c r="BM3975">
        <v>10.5</v>
      </c>
      <c r="BN3975">
        <v>80.48</v>
      </c>
      <c r="BO3975">
        <v>80.48</v>
      </c>
      <c r="BQ3975" t="s">
        <v>353</v>
      </c>
      <c r="BR3975" t="s">
        <v>84</v>
      </c>
      <c r="BS3975" t="s">
        <v>1540</v>
      </c>
      <c r="BV3975" t="s">
        <v>89</v>
      </c>
      <c r="BY3975">
        <v>1200</v>
      </c>
      <c r="CC3975" t="s">
        <v>351</v>
      </c>
      <c r="CD3975">
        <v>4000</v>
      </c>
      <c r="CE3975" t="s">
        <v>88</v>
      </c>
      <c r="CI3975">
        <v>1</v>
      </c>
      <c r="CJ3975" t="s">
        <v>1540</v>
      </c>
      <c r="CK3975">
        <v>21</v>
      </c>
      <c r="CL3975" t="s">
        <v>89</v>
      </c>
    </row>
    <row r="3976" spans="1:90" x14ac:dyDescent="0.3">
      <c r="A3976" t="s">
        <v>72</v>
      </c>
      <c r="B3976" t="s">
        <v>73</v>
      </c>
      <c r="C3976" t="s">
        <v>74</v>
      </c>
      <c r="E3976" t="str">
        <f>"080065644575"</f>
        <v>080065644575</v>
      </c>
      <c r="F3976" s="3">
        <v>45806</v>
      </c>
      <c r="G3976">
        <v>202602</v>
      </c>
      <c r="H3976" t="s">
        <v>75</v>
      </c>
      <c r="I3976" t="s">
        <v>76</v>
      </c>
      <c r="J3976" t="s">
        <v>77</v>
      </c>
      <c r="K3976" t="s">
        <v>78</v>
      </c>
      <c r="L3976" t="s">
        <v>350</v>
      </c>
      <c r="M3976" t="s">
        <v>351</v>
      </c>
      <c r="N3976" t="s">
        <v>678</v>
      </c>
      <c r="O3976" t="s">
        <v>300</v>
      </c>
      <c r="P3976" t="str">
        <f>"4170041345                    "</f>
        <v xml:space="preserve">4170041345                    </v>
      </c>
      <c r="Q3976">
        <v>0</v>
      </c>
      <c r="R3976">
        <v>0</v>
      </c>
      <c r="S3976">
        <v>0</v>
      </c>
      <c r="T3976">
        <v>0</v>
      </c>
      <c r="U3976">
        <v>0</v>
      </c>
      <c r="V3976">
        <v>0</v>
      </c>
      <c r="W3976">
        <v>0</v>
      </c>
      <c r="X3976">
        <v>0</v>
      </c>
      <c r="Y3976">
        <v>0</v>
      </c>
      <c r="Z3976">
        <v>0</v>
      </c>
      <c r="AA3976">
        <v>0</v>
      </c>
      <c r="AB3976">
        <v>0</v>
      </c>
      <c r="AC3976">
        <v>0</v>
      </c>
      <c r="AD3976">
        <v>0</v>
      </c>
      <c r="AE3976">
        <v>0</v>
      </c>
      <c r="AF3976">
        <v>0</v>
      </c>
      <c r="AG3976">
        <v>0</v>
      </c>
      <c r="AH3976">
        <v>0</v>
      </c>
      <c r="AI3976">
        <v>0</v>
      </c>
      <c r="AJ3976">
        <v>0</v>
      </c>
      <c r="AK3976">
        <v>0</v>
      </c>
      <c r="AL3976">
        <v>0</v>
      </c>
      <c r="AM3976">
        <v>0</v>
      </c>
      <c r="AN3976">
        <v>0</v>
      </c>
      <c r="AO3976">
        <v>0</v>
      </c>
      <c r="AP3976">
        <v>0</v>
      </c>
      <c r="AQ3976">
        <v>44.77</v>
      </c>
      <c r="AR3976">
        <v>0</v>
      </c>
      <c r="AS3976">
        <v>0</v>
      </c>
      <c r="AT3976">
        <v>0</v>
      </c>
      <c r="AU3976">
        <v>0</v>
      </c>
      <c r="AV3976">
        <v>0</v>
      </c>
      <c r="AW3976">
        <v>0</v>
      </c>
      <c r="AX3976">
        <v>0</v>
      </c>
      <c r="AY3976">
        <v>0</v>
      </c>
      <c r="AZ3976">
        <v>0</v>
      </c>
      <c r="BA3976">
        <v>0</v>
      </c>
      <c r="BB3976">
        <v>0</v>
      </c>
      <c r="BC3976">
        <v>0</v>
      </c>
      <c r="BD3976">
        <v>0</v>
      </c>
      <c r="BE3976">
        <v>0</v>
      </c>
      <c r="BF3976">
        <v>0</v>
      </c>
      <c r="BG3976">
        <v>0</v>
      </c>
      <c r="BH3976">
        <v>1</v>
      </c>
      <c r="BI3976">
        <v>17</v>
      </c>
      <c r="BJ3976">
        <v>16.3</v>
      </c>
      <c r="BK3976">
        <v>17</v>
      </c>
      <c r="BL3976">
        <v>152.08000000000001</v>
      </c>
      <c r="BM3976">
        <v>22.81</v>
      </c>
      <c r="BN3976">
        <v>174.89</v>
      </c>
      <c r="BO3976">
        <v>174.89</v>
      </c>
      <c r="BQ3976" t="s">
        <v>679</v>
      </c>
      <c r="BR3976" t="s">
        <v>84</v>
      </c>
      <c r="BS3976" t="s">
        <v>1540</v>
      </c>
      <c r="BV3976" t="s">
        <v>89</v>
      </c>
      <c r="BY3976">
        <v>81675</v>
      </c>
      <c r="CC3976" t="s">
        <v>351</v>
      </c>
      <c r="CD3976">
        <v>4052</v>
      </c>
      <c r="CE3976" t="s">
        <v>511</v>
      </c>
      <c r="CI3976">
        <v>1</v>
      </c>
      <c r="CJ3976" t="s">
        <v>1540</v>
      </c>
      <c r="CK3976">
        <v>41</v>
      </c>
      <c r="CL3976" t="s">
        <v>89</v>
      </c>
    </row>
    <row r="3977" spans="1:90" x14ac:dyDescent="0.3">
      <c r="A3977" t="s">
        <v>72</v>
      </c>
      <c r="B3977" t="s">
        <v>73</v>
      </c>
      <c r="C3977" t="s">
        <v>74</v>
      </c>
      <c r="E3977" t="str">
        <f>"080065644748"</f>
        <v>080065644748</v>
      </c>
      <c r="F3977" s="3">
        <v>45806</v>
      </c>
      <c r="G3977">
        <v>202602</v>
      </c>
      <c r="H3977" t="s">
        <v>75</v>
      </c>
      <c r="I3977" t="s">
        <v>76</v>
      </c>
      <c r="J3977" t="s">
        <v>77</v>
      </c>
      <c r="K3977" t="s">
        <v>78</v>
      </c>
      <c r="L3977" t="s">
        <v>311</v>
      </c>
      <c r="M3977" t="s">
        <v>312</v>
      </c>
      <c r="N3977" t="s">
        <v>2852</v>
      </c>
      <c r="O3977" t="s">
        <v>82</v>
      </c>
      <c r="P3977" t="str">
        <f>"4170041416                    "</f>
        <v xml:space="preserve">4170041416                    </v>
      </c>
      <c r="Q3977">
        <v>0</v>
      </c>
      <c r="R3977">
        <v>0</v>
      </c>
      <c r="S3977">
        <v>0</v>
      </c>
      <c r="T3977">
        <v>0</v>
      </c>
      <c r="U3977">
        <v>0</v>
      </c>
      <c r="V3977">
        <v>0</v>
      </c>
      <c r="W3977">
        <v>0</v>
      </c>
      <c r="X3977">
        <v>0</v>
      </c>
      <c r="Y3977">
        <v>0</v>
      </c>
      <c r="Z3977">
        <v>0</v>
      </c>
      <c r="AA3977">
        <v>0</v>
      </c>
      <c r="AB3977">
        <v>0</v>
      </c>
      <c r="AC3977">
        <v>0</v>
      </c>
      <c r="AD3977">
        <v>0</v>
      </c>
      <c r="AE3977">
        <v>0</v>
      </c>
      <c r="AF3977">
        <v>0</v>
      </c>
      <c r="AG3977">
        <v>0</v>
      </c>
      <c r="AH3977">
        <v>0</v>
      </c>
      <c r="AI3977">
        <v>0</v>
      </c>
      <c r="AJ3977">
        <v>0</v>
      </c>
      <c r="AK3977">
        <v>0</v>
      </c>
      <c r="AL3977">
        <v>0</v>
      </c>
      <c r="AM3977">
        <v>0</v>
      </c>
      <c r="AN3977">
        <v>0</v>
      </c>
      <c r="AO3977">
        <v>0</v>
      </c>
      <c r="AP3977">
        <v>0</v>
      </c>
      <c r="AQ3977">
        <v>16.7</v>
      </c>
      <c r="AR3977">
        <v>0</v>
      </c>
      <c r="AS3977">
        <v>0</v>
      </c>
      <c r="AT3977">
        <v>0</v>
      </c>
      <c r="AU3977">
        <v>0</v>
      </c>
      <c r="AV3977">
        <v>0</v>
      </c>
      <c r="AW3977">
        <v>0</v>
      </c>
      <c r="AX3977">
        <v>0</v>
      </c>
      <c r="AY3977">
        <v>0</v>
      </c>
      <c r="AZ3977">
        <v>0</v>
      </c>
      <c r="BA3977">
        <v>0</v>
      </c>
      <c r="BB3977">
        <v>0</v>
      </c>
      <c r="BC3977">
        <v>0</v>
      </c>
      <c r="BD3977">
        <v>0</v>
      </c>
      <c r="BE3977">
        <v>0</v>
      </c>
      <c r="BF3977">
        <v>0</v>
      </c>
      <c r="BG3977">
        <v>0</v>
      </c>
      <c r="BH3977">
        <v>1</v>
      </c>
      <c r="BI3977">
        <v>1</v>
      </c>
      <c r="BJ3977">
        <v>0.2</v>
      </c>
      <c r="BK3977">
        <v>1</v>
      </c>
      <c r="BL3977">
        <v>54.66</v>
      </c>
      <c r="BM3977">
        <v>8.1999999999999993</v>
      </c>
      <c r="BN3977">
        <v>62.86</v>
      </c>
      <c r="BO3977">
        <v>62.86</v>
      </c>
      <c r="BQ3977" t="s">
        <v>2853</v>
      </c>
      <c r="BR3977" t="s">
        <v>84</v>
      </c>
      <c r="BS3977" t="s">
        <v>1540</v>
      </c>
      <c r="BV3977" t="s">
        <v>89</v>
      </c>
      <c r="BY3977">
        <v>1200</v>
      </c>
      <c r="CC3977" t="s">
        <v>312</v>
      </c>
      <c r="CD3977">
        <v>1500</v>
      </c>
      <c r="CE3977" t="s">
        <v>88</v>
      </c>
      <c r="CI3977">
        <v>1</v>
      </c>
      <c r="CJ3977" t="s">
        <v>1540</v>
      </c>
      <c r="CK3977">
        <v>22</v>
      </c>
      <c r="CL3977" t="s">
        <v>89</v>
      </c>
    </row>
    <row r="3978" spans="1:90" x14ac:dyDescent="0.3">
      <c r="A3978" t="s">
        <v>72</v>
      </c>
      <c r="B3978" t="s">
        <v>73</v>
      </c>
      <c r="C3978" t="s">
        <v>74</v>
      </c>
      <c r="E3978" t="str">
        <f>"080065644746"</f>
        <v>080065644746</v>
      </c>
      <c r="F3978" s="3">
        <v>45806</v>
      </c>
      <c r="G3978">
        <v>202602</v>
      </c>
      <c r="H3978" t="s">
        <v>75</v>
      </c>
      <c r="I3978" t="s">
        <v>76</v>
      </c>
      <c r="J3978" t="s">
        <v>77</v>
      </c>
      <c r="K3978" t="s">
        <v>78</v>
      </c>
      <c r="L3978" t="s">
        <v>360</v>
      </c>
      <c r="M3978" t="s">
        <v>361</v>
      </c>
      <c r="N3978" t="s">
        <v>362</v>
      </c>
      <c r="O3978" t="s">
        <v>82</v>
      </c>
      <c r="P3978" t="str">
        <f>"4170041418                    "</f>
        <v xml:space="preserve">4170041418                    </v>
      </c>
      <c r="Q3978">
        <v>0</v>
      </c>
      <c r="R3978">
        <v>0</v>
      </c>
      <c r="S3978">
        <v>0</v>
      </c>
      <c r="T3978">
        <v>0</v>
      </c>
      <c r="U3978">
        <v>0</v>
      </c>
      <c r="V3978">
        <v>0</v>
      </c>
      <c r="W3978">
        <v>0</v>
      </c>
      <c r="X3978">
        <v>0</v>
      </c>
      <c r="Y3978">
        <v>0</v>
      </c>
      <c r="Z3978">
        <v>0</v>
      </c>
      <c r="AA3978">
        <v>0</v>
      </c>
      <c r="AB3978">
        <v>0</v>
      </c>
      <c r="AC3978">
        <v>0</v>
      </c>
      <c r="AD3978">
        <v>0</v>
      </c>
      <c r="AE3978">
        <v>0</v>
      </c>
      <c r="AF3978">
        <v>0</v>
      </c>
      <c r="AG3978">
        <v>0</v>
      </c>
      <c r="AH3978">
        <v>0</v>
      </c>
      <c r="AI3978">
        <v>0</v>
      </c>
      <c r="AJ3978">
        <v>0</v>
      </c>
      <c r="AK3978">
        <v>0</v>
      </c>
      <c r="AL3978">
        <v>0</v>
      </c>
      <c r="AM3978">
        <v>0</v>
      </c>
      <c r="AN3978">
        <v>0</v>
      </c>
      <c r="AO3978">
        <v>0</v>
      </c>
      <c r="AP3978">
        <v>0</v>
      </c>
      <c r="AQ3978">
        <v>97.56</v>
      </c>
      <c r="AR3978">
        <v>0</v>
      </c>
      <c r="AS3978">
        <v>0</v>
      </c>
      <c r="AT3978">
        <v>0</v>
      </c>
      <c r="AU3978">
        <v>0</v>
      </c>
      <c r="AV3978">
        <v>0</v>
      </c>
      <c r="AW3978">
        <v>0</v>
      </c>
      <c r="AX3978">
        <v>0</v>
      </c>
      <c r="AY3978">
        <v>0</v>
      </c>
      <c r="AZ3978">
        <v>0</v>
      </c>
      <c r="BA3978">
        <v>0</v>
      </c>
      <c r="BB3978">
        <v>0</v>
      </c>
      <c r="BC3978">
        <v>0</v>
      </c>
      <c r="BD3978">
        <v>0</v>
      </c>
      <c r="BE3978">
        <v>0</v>
      </c>
      <c r="BF3978">
        <v>0</v>
      </c>
      <c r="BG3978">
        <v>0</v>
      </c>
      <c r="BH3978">
        <v>1</v>
      </c>
      <c r="BI3978">
        <v>5</v>
      </c>
      <c r="BJ3978">
        <v>5</v>
      </c>
      <c r="BK3978">
        <v>5</v>
      </c>
      <c r="BL3978">
        <v>319.27999999999997</v>
      </c>
      <c r="BM3978">
        <v>47.89</v>
      </c>
      <c r="BN3978">
        <v>367.17</v>
      </c>
      <c r="BO3978">
        <v>367.17</v>
      </c>
      <c r="BQ3978" t="s">
        <v>363</v>
      </c>
      <c r="BR3978" t="s">
        <v>84</v>
      </c>
      <c r="BS3978" t="s">
        <v>1540</v>
      </c>
      <c r="BV3978" t="s">
        <v>89</v>
      </c>
      <c r="BY3978">
        <v>24882</v>
      </c>
      <c r="CC3978" t="s">
        <v>361</v>
      </c>
      <c r="CD3978">
        <v>7300</v>
      </c>
      <c r="CE3978" t="s">
        <v>96</v>
      </c>
      <c r="CI3978">
        <v>1</v>
      </c>
      <c r="CJ3978" t="s">
        <v>1540</v>
      </c>
      <c r="CK3978">
        <v>23</v>
      </c>
      <c r="CL3978" t="s">
        <v>89</v>
      </c>
    </row>
    <row r="3979" spans="1:90" x14ac:dyDescent="0.3">
      <c r="A3979" t="s">
        <v>72</v>
      </c>
      <c r="B3979" t="s">
        <v>73</v>
      </c>
      <c r="C3979" t="s">
        <v>74</v>
      </c>
      <c r="E3979" t="str">
        <f>"080065644770"</f>
        <v>080065644770</v>
      </c>
      <c r="F3979" s="3">
        <v>45806</v>
      </c>
      <c r="G3979">
        <v>202602</v>
      </c>
      <c r="H3979" t="s">
        <v>75</v>
      </c>
      <c r="I3979" t="s">
        <v>76</v>
      </c>
      <c r="J3979" t="s">
        <v>77</v>
      </c>
      <c r="K3979" t="s">
        <v>78</v>
      </c>
      <c r="L3979" t="s">
        <v>350</v>
      </c>
      <c r="M3979" t="s">
        <v>351</v>
      </c>
      <c r="N3979" t="s">
        <v>459</v>
      </c>
      <c r="O3979" t="s">
        <v>82</v>
      </c>
      <c r="P3979" t="str">
        <f>"4170041459                    "</f>
        <v xml:space="preserve">4170041459                    </v>
      </c>
      <c r="Q3979">
        <v>0</v>
      </c>
      <c r="R3979">
        <v>0</v>
      </c>
      <c r="S3979">
        <v>0</v>
      </c>
      <c r="T3979">
        <v>0</v>
      </c>
      <c r="U3979">
        <v>0</v>
      </c>
      <c r="V3979">
        <v>0</v>
      </c>
      <c r="W3979">
        <v>0</v>
      </c>
      <c r="X3979">
        <v>0</v>
      </c>
      <c r="Y3979">
        <v>0</v>
      </c>
      <c r="Z3979">
        <v>0</v>
      </c>
      <c r="AA3979">
        <v>0</v>
      </c>
      <c r="AB3979">
        <v>0</v>
      </c>
      <c r="AC3979">
        <v>0</v>
      </c>
      <c r="AD3979">
        <v>0</v>
      </c>
      <c r="AE3979">
        <v>0</v>
      </c>
      <c r="AF3979">
        <v>0</v>
      </c>
      <c r="AG3979">
        <v>0</v>
      </c>
      <c r="AH3979">
        <v>0</v>
      </c>
      <c r="AI3979">
        <v>0</v>
      </c>
      <c r="AJ3979">
        <v>0</v>
      </c>
      <c r="AK3979">
        <v>0</v>
      </c>
      <c r="AL3979">
        <v>0</v>
      </c>
      <c r="AM3979">
        <v>0</v>
      </c>
      <c r="AN3979">
        <v>0</v>
      </c>
      <c r="AO3979">
        <v>0</v>
      </c>
      <c r="AP3979">
        <v>0</v>
      </c>
      <c r="AQ3979">
        <v>21.38</v>
      </c>
      <c r="AR3979">
        <v>0</v>
      </c>
      <c r="AS3979">
        <v>0</v>
      </c>
      <c r="AT3979">
        <v>0</v>
      </c>
      <c r="AU3979">
        <v>0</v>
      </c>
      <c r="AV3979">
        <v>0</v>
      </c>
      <c r="AW3979">
        <v>0</v>
      </c>
      <c r="AX3979">
        <v>0</v>
      </c>
      <c r="AY3979">
        <v>0</v>
      </c>
      <c r="AZ3979">
        <v>0</v>
      </c>
      <c r="BA3979">
        <v>0</v>
      </c>
      <c r="BB3979">
        <v>0</v>
      </c>
      <c r="BC3979">
        <v>0</v>
      </c>
      <c r="BD3979">
        <v>0</v>
      </c>
      <c r="BE3979">
        <v>0</v>
      </c>
      <c r="BF3979">
        <v>0</v>
      </c>
      <c r="BG3979">
        <v>0</v>
      </c>
      <c r="BH3979">
        <v>1</v>
      </c>
      <c r="BI3979">
        <v>1</v>
      </c>
      <c r="BJ3979">
        <v>0.2</v>
      </c>
      <c r="BK3979">
        <v>1</v>
      </c>
      <c r="BL3979">
        <v>69.98</v>
      </c>
      <c r="BM3979">
        <v>10.5</v>
      </c>
      <c r="BN3979">
        <v>80.48</v>
      </c>
      <c r="BO3979">
        <v>80.48</v>
      </c>
      <c r="BQ3979" t="s">
        <v>460</v>
      </c>
      <c r="BR3979" t="s">
        <v>84</v>
      </c>
      <c r="BS3979" s="3">
        <v>45807</v>
      </c>
      <c r="BT3979" s="4">
        <v>0.33194444444444443</v>
      </c>
      <c r="BU3979" t="s">
        <v>461</v>
      </c>
      <c r="BV3979" t="s">
        <v>86</v>
      </c>
      <c r="BY3979">
        <v>1200</v>
      </c>
      <c r="CA3979" t="s">
        <v>462</v>
      </c>
      <c r="CC3979" t="s">
        <v>351</v>
      </c>
      <c r="CD3979">
        <v>4000</v>
      </c>
      <c r="CE3979" t="s">
        <v>88</v>
      </c>
      <c r="CI3979">
        <v>1</v>
      </c>
      <c r="CJ3979">
        <v>1</v>
      </c>
      <c r="CK3979">
        <v>21</v>
      </c>
      <c r="CL3979" t="s">
        <v>89</v>
      </c>
    </row>
    <row r="3980" spans="1:90" x14ac:dyDescent="0.3">
      <c r="A3980" t="s">
        <v>72</v>
      </c>
      <c r="B3980" t="s">
        <v>73</v>
      </c>
      <c r="C3980" t="s">
        <v>74</v>
      </c>
      <c r="E3980" t="str">
        <f>"080065644780"</f>
        <v>080065644780</v>
      </c>
      <c r="F3980" s="3">
        <v>45806</v>
      </c>
      <c r="G3980">
        <v>202602</v>
      </c>
      <c r="H3980" t="s">
        <v>75</v>
      </c>
      <c r="I3980" t="s">
        <v>76</v>
      </c>
      <c r="J3980" t="s">
        <v>77</v>
      </c>
      <c r="K3980" t="s">
        <v>78</v>
      </c>
      <c r="L3980" t="s">
        <v>90</v>
      </c>
      <c r="M3980" t="s">
        <v>91</v>
      </c>
      <c r="N3980" t="s">
        <v>92</v>
      </c>
      <c r="O3980" t="s">
        <v>82</v>
      </c>
      <c r="P3980" t="str">
        <f>"4170041377                    "</f>
        <v xml:space="preserve">4170041377                    </v>
      </c>
      <c r="Q3980">
        <v>0</v>
      </c>
      <c r="R3980">
        <v>0</v>
      </c>
      <c r="S3980">
        <v>0</v>
      </c>
      <c r="T3980">
        <v>0</v>
      </c>
      <c r="U3980">
        <v>0</v>
      </c>
      <c r="V3980">
        <v>0</v>
      </c>
      <c r="W3980">
        <v>0</v>
      </c>
      <c r="X3980">
        <v>0</v>
      </c>
      <c r="Y3980">
        <v>0</v>
      </c>
      <c r="Z3980">
        <v>0</v>
      </c>
      <c r="AA3980">
        <v>0</v>
      </c>
      <c r="AB3980">
        <v>0</v>
      </c>
      <c r="AC3980">
        <v>0</v>
      </c>
      <c r="AD3980">
        <v>0</v>
      </c>
      <c r="AE3980">
        <v>0</v>
      </c>
      <c r="AF3980">
        <v>0</v>
      </c>
      <c r="AG3980">
        <v>0</v>
      </c>
      <c r="AH3980">
        <v>0</v>
      </c>
      <c r="AI3980">
        <v>0</v>
      </c>
      <c r="AJ3980">
        <v>0</v>
      </c>
      <c r="AK3980">
        <v>0</v>
      </c>
      <c r="AL3980">
        <v>0</v>
      </c>
      <c r="AM3980">
        <v>0</v>
      </c>
      <c r="AN3980">
        <v>0</v>
      </c>
      <c r="AO3980">
        <v>0</v>
      </c>
      <c r="AP3980">
        <v>0</v>
      </c>
      <c r="AQ3980">
        <v>21.38</v>
      </c>
      <c r="AR3980">
        <v>0</v>
      </c>
      <c r="AS3980">
        <v>0</v>
      </c>
      <c r="AT3980">
        <v>0</v>
      </c>
      <c r="AU3980">
        <v>0</v>
      </c>
      <c r="AV3980">
        <v>0</v>
      </c>
      <c r="AW3980">
        <v>0</v>
      </c>
      <c r="AX3980">
        <v>0</v>
      </c>
      <c r="AY3980">
        <v>0</v>
      </c>
      <c r="AZ3980">
        <v>0</v>
      </c>
      <c r="BA3980">
        <v>0</v>
      </c>
      <c r="BB3980">
        <v>0</v>
      </c>
      <c r="BC3980">
        <v>0</v>
      </c>
      <c r="BD3980">
        <v>0</v>
      </c>
      <c r="BE3980">
        <v>0</v>
      </c>
      <c r="BF3980">
        <v>0</v>
      </c>
      <c r="BG3980">
        <v>0</v>
      </c>
      <c r="BH3980">
        <v>1</v>
      </c>
      <c r="BI3980">
        <v>1</v>
      </c>
      <c r="BJ3980">
        <v>0.9</v>
      </c>
      <c r="BK3980">
        <v>1</v>
      </c>
      <c r="BL3980">
        <v>69.98</v>
      </c>
      <c r="BM3980">
        <v>10.5</v>
      </c>
      <c r="BN3980">
        <v>80.48</v>
      </c>
      <c r="BO3980">
        <v>80.48</v>
      </c>
      <c r="BQ3980" t="s">
        <v>93</v>
      </c>
      <c r="BR3980" t="s">
        <v>84</v>
      </c>
      <c r="BS3980" t="s">
        <v>1540</v>
      </c>
      <c r="BV3980" t="s">
        <v>89</v>
      </c>
      <c r="BY3980">
        <v>4275</v>
      </c>
      <c r="CC3980" t="s">
        <v>91</v>
      </c>
      <c r="CD3980">
        <v>6001</v>
      </c>
      <c r="CE3980" t="s">
        <v>116</v>
      </c>
      <c r="CI3980">
        <v>1</v>
      </c>
      <c r="CJ3980" t="s">
        <v>1540</v>
      </c>
      <c r="CK3980">
        <v>21</v>
      </c>
      <c r="CL3980" t="s">
        <v>89</v>
      </c>
    </row>
    <row r="3981" spans="1:90" x14ac:dyDescent="0.3">
      <c r="A3981" t="s">
        <v>72</v>
      </c>
      <c r="B3981" t="s">
        <v>73</v>
      </c>
      <c r="C3981" t="s">
        <v>74</v>
      </c>
      <c r="E3981" t="str">
        <f>"080065644804"</f>
        <v>080065644804</v>
      </c>
      <c r="F3981" s="3">
        <v>45806</v>
      </c>
      <c r="G3981">
        <v>202602</v>
      </c>
      <c r="H3981" t="s">
        <v>75</v>
      </c>
      <c r="I3981" t="s">
        <v>76</v>
      </c>
      <c r="J3981" t="s">
        <v>77</v>
      </c>
      <c r="K3981" t="s">
        <v>78</v>
      </c>
      <c r="L3981" t="s">
        <v>1355</v>
      </c>
      <c r="M3981" t="s">
        <v>1356</v>
      </c>
      <c r="N3981" t="s">
        <v>1357</v>
      </c>
      <c r="O3981" t="s">
        <v>82</v>
      </c>
      <c r="P3981" t="str">
        <f>"4170041490                    "</f>
        <v xml:space="preserve">4170041490                    </v>
      </c>
      <c r="Q3981">
        <v>0</v>
      </c>
      <c r="R3981">
        <v>0</v>
      </c>
      <c r="S3981">
        <v>0</v>
      </c>
      <c r="T3981">
        <v>0</v>
      </c>
      <c r="U3981">
        <v>0</v>
      </c>
      <c r="V3981">
        <v>0</v>
      </c>
      <c r="W3981">
        <v>0</v>
      </c>
      <c r="X3981">
        <v>0</v>
      </c>
      <c r="Y3981">
        <v>0</v>
      </c>
      <c r="Z3981">
        <v>0</v>
      </c>
      <c r="AA3981">
        <v>0</v>
      </c>
      <c r="AB3981">
        <v>0</v>
      </c>
      <c r="AC3981">
        <v>0</v>
      </c>
      <c r="AD3981">
        <v>0</v>
      </c>
      <c r="AE3981">
        <v>0</v>
      </c>
      <c r="AF3981">
        <v>0</v>
      </c>
      <c r="AG3981">
        <v>0</v>
      </c>
      <c r="AH3981">
        <v>0</v>
      </c>
      <c r="AI3981">
        <v>0</v>
      </c>
      <c r="AJ3981">
        <v>0</v>
      </c>
      <c r="AK3981">
        <v>0</v>
      </c>
      <c r="AL3981">
        <v>0</v>
      </c>
      <c r="AM3981">
        <v>0</v>
      </c>
      <c r="AN3981">
        <v>0</v>
      </c>
      <c r="AO3981">
        <v>0</v>
      </c>
      <c r="AP3981">
        <v>0</v>
      </c>
      <c r="AQ3981">
        <v>30.07</v>
      </c>
      <c r="AR3981">
        <v>0</v>
      </c>
      <c r="AS3981">
        <v>0</v>
      </c>
      <c r="AT3981">
        <v>0</v>
      </c>
      <c r="AU3981">
        <v>0</v>
      </c>
      <c r="AV3981">
        <v>0</v>
      </c>
      <c r="AW3981">
        <v>0</v>
      </c>
      <c r="AX3981">
        <v>0</v>
      </c>
      <c r="AY3981">
        <v>0</v>
      </c>
      <c r="AZ3981">
        <v>0</v>
      </c>
      <c r="BA3981">
        <v>0</v>
      </c>
      <c r="BB3981">
        <v>0</v>
      </c>
      <c r="BC3981">
        <v>0</v>
      </c>
      <c r="BD3981">
        <v>0</v>
      </c>
      <c r="BE3981">
        <v>0</v>
      </c>
      <c r="BF3981">
        <v>0</v>
      </c>
      <c r="BG3981">
        <v>0</v>
      </c>
      <c r="BH3981">
        <v>1</v>
      </c>
      <c r="BI3981">
        <v>1</v>
      </c>
      <c r="BJ3981">
        <v>0.2</v>
      </c>
      <c r="BK3981">
        <v>1</v>
      </c>
      <c r="BL3981">
        <v>98.42</v>
      </c>
      <c r="BM3981">
        <v>14.76</v>
      </c>
      <c r="BN3981">
        <v>113.18</v>
      </c>
      <c r="BO3981">
        <v>113.18</v>
      </c>
      <c r="BQ3981" t="s">
        <v>1358</v>
      </c>
      <c r="BR3981" t="s">
        <v>84</v>
      </c>
      <c r="BS3981" t="s">
        <v>1540</v>
      </c>
      <c r="BV3981" t="s">
        <v>89</v>
      </c>
      <c r="BY3981">
        <v>1200</v>
      </c>
      <c r="CC3981" t="s">
        <v>1356</v>
      </c>
      <c r="CD3981">
        <v>2410</v>
      </c>
      <c r="CE3981" t="s">
        <v>88</v>
      </c>
      <c r="CI3981">
        <v>1</v>
      </c>
      <c r="CJ3981" t="s">
        <v>1540</v>
      </c>
      <c r="CK3981">
        <v>24</v>
      </c>
      <c r="CL3981" t="s">
        <v>89</v>
      </c>
    </row>
    <row r="3982" spans="1:90" x14ac:dyDescent="0.3">
      <c r="A3982" t="s">
        <v>72</v>
      </c>
      <c r="B3982" t="s">
        <v>73</v>
      </c>
      <c r="C3982" t="s">
        <v>74</v>
      </c>
      <c r="E3982" t="str">
        <f>"080065644818"</f>
        <v>080065644818</v>
      </c>
      <c r="F3982" s="3">
        <v>45806</v>
      </c>
      <c r="G3982">
        <v>202602</v>
      </c>
      <c r="H3982" t="s">
        <v>75</v>
      </c>
      <c r="I3982" t="s">
        <v>76</v>
      </c>
      <c r="J3982" t="s">
        <v>77</v>
      </c>
      <c r="K3982" t="s">
        <v>78</v>
      </c>
      <c r="L3982" t="s">
        <v>130</v>
      </c>
      <c r="M3982" t="s">
        <v>131</v>
      </c>
      <c r="N3982" t="s">
        <v>699</v>
      </c>
      <c r="O3982" t="s">
        <v>82</v>
      </c>
      <c r="P3982" t="str">
        <f>"4170041466                    "</f>
        <v xml:space="preserve">4170041466                    </v>
      </c>
      <c r="Q3982">
        <v>0</v>
      </c>
      <c r="R3982">
        <v>0</v>
      </c>
      <c r="S3982">
        <v>0</v>
      </c>
      <c r="T3982">
        <v>0</v>
      </c>
      <c r="U3982">
        <v>0</v>
      </c>
      <c r="V3982">
        <v>0</v>
      </c>
      <c r="W3982">
        <v>0</v>
      </c>
      <c r="X3982">
        <v>0</v>
      </c>
      <c r="Y3982">
        <v>0</v>
      </c>
      <c r="Z3982">
        <v>0</v>
      </c>
      <c r="AA3982">
        <v>0</v>
      </c>
      <c r="AB3982">
        <v>0</v>
      </c>
      <c r="AC3982">
        <v>0</v>
      </c>
      <c r="AD3982">
        <v>0</v>
      </c>
      <c r="AE3982">
        <v>0</v>
      </c>
      <c r="AF3982">
        <v>0</v>
      </c>
      <c r="AG3982">
        <v>0</v>
      </c>
      <c r="AH3982">
        <v>0</v>
      </c>
      <c r="AI3982">
        <v>0</v>
      </c>
      <c r="AJ3982">
        <v>0</v>
      </c>
      <c r="AK3982">
        <v>0</v>
      </c>
      <c r="AL3982">
        <v>0</v>
      </c>
      <c r="AM3982">
        <v>0</v>
      </c>
      <c r="AN3982">
        <v>0</v>
      </c>
      <c r="AO3982">
        <v>0</v>
      </c>
      <c r="AP3982">
        <v>0</v>
      </c>
      <c r="AQ3982">
        <v>21.38</v>
      </c>
      <c r="AR3982">
        <v>0</v>
      </c>
      <c r="AS3982">
        <v>0</v>
      </c>
      <c r="AT3982">
        <v>0</v>
      </c>
      <c r="AU3982">
        <v>0</v>
      </c>
      <c r="AV3982">
        <v>0</v>
      </c>
      <c r="AW3982">
        <v>0</v>
      </c>
      <c r="AX3982">
        <v>0</v>
      </c>
      <c r="AY3982">
        <v>0</v>
      </c>
      <c r="AZ3982">
        <v>0</v>
      </c>
      <c r="BA3982">
        <v>0</v>
      </c>
      <c r="BB3982">
        <v>0</v>
      </c>
      <c r="BC3982">
        <v>0</v>
      </c>
      <c r="BD3982">
        <v>0</v>
      </c>
      <c r="BE3982">
        <v>0</v>
      </c>
      <c r="BF3982">
        <v>0</v>
      </c>
      <c r="BG3982">
        <v>0</v>
      </c>
      <c r="BH3982">
        <v>1</v>
      </c>
      <c r="BI3982">
        <v>1</v>
      </c>
      <c r="BJ3982">
        <v>0.6</v>
      </c>
      <c r="BK3982">
        <v>1</v>
      </c>
      <c r="BL3982">
        <v>69.98</v>
      </c>
      <c r="BM3982">
        <v>10.5</v>
      </c>
      <c r="BN3982">
        <v>80.48</v>
      </c>
      <c r="BO3982">
        <v>80.48</v>
      </c>
      <c r="BQ3982" t="s">
        <v>700</v>
      </c>
      <c r="BR3982" t="s">
        <v>84</v>
      </c>
      <c r="BS3982" t="s">
        <v>1540</v>
      </c>
      <c r="BV3982" t="s">
        <v>89</v>
      </c>
      <c r="BY3982">
        <v>3192</v>
      </c>
      <c r="CC3982" t="s">
        <v>131</v>
      </c>
      <c r="CD3982">
        <v>7480</v>
      </c>
      <c r="CE3982" t="s">
        <v>116</v>
      </c>
      <c r="CI3982">
        <v>1</v>
      </c>
      <c r="CJ3982" t="s">
        <v>1540</v>
      </c>
      <c r="CK3982">
        <v>21</v>
      </c>
      <c r="CL3982" t="s">
        <v>89</v>
      </c>
    </row>
    <row r="3983" spans="1:90" x14ac:dyDescent="0.3">
      <c r="A3983" t="s">
        <v>72</v>
      </c>
      <c r="B3983" t="s">
        <v>73</v>
      </c>
      <c r="C3983" t="s">
        <v>74</v>
      </c>
      <c r="E3983" t="str">
        <f>"080065644832"</f>
        <v>080065644832</v>
      </c>
      <c r="F3983" s="3">
        <v>45806</v>
      </c>
      <c r="G3983">
        <v>202602</v>
      </c>
      <c r="H3983" t="s">
        <v>75</v>
      </c>
      <c r="I3983" t="s">
        <v>76</v>
      </c>
      <c r="J3983" t="s">
        <v>77</v>
      </c>
      <c r="K3983" t="s">
        <v>78</v>
      </c>
      <c r="L3983" t="s">
        <v>489</v>
      </c>
      <c r="M3983" t="s">
        <v>490</v>
      </c>
      <c r="N3983" t="s">
        <v>491</v>
      </c>
      <c r="O3983" t="s">
        <v>82</v>
      </c>
      <c r="P3983" t="str">
        <f>"4170041480                    "</f>
        <v xml:space="preserve">4170041480                    </v>
      </c>
      <c r="Q3983">
        <v>0</v>
      </c>
      <c r="R3983">
        <v>0</v>
      </c>
      <c r="S3983">
        <v>0</v>
      </c>
      <c r="T3983">
        <v>0</v>
      </c>
      <c r="U3983">
        <v>0</v>
      </c>
      <c r="V3983">
        <v>0</v>
      </c>
      <c r="W3983">
        <v>0</v>
      </c>
      <c r="X3983">
        <v>0</v>
      </c>
      <c r="Y3983">
        <v>0</v>
      </c>
      <c r="Z3983">
        <v>0</v>
      </c>
      <c r="AA3983">
        <v>0</v>
      </c>
      <c r="AB3983">
        <v>0</v>
      </c>
      <c r="AC3983">
        <v>0</v>
      </c>
      <c r="AD3983">
        <v>0</v>
      </c>
      <c r="AE3983">
        <v>0</v>
      </c>
      <c r="AF3983">
        <v>0</v>
      </c>
      <c r="AG3983">
        <v>0</v>
      </c>
      <c r="AH3983">
        <v>0</v>
      </c>
      <c r="AI3983">
        <v>0</v>
      </c>
      <c r="AJ3983">
        <v>0</v>
      </c>
      <c r="AK3983">
        <v>0</v>
      </c>
      <c r="AL3983">
        <v>0</v>
      </c>
      <c r="AM3983">
        <v>0</v>
      </c>
      <c r="AN3983">
        <v>0</v>
      </c>
      <c r="AO3983">
        <v>0</v>
      </c>
      <c r="AP3983">
        <v>0</v>
      </c>
      <c r="AQ3983">
        <v>41.43</v>
      </c>
      <c r="AR3983">
        <v>0</v>
      </c>
      <c r="AS3983">
        <v>0</v>
      </c>
      <c r="AT3983">
        <v>0</v>
      </c>
      <c r="AU3983">
        <v>0</v>
      </c>
      <c r="AV3983">
        <v>0</v>
      </c>
      <c r="AW3983">
        <v>0</v>
      </c>
      <c r="AX3983">
        <v>0</v>
      </c>
      <c r="AY3983">
        <v>0</v>
      </c>
      <c r="AZ3983">
        <v>0</v>
      </c>
      <c r="BA3983">
        <v>0</v>
      </c>
      <c r="BB3983">
        <v>0</v>
      </c>
      <c r="BC3983">
        <v>0</v>
      </c>
      <c r="BD3983">
        <v>0</v>
      </c>
      <c r="BE3983">
        <v>0</v>
      </c>
      <c r="BF3983">
        <v>0</v>
      </c>
      <c r="BG3983">
        <v>0</v>
      </c>
      <c r="BH3983">
        <v>1</v>
      </c>
      <c r="BI3983">
        <v>1</v>
      </c>
      <c r="BJ3983">
        <v>0.2</v>
      </c>
      <c r="BK3983">
        <v>1</v>
      </c>
      <c r="BL3983">
        <v>135.59</v>
      </c>
      <c r="BM3983">
        <v>20.34</v>
      </c>
      <c r="BN3983">
        <v>155.93</v>
      </c>
      <c r="BO3983">
        <v>155.93</v>
      </c>
      <c r="BQ3983" t="s">
        <v>492</v>
      </c>
      <c r="BR3983" t="s">
        <v>84</v>
      </c>
      <c r="BS3983" s="3">
        <v>45807</v>
      </c>
      <c r="BT3983" s="4">
        <v>0.34375</v>
      </c>
      <c r="BU3983" t="s">
        <v>2530</v>
      </c>
      <c r="BV3983" t="s">
        <v>86</v>
      </c>
      <c r="BY3983">
        <v>1200</v>
      </c>
      <c r="CA3983" t="s">
        <v>913</v>
      </c>
      <c r="CC3983" t="s">
        <v>490</v>
      </c>
      <c r="CD3983">
        <v>2740</v>
      </c>
      <c r="CE3983" t="s">
        <v>88</v>
      </c>
      <c r="CI3983">
        <v>1</v>
      </c>
      <c r="CJ3983">
        <v>1</v>
      </c>
      <c r="CK3983">
        <v>23</v>
      </c>
      <c r="CL3983" t="s">
        <v>89</v>
      </c>
    </row>
    <row r="3984" spans="1:90" x14ac:dyDescent="0.3">
      <c r="A3984" t="s">
        <v>72</v>
      </c>
      <c r="B3984" t="s">
        <v>73</v>
      </c>
      <c r="C3984" t="s">
        <v>74</v>
      </c>
      <c r="E3984" t="str">
        <f>"080065644857"</f>
        <v>080065644857</v>
      </c>
      <c r="F3984" s="3">
        <v>45806</v>
      </c>
      <c r="G3984">
        <v>202602</v>
      </c>
      <c r="H3984" t="s">
        <v>75</v>
      </c>
      <c r="I3984" t="s">
        <v>76</v>
      </c>
      <c r="J3984" t="s">
        <v>77</v>
      </c>
      <c r="K3984" t="s">
        <v>78</v>
      </c>
      <c r="L3984" t="s">
        <v>79</v>
      </c>
      <c r="M3984" t="s">
        <v>80</v>
      </c>
      <c r="N3984" t="s">
        <v>452</v>
      </c>
      <c r="O3984" t="s">
        <v>82</v>
      </c>
      <c r="P3984" t="str">
        <f>"4170041417                    "</f>
        <v xml:space="preserve">4170041417                    </v>
      </c>
      <c r="Q3984">
        <v>0</v>
      </c>
      <c r="R3984">
        <v>0</v>
      </c>
      <c r="S3984">
        <v>0</v>
      </c>
      <c r="T3984">
        <v>0</v>
      </c>
      <c r="U3984">
        <v>0</v>
      </c>
      <c r="V3984">
        <v>0</v>
      </c>
      <c r="W3984">
        <v>0</v>
      </c>
      <c r="X3984">
        <v>0</v>
      </c>
      <c r="Y3984">
        <v>0</v>
      </c>
      <c r="Z3984">
        <v>0</v>
      </c>
      <c r="AA3984">
        <v>0</v>
      </c>
      <c r="AB3984">
        <v>0</v>
      </c>
      <c r="AC3984">
        <v>0</v>
      </c>
      <c r="AD3984">
        <v>0</v>
      </c>
      <c r="AE3984">
        <v>0</v>
      </c>
      <c r="AF3984">
        <v>0</v>
      </c>
      <c r="AG3984">
        <v>0</v>
      </c>
      <c r="AH3984">
        <v>0</v>
      </c>
      <c r="AI3984">
        <v>0</v>
      </c>
      <c r="AJ3984">
        <v>0</v>
      </c>
      <c r="AK3984">
        <v>0</v>
      </c>
      <c r="AL3984">
        <v>0</v>
      </c>
      <c r="AM3984">
        <v>0</v>
      </c>
      <c r="AN3984">
        <v>0</v>
      </c>
      <c r="AO3984">
        <v>0</v>
      </c>
      <c r="AP3984">
        <v>0</v>
      </c>
      <c r="AQ3984">
        <v>21.38</v>
      </c>
      <c r="AR3984">
        <v>0</v>
      </c>
      <c r="AS3984">
        <v>0</v>
      </c>
      <c r="AT3984">
        <v>0</v>
      </c>
      <c r="AU3984">
        <v>0</v>
      </c>
      <c r="AV3984">
        <v>0</v>
      </c>
      <c r="AW3984">
        <v>0</v>
      </c>
      <c r="AX3984">
        <v>0</v>
      </c>
      <c r="AY3984">
        <v>0</v>
      </c>
      <c r="AZ3984">
        <v>0</v>
      </c>
      <c r="BA3984">
        <v>0</v>
      </c>
      <c r="BB3984">
        <v>0</v>
      </c>
      <c r="BC3984">
        <v>0</v>
      </c>
      <c r="BD3984">
        <v>0</v>
      </c>
      <c r="BE3984">
        <v>0</v>
      </c>
      <c r="BF3984">
        <v>0</v>
      </c>
      <c r="BG3984">
        <v>0</v>
      </c>
      <c r="BH3984">
        <v>1</v>
      </c>
      <c r="BI3984">
        <v>1</v>
      </c>
      <c r="BJ3984">
        <v>0.2</v>
      </c>
      <c r="BK3984">
        <v>1</v>
      </c>
      <c r="BL3984">
        <v>69.98</v>
      </c>
      <c r="BM3984">
        <v>10.5</v>
      </c>
      <c r="BN3984">
        <v>80.48</v>
      </c>
      <c r="BO3984">
        <v>80.48</v>
      </c>
      <c r="BQ3984" t="s">
        <v>453</v>
      </c>
      <c r="BR3984" t="s">
        <v>84</v>
      </c>
      <c r="BS3984" t="s">
        <v>1540</v>
      </c>
      <c r="BV3984" t="s">
        <v>89</v>
      </c>
      <c r="BY3984">
        <v>1200</v>
      </c>
      <c r="CC3984" t="s">
        <v>80</v>
      </c>
      <c r="CD3984">
        <v>3610</v>
      </c>
      <c r="CE3984" t="s">
        <v>88</v>
      </c>
      <c r="CI3984">
        <v>1</v>
      </c>
      <c r="CJ3984" t="s">
        <v>1540</v>
      </c>
      <c r="CK3984">
        <v>21</v>
      </c>
      <c r="CL3984" t="s">
        <v>89</v>
      </c>
    </row>
    <row r="3985" spans="1:90" x14ac:dyDescent="0.3">
      <c r="A3985" t="s">
        <v>72</v>
      </c>
      <c r="B3985" t="s">
        <v>73</v>
      </c>
      <c r="C3985" t="s">
        <v>74</v>
      </c>
      <c r="E3985" t="str">
        <f>"080011527814"</f>
        <v>080011527814</v>
      </c>
      <c r="F3985" s="3">
        <v>45806</v>
      </c>
      <c r="G3985">
        <v>202602</v>
      </c>
      <c r="H3985" t="s">
        <v>117</v>
      </c>
      <c r="I3985" t="s">
        <v>118</v>
      </c>
      <c r="J3985" t="s">
        <v>3466</v>
      </c>
      <c r="K3985" t="s">
        <v>78</v>
      </c>
      <c r="L3985" t="s">
        <v>75</v>
      </c>
      <c r="M3985" t="s">
        <v>76</v>
      </c>
      <c r="N3985" t="s">
        <v>1035</v>
      </c>
      <c r="O3985" t="s">
        <v>82</v>
      </c>
      <c r="P3985" t="str">
        <f>"Za1001386385                  "</f>
        <v xml:space="preserve">Za1001386385                  </v>
      </c>
      <c r="Q3985">
        <v>0</v>
      </c>
      <c r="R3985">
        <v>0</v>
      </c>
      <c r="S3985">
        <v>0</v>
      </c>
      <c r="T3985">
        <v>0</v>
      </c>
      <c r="U3985">
        <v>0</v>
      </c>
      <c r="V3985">
        <v>0</v>
      </c>
      <c r="W3985">
        <v>0</v>
      </c>
      <c r="X3985">
        <v>0</v>
      </c>
      <c r="Y3985">
        <v>0</v>
      </c>
      <c r="Z3985">
        <v>0</v>
      </c>
      <c r="AA3985">
        <v>0</v>
      </c>
      <c r="AB3985">
        <v>0</v>
      </c>
      <c r="AC3985">
        <v>0</v>
      </c>
      <c r="AD3985">
        <v>0</v>
      </c>
      <c r="AE3985">
        <v>0</v>
      </c>
      <c r="AF3985">
        <v>0</v>
      </c>
      <c r="AG3985">
        <v>0</v>
      </c>
      <c r="AH3985">
        <v>0</v>
      </c>
      <c r="AI3985">
        <v>0</v>
      </c>
      <c r="AJ3985">
        <v>0</v>
      </c>
      <c r="AK3985">
        <v>0</v>
      </c>
      <c r="AL3985">
        <v>0</v>
      </c>
      <c r="AM3985">
        <v>0</v>
      </c>
      <c r="AN3985">
        <v>0</v>
      </c>
      <c r="AO3985">
        <v>0</v>
      </c>
      <c r="AP3985">
        <v>0</v>
      </c>
      <c r="AQ3985">
        <v>16.7</v>
      </c>
      <c r="AR3985">
        <v>0</v>
      </c>
      <c r="AS3985">
        <v>0</v>
      </c>
      <c r="AT3985">
        <v>0</v>
      </c>
      <c r="AU3985">
        <v>0</v>
      </c>
      <c r="AV3985">
        <v>0</v>
      </c>
      <c r="AW3985">
        <v>0</v>
      </c>
      <c r="AX3985">
        <v>0</v>
      </c>
      <c r="AY3985">
        <v>0</v>
      </c>
      <c r="AZ3985">
        <v>0</v>
      </c>
      <c r="BA3985">
        <v>0</v>
      </c>
      <c r="BB3985">
        <v>0</v>
      </c>
      <c r="BC3985">
        <v>0</v>
      </c>
      <c r="BD3985">
        <v>0</v>
      </c>
      <c r="BE3985">
        <v>0</v>
      </c>
      <c r="BF3985">
        <v>0</v>
      </c>
      <c r="BG3985">
        <v>0</v>
      </c>
      <c r="BH3985">
        <v>1</v>
      </c>
      <c r="BI3985">
        <v>3</v>
      </c>
      <c r="BJ3985">
        <v>2.4</v>
      </c>
      <c r="BK3985">
        <v>3</v>
      </c>
      <c r="BL3985">
        <v>54.66</v>
      </c>
      <c r="BM3985">
        <v>8.1999999999999993</v>
      </c>
      <c r="BN3985">
        <v>62.86</v>
      </c>
      <c r="BO3985">
        <v>62.86</v>
      </c>
      <c r="BP3985" t="s">
        <v>1540</v>
      </c>
      <c r="BQ3985" t="s">
        <v>1037</v>
      </c>
      <c r="BR3985" t="s">
        <v>3467</v>
      </c>
      <c r="BS3985" t="s">
        <v>1540</v>
      </c>
      <c r="BV3985" t="s">
        <v>89</v>
      </c>
      <c r="BY3985">
        <v>12000</v>
      </c>
      <c r="BZ3985" t="s">
        <v>127</v>
      </c>
      <c r="CC3985" t="s">
        <v>76</v>
      </c>
      <c r="CD3985">
        <v>1619</v>
      </c>
      <c r="CE3985" t="s">
        <v>1904</v>
      </c>
      <c r="CI3985">
        <v>1</v>
      </c>
      <c r="CJ3985" t="s">
        <v>1540</v>
      </c>
      <c r="CK3985">
        <v>22</v>
      </c>
      <c r="CL3985" t="s">
        <v>89</v>
      </c>
    </row>
    <row r="3986" spans="1:90" x14ac:dyDescent="0.3">
      <c r="A3986" t="s">
        <v>72</v>
      </c>
      <c r="B3986" t="s">
        <v>73</v>
      </c>
      <c r="C3986" t="s">
        <v>74</v>
      </c>
      <c r="E3986" t="str">
        <f>"080011528585"</f>
        <v>080011528585</v>
      </c>
      <c r="F3986" s="3">
        <v>45806</v>
      </c>
      <c r="G3986">
        <v>202602</v>
      </c>
      <c r="H3986" t="s">
        <v>117</v>
      </c>
      <c r="I3986" t="s">
        <v>118</v>
      </c>
      <c r="J3986" t="s">
        <v>3468</v>
      </c>
      <c r="K3986" t="s">
        <v>78</v>
      </c>
      <c r="L3986" t="s">
        <v>75</v>
      </c>
      <c r="M3986" t="s">
        <v>76</v>
      </c>
      <c r="N3986" t="s">
        <v>1035</v>
      </c>
      <c r="O3986" t="s">
        <v>82</v>
      </c>
      <c r="P3986" t="str">
        <f>"ZA1001368443                  "</f>
        <v xml:space="preserve">ZA1001368443                  </v>
      </c>
      <c r="Q3986">
        <v>0</v>
      </c>
      <c r="R3986">
        <v>0</v>
      </c>
      <c r="S3986">
        <v>0</v>
      </c>
      <c r="T3986">
        <v>0</v>
      </c>
      <c r="U3986">
        <v>0</v>
      </c>
      <c r="V3986">
        <v>0</v>
      </c>
      <c r="W3986">
        <v>0</v>
      </c>
      <c r="X3986">
        <v>0</v>
      </c>
      <c r="Y3986">
        <v>0</v>
      </c>
      <c r="Z3986">
        <v>0</v>
      </c>
      <c r="AA3986">
        <v>0</v>
      </c>
      <c r="AB3986">
        <v>0</v>
      </c>
      <c r="AC3986">
        <v>16.739999999999998</v>
      </c>
      <c r="AD3986">
        <v>0</v>
      </c>
      <c r="AE3986">
        <v>0</v>
      </c>
      <c r="AF3986">
        <v>0</v>
      </c>
      <c r="AG3986">
        <v>0</v>
      </c>
      <c r="AH3986">
        <v>0</v>
      </c>
      <c r="AI3986">
        <v>0</v>
      </c>
      <c r="AJ3986">
        <v>0</v>
      </c>
      <c r="AK3986">
        <v>0</v>
      </c>
      <c r="AL3986">
        <v>0</v>
      </c>
      <c r="AM3986">
        <v>0</v>
      </c>
      <c r="AN3986">
        <v>0</v>
      </c>
      <c r="AO3986">
        <v>0</v>
      </c>
      <c r="AP3986">
        <v>0</v>
      </c>
      <c r="AQ3986">
        <v>16.7</v>
      </c>
      <c r="AR3986">
        <v>0</v>
      </c>
      <c r="AS3986">
        <v>0</v>
      </c>
      <c r="AT3986">
        <v>0</v>
      </c>
      <c r="AU3986">
        <v>0</v>
      </c>
      <c r="AV3986">
        <v>0</v>
      </c>
      <c r="AW3986">
        <v>0</v>
      </c>
      <c r="AX3986">
        <v>0</v>
      </c>
      <c r="AY3986">
        <v>0</v>
      </c>
      <c r="AZ3986">
        <v>0</v>
      </c>
      <c r="BA3986">
        <v>0</v>
      </c>
      <c r="BB3986">
        <v>0</v>
      </c>
      <c r="BC3986">
        <v>0</v>
      </c>
      <c r="BD3986">
        <v>0</v>
      </c>
      <c r="BE3986">
        <v>0</v>
      </c>
      <c r="BF3986">
        <v>0</v>
      </c>
      <c r="BG3986">
        <v>0</v>
      </c>
      <c r="BH3986">
        <v>1</v>
      </c>
      <c r="BI3986">
        <v>3</v>
      </c>
      <c r="BJ3986">
        <v>1.6</v>
      </c>
      <c r="BK3986">
        <v>3</v>
      </c>
      <c r="BL3986">
        <v>71.400000000000006</v>
      </c>
      <c r="BM3986">
        <v>10.71</v>
      </c>
      <c r="BN3986">
        <v>82.11</v>
      </c>
      <c r="BO3986">
        <v>82.11</v>
      </c>
      <c r="BP3986" t="s">
        <v>1540</v>
      </c>
      <c r="BQ3986" t="s">
        <v>1037</v>
      </c>
      <c r="BR3986" t="s">
        <v>3469</v>
      </c>
      <c r="BS3986" t="s">
        <v>1540</v>
      </c>
      <c r="BV3986" t="s">
        <v>89</v>
      </c>
      <c r="BY3986">
        <v>8000</v>
      </c>
      <c r="BZ3986" t="s">
        <v>3470</v>
      </c>
      <c r="CC3986" t="s">
        <v>76</v>
      </c>
      <c r="CD3986">
        <v>1619</v>
      </c>
      <c r="CE3986" t="s">
        <v>1904</v>
      </c>
      <c r="CI3986">
        <v>1</v>
      </c>
      <c r="CJ3986" t="s">
        <v>1540</v>
      </c>
      <c r="CK3986">
        <v>22</v>
      </c>
      <c r="CL3986" t="s">
        <v>89</v>
      </c>
    </row>
    <row r="3987" spans="1:90" x14ac:dyDescent="0.3">
      <c r="A3987" t="s">
        <v>72</v>
      </c>
      <c r="B3987" t="s">
        <v>73</v>
      </c>
      <c r="C3987" t="s">
        <v>74</v>
      </c>
      <c r="E3987" t="str">
        <f>"080011529157"</f>
        <v>080011529157</v>
      </c>
      <c r="F3987" s="3">
        <v>45806</v>
      </c>
      <c r="G3987">
        <v>202602</v>
      </c>
      <c r="H3987" t="s">
        <v>130</v>
      </c>
      <c r="I3987" t="s">
        <v>131</v>
      </c>
      <c r="J3987" t="s">
        <v>3471</v>
      </c>
      <c r="K3987" t="s">
        <v>78</v>
      </c>
      <c r="L3987" t="s">
        <v>117</v>
      </c>
      <c r="M3987" t="s">
        <v>118</v>
      </c>
      <c r="N3987" t="s">
        <v>3472</v>
      </c>
      <c r="O3987" t="s">
        <v>300</v>
      </c>
      <c r="P3987" t="str">
        <f>"4500003088                    "</f>
        <v xml:space="preserve">4500003088                    </v>
      </c>
      <c r="Q3987">
        <v>0</v>
      </c>
      <c r="R3987">
        <v>0</v>
      </c>
      <c r="S3987">
        <v>0</v>
      </c>
      <c r="T3987">
        <v>0</v>
      </c>
      <c r="U3987">
        <v>0</v>
      </c>
      <c r="V3987">
        <v>0</v>
      </c>
      <c r="W3987">
        <v>0</v>
      </c>
      <c r="X3987">
        <v>0</v>
      </c>
      <c r="Y3987">
        <v>0</v>
      </c>
      <c r="Z3987">
        <v>0</v>
      </c>
      <c r="AA3987">
        <v>0</v>
      </c>
      <c r="AB3987">
        <v>0</v>
      </c>
      <c r="AC3987">
        <v>0</v>
      </c>
      <c r="AD3987">
        <v>0</v>
      </c>
      <c r="AE3987">
        <v>0</v>
      </c>
      <c r="AF3987">
        <v>0</v>
      </c>
      <c r="AG3987">
        <v>0</v>
      </c>
      <c r="AH3987">
        <v>0</v>
      </c>
      <c r="AI3987">
        <v>0</v>
      </c>
      <c r="AJ3987">
        <v>0</v>
      </c>
      <c r="AK3987">
        <v>0</v>
      </c>
      <c r="AL3987">
        <v>0</v>
      </c>
      <c r="AM3987">
        <v>0</v>
      </c>
      <c r="AN3987">
        <v>0</v>
      </c>
      <c r="AO3987">
        <v>0</v>
      </c>
      <c r="AP3987">
        <v>0</v>
      </c>
      <c r="AQ3987">
        <v>49.89</v>
      </c>
      <c r="AR3987">
        <v>0</v>
      </c>
      <c r="AS3987">
        <v>0</v>
      </c>
      <c r="AT3987">
        <v>0</v>
      </c>
      <c r="AU3987">
        <v>0</v>
      </c>
      <c r="AV3987">
        <v>0</v>
      </c>
      <c r="AW3987">
        <v>0</v>
      </c>
      <c r="AX3987">
        <v>0</v>
      </c>
      <c r="AY3987">
        <v>0</v>
      </c>
      <c r="AZ3987">
        <v>0</v>
      </c>
      <c r="BA3987">
        <v>0</v>
      </c>
      <c r="BB3987">
        <v>0</v>
      </c>
      <c r="BC3987">
        <v>0</v>
      </c>
      <c r="BD3987">
        <v>0</v>
      </c>
      <c r="BE3987">
        <v>0</v>
      </c>
      <c r="BF3987">
        <v>0</v>
      </c>
      <c r="BG3987">
        <v>0</v>
      </c>
      <c r="BH3987">
        <v>2</v>
      </c>
      <c r="BI3987">
        <v>6.8</v>
      </c>
      <c r="BJ3987">
        <v>19.8</v>
      </c>
      <c r="BK3987">
        <v>20</v>
      </c>
      <c r="BL3987">
        <v>168.84</v>
      </c>
      <c r="BM3987">
        <v>25.33</v>
      </c>
      <c r="BN3987">
        <v>194.17</v>
      </c>
      <c r="BO3987">
        <v>194.17</v>
      </c>
      <c r="BP3987" t="s">
        <v>3473</v>
      </c>
      <c r="BQ3987" t="s">
        <v>3474</v>
      </c>
      <c r="BR3987" t="s">
        <v>3474</v>
      </c>
      <c r="BS3987" t="s">
        <v>1540</v>
      </c>
      <c r="BV3987" t="s">
        <v>89</v>
      </c>
      <c r="BY3987">
        <v>98991</v>
      </c>
      <c r="BZ3987" t="s">
        <v>303</v>
      </c>
      <c r="CC3987" t="s">
        <v>118</v>
      </c>
      <c r="CD3987">
        <v>2049</v>
      </c>
      <c r="CE3987" t="s">
        <v>1904</v>
      </c>
      <c r="CI3987">
        <v>3</v>
      </c>
      <c r="CJ3987" t="s">
        <v>1540</v>
      </c>
      <c r="CK3987">
        <v>41</v>
      </c>
      <c r="CL3987" t="s">
        <v>89</v>
      </c>
    </row>
    <row r="3988" spans="1:90" x14ac:dyDescent="0.3">
      <c r="A3988" t="s">
        <v>72</v>
      </c>
      <c r="B3988" t="s">
        <v>73</v>
      </c>
      <c r="C3988" t="s">
        <v>74</v>
      </c>
      <c r="E3988" t="str">
        <f>"080065645733"</f>
        <v>080065645733</v>
      </c>
      <c r="F3988" s="3">
        <v>45806</v>
      </c>
      <c r="G3988">
        <v>202602</v>
      </c>
      <c r="H3988" t="s">
        <v>75</v>
      </c>
      <c r="I3988" t="s">
        <v>76</v>
      </c>
      <c r="J3988" t="s">
        <v>77</v>
      </c>
      <c r="K3988" t="s">
        <v>78</v>
      </c>
      <c r="L3988" t="s">
        <v>90</v>
      </c>
      <c r="M3988" t="s">
        <v>91</v>
      </c>
      <c r="N3988" t="s">
        <v>598</v>
      </c>
      <c r="O3988" t="s">
        <v>82</v>
      </c>
      <c r="P3988" t="str">
        <f>"4170041390                    "</f>
        <v xml:space="preserve">4170041390                    </v>
      </c>
      <c r="Q3988">
        <v>0</v>
      </c>
      <c r="R3988">
        <v>0</v>
      </c>
      <c r="S3988">
        <v>0</v>
      </c>
      <c r="T3988">
        <v>0</v>
      </c>
      <c r="U3988">
        <v>0</v>
      </c>
      <c r="V3988">
        <v>0</v>
      </c>
      <c r="W3988">
        <v>0</v>
      </c>
      <c r="X3988">
        <v>0</v>
      </c>
      <c r="Y3988">
        <v>0</v>
      </c>
      <c r="Z3988">
        <v>0</v>
      </c>
      <c r="AA3988">
        <v>0</v>
      </c>
      <c r="AB3988">
        <v>0</v>
      </c>
      <c r="AC3988">
        <v>0</v>
      </c>
      <c r="AD3988">
        <v>0</v>
      </c>
      <c r="AE3988">
        <v>0</v>
      </c>
      <c r="AF3988">
        <v>0</v>
      </c>
      <c r="AG3988">
        <v>0</v>
      </c>
      <c r="AH3988">
        <v>0</v>
      </c>
      <c r="AI3988">
        <v>0</v>
      </c>
      <c r="AJ3988">
        <v>0</v>
      </c>
      <c r="AK3988">
        <v>0</v>
      </c>
      <c r="AL3988">
        <v>0</v>
      </c>
      <c r="AM3988">
        <v>0</v>
      </c>
      <c r="AN3988">
        <v>0</v>
      </c>
      <c r="AO3988">
        <v>0</v>
      </c>
      <c r="AP3988">
        <v>0</v>
      </c>
      <c r="AQ3988">
        <v>21.38</v>
      </c>
      <c r="AR3988">
        <v>0</v>
      </c>
      <c r="AS3988">
        <v>0</v>
      </c>
      <c r="AT3988">
        <v>0</v>
      </c>
      <c r="AU3988">
        <v>0</v>
      </c>
      <c r="AV3988">
        <v>0</v>
      </c>
      <c r="AW3988">
        <v>0</v>
      </c>
      <c r="AX3988">
        <v>0</v>
      </c>
      <c r="AY3988">
        <v>0</v>
      </c>
      <c r="AZ3988">
        <v>0</v>
      </c>
      <c r="BA3988">
        <v>0</v>
      </c>
      <c r="BB3988">
        <v>0</v>
      </c>
      <c r="BC3988">
        <v>0</v>
      </c>
      <c r="BD3988">
        <v>0</v>
      </c>
      <c r="BE3988">
        <v>0</v>
      </c>
      <c r="BF3988">
        <v>0</v>
      </c>
      <c r="BG3988">
        <v>0</v>
      </c>
      <c r="BH3988">
        <v>1</v>
      </c>
      <c r="BI3988">
        <v>1</v>
      </c>
      <c r="BJ3988">
        <v>0.2</v>
      </c>
      <c r="BK3988">
        <v>1</v>
      </c>
      <c r="BL3988">
        <v>69.98</v>
      </c>
      <c r="BM3988">
        <v>10.5</v>
      </c>
      <c r="BN3988">
        <v>80.48</v>
      </c>
      <c r="BO3988">
        <v>80.48</v>
      </c>
      <c r="BQ3988" t="s">
        <v>599</v>
      </c>
      <c r="BR3988" t="s">
        <v>84</v>
      </c>
      <c r="BS3988" t="s">
        <v>1540</v>
      </c>
      <c r="BV3988" t="s">
        <v>89</v>
      </c>
      <c r="BY3988">
        <v>1200</v>
      </c>
      <c r="CC3988" t="s">
        <v>91</v>
      </c>
      <c r="CD3988">
        <v>6012</v>
      </c>
      <c r="CE3988" t="s">
        <v>88</v>
      </c>
      <c r="CI3988">
        <v>1</v>
      </c>
      <c r="CJ3988" t="s">
        <v>1540</v>
      </c>
      <c r="CK3988">
        <v>21</v>
      </c>
      <c r="CL3988" t="s">
        <v>89</v>
      </c>
    </row>
    <row r="3989" spans="1:90" x14ac:dyDescent="0.3">
      <c r="A3989" t="s">
        <v>72</v>
      </c>
      <c r="B3989" t="s">
        <v>73</v>
      </c>
      <c r="C3989" t="s">
        <v>74</v>
      </c>
      <c r="E3989" t="str">
        <f>"080065645799"</f>
        <v>080065645799</v>
      </c>
      <c r="F3989" s="3">
        <v>45806</v>
      </c>
      <c r="G3989">
        <v>202602</v>
      </c>
      <c r="H3989" t="s">
        <v>75</v>
      </c>
      <c r="I3989" t="s">
        <v>76</v>
      </c>
      <c r="J3989" t="s">
        <v>77</v>
      </c>
      <c r="K3989" t="s">
        <v>78</v>
      </c>
      <c r="L3989" t="s">
        <v>1203</v>
      </c>
      <c r="M3989" t="s">
        <v>1204</v>
      </c>
      <c r="N3989" t="s">
        <v>1205</v>
      </c>
      <c r="O3989" t="s">
        <v>82</v>
      </c>
      <c r="P3989" t="str">
        <f>"4170041427                    "</f>
        <v xml:space="preserve">4170041427                    </v>
      </c>
      <c r="Q3989">
        <v>0</v>
      </c>
      <c r="R3989">
        <v>0</v>
      </c>
      <c r="S3989">
        <v>0</v>
      </c>
      <c r="T3989">
        <v>0</v>
      </c>
      <c r="U3989">
        <v>0</v>
      </c>
      <c r="V3989">
        <v>0</v>
      </c>
      <c r="W3989">
        <v>0</v>
      </c>
      <c r="X3989">
        <v>0</v>
      </c>
      <c r="Y3989">
        <v>0</v>
      </c>
      <c r="Z3989">
        <v>0</v>
      </c>
      <c r="AA3989">
        <v>0</v>
      </c>
      <c r="AB3989">
        <v>0</v>
      </c>
      <c r="AC3989">
        <v>0</v>
      </c>
      <c r="AD3989">
        <v>0</v>
      </c>
      <c r="AE3989">
        <v>0</v>
      </c>
      <c r="AF3989">
        <v>0</v>
      </c>
      <c r="AG3989">
        <v>0</v>
      </c>
      <c r="AH3989">
        <v>0</v>
      </c>
      <c r="AI3989">
        <v>0</v>
      </c>
      <c r="AJ3989">
        <v>0</v>
      </c>
      <c r="AK3989">
        <v>0</v>
      </c>
      <c r="AL3989">
        <v>0</v>
      </c>
      <c r="AM3989">
        <v>0</v>
      </c>
      <c r="AN3989">
        <v>0</v>
      </c>
      <c r="AO3989">
        <v>0</v>
      </c>
      <c r="AP3989">
        <v>0</v>
      </c>
      <c r="AQ3989">
        <v>78.849999999999994</v>
      </c>
      <c r="AR3989">
        <v>0</v>
      </c>
      <c r="AS3989">
        <v>0</v>
      </c>
      <c r="AT3989">
        <v>0</v>
      </c>
      <c r="AU3989">
        <v>0</v>
      </c>
      <c r="AV3989">
        <v>0</v>
      </c>
      <c r="AW3989">
        <v>0</v>
      </c>
      <c r="AX3989">
        <v>0</v>
      </c>
      <c r="AY3989">
        <v>0</v>
      </c>
      <c r="AZ3989">
        <v>0</v>
      </c>
      <c r="BA3989">
        <v>0</v>
      </c>
      <c r="BB3989">
        <v>0</v>
      </c>
      <c r="BC3989">
        <v>0</v>
      </c>
      <c r="BD3989">
        <v>0</v>
      </c>
      <c r="BE3989">
        <v>0</v>
      </c>
      <c r="BF3989">
        <v>0</v>
      </c>
      <c r="BG3989">
        <v>0</v>
      </c>
      <c r="BH3989">
        <v>1</v>
      </c>
      <c r="BI3989">
        <v>4</v>
      </c>
      <c r="BJ3989">
        <v>1.7</v>
      </c>
      <c r="BK3989">
        <v>4</v>
      </c>
      <c r="BL3989">
        <v>258.05</v>
      </c>
      <c r="BM3989">
        <v>38.71</v>
      </c>
      <c r="BN3989">
        <v>296.76</v>
      </c>
      <c r="BO3989">
        <v>296.76</v>
      </c>
      <c r="BQ3989" t="s">
        <v>2747</v>
      </c>
      <c r="BR3989" t="s">
        <v>84</v>
      </c>
      <c r="BS3989" t="s">
        <v>1540</v>
      </c>
      <c r="BV3989" t="s">
        <v>89</v>
      </c>
      <c r="BY3989">
        <v>8512</v>
      </c>
      <c r="CC3989" t="s">
        <v>1204</v>
      </c>
      <c r="CD3989">
        <v>6506</v>
      </c>
      <c r="CE3989" t="s">
        <v>96</v>
      </c>
      <c r="CI3989">
        <v>1</v>
      </c>
      <c r="CJ3989" t="s">
        <v>1540</v>
      </c>
      <c r="CK3989">
        <v>23</v>
      </c>
      <c r="CL3989" t="s">
        <v>89</v>
      </c>
    </row>
    <row r="3990" spans="1:90" x14ac:dyDescent="0.3">
      <c r="A3990" t="s">
        <v>72</v>
      </c>
      <c r="B3990" t="s">
        <v>73</v>
      </c>
      <c r="C3990" t="s">
        <v>74</v>
      </c>
      <c r="E3990" t="str">
        <f>"080065645808"</f>
        <v>080065645808</v>
      </c>
      <c r="F3990" s="3">
        <v>45806</v>
      </c>
      <c r="G3990">
        <v>202602</v>
      </c>
      <c r="H3990" t="s">
        <v>75</v>
      </c>
      <c r="I3990" t="s">
        <v>76</v>
      </c>
      <c r="J3990" t="s">
        <v>77</v>
      </c>
      <c r="K3990" t="s">
        <v>78</v>
      </c>
      <c r="L3990" t="s">
        <v>143</v>
      </c>
      <c r="M3990" t="s">
        <v>144</v>
      </c>
      <c r="N3990" t="s">
        <v>1009</v>
      </c>
      <c r="O3990" t="s">
        <v>82</v>
      </c>
      <c r="P3990" t="str">
        <f>"4170041473                    "</f>
        <v xml:space="preserve">4170041473                    </v>
      </c>
      <c r="Q3990">
        <v>0</v>
      </c>
      <c r="R3990">
        <v>0</v>
      </c>
      <c r="S3990">
        <v>0</v>
      </c>
      <c r="T3990">
        <v>0</v>
      </c>
      <c r="U3990">
        <v>0</v>
      </c>
      <c r="V3990">
        <v>0</v>
      </c>
      <c r="W3990">
        <v>0</v>
      </c>
      <c r="X3990">
        <v>0</v>
      </c>
      <c r="Y3990">
        <v>0</v>
      </c>
      <c r="Z3990">
        <v>0</v>
      </c>
      <c r="AA3990">
        <v>0</v>
      </c>
      <c r="AB3990">
        <v>0</v>
      </c>
      <c r="AC3990">
        <v>0</v>
      </c>
      <c r="AD3990">
        <v>0</v>
      </c>
      <c r="AE3990">
        <v>0</v>
      </c>
      <c r="AF3990">
        <v>0</v>
      </c>
      <c r="AG3990">
        <v>0</v>
      </c>
      <c r="AH3990">
        <v>0</v>
      </c>
      <c r="AI3990">
        <v>0</v>
      </c>
      <c r="AJ3990">
        <v>0</v>
      </c>
      <c r="AK3990">
        <v>0</v>
      </c>
      <c r="AL3990">
        <v>0</v>
      </c>
      <c r="AM3990">
        <v>0</v>
      </c>
      <c r="AN3990">
        <v>0</v>
      </c>
      <c r="AO3990">
        <v>0</v>
      </c>
      <c r="AP3990">
        <v>0</v>
      </c>
      <c r="AQ3990">
        <v>16.7</v>
      </c>
      <c r="AR3990">
        <v>0</v>
      </c>
      <c r="AS3990">
        <v>0</v>
      </c>
      <c r="AT3990">
        <v>0</v>
      </c>
      <c r="AU3990">
        <v>0</v>
      </c>
      <c r="AV3990">
        <v>0</v>
      </c>
      <c r="AW3990">
        <v>0</v>
      </c>
      <c r="AX3990">
        <v>0</v>
      </c>
      <c r="AY3990">
        <v>0</v>
      </c>
      <c r="AZ3990">
        <v>0</v>
      </c>
      <c r="BA3990">
        <v>0</v>
      </c>
      <c r="BB3990">
        <v>0</v>
      </c>
      <c r="BC3990">
        <v>0</v>
      </c>
      <c r="BD3990">
        <v>0</v>
      </c>
      <c r="BE3990">
        <v>0</v>
      </c>
      <c r="BF3990">
        <v>0</v>
      </c>
      <c r="BG3990">
        <v>0</v>
      </c>
      <c r="BH3990">
        <v>1</v>
      </c>
      <c r="BI3990">
        <v>1</v>
      </c>
      <c r="BJ3990">
        <v>0.2</v>
      </c>
      <c r="BK3990">
        <v>1</v>
      </c>
      <c r="BL3990">
        <v>54.66</v>
      </c>
      <c r="BM3990">
        <v>8.1999999999999993</v>
      </c>
      <c r="BN3990">
        <v>62.86</v>
      </c>
      <c r="BO3990">
        <v>62.86</v>
      </c>
      <c r="BQ3990" t="s">
        <v>1010</v>
      </c>
      <c r="BR3990" t="s">
        <v>84</v>
      </c>
      <c r="BS3990" s="3">
        <v>45807</v>
      </c>
      <c r="BT3990" s="4">
        <v>0.3347222222222222</v>
      </c>
      <c r="BU3990" t="s">
        <v>2532</v>
      </c>
      <c r="BV3990" t="s">
        <v>86</v>
      </c>
      <c r="BY3990">
        <v>1200</v>
      </c>
      <c r="CA3990" t="s">
        <v>150</v>
      </c>
      <c r="CC3990" t="s">
        <v>144</v>
      </c>
      <c r="CD3990">
        <v>1406</v>
      </c>
      <c r="CE3990" t="s">
        <v>88</v>
      </c>
      <c r="CI3990">
        <v>1</v>
      </c>
      <c r="CJ3990">
        <v>1</v>
      </c>
      <c r="CK3990">
        <v>22</v>
      </c>
      <c r="CL3990" t="s">
        <v>89</v>
      </c>
    </row>
    <row r="3991" spans="1:90" x14ac:dyDescent="0.3">
      <c r="A3991" t="s">
        <v>72</v>
      </c>
      <c r="B3991" t="s">
        <v>73</v>
      </c>
      <c r="C3991" t="s">
        <v>74</v>
      </c>
      <c r="E3991" t="str">
        <f>"080065645820"</f>
        <v>080065645820</v>
      </c>
      <c r="F3991" s="3">
        <v>45806</v>
      </c>
      <c r="G3991">
        <v>202602</v>
      </c>
      <c r="H3991" t="s">
        <v>75</v>
      </c>
      <c r="I3991" t="s">
        <v>76</v>
      </c>
      <c r="J3991" t="s">
        <v>77</v>
      </c>
      <c r="K3991" t="s">
        <v>78</v>
      </c>
      <c r="L3991" t="s">
        <v>123</v>
      </c>
      <c r="M3991" t="s">
        <v>123</v>
      </c>
      <c r="N3991" t="s">
        <v>766</v>
      </c>
      <c r="O3991" t="s">
        <v>82</v>
      </c>
      <c r="P3991" t="str">
        <f>"4170041443                    "</f>
        <v xml:space="preserve">4170041443                    </v>
      </c>
      <c r="Q3991">
        <v>0</v>
      </c>
      <c r="R3991">
        <v>0</v>
      </c>
      <c r="S3991">
        <v>0</v>
      </c>
      <c r="T3991">
        <v>0</v>
      </c>
      <c r="U3991">
        <v>0</v>
      </c>
      <c r="V3991">
        <v>0</v>
      </c>
      <c r="W3991">
        <v>0</v>
      </c>
      <c r="X3991">
        <v>0</v>
      </c>
      <c r="Y3991">
        <v>0</v>
      </c>
      <c r="Z3991">
        <v>0</v>
      </c>
      <c r="AA3991">
        <v>0</v>
      </c>
      <c r="AB3991">
        <v>0</v>
      </c>
      <c r="AC3991">
        <v>0</v>
      </c>
      <c r="AD3991">
        <v>0</v>
      </c>
      <c r="AE3991">
        <v>0</v>
      </c>
      <c r="AF3991">
        <v>0</v>
      </c>
      <c r="AG3991">
        <v>0</v>
      </c>
      <c r="AH3991">
        <v>0</v>
      </c>
      <c r="AI3991">
        <v>0</v>
      </c>
      <c r="AJ3991">
        <v>0</v>
      </c>
      <c r="AK3991">
        <v>0</v>
      </c>
      <c r="AL3991">
        <v>0</v>
      </c>
      <c r="AM3991">
        <v>0</v>
      </c>
      <c r="AN3991">
        <v>0</v>
      </c>
      <c r="AO3991">
        <v>0</v>
      </c>
      <c r="AP3991">
        <v>0</v>
      </c>
      <c r="AQ3991">
        <v>41.43</v>
      </c>
      <c r="AR3991">
        <v>0</v>
      </c>
      <c r="AS3991">
        <v>0</v>
      </c>
      <c r="AT3991">
        <v>0</v>
      </c>
      <c r="AU3991">
        <v>0</v>
      </c>
      <c r="AV3991">
        <v>0</v>
      </c>
      <c r="AW3991">
        <v>0</v>
      </c>
      <c r="AX3991">
        <v>0</v>
      </c>
      <c r="AY3991">
        <v>0</v>
      </c>
      <c r="AZ3991">
        <v>0</v>
      </c>
      <c r="BA3991">
        <v>0</v>
      </c>
      <c r="BB3991">
        <v>0</v>
      </c>
      <c r="BC3991">
        <v>0</v>
      </c>
      <c r="BD3991">
        <v>0</v>
      </c>
      <c r="BE3991">
        <v>0</v>
      </c>
      <c r="BF3991">
        <v>0</v>
      </c>
      <c r="BG3991">
        <v>0</v>
      </c>
      <c r="BH3991">
        <v>1</v>
      </c>
      <c r="BI3991">
        <v>2</v>
      </c>
      <c r="BJ3991">
        <v>1</v>
      </c>
      <c r="BK3991">
        <v>2</v>
      </c>
      <c r="BL3991">
        <v>135.59</v>
      </c>
      <c r="BM3991">
        <v>20.34</v>
      </c>
      <c r="BN3991">
        <v>155.93</v>
      </c>
      <c r="BO3991">
        <v>155.93</v>
      </c>
      <c r="BQ3991" t="s">
        <v>767</v>
      </c>
      <c r="BR3991" t="s">
        <v>84</v>
      </c>
      <c r="BS3991" t="s">
        <v>1540</v>
      </c>
      <c r="BV3991" t="s">
        <v>89</v>
      </c>
      <c r="BY3991">
        <v>4752</v>
      </c>
      <c r="CC3991" t="s">
        <v>123</v>
      </c>
      <c r="CD3991">
        <v>7646</v>
      </c>
      <c r="CE3991" t="s">
        <v>221</v>
      </c>
      <c r="CI3991">
        <v>1</v>
      </c>
      <c r="CJ3991" t="s">
        <v>1540</v>
      </c>
      <c r="CK3991">
        <v>23</v>
      </c>
      <c r="CL3991" t="s">
        <v>89</v>
      </c>
    </row>
    <row r="3992" spans="1:90" x14ac:dyDescent="0.3">
      <c r="A3992" t="s">
        <v>72</v>
      </c>
      <c r="B3992" t="s">
        <v>73</v>
      </c>
      <c r="C3992" t="s">
        <v>74</v>
      </c>
      <c r="E3992" t="str">
        <f>"080065645870"</f>
        <v>080065645870</v>
      </c>
      <c r="F3992" s="3">
        <v>45806</v>
      </c>
      <c r="G3992">
        <v>202602</v>
      </c>
      <c r="H3992" t="s">
        <v>75</v>
      </c>
      <c r="I3992" t="s">
        <v>76</v>
      </c>
      <c r="J3992" t="s">
        <v>77</v>
      </c>
      <c r="K3992" t="s">
        <v>78</v>
      </c>
      <c r="L3992" t="s">
        <v>90</v>
      </c>
      <c r="M3992" t="s">
        <v>91</v>
      </c>
      <c r="N3992" t="s">
        <v>841</v>
      </c>
      <c r="O3992" t="s">
        <v>82</v>
      </c>
      <c r="P3992" t="str">
        <f>"4170041428                    "</f>
        <v xml:space="preserve">4170041428                    </v>
      </c>
      <c r="Q3992">
        <v>0</v>
      </c>
      <c r="R3992">
        <v>0</v>
      </c>
      <c r="S3992">
        <v>0</v>
      </c>
      <c r="T3992">
        <v>0</v>
      </c>
      <c r="U3992">
        <v>0</v>
      </c>
      <c r="V3992">
        <v>0</v>
      </c>
      <c r="W3992">
        <v>0</v>
      </c>
      <c r="X3992">
        <v>0</v>
      </c>
      <c r="Y3992">
        <v>0</v>
      </c>
      <c r="Z3992">
        <v>0</v>
      </c>
      <c r="AA3992">
        <v>0</v>
      </c>
      <c r="AB3992">
        <v>0</v>
      </c>
      <c r="AC3992">
        <v>0</v>
      </c>
      <c r="AD3992">
        <v>0</v>
      </c>
      <c r="AE3992">
        <v>0</v>
      </c>
      <c r="AF3992">
        <v>0</v>
      </c>
      <c r="AG3992">
        <v>0</v>
      </c>
      <c r="AH3992">
        <v>0</v>
      </c>
      <c r="AI3992">
        <v>0</v>
      </c>
      <c r="AJ3992">
        <v>0</v>
      </c>
      <c r="AK3992">
        <v>0</v>
      </c>
      <c r="AL3992">
        <v>0</v>
      </c>
      <c r="AM3992">
        <v>0</v>
      </c>
      <c r="AN3992">
        <v>0</v>
      </c>
      <c r="AO3992">
        <v>0</v>
      </c>
      <c r="AP3992">
        <v>0</v>
      </c>
      <c r="AQ3992">
        <v>21.38</v>
      </c>
      <c r="AR3992">
        <v>0</v>
      </c>
      <c r="AS3992">
        <v>0</v>
      </c>
      <c r="AT3992">
        <v>0</v>
      </c>
      <c r="AU3992">
        <v>0</v>
      </c>
      <c r="AV3992">
        <v>0</v>
      </c>
      <c r="AW3992">
        <v>0</v>
      </c>
      <c r="AX3992">
        <v>0</v>
      </c>
      <c r="AY3992">
        <v>0</v>
      </c>
      <c r="AZ3992">
        <v>0</v>
      </c>
      <c r="BA3992">
        <v>0</v>
      </c>
      <c r="BB3992">
        <v>0</v>
      </c>
      <c r="BC3992">
        <v>0</v>
      </c>
      <c r="BD3992">
        <v>0</v>
      </c>
      <c r="BE3992">
        <v>0</v>
      </c>
      <c r="BF3992">
        <v>0</v>
      </c>
      <c r="BG3992">
        <v>0</v>
      </c>
      <c r="BH3992">
        <v>1</v>
      </c>
      <c r="BI3992">
        <v>1</v>
      </c>
      <c r="BJ3992">
        <v>0.2</v>
      </c>
      <c r="BK3992">
        <v>1</v>
      </c>
      <c r="BL3992">
        <v>69.98</v>
      </c>
      <c r="BM3992">
        <v>10.5</v>
      </c>
      <c r="BN3992">
        <v>80.48</v>
      </c>
      <c r="BO3992">
        <v>80.48</v>
      </c>
      <c r="BQ3992" t="s">
        <v>842</v>
      </c>
      <c r="BR3992" t="s">
        <v>84</v>
      </c>
      <c r="BS3992" t="s">
        <v>1540</v>
      </c>
      <c r="BV3992" t="s">
        <v>89</v>
      </c>
      <c r="BY3992">
        <v>1200</v>
      </c>
      <c r="CC3992" t="s">
        <v>91</v>
      </c>
      <c r="CD3992">
        <v>6001</v>
      </c>
      <c r="CE3992" t="s">
        <v>88</v>
      </c>
      <c r="CI3992">
        <v>1</v>
      </c>
      <c r="CJ3992" t="s">
        <v>1540</v>
      </c>
      <c r="CK3992">
        <v>21</v>
      </c>
      <c r="CL3992" t="s">
        <v>89</v>
      </c>
    </row>
    <row r="3993" spans="1:90" x14ac:dyDescent="0.3">
      <c r="A3993" t="s">
        <v>72</v>
      </c>
      <c r="B3993" t="s">
        <v>73</v>
      </c>
      <c r="C3993" t="s">
        <v>74</v>
      </c>
      <c r="E3993" t="str">
        <f>"080065645898"</f>
        <v>080065645898</v>
      </c>
      <c r="F3993" s="3">
        <v>45806</v>
      </c>
      <c r="G3993">
        <v>202602</v>
      </c>
      <c r="H3993" t="s">
        <v>75</v>
      </c>
      <c r="I3993" t="s">
        <v>76</v>
      </c>
      <c r="J3993" t="s">
        <v>77</v>
      </c>
      <c r="K3993" t="s">
        <v>78</v>
      </c>
      <c r="L3993" t="s">
        <v>902</v>
      </c>
      <c r="M3993" t="s">
        <v>903</v>
      </c>
      <c r="N3993" t="s">
        <v>1303</v>
      </c>
      <c r="O3993" t="s">
        <v>82</v>
      </c>
      <c r="P3993" t="str">
        <f>"4170041431                    "</f>
        <v xml:space="preserve">4170041431                    </v>
      </c>
      <c r="Q3993">
        <v>0</v>
      </c>
      <c r="R3993">
        <v>0</v>
      </c>
      <c r="S3993">
        <v>0</v>
      </c>
      <c r="T3993">
        <v>0</v>
      </c>
      <c r="U3993">
        <v>0</v>
      </c>
      <c r="V3993">
        <v>0</v>
      </c>
      <c r="W3993">
        <v>0</v>
      </c>
      <c r="X3993">
        <v>0</v>
      </c>
      <c r="Y3993">
        <v>0</v>
      </c>
      <c r="Z3993">
        <v>0</v>
      </c>
      <c r="AA3993">
        <v>0</v>
      </c>
      <c r="AB3993">
        <v>0</v>
      </c>
      <c r="AC3993">
        <v>0</v>
      </c>
      <c r="AD3993">
        <v>0</v>
      </c>
      <c r="AE3993">
        <v>0</v>
      </c>
      <c r="AF3993">
        <v>0</v>
      </c>
      <c r="AG3993">
        <v>0</v>
      </c>
      <c r="AH3993">
        <v>0</v>
      </c>
      <c r="AI3993">
        <v>0</v>
      </c>
      <c r="AJ3993">
        <v>0</v>
      </c>
      <c r="AK3993">
        <v>0</v>
      </c>
      <c r="AL3993">
        <v>0</v>
      </c>
      <c r="AM3993">
        <v>0</v>
      </c>
      <c r="AN3993">
        <v>0</v>
      </c>
      <c r="AO3993">
        <v>0</v>
      </c>
      <c r="AP3993">
        <v>0</v>
      </c>
      <c r="AQ3993">
        <v>41.43</v>
      </c>
      <c r="AR3993">
        <v>0</v>
      </c>
      <c r="AS3993">
        <v>0</v>
      </c>
      <c r="AT3993">
        <v>0</v>
      </c>
      <c r="AU3993">
        <v>0</v>
      </c>
      <c r="AV3993">
        <v>0</v>
      </c>
      <c r="AW3993">
        <v>0</v>
      </c>
      <c r="AX3993">
        <v>0</v>
      </c>
      <c r="AY3993">
        <v>0</v>
      </c>
      <c r="AZ3993">
        <v>0</v>
      </c>
      <c r="BA3993">
        <v>0</v>
      </c>
      <c r="BB3993">
        <v>0</v>
      </c>
      <c r="BC3993">
        <v>0</v>
      </c>
      <c r="BD3993">
        <v>0</v>
      </c>
      <c r="BE3993">
        <v>0</v>
      </c>
      <c r="BF3993">
        <v>0</v>
      </c>
      <c r="BG3993">
        <v>0</v>
      </c>
      <c r="BH3993">
        <v>1</v>
      </c>
      <c r="BI3993">
        <v>1</v>
      </c>
      <c r="BJ3993">
        <v>0.2</v>
      </c>
      <c r="BK3993">
        <v>1</v>
      </c>
      <c r="BL3993">
        <v>135.59</v>
      </c>
      <c r="BM3993">
        <v>20.34</v>
      </c>
      <c r="BN3993">
        <v>155.93</v>
      </c>
      <c r="BO3993">
        <v>155.93</v>
      </c>
      <c r="BQ3993" t="s">
        <v>1304</v>
      </c>
      <c r="BR3993" t="s">
        <v>84</v>
      </c>
      <c r="BS3993" t="s">
        <v>1540</v>
      </c>
      <c r="BV3993" t="s">
        <v>89</v>
      </c>
      <c r="BY3993">
        <v>1200</v>
      </c>
      <c r="CC3993" t="s">
        <v>903</v>
      </c>
      <c r="CD3993">
        <v>1020</v>
      </c>
      <c r="CE3993" t="s">
        <v>88</v>
      </c>
      <c r="CI3993">
        <v>1</v>
      </c>
      <c r="CJ3993" t="s">
        <v>1540</v>
      </c>
      <c r="CK3993">
        <v>23</v>
      </c>
      <c r="CL3993" t="s">
        <v>89</v>
      </c>
    </row>
    <row r="3994" spans="1:90" x14ac:dyDescent="0.3">
      <c r="A3994" t="s">
        <v>72</v>
      </c>
      <c r="B3994" t="s">
        <v>73</v>
      </c>
      <c r="C3994" t="s">
        <v>74</v>
      </c>
      <c r="E3994" t="str">
        <f>"080065645914"</f>
        <v>080065645914</v>
      </c>
      <c r="F3994" s="3">
        <v>45806</v>
      </c>
      <c r="G3994">
        <v>202602</v>
      </c>
      <c r="H3994" t="s">
        <v>75</v>
      </c>
      <c r="I3994" t="s">
        <v>76</v>
      </c>
      <c r="J3994" t="s">
        <v>77</v>
      </c>
      <c r="K3994" t="s">
        <v>78</v>
      </c>
      <c r="L3994" t="s">
        <v>3475</v>
      </c>
      <c r="M3994" t="s">
        <v>3476</v>
      </c>
      <c r="N3994" t="s">
        <v>3477</v>
      </c>
      <c r="O3994" t="s">
        <v>82</v>
      </c>
      <c r="P3994" t="str">
        <f>"4170041411                    "</f>
        <v xml:space="preserve">4170041411                    </v>
      </c>
      <c r="Q3994">
        <v>0</v>
      </c>
      <c r="R3994">
        <v>0</v>
      </c>
      <c r="S3994">
        <v>0</v>
      </c>
      <c r="T3994">
        <v>0</v>
      </c>
      <c r="U3994">
        <v>0</v>
      </c>
      <c r="V3994">
        <v>0</v>
      </c>
      <c r="W3994">
        <v>0</v>
      </c>
      <c r="X3994">
        <v>0</v>
      </c>
      <c r="Y3994">
        <v>0</v>
      </c>
      <c r="Z3994">
        <v>0</v>
      </c>
      <c r="AA3994">
        <v>0</v>
      </c>
      <c r="AB3994">
        <v>0</v>
      </c>
      <c r="AC3994">
        <v>0</v>
      </c>
      <c r="AD3994">
        <v>0</v>
      </c>
      <c r="AE3994">
        <v>0</v>
      </c>
      <c r="AF3994">
        <v>0</v>
      </c>
      <c r="AG3994">
        <v>0</v>
      </c>
      <c r="AH3994">
        <v>0</v>
      </c>
      <c r="AI3994">
        <v>0</v>
      </c>
      <c r="AJ3994">
        <v>0</v>
      </c>
      <c r="AK3994">
        <v>0</v>
      </c>
      <c r="AL3994">
        <v>0</v>
      </c>
      <c r="AM3994">
        <v>0</v>
      </c>
      <c r="AN3994">
        <v>0</v>
      </c>
      <c r="AO3994">
        <v>0</v>
      </c>
      <c r="AP3994">
        <v>0</v>
      </c>
      <c r="AQ3994">
        <v>41.43</v>
      </c>
      <c r="AR3994">
        <v>0</v>
      </c>
      <c r="AS3994">
        <v>0</v>
      </c>
      <c r="AT3994">
        <v>0</v>
      </c>
      <c r="AU3994">
        <v>0</v>
      </c>
      <c r="AV3994">
        <v>0</v>
      </c>
      <c r="AW3994">
        <v>0</v>
      </c>
      <c r="AX3994">
        <v>0</v>
      </c>
      <c r="AY3994">
        <v>0</v>
      </c>
      <c r="AZ3994">
        <v>0</v>
      </c>
      <c r="BA3994">
        <v>0</v>
      </c>
      <c r="BB3994">
        <v>0</v>
      </c>
      <c r="BC3994">
        <v>0</v>
      </c>
      <c r="BD3994">
        <v>0</v>
      </c>
      <c r="BE3994">
        <v>0</v>
      </c>
      <c r="BF3994">
        <v>0</v>
      </c>
      <c r="BG3994">
        <v>0</v>
      </c>
      <c r="BH3994">
        <v>1</v>
      </c>
      <c r="BI3994">
        <v>2</v>
      </c>
      <c r="BJ3994">
        <v>1.7</v>
      </c>
      <c r="BK3994">
        <v>2</v>
      </c>
      <c r="BL3994">
        <v>135.59</v>
      </c>
      <c r="BM3994">
        <v>20.34</v>
      </c>
      <c r="BN3994">
        <v>155.93</v>
      </c>
      <c r="BO3994">
        <v>155.93</v>
      </c>
      <c r="BQ3994" t="s">
        <v>3478</v>
      </c>
      <c r="BR3994" t="s">
        <v>84</v>
      </c>
      <c r="BS3994" t="s">
        <v>1540</v>
      </c>
      <c r="BV3994" t="s">
        <v>89</v>
      </c>
      <c r="BY3994">
        <v>8512</v>
      </c>
      <c r="CC3994" t="s">
        <v>3476</v>
      </c>
      <c r="CD3994">
        <v>9460</v>
      </c>
      <c r="CE3994" t="s">
        <v>116</v>
      </c>
      <c r="CI3994">
        <v>1</v>
      </c>
      <c r="CJ3994" t="s">
        <v>1540</v>
      </c>
      <c r="CK3994">
        <v>23</v>
      </c>
      <c r="CL3994" t="s">
        <v>89</v>
      </c>
    </row>
    <row r="3995" spans="1:90" x14ac:dyDescent="0.3">
      <c r="A3995" t="s">
        <v>72</v>
      </c>
      <c r="B3995" t="s">
        <v>73</v>
      </c>
      <c r="C3995" t="s">
        <v>74</v>
      </c>
      <c r="E3995" t="str">
        <f>"080065645931"</f>
        <v>080065645931</v>
      </c>
      <c r="F3995" s="3">
        <v>45806</v>
      </c>
      <c r="G3995">
        <v>202602</v>
      </c>
      <c r="H3995" t="s">
        <v>75</v>
      </c>
      <c r="I3995" t="s">
        <v>76</v>
      </c>
      <c r="J3995" t="s">
        <v>77</v>
      </c>
      <c r="K3995" t="s">
        <v>78</v>
      </c>
      <c r="L3995" t="s">
        <v>331</v>
      </c>
      <c r="M3995" t="s">
        <v>332</v>
      </c>
      <c r="N3995" t="s">
        <v>333</v>
      </c>
      <c r="O3995" t="s">
        <v>82</v>
      </c>
      <c r="P3995" t="str">
        <f>"4170041391                    "</f>
        <v xml:space="preserve">4170041391                    </v>
      </c>
      <c r="Q3995">
        <v>0</v>
      </c>
      <c r="R3995">
        <v>0</v>
      </c>
      <c r="S3995">
        <v>0</v>
      </c>
      <c r="T3995">
        <v>0</v>
      </c>
      <c r="U3995">
        <v>0</v>
      </c>
      <c r="V3995">
        <v>0</v>
      </c>
      <c r="W3995">
        <v>0</v>
      </c>
      <c r="X3995">
        <v>0</v>
      </c>
      <c r="Y3995">
        <v>0</v>
      </c>
      <c r="Z3995">
        <v>0</v>
      </c>
      <c r="AA3995">
        <v>0</v>
      </c>
      <c r="AB3995">
        <v>0</v>
      </c>
      <c r="AC3995">
        <v>0</v>
      </c>
      <c r="AD3995">
        <v>0</v>
      </c>
      <c r="AE3995">
        <v>0</v>
      </c>
      <c r="AF3995">
        <v>0</v>
      </c>
      <c r="AG3995">
        <v>0</v>
      </c>
      <c r="AH3995">
        <v>0</v>
      </c>
      <c r="AI3995">
        <v>0</v>
      </c>
      <c r="AJ3995">
        <v>0</v>
      </c>
      <c r="AK3995">
        <v>0</v>
      </c>
      <c r="AL3995">
        <v>0</v>
      </c>
      <c r="AM3995">
        <v>0</v>
      </c>
      <c r="AN3995">
        <v>0</v>
      </c>
      <c r="AO3995">
        <v>0</v>
      </c>
      <c r="AP3995">
        <v>0</v>
      </c>
      <c r="AQ3995">
        <v>16.7</v>
      </c>
      <c r="AR3995">
        <v>0</v>
      </c>
      <c r="AS3995">
        <v>0</v>
      </c>
      <c r="AT3995">
        <v>0</v>
      </c>
      <c r="AU3995">
        <v>0</v>
      </c>
      <c r="AV3995">
        <v>0</v>
      </c>
      <c r="AW3995">
        <v>0</v>
      </c>
      <c r="AX3995">
        <v>0</v>
      </c>
      <c r="AY3995">
        <v>0</v>
      </c>
      <c r="AZ3995">
        <v>0</v>
      </c>
      <c r="BA3995">
        <v>0</v>
      </c>
      <c r="BB3995">
        <v>0</v>
      </c>
      <c r="BC3995">
        <v>0</v>
      </c>
      <c r="BD3995">
        <v>0</v>
      </c>
      <c r="BE3995">
        <v>0</v>
      </c>
      <c r="BF3995">
        <v>0</v>
      </c>
      <c r="BG3995">
        <v>0</v>
      </c>
      <c r="BH3995">
        <v>1</v>
      </c>
      <c r="BI3995">
        <v>1</v>
      </c>
      <c r="BJ3995">
        <v>0.2</v>
      </c>
      <c r="BK3995">
        <v>1</v>
      </c>
      <c r="BL3995">
        <v>54.66</v>
      </c>
      <c r="BM3995">
        <v>8.1999999999999993</v>
      </c>
      <c r="BN3995">
        <v>62.86</v>
      </c>
      <c r="BO3995">
        <v>62.86</v>
      </c>
      <c r="BQ3995" t="s">
        <v>334</v>
      </c>
      <c r="BR3995" t="s">
        <v>84</v>
      </c>
      <c r="BS3995" t="s">
        <v>1540</v>
      </c>
      <c r="BV3995" t="s">
        <v>89</v>
      </c>
      <c r="BY3995">
        <v>1200</v>
      </c>
      <c r="CC3995" t="s">
        <v>332</v>
      </c>
      <c r="CD3995">
        <v>1451</v>
      </c>
      <c r="CE3995" t="s">
        <v>88</v>
      </c>
      <c r="CI3995">
        <v>1</v>
      </c>
      <c r="CJ3995" t="s">
        <v>1540</v>
      </c>
      <c r="CK3995">
        <v>22</v>
      </c>
      <c r="CL3995" t="s">
        <v>89</v>
      </c>
    </row>
    <row r="3996" spans="1:90" x14ac:dyDescent="0.3">
      <c r="A3996" t="s">
        <v>72</v>
      </c>
      <c r="B3996" t="s">
        <v>73</v>
      </c>
      <c r="C3996" t="s">
        <v>74</v>
      </c>
      <c r="E3996" t="str">
        <f>"080065645970"</f>
        <v>080065645970</v>
      </c>
      <c r="F3996" s="3">
        <v>45806</v>
      </c>
      <c r="G3996">
        <v>202602</v>
      </c>
      <c r="H3996" t="s">
        <v>75</v>
      </c>
      <c r="I3996" t="s">
        <v>76</v>
      </c>
      <c r="J3996" t="s">
        <v>77</v>
      </c>
      <c r="K3996" t="s">
        <v>78</v>
      </c>
      <c r="L3996" t="s">
        <v>79</v>
      </c>
      <c r="M3996" t="s">
        <v>80</v>
      </c>
      <c r="N3996" t="s">
        <v>452</v>
      </c>
      <c r="O3996" t="s">
        <v>82</v>
      </c>
      <c r="P3996" t="str">
        <f>"4170041414                    "</f>
        <v xml:space="preserve">4170041414                    </v>
      </c>
      <c r="Q3996">
        <v>0</v>
      </c>
      <c r="R3996">
        <v>0</v>
      </c>
      <c r="S3996">
        <v>0</v>
      </c>
      <c r="T3996">
        <v>0</v>
      </c>
      <c r="U3996">
        <v>0</v>
      </c>
      <c r="V3996">
        <v>0</v>
      </c>
      <c r="W3996">
        <v>0</v>
      </c>
      <c r="X3996">
        <v>0</v>
      </c>
      <c r="Y3996">
        <v>0</v>
      </c>
      <c r="Z3996">
        <v>0</v>
      </c>
      <c r="AA3996">
        <v>0</v>
      </c>
      <c r="AB3996">
        <v>0</v>
      </c>
      <c r="AC3996">
        <v>0</v>
      </c>
      <c r="AD3996">
        <v>0</v>
      </c>
      <c r="AE3996">
        <v>0</v>
      </c>
      <c r="AF3996">
        <v>0</v>
      </c>
      <c r="AG3996">
        <v>0</v>
      </c>
      <c r="AH3996">
        <v>0</v>
      </c>
      <c r="AI3996">
        <v>0</v>
      </c>
      <c r="AJ3996">
        <v>0</v>
      </c>
      <c r="AK3996">
        <v>0</v>
      </c>
      <c r="AL3996">
        <v>0</v>
      </c>
      <c r="AM3996">
        <v>0</v>
      </c>
      <c r="AN3996">
        <v>0</v>
      </c>
      <c r="AO3996">
        <v>0</v>
      </c>
      <c r="AP3996">
        <v>0</v>
      </c>
      <c r="AQ3996">
        <v>21.38</v>
      </c>
      <c r="AR3996">
        <v>0</v>
      </c>
      <c r="AS3996">
        <v>0</v>
      </c>
      <c r="AT3996">
        <v>0</v>
      </c>
      <c r="AU3996">
        <v>0</v>
      </c>
      <c r="AV3996">
        <v>0</v>
      </c>
      <c r="AW3996">
        <v>0</v>
      </c>
      <c r="AX3996">
        <v>0</v>
      </c>
      <c r="AY3996">
        <v>0</v>
      </c>
      <c r="AZ3996">
        <v>0</v>
      </c>
      <c r="BA3996">
        <v>0</v>
      </c>
      <c r="BB3996">
        <v>0</v>
      </c>
      <c r="BC3996">
        <v>0</v>
      </c>
      <c r="BD3996">
        <v>0</v>
      </c>
      <c r="BE3996">
        <v>0</v>
      </c>
      <c r="BF3996">
        <v>0</v>
      </c>
      <c r="BG3996">
        <v>0</v>
      </c>
      <c r="BH3996">
        <v>1</v>
      </c>
      <c r="BI3996">
        <v>2</v>
      </c>
      <c r="BJ3996">
        <v>0.9</v>
      </c>
      <c r="BK3996">
        <v>2</v>
      </c>
      <c r="BL3996">
        <v>69.98</v>
      </c>
      <c r="BM3996">
        <v>10.5</v>
      </c>
      <c r="BN3996">
        <v>80.48</v>
      </c>
      <c r="BO3996">
        <v>80.48</v>
      </c>
      <c r="BQ3996" t="s">
        <v>453</v>
      </c>
      <c r="BR3996" t="s">
        <v>84</v>
      </c>
      <c r="BS3996" t="s">
        <v>1540</v>
      </c>
      <c r="BV3996" t="s">
        <v>89</v>
      </c>
      <c r="BY3996">
        <v>4275</v>
      </c>
      <c r="CC3996" t="s">
        <v>80</v>
      </c>
      <c r="CD3996">
        <v>3610</v>
      </c>
      <c r="CE3996" t="s">
        <v>116</v>
      </c>
      <c r="CI3996">
        <v>1</v>
      </c>
      <c r="CJ3996" t="s">
        <v>1540</v>
      </c>
      <c r="CK3996">
        <v>21</v>
      </c>
      <c r="CL3996" t="s">
        <v>89</v>
      </c>
    </row>
    <row r="3997" spans="1:90" x14ac:dyDescent="0.3">
      <c r="A3997" t="s">
        <v>72</v>
      </c>
      <c r="B3997" t="s">
        <v>73</v>
      </c>
      <c r="C3997" t="s">
        <v>74</v>
      </c>
      <c r="E3997" t="str">
        <f>"080065645982"</f>
        <v>080065645982</v>
      </c>
      <c r="F3997" s="3">
        <v>45806</v>
      </c>
      <c r="G3997">
        <v>202602</v>
      </c>
      <c r="H3997" t="s">
        <v>75</v>
      </c>
      <c r="I3997" t="s">
        <v>76</v>
      </c>
      <c r="J3997" t="s">
        <v>77</v>
      </c>
      <c r="K3997" t="s">
        <v>78</v>
      </c>
      <c r="L3997" t="s">
        <v>117</v>
      </c>
      <c r="M3997" t="s">
        <v>118</v>
      </c>
      <c r="N3997" t="s">
        <v>2226</v>
      </c>
      <c r="O3997" t="s">
        <v>82</v>
      </c>
      <c r="P3997" t="str">
        <f>"4170041477                    "</f>
        <v xml:space="preserve">4170041477                    </v>
      </c>
      <c r="Q3997">
        <v>0</v>
      </c>
      <c r="R3997">
        <v>0</v>
      </c>
      <c r="S3997">
        <v>0</v>
      </c>
      <c r="T3997">
        <v>0</v>
      </c>
      <c r="U3997">
        <v>0</v>
      </c>
      <c r="V3997">
        <v>0</v>
      </c>
      <c r="W3997">
        <v>0</v>
      </c>
      <c r="X3997">
        <v>0</v>
      </c>
      <c r="Y3997">
        <v>0</v>
      </c>
      <c r="Z3997">
        <v>0</v>
      </c>
      <c r="AA3997">
        <v>0</v>
      </c>
      <c r="AB3997">
        <v>0</v>
      </c>
      <c r="AC3997">
        <v>0</v>
      </c>
      <c r="AD3997">
        <v>0</v>
      </c>
      <c r="AE3997">
        <v>0</v>
      </c>
      <c r="AF3997">
        <v>0</v>
      </c>
      <c r="AG3997">
        <v>0</v>
      </c>
      <c r="AH3997">
        <v>0</v>
      </c>
      <c r="AI3997">
        <v>0</v>
      </c>
      <c r="AJ3997">
        <v>0</v>
      </c>
      <c r="AK3997">
        <v>0</v>
      </c>
      <c r="AL3997">
        <v>0</v>
      </c>
      <c r="AM3997">
        <v>0</v>
      </c>
      <c r="AN3997">
        <v>0</v>
      </c>
      <c r="AO3997">
        <v>0</v>
      </c>
      <c r="AP3997">
        <v>0</v>
      </c>
      <c r="AQ3997">
        <v>16.7</v>
      </c>
      <c r="AR3997">
        <v>0</v>
      </c>
      <c r="AS3997">
        <v>0</v>
      </c>
      <c r="AT3997">
        <v>0</v>
      </c>
      <c r="AU3997">
        <v>0</v>
      </c>
      <c r="AV3997">
        <v>0</v>
      </c>
      <c r="AW3997">
        <v>0</v>
      </c>
      <c r="AX3997">
        <v>0</v>
      </c>
      <c r="AY3997">
        <v>0</v>
      </c>
      <c r="AZ3997">
        <v>0</v>
      </c>
      <c r="BA3997">
        <v>0</v>
      </c>
      <c r="BB3997">
        <v>0</v>
      </c>
      <c r="BC3997">
        <v>0</v>
      </c>
      <c r="BD3997">
        <v>0</v>
      </c>
      <c r="BE3997">
        <v>0</v>
      </c>
      <c r="BF3997">
        <v>0</v>
      </c>
      <c r="BG3997">
        <v>0</v>
      </c>
      <c r="BH3997">
        <v>1</v>
      </c>
      <c r="BI3997">
        <v>1</v>
      </c>
      <c r="BJ3997">
        <v>0.2</v>
      </c>
      <c r="BK3997">
        <v>1</v>
      </c>
      <c r="BL3997">
        <v>54.66</v>
      </c>
      <c r="BM3997">
        <v>8.1999999999999993</v>
      </c>
      <c r="BN3997">
        <v>62.86</v>
      </c>
      <c r="BO3997">
        <v>62.86</v>
      </c>
      <c r="BQ3997" t="s">
        <v>2227</v>
      </c>
      <c r="BR3997" t="s">
        <v>84</v>
      </c>
      <c r="BS3997" t="s">
        <v>1540</v>
      </c>
      <c r="BV3997" t="s">
        <v>89</v>
      </c>
      <c r="BY3997">
        <v>1200</v>
      </c>
      <c r="CC3997" t="s">
        <v>118</v>
      </c>
      <c r="CD3997">
        <v>2197</v>
      </c>
      <c r="CE3997" t="s">
        <v>88</v>
      </c>
      <c r="CI3997">
        <v>1</v>
      </c>
      <c r="CJ3997" t="s">
        <v>1540</v>
      </c>
      <c r="CK3997">
        <v>22</v>
      </c>
      <c r="CL3997" t="s">
        <v>89</v>
      </c>
    </row>
    <row r="3998" spans="1:90" x14ac:dyDescent="0.3">
      <c r="A3998" t="s">
        <v>72</v>
      </c>
      <c r="B3998" t="s">
        <v>73</v>
      </c>
      <c r="C3998" t="s">
        <v>74</v>
      </c>
      <c r="E3998" t="str">
        <f>"080065646030"</f>
        <v>080065646030</v>
      </c>
      <c r="F3998" s="3">
        <v>45806</v>
      </c>
      <c r="G3998">
        <v>202602</v>
      </c>
      <c r="H3998" t="s">
        <v>75</v>
      </c>
      <c r="I3998" t="s">
        <v>76</v>
      </c>
      <c r="J3998" t="s">
        <v>77</v>
      </c>
      <c r="K3998" t="s">
        <v>78</v>
      </c>
      <c r="L3998" t="s">
        <v>130</v>
      </c>
      <c r="M3998" t="s">
        <v>131</v>
      </c>
      <c r="N3998" t="s">
        <v>665</v>
      </c>
      <c r="O3998" t="s">
        <v>82</v>
      </c>
      <c r="P3998" t="str">
        <f>"4170041378                    "</f>
        <v xml:space="preserve">4170041378                    </v>
      </c>
      <c r="Q3998">
        <v>0</v>
      </c>
      <c r="R3998">
        <v>0</v>
      </c>
      <c r="S3998">
        <v>0</v>
      </c>
      <c r="T3998">
        <v>0</v>
      </c>
      <c r="U3998">
        <v>0</v>
      </c>
      <c r="V3998">
        <v>0</v>
      </c>
      <c r="W3998">
        <v>0</v>
      </c>
      <c r="X3998">
        <v>0</v>
      </c>
      <c r="Y3998">
        <v>0</v>
      </c>
      <c r="Z3998">
        <v>0</v>
      </c>
      <c r="AA3998">
        <v>0</v>
      </c>
      <c r="AB3998">
        <v>0</v>
      </c>
      <c r="AC3998">
        <v>0</v>
      </c>
      <c r="AD3998">
        <v>0</v>
      </c>
      <c r="AE3998">
        <v>0</v>
      </c>
      <c r="AF3998">
        <v>0</v>
      </c>
      <c r="AG3998">
        <v>0</v>
      </c>
      <c r="AH3998">
        <v>0</v>
      </c>
      <c r="AI3998">
        <v>0</v>
      </c>
      <c r="AJ3998">
        <v>0</v>
      </c>
      <c r="AK3998">
        <v>0</v>
      </c>
      <c r="AL3998">
        <v>0</v>
      </c>
      <c r="AM3998">
        <v>0</v>
      </c>
      <c r="AN3998">
        <v>0</v>
      </c>
      <c r="AO3998">
        <v>0</v>
      </c>
      <c r="AP3998">
        <v>0</v>
      </c>
      <c r="AQ3998">
        <v>21.38</v>
      </c>
      <c r="AR3998">
        <v>0</v>
      </c>
      <c r="AS3998">
        <v>0</v>
      </c>
      <c r="AT3998">
        <v>0</v>
      </c>
      <c r="AU3998">
        <v>0</v>
      </c>
      <c r="AV3998">
        <v>0</v>
      </c>
      <c r="AW3998">
        <v>0</v>
      </c>
      <c r="AX3998">
        <v>0</v>
      </c>
      <c r="AY3998">
        <v>0</v>
      </c>
      <c r="AZ3998">
        <v>0</v>
      </c>
      <c r="BA3998">
        <v>0</v>
      </c>
      <c r="BB3998">
        <v>0</v>
      </c>
      <c r="BC3998">
        <v>0</v>
      </c>
      <c r="BD3998">
        <v>0</v>
      </c>
      <c r="BE3998">
        <v>0</v>
      </c>
      <c r="BF3998">
        <v>0</v>
      </c>
      <c r="BG3998">
        <v>0</v>
      </c>
      <c r="BH3998">
        <v>1</v>
      </c>
      <c r="BI3998">
        <v>1</v>
      </c>
      <c r="BJ3998">
        <v>0.2</v>
      </c>
      <c r="BK3998">
        <v>1</v>
      </c>
      <c r="BL3998">
        <v>69.98</v>
      </c>
      <c r="BM3998">
        <v>10.5</v>
      </c>
      <c r="BN3998">
        <v>80.48</v>
      </c>
      <c r="BO3998">
        <v>80.48</v>
      </c>
      <c r="BQ3998" t="s">
        <v>666</v>
      </c>
      <c r="BR3998" t="s">
        <v>84</v>
      </c>
      <c r="BS3998" t="s">
        <v>1540</v>
      </c>
      <c r="BV3998" t="s">
        <v>89</v>
      </c>
      <c r="BY3998">
        <v>1200</v>
      </c>
      <c r="CC3998" t="s">
        <v>131</v>
      </c>
      <c r="CD3998">
        <v>7535</v>
      </c>
      <c r="CE3998" t="s">
        <v>88</v>
      </c>
      <c r="CI3998">
        <v>1</v>
      </c>
      <c r="CJ3998" t="s">
        <v>1540</v>
      </c>
      <c r="CK3998">
        <v>21</v>
      </c>
      <c r="CL3998" t="s">
        <v>89</v>
      </c>
    </row>
    <row r="3999" spans="1:90" x14ac:dyDescent="0.3">
      <c r="A3999" t="s">
        <v>72</v>
      </c>
      <c r="B3999" t="s">
        <v>73</v>
      </c>
      <c r="C3999" t="s">
        <v>74</v>
      </c>
      <c r="E3999" t="str">
        <f>"080065646034"</f>
        <v>080065646034</v>
      </c>
      <c r="F3999" s="3">
        <v>45806</v>
      </c>
      <c r="G3999">
        <v>202602</v>
      </c>
      <c r="H3999" t="s">
        <v>75</v>
      </c>
      <c r="I3999" t="s">
        <v>76</v>
      </c>
      <c r="J3999" t="s">
        <v>77</v>
      </c>
      <c r="K3999" t="s">
        <v>78</v>
      </c>
      <c r="L3999" t="s">
        <v>624</v>
      </c>
      <c r="M3999" t="s">
        <v>625</v>
      </c>
      <c r="N3999" t="s">
        <v>626</v>
      </c>
      <c r="O3999" t="s">
        <v>82</v>
      </c>
      <c r="P3999" t="str">
        <f>"4170041453                    "</f>
        <v xml:space="preserve">4170041453                    </v>
      </c>
      <c r="Q3999">
        <v>0</v>
      </c>
      <c r="R3999">
        <v>0</v>
      </c>
      <c r="S3999">
        <v>0</v>
      </c>
      <c r="T3999">
        <v>0</v>
      </c>
      <c r="U3999">
        <v>0</v>
      </c>
      <c r="V3999">
        <v>0</v>
      </c>
      <c r="W3999">
        <v>0</v>
      </c>
      <c r="X3999">
        <v>0</v>
      </c>
      <c r="Y3999">
        <v>0</v>
      </c>
      <c r="Z3999">
        <v>0</v>
      </c>
      <c r="AA3999">
        <v>0</v>
      </c>
      <c r="AB3999">
        <v>0</v>
      </c>
      <c r="AC3999">
        <v>0</v>
      </c>
      <c r="AD3999">
        <v>0</v>
      </c>
      <c r="AE3999">
        <v>0</v>
      </c>
      <c r="AF3999">
        <v>0</v>
      </c>
      <c r="AG3999">
        <v>0</v>
      </c>
      <c r="AH3999">
        <v>0</v>
      </c>
      <c r="AI3999">
        <v>0</v>
      </c>
      <c r="AJ3999">
        <v>0</v>
      </c>
      <c r="AK3999">
        <v>0</v>
      </c>
      <c r="AL3999">
        <v>0</v>
      </c>
      <c r="AM3999">
        <v>0</v>
      </c>
      <c r="AN3999">
        <v>0</v>
      </c>
      <c r="AO3999">
        <v>0</v>
      </c>
      <c r="AP3999">
        <v>0</v>
      </c>
      <c r="AQ3999">
        <v>163.04</v>
      </c>
      <c r="AR3999">
        <v>0</v>
      </c>
      <c r="AS3999">
        <v>0</v>
      </c>
      <c r="AT3999">
        <v>0</v>
      </c>
      <c r="AU3999">
        <v>0</v>
      </c>
      <c r="AV3999">
        <v>0</v>
      </c>
      <c r="AW3999">
        <v>0</v>
      </c>
      <c r="AX3999">
        <v>0</v>
      </c>
      <c r="AY3999">
        <v>0</v>
      </c>
      <c r="AZ3999">
        <v>0</v>
      </c>
      <c r="BA3999">
        <v>0</v>
      </c>
      <c r="BB3999">
        <v>0</v>
      </c>
      <c r="BC3999">
        <v>0</v>
      </c>
      <c r="BD3999">
        <v>0</v>
      </c>
      <c r="BE3999">
        <v>0</v>
      </c>
      <c r="BF3999">
        <v>0</v>
      </c>
      <c r="BG3999">
        <v>0</v>
      </c>
      <c r="BH3999">
        <v>1</v>
      </c>
      <c r="BI3999">
        <v>6</v>
      </c>
      <c r="BJ3999">
        <v>8.1</v>
      </c>
      <c r="BK3999">
        <v>8.5</v>
      </c>
      <c r="BL3999">
        <v>533.58000000000004</v>
      </c>
      <c r="BM3999">
        <v>80.040000000000006</v>
      </c>
      <c r="BN3999">
        <v>613.62</v>
      </c>
      <c r="BO3999">
        <v>613.62</v>
      </c>
      <c r="BQ3999" t="s">
        <v>627</v>
      </c>
      <c r="BR3999" t="s">
        <v>84</v>
      </c>
      <c r="BS3999" t="s">
        <v>1540</v>
      </c>
      <c r="BV3999" t="s">
        <v>89</v>
      </c>
      <c r="BY3999">
        <v>40600</v>
      </c>
      <c r="CC3999" t="s">
        <v>625</v>
      </c>
      <c r="CD3999">
        <v>1947</v>
      </c>
      <c r="CE3999" t="s">
        <v>221</v>
      </c>
      <c r="CI3999">
        <v>1</v>
      </c>
      <c r="CJ3999" t="s">
        <v>1540</v>
      </c>
      <c r="CK3999">
        <v>23</v>
      </c>
      <c r="CL3999" t="s">
        <v>89</v>
      </c>
    </row>
    <row r="4000" spans="1:90" x14ac:dyDescent="0.3">
      <c r="A4000" t="s">
        <v>72</v>
      </c>
      <c r="B4000" t="s">
        <v>73</v>
      </c>
      <c r="C4000" t="s">
        <v>74</v>
      </c>
      <c r="E4000" t="str">
        <f>"080065646067"</f>
        <v>080065646067</v>
      </c>
      <c r="F4000" s="3">
        <v>45806</v>
      </c>
      <c r="G4000">
        <v>202602</v>
      </c>
      <c r="H4000" t="s">
        <v>75</v>
      </c>
      <c r="I4000" t="s">
        <v>76</v>
      </c>
      <c r="J4000" t="s">
        <v>77</v>
      </c>
      <c r="K4000" t="s">
        <v>78</v>
      </c>
      <c r="L4000" t="s">
        <v>75</v>
      </c>
      <c r="M4000" t="s">
        <v>76</v>
      </c>
      <c r="N4000" t="s">
        <v>390</v>
      </c>
      <c r="O4000" t="s">
        <v>82</v>
      </c>
      <c r="P4000" t="str">
        <f>"4170041429                    "</f>
        <v xml:space="preserve">4170041429                    </v>
      </c>
      <c r="Q4000">
        <v>0</v>
      </c>
      <c r="R4000">
        <v>0</v>
      </c>
      <c r="S4000">
        <v>0</v>
      </c>
      <c r="T4000">
        <v>0</v>
      </c>
      <c r="U4000">
        <v>0</v>
      </c>
      <c r="V4000">
        <v>0</v>
      </c>
      <c r="W4000">
        <v>0</v>
      </c>
      <c r="X4000">
        <v>0</v>
      </c>
      <c r="Y4000">
        <v>0</v>
      </c>
      <c r="Z4000">
        <v>0</v>
      </c>
      <c r="AA4000">
        <v>0</v>
      </c>
      <c r="AB4000">
        <v>0</v>
      </c>
      <c r="AC4000">
        <v>0</v>
      </c>
      <c r="AD4000">
        <v>0</v>
      </c>
      <c r="AE4000">
        <v>0</v>
      </c>
      <c r="AF4000">
        <v>0</v>
      </c>
      <c r="AG4000">
        <v>0</v>
      </c>
      <c r="AH4000">
        <v>0</v>
      </c>
      <c r="AI4000">
        <v>0</v>
      </c>
      <c r="AJ4000">
        <v>0</v>
      </c>
      <c r="AK4000">
        <v>0</v>
      </c>
      <c r="AL4000">
        <v>0</v>
      </c>
      <c r="AM4000">
        <v>0</v>
      </c>
      <c r="AN4000">
        <v>0</v>
      </c>
      <c r="AO4000">
        <v>0</v>
      </c>
      <c r="AP4000">
        <v>0</v>
      </c>
      <c r="AQ4000">
        <v>16.7</v>
      </c>
      <c r="AR4000">
        <v>0</v>
      </c>
      <c r="AS4000">
        <v>0</v>
      </c>
      <c r="AT4000">
        <v>0</v>
      </c>
      <c r="AU4000">
        <v>0</v>
      </c>
      <c r="AV4000">
        <v>0</v>
      </c>
      <c r="AW4000">
        <v>0</v>
      </c>
      <c r="AX4000">
        <v>0</v>
      </c>
      <c r="AY4000">
        <v>0</v>
      </c>
      <c r="AZ4000">
        <v>0</v>
      </c>
      <c r="BA4000">
        <v>0</v>
      </c>
      <c r="BB4000">
        <v>0</v>
      </c>
      <c r="BC4000">
        <v>0</v>
      </c>
      <c r="BD4000">
        <v>0</v>
      </c>
      <c r="BE4000">
        <v>0</v>
      </c>
      <c r="BF4000">
        <v>0</v>
      </c>
      <c r="BG4000">
        <v>0</v>
      </c>
      <c r="BH4000">
        <v>1</v>
      </c>
      <c r="BI4000">
        <v>1</v>
      </c>
      <c r="BJ4000">
        <v>0.2</v>
      </c>
      <c r="BK4000">
        <v>1</v>
      </c>
      <c r="BL4000">
        <v>54.66</v>
      </c>
      <c r="BM4000">
        <v>8.1999999999999993</v>
      </c>
      <c r="BN4000">
        <v>62.86</v>
      </c>
      <c r="BO4000">
        <v>62.86</v>
      </c>
      <c r="BQ4000" t="s">
        <v>391</v>
      </c>
      <c r="BR4000" t="s">
        <v>84</v>
      </c>
      <c r="BS4000" t="s">
        <v>1540</v>
      </c>
      <c r="BV4000" t="s">
        <v>89</v>
      </c>
      <c r="BY4000">
        <v>1200</v>
      </c>
      <c r="CC4000" t="s">
        <v>76</v>
      </c>
      <c r="CD4000">
        <v>1600</v>
      </c>
      <c r="CE4000" t="s">
        <v>88</v>
      </c>
      <c r="CI4000">
        <v>1</v>
      </c>
      <c r="CJ4000" t="s">
        <v>1540</v>
      </c>
      <c r="CK4000">
        <v>22</v>
      </c>
      <c r="CL4000" t="s">
        <v>89</v>
      </c>
    </row>
    <row r="4001" spans="1:90" x14ac:dyDescent="0.3">
      <c r="A4001" t="s">
        <v>72</v>
      </c>
      <c r="B4001" t="s">
        <v>73</v>
      </c>
      <c r="C4001" t="s">
        <v>74</v>
      </c>
      <c r="E4001" t="str">
        <f>"080065646070"</f>
        <v>080065646070</v>
      </c>
      <c r="F4001" s="3">
        <v>45806</v>
      </c>
      <c r="G4001">
        <v>202602</v>
      </c>
      <c r="H4001" t="s">
        <v>75</v>
      </c>
      <c r="I4001" t="s">
        <v>76</v>
      </c>
      <c r="J4001" t="s">
        <v>77</v>
      </c>
      <c r="K4001" t="s">
        <v>78</v>
      </c>
      <c r="L4001" t="s">
        <v>350</v>
      </c>
      <c r="M4001" t="s">
        <v>351</v>
      </c>
      <c r="N4001" t="s">
        <v>459</v>
      </c>
      <c r="O4001" t="s">
        <v>82</v>
      </c>
      <c r="P4001" t="str">
        <f>"4170041463                    "</f>
        <v xml:space="preserve">4170041463                    </v>
      </c>
      <c r="Q4001">
        <v>0</v>
      </c>
      <c r="R4001">
        <v>0</v>
      </c>
      <c r="S4001">
        <v>0</v>
      </c>
      <c r="T4001">
        <v>0</v>
      </c>
      <c r="U4001">
        <v>0</v>
      </c>
      <c r="V4001">
        <v>0</v>
      </c>
      <c r="W4001">
        <v>0</v>
      </c>
      <c r="X4001">
        <v>0</v>
      </c>
      <c r="Y4001">
        <v>0</v>
      </c>
      <c r="Z4001">
        <v>0</v>
      </c>
      <c r="AA4001">
        <v>0</v>
      </c>
      <c r="AB4001">
        <v>0</v>
      </c>
      <c r="AC4001">
        <v>0</v>
      </c>
      <c r="AD4001">
        <v>0</v>
      </c>
      <c r="AE4001">
        <v>0</v>
      </c>
      <c r="AF4001">
        <v>0</v>
      </c>
      <c r="AG4001">
        <v>0</v>
      </c>
      <c r="AH4001">
        <v>0</v>
      </c>
      <c r="AI4001">
        <v>0</v>
      </c>
      <c r="AJ4001">
        <v>0</v>
      </c>
      <c r="AK4001">
        <v>0</v>
      </c>
      <c r="AL4001">
        <v>0</v>
      </c>
      <c r="AM4001">
        <v>0</v>
      </c>
      <c r="AN4001">
        <v>0</v>
      </c>
      <c r="AO4001">
        <v>0</v>
      </c>
      <c r="AP4001">
        <v>0</v>
      </c>
      <c r="AQ4001">
        <v>21.38</v>
      </c>
      <c r="AR4001">
        <v>0</v>
      </c>
      <c r="AS4001">
        <v>0</v>
      </c>
      <c r="AT4001">
        <v>0</v>
      </c>
      <c r="AU4001">
        <v>0</v>
      </c>
      <c r="AV4001">
        <v>0</v>
      </c>
      <c r="AW4001">
        <v>0</v>
      </c>
      <c r="AX4001">
        <v>0</v>
      </c>
      <c r="AY4001">
        <v>0</v>
      </c>
      <c r="AZ4001">
        <v>0</v>
      </c>
      <c r="BA4001">
        <v>0</v>
      </c>
      <c r="BB4001">
        <v>0</v>
      </c>
      <c r="BC4001">
        <v>0</v>
      </c>
      <c r="BD4001">
        <v>0</v>
      </c>
      <c r="BE4001">
        <v>0</v>
      </c>
      <c r="BF4001">
        <v>0</v>
      </c>
      <c r="BG4001">
        <v>0</v>
      </c>
      <c r="BH4001">
        <v>1</v>
      </c>
      <c r="BI4001">
        <v>1</v>
      </c>
      <c r="BJ4001">
        <v>0.9</v>
      </c>
      <c r="BK4001">
        <v>1</v>
      </c>
      <c r="BL4001">
        <v>69.98</v>
      </c>
      <c r="BM4001">
        <v>10.5</v>
      </c>
      <c r="BN4001">
        <v>80.48</v>
      </c>
      <c r="BO4001">
        <v>80.48</v>
      </c>
      <c r="BQ4001" t="s">
        <v>460</v>
      </c>
      <c r="BR4001" t="s">
        <v>84</v>
      </c>
      <c r="BS4001" s="3">
        <v>45807</v>
      </c>
      <c r="BT4001" s="4">
        <v>0.33194444444444443</v>
      </c>
      <c r="BU4001" t="s">
        <v>461</v>
      </c>
      <c r="BV4001" t="s">
        <v>86</v>
      </c>
      <c r="BY4001">
        <v>4560</v>
      </c>
      <c r="CA4001" t="s">
        <v>462</v>
      </c>
      <c r="CC4001" t="s">
        <v>351</v>
      </c>
      <c r="CD4001">
        <v>4051</v>
      </c>
      <c r="CE4001" t="s">
        <v>116</v>
      </c>
      <c r="CI4001">
        <v>1</v>
      </c>
      <c r="CJ4001">
        <v>1</v>
      </c>
      <c r="CK4001">
        <v>21</v>
      </c>
      <c r="CL4001" t="s">
        <v>89</v>
      </c>
    </row>
    <row r="4002" spans="1:90" x14ac:dyDescent="0.3">
      <c r="A4002" t="s">
        <v>72</v>
      </c>
      <c r="B4002" t="s">
        <v>73</v>
      </c>
      <c r="C4002" t="s">
        <v>74</v>
      </c>
      <c r="E4002" t="str">
        <f>"080065646131"</f>
        <v>080065646131</v>
      </c>
      <c r="F4002" s="3">
        <v>45806</v>
      </c>
      <c r="G4002">
        <v>202602</v>
      </c>
      <c r="H4002" t="s">
        <v>75</v>
      </c>
      <c r="I4002" t="s">
        <v>76</v>
      </c>
      <c r="J4002" t="s">
        <v>77</v>
      </c>
      <c r="K4002" t="s">
        <v>78</v>
      </c>
      <c r="L4002" t="s">
        <v>331</v>
      </c>
      <c r="M4002" t="s">
        <v>332</v>
      </c>
      <c r="N4002" t="s">
        <v>499</v>
      </c>
      <c r="O4002" t="s">
        <v>82</v>
      </c>
      <c r="P4002" t="str">
        <f>"4170041481                    "</f>
        <v xml:space="preserve">4170041481                    </v>
      </c>
      <c r="Q4002">
        <v>0</v>
      </c>
      <c r="R4002">
        <v>0</v>
      </c>
      <c r="S4002">
        <v>0</v>
      </c>
      <c r="T4002">
        <v>0</v>
      </c>
      <c r="U4002">
        <v>0</v>
      </c>
      <c r="V4002">
        <v>0</v>
      </c>
      <c r="W4002">
        <v>0</v>
      </c>
      <c r="X4002">
        <v>0</v>
      </c>
      <c r="Y4002">
        <v>0</v>
      </c>
      <c r="Z4002">
        <v>0</v>
      </c>
      <c r="AA4002">
        <v>0</v>
      </c>
      <c r="AB4002">
        <v>0</v>
      </c>
      <c r="AC4002">
        <v>0</v>
      </c>
      <c r="AD4002">
        <v>0</v>
      </c>
      <c r="AE4002">
        <v>0</v>
      </c>
      <c r="AF4002">
        <v>0</v>
      </c>
      <c r="AG4002">
        <v>0</v>
      </c>
      <c r="AH4002">
        <v>0</v>
      </c>
      <c r="AI4002">
        <v>0</v>
      </c>
      <c r="AJ4002">
        <v>0</v>
      </c>
      <c r="AK4002">
        <v>0</v>
      </c>
      <c r="AL4002">
        <v>0</v>
      </c>
      <c r="AM4002">
        <v>0</v>
      </c>
      <c r="AN4002">
        <v>0</v>
      </c>
      <c r="AO4002">
        <v>0</v>
      </c>
      <c r="AP4002">
        <v>0</v>
      </c>
      <c r="AQ4002">
        <v>16.7</v>
      </c>
      <c r="AR4002">
        <v>0</v>
      </c>
      <c r="AS4002">
        <v>0</v>
      </c>
      <c r="AT4002">
        <v>0</v>
      </c>
      <c r="AU4002">
        <v>0</v>
      </c>
      <c r="AV4002">
        <v>0</v>
      </c>
      <c r="AW4002">
        <v>0</v>
      </c>
      <c r="AX4002">
        <v>0</v>
      </c>
      <c r="AY4002">
        <v>0</v>
      </c>
      <c r="AZ4002">
        <v>0</v>
      </c>
      <c r="BA4002">
        <v>0</v>
      </c>
      <c r="BB4002">
        <v>0</v>
      </c>
      <c r="BC4002">
        <v>0</v>
      </c>
      <c r="BD4002">
        <v>0</v>
      </c>
      <c r="BE4002">
        <v>0</v>
      </c>
      <c r="BF4002">
        <v>0</v>
      </c>
      <c r="BG4002">
        <v>0</v>
      </c>
      <c r="BH4002">
        <v>1</v>
      </c>
      <c r="BI4002">
        <v>1</v>
      </c>
      <c r="BJ4002">
        <v>0.2</v>
      </c>
      <c r="BK4002">
        <v>1</v>
      </c>
      <c r="BL4002">
        <v>54.66</v>
      </c>
      <c r="BM4002">
        <v>8.1999999999999993</v>
      </c>
      <c r="BN4002">
        <v>62.86</v>
      </c>
      <c r="BO4002">
        <v>62.86</v>
      </c>
      <c r="BQ4002" t="s">
        <v>500</v>
      </c>
      <c r="BR4002" t="s">
        <v>84</v>
      </c>
      <c r="BS4002" t="s">
        <v>1540</v>
      </c>
      <c r="BV4002" t="s">
        <v>89</v>
      </c>
      <c r="BY4002">
        <v>1200</v>
      </c>
      <c r="CC4002" t="s">
        <v>332</v>
      </c>
      <c r="CD4002">
        <v>1451</v>
      </c>
      <c r="CE4002" t="s">
        <v>88</v>
      </c>
      <c r="CI4002">
        <v>1</v>
      </c>
      <c r="CJ4002" t="s">
        <v>1540</v>
      </c>
      <c r="CK4002">
        <v>22</v>
      </c>
      <c r="CL4002" t="s">
        <v>89</v>
      </c>
    </row>
    <row r="4003" spans="1:90" x14ac:dyDescent="0.3">
      <c r="A4003" t="s">
        <v>72</v>
      </c>
      <c r="B4003" t="s">
        <v>73</v>
      </c>
      <c r="C4003" t="s">
        <v>74</v>
      </c>
      <c r="E4003" t="str">
        <f>"080065646139"</f>
        <v>080065646139</v>
      </c>
      <c r="F4003" s="3">
        <v>45806</v>
      </c>
      <c r="G4003">
        <v>202602</v>
      </c>
      <c r="H4003" t="s">
        <v>75</v>
      </c>
      <c r="I4003" t="s">
        <v>76</v>
      </c>
      <c r="J4003" t="s">
        <v>77</v>
      </c>
      <c r="K4003" t="s">
        <v>78</v>
      </c>
      <c r="L4003" t="s">
        <v>136</v>
      </c>
      <c r="M4003" t="s">
        <v>137</v>
      </c>
      <c r="N4003" t="s">
        <v>2919</v>
      </c>
      <c r="O4003" t="s">
        <v>82</v>
      </c>
      <c r="P4003" t="str">
        <f>"4170041469                    "</f>
        <v xml:space="preserve">4170041469                    </v>
      </c>
      <c r="Q4003">
        <v>0</v>
      </c>
      <c r="R4003">
        <v>0</v>
      </c>
      <c r="S4003">
        <v>0</v>
      </c>
      <c r="T4003">
        <v>0</v>
      </c>
      <c r="U4003">
        <v>0</v>
      </c>
      <c r="V4003">
        <v>0</v>
      </c>
      <c r="W4003">
        <v>0</v>
      </c>
      <c r="X4003">
        <v>0</v>
      </c>
      <c r="Y4003">
        <v>0</v>
      </c>
      <c r="Z4003">
        <v>0</v>
      </c>
      <c r="AA4003">
        <v>0</v>
      </c>
      <c r="AB4003">
        <v>0</v>
      </c>
      <c r="AC4003">
        <v>0</v>
      </c>
      <c r="AD4003">
        <v>0</v>
      </c>
      <c r="AE4003">
        <v>0</v>
      </c>
      <c r="AF4003">
        <v>0</v>
      </c>
      <c r="AG4003">
        <v>0</v>
      </c>
      <c r="AH4003">
        <v>0</v>
      </c>
      <c r="AI4003">
        <v>0</v>
      </c>
      <c r="AJ4003">
        <v>0</v>
      </c>
      <c r="AK4003">
        <v>0</v>
      </c>
      <c r="AL4003">
        <v>0</v>
      </c>
      <c r="AM4003">
        <v>0</v>
      </c>
      <c r="AN4003">
        <v>0</v>
      </c>
      <c r="AO4003">
        <v>0</v>
      </c>
      <c r="AP4003">
        <v>0</v>
      </c>
      <c r="AQ4003">
        <v>21.38</v>
      </c>
      <c r="AR4003">
        <v>0</v>
      </c>
      <c r="AS4003">
        <v>0</v>
      </c>
      <c r="AT4003">
        <v>0</v>
      </c>
      <c r="AU4003">
        <v>0</v>
      </c>
      <c r="AV4003">
        <v>0</v>
      </c>
      <c r="AW4003">
        <v>0</v>
      </c>
      <c r="AX4003">
        <v>0</v>
      </c>
      <c r="AY4003">
        <v>0</v>
      </c>
      <c r="AZ4003">
        <v>0</v>
      </c>
      <c r="BA4003">
        <v>0</v>
      </c>
      <c r="BB4003">
        <v>0</v>
      </c>
      <c r="BC4003">
        <v>0</v>
      </c>
      <c r="BD4003">
        <v>0</v>
      </c>
      <c r="BE4003">
        <v>0</v>
      </c>
      <c r="BF4003">
        <v>0</v>
      </c>
      <c r="BG4003">
        <v>0</v>
      </c>
      <c r="BH4003">
        <v>1</v>
      </c>
      <c r="BI4003">
        <v>1</v>
      </c>
      <c r="BJ4003">
        <v>0.9</v>
      </c>
      <c r="BK4003">
        <v>1</v>
      </c>
      <c r="BL4003">
        <v>69.98</v>
      </c>
      <c r="BM4003">
        <v>10.5</v>
      </c>
      <c r="BN4003">
        <v>80.48</v>
      </c>
      <c r="BO4003">
        <v>80.48</v>
      </c>
      <c r="BQ4003" t="s">
        <v>2920</v>
      </c>
      <c r="BR4003" t="s">
        <v>84</v>
      </c>
      <c r="BS4003" t="s">
        <v>1540</v>
      </c>
      <c r="BV4003" t="s">
        <v>89</v>
      </c>
      <c r="BY4003">
        <v>4560</v>
      </c>
      <c r="CC4003" t="s">
        <v>137</v>
      </c>
      <c r="CD4003" s="5" t="s">
        <v>142</v>
      </c>
      <c r="CE4003" t="s">
        <v>116</v>
      </c>
      <c r="CI4003">
        <v>1</v>
      </c>
      <c r="CJ4003" t="s">
        <v>1540</v>
      </c>
      <c r="CK4003">
        <v>21</v>
      </c>
      <c r="CL4003" t="s">
        <v>89</v>
      </c>
    </row>
    <row r="4004" spans="1:90" x14ac:dyDescent="0.3">
      <c r="A4004" t="s">
        <v>72</v>
      </c>
      <c r="B4004" t="s">
        <v>73</v>
      </c>
      <c r="C4004" t="s">
        <v>74</v>
      </c>
      <c r="E4004" t="str">
        <f>"080065646170"</f>
        <v>080065646170</v>
      </c>
      <c r="F4004" s="3">
        <v>45806</v>
      </c>
      <c r="G4004">
        <v>202602</v>
      </c>
      <c r="H4004" t="s">
        <v>75</v>
      </c>
      <c r="I4004" t="s">
        <v>76</v>
      </c>
      <c r="J4004" t="s">
        <v>77</v>
      </c>
      <c r="K4004" t="s">
        <v>78</v>
      </c>
      <c r="L4004" t="s">
        <v>463</v>
      </c>
      <c r="M4004" t="s">
        <v>464</v>
      </c>
      <c r="N4004" t="s">
        <v>1325</v>
      </c>
      <c r="O4004" t="s">
        <v>82</v>
      </c>
      <c r="P4004" t="str">
        <f>"4170041401                    "</f>
        <v xml:space="preserve">4170041401                    </v>
      </c>
      <c r="Q4004">
        <v>0</v>
      </c>
      <c r="R4004">
        <v>0</v>
      </c>
      <c r="S4004">
        <v>0</v>
      </c>
      <c r="T4004">
        <v>0</v>
      </c>
      <c r="U4004">
        <v>0</v>
      </c>
      <c r="V4004">
        <v>0</v>
      </c>
      <c r="W4004">
        <v>0</v>
      </c>
      <c r="X4004">
        <v>0</v>
      </c>
      <c r="Y4004">
        <v>0</v>
      </c>
      <c r="Z4004">
        <v>0</v>
      </c>
      <c r="AA4004">
        <v>0</v>
      </c>
      <c r="AB4004">
        <v>0</v>
      </c>
      <c r="AC4004">
        <v>0</v>
      </c>
      <c r="AD4004">
        <v>0</v>
      </c>
      <c r="AE4004">
        <v>0</v>
      </c>
      <c r="AF4004">
        <v>0</v>
      </c>
      <c r="AG4004">
        <v>0</v>
      </c>
      <c r="AH4004">
        <v>0</v>
      </c>
      <c r="AI4004">
        <v>0</v>
      </c>
      <c r="AJ4004">
        <v>0</v>
      </c>
      <c r="AK4004">
        <v>0</v>
      </c>
      <c r="AL4004">
        <v>0</v>
      </c>
      <c r="AM4004">
        <v>0</v>
      </c>
      <c r="AN4004">
        <v>0</v>
      </c>
      <c r="AO4004">
        <v>0</v>
      </c>
      <c r="AP4004">
        <v>0</v>
      </c>
      <c r="AQ4004">
        <v>21.38</v>
      </c>
      <c r="AR4004">
        <v>0</v>
      </c>
      <c r="AS4004">
        <v>0</v>
      </c>
      <c r="AT4004">
        <v>0</v>
      </c>
      <c r="AU4004">
        <v>0</v>
      </c>
      <c r="AV4004">
        <v>0</v>
      </c>
      <c r="AW4004">
        <v>0</v>
      </c>
      <c r="AX4004">
        <v>0</v>
      </c>
      <c r="AY4004">
        <v>0</v>
      </c>
      <c r="AZ4004">
        <v>0</v>
      </c>
      <c r="BA4004">
        <v>0</v>
      </c>
      <c r="BB4004">
        <v>0</v>
      </c>
      <c r="BC4004">
        <v>0</v>
      </c>
      <c r="BD4004">
        <v>0</v>
      </c>
      <c r="BE4004">
        <v>0</v>
      </c>
      <c r="BF4004">
        <v>0</v>
      </c>
      <c r="BG4004">
        <v>0</v>
      </c>
      <c r="BH4004">
        <v>1</v>
      </c>
      <c r="BI4004">
        <v>1</v>
      </c>
      <c r="BJ4004">
        <v>0.2</v>
      </c>
      <c r="BK4004">
        <v>1</v>
      </c>
      <c r="BL4004">
        <v>69.98</v>
      </c>
      <c r="BM4004">
        <v>10.5</v>
      </c>
      <c r="BN4004">
        <v>80.48</v>
      </c>
      <c r="BO4004">
        <v>80.48</v>
      </c>
      <c r="BQ4004" t="s">
        <v>1326</v>
      </c>
      <c r="BR4004" t="s">
        <v>84</v>
      </c>
      <c r="BS4004" t="s">
        <v>1540</v>
      </c>
      <c r="BV4004" t="s">
        <v>89</v>
      </c>
      <c r="BY4004">
        <v>1200</v>
      </c>
      <c r="CC4004" t="s">
        <v>464</v>
      </c>
      <c r="CD4004">
        <v>5201</v>
      </c>
      <c r="CE4004" t="s">
        <v>88</v>
      </c>
      <c r="CI4004">
        <v>5</v>
      </c>
      <c r="CJ4004" t="s">
        <v>1540</v>
      </c>
      <c r="CK4004">
        <v>21</v>
      </c>
      <c r="CL4004" t="s">
        <v>89</v>
      </c>
    </row>
    <row r="4005" spans="1:90" x14ac:dyDescent="0.3">
      <c r="A4005" t="s">
        <v>72</v>
      </c>
      <c r="B4005" t="s">
        <v>73</v>
      </c>
      <c r="C4005" t="s">
        <v>74</v>
      </c>
      <c r="E4005" t="str">
        <f>"080065646206"</f>
        <v>080065646206</v>
      </c>
      <c r="F4005" s="3">
        <v>45806</v>
      </c>
      <c r="G4005">
        <v>202602</v>
      </c>
      <c r="H4005" t="s">
        <v>75</v>
      </c>
      <c r="I4005" t="s">
        <v>76</v>
      </c>
      <c r="J4005" t="s">
        <v>77</v>
      </c>
      <c r="K4005" t="s">
        <v>78</v>
      </c>
      <c r="L4005" t="s">
        <v>648</v>
      </c>
      <c r="M4005" t="s">
        <v>649</v>
      </c>
      <c r="N4005" t="s">
        <v>1702</v>
      </c>
      <c r="O4005" t="s">
        <v>82</v>
      </c>
      <c r="P4005" t="str">
        <f>"4170041396                    "</f>
        <v xml:space="preserve">4170041396                    </v>
      </c>
      <c r="Q4005">
        <v>0</v>
      </c>
      <c r="R4005">
        <v>0</v>
      </c>
      <c r="S4005">
        <v>0</v>
      </c>
      <c r="T4005">
        <v>0</v>
      </c>
      <c r="U4005">
        <v>0</v>
      </c>
      <c r="V4005">
        <v>0</v>
      </c>
      <c r="W4005">
        <v>0</v>
      </c>
      <c r="X4005">
        <v>0</v>
      </c>
      <c r="Y4005">
        <v>0</v>
      </c>
      <c r="Z4005">
        <v>0</v>
      </c>
      <c r="AA4005">
        <v>0</v>
      </c>
      <c r="AB4005">
        <v>0</v>
      </c>
      <c r="AC4005">
        <v>0</v>
      </c>
      <c r="AD4005">
        <v>0</v>
      </c>
      <c r="AE4005">
        <v>0</v>
      </c>
      <c r="AF4005">
        <v>0</v>
      </c>
      <c r="AG4005">
        <v>0</v>
      </c>
      <c r="AH4005">
        <v>0</v>
      </c>
      <c r="AI4005">
        <v>0</v>
      </c>
      <c r="AJ4005">
        <v>0</v>
      </c>
      <c r="AK4005">
        <v>0</v>
      </c>
      <c r="AL4005">
        <v>0</v>
      </c>
      <c r="AM4005">
        <v>0</v>
      </c>
      <c r="AN4005">
        <v>0</v>
      </c>
      <c r="AO4005">
        <v>0</v>
      </c>
      <c r="AP4005">
        <v>0</v>
      </c>
      <c r="AQ4005">
        <v>16.7</v>
      </c>
      <c r="AR4005">
        <v>0</v>
      </c>
      <c r="AS4005">
        <v>0</v>
      </c>
      <c r="AT4005">
        <v>0</v>
      </c>
      <c r="AU4005">
        <v>0</v>
      </c>
      <c r="AV4005">
        <v>0</v>
      </c>
      <c r="AW4005">
        <v>0</v>
      </c>
      <c r="AX4005">
        <v>0</v>
      </c>
      <c r="AY4005">
        <v>0</v>
      </c>
      <c r="AZ4005">
        <v>0</v>
      </c>
      <c r="BA4005">
        <v>0</v>
      </c>
      <c r="BB4005">
        <v>0</v>
      </c>
      <c r="BC4005">
        <v>0</v>
      </c>
      <c r="BD4005">
        <v>0</v>
      </c>
      <c r="BE4005">
        <v>0</v>
      </c>
      <c r="BF4005">
        <v>0</v>
      </c>
      <c r="BG4005">
        <v>0</v>
      </c>
      <c r="BH4005">
        <v>1</v>
      </c>
      <c r="BI4005">
        <v>3</v>
      </c>
      <c r="BJ4005">
        <v>3.8</v>
      </c>
      <c r="BK4005">
        <v>4</v>
      </c>
      <c r="BL4005">
        <v>54.66</v>
      </c>
      <c r="BM4005">
        <v>8.1999999999999993</v>
      </c>
      <c r="BN4005">
        <v>62.86</v>
      </c>
      <c r="BO4005">
        <v>62.86</v>
      </c>
      <c r="BQ4005" t="s">
        <v>1703</v>
      </c>
      <c r="BR4005" t="s">
        <v>84</v>
      </c>
      <c r="BS4005" t="s">
        <v>1540</v>
      </c>
      <c r="BV4005" t="s">
        <v>89</v>
      </c>
      <c r="BY4005">
        <v>19227</v>
      </c>
      <c r="CC4005" t="s">
        <v>649</v>
      </c>
      <c r="CD4005">
        <v>1559</v>
      </c>
      <c r="CE4005" t="s">
        <v>96</v>
      </c>
      <c r="CI4005">
        <v>1</v>
      </c>
      <c r="CJ4005" t="s">
        <v>1540</v>
      </c>
      <c r="CK4005">
        <v>22</v>
      </c>
      <c r="CL4005" t="s">
        <v>89</v>
      </c>
    </row>
    <row r="4006" spans="1:90" x14ac:dyDescent="0.3">
      <c r="A4006" t="s">
        <v>72</v>
      </c>
      <c r="B4006" t="s">
        <v>73</v>
      </c>
      <c r="C4006" t="s">
        <v>74</v>
      </c>
      <c r="E4006" t="str">
        <f>"080065646217"</f>
        <v>080065646217</v>
      </c>
      <c r="F4006" s="3">
        <v>45806</v>
      </c>
      <c r="G4006">
        <v>202602</v>
      </c>
      <c r="H4006" t="s">
        <v>75</v>
      </c>
      <c r="I4006" t="s">
        <v>76</v>
      </c>
      <c r="J4006" t="s">
        <v>77</v>
      </c>
      <c r="K4006" t="s">
        <v>78</v>
      </c>
      <c r="L4006" t="s">
        <v>90</v>
      </c>
      <c r="M4006" t="s">
        <v>91</v>
      </c>
      <c r="N4006" t="s">
        <v>1835</v>
      </c>
      <c r="O4006" t="s">
        <v>82</v>
      </c>
      <c r="P4006" t="str">
        <f>"4170041449                    "</f>
        <v xml:space="preserve">4170041449                    </v>
      </c>
      <c r="Q4006">
        <v>0</v>
      </c>
      <c r="R4006">
        <v>0</v>
      </c>
      <c r="S4006">
        <v>0</v>
      </c>
      <c r="T4006">
        <v>0</v>
      </c>
      <c r="U4006">
        <v>0</v>
      </c>
      <c r="V4006">
        <v>0</v>
      </c>
      <c r="W4006">
        <v>0</v>
      </c>
      <c r="X4006">
        <v>0</v>
      </c>
      <c r="Y4006">
        <v>0</v>
      </c>
      <c r="Z4006">
        <v>0</v>
      </c>
      <c r="AA4006">
        <v>0</v>
      </c>
      <c r="AB4006">
        <v>0</v>
      </c>
      <c r="AC4006">
        <v>0</v>
      </c>
      <c r="AD4006">
        <v>0</v>
      </c>
      <c r="AE4006">
        <v>0</v>
      </c>
      <c r="AF4006">
        <v>0</v>
      </c>
      <c r="AG4006">
        <v>0</v>
      </c>
      <c r="AH4006">
        <v>0</v>
      </c>
      <c r="AI4006">
        <v>0</v>
      </c>
      <c r="AJ4006">
        <v>0</v>
      </c>
      <c r="AK4006">
        <v>0</v>
      </c>
      <c r="AL4006">
        <v>0</v>
      </c>
      <c r="AM4006">
        <v>0</v>
      </c>
      <c r="AN4006">
        <v>0</v>
      </c>
      <c r="AO4006">
        <v>0</v>
      </c>
      <c r="AP4006">
        <v>0</v>
      </c>
      <c r="AQ4006">
        <v>21.38</v>
      </c>
      <c r="AR4006">
        <v>0</v>
      </c>
      <c r="AS4006">
        <v>0</v>
      </c>
      <c r="AT4006">
        <v>0</v>
      </c>
      <c r="AU4006">
        <v>0</v>
      </c>
      <c r="AV4006">
        <v>0</v>
      </c>
      <c r="AW4006">
        <v>0</v>
      </c>
      <c r="AX4006">
        <v>0</v>
      </c>
      <c r="AY4006">
        <v>0</v>
      </c>
      <c r="AZ4006">
        <v>0</v>
      </c>
      <c r="BA4006">
        <v>0</v>
      </c>
      <c r="BB4006">
        <v>0</v>
      </c>
      <c r="BC4006">
        <v>0</v>
      </c>
      <c r="BD4006">
        <v>0</v>
      </c>
      <c r="BE4006">
        <v>0</v>
      </c>
      <c r="BF4006">
        <v>0</v>
      </c>
      <c r="BG4006">
        <v>0</v>
      </c>
      <c r="BH4006">
        <v>1</v>
      </c>
      <c r="BI4006">
        <v>1</v>
      </c>
      <c r="BJ4006">
        <v>0.2</v>
      </c>
      <c r="BK4006">
        <v>1</v>
      </c>
      <c r="BL4006">
        <v>69.98</v>
      </c>
      <c r="BM4006">
        <v>10.5</v>
      </c>
      <c r="BN4006">
        <v>80.48</v>
      </c>
      <c r="BO4006">
        <v>80.48</v>
      </c>
      <c r="BQ4006" t="s">
        <v>1836</v>
      </c>
      <c r="BR4006" t="s">
        <v>84</v>
      </c>
      <c r="BS4006" t="s">
        <v>1540</v>
      </c>
      <c r="BV4006" t="s">
        <v>89</v>
      </c>
      <c r="BY4006">
        <v>1200</v>
      </c>
      <c r="CC4006" t="s">
        <v>91</v>
      </c>
      <c r="CD4006">
        <v>6001</v>
      </c>
      <c r="CE4006" t="s">
        <v>88</v>
      </c>
      <c r="CI4006">
        <v>1</v>
      </c>
      <c r="CJ4006" t="s">
        <v>1540</v>
      </c>
      <c r="CK4006">
        <v>21</v>
      </c>
      <c r="CL4006" t="s">
        <v>89</v>
      </c>
    </row>
    <row r="4007" spans="1:90" x14ac:dyDescent="0.3">
      <c r="A4007" t="s">
        <v>72</v>
      </c>
      <c r="B4007" t="s">
        <v>73</v>
      </c>
      <c r="C4007" t="s">
        <v>74</v>
      </c>
      <c r="E4007" t="str">
        <f>"080065646267"</f>
        <v>080065646267</v>
      </c>
      <c r="F4007" s="3">
        <v>45806</v>
      </c>
      <c r="G4007">
        <v>202602</v>
      </c>
      <c r="H4007" t="s">
        <v>75</v>
      </c>
      <c r="I4007" t="s">
        <v>76</v>
      </c>
      <c r="J4007" t="s">
        <v>77</v>
      </c>
      <c r="K4007" t="s">
        <v>78</v>
      </c>
      <c r="L4007" t="s">
        <v>103</v>
      </c>
      <c r="M4007" t="s">
        <v>104</v>
      </c>
      <c r="N4007" t="s">
        <v>633</v>
      </c>
      <c r="O4007" t="s">
        <v>82</v>
      </c>
      <c r="P4007" t="str">
        <f>"4170041441                    "</f>
        <v xml:space="preserve">4170041441                    </v>
      </c>
      <c r="Q4007">
        <v>0</v>
      </c>
      <c r="R4007">
        <v>0</v>
      </c>
      <c r="S4007">
        <v>0</v>
      </c>
      <c r="T4007">
        <v>0</v>
      </c>
      <c r="U4007">
        <v>0</v>
      </c>
      <c r="V4007">
        <v>0</v>
      </c>
      <c r="W4007">
        <v>0</v>
      </c>
      <c r="X4007">
        <v>0</v>
      </c>
      <c r="Y4007">
        <v>0</v>
      </c>
      <c r="Z4007">
        <v>0</v>
      </c>
      <c r="AA4007">
        <v>0</v>
      </c>
      <c r="AB4007">
        <v>0</v>
      </c>
      <c r="AC4007">
        <v>0</v>
      </c>
      <c r="AD4007">
        <v>0</v>
      </c>
      <c r="AE4007">
        <v>0</v>
      </c>
      <c r="AF4007">
        <v>0</v>
      </c>
      <c r="AG4007">
        <v>0</v>
      </c>
      <c r="AH4007">
        <v>0</v>
      </c>
      <c r="AI4007">
        <v>0</v>
      </c>
      <c r="AJ4007">
        <v>0</v>
      </c>
      <c r="AK4007">
        <v>0</v>
      </c>
      <c r="AL4007">
        <v>0</v>
      </c>
      <c r="AM4007">
        <v>0</v>
      </c>
      <c r="AN4007">
        <v>0</v>
      </c>
      <c r="AO4007">
        <v>0</v>
      </c>
      <c r="AP4007">
        <v>0</v>
      </c>
      <c r="AQ4007">
        <v>21.38</v>
      </c>
      <c r="AR4007">
        <v>0</v>
      </c>
      <c r="AS4007">
        <v>0</v>
      </c>
      <c r="AT4007">
        <v>0</v>
      </c>
      <c r="AU4007">
        <v>0</v>
      </c>
      <c r="AV4007">
        <v>0</v>
      </c>
      <c r="AW4007">
        <v>0</v>
      </c>
      <c r="AX4007">
        <v>0</v>
      </c>
      <c r="AY4007">
        <v>0</v>
      </c>
      <c r="AZ4007">
        <v>0</v>
      </c>
      <c r="BA4007">
        <v>0</v>
      </c>
      <c r="BB4007">
        <v>0</v>
      </c>
      <c r="BC4007">
        <v>0</v>
      </c>
      <c r="BD4007">
        <v>0</v>
      </c>
      <c r="BE4007">
        <v>0</v>
      </c>
      <c r="BF4007">
        <v>0</v>
      </c>
      <c r="BG4007">
        <v>0</v>
      </c>
      <c r="BH4007">
        <v>1</v>
      </c>
      <c r="BI4007">
        <v>1</v>
      </c>
      <c r="BJ4007">
        <v>0.2</v>
      </c>
      <c r="BK4007">
        <v>1</v>
      </c>
      <c r="BL4007">
        <v>69.98</v>
      </c>
      <c r="BM4007">
        <v>10.5</v>
      </c>
      <c r="BN4007">
        <v>80.48</v>
      </c>
      <c r="BO4007">
        <v>80.48</v>
      </c>
      <c r="BQ4007" t="s">
        <v>634</v>
      </c>
      <c r="BR4007" t="s">
        <v>84</v>
      </c>
      <c r="BS4007" t="s">
        <v>1540</v>
      </c>
      <c r="BV4007" t="s">
        <v>89</v>
      </c>
      <c r="BY4007">
        <v>1200</v>
      </c>
      <c r="CC4007" t="s">
        <v>104</v>
      </c>
      <c r="CD4007">
        <v>3212</v>
      </c>
      <c r="CE4007" t="s">
        <v>88</v>
      </c>
      <c r="CI4007">
        <v>2</v>
      </c>
      <c r="CJ4007" t="s">
        <v>1540</v>
      </c>
      <c r="CK4007">
        <v>21</v>
      </c>
      <c r="CL4007" t="s">
        <v>89</v>
      </c>
    </row>
    <row r="4008" spans="1:90" x14ac:dyDescent="0.3">
      <c r="A4008" t="s">
        <v>72</v>
      </c>
      <c r="B4008" t="s">
        <v>73</v>
      </c>
      <c r="C4008" t="s">
        <v>74</v>
      </c>
      <c r="E4008" t="str">
        <f>"080065646320"</f>
        <v>080065646320</v>
      </c>
      <c r="F4008" s="3">
        <v>45806</v>
      </c>
      <c r="G4008">
        <v>202602</v>
      </c>
      <c r="H4008" t="s">
        <v>75</v>
      </c>
      <c r="I4008" t="s">
        <v>76</v>
      </c>
      <c r="J4008" t="s">
        <v>77</v>
      </c>
      <c r="K4008" t="s">
        <v>78</v>
      </c>
      <c r="L4008" t="s">
        <v>1456</v>
      </c>
      <c r="M4008" t="s">
        <v>1457</v>
      </c>
      <c r="N4008" t="s">
        <v>1458</v>
      </c>
      <c r="O4008" t="s">
        <v>82</v>
      </c>
      <c r="P4008" t="str">
        <f>"4170041415                    "</f>
        <v xml:space="preserve">4170041415                    </v>
      </c>
      <c r="Q4008">
        <v>0</v>
      </c>
      <c r="R4008">
        <v>0</v>
      </c>
      <c r="S4008">
        <v>0</v>
      </c>
      <c r="T4008">
        <v>0</v>
      </c>
      <c r="U4008">
        <v>0</v>
      </c>
      <c r="V4008">
        <v>0</v>
      </c>
      <c r="W4008">
        <v>0</v>
      </c>
      <c r="X4008">
        <v>0</v>
      </c>
      <c r="Y4008">
        <v>0</v>
      </c>
      <c r="Z4008">
        <v>0</v>
      </c>
      <c r="AA4008">
        <v>0</v>
      </c>
      <c r="AB4008">
        <v>0</v>
      </c>
      <c r="AC4008">
        <v>0</v>
      </c>
      <c r="AD4008">
        <v>0</v>
      </c>
      <c r="AE4008">
        <v>0</v>
      </c>
      <c r="AF4008">
        <v>0</v>
      </c>
      <c r="AG4008">
        <v>0</v>
      </c>
      <c r="AH4008">
        <v>0</v>
      </c>
      <c r="AI4008">
        <v>0</v>
      </c>
      <c r="AJ4008">
        <v>0</v>
      </c>
      <c r="AK4008">
        <v>0</v>
      </c>
      <c r="AL4008">
        <v>0</v>
      </c>
      <c r="AM4008">
        <v>0</v>
      </c>
      <c r="AN4008">
        <v>0</v>
      </c>
      <c r="AO4008">
        <v>0</v>
      </c>
      <c r="AP4008">
        <v>0</v>
      </c>
      <c r="AQ4008">
        <v>21.38</v>
      </c>
      <c r="AR4008">
        <v>0</v>
      </c>
      <c r="AS4008">
        <v>0</v>
      </c>
      <c r="AT4008">
        <v>0</v>
      </c>
      <c r="AU4008">
        <v>0</v>
      </c>
      <c r="AV4008">
        <v>0</v>
      </c>
      <c r="AW4008">
        <v>0</v>
      </c>
      <c r="AX4008">
        <v>0</v>
      </c>
      <c r="AY4008">
        <v>0</v>
      </c>
      <c r="AZ4008">
        <v>0</v>
      </c>
      <c r="BA4008">
        <v>0</v>
      </c>
      <c r="BB4008">
        <v>0</v>
      </c>
      <c r="BC4008">
        <v>0</v>
      </c>
      <c r="BD4008">
        <v>0</v>
      </c>
      <c r="BE4008">
        <v>0</v>
      </c>
      <c r="BF4008">
        <v>0</v>
      </c>
      <c r="BG4008">
        <v>0</v>
      </c>
      <c r="BH4008">
        <v>1</v>
      </c>
      <c r="BI4008">
        <v>1</v>
      </c>
      <c r="BJ4008">
        <v>0.2</v>
      </c>
      <c r="BK4008">
        <v>1</v>
      </c>
      <c r="BL4008">
        <v>69.98</v>
      </c>
      <c r="BM4008">
        <v>10.5</v>
      </c>
      <c r="BN4008">
        <v>80.48</v>
      </c>
      <c r="BO4008">
        <v>80.48</v>
      </c>
      <c r="BQ4008" t="s">
        <v>1459</v>
      </c>
      <c r="BR4008" t="s">
        <v>84</v>
      </c>
      <c r="BS4008" t="s">
        <v>1540</v>
      </c>
      <c r="BV4008" t="s">
        <v>89</v>
      </c>
      <c r="BY4008">
        <v>1200</v>
      </c>
      <c r="CC4008" t="s">
        <v>1457</v>
      </c>
      <c r="CD4008">
        <v>6529</v>
      </c>
      <c r="CE4008" t="s">
        <v>88</v>
      </c>
      <c r="CI4008">
        <v>1</v>
      </c>
      <c r="CJ4008" t="s">
        <v>1540</v>
      </c>
      <c r="CK4008">
        <v>21</v>
      </c>
      <c r="CL4008" t="s">
        <v>89</v>
      </c>
    </row>
    <row r="4009" spans="1:90" x14ac:dyDescent="0.3">
      <c r="A4009" t="s">
        <v>72</v>
      </c>
      <c r="B4009" t="s">
        <v>73</v>
      </c>
      <c r="C4009" t="s">
        <v>74</v>
      </c>
      <c r="E4009" t="str">
        <f>"080065646373"</f>
        <v>080065646373</v>
      </c>
      <c r="F4009" s="3">
        <v>45806</v>
      </c>
      <c r="G4009">
        <v>202602</v>
      </c>
      <c r="H4009" t="s">
        <v>75</v>
      </c>
      <c r="I4009" t="s">
        <v>76</v>
      </c>
      <c r="J4009" t="s">
        <v>77</v>
      </c>
      <c r="K4009" t="s">
        <v>78</v>
      </c>
      <c r="L4009" t="s">
        <v>103</v>
      </c>
      <c r="M4009" t="s">
        <v>104</v>
      </c>
      <c r="N4009" t="s">
        <v>105</v>
      </c>
      <c r="O4009" t="s">
        <v>82</v>
      </c>
      <c r="P4009" t="str">
        <f>"4170041462                    "</f>
        <v xml:space="preserve">4170041462                    </v>
      </c>
      <c r="Q4009">
        <v>0</v>
      </c>
      <c r="R4009">
        <v>0</v>
      </c>
      <c r="S4009">
        <v>0</v>
      </c>
      <c r="T4009">
        <v>0</v>
      </c>
      <c r="U4009">
        <v>0</v>
      </c>
      <c r="V4009">
        <v>0</v>
      </c>
      <c r="W4009">
        <v>0</v>
      </c>
      <c r="X4009">
        <v>0</v>
      </c>
      <c r="Y4009">
        <v>0</v>
      </c>
      <c r="Z4009">
        <v>0</v>
      </c>
      <c r="AA4009">
        <v>0</v>
      </c>
      <c r="AB4009">
        <v>0</v>
      </c>
      <c r="AC4009">
        <v>0</v>
      </c>
      <c r="AD4009">
        <v>0</v>
      </c>
      <c r="AE4009">
        <v>0</v>
      </c>
      <c r="AF4009">
        <v>0</v>
      </c>
      <c r="AG4009">
        <v>0</v>
      </c>
      <c r="AH4009">
        <v>0</v>
      </c>
      <c r="AI4009">
        <v>0</v>
      </c>
      <c r="AJ4009">
        <v>0</v>
      </c>
      <c r="AK4009">
        <v>0</v>
      </c>
      <c r="AL4009">
        <v>0</v>
      </c>
      <c r="AM4009">
        <v>0</v>
      </c>
      <c r="AN4009">
        <v>0</v>
      </c>
      <c r="AO4009">
        <v>0</v>
      </c>
      <c r="AP4009">
        <v>0</v>
      </c>
      <c r="AQ4009">
        <v>21.38</v>
      </c>
      <c r="AR4009">
        <v>0</v>
      </c>
      <c r="AS4009">
        <v>0</v>
      </c>
      <c r="AT4009">
        <v>0</v>
      </c>
      <c r="AU4009">
        <v>0</v>
      </c>
      <c r="AV4009">
        <v>0</v>
      </c>
      <c r="AW4009">
        <v>0</v>
      </c>
      <c r="AX4009">
        <v>0</v>
      </c>
      <c r="AY4009">
        <v>0</v>
      </c>
      <c r="AZ4009">
        <v>0</v>
      </c>
      <c r="BA4009">
        <v>0</v>
      </c>
      <c r="BB4009">
        <v>0</v>
      </c>
      <c r="BC4009">
        <v>0</v>
      </c>
      <c r="BD4009">
        <v>0</v>
      </c>
      <c r="BE4009">
        <v>0</v>
      </c>
      <c r="BF4009">
        <v>0</v>
      </c>
      <c r="BG4009">
        <v>0</v>
      </c>
      <c r="BH4009">
        <v>1</v>
      </c>
      <c r="BI4009">
        <v>1</v>
      </c>
      <c r="BJ4009">
        <v>0.2</v>
      </c>
      <c r="BK4009">
        <v>1</v>
      </c>
      <c r="BL4009">
        <v>69.98</v>
      </c>
      <c r="BM4009">
        <v>10.5</v>
      </c>
      <c r="BN4009">
        <v>80.48</v>
      </c>
      <c r="BO4009">
        <v>80.48</v>
      </c>
      <c r="BQ4009" t="s">
        <v>106</v>
      </c>
      <c r="BR4009" t="s">
        <v>84</v>
      </c>
      <c r="BS4009" t="s">
        <v>1540</v>
      </c>
      <c r="BV4009" t="s">
        <v>89</v>
      </c>
      <c r="BY4009">
        <v>1200</v>
      </c>
      <c r="CC4009" t="s">
        <v>104</v>
      </c>
      <c r="CD4009">
        <v>3201</v>
      </c>
      <c r="CE4009" t="s">
        <v>88</v>
      </c>
      <c r="CI4009">
        <v>1</v>
      </c>
      <c r="CJ4009" t="s">
        <v>1540</v>
      </c>
      <c r="CK4009">
        <v>21</v>
      </c>
      <c r="CL4009" t="s">
        <v>89</v>
      </c>
    </row>
    <row r="4010" spans="1:90" x14ac:dyDescent="0.3">
      <c r="A4010" t="s">
        <v>72</v>
      </c>
      <c r="B4010" t="s">
        <v>73</v>
      </c>
      <c r="C4010" t="s">
        <v>74</v>
      </c>
      <c r="E4010" t="str">
        <f>"080065646387"</f>
        <v>080065646387</v>
      </c>
      <c r="F4010" s="3">
        <v>45806</v>
      </c>
      <c r="G4010">
        <v>202602</v>
      </c>
      <c r="H4010" t="s">
        <v>75</v>
      </c>
      <c r="I4010" t="s">
        <v>76</v>
      </c>
      <c r="J4010" t="s">
        <v>77</v>
      </c>
      <c r="K4010" t="s">
        <v>78</v>
      </c>
      <c r="L4010" t="s">
        <v>222</v>
      </c>
      <c r="M4010" t="s">
        <v>223</v>
      </c>
      <c r="N4010" t="s">
        <v>3479</v>
      </c>
      <c r="O4010" t="s">
        <v>82</v>
      </c>
      <c r="P4010" t="str">
        <f>"4170041370                    "</f>
        <v xml:space="preserve">4170041370                    </v>
      </c>
      <c r="Q4010">
        <v>0</v>
      </c>
      <c r="R4010">
        <v>0</v>
      </c>
      <c r="S4010">
        <v>0</v>
      </c>
      <c r="T4010">
        <v>0</v>
      </c>
      <c r="U4010">
        <v>0</v>
      </c>
      <c r="V4010">
        <v>0</v>
      </c>
      <c r="W4010">
        <v>0</v>
      </c>
      <c r="X4010">
        <v>0</v>
      </c>
      <c r="Y4010">
        <v>0</v>
      </c>
      <c r="Z4010">
        <v>0</v>
      </c>
      <c r="AA4010">
        <v>0</v>
      </c>
      <c r="AB4010">
        <v>0</v>
      </c>
      <c r="AC4010">
        <v>0</v>
      </c>
      <c r="AD4010">
        <v>0</v>
      </c>
      <c r="AE4010">
        <v>0</v>
      </c>
      <c r="AF4010">
        <v>0</v>
      </c>
      <c r="AG4010">
        <v>0</v>
      </c>
      <c r="AH4010">
        <v>0</v>
      </c>
      <c r="AI4010">
        <v>0</v>
      </c>
      <c r="AJ4010">
        <v>0</v>
      </c>
      <c r="AK4010">
        <v>0</v>
      </c>
      <c r="AL4010">
        <v>0</v>
      </c>
      <c r="AM4010">
        <v>0</v>
      </c>
      <c r="AN4010">
        <v>0</v>
      </c>
      <c r="AO4010">
        <v>0</v>
      </c>
      <c r="AP4010">
        <v>0</v>
      </c>
      <c r="AQ4010">
        <v>74</v>
      </c>
      <c r="AR4010">
        <v>0</v>
      </c>
      <c r="AS4010">
        <v>0</v>
      </c>
      <c r="AT4010">
        <v>0</v>
      </c>
      <c r="AU4010">
        <v>0</v>
      </c>
      <c r="AV4010">
        <v>0</v>
      </c>
      <c r="AW4010">
        <v>0</v>
      </c>
      <c r="AX4010">
        <v>0</v>
      </c>
      <c r="AY4010">
        <v>0</v>
      </c>
      <c r="AZ4010">
        <v>0</v>
      </c>
      <c r="BA4010">
        <v>0</v>
      </c>
      <c r="BB4010">
        <v>0</v>
      </c>
      <c r="BC4010">
        <v>0</v>
      </c>
      <c r="BD4010">
        <v>0</v>
      </c>
      <c r="BE4010">
        <v>0</v>
      </c>
      <c r="BF4010">
        <v>0</v>
      </c>
      <c r="BG4010">
        <v>0</v>
      </c>
      <c r="BH4010">
        <v>1</v>
      </c>
      <c r="BI4010">
        <v>5</v>
      </c>
      <c r="BJ4010">
        <v>4.0999999999999996</v>
      </c>
      <c r="BK4010">
        <v>5</v>
      </c>
      <c r="BL4010">
        <v>242.19</v>
      </c>
      <c r="BM4010">
        <v>36.33</v>
      </c>
      <c r="BN4010">
        <v>278.52</v>
      </c>
      <c r="BO4010">
        <v>278.52</v>
      </c>
      <c r="BQ4010" t="s">
        <v>3480</v>
      </c>
      <c r="BR4010" t="s">
        <v>84</v>
      </c>
      <c r="BS4010" t="s">
        <v>1540</v>
      </c>
      <c r="BV4010" t="s">
        <v>89</v>
      </c>
      <c r="BY4010">
        <v>20358</v>
      </c>
      <c r="CC4010" t="s">
        <v>223</v>
      </c>
      <c r="CD4010">
        <v>1739</v>
      </c>
      <c r="CE4010" t="s">
        <v>96</v>
      </c>
      <c r="CI4010">
        <v>1</v>
      </c>
      <c r="CJ4010" t="s">
        <v>1540</v>
      </c>
      <c r="CK4010">
        <v>24</v>
      </c>
      <c r="CL4010" t="s">
        <v>89</v>
      </c>
    </row>
    <row r="4011" spans="1:90" x14ac:dyDescent="0.3">
      <c r="A4011" t="s">
        <v>72</v>
      </c>
      <c r="B4011" t="s">
        <v>73</v>
      </c>
      <c r="C4011" t="s">
        <v>74</v>
      </c>
      <c r="E4011" t="str">
        <f>"080065646421"</f>
        <v>080065646421</v>
      </c>
      <c r="F4011" s="3">
        <v>45806</v>
      </c>
      <c r="G4011">
        <v>202602</v>
      </c>
      <c r="H4011" t="s">
        <v>75</v>
      </c>
      <c r="I4011" t="s">
        <v>76</v>
      </c>
      <c r="J4011" t="s">
        <v>77</v>
      </c>
      <c r="K4011" t="s">
        <v>78</v>
      </c>
      <c r="L4011" t="s">
        <v>130</v>
      </c>
      <c r="M4011" t="s">
        <v>131</v>
      </c>
      <c r="N4011" t="s">
        <v>327</v>
      </c>
      <c r="O4011" t="s">
        <v>82</v>
      </c>
      <c r="P4011" t="str">
        <f>"4170041493                    "</f>
        <v xml:space="preserve">4170041493                    </v>
      </c>
      <c r="Q4011">
        <v>0</v>
      </c>
      <c r="R4011">
        <v>0</v>
      </c>
      <c r="S4011">
        <v>0</v>
      </c>
      <c r="T4011">
        <v>0</v>
      </c>
      <c r="U4011">
        <v>0</v>
      </c>
      <c r="V4011">
        <v>0</v>
      </c>
      <c r="W4011">
        <v>0</v>
      </c>
      <c r="X4011">
        <v>0</v>
      </c>
      <c r="Y4011">
        <v>0</v>
      </c>
      <c r="Z4011">
        <v>0</v>
      </c>
      <c r="AA4011">
        <v>0</v>
      </c>
      <c r="AB4011">
        <v>0</v>
      </c>
      <c r="AC4011">
        <v>0</v>
      </c>
      <c r="AD4011">
        <v>0</v>
      </c>
      <c r="AE4011">
        <v>0</v>
      </c>
      <c r="AF4011">
        <v>0</v>
      </c>
      <c r="AG4011">
        <v>0</v>
      </c>
      <c r="AH4011">
        <v>0</v>
      </c>
      <c r="AI4011">
        <v>0</v>
      </c>
      <c r="AJ4011">
        <v>0</v>
      </c>
      <c r="AK4011">
        <v>0</v>
      </c>
      <c r="AL4011">
        <v>0</v>
      </c>
      <c r="AM4011">
        <v>0</v>
      </c>
      <c r="AN4011">
        <v>0</v>
      </c>
      <c r="AO4011">
        <v>0</v>
      </c>
      <c r="AP4011">
        <v>0</v>
      </c>
      <c r="AQ4011">
        <v>21.38</v>
      </c>
      <c r="AR4011">
        <v>0</v>
      </c>
      <c r="AS4011">
        <v>0</v>
      </c>
      <c r="AT4011">
        <v>0</v>
      </c>
      <c r="AU4011">
        <v>0</v>
      </c>
      <c r="AV4011">
        <v>0</v>
      </c>
      <c r="AW4011">
        <v>0</v>
      </c>
      <c r="AX4011">
        <v>0</v>
      </c>
      <c r="AY4011">
        <v>0</v>
      </c>
      <c r="AZ4011">
        <v>0</v>
      </c>
      <c r="BA4011">
        <v>0</v>
      </c>
      <c r="BB4011">
        <v>0</v>
      </c>
      <c r="BC4011">
        <v>0</v>
      </c>
      <c r="BD4011">
        <v>0</v>
      </c>
      <c r="BE4011">
        <v>0</v>
      </c>
      <c r="BF4011">
        <v>0</v>
      </c>
      <c r="BG4011">
        <v>0</v>
      </c>
      <c r="BH4011">
        <v>1</v>
      </c>
      <c r="BI4011">
        <v>1</v>
      </c>
      <c r="BJ4011">
        <v>0.2</v>
      </c>
      <c r="BK4011">
        <v>1</v>
      </c>
      <c r="BL4011">
        <v>69.98</v>
      </c>
      <c r="BM4011">
        <v>10.5</v>
      </c>
      <c r="BN4011">
        <v>80.48</v>
      </c>
      <c r="BO4011">
        <v>80.48</v>
      </c>
      <c r="BQ4011" t="s">
        <v>328</v>
      </c>
      <c r="BR4011" t="s">
        <v>84</v>
      </c>
      <c r="BS4011" t="s">
        <v>1540</v>
      </c>
      <c r="BV4011" t="s">
        <v>89</v>
      </c>
      <c r="BY4011">
        <v>1200</v>
      </c>
      <c r="CC4011" t="s">
        <v>131</v>
      </c>
      <c r="CD4011">
        <v>7480</v>
      </c>
      <c r="CE4011" t="s">
        <v>88</v>
      </c>
      <c r="CI4011">
        <v>1</v>
      </c>
      <c r="CJ4011" t="s">
        <v>1540</v>
      </c>
      <c r="CK4011">
        <v>21</v>
      </c>
      <c r="CL4011" t="s">
        <v>89</v>
      </c>
    </row>
    <row r="4012" spans="1:90" x14ac:dyDescent="0.3">
      <c r="A4012" t="s">
        <v>72</v>
      </c>
      <c r="B4012" t="s">
        <v>73</v>
      </c>
      <c r="C4012" t="s">
        <v>74</v>
      </c>
      <c r="E4012" t="str">
        <f>"080065646443"</f>
        <v>080065646443</v>
      </c>
      <c r="F4012" s="3">
        <v>45806</v>
      </c>
      <c r="G4012">
        <v>202602</v>
      </c>
      <c r="H4012" t="s">
        <v>75</v>
      </c>
      <c r="I4012" t="s">
        <v>76</v>
      </c>
      <c r="J4012" t="s">
        <v>77</v>
      </c>
      <c r="K4012" t="s">
        <v>78</v>
      </c>
      <c r="L4012" t="s">
        <v>350</v>
      </c>
      <c r="M4012" t="s">
        <v>351</v>
      </c>
      <c r="N4012" t="s">
        <v>678</v>
      </c>
      <c r="O4012" t="s">
        <v>82</v>
      </c>
      <c r="P4012" t="str">
        <f>"4170041461                    "</f>
        <v xml:space="preserve">4170041461                    </v>
      </c>
      <c r="Q4012">
        <v>0</v>
      </c>
      <c r="R4012">
        <v>0</v>
      </c>
      <c r="S4012">
        <v>0</v>
      </c>
      <c r="T4012">
        <v>0</v>
      </c>
      <c r="U4012">
        <v>0</v>
      </c>
      <c r="V4012">
        <v>0</v>
      </c>
      <c r="W4012">
        <v>0</v>
      </c>
      <c r="X4012">
        <v>0</v>
      </c>
      <c r="Y4012">
        <v>0</v>
      </c>
      <c r="Z4012">
        <v>0</v>
      </c>
      <c r="AA4012">
        <v>0</v>
      </c>
      <c r="AB4012">
        <v>0</v>
      </c>
      <c r="AC4012">
        <v>0</v>
      </c>
      <c r="AD4012">
        <v>0</v>
      </c>
      <c r="AE4012">
        <v>0</v>
      </c>
      <c r="AF4012">
        <v>0</v>
      </c>
      <c r="AG4012">
        <v>0</v>
      </c>
      <c r="AH4012">
        <v>0</v>
      </c>
      <c r="AI4012">
        <v>0</v>
      </c>
      <c r="AJ4012">
        <v>0</v>
      </c>
      <c r="AK4012">
        <v>0</v>
      </c>
      <c r="AL4012">
        <v>0</v>
      </c>
      <c r="AM4012">
        <v>0</v>
      </c>
      <c r="AN4012">
        <v>0</v>
      </c>
      <c r="AO4012">
        <v>0</v>
      </c>
      <c r="AP4012">
        <v>0</v>
      </c>
      <c r="AQ4012">
        <v>42.75</v>
      </c>
      <c r="AR4012">
        <v>0</v>
      </c>
      <c r="AS4012">
        <v>0</v>
      </c>
      <c r="AT4012">
        <v>0</v>
      </c>
      <c r="AU4012">
        <v>0</v>
      </c>
      <c r="AV4012">
        <v>0</v>
      </c>
      <c r="AW4012">
        <v>0</v>
      </c>
      <c r="AX4012">
        <v>0</v>
      </c>
      <c r="AY4012">
        <v>0</v>
      </c>
      <c r="AZ4012">
        <v>0</v>
      </c>
      <c r="BA4012">
        <v>0</v>
      </c>
      <c r="BB4012">
        <v>0</v>
      </c>
      <c r="BC4012">
        <v>0</v>
      </c>
      <c r="BD4012">
        <v>0</v>
      </c>
      <c r="BE4012">
        <v>0</v>
      </c>
      <c r="BF4012">
        <v>0</v>
      </c>
      <c r="BG4012">
        <v>0</v>
      </c>
      <c r="BH4012">
        <v>1</v>
      </c>
      <c r="BI4012">
        <v>4</v>
      </c>
      <c r="BJ4012">
        <v>0.6</v>
      </c>
      <c r="BK4012">
        <v>4</v>
      </c>
      <c r="BL4012">
        <v>139.91</v>
      </c>
      <c r="BM4012">
        <v>20.99</v>
      </c>
      <c r="BN4012">
        <v>160.9</v>
      </c>
      <c r="BO4012">
        <v>160.9</v>
      </c>
      <c r="BQ4012" t="s">
        <v>679</v>
      </c>
      <c r="BR4012" t="s">
        <v>84</v>
      </c>
      <c r="BS4012" t="s">
        <v>1540</v>
      </c>
      <c r="BV4012" t="s">
        <v>89</v>
      </c>
      <c r="BY4012">
        <v>3192</v>
      </c>
      <c r="CC4012" t="s">
        <v>351</v>
      </c>
      <c r="CD4012">
        <v>4052</v>
      </c>
      <c r="CE4012" t="s">
        <v>116</v>
      </c>
      <c r="CI4012">
        <v>1</v>
      </c>
      <c r="CJ4012" t="s">
        <v>1540</v>
      </c>
      <c r="CK4012">
        <v>21</v>
      </c>
      <c r="CL4012" t="s">
        <v>89</v>
      </c>
    </row>
    <row r="4013" spans="1:90" x14ac:dyDescent="0.3">
      <c r="A4013" t="s">
        <v>72</v>
      </c>
      <c r="B4013" t="s">
        <v>73</v>
      </c>
      <c r="C4013" t="s">
        <v>74</v>
      </c>
      <c r="E4013" t="str">
        <f>"080065646469"</f>
        <v>080065646469</v>
      </c>
      <c r="F4013" s="3">
        <v>45806</v>
      </c>
      <c r="G4013">
        <v>202602</v>
      </c>
      <c r="H4013" t="s">
        <v>75</v>
      </c>
      <c r="I4013" t="s">
        <v>76</v>
      </c>
      <c r="J4013" t="s">
        <v>77</v>
      </c>
      <c r="K4013" t="s">
        <v>78</v>
      </c>
      <c r="L4013" t="s">
        <v>463</v>
      </c>
      <c r="M4013" t="s">
        <v>464</v>
      </c>
      <c r="N4013" t="s">
        <v>585</v>
      </c>
      <c r="O4013" t="s">
        <v>82</v>
      </c>
      <c r="P4013" t="str">
        <f>"4170041482                    "</f>
        <v xml:space="preserve">4170041482                    </v>
      </c>
      <c r="Q4013">
        <v>0</v>
      </c>
      <c r="R4013">
        <v>0</v>
      </c>
      <c r="S4013">
        <v>0</v>
      </c>
      <c r="T4013">
        <v>0</v>
      </c>
      <c r="U4013">
        <v>0</v>
      </c>
      <c r="V4013">
        <v>0</v>
      </c>
      <c r="W4013">
        <v>0</v>
      </c>
      <c r="X4013">
        <v>0</v>
      </c>
      <c r="Y4013">
        <v>0</v>
      </c>
      <c r="Z4013">
        <v>0</v>
      </c>
      <c r="AA4013">
        <v>0</v>
      </c>
      <c r="AB4013">
        <v>0</v>
      </c>
      <c r="AC4013">
        <v>0</v>
      </c>
      <c r="AD4013">
        <v>0</v>
      </c>
      <c r="AE4013">
        <v>0</v>
      </c>
      <c r="AF4013">
        <v>0</v>
      </c>
      <c r="AG4013">
        <v>0</v>
      </c>
      <c r="AH4013">
        <v>0</v>
      </c>
      <c r="AI4013">
        <v>0</v>
      </c>
      <c r="AJ4013">
        <v>0</v>
      </c>
      <c r="AK4013">
        <v>0</v>
      </c>
      <c r="AL4013">
        <v>0</v>
      </c>
      <c r="AM4013">
        <v>0</v>
      </c>
      <c r="AN4013">
        <v>0</v>
      </c>
      <c r="AO4013">
        <v>0</v>
      </c>
      <c r="AP4013">
        <v>0</v>
      </c>
      <c r="AQ4013">
        <v>21.38</v>
      </c>
      <c r="AR4013">
        <v>0</v>
      </c>
      <c r="AS4013">
        <v>0</v>
      </c>
      <c r="AT4013">
        <v>0</v>
      </c>
      <c r="AU4013">
        <v>0</v>
      </c>
      <c r="AV4013">
        <v>0</v>
      </c>
      <c r="AW4013">
        <v>0</v>
      </c>
      <c r="AX4013">
        <v>0</v>
      </c>
      <c r="AY4013">
        <v>0</v>
      </c>
      <c r="AZ4013">
        <v>0</v>
      </c>
      <c r="BA4013">
        <v>0</v>
      </c>
      <c r="BB4013">
        <v>0</v>
      </c>
      <c r="BC4013">
        <v>0</v>
      </c>
      <c r="BD4013">
        <v>0</v>
      </c>
      <c r="BE4013">
        <v>0</v>
      </c>
      <c r="BF4013">
        <v>0</v>
      </c>
      <c r="BG4013">
        <v>0</v>
      </c>
      <c r="BH4013">
        <v>1</v>
      </c>
      <c r="BI4013">
        <v>1</v>
      </c>
      <c r="BJ4013">
        <v>0.2</v>
      </c>
      <c r="BK4013">
        <v>1</v>
      </c>
      <c r="BL4013">
        <v>69.98</v>
      </c>
      <c r="BM4013">
        <v>10.5</v>
      </c>
      <c r="BN4013">
        <v>80.48</v>
      </c>
      <c r="BO4013">
        <v>80.48</v>
      </c>
      <c r="BQ4013" t="s">
        <v>586</v>
      </c>
      <c r="BR4013" t="s">
        <v>84</v>
      </c>
      <c r="BS4013" t="s">
        <v>1540</v>
      </c>
      <c r="BV4013" t="s">
        <v>89</v>
      </c>
      <c r="BY4013">
        <v>1200</v>
      </c>
      <c r="CC4013" t="s">
        <v>464</v>
      </c>
      <c r="CD4013">
        <v>5200</v>
      </c>
      <c r="CE4013" t="s">
        <v>88</v>
      </c>
      <c r="CI4013">
        <v>1</v>
      </c>
      <c r="CJ4013" t="s">
        <v>1540</v>
      </c>
      <c r="CK4013">
        <v>21</v>
      </c>
      <c r="CL4013" t="s">
        <v>89</v>
      </c>
    </row>
    <row r="4014" spans="1:90" x14ac:dyDescent="0.3">
      <c r="A4014" t="s">
        <v>72</v>
      </c>
      <c r="B4014" t="s">
        <v>73</v>
      </c>
      <c r="C4014" t="s">
        <v>74</v>
      </c>
      <c r="E4014" t="str">
        <f>"080065646508"</f>
        <v>080065646508</v>
      </c>
      <c r="F4014" s="3">
        <v>45806</v>
      </c>
      <c r="G4014">
        <v>202602</v>
      </c>
      <c r="H4014" t="s">
        <v>75</v>
      </c>
      <c r="I4014" t="s">
        <v>76</v>
      </c>
      <c r="J4014" t="s">
        <v>77</v>
      </c>
      <c r="K4014" t="s">
        <v>78</v>
      </c>
      <c r="L4014" t="s">
        <v>463</v>
      </c>
      <c r="M4014" t="s">
        <v>464</v>
      </c>
      <c r="N4014" t="s">
        <v>585</v>
      </c>
      <c r="O4014" t="s">
        <v>300</v>
      </c>
      <c r="P4014" t="str">
        <f>"4170041479                    "</f>
        <v xml:space="preserve">4170041479                    </v>
      </c>
      <c r="Q4014">
        <v>0</v>
      </c>
      <c r="R4014">
        <v>0</v>
      </c>
      <c r="S4014">
        <v>0</v>
      </c>
      <c r="T4014">
        <v>0</v>
      </c>
      <c r="U4014">
        <v>0</v>
      </c>
      <c r="V4014">
        <v>0</v>
      </c>
      <c r="W4014">
        <v>0</v>
      </c>
      <c r="X4014">
        <v>0</v>
      </c>
      <c r="Y4014">
        <v>0</v>
      </c>
      <c r="Z4014">
        <v>0</v>
      </c>
      <c r="AA4014">
        <v>0</v>
      </c>
      <c r="AB4014">
        <v>0</v>
      </c>
      <c r="AC4014">
        <v>0</v>
      </c>
      <c r="AD4014">
        <v>0</v>
      </c>
      <c r="AE4014">
        <v>0</v>
      </c>
      <c r="AF4014">
        <v>0</v>
      </c>
      <c r="AG4014">
        <v>0</v>
      </c>
      <c r="AH4014">
        <v>0</v>
      </c>
      <c r="AI4014">
        <v>0</v>
      </c>
      <c r="AJ4014">
        <v>0</v>
      </c>
      <c r="AK4014">
        <v>0</v>
      </c>
      <c r="AL4014">
        <v>0</v>
      </c>
      <c r="AM4014">
        <v>0</v>
      </c>
      <c r="AN4014">
        <v>0</v>
      </c>
      <c r="AO4014">
        <v>0</v>
      </c>
      <c r="AP4014">
        <v>0</v>
      </c>
      <c r="AQ4014">
        <v>41.35</v>
      </c>
      <c r="AR4014">
        <v>0</v>
      </c>
      <c r="AS4014">
        <v>0</v>
      </c>
      <c r="AT4014">
        <v>0</v>
      </c>
      <c r="AU4014">
        <v>0</v>
      </c>
      <c r="AV4014">
        <v>0</v>
      </c>
      <c r="AW4014">
        <v>0</v>
      </c>
      <c r="AX4014">
        <v>0</v>
      </c>
      <c r="AY4014">
        <v>0</v>
      </c>
      <c r="AZ4014">
        <v>0</v>
      </c>
      <c r="BA4014">
        <v>0</v>
      </c>
      <c r="BB4014">
        <v>0</v>
      </c>
      <c r="BC4014">
        <v>0</v>
      </c>
      <c r="BD4014">
        <v>0</v>
      </c>
      <c r="BE4014">
        <v>0</v>
      </c>
      <c r="BF4014">
        <v>0</v>
      </c>
      <c r="BG4014">
        <v>0</v>
      </c>
      <c r="BH4014">
        <v>1</v>
      </c>
      <c r="BI4014">
        <v>6</v>
      </c>
      <c r="BJ4014">
        <v>2.6</v>
      </c>
      <c r="BK4014">
        <v>6</v>
      </c>
      <c r="BL4014">
        <v>140.9</v>
      </c>
      <c r="BM4014">
        <v>21.14</v>
      </c>
      <c r="BN4014">
        <v>162.04</v>
      </c>
      <c r="BO4014">
        <v>162.04</v>
      </c>
      <c r="BQ4014" t="s">
        <v>586</v>
      </c>
      <c r="BR4014" t="s">
        <v>84</v>
      </c>
      <c r="BS4014" t="s">
        <v>1540</v>
      </c>
      <c r="BV4014" t="s">
        <v>89</v>
      </c>
      <c r="BY4014">
        <v>12768</v>
      </c>
      <c r="CC4014" t="s">
        <v>464</v>
      </c>
      <c r="CD4014">
        <v>5201</v>
      </c>
      <c r="CE4014" t="s">
        <v>356</v>
      </c>
      <c r="CI4014">
        <v>3</v>
      </c>
      <c r="CJ4014" t="s">
        <v>1540</v>
      </c>
      <c r="CK4014">
        <v>41</v>
      </c>
      <c r="CL4014" t="s">
        <v>89</v>
      </c>
    </row>
    <row r="4015" spans="1:90" x14ac:dyDescent="0.3">
      <c r="A4015" t="s">
        <v>72</v>
      </c>
      <c r="B4015" t="s">
        <v>73</v>
      </c>
      <c r="C4015" t="s">
        <v>74</v>
      </c>
      <c r="E4015" t="str">
        <f>"080065646570"</f>
        <v>080065646570</v>
      </c>
      <c r="F4015" s="3">
        <v>45806</v>
      </c>
      <c r="G4015">
        <v>202602</v>
      </c>
      <c r="H4015" t="s">
        <v>75</v>
      </c>
      <c r="I4015" t="s">
        <v>76</v>
      </c>
      <c r="J4015" t="s">
        <v>77</v>
      </c>
      <c r="K4015" t="s">
        <v>78</v>
      </c>
      <c r="L4015" t="s">
        <v>136</v>
      </c>
      <c r="M4015" t="s">
        <v>137</v>
      </c>
      <c r="N4015" t="s">
        <v>925</v>
      </c>
      <c r="O4015" t="s">
        <v>300</v>
      </c>
      <c r="P4015" t="str">
        <f>"4170041394                    "</f>
        <v xml:space="preserve">4170041394                    </v>
      </c>
      <c r="Q4015">
        <v>0</v>
      </c>
      <c r="R4015">
        <v>0</v>
      </c>
      <c r="S4015">
        <v>0</v>
      </c>
      <c r="T4015">
        <v>0</v>
      </c>
      <c r="U4015">
        <v>0</v>
      </c>
      <c r="V4015">
        <v>0</v>
      </c>
      <c r="W4015">
        <v>0</v>
      </c>
      <c r="X4015">
        <v>0</v>
      </c>
      <c r="Y4015">
        <v>0</v>
      </c>
      <c r="Z4015">
        <v>0</v>
      </c>
      <c r="AA4015">
        <v>0</v>
      </c>
      <c r="AB4015">
        <v>0</v>
      </c>
      <c r="AC4015">
        <v>0</v>
      </c>
      <c r="AD4015">
        <v>0</v>
      </c>
      <c r="AE4015">
        <v>0</v>
      </c>
      <c r="AF4015">
        <v>0</v>
      </c>
      <c r="AG4015">
        <v>0</v>
      </c>
      <c r="AH4015">
        <v>0</v>
      </c>
      <c r="AI4015">
        <v>0</v>
      </c>
      <c r="AJ4015">
        <v>0</v>
      </c>
      <c r="AK4015">
        <v>0</v>
      </c>
      <c r="AL4015">
        <v>0</v>
      </c>
      <c r="AM4015">
        <v>0</v>
      </c>
      <c r="AN4015">
        <v>0</v>
      </c>
      <c r="AO4015">
        <v>0</v>
      </c>
      <c r="AP4015">
        <v>0</v>
      </c>
      <c r="AQ4015">
        <v>41.35</v>
      </c>
      <c r="AR4015">
        <v>0</v>
      </c>
      <c r="AS4015">
        <v>0</v>
      </c>
      <c r="AT4015">
        <v>0</v>
      </c>
      <c r="AU4015">
        <v>0</v>
      </c>
      <c r="AV4015">
        <v>0</v>
      </c>
      <c r="AW4015">
        <v>0</v>
      </c>
      <c r="AX4015">
        <v>0</v>
      </c>
      <c r="AY4015">
        <v>0</v>
      </c>
      <c r="AZ4015">
        <v>0</v>
      </c>
      <c r="BA4015">
        <v>0</v>
      </c>
      <c r="BB4015">
        <v>0</v>
      </c>
      <c r="BC4015">
        <v>0</v>
      </c>
      <c r="BD4015">
        <v>0</v>
      </c>
      <c r="BE4015">
        <v>0</v>
      </c>
      <c r="BF4015">
        <v>0</v>
      </c>
      <c r="BG4015">
        <v>0</v>
      </c>
      <c r="BH4015">
        <v>1</v>
      </c>
      <c r="BI4015">
        <v>4</v>
      </c>
      <c r="BJ4015">
        <v>8.4</v>
      </c>
      <c r="BK4015">
        <v>9</v>
      </c>
      <c r="BL4015">
        <v>140.9</v>
      </c>
      <c r="BM4015">
        <v>21.14</v>
      </c>
      <c r="BN4015">
        <v>162.04</v>
      </c>
      <c r="BO4015">
        <v>162.04</v>
      </c>
      <c r="BQ4015" t="s">
        <v>926</v>
      </c>
      <c r="BR4015" t="s">
        <v>84</v>
      </c>
      <c r="BS4015" t="s">
        <v>1540</v>
      </c>
      <c r="BV4015" t="s">
        <v>89</v>
      </c>
      <c r="BY4015">
        <v>42000</v>
      </c>
      <c r="CC4015" t="s">
        <v>137</v>
      </c>
      <c r="CD4015" s="5" t="s">
        <v>142</v>
      </c>
      <c r="CE4015" t="s">
        <v>221</v>
      </c>
      <c r="CI4015">
        <v>1</v>
      </c>
      <c r="CJ4015" t="s">
        <v>1540</v>
      </c>
      <c r="CK4015">
        <v>41</v>
      </c>
      <c r="CL4015" t="s">
        <v>89</v>
      </c>
    </row>
    <row r="4016" spans="1:90" x14ac:dyDescent="0.3">
      <c r="A4016" t="s">
        <v>72</v>
      </c>
      <c r="B4016" t="s">
        <v>73</v>
      </c>
      <c r="C4016" t="s">
        <v>74</v>
      </c>
      <c r="E4016" t="str">
        <f>"080065647108"</f>
        <v>080065647108</v>
      </c>
      <c r="F4016" s="3">
        <v>45806</v>
      </c>
      <c r="G4016">
        <v>202602</v>
      </c>
      <c r="H4016" t="s">
        <v>75</v>
      </c>
      <c r="I4016" t="s">
        <v>76</v>
      </c>
      <c r="J4016" t="s">
        <v>77</v>
      </c>
      <c r="K4016" t="s">
        <v>78</v>
      </c>
      <c r="L4016" t="s">
        <v>151</v>
      </c>
      <c r="M4016" t="s">
        <v>152</v>
      </c>
      <c r="N4016" t="s">
        <v>731</v>
      </c>
      <c r="O4016" t="s">
        <v>82</v>
      </c>
      <c r="P4016" t="str">
        <f>"4170041488                    "</f>
        <v xml:space="preserve">4170041488                    </v>
      </c>
      <c r="Q4016">
        <v>0</v>
      </c>
      <c r="R4016">
        <v>0</v>
      </c>
      <c r="S4016">
        <v>0</v>
      </c>
      <c r="T4016">
        <v>0</v>
      </c>
      <c r="U4016">
        <v>0</v>
      </c>
      <c r="V4016">
        <v>0</v>
      </c>
      <c r="W4016">
        <v>0</v>
      </c>
      <c r="X4016">
        <v>0</v>
      </c>
      <c r="Y4016">
        <v>0</v>
      </c>
      <c r="Z4016">
        <v>0</v>
      </c>
      <c r="AA4016">
        <v>0</v>
      </c>
      <c r="AB4016">
        <v>0</v>
      </c>
      <c r="AC4016">
        <v>0</v>
      </c>
      <c r="AD4016">
        <v>0</v>
      </c>
      <c r="AE4016">
        <v>0</v>
      </c>
      <c r="AF4016">
        <v>0</v>
      </c>
      <c r="AG4016">
        <v>0</v>
      </c>
      <c r="AH4016">
        <v>0</v>
      </c>
      <c r="AI4016">
        <v>0</v>
      </c>
      <c r="AJ4016">
        <v>0</v>
      </c>
      <c r="AK4016">
        <v>0</v>
      </c>
      <c r="AL4016">
        <v>0</v>
      </c>
      <c r="AM4016">
        <v>0</v>
      </c>
      <c r="AN4016">
        <v>0</v>
      </c>
      <c r="AO4016">
        <v>0</v>
      </c>
      <c r="AP4016">
        <v>0</v>
      </c>
      <c r="AQ4016">
        <v>41.43</v>
      </c>
      <c r="AR4016">
        <v>0</v>
      </c>
      <c r="AS4016">
        <v>0</v>
      </c>
      <c r="AT4016">
        <v>0</v>
      </c>
      <c r="AU4016">
        <v>0</v>
      </c>
      <c r="AV4016">
        <v>0</v>
      </c>
      <c r="AW4016">
        <v>0</v>
      </c>
      <c r="AX4016">
        <v>0</v>
      </c>
      <c r="AY4016">
        <v>0</v>
      </c>
      <c r="AZ4016">
        <v>0</v>
      </c>
      <c r="BA4016">
        <v>0</v>
      </c>
      <c r="BB4016">
        <v>0</v>
      </c>
      <c r="BC4016">
        <v>0</v>
      </c>
      <c r="BD4016">
        <v>0</v>
      </c>
      <c r="BE4016">
        <v>0</v>
      </c>
      <c r="BF4016">
        <v>0</v>
      </c>
      <c r="BG4016">
        <v>0</v>
      </c>
      <c r="BH4016">
        <v>1</v>
      </c>
      <c r="BI4016">
        <v>1</v>
      </c>
      <c r="BJ4016">
        <v>0.2</v>
      </c>
      <c r="BK4016">
        <v>1</v>
      </c>
      <c r="BL4016">
        <v>135.59</v>
      </c>
      <c r="BM4016">
        <v>20.34</v>
      </c>
      <c r="BN4016">
        <v>155.93</v>
      </c>
      <c r="BO4016">
        <v>155.93</v>
      </c>
      <c r="BQ4016" t="s">
        <v>732</v>
      </c>
      <c r="BR4016" t="s">
        <v>84</v>
      </c>
      <c r="BS4016" t="s">
        <v>1540</v>
      </c>
      <c r="BV4016" t="s">
        <v>89</v>
      </c>
      <c r="BY4016">
        <v>1200</v>
      </c>
      <c r="CC4016" t="s">
        <v>152</v>
      </c>
      <c r="CD4016">
        <v>1911</v>
      </c>
      <c r="CE4016" t="s">
        <v>88</v>
      </c>
      <c r="CI4016">
        <v>1</v>
      </c>
      <c r="CJ4016" t="s">
        <v>1540</v>
      </c>
      <c r="CK4016">
        <v>23</v>
      </c>
      <c r="CL4016" t="s">
        <v>89</v>
      </c>
    </row>
    <row r="4017" spans="1:90" x14ac:dyDescent="0.3">
      <c r="A4017" t="s">
        <v>72</v>
      </c>
      <c r="B4017" t="s">
        <v>73</v>
      </c>
      <c r="C4017" t="s">
        <v>74</v>
      </c>
      <c r="E4017" t="str">
        <f>"080065647138"</f>
        <v>080065647138</v>
      </c>
      <c r="F4017" s="3">
        <v>45806</v>
      </c>
      <c r="G4017">
        <v>202602</v>
      </c>
      <c r="H4017" t="s">
        <v>75</v>
      </c>
      <c r="I4017" t="s">
        <v>76</v>
      </c>
      <c r="J4017" t="s">
        <v>77</v>
      </c>
      <c r="K4017" t="s">
        <v>78</v>
      </c>
      <c r="L4017" t="s">
        <v>624</v>
      </c>
      <c r="M4017" t="s">
        <v>625</v>
      </c>
      <c r="N4017" t="s">
        <v>2603</v>
      </c>
      <c r="O4017" t="s">
        <v>82</v>
      </c>
      <c r="P4017" t="str">
        <f>"4170041487                    "</f>
        <v xml:space="preserve">4170041487                    </v>
      </c>
      <c r="Q4017">
        <v>0</v>
      </c>
      <c r="R4017">
        <v>0</v>
      </c>
      <c r="S4017">
        <v>0</v>
      </c>
      <c r="T4017">
        <v>0</v>
      </c>
      <c r="U4017">
        <v>0</v>
      </c>
      <c r="V4017">
        <v>0</v>
      </c>
      <c r="W4017">
        <v>0</v>
      </c>
      <c r="X4017">
        <v>0</v>
      </c>
      <c r="Y4017">
        <v>0</v>
      </c>
      <c r="Z4017">
        <v>0</v>
      </c>
      <c r="AA4017">
        <v>0</v>
      </c>
      <c r="AB4017">
        <v>0</v>
      </c>
      <c r="AC4017">
        <v>0</v>
      </c>
      <c r="AD4017">
        <v>0</v>
      </c>
      <c r="AE4017">
        <v>0</v>
      </c>
      <c r="AF4017">
        <v>0</v>
      </c>
      <c r="AG4017">
        <v>0</v>
      </c>
      <c r="AH4017">
        <v>0</v>
      </c>
      <c r="AI4017">
        <v>0</v>
      </c>
      <c r="AJ4017">
        <v>0</v>
      </c>
      <c r="AK4017">
        <v>0</v>
      </c>
      <c r="AL4017">
        <v>0</v>
      </c>
      <c r="AM4017">
        <v>0</v>
      </c>
      <c r="AN4017">
        <v>0</v>
      </c>
      <c r="AO4017">
        <v>0</v>
      </c>
      <c r="AP4017">
        <v>0</v>
      </c>
      <c r="AQ4017">
        <v>41.43</v>
      </c>
      <c r="AR4017">
        <v>0</v>
      </c>
      <c r="AS4017">
        <v>0</v>
      </c>
      <c r="AT4017">
        <v>0</v>
      </c>
      <c r="AU4017">
        <v>0</v>
      </c>
      <c r="AV4017">
        <v>0</v>
      </c>
      <c r="AW4017">
        <v>0</v>
      </c>
      <c r="AX4017">
        <v>0</v>
      </c>
      <c r="AY4017">
        <v>0</v>
      </c>
      <c r="AZ4017">
        <v>0</v>
      </c>
      <c r="BA4017">
        <v>0</v>
      </c>
      <c r="BB4017">
        <v>0</v>
      </c>
      <c r="BC4017">
        <v>0</v>
      </c>
      <c r="BD4017">
        <v>0</v>
      </c>
      <c r="BE4017">
        <v>0</v>
      </c>
      <c r="BF4017">
        <v>0</v>
      </c>
      <c r="BG4017">
        <v>0</v>
      </c>
      <c r="BH4017">
        <v>1</v>
      </c>
      <c r="BI4017">
        <v>1</v>
      </c>
      <c r="BJ4017">
        <v>0.2</v>
      </c>
      <c r="BK4017">
        <v>1</v>
      </c>
      <c r="BL4017">
        <v>135.59</v>
      </c>
      <c r="BM4017">
        <v>20.34</v>
      </c>
      <c r="BN4017">
        <v>155.93</v>
      </c>
      <c r="BO4017">
        <v>155.93</v>
      </c>
      <c r="BQ4017" t="s">
        <v>2668</v>
      </c>
      <c r="BR4017" t="s">
        <v>84</v>
      </c>
      <c r="BS4017" t="s">
        <v>1540</v>
      </c>
      <c r="BV4017" t="s">
        <v>89</v>
      </c>
      <c r="BY4017">
        <v>1200</v>
      </c>
      <c r="CC4017" t="s">
        <v>625</v>
      </c>
      <c r="CD4017">
        <v>1947</v>
      </c>
      <c r="CE4017" t="s">
        <v>88</v>
      </c>
      <c r="CI4017">
        <v>1</v>
      </c>
      <c r="CJ4017" t="s">
        <v>1540</v>
      </c>
      <c r="CK4017">
        <v>23</v>
      </c>
      <c r="CL4017" t="s">
        <v>89</v>
      </c>
    </row>
    <row r="4018" spans="1:90" x14ac:dyDescent="0.3">
      <c r="A4018" t="s">
        <v>72</v>
      </c>
      <c r="B4018" t="s">
        <v>73</v>
      </c>
      <c r="C4018" t="s">
        <v>74</v>
      </c>
      <c r="E4018" t="str">
        <f>"080065647185"</f>
        <v>080065647185</v>
      </c>
      <c r="F4018" s="3">
        <v>45806</v>
      </c>
      <c r="G4018">
        <v>202602</v>
      </c>
      <c r="H4018" t="s">
        <v>75</v>
      </c>
      <c r="I4018" t="s">
        <v>76</v>
      </c>
      <c r="J4018" t="s">
        <v>77</v>
      </c>
      <c r="K4018" t="s">
        <v>78</v>
      </c>
      <c r="L4018" t="s">
        <v>350</v>
      </c>
      <c r="M4018" t="s">
        <v>351</v>
      </c>
      <c r="N4018" t="s">
        <v>876</v>
      </c>
      <c r="O4018" t="s">
        <v>82</v>
      </c>
      <c r="P4018" t="str">
        <f>"4170041483                    "</f>
        <v xml:space="preserve">4170041483                    </v>
      </c>
      <c r="Q4018">
        <v>0</v>
      </c>
      <c r="R4018">
        <v>0</v>
      </c>
      <c r="S4018">
        <v>0</v>
      </c>
      <c r="T4018">
        <v>0</v>
      </c>
      <c r="U4018">
        <v>0</v>
      </c>
      <c r="V4018">
        <v>0</v>
      </c>
      <c r="W4018">
        <v>0</v>
      </c>
      <c r="X4018">
        <v>0</v>
      </c>
      <c r="Y4018">
        <v>0</v>
      </c>
      <c r="Z4018">
        <v>0</v>
      </c>
      <c r="AA4018">
        <v>0</v>
      </c>
      <c r="AB4018">
        <v>0</v>
      </c>
      <c r="AC4018">
        <v>0</v>
      </c>
      <c r="AD4018">
        <v>0</v>
      </c>
      <c r="AE4018">
        <v>0</v>
      </c>
      <c r="AF4018">
        <v>0</v>
      </c>
      <c r="AG4018">
        <v>0</v>
      </c>
      <c r="AH4018">
        <v>0</v>
      </c>
      <c r="AI4018">
        <v>0</v>
      </c>
      <c r="AJ4018">
        <v>0</v>
      </c>
      <c r="AK4018">
        <v>0</v>
      </c>
      <c r="AL4018">
        <v>0</v>
      </c>
      <c r="AM4018">
        <v>0</v>
      </c>
      <c r="AN4018">
        <v>0</v>
      </c>
      <c r="AO4018">
        <v>0</v>
      </c>
      <c r="AP4018">
        <v>0</v>
      </c>
      <c r="AQ4018">
        <v>37.409999999999997</v>
      </c>
      <c r="AR4018">
        <v>0</v>
      </c>
      <c r="AS4018">
        <v>0</v>
      </c>
      <c r="AT4018">
        <v>0</v>
      </c>
      <c r="AU4018">
        <v>0</v>
      </c>
      <c r="AV4018">
        <v>0</v>
      </c>
      <c r="AW4018">
        <v>0</v>
      </c>
      <c r="AX4018">
        <v>0</v>
      </c>
      <c r="AY4018">
        <v>0</v>
      </c>
      <c r="AZ4018">
        <v>0</v>
      </c>
      <c r="BA4018">
        <v>0</v>
      </c>
      <c r="BB4018">
        <v>0</v>
      </c>
      <c r="BC4018">
        <v>0</v>
      </c>
      <c r="BD4018">
        <v>0</v>
      </c>
      <c r="BE4018">
        <v>0</v>
      </c>
      <c r="BF4018">
        <v>0</v>
      </c>
      <c r="BG4018">
        <v>0</v>
      </c>
      <c r="BH4018">
        <v>1</v>
      </c>
      <c r="BI4018">
        <v>2</v>
      </c>
      <c r="BJ4018">
        <v>3.1</v>
      </c>
      <c r="BK4018">
        <v>3.5</v>
      </c>
      <c r="BL4018">
        <v>122.43</v>
      </c>
      <c r="BM4018">
        <v>18.36</v>
      </c>
      <c r="BN4018">
        <v>140.79</v>
      </c>
      <c r="BO4018">
        <v>140.79</v>
      </c>
      <c r="BQ4018" t="s">
        <v>877</v>
      </c>
      <c r="BR4018" t="s">
        <v>84</v>
      </c>
      <c r="BS4018" t="s">
        <v>1540</v>
      </c>
      <c r="BV4018" t="s">
        <v>89</v>
      </c>
      <c r="BY4018">
        <v>15680</v>
      </c>
      <c r="CC4018" t="s">
        <v>351</v>
      </c>
      <c r="CD4018">
        <v>4001</v>
      </c>
      <c r="CE4018" t="s">
        <v>221</v>
      </c>
      <c r="CI4018">
        <v>1</v>
      </c>
      <c r="CJ4018" t="s">
        <v>1540</v>
      </c>
      <c r="CK4018">
        <v>21</v>
      </c>
      <c r="CL4018" t="s">
        <v>89</v>
      </c>
    </row>
    <row r="4019" spans="1:90" x14ac:dyDescent="0.3">
      <c r="A4019" t="s">
        <v>72</v>
      </c>
      <c r="B4019" t="s">
        <v>73</v>
      </c>
      <c r="C4019" t="s">
        <v>74</v>
      </c>
      <c r="E4019" t="str">
        <f>"080065647242"</f>
        <v>080065647242</v>
      </c>
      <c r="F4019" s="3">
        <v>45806</v>
      </c>
      <c r="G4019">
        <v>202602</v>
      </c>
      <c r="H4019" t="s">
        <v>75</v>
      </c>
      <c r="I4019" t="s">
        <v>76</v>
      </c>
      <c r="J4019" t="s">
        <v>77</v>
      </c>
      <c r="K4019" t="s">
        <v>78</v>
      </c>
      <c r="L4019" t="s">
        <v>222</v>
      </c>
      <c r="M4019" t="s">
        <v>223</v>
      </c>
      <c r="N4019" t="s">
        <v>1369</v>
      </c>
      <c r="O4019" t="s">
        <v>300</v>
      </c>
      <c r="P4019" t="str">
        <f>"4170041385                    "</f>
        <v xml:space="preserve">4170041385                    </v>
      </c>
      <c r="Q4019">
        <v>0</v>
      </c>
      <c r="R4019">
        <v>0</v>
      </c>
      <c r="S4019">
        <v>0</v>
      </c>
      <c r="T4019">
        <v>0</v>
      </c>
      <c r="U4019">
        <v>0</v>
      </c>
      <c r="V4019">
        <v>0</v>
      </c>
      <c r="W4019">
        <v>0</v>
      </c>
      <c r="X4019">
        <v>0</v>
      </c>
      <c r="Y4019">
        <v>0</v>
      </c>
      <c r="Z4019">
        <v>0</v>
      </c>
      <c r="AA4019">
        <v>0</v>
      </c>
      <c r="AB4019">
        <v>0</v>
      </c>
      <c r="AC4019">
        <v>0</v>
      </c>
      <c r="AD4019">
        <v>0</v>
      </c>
      <c r="AE4019">
        <v>0</v>
      </c>
      <c r="AF4019">
        <v>0</v>
      </c>
      <c r="AG4019">
        <v>0</v>
      </c>
      <c r="AH4019">
        <v>0</v>
      </c>
      <c r="AI4019">
        <v>0</v>
      </c>
      <c r="AJ4019">
        <v>0</v>
      </c>
      <c r="AK4019">
        <v>0</v>
      </c>
      <c r="AL4019">
        <v>0</v>
      </c>
      <c r="AM4019">
        <v>0</v>
      </c>
      <c r="AN4019">
        <v>0</v>
      </c>
      <c r="AO4019">
        <v>0</v>
      </c>
      <c r="AP4019">
        <v>0</v>
      </c>
      <c r="AQ4019">
        <v>45.67</v>
      </c>
      <c r="AR4019">
        <v>0</v>
      </c>
      <c r="AS4019">
        <v>0</v>
      </c>
      <c r="AT4019">
        <v>0</v>
      </c>
      <c r="AU4019">
        <v>0</v>
      </c>
      <c r="AV4019">
        <v>0</v>
      </c>
      <c r="AW4019">
        <v>0</v>
      </c>
      <c r="AX4019">
        <v>0</v>
      </c>
      <c r="AY4019">
        <v>0</v>
      </c>
      <c r="AZ4019">
        <v>0</v>
      </c>
      <c r="BA4019">
        <v>0</v>
      </c>
      <c r="BB4019">
        <v>0</v>
      </c>
      <c r="BC4019">
        <v>0</v>
      </c>
      <c r="BD4019">
        <v>0</v>
      </c>
      <c r="BE4019">
        <v>0</v>
      </c>
      <c r="BF4019">
        <v>0</v>
      </c>
      <c r="BG4019">
        <v>0</v>
      </c>
      <c r="BH4019">
        <v>1</v>
      </c>
      <c r="BI4019">
        <v>14</v>
      </c>
      <c r="BJ4019">
        <v>6.6</v>
      </c>
      <c r="BK4019">
        <v>14</v>
      </c>
      <c r="BL4019">
        <v>155.03</v>
      </c>
      <c r="BM4019">
        <v>23.25</v>
      </c>
      <c r="BN4019">
        <v>178.28</v>
      </c>
      <c r="BO4019">
        <v>178.28</v>
      </c>
      <c r="BQ4019" t="s">
        <v>1370</v>
      </c>
      <c r="BR4019" t="s">
        <v>84</v>
      </c>
      <c r="BS4019" t="s">
        <v>1540</v>
      </c>
      <c r="BV4019" t="s">
        <v>89</v>
      </c>
      <c r="BY4019">
        <v>32760</v>
      </c>
      <c r="CC4019" t="s">
        <v>223</v>
      </c>
      <c r="CD4019">
        <v>1748</v>
      </c>
      <c r="CE4019" t="s">
        <v>96</v>
      </c>
      <c r="CI4019">
        <v>1</v>
      </c>
      <c r="CJ4019" t="s">
        <v>1540</v>
      </c>
      <c r="CK4019">
        <v>44</v>
      </c>
      <c r="CL4019" t="s">
        <v>89</v>
      </c>
    </row>
    <row r="4020" spans="1:90" x14ac:dyDescent="0.3">
      <c r="A4020" t="s">
        <v>72</v>
      </c>
      <c r="B4020" t="s">
        <v>73</v>
      </c>
      <c r="C4020" t="s">
        <v>74</v>
      </c>
      <c r="E4020" t="str">
        <f>"080065647275"</f>
        <v>080065647275</v>
      </c>
      <c r="F4020" s="3">
        <v>45806</v>
      </c>
      <c r="G4020">
        <v>202602</v>
      </c>
      <c r="H4020" t="s">
        <v>75</v>
      </c>
      <c r="I4020" t="s">
        <v>76</v>
      </c>
      <c r="J4020" t="s">
        <v>77</v>
      </c>
      <c r="K4020" t="s">
        <v>78</v>
      </c>
      <c r="L4020" t="s">
        <v>1241</v>
      </c>
      <c r="M4020" t="s">
        <v>1242</v>
      </c>
      <c r="N4020" t="s">
        <v>3481</v>
      </c>
      <c r="O4020" t="s">
        <v>82</v>
      </c>
      <c r="P4020" t="str">
        <f>"4170041374                    "</f>
        <v xml:space="preserve">4170041374                    </v>
      </c>
      <c r="Q4020">
        <v>0</v>
      </c>
      <c r="R4020">
        <v>0</v>
      </c>
      <c r="S4020">
        <v>0</v>
      </c>
      <c r="T4020">
        <v>0</v>
      </c>
      <c r="U4020">
        <v>0</v>
      </c>
      <c r="V4020">
        <v>0</v>
      </c>
      <c r="W4020">
        <v>0</v>
      </c>
      <c r="X4020">
        <v>0</v>
      </c>
      <c r="Y4020">
        <v>0</v>
      </c>
      <c r="Z4020">
        <v>0</v>
      </c>
      <c r="AA4020">
        <v>0</v>
      </c>
      <c r="AB4020">
        <v>0</v>
      </c>
      <c r="AC4020">
        <v>0</v>
      </c>
      <c r="AD4020">
        <v>0</v>
      </c>
      <c r="AE4020">
        <v>0</v>
      </c>
      <c r="AF4020">
        <v>0</v>
      </c>
      <c r="AG4020">
        <v>0</v>
      </c>
      <c r="AH4020">
        <v>0</v>
      </c>
      <c r="AI4020">
        <v>0</v>
      </c>
      <c r="AJ4020">
        <v>0</v>
      </c>
      <c r="AK4020">
        <v>0</v>
      </c>
      <c r="AL4020">
        <v>0</v>
      </c>
      <c r="AM4020">
        <v>0</v>
      </c>
      <c r="AN4020">
        <v>0</v>
      </c>
      <c r="AO4020">
        <v>0</v>
      </c>
      <c r="AP4020">
        <v>0</v>
      </c>
      <c r="AQ4020">
        <v>78.849999999999994</v>
      </c>
      <c r="AR4020">
        <v>0</v>
      </c>
      <c r="AS4020">
        <v>0</v>
      </c>
      <c r="AT4020">
        <v>0</v>
      </c>
      <c r="AU4020">
        <v>0</v>
      </c>
      <c r="AV4020">
        <v>0</v>
      </c>
      <c r="AW4020">
        <v>0</v>
      </c>
      <c r="AX4020">
        <v>0</v>
      </c>
      <c r="AY4020">
        <v>0</v>
      </c>
      <c r="AZ4020">
        <v>0</v>
      </c>
      <c r="BA4020">
        <v>0</v>
      </c>
      <c r="BB4020">
        <v>0</v>
      </c>
      <c r="BC4020">
        <v>0</v>
      </c>
      <c r="BD4020">
        <v>0</v>
      </c>
      <c r="BE4020">
        <v>0</v>
      </c>
      <c r="BF4020">
        <v>0</v>
      </c>
      <c r="BG4020">
        <v>0</v>
      </c>
      <c r="BH4020">
        <v>1</v>
      </c>
      <c r="BI4020">
        <v>4</v>
      </c>
      <c r="BJ4020">
        <v>1.9</v>
      </c>
      <c r="BK4020">
        <v>4</v>
      </c>
      <c r="BL4020">
        <v>258.05</v>
      </c>
      <c r="BM4020">
        <v>38.71</v>
      </c>
      <c r="BN4020">
        <v>296.76</v>
      </c>
      <c r="BO4020">
        <v>296.76</v>
      </c>
      <c r="BQ4020" t="s">
        <v>3482</v>
      </c>
      <c r="BR4020" t="s">
        <v>84</v>
      </c>
      <c r="BS4020" t="s">
        <v>1540</v>
      </c>
      <c r="BV4020" t="s">
        <v>89</v>
      </c>
      <c r="BY4020">
        <v>9600</v>
      </c>
      <c r="CC4020" t="s">
        <v>1242</v>
      </c>
      <c r="CD4020">
        <v>1961</v>
      </c>
      <c r="CE4020" t="s">
        <v>96</v>
      </c>
      <c r="CI4020">
        <v>1</v>
      </c>
      <c r="CJ4020" t="s">
        <v>1540</v>
      </c>
      <c r="CK4020">
        <v>23</v>
      </c>
      <c r="CL4020" t="s">
        <v>89</v>
      </c>
    </row>
    <row r="4021" spans="1:90" x14ac:dyDescent="0.3">
      <c r="A4021" t="s">
        <v>72</v>
      </c>
      <c r="B4021" t="s">
        <v>73</v>
      </c>
      <c r="C4021" t="s">
        <v>74</v>
      </c>
      <c r="E4021" t="str">
        <f>"080065647303"</f>
        <v>080065647303</v>
      </c>
      <c r="F4021" s="3">
        <v>45806</v>
      </c>
      <c r="G4021">
        <v>202602</v>
      </c>
      <c r="H4021" t="s">
        <v>75</v>
      </c>
      <c r="I4021" t="s">
        <v>76</v>
      </c>
      <c r="J4021" t="s">
        <v>77</v>
      </c>
      <c r="K4021" t="s">
        <v>78</v>
      </c>
      <c r="L4021" t="s">
        <v>90</v>
      </c>
      <c r="M4021" t="s">
        <v>91</v>
      </c>
      <c r="N4021" t="s">
        <v>3483</v>
      </c>
      <c r="O4021" t="s">
        <v>82</v>
      </c>
      <c r="P4021" t="str">
        <f>"4170041467                    "</f>
        <v xml:space="preserve">4170041467                    </v>
      </c>
      <c r="Q4021">
        <v>0</v>
      </c>
      <c r="R4021">
        <v>0</v>
      </c>
      <c r="S4021">
        <v>0</v>
      </c>
      <c r="T4021">
        <v>0</v>
      </c>
      <c r="U4021">
        <v>0</v>
      </c>
      <c r="V4021">
        <v>0</v>
      </c>
      <c r="W4021">
        <v>0</v>
      </c>
      <c r="X4021">
        <v>0</v>
      </c>
      <c r="Y4021">
        <v>0</v>
      </c>
      <c r="Z4021">
        <v>0</v>
      </c>
      <c r="AA4021">
        <v>0</v>
      </c>
      <c r="AB4021">
        <v>0</v>
      </c>
      <c r="AC4021">
        <v>0</v>
      </c>
      <c r="AD4021">
        <v>0</v>
      </c>
      <c r="AE4021">
        <v>0</v>
      </c>
      <c r="AF4021">
        <v>0</v>
      </c>
      <c r="AG4021">
        <v>0</v>
      </c>
      <c r="AH4021">
        <v>0</v>
      </c>
      <c r="AI4021">
        <v>0</v>
      </c>
      <c r="AJ4021">
        <v>0</v>
      </c>
      <c r="AK4021">
        <v>0</v>
      </c>
      <c r="AL4021">
        <v>0</v>
      </c>
      <c r="AM4021">
        <v>0</v>
      </c>
      <c r="AN4021">
        <v>0</v>
      </c>
      <c r="AO4021">
        <v>0</v>
      </c>
      <c r="AP4021">
        <v>0</v>
      </c>
      <c r="AQ4021">
        <v>21.38</v>
      </c>
      <c r="AR4021">
        <v>0</v>
      </c>
      <c r="AS4021">
        <v>0</v>
      </c>
      <c r="AT4021">
        <v>0</v>
      </c>
      <c r="AU4021">
        <v>0</v>
      </c>
      <c r="AV4021">
        <v>0</v>
      </c>
      <c r="AW4021">
        <v>0</v>
      </c>
      <c r="AX4021">
        <v>0</v>
      </c>
      <c r="AY4021">
        <v>0</v>
      </c>
      <c r="AZ4021">
        <v>0</v>
      </c>
      <c r="BA4021">
        <v>0</v>
      </c>
      <c r="BB4021">
        <v>0</v>
      </c>
      <c r="BC4021">
        <v>0</v>
      </c>
      <c r="BD4021">
        <v>0</v>
      </c>
      <c r="BE4021">
        <v>0</v>
      </c>
      <c r="BF4021">
        <v>0</v>
      </c>
      <c r="BG4021">
        <v>0</v>
      </c>
      <c r="BH4021">
        <v>1</v>
      </c>
      <c r="BI4021">
        <v>2</v>
      </c>
      <c r="BJ4021">
        <v>0.9</v>
      </c>
      <c r="BK4021">
        <v>2</v>
      </c>
      <c r="BL4021">
        <v>69.98</v>
      </c>
      <c r="BM4021">
        <v>10.5</v>
      </c>
      <c r="BN4021">
        <v>80.48</v>
      </c>
      <c r="BO4021">
        <v>80.48</v>
      </c>
      <c r="BQ4021" t="s">
        <v>3484</v>
      </c>
      <c r="BR4021" t="s">
        <v>84</v>
      </c>
      <c r="BS4021" t="s">
        <v>1540</v>
      </c>
      <c r="BV4021" t="s">
        <v>89</v>
      </c>
      <c r="BY4021">
        <v>4560</v>
      </c>
      <c r="CC4021" t="s">
        <v>91</v>
      </c>
      <c r="CD4021">
        <v>6001</v>
      </c>
      <c r="CE4021" t="s">
        <v>116</v>
      </c>
      <c r="CI4021">
        <v>1</v>
      </c>
      <c r="CJ4021" t="s">
        <v>1540</v>
      </c>
      <c r="CK4021">
        <v>21</v>
      </c>
      <c r="CL4021" t="s">
        <v>89</v>
      </c>
    </row>
    <row r="4022" spans="1:90" x14ac:dyDescent="0.3">
      <c r="A4022" t="s">
        <v>72</v>
      </c>
      <c r="B4022" t="s">
        <v>73</v>
      </c>
      <c r="C4022" t="s">
        <v>74</v>
      </c>
      <c r="E4022" t="str">
        <f>"080065647337"</f>
        <v>080065647337</v>
      </c>
      <c r="F4022" s="3">
        <v>45806</v>
      </c>
      <c r="G4022">
        <v>202602</v>
      </c>
      <c r="H4022" t="s">
        <v>75</v>
      </c>
      <c r="I4022" t="s">
        <v>76</v>
      </c>
      <c r="J4022" t="s">
        <v>77</v>
      </c>
      <c r="K4022" t="s">
        <v>78</v>
      </c>
      <c r="L4022" t="s">
        <v>871</v>
      </c>
      <c r="M4022" t="s">
        <v>872</v>
      </c>
      <c r="N4022" t="s">
        <v>1340</v>
      </c>
      <c r="O4022" t="s">
        <v>82</v>
      </c>
      <c r="P4022" t="str">
        <f>"4170041372                    "</f>
        <v xml:space="preserve">4170041372                    </v>
      </c>
      <c r="Q4022">
        <v>0</v>
      </c>
      <c r="R4022">
        <v>0</v>
      </c>
      <c r="S4022">
        <v>0</v>
      </c>
      <c r="T4022">
        <v>0</v>
      </c>
      <c r="U4022">
        <v>0</v>
      </c>
      <c r="V4022">
        <v>0</v>
      </c>
      <c r="W4022">
        <v>0</v>
      </c>
      <c r="X4022">
        <v>0</v>
      </c>
      <c r="Y4022">
        <v>0</v>
      </c>
      <c r="Z4022">
        <v>0</v>
      </c>
      <c r="AA4022">
        <v>0</v>
      </c>
      <c r="AB4022">
        <v>0</v>
      </c>
      <c r="AC4022">
        <v>0</v>
      </c>
      <c r="AD4022">
        <v>0</v>
      </c>
      <c r="AE4022">
        <v>0</v>
      </c>
      <c r="AF4022">
        <v>0</v>
      </c>
      <c r="AG4022">
        <v>0</v>
      </c>
      <c r="AH4022">
        <v>0</v>
      </c>
      <c r="AI4022">
        <v>0</v>
      </c>
      <c r="AJ4022">
        <v>0</v>
      </c>
      <c r="AK4022">
        <v>0</v>
      </c>
      <c r="AL4022">
        <v>0</v>
      </c>
      <c r="AM4022">
        <v>0</v>
      </c>
      <c r="AN4022">
        <v>0</v>
      </c>
      <c r="AO4022">
        <v>0</v>
      </c>
      <c r="AP4022">
        <v>0</v>
      </c>
      <c r="AQ4022">
        <v>228.52</v>
      </c>
      <c r="AR4022">
        <v>0</v>
      </c>
      <c r="AS4022">
        <v>0</v>
      </c>
      <c r="AT4022">
        <v>0</v>
      </c>
      <c r="AU4022">
        <v>0</v>
      </c>
      <c r="AV4022">
        <v>0</v>
      </c>
      <c r="AW4022">
        <v>0</v>
      </c>
      <c r="AX4022">
        <v>0</v>
      </c>
      <c r="AY4022">
        <v>0</v>
      </c>
      <c r="AZ4022">
        <v>0</v>
      </c>
      <c r="BA4022">
        <v>0</v>
      </c>
      <c r="BB4022">
        <v>0</v>
      </c>
      <c r="BC4022">
        <v>0</v>
      </c>
      <c r="BD4022">
        <v>0</v>
      </c>
      <c r="BE4022">
        <v>0</v>
      </c>
      <c r="BF4022">
        <v>0</v>
      </c>
      <c r="BG4022">
        <v>0</v>
      </c>
      <c r="BH4022">
        <v>1</v>
      </c>
      <c r="BI4022">
        <v>12</v>
      </c>
      <c r="BJ4022">
        <v>8.9</v>
      </c>
      <c r="BK4022">
        <v>12</v>
      </c>
      <c r="BL4022">
        <v>747.88</v>
      </c>
      <c r="BM4022">
        <v>112.18</v>
      </c>
      <c r="BN4022">
        <v>860.06</v>
      </c>
      <c r="BO4022">
        <v>860.06</v>
      </c>
      <c r="BQ4022" t="s">
        <v>1341</v>
      </c>
      <c r="BR4022" t="s">
        <v>84</v>
      </c>
      <c r="BS4022" t="s">
        <v>1540</v>
      </c>
      <c r="BV4022" t="s">
        <v>89</v>
      </c>
      <c r="BY4022">
        <v>44640</v>
      </c>
      <c r="CC4022" t="s">
        <v>872</v>
      </c>
      <c r="CD4022">
        <v>2302</v>
      </c>
      <c r="CE4022" t="s">
        <v>96</v>
      </c>
      <c r="CI4022">
        <v>1</v>
      </c>
      <c r="CJ4022" t="s">
        <v>1540</v>
      </c>
      <c r="CK4022">
        <v>23</v>
      </c>
      <c r="CL4022" t="s">
        <v>89</v>
      </c>
    </row>
    <row r="4023" spans="1:90" x14ac:dyDescent="0.3">
      <c r="A4023" t="s">
        <v>72</v>
      </c>
      <c r="B4023" t="s">
        <v>73</v>
      </c>
      <c r="C4023" t="s">
        <v>74</v>
      </c>
      <c r="E4023" t="str">
        <f>"080065647372"</f>
        <v>080065647372</v>
      </c>
      <c r="F4023" s="3">
        <v>45806</v>
      </c>
      <c r="G4023">
        <v>202602</v>
      </c>
      <c r="H4023" t="s">
        <v>75</v>
      </c>
      <c r="I4023" t="s">
        <v>76</v>
      </c>
      <c r="J4023" t="s">
        <v>77</v>
      </c>
      <c r="K4023" t="s">
        <v>78</v>
      </c>
      <c r="L4023" t="s">
        <v>90</v>
      </c>
      <c r="M4023" t="s">
        <v>91</v>
      </c>
      <c r="N4023" t="s">
        <v>914</v>
      </c>
      <c r="O4023" t="s">
        <v>82</v>
      </c>
      <c r="P4023" t="str">
        <f>"4170041497                    "</f>
        <v xml:space="preserve">4170041497                    </v>
      </c>
      <c r="Q4023">
        <v>0</v>
      </c>
      <c r="R4023">
        <v>0</v>
      </c>
      <c r="S4023">
        <v>0</v>
      </c>
      <c r="T4023">
        <v>0</v>
      </c>
      <c r="U4023">
        <v>0</v>
      </c>
      <c r="V4023">
        <v>0</v>
      </c>
      <c r="W4023">
        <v>0</v>
      </c>
      <c r="X4023">
        <v>0</v>
      </c>
      <c r="Y4023">
        <v>0</v>
      </c>
      <c r="Z4023">
        <v>0</v>
      </c>
      <c r="AA4023">
        <v>0</v>
      </c>
      <c r="AB4023">
        <v>0</v>
      </c>
      <c r="AC4023">
        <v>0</v>
      </c>
      <c r="AD4023">
        <v>0</v>
      </c>
      <c r="AE4023">
        <v>0</v>
      </c>
      <c r="AF4023">
        <v>0</v>
      </c>
      <c r="AG4023">
        <v>0</v>
      </c>
      <c r="AH4023">
        <v>0</v>
      </c>
      <c r="AI4023">
        <v>0</v>
      </c>
      <c r="AJ4023">
        <v>0</v>
      </c>
      <c r="AK4023">
        <v>0</v>
      </c>
      <c r="AL4023">
        <v>0</v>
      </c>
      <c r="AM4023">
        <v>0</v>
      </c>
      <c r="AN4023">
        <v>0</v>
      </c>
      <c r="AO4023">
        <v>0</v>
      </c>
      <c r="AP4023">
        <v>0</v>
      </c>
      <c r="AQ4023">
        <v>21.38</v>
      </c>
      <c r="AR4023">
        <v>0</v>
      </c>
      <c r="AS4023">
        <v>0</v>
      </c>
      <c r="AT4023">
        <v>0</v>
      </c>
      <c r="AU4023">
        <v>0</v>
      </c>
      <c r="AV4023">
        <v>0</v>
      </c>
      <c r="AW4023">
        <v>0</v>
      </c>
      <c r="AX4023">
        <v>0</v>
      </c>
      <c r="AY4023">
        <v>0</v>
      </c>
      <c r="AZ4023">
        <v>0</v>
      </c>
      <c r="BA4023">
        <v>0</v>
      </c>
      <c r="BB4023">
        <v>0</v>
      </c>
      <c r="BC4023">
        <v>0</v>
      </c>
      <c r="BD4023">
        <v>0</v>
      </c>
      <c r="BE4023">
        <v>0</v>
      </c>
      <c r="BF4023">
        <v>0</v>
      </c>
      <c r="BG4023">
        <v>0</v>
      </c>
      <c r="BH4023">
        <v>1</v>
      </c>
      <c r="BI4023">
        <v>2</v>
      </c>
      <c r="BJ4023">
        <v>0.9</v>
      </c>
      <c r="BK4023">
        <v>2</v>
      </c>
      <c r="BL4023">
        <v>69.98</v>
      </c>
      <c r="BM4023">
        <v>10.5</v>
      </c>
      <c r="BN4023">
        <v>80.48</v>
      </c>
      <c r="BO4023">
        <v>80.48</v>
      </c>
      <c r="BQ4023" t="s">
        <v>915</v>
      </c>
      <c r="BR4023" t="s">
        <v>84</v>
      </c>
      <c r="BS4023" t="s">
        <v>1540</v>
      </c>
      <c r="BV4023" t="s">
        <v>89</v>
      </c>
      <c r="BY4023">
        <v>4560</v>
      </c>
      <c r="CC4023" t="s">
        <v>91</v>
      </c>
      <c r="CD4023">
        <v>6001</v>
      </c>
      <c r="CE4023" t="s">
        <v>116</v>
      </c>
      <c r="CI4023">
        <v>1</v>
      </c>
      <c r="CJ4023" t="s">
        <v>1540</v>
      </c>
      <c r="CK4023">
        <v>21</v>
      </c>
      <c r="CL4023" t="s">
        <v>89</v>
      </c>
    </row>
    <row r="4024" spans="1:90" x14ac:dyDescent="0.3">
      <c r="A4024" t="s">
        <v>72</v>
      </c>
      <c r="B4024" t="s">
        <v>73</v>
      </c>
      <c r="C4024" t="s">
        <v>74</v>
      </c>
      <c r="E4024" t="str">
        <f>"080065647400"</f>
        <v>080065647400</v>
      </c>
      <c r="F4024" s="3">
        <v>45806</v>
      </c>
      <c r="G4024">
        <v>202602</v>
      </c>
      <c r="H4024" t="s">
        <v>75</v>
      </c>
      <c r="I4024" t="s">
        <v>76</v>
      </c>
      <c r="J4024" t="s">
        <v>77</v>
      </c>
      <c r="K4024" t="s">
        <v>78</v>
      </c>
      <c r="L4024" t="s">
        <v>136</v>
      </c>
      <c r="M4024" t="s">
        <v>137</v>
      </c>
      <c r="N4024" t="s">
        <v>3425</v>
      </c>
      <c r="O4024" t="s">
        <v>300</v>
      </c>
      <c r="P4024" t="str">
        <f>"4170041478                    "</f>
        <v xml:space="preserve">4170041478                    </v>
      </c>
      <c r="Q4024">
        <v>0</v>
      </c>
      <c r="R4024">
        <v>0</v>
      </c>
      <c r="S4024">
        <v>0</v>
      </c>
      <c r="T4024">
        <v>0</v>
      </c>
      <c r="U4024">
        <v>0</v>
      </c>
      <c r="V4024">
        <v>0</v>
      </c>
      <c r="W4024">
        <v>0</v>
      </c>
      <c r="X4024">
        <v>0</v>
      </c>
      <c r="Y4024">
        <v>0</v>
      </c>
      <c r="Z4024">
        <v>0</v>
      </c>
      <c r="AA4024">
        <v>0</v>
      </c>
      <c r="AB4024">
        <v>0</v>
      </c>
      <c r="AC4024">
        <v>0</v>
      </c>
      <c r="AD4024">
        <v>0</v>
      </c>
      <c r="AE4024">
        <v>0</v>
      </c>
      <c r="AF4024">
        <v>0</v>
      </c>
      <c r="AG4024">
        <v>0</v>
      </c>
      <c r="AH4024">
        <v>0</v>
      </c>
      <c r="AI4024">
        <v>0</v>
      </c>
      <c r="AJ4024">
        <v>0</v>
      </c>
      <c r="AK4024">
        <v>0</v>
      </c>
      <c r="AL4024">
        <v>0</v>
      </c>
      <c r="AM4024">
        <v>0</v>
      </c>
      <c r="AN4024">
        <v>0</v>
      </c>
      <c r="AO4024">
        <v>0</v>
      </c>
      <c r="AP4024">
        <v>0</v>
      </c>
      <c r="AQ4024">
        <v>41.35</v>
      </c>
      <c r="AR4024">
        <v>0</v>
      </c>
      <c r="AS4024">
        <v>0</v>
      </c>
      <c r="AT4024">
        <v>0</v>
      </c>
      <c r="AU4024">
        <v>0</v>
      </c>
      <c r="AV4024">
        <v>0</v>
      </c>
      <c r="AW4024">
        <v>0</v>
      </c>
      <c r="AX4024">
        <v>0</v>
      </c>
      <c r="AY4024">
        <v>0</v>
      </c>
      <c r="AZ4024">
        <v>0</v>
      </c>
      <c r="BA4024">
        <v>0</v>
      </c>
      <c r="BB4024">
        <v>0</v>
      </c>
      <c r="BC4024">
        <v>0</v>
      </c>
      <c r="BD4024">
        <v>0</v>
      </c>
      <c r="BE4024">
        <v>0</v>
      </c>
      <c r="BF4024">
        <v>0</v>
      </c>
      <c r="BG4024">
        <v>0</v>
      </c>
      <c r="BH4024">
        <v>1</v>
      </c>
      <c r="BI4024">
        <v>7</v>
      </c>
      <c r="BJ4024">
        <v>3.5</v>
      </c>
      <c r="BK4024">
        <v>7</v>
      </c>
      <c r="BL4024">
        <v>140.9</v>
      </c>
      <c r="BM4024">
        <v>21.14</v>
      </c>
      <c r="BN4024">
        <v>162.04</v>
      </c>
      <c r="BO4024">
        <v>162.04</v>
      </c>
      <c r="BQ4024" t="s">
        <v>3426</v>
      </c>
      <c r="BR4024" t="s">
        <v>84</v>
      </c>
      <c r="BS4024" t="s">
        <v>1540</v>
      </c>
      <c r="BV4024" t="s">
        <v>89</v>
      </c>
      <c r="BY4024">
        <v>17408</v>
      </c>
      <c r="CC4024" t="s">
        <v>137</v>
      </c>
      <c r="CD4024" s="5" t="s">
        <v>895</v>
      </c>
      <c r="CE4024" t="s">
        <v>221</v>
      </c>
      <c r="CI4024">
        <v>1</v>
      </c>
      <c r="CJ4024" t="s">
        <v>1540</v>
      </c>
      <c r="CK4024">
        <v>41</v>
      </c>
      <c r="CL4024" t="s">
        <v>89</v>
      </c>
    </row>
    <row r="4025" spans="1:90" x14ac:dyDescent="0.3">
      <c r="A4025" t="s">
        <v>72</v>
      </c>
      <c r="B4025" t="s">
        <v>73</v>
      </c>
      <c r="C4025" t="s">
        <v>74</v>
      </c>
      <c r="E4025" t="str">
        <f>"080065647460"</f>
        <v>080065647460</v>
      </c>
      <c r="F4025" s="3">
        <v>45806</v>
      </c>
      <c r="G4025">
        <v>202602</v>
      </c>
      <c r="H4025" t="s">
        <v>75</v>
      </c>
      <c r="I4025" t="s">
        <v>76</v>
      </c>
      <c r="J4025" t="s">
        <v>77</v>
      </c>
      <c r="K4025" t="s">
        <v>78</v>
      </c>
      <c r="L4025" t="s">
        <v>75</v>
      </c>
      <c r="M4025" t="s">
        <v>76</v>
      </c>
      <c r="N4025" t="s">
        <v>390</v>
      </c>
      <c r="O4025" t="s">
        <v>82</v>
      </c>
      <c r="P4025" t="str">
        <f>"4170040996                    "</f>
        <v xml:space="preserve">4170040996                    </v>
      </c>
      <c r="Q4025">
        <v>0</v>
      </c>
      <c r="R4025">
        <v>0</v>
      </c>
      <c r="S4025">
        <v>0</v>
      </c>
      <c r="T4025">
        <v>0</v>
      </c>
      <c r="U4025">
        <v>0</v>
      </c>
      <c r="V4025">
        <v>0</v>
      </c>
      <c r="W4025">
        <v>0</v>
      </c>
      <c r="X4025">
        <v>0</v>
      </c>
      <c r="Y4025">
        <v>0</v>
      </c>
      <c r="Z4025">
        <v>0</v>
      </c>
      <c r="AA4025">
        <v>0</v>
      </c>
      <c r="AB4025">
        <v>0</v>
      </c>
      <c r="AC4025">
        <v>0</v>
      </c>
      <c r="AD4025">
        <v>0</v>
      </c>
      <c r="AE4025">
        <v>0</v>
      </c>
      <c r="AF4025">
        <v>0</v>
      </c>
      <c r="AG4025">
        <v>0</v>
      </c>
      <c r="AH4025">
        <v>0</v>
      </c>
      <c r="AI4025">
        <v>0</v>
      </c>
      <c r="AJ4025">
        <v>0</v>
      </c>
      <c r="AK4025">
        <v>0</v>
      </c>
      <c r="AL4025">
        <v>0</v>
      </c>
      <c r="AM4025">
        <v>0</v>
      </c>
      <c r="AN4025">
        <v>0</v>
      </c>
      <c r="AO4025">
        <v>0</v>
      </c>
      <c r="AP4025">
        <v>0</v>
      </c>
      <c r="AQ4025">
        <v>16.7</v>
      </c>
      <c r="AR4025">
        <v>0</v>
      </c>
      <c r="AS4025">
        <v>0</v>
      </c>
      <c r="AT4025">
        <v>0</v>
      </c>
      <c r="AU4025">
        <v>0</v>
      </c>
      <c r="AV4025">
        <v>0</v>
      </c>
      <c r="AW4025">
        <v>0</v>
      </c>
      <c r="AX4025">
        <v>0</v>
      </c>
      <c r="AY4025">
        <v>0</v>
      </c>
      <c r="AZ4025">
        <v>0</v>
      </c>
      <c r="BA4025">
        <v>0</v>
      </c>
      <c r="BB4025">
        <v>0</v>
      </c>
      <c r="BC4025">
        <v>0</v>
      </c>
      <c r="BD4025">
        <v>0</v>
      </c>
      <c r="BE4025">
        <v>0</v>
      </c>
      <c r="BF4025">
        <v>0</v>
      </c>
      <c r="BG4025">
        <v>0</v>
      </c>
      <c r="BH4025">
        <v>1</v>
      </c>
      <c r="BI4025">
        <v>1</v>
      </c>
      <c r="BJ4025">
        <v>0.2</v>
      </c>
      <c r="BK4025">
        <v>1</v>
      </c>
      <c r="BL4025">
        <v>54.66</v>
      </c>
      <c r="BM4025">
        <v>8.1999999999999993</v>
      </c>
      <c r="BN4025">
        <v>62.86</v>
      </c>
      <c r="BO4025">
        <v>62.86</v>
      </c>
      <c r="BQ4025" t="s">
        <v>391</v>
      </c>
      <c r="BR4025" t="s">
        <v>84</v>
      </c>
      <c r="BS4025" t="s">
        <v>1540</v>
      </c>
      <c r="BV4025" t="s">
        <v>89</v>
      </c>
      <c r="BY4025">
        <v>1200</v>
      </c>
      <c r="CC4025" t="s">
        <v>76</v>
      </c>
      <c r="CD4025">
        <v>1600</v>
      </c>
      <c r="CE4025" t="s">
        <v>88</v>
      </c>
      <c r="CI4025">
        <v>1</v>
      </c>
      <c r="CJ4025" t="s">
        <v>1540</v>
      </c>
      <c r="CK4025">
        <v>22</v>
      </c>
      <c r="CL4025" t="s">
        <v>89</v>
      </c>
    </row>
    <row r="4026" spans="1:90" x14ac:dyDescent="0.3">
      <c r="A4026" t="s">
        <v>72</v>
      </c>
      <c r="B4026" t="s">
        <v>73</v>
      </c>
      <c r="C4026" t="s">
        <v>74</v>
      </c>
      <c r="E4026" t="str">
        <f>"080065647543"</f>
        <v>080065647543</v>
      </c>
      <c r="F4026" s="3">
        <v>45806</v>
      </c>
      <c r="G4026">
        <v>202602</v>
      </c>
      <c r="H4026" t="s">
        <v>75</v>
      </c>
      <c r="I4026" t="s">
        <v>76</v>
      </c>
      <c r="J4026" t="s">
        <v>77</v>
      </c>
      <c r="K4026" t="s">
        <v>78</v>
      </c>
      <c r="L4026" t="s">
        <v>331</v>
      </c>
      <c r="M4026" t="s">
        <v>332</v>
      </c>
      <c r="N4026" t="s">
        <v>1638</v>
      </c>
      <c r="O4026" t="s">
        <v>82</v>
      </c>
      <c r="P4026" t="str">
        <f>"4170041470                    "</f>
        <v xml:space="preserve">4170041470                    </v>
      </c>
      <c r="Q4026">
        <v>0</v>
      </c>
      <c r="R4026">
        <v>0</v>
      </c>
      <c r="S4026">
        <v>0</v>
      </c>
      <c r="T4026">
        <v>0</v>
      </c>
      <c r="U4026">
        <v>0</v>
      </c>
      <c r="V4026">
        <v>0</v>
      </c>
      <c r="W4026">
        <v>0</v>
      </c>
      <c r="X4026">
        <v>0</v>
      </c>
      <c r="Y4026">
        <v>0</v>
      </c>
      <c r="Z4026">
        <v>0</v>
      </c>
      <c r="AA4026">
        <v>0</v>
      </c>
      <c r="AB4026">
        <v>0</v>
      </c>
      <c r="AC4026">
        <v>0</v>
      </c>
      <c r="AD4026">
        <v>0</v>
      </c>
      <c r="AE4026">
        <v>0</v>
      </c>
      <c r="AF4026">
        <v>0</v>
      </c>
      <c r="AG4026">
        <v>0</v>
      </c>
      <c r="AH4026">
        <v>0</v>
      </c>
      <c r="AI4026">
        <v>0</v>
      </c>
      <c r="AJ4026">
        <v>0</v>
      </c>
      <c r="AK4026">
        <v>0</v>
      </c>
      <c r="AL4026">
        <v>0</v>
      </c>
      <c r="AM4026">
        <v>0</v>
      </c>
      <c r="AN4026">
        <v>0</v>
      </c>
      <c r="AO4026">
        <v>0</v>
      </c>
      <c r="AP4026">
        <v>0</v>
      </c>
      <c r="AQ4026">
        <v>16.7</v>
      </c>
      <c r="AR4026">
        <v>0</v>
      </c>
      <c r="AS4026">
        <v>0</v>
      </c>
      <c r="AT4026">
        <v>0</v>
      </c>
      <c r="AU4026">
        <v>0</v>
      </c>
      <c r="AV4026">
        <v>0</v>
      </c>
      <c r="AW4026">
        <v>0</v>
      </c>
      <c r="AX4026">
        <v>0</v>
      </c>
      <c r="AY4026">
        <v>0</v>
      </c>
      <c r="AZ4026">
        <v>0</v>
      </c>
      <c r="BA4026">
        <v>0</v>
      </c>
      <c r="BB4026">
        <v>0</v>
      </c>
      <c r="BC4026">
        <v>0</v>
      </c>
      <c r="BD4026">
        <v>0</v>
      </c>
      <c r="BE4026">
        <v>0</v>
      </c>
      <c r="BF4026">
        <v>0</v>
      </c>
      <c r="BG4026">
        <v>0</v>
      </c>
      <c r="BH4026">
        <v>1</v>
      </c>
      <c r="BI4026">
        <v>7</v>
      </c>
      <c r="BJ4026">
        <v>3.4</v>
      </c>
      <c r="BK4026">
        <v>7</v>
      </c>
      <c r="BL4026">
        <v>54.66</v>
      </c>
      <c r="BM4026">
        <v>8.1999999999999993</v>
      </c>
      <c r="BN4026">
        <v>62.86</v>
      </c>
      <c r="BO4026">
        <v>62.86</v>
      </c>
      <c r="BQ4026" t="s">
        <v>1639</v>
      </c>
      <c r="BR4026" t="s">
        <v>84</v>
      </c>
      <c r="BS4026" s="3">
        <v>45807</v>
      </c>
      <c r="BT4026" s="4">
        <v>0.33611111111111114</v>
      </c>
      <c r="BU4026" t="s">
        <v>1640</v>
      </c>
      <c r="BV4026" t="s">
        <v>86</v>
      </c>
      <c r="BY4026">
        <v>16965</v>
      </c>
      <c r="CA4026" t="s">
        <v>336</v>
      </c>
      <c r="CC4026" t="s">
        <v>332</v>
      </c>
      <c r="CD4026">
        <v>1451</v>
      </c>
      <c r="CE4026" t="s">
        <v>96</v>
      </c>
      <c r="CI4026">
        <v>1</v>
      </c>
      <c r="CJ4026">
        <v>1</v>
      </c>
      <c r="CK4026">
        <v>22</v>
      </c>
      <c r="CL4026" t="s">
        <v>89</v>
      </c>
    </row>
    <row r="4027" spans="1:90" x14ac:dyDescent="0.3">
      <c r="A4027" t="s">
        <v>72</v>
      </c>
      <c r="B4027" t="s">
        <v>73</v>
      </c>
      <c r="C4027" t="s">
        <v>74</v>
      </c>
      <c r="E4027" t="str">
        <f>"080065647747"</f>
        <v>080065647747</v>
      </c>
      <c r="F4027" s="3">
        <v>45806</v>
      </c>
      <c r="G4027">
        <v>202602</v>
      </c>
      <c r="H4027" t="s">
        <v>75</v>
      </c>
      <c r="I4027" t="s">
        <v>76</v>
      </c>
      <c r="J4027" t="s">
        <v>77</v>
      </c>
      <c r="K4027" t="s">
        <v>78</v>
      </c>
      <c r="L4027" t="s">
        <v>350</v>
      </c>
      <c r="M4027" t="s">
        <v>351</v>
      </c>
      <c r="N4027" t="s">
        <v>459</v>
      </c>
      <c r="O4027" t="s">
        <v>82</v>
      </c>
      <c r="P4027" t="str">
        <f>"4170041465                    "</f>
        <v xml:space="preserve">4170041465                    </v>
      </c>
      <c r="Q4027">
        <v>0</v>
      </c>
      <c r="R4027">
        <v>0</v>
      </c>
      <c r="S4027">
        <v>0</v>
      </c>
      <c r="T4027">
        <v>0</v>
      </c>
      <c r="U4027">
        <v>0</v>
      </c>
      <c r="V4027">
        <v>0</v>
      </c>
      <c r="W4027">
        <v>0</v>
      </c>
      <c r="X4027">
        <v>0</v>
      </c>
      <c r="Y4027">
        <v>0</v>
      </c>
      <c r="Z4027">
        <v>0</v>
      </c>
      <c r="AA4027">
        <v>0</v>
      </c>
      <c r="AB4027">
        <v>0</v>
      </c>
      <c r="AC4027">
        <v>0</v>
      </c>
      <c r="AD4027">
        <v>0</v>
      </c>
      <c r="AE4027">
        <v>0</v>
      </c>
      <c r="AF4027">
        <v>0</v>
      </c>
      <c r="AG4027">
        <v>0</v>
      </c>
      <c r="AH4027">
        <v>0</v>
      </c>
      <c r="AI4027">
        <v>0</v>
      </c>
      <c r="AJ4027">
        <v>0</v>
      </c>
      <c r="AK4027">
        <v>0</v>
      </c>
      <c r="AL4027">
        <v>0</v>
      </c>
      <c r="AM4027">
        <v>0</v>
      </c>
      <c r="AN4027">
        <v>0</v>
      </c>
      <c r="AO4027">
        <v>0</v>
      </c>
      <c r="AP4027">
        <v>0</v>
      </c>
      <c r="AQ4027">
        <v>85.48</v>
      </c>
      <c r="AR4027">
        <v>0</v>
      </c>
      <c r="AS4027">
        <v>0</v>
      </c>
      <c r="AT4027">
        <v>0</v>
      </c>
      <c r="AU4027">
        <v>0</v>
      </c>
      <c r="AV4027">
        <v>0</v>
      </c>
      <c r="AW4027">
        <v>0</v>
      </c>
      <c r="AX4027">
        <v>0</v>
      </c>
      <c r="AY4027">
        <v>0</v>
      </c>
      <c r="AZ4027">
        <v>0</v>
      </c>
      <c r="BA4027">
        <v>0</v>
      </c>
      <c r="BB4027">
        <v>0</v>
      </c>
      <c r="BC4027">
        <v>0</v>
      </c>
      <c r="BD4027">
        <v>0</v>
      </c>
      <c r="BE4027">
        <v>0</v>
      </c>
      <c r="BF4027">
        <v>0</v>
      </c>
      <c r="BG4027">
        <v>0</v>
      </c>
      <c r="BH4027">
        <v>1</v>
      </c>
      <c r="BI4027">
        <v>8</v>
      </c>
      <c r="BJ4027">
        <v>4.2</v>
      </c>
      <c r="BK4027">
        <v>8</v>
      </c>
      <c r="BL4027">
        <v>279.76</v>
      </c>
      <c r="BM4027">
        <v>41.96</v>
      </c>
      <c r="BN4027">
        <v>321.72000000000003</v>
      </c>
      <c r="BO4027">
        <v>321.72000000000003</v>
      </c>
      <c r="BQ4027" t="s">
        <v>460</v>
      </c>
      <c r="BR4027" t="s">
        <v>84</v>
      </c>
      <c r="BS4027" s="3">
        <v>45807</v>
      </c>
      <c r="BT4027" s="4">
        <v>0.33194444444444443</v>
      </c>
      <c r="BU4027" t="s">
        <v>461</v>
      </c>
      <c r="BV4027" t="s">
        <v>86</v>
      </c>
      <c r="BY4027">
        <v>20800</v>
      </c>
      <c r="CA4027" t="s">
        <v>462</v>
      </c>
      <c r="CC4027" t="s">
        <v>351</v>
      </c>
      <c r="CD4027">
        <v>4051</v>
      </c>
      <c r="CE4027" t="s">
        <v>221</v>
      </c>
      <c r="CI4027">
        <v>1</v>
      </c>
      <c r="CJ4027">
        <v>1</v>
      </c>
      <c r="CK4027">
        <v>21</v>
      </c>
      <c r="CL4027" t="s">
        <v>89</v>
      </c>
    </row>
    <row r="4028" spans="1:90" x14ac:dyDescent="0.3">
      <c r="A4028" t="s">
        <v>72</v>
      </c>
      <c r="B4028" t="s">
        <v>73</v>
      </c>
      <c r="C4028" t="s">
        <v>74</v>
      </c>
      <c r="E4028" t="str">
        <f>"080065647782"</f>
        <v>080065647782</v>
      </c>
      <c r="F4028" s="3">
        <v>45806</v>
      </c>
      <c r="G4028">
        <v>202602</v>
      </c>
      <c r="H4028" t="s">
        <v>75</v>
      </c>
      <c r="I4028" t="s">
        <v>76</v>
      </c>
      <c r="J4028" t="s">
        <v>77</v>
      </c>
      <c r="K4028" t="s">
        <v>78</v>
      </c>
      <c r="L4028" t="s">
        <v>123</v>
      </c>
      <c r="M4028" t="s">
        <v>123</v>
      </c>
      <c r="N4028" t="s">
        <v>766</v>
      </c>
      <c r="O4028" t="s">
        <v>82</v>
      </c>
      <c r="P4028" t="str">
        <f>"4170041435                    "</f>
        <v xml:space="preserve">4170041435                    </v>
      </c>
      <c r="Q4028">
        <v>0</v>
      </c>
      <c r="R4028">
        <v>0</v>
      </c>
      <c r="S4028">
        <v>0</v>
      </c>
      <c r="T4028">
        <v>0</v>
      </c>
      <c r="U4028">
        <v>0</v>
      </c>
      <c r="V4028">
        <v>0</v>
      </c>
      <c r="W4028">
        <v>0</v>
      </c>
      <c r="X4028">
        <v>0</v>
      </c>
      <c r="Y4028">
        <v>0</v>
      </c>
      <c r="Z4028">
        <v>0</v>
      </c>
      <c r="AA4028">
        <v>0</v>
      </c>
      <c r="AB4028">
        <v>0</v>
      </c>
      <c r="AC4028">
        <v>0</v>
      </c>
      <c r="AD4028">
        <v>0</v>
      </c>
      <c r="AE4028">
        <v>0</v>
      </c>
      <c r="AF4028">
        <v>0</v>
      </c>
      <c r="AG4028">
        <v>0</v>
      </c>
      <c r="AH4028">
        <v>0</v>
      </c>
      <c r="AI4028">
        <v>0</v>
      </c>
      <c r="AJ4028">
        <v>0</v>
      </c>
      <c r="AK4028">
        <v>0</v>
      </c>
      <c r="AL4028">
        <v>0</v>
      </c>
      <c r="AM4028">
        <v>0</v>
      </c>
      <c r="AN4028">
        <v>0</v>
      </c>
      <c r="AO4028">
        <v>0</v>
      </c>
      <c r="AP4028">
        <v>0</v>
      </c>
      <c r="AQ4028">
        <v>78.849999999999994</v>
      </c>
      <c r="AR4028">
        <v>0</v>
      </c>
      <c r="AS4028">
        <v>0</v>
      </c>
      <c r="AT4028">
        <v>0</v>
      </c>
      <c r="AU4028">
        <v>0</v>
      </c>
      <c r="AV4028">
        <v>0</v>
      </c>
      <c r="AW4028">
        <v>0</v>
      </c>
      <c r="AX4028">
        <v>0</v>
      </c>
      <c r="AY4028">
        <v>0</v>
      </c>
      <c r="AZ4028">
        <v>0</v>
      </c>
      <c r="BA4028">
        <v>0</v>
      </c>
      <c r="BB4028">
        <v>0</v>
      </c>
      <c r="BC4028">
        <v>0</v>
      </c>
      <c r="BD4028">
        <v>0</v>
      </c>
      <c r="BE4028">
        <v>0</v>
      </c>
      <c r="BF4028">
        <v>0</v>
      </c>
      <c r="BG4028">
        <v>0</v>
      </c>
      <c r="BH4028">
        <v>1</v>
      </c>
      <c r="BI4028">
        <v>4</v>
      </c>
      <c r="BJ4028">
        <v>2.4</v>
      </c>
      <c r="BK4028">
        <v>4</v>
      </c>
      <c r="BL4028">
        <v>258.05</v>
      </c>
      <c r="BM4028">
        <v>38.71</v>
      </c>
      <c r="BN4028">
        <v>296.76</v>
      </c>
      <c r="BO4028">
        <v>296.76</v>
      </c>
      <c r="BQ4028" t="s">
        <v>767</v>
      </c>
      <c r="BR4028" t="s">
        <v>84</v>
      </c>
      <c r="BS4028" t="s">
        <v>1540</v>
      </c>
      <c r="BV4028" t="s">
        <v>89</v>
      </c>
      <c r="BY4028">
        <v>11840</v>
      </c>
      <c r="CC4028" t="s">
        <v>123</v>
      </c>
      <c r="CD4028">
        <v>7646</v>
      </c>
      <c r="CE4028" t="s">
        <v>221</v>
      </c>
      <c r="CI4028">
        <v>1</v>
      </c>
      <c r="CJ4028" t="s">
        <v>1540</v>
      </c>
      <c r="CK4028">
        <v>23</v>
      </c>
      <c r="CL4028" t="s">
        <v>89</v>
      </c>
    </row>
    <row r="4029" spans="1:90" x14ac:dyDescent="0.3">
      <c r="A4029" t="s">
        <v>72</v>
      </c>
      <c r="B4029" t="s">
        <v>73</v>
      </c>
      <c r="C4029" t="s">
        <v>74</v>
      </c>
      <c r="E4029" t="str">
        <f>"080065647808"</f>
        <v>080065647808</v>
      </c>
      <c r="F4029" s="3">
        <v>45806</v>
      </c>
      <c r="G4029">
        <v>202602</v>
      </c>
      <c r="H4029" t="s">
        <v>75</v>
      </c>
      <c r="I4029" t="s">
        <v>76</v>
      </c>
      <c r="J4029" t="s">
        <v>77</v>
      </c>
      <c r="K4029" t="s">
        <v>78</v>
      </c>
      <c r="L4029" t="s">
        <v>232</v>
      </c>
      <c r="M4029" t="s">
        <v>233</v>
      </c>
      <c r="N4029" t="s">
        <v>234</v>
      </c>
      <c r="O4029" t="s">
        <v>82</v>
      </c>
      <c r="P4029" t="str">
        <f>"4170041242                    "</f>
        <v xml:space="preserve">4170041242                    </v>
      </c>
      <c r="Q4029">
        <v>0</v>
      </c>
      <c r="R4029">
        <v>0</v>
      </c>
      <c r="S4029">
        <v>0</v>
      </c>
      <c r="T4029">
        <v>0</v>
      </c>
      <c r="U4029">
        <v>0</v>
      </c>
      <c r="V4029">
        <v>0</v>
      </c>
      <c r="W4029">
        <v>0</v>
      </c>
      <c r="X4029">
        <v>0</v>
      </c>
      <c r="Y4029">
        <v>0</v>
      </c>
      <c r="Z4029">
        <v>0</v>
      </c>
      <c r="AA4029">
        <v>0</v>
      </c>
      <c r="AB4029">
        <v>0</v>
      </c>
      <c r="AC4029">
        <v>0</v>
      </c>
      <c r="AD4029">
        <v>0</v>
      </c>
      <c r="AE4029">
        <v>0</v>
      </c>
      <c r="AF4029">
        <v>0</v>
      </c>
      <c r="AG4029">
        <v>0</v>
      </c>
      <c r="AH4029">
        <v>0</v>
      </c>
      <c r="AI4029">
        <v>0</v>
      </c>
      <c r="AJ4029">
        <v>0</v>
      </c>
      <c r="AK4029">
        <v>0</v>
      </c>
      <c r="AL4029">
        <v>0</v>
      </c>
      <c r="AM4029">
        <v>0</v>
      </c>
      <c r="AN4029">
        <v>0</v>
      </c>
      <c r="AO4029">
        <v>0</v>
      </c>
      <c r="AP4029">
        <v>0</v>
      </c>
      <c r="AQ4029">
        <v>21.38</v>
      </c>
      <c r="AR4029">
        <v>0</v>
      </c>
      <c r="AS4029">
        <v>0</v>
      </c>
      <c r="AT4029">
        <v>0</v>
      </c>
      <c r="AU4029">
        <v>0</v>
      </c>
      <c r="AV4029">
        <v>0</v>
      </c>
      <c r="AW4029">
        <v>0</v>
      </c>
      <c r="AX4029">
        <v>0</v>
      </c>
      <c r="AY4029">
        <v>0</v>
      </c>
      <c r="AZ4029">
        <v>0</v>
      </c>
      <c r="BA4029">
        <v>0</v>
      </c>
      <c r="BB4029">
        <v>0</v>
      </c>
      <c r="BC4029">
        <v>0</v>
      </c>
      <c r="BD4029">
        <v>0</v>
      </c>
      <c r="BE4029">
        <v>0</v>
      </c>
      <c r="BF4029">
        <v>0</v>
      </c>
      <c r="BG4029">
        <v>0</v>
      </c>
      <c r="BH4029">
        <v>1</v>
      </c>
      <c r="BI4029">
        <v>1</v>
      </c>
      <c r="BJ4029">
        <v>0.2</v>
      </c>
      <c r="BK4029">
        <v>1</v>
      </c>
      <c r="BL4029">
        <v>69.98</v>
      </c>
      <c r="BM4029">
        <v>10.5</v>
      </c>
      <c r="BN4029">
        <v>80.48</v>
      </c>
      <c r="BO4029">
        <v>80.48</v>
      </c>
      <c r="BQ4029" t="s">
        <v>235</v>
      </c>
      <c r="BR4029" t="s">
        <v>84</v>
      </c>
      <c r="BS4029" t="s">
        <v>1540</v>
      </c>
      <c r="BV4029" t="s">
        <v>89</v>
      </c>
      <c r="BY4029">
        <v>1200</v>
      </c>
      <c r="CC4029" t="s">
        <v>233</v>
      </c>
      <c r="CD4029" s="5" t="s">
        <v>238</v>
      </c>
      <c r="CE4029" t="s">
        <v>88</v>
      </c>
      <c r="CI4029">
        <v>1</v>
      </c>
      <c r="CJ4029" t="s">
        <v>1540</v>
      </c>
      <c r="CK4029">
        <v>21</v>
      </c>
      <c r="CL4029" t="s">
        <v>89</v>
      </c>
    </row>
    <row r="4030" spans="1:90" x14ac:dyDescent="0.3">
      <c r="A4030" t="s">
        <v>72</v>
      </c>
      <c r="B4030" t="s">
        <v>73</v>
      </c>
      <c r="C4030" t="s">
        <v>74</v>
      </c>
      <c r="E4030" t="str">
        <f>"080065647882"</f>
        <v>080065647882</v>
      </c>
      <c r="F4030" s="3">
        <v>45806</v>
      </c>
      <c r="G4030">
        <v>202602</v>
      </c>
      <c r="H4030" t="s">
        <v>75</v>
      </c>
      <c r="I4030" t="s">
        <v>76</v>
      </c>
      <c r="J4030" t="s">
        <v>77</v>
      </c>
      <c r="K4030" t="s">
        <v>78</v>
      </c>
      <c r="L4030" t="s">
        <v>232</v>
      </c>
      <c r="M4030" t="s">
        <v>233</v>
      </c>
      <c r="N4030" t="s">
        <v>1108</v>
      </c>
      <c r="O4030" t="s">
        <v>300</v>
      </c>
      <c r="P4030" t="str">
        <f>"4170041489                    "</f>
        <v xml:space="preserve">4170041489                    </v>
      </c>
      <c r="Q4030">
        <v>0</v>
      </c>
      <c r="R4030">
        <v>0</v>
      </c>
      <c r="S4030">
        <v>0</v>
      </c>
      <c r="T4030">
        <v>0</v>
      </c>
      <c r="U4030">
        <v>0</v>
      </c>
      <c r="V4030">
        <v>0</v>
      </c>
      <c r="W4030">
        <v>0</v>
      </c>
      <c r="X4030">
        <v>0</v>
      </c>
      <c r="Y4030">
        <v>0</v>
      </c>
      <c r="Z4030">
        <v>0</v>
      </c>
      <c r="AA4030">
        <v>0</v>
      </c>
      <c r="AB4030">
        <v>0</v>
      </c>
      <c r="AC4030">
        <v>0</v>
      </c>
      <c r="AD4030">
        <v>0</v>
      </c>
      <c r="AE4030">
        <v>0</v>
      </c>
      <c r="AF4030">
        <v>0</v>
      </c>
      <c r="AG4030">
        <v>0</v>
      </c>
      <c r="AH4030">
        <v>0</v>
      </c>
      <c r="AI4030">
        <v>0</v>
      </c>
      <c r="AJ4030">
        <v>0</v>
      </c>
      <c r="AK4030">
        <v>0</v>
      </c>
      <c r="AL4030">
        <v>0</v>
      </c>
      <c r="AM4030">
        <v>0</v>
      </c>
      <c r="AN4030">
        <v>0</v>
      </c>
      <c r="AO4030">
        <v>0</v>
      </c>
      <c r="AP4030">
        <v>0</v>
      </c>
      <c r="AQ4030">
        <v>41.35</v>
      </c>
      <c r="AR4030">
        <v>0</v>
      </c>
      <c r="AS4030">
        <v>0</v>
      </c>
      <c r="AT4030">
        <v>0</v>
      </c>
      <c r="AU4030">
        <v>0</v>
      </c>
      <c r="AV4030">
        <v>0</v>
      </c>
      <c r="AW4030">
        <v>0</v>
      </c>
      <c r="AX4030">
        <v>0</v>
      </c>
      <c r="AY4030">
        <v>0</v>
      </c>
      <c r="AZ4030">
        <v>0</v>
      </c>
      <c r="BA4030">
        <v>0</v>
      </c>
      <c r="BB4030">
        <v>0</v>
      </c>
      <c r="BC4030">
        <v>0</v>
      </c>
      <c r="BD4030">
        <v>0</v>
      </c>
      <c r="BE4030">
        <v>0</v>
      </c>
      <c r="BF4030">
        <v>0</v>
      </c>
      <c r="BG4030">
        <v>0</v>
      </c>
      <c r="BH4030">
        <v>1</v>
      </c>
      <c r="BI4030">
        <v>13</v>
      </c>
      <c r="BJ4030">
        <v>8.9</v>
      </c>
      <c r="BK4030">
        <v>13</v>
      </c>
      <c r="BL4030">
        <v>140.9</v>
      </c>
      <c r="BM4030">
        <v>21.14</v>
      </c>
      <c r="BN4030">
        <v>162.04</v>
      </c>
      <c r="BO4030">
        <v>162.04</v>
      </c>
      <c r="BQ4030" t="s">
        <v>1109</v>
      </c>
      <c r="BR4030" t="s">
        <v>84</v>
      </c>
      <c r="BS4030" t="s">
        <v>1540</v>
      </c>
      <c r="BV4030" t="s">
        <v>89</v>
      </c>
      <c r="BY4030">
        <v>44640</v>
      </c>
      <c r="CC4030" t="s">
        <v>233</v>
      </c>
      <c r="CD4030" s="5" t="s">
        <v>238</v>
      </c>
      <c r="CE4030" t="s">
        <v>96</v>
      </c>
      <c r="CI4030">
        <v>1</v>
      </c>
      <c r="CJ4030" t="s">
        <v>1540</v>
      </c>
      <c r="CK4030">
        <v>41</v>
      </c>
      <c r="CL4030" t="s">
        <v>89</v>
      </c>
    </row>
    <row r="4031" spans="1:90" x14ac:dyDescent="0.3">
      <c r="A4031" t="s">
        <v>72</v>
      </c>
      <c r="B4031" t="s">
        <v>73</v>
      </c>
      <c r="C4031" t="s">
        <v>74</v>
      </c>
      <c r="E4031" t="str">
        <f>"080065647951"</f>
        <v>080065647951</v>
      </c>
      <c r="F4031" s="3">
        <v>45806</v>
      </c>
      <c r="G4031">
        <v>202602</v>
      </c>
      <c r="H4031" t="s">
        <v>75</v>
      </c>
      <c r="I4031" t="s">
        <v>76</v>
      </c>
      <c r="J4031" t="s">
        <v>77</v>
      </c>
      <c r="K4031" t="s">
        <v>78</v>
      </c>
      <c r="L4031" t="s">
        <v>79</v>
      </c>
      <c r="M4031" t="s">
        <v>80</v>
      </c>
      <c r="N4031" t="s">
        <v>3485</v>
      </c>
      <c r="O4031" t="s">
        <v>82</v>
      </c>
      <c r="P4031" t="str">
        <f>"4170041498                    "</f>
        <v xml:space="preserve">4170041498                    </v>
      </c>
      <c r="Q4031">
        <v>0</v>
      </c>
      <c r="R4031">
        <v>0</v>
      </c>
      <c r="S4031">
        <v>0</v>
      </c>
      <c r="T4031">
        <v>0</v>
      </c>
      <c r="U4031">
        <v>0</v>
      </c>
      <c r="V4031">
        <v>0</v>
      </c>
      <c r="W4031">
        <v>0</v>
      </c>
      <c r="X4031">
        <v>0</v>
      </c>
      <c r="Y4031">
        <v>0</v>
      </c>
      <c r="Z4031">
        <v>0</v>
      </c>
      <c r="AA4031">
        <v>0</v>
      </c>
      <c r="AB4031">
        <v>0</v>
      </c>
      <c r="AC4031">
        <v>0</v>
      </c>
      <c r="AD4031">
        <v>0</v>
      </c>
      <c r="AE4031">
        <v>0</v>
      </c>
      <c r="AF4031">
        <v>0</v>
      </c>
      <c r="AG4031">
        <v>0</v>
      </c>
      <c r="AH4031">
        <v>0</v>
      </c>
      <c r="AI4031">
        <v>0</v>
      </c>
      <c r="AJ4031">
        <v>0</v>
      </c>
      <c r="AK4031">
        <v>0</v>
      </c>
      <c r="AL4031">
        <v>0</v>
      </c>
      <c r="AM4031">
        <v>0</v>
      </c>
      <c r="AN4031">
        <v>0</v>
      </c>
      <c r="AO4031">
        <v>0</v>
      </c>
      <c r="AP4031">
        <v>0</v>
      </c>
      <c r="AQ4031">
        <v>101.51</v>
      </c>
      <c r="AR4031">
        <v>0</v>
      </c>
      <c r="AS4031">
        <v>0</v>
      </c>
      <c r="AT4031">
        <v>0</v>
      </c>
      <c r="AU4031">
        <v>0</v>
      </c>
      <c r="AV4031">
        <v>0</v>
      </c>
      <c r="AW4031">
        <v>0</v>
      </c>
      <c r="AX4031">
        <v>0</v>
      </c>
      <c r="AY4031">
        <v>0</v>
      </c>
      <c r="AZ4031">
        <v>0</v>
      </c>
      <c r="BA4031">
        <v>0</v>
      </c>
      <c r="BB4031">
        <v>0</v>
      </c>
      <c r="BC4031">
        <v>0</v>
      </c>
      <c r="BD4031">
        <v>0</v>
      </c>
      <c r="BE4031">
        <v>0</v>
      </c>
      <c r="BF4031">
        <v>0</v>
      </c>
      <c r="BG4031">
        <v>0</v>
      </c>
      <c r="BH4031">
        <v>1</v>
      </c>
      <c r="BI4031">
        <v>5</v>
      </c>
      <c r="BJ4031">
        <v>9.3000000000000007</v>
      </c>
      <c r="BK4031">
        <v>9.5</v>
      </c>
      <c r="BL4031">
        <v>332.21</v>
      </c>
      <c r="BM4031">
        <v>49.83</v>
      </c>
      <c r="BN4031">
        <v>382.04</v>
      </c>
      <c r="BO4031">
        <v>382.04</v>
      </c>
      <c r="BQ4031" t="s">
        <v>3486</v>
      </c>
      <c r="BR4031" t="s">
        <v>84</v>
      </c>
      <c r="BS4031" t="s">
        <v>1540</v>
      </c>
      <c r="BV4031" t="s">
        <v>89</v>
      </c>
      <c r="BY4031">
        <v>46512</v>
      </c>
      <c r="CC4031" t="s">
        <v>80</v>
      </c>
      <c r="CD4031">
        <v>3610</v>
      </c>
      <c r="CE4031" t="s">
        <v>221</v>
      </c>
      <c r="CI4031">
        <v>1</v>
      </c>
      <c r="CJ4031" t="s">
        <v>1540</v>
      </c>
      <c r="CK4031">
        <v>21</v>
      </c>
      <c r="CL4031" t="s">
        <v>89</v>
      </c>
    </row>
    <row r="4032" spans="1:90" x14ac:dyDescent="0.3">
      <c r="A4032" t="s">
        <v>72</v>
      </c>
      <c r="B4032" t="s">
        <v>73</v>
      </c>
      <c r="C4032" t="s">
        <v>74</v>
      </c>
      <c r="E4032" t="str">
        <f>"080065647969"</f>
        <v>080065647969</v>
      </c>
      <c r="F4032" s="3">
        <v>45806</v>
      </c>
      <c r="G4032">
        <v>202602</v>
      </c>
      <c r="H4032" t="s">
        <v>75</v>
      </c>
      <c r="I4032" t="s">
        <v>76</v>
      </c>
      <c r="J4032" t="s">
        <v>77</v>
      </c>
      <c r="K4032" t="s">
        <v>78</v>
      </c>
      <c r="L4032" t="s">
        <v>117</v>
      </c>
      <c r="M4032" t="s">
        <v>118</v>
      </c>
      <c r="N4032" t="s">
        <v>532</v>
      </c>
      <c r="O4032" t="s">
        <v>82</v>
      </c>
      <c r="P4032" t="str">
        <f>"4170041494                    "</f>
        <v xml:space="preserve">4170041494                    </v>
      </c>
      <c r="Q4032">
        <v>0</v>
      </c>
      <c r="R4032">
        <v>0</v>
      </c>
      <c r="S4032">
        <v>0</v>
      </c>
      <c r="T4032">
        <v>0</v>
      </c>
      <c r="U4032">
        <v>0</v>
      </c>
      <c r="V4032">
        <v>0</v>
      </c>
      <c r="W4032">
        <v>0</v>
      </c>
      <c r="X4032">
        <v>0</v>
      </c>
      <c r="Y4032">
        <v>0</v>
      </c>
      <c r="Z4032">
        <v>0</v>
      </c>
      <c r="AA4032">
        <v>0</v>
      </c>
      <c r="AB4032">
        <v>0</v>
      </c>
      <c r="AC4032">
        <v>0</v>
      </c>
      <c r="AD4032">
        <v>0</v>
      </c>
      <c r="AE4032">
        <v>0</v>
      </c>
      <c r="AF4032">
        <v>0</v>
      </c>
      <c r="AG4032">
        <v>0</v>
      </c>
      <c r="AH4032">
        <v>0</v>
      </c>
      <c r="AI4032">
        <v>0</v>
      </c>
      <c r="AJ4032">
        <v>0</v>
      </c>
      <c r="AK4032">
        <v>0</v>
      </c>
      <c r="AL4032">
        <v>0</v>
      </c>
      <c r="AM4032">
        <v>0</v>
      </c>
      <c r="AN4032">
        <v>0</v>
      </c>
      <c r="AO4032">
        <v>0</v>
      </c>
      <c r="AP4032">
        <v>0</v>
      </c>
      <c r="AQ4032">
        <v>16.7</v>
      </c>
      <c r="AR4032">
        <v>0</v>
      </c>
      <c r="AS4032">
        <v>0</v>
      </c>
      <c r="AT4032">
        <v>0</v>
      </c>
      <c r="AU4032">
        <v>0</v>
      </c>
      <c r="AV4032">
        <v>0</v>
      </c>
      <c r="AW4032">
        <v>0</v>
      </c>
      <c r="AX4032">
        <v>0</v>
      </c>
      <c r="AY4032">
        <v>0</v>
      </c>
      <c r="AZ4032">
        <v>0</v>
      </c>
      <c r="BA4032">
        <v>0</v>
      </c>
      <c r="BB4032">
        <v>0</v>
      </c>
      <c r="BC4032">
        <v>0</v>
      </c>
      <c r="BD4032">
        <v>0</v>
      </c>
      <c r="BE4032">
        <v>0</v>
      </c>
      <c r="BF4032">
        <v>0</v>
      </c>
      <c r="BG4032">
        <v>0</v>
      </c>
      <c r="BH4032">
        <v>1</v>
      </c>
      <c r="BI4032">
        <v>1</v>
      </c>
      <c r="BJ4032">
        <v>3.4</v>
      </c>
      <c r="BK4032">
        <v>4</v>
      </c>
      <c r="BL4032">
        <v>54.66</v>
      </c>
      <c r="BM4032">
        <v>8.1999999999999993</v>
      </c>
      <c r="BN4032">
        <v>62.86</v>
      </c>
      <c r="BO4032">
        <v>62.86</v>
      </c>
      <c r="BQ4032" t="s">
        <v>533</v>
      </c>
      <c r="BR4032" t="s">
        <v>84</v>
      </c>
      <c r="BS4032" t="s">
        <v>1540</v>
      </c>
      <c r="BV4032" t="s">
        <v>89</v>
      </c>
      <c r="BY4032">
        <v>16965</v>
      </c>
      <c r="CC4032" t="s">
        <v>118</v>
      </c>
      <c r="CD4032">
        <v>2094</v>
      </c>
      <c r="CE4032" t="s">
        <v>96</v>
      </c>
      <c r="CI4032">
        <v>1</v>
      </c>
      <c r="CJ4032" t="s">
        <v>1540</v>
      </c>
      <c r="CK4032">
        <v>22</v>
      </c>
      <c r="CL4032" t="s">
        <v>89</v>
      </c>
    </row>
    <row r="4033" spans="1:90" x14ac:dyDescent="0.3">
      <c r="A4033" t="s">
        <v>72</v>
      </c>
      <c r="B4033" t="s">
        <v>73</v>
      </c>
      <c r="C4033" t="s">
        <v>74</v>
      </c>
      <c r="E4033" t="str">
        <f>"080065647997"</f>
        <v>080065647997</v>
      </c>
      <c r="F4033" s="3">
        <v>45806</v>
      </c>
      <c r="G4033">
        <v>202602</v>
      </c>
      <c r="H4033" t="s">
        <v>75</v>
      </c>
      <c r="I4033" t="s">
        <v>76</v>
      </c>
      <c r="J4033" t="s">
        <v>77</v>
      </c>
      <c r="K4033" t="s">
        <v>78</v>
      </c>
      <c r="L4033" t="s">
        <v>350</v>
      </c>
      <c r="M4033" t="s">
        <v>351</v>
      </c>
      <c r="N4033" t="s">
        <v>352</v>
      </c>
      <c r="O4033" t="s">
        <v>82</v>
      </c>
      <c r="P4033" t="str">
        <f>"4170041500                    "</f>
        <v xml:space="preserve">4170041500                    </v>
      </c>
      <c r="Q4033">
        <v>0</v>
      </c>
      <c r="R4033">
        <v>0</v>
      </c>
      <c r="S4033">
        <v>0</v>
      </c>
      <c r="T4033">
        <v>0</v>
      </c>
      <c r="U4033">
        <v>0</v>
      </c>
      <c r="V4033">
        <v>0</v>
      </c>
      <c r="W4033">
        <v>0</v>
      </c>
      <c r="X4033">
        <v>0</v>
      </c>
      <c r="Y4033">
        <v>0</v>
      </c>
      <c r="Z4033">
        <v>0</v>
      </c>
      <c r="AA4033">
        <v>0</v>
      </c>
      <c r="AB4033">
        <v>0</v>
      </c>
      <c r="AC4033">
        <v>0</v>
      </c>
      <c r="AD4033">
        <v>0</v>
      </c>
      <c r="AE4033">
        <v>0</v>
      </c>
      <c r="AF4033">
        <v>0</v>
      </c>
      <c r="AG4033">
        <v>0</v>
      </c>
      <c r="AH4033">
        <v>0</v>
      </c>
      <c r="AI4033">
        <v>0</v>
      </c>
      <c r="AJ4033">
        <v>0</v>
      </c>
      <c r="AK4033">
        <v>0</v>
      </c>
      <c r="AL4033">
        <v>0</v>
      </c>
      <c r="AM4033">
        <v>0</v>
      </c>
      <c r="AN4033">
        <v>0</v>
      </c>
      <c r="AO4033">
        <v>0</v>
      </c>
      <c r="AP4033">
        <v>0</v>
      </c>
      <c r="AQ4033">
        <v>21.38</v>
      </c>
      <c r="AR4033">
        <v>0</v>
      </c>
      <c r="AS4033">
        <v>0</v>
      </c>
      <c r="AT4033">
        <v>0</v>
      </c>
      <c r="AU4033">
        <v>0</v>
      </c>
      <c r="AV4033">
        <v>0</v>
      </c>
      <c r="AW4033">
        <v>0</v>
      </c>
      <c r="AX4033">
        <v>0</v>
      </c>
      <c r="AY4033">
        <v>0</v>
      </c>
      <c r="AZ4033">
        <v>0</v>
      </c>
      <c r="BA4033">
        <v>0</v>
      </c>
      <c r="BB4033">
        <v>0</v>
      </c>
      <c r="BC4033">
        <v>0</v>
      </c>
      <c r="BD4033">
        <v>0</v>
      </c>
      <c r="BE4033">
        <v>0</v>
      </c>
      <c r="BF4033">
        <v>0</v>
      </c>
      <c r="BG4033">
        <v>0</v>
      </c>
      <c r="BH4033">
        <v>1</v>
      </c>
      <c r="BI4033">
        <v>2</v>
      </c>
      <c r="BJ4033">
        <v>1.7</v>
      </c>
      <c r="BK4033">
        <v>2</v>
      </c>
      <c r="BL4033">
        <v>69.98</v>
      </c>
      <c r="BM4033">
        <v>10.5</v>
      </c>
      <c r="BN4033">
        <v>80.48</v>
      </c>
      <c r="BO4033">
        <v>80.48</v>
      </c>
      <c r="BQ4033" t="s">
        <v>353</v>
      </c>
      <c r="BR4033" t="s">
        <v>84</v>
      </c>
      <c r="BS4033" t="s">
        <v>1540</v>
      </c>
      <c r="BV4033" t="s">
        <v>89</v>
      </c>
      <c r="BY4033">
        <v>8640</v>
      </c>
      <c r="CC4033" t="s">
        <v>351</v>
      </c>
      <c r="CD4033">
        <v>4000</v>
      </c>
      <c r="CE4033" t="s">
        <v>221</v>
      </c>
      <c r="CI4033">
        <v>1</v>
      </c>
      <c r="CJ4033" t="s">
        <v>1540</v>
      </c>
      <c r="CK4033">
        <v>21</v>
      </c>
      <c r="CL4033" t="s">
        <v>89</v>
      </c>
    </row>
    <row r="4034" spans="1:90" x14ac:dyDescent="0.3">
      <c r="A4034" t="s">
        <v>72</v>
      </c>
      <c r="B4034" t="s">
        <v>73</v>
      </c>
      <c r="C4034" t="s">
        <v>74</v>
      </c>
      <c r="E4034" t="str">
        <f>"080065648181"</f>
        <v>080065648181</v>
      </c>
      <c r="F4034" s="3">
        <v>45806</v>
      </c>
      <c r="G4034">
        <v>202602</v>
      </c>
      <c r="H4034" t="s">
        <v>75</v>
      </c>
      <c r="I4034" t="s">
        <v>76</v>
      </c>
      <c r="J4034" t="s">
        <v>77</v>
      </c>
      <c r="K4034" t="s">
        <v>78</v>
      </c>
      <c r="L4034" t="s">
        <v>350</v>
      </c>
      <c r="M4034" t="s">
        <v>351</v>
      </c>
      <c r="N4034" t="s">
        <v>1838</v>
      </c>
      <c r="O4034" t="s">
        <v>82</v>
      </c>
      <c r="P4034" t="str">
        <f>"4170041499                    "</f>
        <v xml:space="preserve">4170041499                    </v>
      </c>
      <c r="Q4034">
        <v>0</v>
      </c>
      <c r="R4034">
        <v>0</v>
      </c>
      <c r="S4034">
        <v>0</v>
      </c>
      <c r="T4034">
        <v>0</v>
      </c>
      <c r="U4034">
        <v>0</v>
      </c>
      <c r="V4034">
        <v>0</v>
      </c>
      <c r="W4034">
        <v>0</v>
      </c>
      <c r="X4034">
        <v>0</v>
      </c>
      <c r="Y4034">
        <v>0</v>
      </c>
      <c r="Z4034">
        <v>0</v>
      </c>
      <c r="AA4034">
        <v>0</v>
      </c>
      <c r="AB4034">
        <v>0</v>
      </c>
      <c r="AC4034">
        <v>0</v>
      </c>
      <c r="AD4034">
        <v>0</v>
      </c>
      <c r="AE4034">
        <v>0</v>
      </c>
      <c r="AF4034">
        <v>0</v>
      </c>
      <c r="AG4034">
        <v>0</v>
      </c>
      <c r="AH4034">
        <v>0</v>
      </c>
      <c r="AI4034">
        <v>0</v>
      </c>
      <c r="AJ4034">
        <v>0</v>
      </c>
      <c r="AK4034">
        <v>0</v>
      </c>
      <c r="AL4034">
        <v>0</v>
      </c>
      <c r="AM4034">
        <v>0</v>
      </c>
      <c r="AN4034">
        <v>0</v>
      </c>
      <c r="AO4034">
        <v>0</v>
      </c>
      <c r="AP4034">
        <v>0</v>
      </c>
      <c r="AQ4034">
        <v>21.38</v>
      </c>
      <c r="AR4034">
        <v>0</v>
      </c>
      <c r="AS4034">
        <v>0</v>
      </c>
      <c r="AT4034">
        <v>0</v>
      </c>
      <c r="AU4034">
        <v>0</v>
      </c>
      <c r="AV4034">
        <v>0</v>
      </c>
      <c r="AW4034">
        <v>0</v>
      </c>
      <c r="AX4034">
        <v>0</v>
      </c>
      <c r="AY4034">
        <v>0</v>
      </c>
      <c r="AZ4034">
        <v>0</v>
      </c>
      <c r="BA4034">
        <v>0</v>
      </c>
      <c r="BB4034">
        <v>0</v>
      </c>
      <c r="BC4034">
        <v>0</v>
      </c>
      <c r="BD4034">
        <v>0</v>
      </c>
      <c r="BE4034">
        <v>0</v>
      </c>
      <c r="BF4034">
        <v>0</v>
      </c>
      <c r="BG4034">
        <v>0</v>
      </c>
      <c r="BH4034">
        <v>1</v>
      </c>
      <c r="BI4034">
        <v>1</v>
      </c>
      <c r="BJ4034">
        <v>0.2</v>
      </c>
      <c r="BK4034">
        <v>1</v>
      </c>
      <c r="BL4034">
        <v>69.98</v>
      </c>
      <c r="BM4034">
        <v>10.5</v>
      </c>
      <c r="BN4034">
        <v>80.48</v>
      </c>
      <c r="BO4034">
        <v>80.48</v>
      </c>
      <c r="BQ4034" t="s">
        <v>1839</v>
      </c>
      <c r="BR4034" t="s">
        <v>84</v>
      </c>
      <c r="BS4034" t="s">
        <v>1540</v>
      </c>
      <c r="BV4034" t="s">
        <v>89</v>
      </c>
      <c r="BY4034">
        <v>1200</v>
      </c>
      <c r="CC4034" t="s">
        <v>351</v>
      </c>
      <c r="CD4034">
        <v>4060</v>
      </c>
      <c r="CE4034" t="s">
        <v>88</v>
      </c>
      <c r="CI4034">
        <v>1</v>
      </c>
      <c r="CJ4034" t="s">
        <v>1540</v>
      </c>
      <c r="CK4034">
        <v>21</v>
      </c>
      <c r="CL4034" t="s">
        <v>89</v>
      </c>
    </row>
    <row r="4035" spans="1:90" x14ac:dyDescent="0.3">
      <c r="A4035" t="s">
        <v>72</v>
      </c>
      <c r="B4035" t="s">
        <v>73</v>
      </c>
      <c r="C4035" t="s">
        <v>74</v>
      </c>
      <c r="E4035" t="str">
        <f>"080065648307"</f>
        <v>080065648307</v>
      </c>
      <c r="F4035" s="3">
        <v>45806</v>
      </c>
      <c r="G4035">
        <v>202602</v>
      </c>
      <c r="H4035" t="s">
        <v>75</v>
      </c>
      <c r="I4035" t="s">
        <v>76</v>
      </c>
      <c r="J4035" t="s">
        <v>77</v>
      </c>
      <c r="K4035" t="s">
        <v>78</v>
      </c>
      <c r="L4035" t="s">
        <v>130</v>
      </c>
      <c r="M4035" t="s">
        <v>131</v>
      </c>
      <c r="N4035" t="s">
        <v>897</v>
      </c>
      <c r="O4035" t="s">
        <v>82</v>
      </c>
      <c r="P4035" t="str">
        <f>"4170041504                    "</f>
        <v xml:space="preserve">4170041504                    </v>
      </c>
      <c r="Q4035">
        <v>0</v>
      </c>
      <c r="R4035">
        <v>0</v>
      </c>
      <c r="S4035">
        <v>0</v>
      </c>
      <c r="T4035">
        <v>0</v>
      </c>
      <c r="U4035">
        <v>0</v>
      </c>
      <c r="V4035">
        <v>0</v>
      </c>
      <c r="W4035">
        <v>0</v>
      </c>
      <c r="X4035">
        <v>0</v>
      </c>
      <c r="Y4035">
        <v>0</v>
      </c>
      <c r="Z4035">
        <v>0</v>
      </c>
      <c r="AA4035">
        <v>0</v>
      </c>
      <c r="AB4035">
        <v>0</v>
      </c>
      <c r="AC4035">
        <v>0</v>
      </c>
      <c r="AD4035">
        <v>0</v>
      </c>
      <c r="AE4035">
        <v>0</v>
      </c>
      <c r="AF4035">
        <v>0</v>
      </c>
      <c r="AG4035">
        <v>0</v>
      </c>
      <c r="AH4035">
        <v>0</v>
      </c>
      <c r="AI4035">
        <v>0</v>
      </c>
      <c r="AJ4035">
        <v>0</v>
      </c>
      <c r="AK4035">
        <v>0</v>
      </c>
      <c r="AL4035">
        <v>0</v>
      </c>
      <c r="AM4035">
        <v>0</v>
      </c>
      <c r="AN4035">
        <v>0</v>
      </c>
      <c r="AO4035">
        <v>0</v>
      </c>
      <c r="AP4035">
        <v>0</v>
      </c>
      <c r="AQ4035">
        <v>203</v>
      </c>
      <c r="AR4035">
        <v>0</v>
      </c>
      <c r="AS4035">
        <v>0</v>
      </c>
      <c r="AT4035">
        <v>0</v>
      </c>
      <c r="AU4035">
        <v>0</v>
      </c>
      <c r="AV4035">
        <v>0</v>
      </c>
      <c r="AW4035">
        <v>0</v>
      </c>
      <c r="AX4035">
        <v>0</v>
      </c>
      <c r="AY4035">
        <v>0</v>
      </c>
      <c r="AZ4035">
        <v>0</v>
      </c>
      <c r="BA4035">
        <v>0</v>
      </c>
      <c r="BB4035">
        <v>0</v>
      </c>
      <c r="BC4035">
        <v>0</v>
      </c>
      <c r="BD4035">
        <v>0</v>
      </c>
      <c r="BE4035">
        <v>0</v>
      </c>
      <c r="BF4035">
        <v>0</v>
      </c>
      <c r="BG4035">
        <v>0</v>
      </c>
      <c r="BH4035">
        <v>2</v>
      </c>
      <c r="BI4035">
        <v>19</v>
      </c>
      <c r="BJ4035">
        <v>7.5</v>
      </c>
      <c r="BK4035">
        <v>19</v>
      </c>
      <c r="BL4035">
        <v>664.36</v>
      </c>
      <c r="BM4035">
        <v>99.65</v>
      </c>
      <c r="BN4035">
        <v>764.01</v>
      </c>
      <c r="BO4035">
        <v>764.01</v>
      </c>
      <c r="BQ4035" t="s">
        <v>898</v>
      </c>
      <c r="BR4035" t="s">
        <v>84</v>
      </c>
      <c r="BS4035" t="s">
        <v>1540</v>
      </c>
      <c r="BV4035" t="s">
        <v>89</v>
      </c>
      <c r="BY4035">
        <v>37741</v>
      </c>
      <c r="CC4035" t="s">
        <v>131</v>
      </c>
      <c r="CD4035">
        <v>7550</v>
      </c>
      <c r="CE4035" t="s">
        <v>221</v>
      </c>
      <c r="CI4035">
        <v>1</v>
      </c>
      <c r="CJ4035" t="s">
        <v>1540</v>
      </c>
      <c r="CK4035">
        <v>21</v>
      </c>
      <c r="CL4035" t="s">
        <v>89</v>
      </c>
    </row>
    <row r="4036" spans="1:90" x14ac:dyDescent="0.3">
      <c r="A4036" t="s">
        <v>72</v>
      </c>
      <c r="B4036" t="s">
        <v>73</v>
      </c>
      <c r="C4036" t="s">
        <v>74</v>
      </c>
      <c r="E4036" t="str">
        <f>"080065648422"</f>
        <v>080065648422</v>
      </c>
      <c r="F4036" s="3">
        <v>45806</v>
      </c>
      <c r="G4036">
        <v>202602</v>
      </c>
      <c r="H4036" t="s">
        <v>75</v>
      </c>
      <c r="I4036" t="s">
        <v>76</v>
      </c>
      <c r="J4036" t="s">
        <v>77</v>
      </c>
      <c r="K4036" t="s">
        <v>78</v>
      </c>
      <c r="L4036" t="s">
        <v>90</v>
      </c>
      <c r="M4036" t="s">
        <v>91</v>
      </c>
      <c r="N4036" t="s">
        <v>371</v>
      </c>
      <c r="O4036" t="s">
        <v>300</v>
      </c>
      <c r="P4036" t="str">
        <f>"4170041136                    "</f>
        <v xml:space="preserve">4170041136                    </v>
      </c>
      <c r="Q4036">
        <v>0</v>
      </c>
      <c r="R4036">
        <v>0</v>
      </c>
      <c r="S4036">
        <v>0</v>
      </c>
      <c r="T4036">
        <v>0</v>
      </c>
      <c r="U4036">
        <v>0</v>
      </c>
      <c r="V4036">
        <v>0</v>
      </c>
      <c r="W4036">
        <v>0</v>
      </c>
      <c r="X4036">
        <v>0</v>
      </c>
      <c r="Y4036">
        <v>0</v>
      </c>
      <c r="Z4036">
        <v>0</v>
      </c>
      <c r="AA4036">
        <v>0</v>
      </c>
      <c r="AB4036">
        <v>0</v>
      </c>
      <c r="AC4036">
        <v>0</v>
      </c>
      <c r="AD4036">
        <v>0</v>
      </c>
      <c r="AE4036">
        <v>0</v>
      </c>
      <c r="AF4036">
        <v>0</v>
      </c>
      <c r="AG4036">
        <v>0</v>
      </c>
      <c r="AH4036">
        <v>0</v>
      </c>
      <c r="AI4036">
        <v>0</v>
      </c>
      <c r="AJ4036">
        <v>0</v>
      </c>
      <c r="AK4036">
        <v>0</v>
      </c>
      <c r="AL4036">
        <v>0</v>
      </c>
      <c r="AM4036">
        <v>0</v>
      </c>
      <c r="AN4036">
        <v>0</v>
      </c>
      <c r="AO4036">
        <v>0</v>
      </c>
      <c r="AP4036">
        <v>0</v>
      </c>
      <c r="AQ4036">
        <v>53.3</v>
      </c>
      <c r="AR4036">
        <v>0</v>
      </c>
      <c r="AS4036">
        <v>0</v>
      </c>
      <c r="AT4036">
        <v>0</v>
      </c>
      <c r="AU4036">
        <v>0</v>
      </c>
      <c r="AV4036">
        <v>0</v>
      </c>
      <c r="AW4036">
        <v>0</v>
      </c>
      <c r="AX4036">
        <v>0</v>
      </c>
      <c r="AY4036">
        <v>0</v>
      </c>
      <c r="AZ4036">
        <v>0</v>
      </c>
      <c r="BA4036">
        <v>0</v>
      </c>
      <c r="BB4036">
        <v>0</v>
      </c>
      <c r="BC4036">
        <v>0</v>
      </c>
      <c r="BD4036">
        <v>0</v>
      </c>
      <c r="BE4036">
        <v>0</v>
      </c>
      <c r="BF4036">
        <v>0</v>
      </c>
      <c r="BG4036">
        <v>0</v>
      </c>
      <c r="BH4036">
        <v>1</v>
      </c>
      <c r="BI4036">
        <v>22</v>
      </c>
      <c r="BJ4036">
        <v>17</v>
      </c>
      <c r="BK4036">
        <v>22</v>
      </c>
      <c r="BL4036">
        <v>180.01</v>
      </c>
      <c r="BM4036">
        <v>27</v>
      </c>
      <c r="BN4036">
        <v>207.01</v>
      </c>
      <c r="BO4036">
        <v>207.01</v>
      </c>
      <c r="BQ4036" t="s">
        <v>372</v>
      </c>
      <c r="BR4036" t="s">
        <v>84</v>
      </c>
      <c r="BS4036" t="s">
        <v>1540</v>
      </c>
      <c r="BV4036" t="s">
        <v>89</v>
      </c>
      <c r="BY4036">
        <v>84864</v>
      </c>
      <c r="CC4036" t="s">
        <v>91</v>
      </c>
      <c r="CD4036">
        <v>6001</v>
      </c>
      <c r="CE4036" t="s">
        <v>550</v>
      </c>
      <c r="CI4036">
        <v>3</v>
      </c>
      <c r="CJ4036" t="s">
        <v>1540</v>
      </c>
      <c r="CK4036">
        <v>41</v>
      </c>
      <c r="CL4036" t="s">
        <v>89</v>
      </c>
    </row>
    <row r="4037" spans="1:90" x14ac:dyDescent="0.3">
      <c r="A4037" t="s">
        <v>72</v>
      </c>
      <c r="B4037" t="s">
        <v>73</v>
      </c>
      <c r="C4037" t="s">
        <v>74</v>
      </c>
      <c r="E4037" t="str">
        <f>"080065648462"</f>
        <v>080065648462</v>
      </c>
      <c r="F4037" s="3">
        <v>45806</v>
      </c>
      <c r="G4037">
        <v>202602</v>
      </c>
      <c r="H4037" t="s">
        <v>75</v>
      </c>
      <c r="I4037" t="s">
        <v>76</v>
      </c>
      <c r="J4037" t="s">
        <v>77</v>
      </c>
      <c r="K4037" t="s">
        <v>78</v>
      </c>
      <c r="L4037" t="s">
        <v>463</v>
      </c>
      <c r="M4037" t="s">
        <v>464</v>
      </c>
      <c r="N4037" t="s">
        <v>585</v>
      </c>
      <c r="O4037" t="s">
        <v>82</v>
      </c>
      <c r="P4037" t="str">
        <f>"4170041503                    "</f>
        <v xml:space="preserve">4170041503                    </v>
      </c>
      <c r="Q4037">
        <v>0</v>
      </c>
      <c r="R4037">
        <v>0</v>
      </c>
      <c r="S4037">
        <v>0</v>
      </c>
      <c r="T4037">
        <v>0</v>
      </c>
      <c r="U4037">
        <v>0</v>
      </c>
      <c r="V4037">
        <v>0</v>
      </c>
      <c r="W4037">
        <v>0</v>
      </c>
      <c r="X4037">
        <v>0</v>
      </c>
      <c r="Y4037">
        <v>0</v>
      </c>
      <c r="Z4037">
        <v>0</v>
      </c>
      <c r="AA4037">
        <v>0</v>
      </c>
      <c r="AB4037">
        <v>0</v>
      </c>
      <c r="AC4037">
        <v>0</v>
      </c>
      <c r="AD4037">
        <v>0</v>
      </c>
      <c r="AE4037">
        <v>0</v>
      </c>
      <c r="AF4037">
        <v>0</v>
      </c>
      <c r="AG4037">
        <v>0</v>
      </c>
      <c r="AH4037">
        <v>0</v>
      </c>
      <c r="AI4037">
        <v>0</v>
      </c>
      <c r="AJ4037">
        <v>0</v>
      </c>
      <c r="AK4037">
        <v>0</v>
      </c>
      <c r="AL4037">
        <v>0</v>
      </c>
      <c r="AM4037">
        <v>0</v>
      </c>
      <c r="AN4037">
        <v>0</v>
      </c>
      <c r="AO4037">
        <v>0</v>
      </c>
      <c r="AP4037">
        <v>0</v>
      </c>
      <c r="AQ4037">
        <v>21.38</v>
      </c>
      <c r="AR4037">
        <v>0</v>
      </c>
      <c r="AS4037">
        <v>0</v>
      </c>
      <c r="AT4037">
        <v>0</v>
      </c>
      <c r="AU4037">
        <v>0</v>
      </c>
      <c r="AV4037">
        <v>0</v>
      </c>
      <c r="AW4037">
        <v>0</v>
      </c>
      <c r="AX4037">
        <v>0</v>
      </c>
      <c r="AY4037">
        <v>0</v>
      </c>
      <c r="AZ4037">
        <v>0</v>
      </c>
      <c r="BA4037">
        <v>0</v>
      </c>
      <c r="BB4037">
        <v>0</v>
      </c>
      <c r="BC4037">
        <v>0</v>
      </c>
      <c r="BD4037">
        <v>0</v>
      </c>
      <c r="BE4037">
        <v>0</v>
      </c>
      <c r="BF4037">
        <v>0</v>
      </c>
      <c r="BG4037">
        <v>0</v>
      </c>
      <c r="BH4037">
        <v>1</v>
      </c>
      <c r="BI4037">
        <v>1</v>
      </c>
      <c r="BJ4037">
        <v>1.7</v>
      </c>
      <c r="BK4037">
        <v>2</v>
      </c>
      <c r="BL4037">
        <v>69.98</v>
      </c>
      <c r="BM4037">
        <v>10.5</v>
      </c>
      <c r="BN4037">
        <v>80.48</v>
      </c>
      <c r="BO4037">
        <v>80.48</v>
      </c>
      <c r="BQ4037" t="s">
        <v>586</v>
      </c>
      <c r="BR4037" t="s">
        <v>84</v>
      </c>
      <c r="BS4037" t="s">
        <v>1540</v>
      </c>
      <c r="BV4037" t="s">
        <v>89</v>
      </c>
      <c r="BY4037">
        <v>8512</v>
      </c>
      <c r="CC4037" t="s">
        <v>464</v>
      </c>
      <c r="CD4037">
        <v>5201</v>
      </c>
      <c r="CE4037" t="s">
        <v>116</v>
      </c>
      <c r="CI4037">
        <v>1</v>
      </c>
      <c r="CJ4037" t="s">
        <v>1540</v>
      </c>
      <c r="CK4037">
        <v>21</v>
      </c>
      <c r="CL4037" t="s">
        <v>89</v>
      </c>
    </row>
    <row r="4038" spans="1:90" x14ac:dyDescent="0.3">
      <c r="A4038" t="s">
        <v>72</v>
      </c>
      <c r="B4038" t="s">
        <v>73</v>
      </c>
      <c r="C4038" t="s">
        <v>74</v>
      </c>
      <c r="E4038" t="str">
        <f>"080065648510"</f>
        <v>080065648510</v>
      </c>
      <c r="F4038" s="3">
        <v>45806</v>
      </c>
      <c r="G4038">
        <v>202602</v>
      </c>
      <c r="H4038" t="s">
        <v>75</v>
      </c>
      <c r="I4038" t="s">
        <v>76</v>
      </c>
      <c r="J4038" t="s">
        <v>77</v>
      </c>
      <c r="K4038" t="s">
        <v>78</v>
      </c>
      <c r="L4038" t="s">
        <v>130</v>
      </c>
      <c r="M4038" t="s">
        <v>131</v>
      </c>
      <c r="N4038" t="s">
        <v>909</v>
      </c>
      <c r="O4038" t="s">
        <v>82</v>
      </c>
      <c r="P4038" t="str">
        <f>"4170041506                    "</f>
        <v xml:space="preserve">4170041506                    </v>
      </c>
      <c r="Q4038">
        <v>0</v>
      </c>
      <c r="R4038">
        <v>0</v>
      </c>
      <c r="S4038">
        <v>0</v>
      </c>
      <c r="T4038">
        <v>0</v>
      </c>
      <c r="U4038">
        <v>0</v>
      </c>
      <c r="V4038">
        <v>0</v>
      </c>
      <c r="W4038">
        <v>0</v>
      </c>
      <c r="X4038">
        <v>0</v>
      </c>
      <c r="Y4038">
        <v>0</v>
      </c>
      <c r="Z4038">
        <v>0</v>
      </c>
      <c r="AA4038">
        <v>0</v>
      </c>
      <c r="AB4038">
        <v>0</v>
      </c>
      <c r="AC4038">
        <v>0</v>
      </c>
      <c r="AD4038">
        <v>0</v>
      </c>
      <c r="AE4038">
        <v>0</v>
      </c>
      <c r="AF4038">
        <v>0</v>
      </c>
      <c r="AG4038">
        <v>0</v>
      </c>
      <c r="AH4038">
        <v>0</v>
      </c>
      <c r="AI4038">
        <v>0</v>
      </c>
      <c r="AJ4038">
        <v>0</v>
      </c>
      <c r="AK4038">
        <v>0</v>
      </c>
      <c r="AL4038">
        <v>0</v>
      </c>
      <c r="AM4038">
        <v>0</v>
      </c>
      <c r="AN4038">
        <v>0</v>
      </c>
      <c r="AO4038">
        <v>0</v>
      </c>
      <c r="AP4038">
        <v>0</v>
      </c>
      <c r="AQ4038">
        <v>21.38</v>
      </c>
      <c r="AR4038">
        <v>0</v>
      </c>
      <c r="AS4038">
        <v>0</v>
      </c>
      <c r="AT4038">
        <v>0</v>
      </c>
      <c r="AU4038">
        <v>0</v>
      </c>
      <c r="AV4038">
        <v>0</v>
      </c>
      <c r="AW4038">
        <v>0</v>
      </c>
      <c r="AX4038">
        <v>0</v>
      </c>
      <c r="AY4038">
        <v>0</v>
      </c>
      <c r="AZ4038">
        <v>0</v>
      </c>
      <c r="BA4038">
        <v>0</v>
      </c>
      <c r="BB4038">
        <v>0</v>
      </c>
      <c r="BC4038">
        <v>0</v>
      </c>
      <c r="BD4038">
        <v>0</v>
      </c>
      <c r="BE4038">
        <v>0</v>
      </c>
      <c r="BF4038">
        <v>0</v>
      </c>
      <c r="BG4038">
        <v>0</v>
      </c>
      <c r="BH4038">
        <v>1</v>
      </c>
      <c r="BI4038">
        <v>1</v>
      </c>
      <c r="BJ4038">
        <v>1.9</v>
      </c>
      <c r="BK4038">
        <v>2</v>
      </c>
      <c r="BL4038">
        <v>69.98</v>
      </c>
      <c r="BM4038">
        <v>10.5</v>
      </c>
      <c r="BN4038">
        <v>80.48</v>
      </c>
      <c r="BO4038">
        <v>80.48</v>
      </c>
      <c r="BQ4038" t="s">
        <v>910</v>
      </c>
      <c r="BR4038" t="s">
        <v>84</v>
      </c>
      <c r="BS4038" s="3">
        <v>45807</v>
      </c>
      <c r="BT4038" s="4">
        <v>0.33333333333333331</v>
      </c>
      <c r="BU4038" t="s">
        <v>938</v>
      </c>
      <c r="BV4038" t="s">
        <v>86</v>
      </c>
      <c r="BY4038">
        <v>9600</v>
      </c>
      <c r="CA4038" t="s">
        <v>712</v>
      </c>
      <c r="CC4038" t="s">
        <v>131</v>
      </c>
      <c r="CD4038">
        <v>7530</v>
      </c>
      <c r="CE4038" t="s">
        <v>221</v>
      </c>
      <c r="CI4038">
        <v>1</v>
      </c>
      <c r="CJ4038">
        <v>1</v>
      </c>
      <c r="CK4038">
        <v>21</v>
      </c>
      <c r="CL4038" t="s">
        <v>89</v>
      </c>
    </row>
    <row r="4039" spans="1:90" x14ac:dyDescent="0.3">
      <c r="A4039" t="s">
        <v>72</v>
      </c>
      <c r="B4039" t="s">
        <v>73</v>
      </c>
      <c r="C4039" t="s">
        <v>74</v>
      </c>
      <c r="E4039" t="str">
        <f>"080065648598"</f>
        <v>080065648598</v>
      </c>
      <c r="F4039" s="3">
        <v>45806</v>
      </c>
      <c r="G4039">
        <v>202602</v>
      </c>
      <c r="H4039" t="s">
        <v>75</v>
      </c>
      <c r="I4039" t="s">
        <v>76</v>
      </c>
      <c r="J4039" t="s">
        <v>77</v>
      </c>
      <c r="K4039" t="s">
        <v>78</v>
      </c>
      <c r="L4039" t="s">
        <v>90</v>
      </c>
      <c r="M4039" t="s">
        <v>91</v>
      </c>
      <c r="N4039" t="s">
        <v>2164</v>
      </c>
      <c r="O4039" t="s">
        <v>82</v>
      </c>
      <c r="P4039" t="str">
        <f>"4170041175                    "</f>
        <v xml:space="preserve">4170041175                    </v>
      </c>
      <c r="Q4039">
        <v>0</v>
      </c>
      <c r="R4039">
        <v>0</v>
      </c>
      <c r="S4039">
        <v>0</v>
      </c>
      <c r="T4039">
        <v>0</v>
      </c>
      <c r="U4039">
        <v>0</v>
      </c>
      <c r="V4039">
        <v>0</v>
      </c>
      <c r="W4039">
        <v>0</v>
      </c>
      <c r="X4039">
        <v>0</v>
      </c>
      <c r="Y4039">
        <v>0</v>
      </c>
      <c r="Z4039">
        <v>0</v>
      </c>
      <c r="AA4039">
        <v>0</v>
      </c>
      <c r="AB4039">
        <v>0</v>
      </c>
      <c r="AC4039">
        <v>0</v>
      </c>
      <c r="AD4039">
        <v>0</v>
      </c>
      <c r="AE4039">
        <v>0</v>
      </c>
      <c r="AF4039">
        <v>0</v>
      </c>
      <c r="AG4039">
        <v>0</v>
      </c>
      <c r="AH4039">
        <v>0</v>
      </c>
      <c r="AI4039">
        <v>0</v>
      </c>
      <c r="AJ4039">
        <v>0</v>
      </c>
      <c r="AK4039">
        <v>0</v>
      </c>
      <c r="AL4039">
        <v>0</v>
      </c>
      <c r="AM4039">
        <v>0</v>
      </c>
      <c r="AN4039">
        <v>0</v>
      </c>
      <c r="AO4039">
        <v>0</v>
      </c>
      <c r="AP4039">
        <v>0</v>
      </c>
      <c r="AQ4039">
        <v>21.38</v>
      </c>
      <c r="AR4039">
        <v>0</v>
      </c>
      <c r="AS4039">
        <v>0</v>
      </c>
      <c r="AT4039">
        <v>0</v>
      </c>
      <c r="AU4039">
        <v>0</v>
      </c>
      <c r="AV4039">
        <v>0</v>
      </c>
      <c r="AW4039">
        <v>0</v>
      </c>
      <c r="AX4039">
        <v>0</v>
      </c>
      <c r="AY4039">
        <v>0</v>
      </c>
      <c r="AZ4039">
        <v>0</v>
      </c>
      <c r="BA4039">
        <v>0</v>
      </c>
      <c r="BB4039">
        <v>0</v>
      </c>
      <c r="BC4039">
        <v>0</v>
      </c>
      <c r="BD4039">
        <v>0</v>
      </c>
      <c r="BE4039">
        <v>0</v>
      </c>
      <c r="BF4039">
        <v>0</v>
      </c>
      <c r="BG4039">
        <v>0</v>
      </c>
      <c r="BH4039">
        <v>1</v>
      </c>
      <c r="BI4039">
        <v>1</v>
      </c>
      <c r="BJ4039">
        <v>0.9</v>
      </c>
      <c r="BK4039">
        <v>1</v>
      </c>
      <c r="BL4039">
        <v>69.98</v>
      </c>
      <c r="BM4039">
        <v>10.5</v>
      </c>
      <c r="BN4039">
        <v>80.48</v>
      </c>
      <c r="BO4039">
        <v>80.48</v>
      </c>
      <c r="BQ4039" t="s">
        <v>2165</v>
      </c>
      <c r="BR4039" t="s">
        <v>84</v>
      </c>
      <c r="BS4039" t="s">
        <v>1540</v>
      </c>
      <c r="BV4039" t="s">
        <v>89</v>
      </c>
      <c r="BY4039">
        <v>4275</v>
      </c>
      <c r="CC4039" t="s">
        <v>91</v>
      </c>
      <c r="CD4039">
        <v>6012</v>
      </c>
      <c r="CE4039" t="s">
        <v>116</v>
      </c>
      <c r="CI4039">
        <v>1</v>
      </c>
      <c r="CJ4039" t="s">
        <v>1540</v>
      </c>
      <c r="CK4039">
        <v>21</v>
      </c>
      <c r="CL4039" t="s">
        <v>89</v>
      </c>
    </row>
    <row r="4040" spans="1:90" x14ac:dyDescent="0.3">
      <c r="A4040" t="s">
        <v>72</v>
      </c>
      <c r="B4040" t="s">
        <v>73</v>
      </c>
      <c r="C4040" t="s">
        <v>74</v>
      </c>
      <c r="E4040" t="str">
        <f>"080065648611"</f>
        <v>080065648611</v>
      </c>
      <c r="F4040" s="3">
        <v>45806</v>
      </c>
      <c r="G4040">
        <v>202602</v>
      </c>
      <c r="H4040" t="s">
        <v>75</v>
      </c>
      <c r="I4040" t="s">
        <v>76</v>
      </c>
      <c r="J4040" t="s">
        <v>77</v>
      </c>
      <c r="K4040" t="s">
        <v>78</v>
      </c>
      <c r="L4040" t="s">
        <v>130</v>
      </c>
      <c r="M4040" t="s">
        <v>131</v>
      </c>
      <c r="N4040" t="s">
        <v>239</v>
      </c>
      <c r="O4040" t="s">
        <v>82</v>
      </c>
      <c r="P4040" t="str">
        <f>"4170040613                    "</f>
        <v xml:space="preserve">4170040613                    </v>
      </c>
      <c r="Q4040">
        <v>0</v>
      </c>
      <c r="R4040">
        <v>0</v>
      </c>
      <c r="S4040">
        <v>0</v>
      </c>
      <c r="T4040">
        <v>0</v>
      </c>
      <c r="U4040">
        <v>0</v>
      </c>
      <c r="V4040">
        <v>0</v>
      </c>
      <c r="W4040">
        <v>0</v>
      </c>
      <c r="X4040">
        <v>0</v>
      </c>
      <c r="Y4040">
        <v>0</v>
      </c>
      <c r="Z4040">
        <v>0</v>
      </c>
      <c r="AA4040">
        <v>0</v>
      </c>
      <c r="AB4040">
        <v>0</v>
      </c>
      <c r="AC4040">
        <v>0</v>
      </c>
      <c r="AD4040">
        <v>0</v>
      </c>
      <c r="AE4040">
        <v>0</v>
      </c>
      <c r="AF4040">
        <v>0</v>
      </c>
      <c r="AG4040">
        <v>0</v>
      </c>
      <c r="AH4040">
        <v>0</v>
      </c>
      <c r="AI4040">
        <v>0</v>
      </c>
      <c r="AJ4040">
        <v>0</v>
      </c>
      <c r="AK4040">
        <v>0</v>
      </c>
      <c r="AL4040">
        <v>0</v>
      </c>
      <c r="AM4040">
        <v>0</v>
      </c>
      <c r="AN4040">
        <v>0</v>
      </c>
      <c r="AO4040">
        <v>0</v>
      </c>
      <c r="AP4040">
        <v>0</v>
      </c>
      <c r="AQ4040">
        <v>53.43</v>
      </c>
      <c r="AR4040">
        <v>0</v>
      </c>
      <c r="AS4040">
        <v>0</v>
      </c>
      <c r="AT4040">
        <v>0</v>
      </c>
      <c r="AU4040">
        <v>0</v>
      </c>
      <c r="AV4040">
        <v>0</v>
      </c>
      <c r="AW4040">
        <v>0</v>
      </c>
      <c r="AX4040">
        <v>0</v>
      </c>
      <c r="AY4040">
        <v>0</v>
      </c>
      <c r="AZ4040">
        <v>0</v>
      </c>
      <c r="BA4040">
        <v>0</v>
      </c>
      <c r="BB4040">
        <v>0</v>
      </c>
      <c r="BC4040">
        <v>0</v>
      </c>
      <c r="BD4040">
        <v>0</v>
      </c>
      <c r="BE4040">
        <v>0</v>
      </c>
      <c r="BF4040">
        <v>0</v>
      </c>
      <c r="BG4040">
        <v>0</v>
      </c>
      <c r="BH4040">
        <v>1</v>
      </c>
      <c r="BI4040">
        <v>5</v>
      </c>
      <c r="BJ4040">
        <v>2.5</v>
      </c>
      <c r="BK4040">
        <v>5</v>
      </c>
      <c r="BL4040">
        <v>174.87</v>
      </c>
      <c r="BM4040">
        <v>26.23</v>
      </c>
      <c r="BN4040">
        <v>201.1</v>
      </c>
      <c r="BO4040">
        <v>201.1</v>
      </c>
      <c r="BQ4040" t="s">
        <v>240</v>
      </c>
      <c r="BR4040" t="s">
        <v>84</v>
      </c>
      <c r="BS4040" t="s">
        <v>1540</v>
      </c>
      <c r="BV4040" t="s">
        <v>89</v>
      </c>
      <c r="BY4040">
        <v>12320</v>
      </c>
      <c r="CC4040" t="s">
        <v>131</v>
      </c>
      <c r="CD4040">
        <v>7441</v>
      </c>
      <c r="CE4040" t="s">
        <v>221</v>
      </c>
      <c r="CI4040">
        <v>1</v>
      </c>
      <c r="CJ4040" t="s">
        <v>1540</v>
      </c>
      <c r="CK4040">
        <v>21</v>
      </c>
      <c r="CL4040"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sdrascd7-IENOMKE130047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Sue Adams</dc:creator>
  <cp:lastModifiedBy>Sue Adams</cp:lastModifiedBy>
  <dcterms:created xsi:type="dcterms:W3CDTF">2025-05-30T07:29:18Z</dcterms:created>
  <dcterms:modified xsi:type="dcterms:W3CDTF">2025-05-30T07:29:38Z</dcterms:modified>
</cp:coreProperties>
</file>